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2D75786F-AC92-407F-957E-EF16D0013D46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</calcChain>
</file>

<file path=xl/sharedStrings.xml><?xml version="1.0" encoding="utf-8"?>
<sst xmlns="http://schemas.openxmlformats.org/spreadsheetml/2006/main" count="14256" uniqueCount="75">
  <si>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</si>
  <si>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</si>
  <si>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</si>
  <si>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</si>
  <si>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</si>
  <si>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</si>
  <si>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</si>
  <si>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</si>
  <si>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</si>
  <si>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</si>
  <si>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</si>
  <si>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</si>
  <si>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</si>
  <si>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</si>
  <si>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</si>
  <si>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</si>
  <si>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</si>
  <si>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</si>
  <si>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</si>
  <si>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</si>
  <si>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</si>
  <si>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</si>
  <si>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</si>
  <si>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</si>
  <si>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</si>
  <si>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</si>
  <si>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</si>
  <si>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</si>
  <si>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</si>
  <si>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</si>
  <si>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</si>
  <si>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</si>
  <si>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</si>
  <si>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</si>
  <si>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</si>
  <si>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</si>
  <si>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</si>
  <si>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</si>
  <si>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</si>
  <si>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</si>
  <si>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</si>
  <si>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mcp_road_part_02</t>
  </si>
  <si>
    <t>Plane_01</t>
  </si>
  <si>
    <t>Building 07 (16)</t>
  </si>
  <si>
    <t>Kooper</t>
  </si>
  <si>
    <t>FAR</t>
  </si>
  <si>
    <t>mcp_roads_turn_01 (1)</t>
  </si>
  <si>
    <t>mcp_roads_T_cross_01</t>
  </si>
  <si>
    <t>mcp_road_part_01</t>
  </si>
  <si>
    <t>mcp_roads_cross_01</t>
  </si>
  <si>
    <t>Plane_01 (1)</t>
  </si>
  <si>
    <t>Building 15 (31)</t>
  </si>
  <si>
    <t>Box001</t>
  </si>
  <si>
    <t>Building 07 (18)</t>
  </si>
  <si>
    <t>Building 24</t>
  </si>
  <si>
    <t>Building 11 (3)</t>
  </si>
  <si>
    <t>mcp_roads_cross_02</t>
  </si>
  <si>
    <t>mcp_roads_turn_01</t>
  </si>
  <si>
    <t>Building 09 (4)</t>
  </si>
  <si>
    <t>Building 13 (1)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</si>
  <si>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</si>
  <si>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</si>
  <si>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</si>
  <si>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</si>
  <si>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</si>
  <si>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</si>
  <si>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</si>
  <si>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</si>
  <si>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</si>
  <si>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(24)</t>
  </si>
  <si>
    <t>Building 15 (34)</t>
  </si>
  <si>
    <t>Building 15 (22)</t>
  </si>
  <si>
    <t>Building 18 (5)</t>
  </si>
  <si>
    <t>Building 18 (9)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</si>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</sst>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10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"20190303162742231"</f>
        <v>20190303162742231</v>
      </c>
      <c r="B2" t="str">
        <f>"1551601662221747"</f>
        <v>1551601662221747</v>
      </c>
      <c r="C2" t="s">
        <v>40</v>
      </c>
      <c r="D2">
        <v>5.2851299999999997</v>
      </c>
      <c r="E2">
        <v>0.50478069999999997</v>
      </c>
      <c r="F2" t="s">
        <v>41</v>
      </c>
      <c r="G2">
        <v>-459.6986</v>
      </c>
      <c r="H2" s="1">
        <v>-6.5264420000000004E-7</v>
      </c>
      <c r="I2">
        <v>367.49650000000003</v>
      </c>
      <c r="J2">
        <v>-475.66919999999999</v>
      </c>
      <c r="K2">
        <v>1.1203299999999901</v>
      </c>
      <c r="L2">
        <v>367.06869999999998</v>
      </c>
      <c r="M2">
        <v>0.99996459999999998</v>
      </c>
      <c r="N2">
        <v>-8.4172640000000007E-3</v>
      </c>
      <c r="O2">
        <v>2.9898769999999998E-4</v>
      </c>
      <c r="P2">
        <v>0.99667830000000002</v>
      </c>
      <c r="Q2">
        <v>6.3445319999999999E-2</v>
      </c>
      <c r="R2">
        <v>5.1063280000000003E-2</v>
      </c>
      <c r="S2">
        <v>3.0178829999999999</v>
      </c>
      <c r="T2">
        <v>-0.2116121</v>
      </c>
      <c r="U2">
        <v>8.0841060000000006E-2</v>
      </c>
      <c r="V2">
        <v>-5.0778259999999999E-2</v>
      </c>
      <c r="W2">
        <v>7.1823049999999999E-2</v>
      </c>
      <c r="X2">
        <v>0.99612400000000001</v>
      </c>
      <c r="Y2">
        <v>-2.6406820000000001E-2</v>
      </c>
      <c r="Z2">
        <v>1.017404E-3</v>
      </c>
      <c r="AA2">
        <v>0.99965079999999995</v>
      </c>
      <c r="AB2">
        <v>1</v>
      </c>
      <c r="AC2">
        <v>15.9705999999999</v>
      </c>
      <c r="AD2">
        <v>-1.1203306526441901</v>
      </c>
      <c r="AE2">
        <v>0.42780000000004698</v>
      </c>
      <c r="AF2">
        <v>-0.420954782084208</v>
      </c>
      <c r="AG2">
        <v>-1.1203306526441901</v>
      </c>
      <c r="AH2">
        <v>15.892576514849599</v>
      </c>
      <c r="AI2">
        <v>94.030926673664197</v>
      </c>
      <c r="AJ2">
        <v>91.517267776595901</v>
      </c>
      <c r="AK2">
        <v>15.937576101156701</v>
      </c>
      <c r="AL2">
        <v>85.881296094991697</v>
      </c>
      <c r="AM2">
        <v>92.918174712611503</v>
      </c>
      <c r="AN2">
        <v>1.0000000027879601</v>
      </c>
    </row>
    <row r="3" spans="1:40" x14ac:dyDescent="0.25">
      <c r="A3" t="str">
        <f>"20190303162742254"</f>
        <v>20190303162742254</v>
      </c>
      <c r="B3" t="str">
        <f>"1551601662241267"</f>
        <v>1551601662241267</v>
      </c>
      <c r="C3" t="s">
        <v>40</v>
      </c>
      <c r="D3">
        <v>5.2774150000000004</v>
      </c>
      <c r="E3">
        <v>0.50509340000000003</v>
      </c>
      <c r="F3" t="s">
        <v>41</v>
      </c>
      <c r="G3">
        <v>-444.00130000000001</v>
      </c>
      <c r="H3" s="1">
        <v>-3.01982E-6</v>
      </c>
      <c r="I3">
        <v>368.46789999999999</v>
      </c>
      <c r="J3">
        <v>-475.65660000000003</v>
      </c>
      <c r="K3">
        <v>1.12016</v>
      </c>
      <c r="L3">
        <v>367.06889999999999</v>
      </c>
      <c r="M3">
        <v>0.99997380000000002</v>
      </c>
      <c r="N3">
        <v>-7.2328540000000004E-3</v>
      </c>
      <c r="O3">
        <v>5.2397589999999996E-4</v>
      </c>
      <c r="P3">
        <v>0.9965096</v>
      </c>
      <c r="Q3">
        <v>6.5420220000000001E-2</v>
      </c>
      <c r="R3">
        <v>5.1853940000000001E-2</v>
      </c>
      <c r="S3">
        <v>3.009979</v>
      </c>
      <c r="T3">
        <v>-0.1064857</v>
      </c>
      <c r="U3">
        <v>0.13299559999999999</v>
      </c>
      <c r="V3">
        <v>-5.1348129999999999E-2</v>
      </c>
      <c r="W3">
        <v>7.2614890000000001E-2</v>
      </c>
      <c r="X3">
        <v>0.99603739999999996</v>
      </c>
      <c r="Y3">
        <v>-4.3585760000000001E-2</v>
      </c>
      <c r="Z3">
        <v>9.1339019999999999E-4</v>
      </c>
      <c r="AA3">
        <v>0.99904919999999997</v>
      </c>
      <c r="AB3">
        <v>1</v>
      </c>
      <c r="AC3">
        <v>31.6553</v>
      </c>
      <c r="AD3">
        <v>-1.1201630198200001</v>
      </c>
      <c r="AE3">
        <v>1.399</v>
      </c>
      <c r="AF3">
        <v>-1.3806872513290001</v>
      </c>
      <c r="AG3">
        <v>-1.1201630198200001</v>
      </c>
      <c r="AH3">
        <v>31.616516063807101</v>
      </c>
      <c r="AI3">
        <v>92.027191896188299</v>
      </c>
      <c r="AJ3">
        <v>92.500507083633096</v>
      </c>
      <c r="AK3">
        <v>31.666467287809802</v>
      </c>
      <c r="AL3">
        <v>85.835808328865994</v>
      </c>
      <c r="AM3">
        <v>92.951123105946394</v>
      </c>
      <c r="AN3">
        <v>1.00000002745148</v>
      </c>
    </row>
    <row r="4" spans="1:40" x14ac:dyDescent="0.25">
      <c r="A4" t="str">
        <f>"20190303162742278"</f>
        <v>20190303162742278</v>
      </c>
      <c r="B4" t="str">
        <f>"1551601662272499"</f>
        <v>1551601662272499</v>
      </c>
      <c r="C4" t="s">
        <v>40</v>
      </c>
      <c r="D4">
        <v>5.3127329999999997</v>
      </c>
      <c r="E4">
        <v>0.5048473</v>
      </c>
      <c r="F4" t="s">
        <v>41</v>
      </c>
      <c r="G4">
        <v>-441.85820000000001</v>
      </c>
      <c r="H4" s="1">
        <v>-4.0166709999999998E-6</v>
      </c>
      <c r="I4">
        <v>368.5591</v>
      </c>
      <c r="J4">
        <v>-475.64089999999999</v>
      </c>
      <c r="K4">
        <v>1.119999</v>
      </c>
      <c r="L4">
        <v>367.06920000000002</v>
      </c>
      <c r="M4">
        <v>0.99998149999999997</v>
      </c>
      <c r="N4">
        <v>-6.0352590000000003E-3</v>
      </c>
      <c r="O4">
        <v>7.9481649999999903E-4</v>
      </c>
      <c r="P4">
        <v>0.99628479999999997</v>
      </c>
      <c r="Q4">
        <v>6.6242549999999997E-2</v>
      </c>
      <c r="R4">
        <v>5.5032659999999997E-2</v>
      </c>
      <c r="S4">
        <v>3.0101930000000001</v>
      </c>
      <c r="T4">
        <v>-9.9765419999999994E-2</v>
      </c>
      <c r="U4">
        <v>0.132720899999999</v>
      </c>
      <c r="V4">
        <v>-5.4258920000000002E-2</v>
      </c>
      <c r="W4">
        <v>7.224063E-2</v>
      </c>
      <c r="X4">
        <v>0.99591030000000003</v>
      </c>
      <c r="Y4">
        <v>-4.3225930000000003E-2</v>
      </c>
      <c r="Z4">
        <v>8.2478249999999999E-4</v>
      </c>
      <c r="AA4">
        <v>0.99906499999999998</v>
      </c>
      <c r="AB4">
        <v>1</v>
      </c>
      <c r="AC4">
        <v>33.782699999999899</v>
      </c>
      <c r="AD4">
        <v>-1.120003016671</v>
      </c>
      <c r="AE4">
        <v>1.48989999999997</v>
      </c>
      <c r="AF4">
        <v>-1.46144479192666</v>
      </c>
      <c r="AG4">
        <v>-1.120003016671</v>
      </c>
      <c r="AH4">
        <v>33.746853321754898</v>
      </c>
      <c r="AI4">
        <v>91.899077117168403</v>
      </c>
      <c r="AJ4">
        <v>92.479707686194899</v>
      </c>
      <c r="AK4">
        <v>33.797046272673597</v>
      </c>
      <c r="AL4">
        <v>85.857308333353501</v>
      </c>
      <c r="AM4">
        <v>93.118490358189106</v>
      </c>
      <c r="AN4">
        <v>1.00000003233422</v>
      </c>
    </row>
    <row r="5" spans="1:40" x14ac:dyDescent="0.25">
      <c r="A5" t="str">
        <f>"20190303162742299"</f>
        <v>20190303162742299</v>
      </c>
      <c r="B5" t="str">
        <f>"1551601662291043"</f>
        <v>1551601662291043</v>
      </c>
      <c r="C5" t="s">
        <v>40</v>
      </c>
      <c r="D5">
        <v>5.3090419999999998</v>
      </c>
      <c r="E5">
        <v>0.50431970000000004</v>
      </c>
      <c r="F5" t="s">
        <v>41</v>
      </c>
      <c r="G5">
        <v>-444.80290000000002</v>
      </c>
      <c r="H5" s="1">
        <v>-2.6279299999999998E-6</v>
      </c>
      <c r="I5">
        <v>368.541</v>
      </c>
      <c r="J5">
        <v>-475.62299999999999</v>
      </c>
      <c r="K5">
        <v>1.1198410000000001</v>
      </c>
      <c r="L5">
        <v>367.06959999999998</v>
      </c>
      <c r="M5">
        <v>0.99998739999999997</v>
      </c>
      <c r="N5">
        <v>-4.9134410000000002E-3</v>
      </c>
      <c r="O5">
        <v>1.1066839999999999E-3</v>
      </c>
      <c r="P5">
        <v>0.99565709999999996</v>
      </c>
      <c r="Q5">
        <v>7.2308600000000001E-2</v>
      </c>
      <c r="R5">
        <v>5.8637410000000001E-2</v>
      </c>
      <c r="S5">
        <v>3.010529</v>
      </c>
      <c r="T5">
        <v>-0.10933909999999999</v>
      </c>
      <c r="U5">
        <v>0.14367679999999999</v>
      </c>
      <c r="V5">
        <v>-5.7557650000000002E-2</v>
      </c>
      <c r="W5">
        <v>7.7183489999999993E-2</v>
      </c>
      <c r="X5">
        <v>0.99535410000000002</v>
      </c>
      <c r="Y5">
        <v>-4.6530820000000001E-2</v>
      </c>
      <c r="Z5">
        <v>9.2391339999999998E-4</v>
      </c>
      <c r="AA5">
        <v>0.99891640000000004</v>
      </c>
      <c r="AB5">
        <v>1</v>
      </c>
      <c r="AC5">
        <v>30.8201</v>
      </c>
      <c r="AD5">
        <v>-1.1198436279299999</v>
      </c>
      <c r="AE5">
        <v>1.47140000000001</v>
      </c>
      <c r="AF5">
        <v>-1.43539984277323</v>
      </c>
      <c r="AG5">
        <v>-1.1198436279299999</v>
      </c>
      <c r="AH5">
        <v>30.781163991053301</v>
      </c>
      <c r="AI5">
        <v>92.081288117958707</v>
      </c>
      <c r="AJ5">
        <v>92.669906061818395</v>
      </c>
      <c r="AK5">
        <v>30.8349554743276</v>
      </c>
      <c r="AL5">
        <v>85.573309060626002</v>
      </c>
      <c r="AM5">
        <v>93.3095176398744</v>
      </c>
      <c r="AN5">
        <v>0.99999997929445605</v>
      </c>
    </row>
    <row r="6" spans="1:40" x14ac:dyDescent="0.25">
      <c r="A6" t="str">
        <f>"20190303162742322"</f>
        <v>20190303162742322</v>
      </c>
      <c r="B6" t="str">
        <f>"1551601662313023"</f>
        <v>1551601662313023</v>
      </c>
      <c r="C6" t="s">
        <v>40</v>
      </c>
      <c r="D6">
        <v>5.29359</v>
      </c>
      <c r="E6">
        <v>0.50460569999999905</v>
      </c>
      <c r="F6" t="s">
        <v>42</v>
      </c>
      <c r="G6">
        <v>-433.31819999999999</v>
      </c>
      <c r="H6">
        <v>-0.05</v>
      </c>
      <c r="I6">
        <v>369.33499999999998</v>
      </c>
      <c r="J6">
        <v>-475.60109999999997</v>
      </c>
      <c r="K6">
        <v>1.119729</v>
      </c>
      <c r="L6">
        <v>367.07</v>
      </c>
      <c r="M6">
        <v>0.99999150000000003</v>
      </c>
      <c r="N6">
        <v>-3.8261800000000002E-3</v>
      </c>
      <c r="O6">
        <v>1.487387E-3</v>
      </c>
      <c r="P6">
        <v>0.99535589999999996</v>
      </c>
      <c r="Q6">
        <v>7.220915E-2</v>
      </c>
      <c r="R6">
        <v>6.3656699999999997E-2</v>
      </c>
      <c r="S6">
        <v>3.009674</v>
      </c>
      <c r="T6">
        <v>-8.3225610000000005E-2</v>
      </c>
      <c r="U6">
        <v>0.16116329999999901</v>
      </c>
      <c r="V6">
        <v>-6.2199740000000003E-2</v>
      </c>
      <c r="W6">
        <v>7.5997750000000003E-2</v>
      </c>
      <c r="X6">
        <v>0.99516610000000005</v>
      </c>
      <c r="Y6">
        <v>-5.1964360000000001E-2</v>
      </c>
      <c r="Z6">
        <v>7.8192520000000001E-4</v>
      </c>
      <c r="AA6">
        <v>0.9986486</v>
      </c>
      <c r="AB6">
        <v>2</v>
      </c>
      <c r="AC6">
        <v>42.282899999999898</v>
      </c>
      <c r="AD6">
        <v>-1.169729</v>
      </c>
      <c r="AE6">
        <v>2.2649999999999801</v>
      </c>
      <c r="AF6">
        <v>-2.20042678963839</v>
      </c>
      <c r="AG6">
        <v>-1.169729</v>
      </c>
      <c r="AH6">
        <v>42.253977052845798</v>
      </c>
      <c r="AI6">
        <v>91.583585805008198</v>
      </c>
      <c r="AJ6">
        <v>92.981053926449803</v>
      </c>
      <c r="AK6">
        <v>42.327399173259202</v>
      </c>
      <c r="AL6">
        <v>85.641447271601706</v>
      </c>
      <c r="AM6">
        <v>93.576440974414894</v>
      </c>
      <c r="AN6">
        <v>1.0000000161251601</v>
      </c>
    </row>
    <row r="7" spans="1:40" x14ac:dyDescent="0.25">
      <c r="A7" t="str">
        <f>"20190303162742344"</f>
        <v>20190303162742344</v>
      </c>
      <c r="B7" t="str">
        <f>"1551601662331566"</f>
        <v>1551601662331566</v>
      </c>
      <c r="C7" t="s">
        <v>40</v>
      </c>
      <c r="D7">
        <v>5.2198729999999998</v>
      </c>
      <c r="E7">
        <v>0.50514159999999997</v>
      </c>
      <c r="F7" t="s">
        <v>42</v>
      </c>
      <c r="G7">
        <v>-436.1499</v>
      </c>
      <c r="H7">
        <v>-0.05</v>
      </c>
      <c r="I7">
        <v>369.40460000000002</v>
      </c>
      <c r="J7">
        <v>-475.57819999999998</v>
      </c>
      <c r="K7">
        <v>1.1196820000000001</v>
      </c>
      <c r="L7">
        <v>367.07049999999998</v>
      </c>
      <c r="M7">
        <v>0.99999400000000005</v>
      </c>
      <c r="N7">
        <v>-2.943663E-3</v>
      </c>
      <c r="O7">
        <v>1.883596E-3</v>
      </c>
      <c r="P7">
        <v>0.99519029999999997</v>
      </c>
      <c r="Q7">
        <v>7.0683869999999996E-2</v>
      </c>
      <c r="R7">
        <v>6.7825910000000003E-2</v>
      </c>
      <c r="S7">
        <v>3.0091549999999998</v>
      </c>
      <c r="T7">
        <v>-8.9221480000000006E-2</v>
      </c>
      <c r="U7">
        <v>0.17807010000000001</v>
      </c>
      <c r="V7">
        <v>-6.5976160000000006E-2</v>
      </c>
      <c r="W7">
        <v>7.3591219999999999E-2</v>
      </c>
      <c r="X7">
        <v>0.99510379999999998</v>
      </c>
      <c r="Y7">
        <v>-5.7165489999999999E-2</v>
      </c>
      <c r="Z7">
        <v>8.8053640000000004E-4</v>
      </c>
      <c r="AA7">
        <v>0.99836429999999998</v>
      </c>
      <c r="AB7">
        <v>2</v>
      </c>
      <c r="AC7">
        <v>39.428299999999901</v>
      </c>
      <c r="AD7">
        <v>-1.1696819999999899</v>
      </c>
      <c r="AE7">
        <v>2.33410000000003</v>
      </c>
      <c r="AF7">
        <v>-2.2578484215107602</v>
      </c>
      <c r="AG7">
        <v>-1.1696819999999899</v>
      </c>
      <c r="AH7">
        <v>39.398074415662101</v>
      </c>
      <c r="AI7">
        <v>91.697760037684503</v>
      </c>
      <c r="AJ7">
        <v>93.279953196730503</v>
      </c>
      <c r="AK7">
        <v>39.480049431804098</v>
      </c>
      <c r="AL7">
        <v>85.779718748701796</v>
      </c>
      <c r="AM7">
        <v>93.793203434303905</v>
      </c>
      <c r="AN7">
        <v>1.0000000470619299</v>
      </c>
    </row>
    <row r="8" spans="1:40" x14ac:dyDescent="0.25">
      <c r="A8" t="str">
        <f>"20190303162742365"</f>
        <v>20190303162742365</v>
      </c>
      <c r="B8" t="str">
        <f>"1551601662361824"</f>
        <v>1551601662361824</v>
      </c>
      <c r="C8" t="s">
        <v>40</v>
      </c>
      <c r="D8">
        <v>11.041270000000001</v>
      </c>
      <c r="E8">
        <v>0.50578049999999997</v>
      </c>
      <c r="F8" t="s">
        <v>41</v>
      </c>
      <c r="G8">
        <v>-441.23610000000002</v>
      </c>
      <c r="H8" s="1">
        <v>-4.2019740000000003E-6</v>
      </c>
      <c r="I8">
        <v>369.17250000000001</v>
      </c>
      <c r="J8">
        <v>-475.55180000000001</v>
      </c>
      <c r="K8">
        <v>1.119658</v>
      </c>
      <c r="L8">
        <v>367.07100000000003</v>
      </c>
      <c r="M8">
        <v>0.99999490000000002</v>
      </c>
      <c r="N8">
        <v>-2.1612480000000002E-3</v>
      </c>
      <c r="O8">
        <v>2.3326509999999998E-3</v>
      </c>
      <c r="P8">
        <v>0.99519590000000002</v>
      </c>
      <c r="Q8">
        <v>6.6565860000000004E-2</v>
      </c>
      <c r="R8">
        <v>7.1793300000000004E-2</v>
      </c>
      <c r="S8">
        <v>3.0089419999999998</v>
      </c>
      <c r="T8">
        <v>-9.8103170000000003E-2</v>
      </c>
      <c r="U8">
        <v>0.18417359999999999</v>
      </c>
      <c r="V8">
        <v>-6.9496710000000003E-2</v>
      </c>
      <c r="W8">
        <v>6.8691779999999994E-2</v>
      </c>
      <c r="X8">
        <v>0.9952143</v>
      </c>
      <c r="Y8">
        <v>-5.8733880000000002E-2</v>
      </c>
      <c r="Z8">
        <v>9.4894909999999996E-4</v>
      </c>
      <c r="AA8">
        <v>0.99827330000000003</v>
      </c>
      <c r="AB8">
        <v>2</v>
      </c>
      <c r="AC8">
        <v>34.3156999999999</v>
      </c>
      <c r="AD8">
        <v>-1.1196622019739999</v>
      </c>
      <c r="AE8">
        <v>2.1015000000000401</v>
      </c>
      <c r="AF8">
        <v>-2.0193058103261001</v>
      </c>
      <c r="AG8">
        <v>-1.1196622019739999</v>
      </c>
      <c r="AH8">
        <v>34.284146032842202</v>
      </c>
      <c r="AI8">
        <v>91.867284593163504</v>
      </c>
      <c r="AJ8">
        <v>93.370776363423502</v>
      </c>
      <c r="AK8">
        <v>34.3618088668713</v>
      </c>
      <c r="AL8">
        <v>86.0611488661133</v>
      </c>
      <c r="AM8">
        <v>93.994531339128898</v>
      </c>
      <c r="AN8">
        <v>0.99999992813243799</v>
      </c>
    </row>
    <row r="9" spans="1:40" x14ac:dyDescent="0.25">
      <c r="A9" t="str">
        <f>"20190303162742388"</f>
        <v>20190303162742388</v>
      </c>
      <c r="B9" t="str">
        <f>"1551601662381343"</f>
        <v>1551601662381343</v>
      </c>
      <c r="C9" t="s">
        <v>40</v>
      </c>
      <c r="D9">
        <v>5.2115260000000001</v>
      </c>
      <c r="E9">
        <v>0.50640949999999996</v>
      </c>
      <c r="F9" t="s">
        <v>41</v>
      </c>
      <c r="G9">
        <v>-444.97129999999999</v>
      </c>
      <c r="H9" s="1">
        <v>-2.4668779999999999E-6</v>
      </c>
      <c r="I9">
        <v>369.00009999999997</v>
      </c>
      <c r="J9">
        <v>-475.5215</v>
      </c>
      <c r="K9">
        <v>1.119653</v>
      </c>
      <c r="L9">
        <v>367.07170000000002</v>
      </c>
      <c r="M9">
        <v>0.99999510000000003</v>
      </c>
      <c r="N9">
        <v>-1.442374E-3</v>
      </c>
      <c r="O9">
        <v>2.8413090000000002E-3</v>
      </c>
      <c r="P9">
        <v>0.99542699999999995</v>
      </c>
      <c r="Q9">
        <v>6.234754E-2</v>
      </c>
      <c r="R9">
        <v>7.2375220000000004E-2</v>
      </c>
      <c r="S9">
        <v>3.0081479999999998</v>
      </c>
      <c r="T9">
        <v>-0.110138899999999</v>
      </c>
      <c r="U9">
        <v>0.18975829999999999</v>
      </c>
      <c r="V9">
        <v>-6.9571259999999996E-2</v>
      </c>
      <c r="W9">
        <v>6.3756889999999997E-2</v>
      </c>
      <c r="X9">
        <v>0.99553749999999996</v>
      </c>
      <c r="Y9">
        <v>-6.0080450000000001E-2</v>
      </c>
      <c r="Z9">
        <v>1.0420099999999999E-3</v>
      </c>
      <c r="AA9">
        <v>0.998193</v>
      </c>
      <c r="AB9">
        <v>3</v>
      </c>
      <c r="AC9">
        <v>30.5502</v>
      </c>
      <c r="AD9">
        <v>-1.1196554668780001</v>
      </c>
      <c r="AE9">
        <v>1.9283999999999499</v>
      </c>
      <c r="AF9">
        <v>-1.8391290683028401</v>
      </c>
      <c r="AG9">
        <v>-1.1196554668780001</v>
      </c>
      <c r="AH9">
        <v>30.514731143395</v>
      </c>
      <c r="AI9">
        <v>92.097568003577507</v>
      </c>
      <c r="AJ9">
        <v>93.449056122962801</v>
      </c>
      <c r="AK9">
        <v>30.590600531013799</v>
      </c>
      <c r="AL9">
        <v>86.344519905688898</v>
      </c>
      <c r="AM9">
        <v>93.997508433064596</v>
      </c>
      <c r="AN9">
        <v>1.0000000075733499</v>
      </c>
    </row>
    <row r="10" spans="1:40" x14ac:dyDescent="0.25">
      <c r="A10" t="str">
        <f>"20190303162742410"</f>
        <v>20190303162742410</v>
      </c>
      <c r="B10" t="str">
        <f>"1551601662401369"</f>
        <v>1551601662401369</v>
      </c>
      <c r="C10" t="s">
        <v>40</v>
      </c>
      <c r="D10">
        <v>5.2122279999999996</v>
      </c>
      <c r="E10">
        <v>0.50694640000000002</v>
      </c>
      <c r="F10" t="s">
        <v>41</v>
      </c>
      <c r="G10">
        <v>-447.66579999999999</v>
      </c>
      <c r="H10" s="1">
        <v>-1.2355770000000001E-6</v>
      </c>
      <c r="I10">
        <v>368.76100000000002</v>
      </c>
      <c r="J10">
        <v>-475.48899999999998</v>
      </c>
      <c r="K10">
        <v>1.119642</v>
      </c>
      <c r="L10">
        <v>367.07229999999998</v>
      </c>
      <c r="M10">
        <v>0.99999400000000005</v>
      </c>
      <c r="N10">
        <v>-8.1151649999999895E-4</v>
      </c>
      <c r="O10">
        <v>3.3793009999999999E-3</v>
      </c>
      <c r="P10">
        <v>0.99542200000000003</v>
      </c>
      <c r="Q10">
        <v>6.4735150000000005E-2</v>
      </c>
      <c r="R10">
        <v>7.0319560000000003E-2</v>
      </c>
      <c r="S10">
        <v>3.0081180000000001</v>
      </c>
      <c r="T10">
        <v>-0.1209108</v>
      </c>
      <c r="U10">
        <v>0.18243409999999999</v>
      </c>
      <c r="V10">
        <v>-6.6981449999999998E-2</v>
      </c>
      <c r="W10">
        <v>6.5517019999999995E-2</v>
      </c>
      <c r="X10">
        <v>0.99560079999999995</v>
      </c>
      <c r="Y10">
        <v>-5.7118309999999999E-2</v>
      </c>
      <c r="Z10">
        <v>1.0367130000000001E-3</v>
      </c>
      <c r="AA10">
        <v>0.99836689999999995</v>
      </c>
      <c r="AB10">
        <v>3</v>
      </c>
      <c r="AC10">
        <v>27.8232</v>
      </c>
      <c r="AD10">
        <v>-1.1196432355769901</v>
      </c>
      <c r="AE10">
        <v>1.6886999999999801</v>
      </c>
      <c r="AF10">
        <v>-1.5920986341863801</v>
      </c>
      <c r="AG10">
        <v>-1.1196432355769901</v>
      </c>
      <c r="AH10">
        <v>27.783920541537999</v>
      </c>
      <c r="AI10">
        <v>92.303895342633396</v>
      </c>
      <c r="AJ10">
        <v>93.279626570431304</v>
      </c>
      <c r="AK10">
        <v>27.852012848166801</v>
      </c>
      <c r="AL10">
        <v>86.243460414873496</v>
      </c>
      <c r="AM10">
        <v>93.848911985409202</v>
      </c>
      <c r="AN10">
        <v>0.99999997375721095</v>
      </c>
    </row>
    <row r="11" spans="1:40" x14ac:dyDescent="0.25">
      <c r="A11" t="str">
        <f>"20190303162742432"</f>
        <v>20190303162742432</v>
      </c>
      <c r="B11" t="str">
        <f>"1551601662421865"</f>
        <v>1551601662421865</v>
      </c>
      <c r="C11" t="s">
        <v>40</v>
      </c>
      <c r="D11">
        <v>5.1742080000000001</v>
      </c>
      <c r="E11">
        <v>0.50724139999999995</v>
      </c>
      <c r="F11" t="s">
        <v>41</v>
      </c>
      <c r="G11">
        <v>-445.2586</v>
      </c>
      <c r="H11" s="1">
        <v>-2.370447E-6</v>
      </c>
      <c r="I11">
        <v>368.77820000000003</v>
      </c>
      <c r="J11">
        <v>-475.45350000000002</v>
      </c>
      <c r="K11">
        <v>1.119615</v>
      </c>
      <c r="L11">
        <v>367.07310000000001</v>
      </c>
      <c r="M11">
        <v>0.99999229999999995</v>
      </c>
      <c r="N11">
        <v>-2.4367949999999999E-4</v>
      </c>
      <c r="O11">
        <v>3.9532120000000002E-3</v>
      </c>
      <c r="P11">
        <v>0.99522999999999995</v>
      </c>
      <c r="Q11">
        <v>6.9756479999999996E-2</v>
      </c>
      <c r="R11">
        <v>6.8202239999999997E-2</v>
      </c>
      <c r="S11">
        <v>3.0090330000000001</v>
      </c>
      <c r="T11">
        <v>-0.1114458</v>
      </c>
      <c r="U11">
        <v>0.169799799999999</v>
      </c>
      <c r="V11">
        <v>-6.4295550000000007E-2</v>
      </c>
      <c r="W11">
        <v>6.9973289999999994E-2</v>
      </c>
      <c r="X11">
        <v>0.99547470000000005</v>
      </c>
      <c r="Y11">
        <v>-5.2359660000000002E-2</v>
      </c>
      <c r="Z11">
        <v>8.2962649999999895E-4</v>
      </c>
      <c r="AA11">
        <v>0.99862799999999996</v>
      </c>
      <c r="AB11">
        <v>3</v>
      </c>
      <c r="AC11">
        <v>30.194900000000001</v>
      </c>
      <c r="AD11">
        <v>-1.119617370447</v>
      </c>
      <c r="AE11">
        <v>1.7051000000000101</v>
      </c>
      <c r="AF11">
        <v>-1.5835495426991</v>
      </c>
      <c r="AG11">
        <v>-1.119617370447</v>
      </c>
      <c r="AH11">
        <v>30.160069320477199</v>
      </c>
      <c r="AI11">
        <v>92.123065021907394</v>
      </c>
      <c r="AJ11">
        <v>93.005545773759295</v>
      </c>
      <c r="AK11">
        <v>30.222358505357999</v>
      </c>
      <c r="AL11">
        <v>85.987547029368798</v>
      </c>
      <c r="AM11">
        <v>93.695477062066999</v>
      </c>
      <c r="AN11">
        <v>1.0000000287016499</v>
      </c>
    </row>
    <row r="12" spans="1:40" x14ac:dyDescent="0.25">
      <c r="A12" t="str">
        <f>"20190303162742455"</f>
        <v>20190303162742455</v>
      </c>
      <c r="B12" t="str">
        <f>"1551601662441385"</f>
        <v>1551601662441385</v>
      </c>
      <c r="C12" t="s">
        <v>40</v>
      </c>
      <c r="D12">
        <v>5.1722229999999998</v>
      </c>
      <c r="E12">
        <v>0.50748749999999998</v>
      </c>
      <c r="F12" t="s">
        <v>42</v>
      </c>
      <c r="G12">
        <v>-436.94130000000001</v>
      </c>
      <c r="H12">
        <v>-0.05</v>
      </c>
      <c r="I12">
        <v>369.16660000000002</v>
      </c>
      <c r="J12">
        <v>-475.4153</v>
      </c>
      <c r="K12">
        <v>1.1195809999999999</v>
      </c>
      <c r="L12">
        <v>367.07389999999998</v>
      </c>
      <c r="M12">
        <v>0.99998960000000003</v>
      </c>
      <c r="N12">
        <v>2.6585600000000002E-4</v>
      </c>
      <c r="O12">
        <v>4.5588679999999998E-3</v>
      </c>
      <c r="P12">
        <v>0.99521329999999997</v>
      </c>
      <c r="Q12">
        <v>7.2174790000000003E-2</v>
      </c>
      <c r="R12">
        <v>6.5888810000000006E-2</v>
      </c>
      <c r="S12">
        <v>3.0095830000000001</v>
      </c>
      <c r="T12">
        <v>-9.1401099999999999E-2</v>
      </c>
      <c r="U12">
        <v>0.16360469999999999</v>
      </c>
      <c r="V12">
        <v>-6.1379980000000001E-2</v>
      </c>
      <c r="W12">
        <v>7.1885350000000001E-2</v>
      </c>
      <c r="X12">
        <v>0.99552249999999998</v>
      </c>
      <c r="Y12">
        <v>-4.9707910000000001E-2</v>
      </c>
      <c r="Z12">
        <v>6.0794599999999897E-4</v>
      </c>
      <c r="AA12">
        <v>0.99876359999999997</v>
      </c>
      <c r="AB12">
        <v>4</v>
      </c>
      <c r="AC12">
        <v>38.473999999999897</v>
      </c>
      <c r="AD12">
        <v>-1.169581</v>
      </c>
      <c r="AE12">
        <v>2.09270000000003</v>
      </c>
      <c r="AF12">
        <v>-1.91551542989986</v>
      </c>
      <c r="AG12">
        <v>-1.169581</v>
      </c>
      <c r="AH12">
        <v>38.447715237899899</v>
      </c>
      <c r="AI12">
        <v>91.740245405790006</v>
      </c>
      <c r="AJ12">
        <v>92.852192320827399</v>
      </c>
      <c r="AK12">
        <v>38.5131656202445</v>
      </c>
      <c r="AL12">
        <v>85.877717416260694</v>
      </c>
      <c r="AM12">
        <v>93.528164944459107</v>
      </c>
      <c r="AN12">
        <v>1.00000002674783</v>
      </c>
    </row>
    <row r="13" spans="1:40" x14ac:dyDescent="0.25">
      <c r="A13" t="str">
        <f>"20190303162742479"</f>
        <v>20190303162742479</v>
      </c>
      <c r="B13" t="str">
        <f>"1551601662471642"</f>
        <v>1551601662471642</v>
      </c>
      <c r="C13" t="s">
        <v>40</v>
      </c>
      <c r="D13">
        <v>5.1479569999999999</v>
      </c>
      <c r="E13">
        <v>0.50807650000000004</v>
      </c>
      <c r="F13" t="s">
        <v>42</v>
      </c>
      <c r="G13">
        <v>-432.17840000000001</v>
      </c>
      <c r="H13">
        <v>-0.05</v>
      </c>
      <c r="I13">
        <v>369.30200000000002</v>
      </c>
      <c r="J13">
        <v>-475.37079999999997</v>
      </c>
      <c r="K13">
        <v>1.1195569999999999</v>
      </c>
      <c r="L13">
        <v>367.07490000000001</v>
      </c>
      <c r="M13">
        <v>0.99998600000000004</v>
      </c>
      <c r="N13">
        <v>7.6100219999999995E-4</v>
      </c>
      <c r="O13">
        <v>5.2478480000000003E-3</v>
      </c>
      <c r="P13">
        <v>0.99517420000000001</v>
      </c>
      <c r="Q13">
        <v>7.1387409999999998E-2</v>
      </c>
      <c r="R13">
        <v>6.7324499999999995E-2</v>
      </c>
      <c r="S13">
        <v>3.0100709999999999</v>
      </c>
      <c r="T13">
        <v>-8.1423880000000004E-2</v>
      </c>
      <c r="U13">
        <v>0.155120799999999</v>
      </c>
      <c r="V13">
        <v>-6.2129999999999998E-2</v>
      </c>
      <c r="W13">
        <v>7.0604490000000006E-2</v>
      </c>
      <c r="X13">
        <v>0.9955676</v>
      </c>
      <c r="Y13">
        <v>-4.6209699999999999E-2</v>
      </c>
      <c r="Z13">
        <v>4.6104959999999998E-4</v>
      </c>
      <c r="AA13">
        <v>0.99893160000000003</v>
      </c>
      <c r="AB13">
        <v>4</v>
      </c>
      <c r="AC13">
        <v>43.1923999999999</v>
      </c>
      <c r="AD13">
        <v>-1.169557</v>
      </c>
      <c r="AE13">
        <v>2.2270999999999499</v>
      </c>
      <c r="AF13">
        <v>-1.9989403747914101</v>
      </c>
      <c r="AG13">
        <v>-1.169557</v>
      </c>
      <c r="AH13">
        <v>43.171922591958598</v>
      </c>
      <c r="AI13">
        <v>91.550142477423293</v>
      </c>
      <c r="AJ13">
        <v>92.651007856437602</v>
      </c>
      <c r="AK13">
        <v>43.233997345657102</v>
      </c>
      <c r="AL13">
        <v>85.951292101158998</v>
      </c>
      <c r="AM13">
        <v>93.571004372275198</v>
      </c>
      <c r="AN13">
        <v>0.99999998853895999</v>
      </c>
    </row>
    <row r="14" spans="1:40" x14ac:dyDescent="0.25">
      <c r="A14" t="str">
        <f>"20190303162742502"</f>
        <v>20190303162742502</v>
      </c>
      <c r="B14" t="str">
        <f>"1551601662491161"</f>
        <v>1551601662491161</v>
      </c>
      <c r="C14" t="s">
        <v>40</v>
      </c>
      <c r="D14">
        <v>5.1239949999999999</v>
      </c>
      <c r="E14">
        <v>0.50845059999999997</v>
      </c>
      <c r="F14" t="s">
        <v>42</v>
      </c>
      <c r="G14">
        <v>-431.04169999999999</v>
      </c>
      <c r="H14">
        <v>-0.05</v>
      </c>
      <c r="I14">
        <v>369.32839999999999</v>
      </c>
      <c r="J14">
        <v>-475.32490000000001</v>
      </c>
      <c r="K14">
        <v>1.1195170000000001</v>
      </c>
      <c r="L14">
        <v>367.07589999999999</v>
      </c>
      <c r="M14">
        <v>0.99998180000000003</v>
      </c>
      <c r="N14">
        <v>1.189255E-3</v>
      </c>
      <c r="O14">
        <v>5.9411730000000001E-3</v>
      </c>
      <c r="P14">
        <v>0.9947222</v>
      </c>
      <c r="Q14">
        <v>7.3028239999999994E-2</v>
      </c>
      <c r="R14">
        <v>7.2075440000000005E-2</v>
      </c>
      <c r="S14">
        <v>3.0099179999999999</v>
      </c>
      <c r="T14">
        <v>-7.9412099999999999E-2</v>
      </c>
      <c r="U14">
        <v>0.15301509999999999</v>
      </c>
      <c r="V14">
        <v>-6.6193039999999995E-2</v>
      </c>
      <c r="W14">
        <v>7.1817809999999996E-2</v>
      </c>
      <c r="X14">
        <v>0.99521890000000002</v>
      </c>
      <c r="Y14">
        <v>-4.48244E-2</v>
      </c>
      <c r="Z14">
        <v>4.0047839999999998E-4</v>
      </c>
      <c r="AA14">
        <v>0.99899479999999996</v>
      </c>
      <c r="AB14">
        <v>4</v>
      </c>
      <c r="AC14">
        <v>44.283200000000001</v>
      </c>
      <c r="AD14">
        <v>-1.1695169999999999</v>
      </c>
      <c r="AE14">
        <v>2.2524999999999902</v>
      </c>
      <c r="AF14">
        <v>-1.987982937922</v>
      </c>
      <c r="AG14">
        <v>-1.1695169999999999</v>
      </c>
      <c r="AH14">
        <v>44.265006430239602</v>
      </c>
      <c r="AI14">
        <v>91.511925096989003</v>
      </c>
      <c r="AJ14">
        <v>92.571479217950497</v>
      </c>
      <c r="AK14">
        <v>44.325056575755397</v>
      </c>
      <c r="AL14">
        <v>85.881597039740598</v>
      </c>
      <c r="AM14">
        <v>93.8051972130461</v>
      </c>
      <c r="AN14">
        <v>0.99999998764742304</v>
      </c>
    </row>
    <row r="15" spans="1:40" x14ac:dyDescent="0.25">
      <c r="A15" t="str">
        <f>"20190303162742521"</f>
        <v>20190303162742521</v>
      </c>
      <c r="B15" t="str">
        <f>"1551601662511187"</f>
        <v>1551601662511187</v>
      </c>
      <c r="C15" t="s">
        <v>40</v>
      </c>
      <c r="D15">
        <v>5.016902</v>
      </c>
      <c r="E15">
        <v>0.50862909999999995</v>
      </c>
      <c r="F15" t="s">
        <v>42</v>
      </c>
      <c r="G15">
        <v>-427.07130000000001</v>
      </c>
      <c r="H15">
        <v>-0.05</v>
      </c>
      <c r="I15">
        <v>369.71730000000002</v>
      </c>
      <c r="J15">
        <v>-475.28250000000003</v>
      </c>
      <c r="K15">
        <v>1.1194740000000001</v>
      </c>
      <c r="L15">
        <v>367.07679999999999</v>
      </c>
      <c r="M15">
        <v>0.99997740000000002</v>
      </c>
      <c r="N15">
        <v>1.5242910000000001E-3</v>
      </c>
      <c r="O15">
        <v>6.5599930000000001E-3</v>
      </c>
      <c r="P15">
        <v>0.99443919999999997</v>
      </c>
      <c r="Q15">
        <v>7.2877999999999998E-2</v>
      </c>
      <c r="R15">
        <v>7.6023270000000004E-2</v>
      </c>
      <c r="S15">
        <v>3.0093380000000001</v>
      </c>
      <c r="T15">
        <v>-7.2937009999999997E-2</v>
      </c>
      <c r="U15">
        <v>0.16473389999999999</v>
      </c>
      <c r="V15">
        <v>-6.9526969999999993E-2</v>
      </c>
      <c r="W15">
        <v>7.1333640000000004E-2</v>
      </c>
      <c r="X15">
        <v>0.99502639999999998</v>
      </c>
      <c r="Y15">
        <v>-4.8096680000000003E-2</v>
      </c>
      <c r="Z15">
        <v>3.7681219999999998E-4</v>
      </c>
      <c r="AA15">
        <v>0.99884260000000002</v>
      </c>
      <c r="AB15">
        <v>4</v>
      </c>
      <c r="AC15">
        <v>48.211199999999998</v>
      </c>
      <c r="AD15">
        <v>-1.1694739999999999</v>
      </c>
      <c r="AE15">
        <v>2.64050000000003</v>
      </c>
      <c r="AF15">
        <v>-2.3228150109197001</v>
      </c>
      <c r="AG15">
        <v>-1.1694739999999999</v>
      </c>
      <c r="AH15">
        <v>48.1992079024118</v>
      </c>
      <c r="AI15">
        <v>91.388303966004401</v>
      </c>
      <c r="AJ15">
        <v>92.759062138595993</v>
      </c>
      <c r="AK15">
        <v>48.269315112517901</v>
      </c>
      <c r="AL15">
        <v>85.909409372321505</v>
      </c>
      <c r="AM15">
        <v>93.997017194787801</v>
      </c>
      <c r="AN15">
        <v>1.0000000122249899</v>
      </c>
    </row>
    <row r="16" spans="1:40" x14ac:dyDescent="0.25">
      <c r="A16" t="str">
        <f>"20190303162742544"</f>
        <v>20190303162742544</v>
      </c>
      <c r="B16" t="str">
        <f>"1551601662541443"</f>
        <v>1551601662541443</v>
      </c>
      <c r="C16" t="s">
        <v>40</v>
      </c>
      <c r="D16">
        <v>4.9690750000000001</v>
      </c>
      <c r="E16">
        <v>0.51007630000000004</v>
      </c>
      <c r="F16" t="s">
        <v>42</v>
      </c>
      <c r="G16">
        <v>-427.41719999999998</v>
      </c>
      <c r="H16">
        <v>-0.05</v>
      </c>
      <c r="I16">
        <v>369.88839999999999</v>
      </c>
      <c r="J16">
        <v>-475.23270000000002</v>
      </c>
      <c r="K16">
        <v>1.1194219999999999</v>
      </c>
      <c r="L16">
        <v>367.0779</v>
      </c>
      <c r="M16">
        <v>0.99997190000000002</v>
      </c>
      <c r="N16">
        <v>1.867217E-3</v>
      </c>
      <c r="O16">
        <v>7.2663099999999998E-3</v>
      </c>
      <c r="P16">
        <v>0.994417</v>
      </c>
      <c r="Q16">
        <v>7.0046709999999998E-2</v>
      </c>
      <c r="R16">
        <v>7.8921099999999994E-2</v>
      </c>
      <c r="S16">
        <v>3.008667</v>
      </c>
      <c r="T16">
        <v>-7.3509569999999996E-2</v>
      </c>
      <c r="U16">
        <v>0.1767273</v>
      </c>
      <c r="V16">
        <v>-7.1720539999999999E-2</v>
      </c>
      <c r="W16">
        <v>6.8160879999999993E-2</v>
      </c>
      <c r="X16">
        <v>0.99509309999999995</v>
      </c>
      <c r="Y16">
        <v>-5.1371359999999998E-2</v>
      </c>
      <c r="Z16">
        <v>3.8802589999999999E-4</v>
      </c>
      <c r="AA16">
        <v>0.99867950000000005</v>
      </c>
      <c r="AB16">
        <v>5</v>
      </c>
      <c r="AC16">
        <v>47.8155</v>
      </c>
      <c r="AD16">
        <v>-1.169422</v>
      </c>
      <c r="AE16">
        <v>2.81049999999999</v>
      </c>
      <c r="AF16">
        <v>-2.46151569666449</v>
      </c>
      <c r="AG16">
        <v>-1.169422</v>
      </c>
      <c r="AH16">
        <v>47.806163189737099</v>
      </c>
      <c r="AI16">
        <v>91.3994220022973</v>
      </c>
      <c r="AJ16">
        <v>92.947528387574593</v>
      </c>
      <c r="AK16">
        <v>47.883774352726</v>
      </c>
      <c r="AL16">
        <v>86.091638979534395</v>
      </c>
      <c r="AM16">
        <v>94.122419154114496</v>
      </c>
      <c r="AN16">
        <v>1.0000000095439301</v>
      </c>
    </row>
    <row r="17" spans="1:40" x14ac:dyDescent="0.25">
      <c r="A17" t="str">
        <f>"20190303162742566"</f>
        <v>20190303162742566</v>
      </c>
      <c r="B17" t="str">
        <f>"1551601662561939"</f>
        <v>1551601662561939</v>
      </c>
      <c r="C17" t="s">
        <v>40</v>
      </c>
      <c r="D17">
        <v>5.8697470000000003</v>
      </c>
      <c r="E17">
        <v>0.51077539999999999</v>
      </c>
      <c r="F17" t="s">
        <v>42</v>
      </c>
      <c r="G17">
        <v>-428.51940000000002</v>
      </c>
      <c r="H17">
        <v>-0.05</v>
      </c>
      <c r="I17">
        <v>369.76319999999998</v>
      </c>
      <c r="J17">
        <v>-475.1789</v>
      </c>
      <c r="K17">
        <v>1.119354</v>
      </c>
      <c r="L17">
        <v>367.07920000000001</v>
      </c>
      <c r="M17">
        <v>0.99996560000000001</v>
      </c>
      <c r="N17">
        <v>2.1848729999999999E-3</v>
      </c>
      <c r="O17">
        <v>8.0013310000000004E-3</v>
      </c>
      <c r="P17">
        <v>0.99433059999999995</v>
      </c>
      <c r="Q17">
        <v>6.7537739999999999E-2</v>
      </c>
      <c r="R17">
        <v>8.2130430000000004E-2</v>
      </c>
      <c r="S17">
        <v>3.0084840000000002</v>
      </c>
      <c r="T17">
        <v>-7.5314519999999996E-2</v>
      </c>
      <c r="U17">
        <v>0.17294309999999999</v>
      </c>
      <c r="V17">
        <v>-7.4197020000000002E-2</v>
      </c>
      <c r="W17">
        <v>6.5335270000000001E-2</v>
      </c>
      <c r="X17">
        <v>0.99510100000000001</v>
      </c>
      <c r="Y17">
        <v>-4.9389280000000001E-2</v>
      </c>
      <c r="Z17">
        <v>3.4603169999999998E-4</v>
      </c>
      <c r="AA17">
        <v>0.99877950000000004</v>
      </c>
      <c r="AB17">
        <v>5</v>
      </c>
      <c r="AC17">
        <v>46.659499999999902</v>
      </c>
      <c r="AD17">
        <v>-1.169354</v>
      </c>
      <c r="AE17">
        <v>2.6839999999999602</v>
      </c>
      <c r="AF17">
        <v>-2.30912956143538</v>
      </c>
      <c r="AG17">
        <v>-1.169354</v>
      </c>
      <c r="AH17">
        <v>46.650278725802799</v>
      </c>
      <c r="AI17">
        <v>91.434142466185904</v>
      </c>
      <c r="AJ17">
        <v>92.833755492108395</v>
      </c>
      <c r="AK17">
        <v>46.722028779836798</v>
      </c>
      <c r="AL17">
        <v>86.253896185233998</v>
      </c>
      <c r="AM17">
        <v>94.264214470854697</v>
      </c>
      <c r="AN17">
        <v>0.99999994774192502</v>
      </c>
    </row>
    <row r="18" spans="1:40" x14ac:dyDescent="0.25">
      <c r="A18" t="str">
        <f>"20190303162742655"</f>
        <v>20190303162742655</v>
      </c>
      <c r="B18" t="str">
        <f>"1551601662651732"</f>
        <v>1551601662651732</v>
      </c>
      <c r="C18" t="s">
        <v>40</v>
      </c>
      <c r="D18">
        <v>5.7702220000000004</v>
      </c>
      <c r="E18">
        <v>0.51482899999999998</v>
      </c>
      <c r="F18" t="s">
        <v>42</v>
      </c>
      <c r="G18">
        <v>-433.3895</v>
      </c>
      <c r="H18">
        <v>-0.05</v>
      </c>
      <c r="I18">
        <v>369.55169999999998</v>
      </c>
      <c r="J18">
        <v>-474.93639999999999</v>
      </c>
      <c r="K18">
        <v>1.1191359999999999</v>
      </c>
      <c r="L18">
        <v>367.0847</v>
      </c>
      <c r="M18">
        <v>0.99993449999999995</v>
      </c>
      <c r="N18">
        <v>3.226993E-3</v>
      </c>
      <c r="O18">
        <v>1.099083E-2</v>
      </c>
      <c r="P18">
        <v>0.99424820000000003</v>
      </c>
      <c r="Q18">
        <v>6.5299410000000002E-2</v>
      </c>
      <c r="R18">
        <v>8.4892389999999998E-2</v>
      </c>
      <c r="S18">
        <v>3.0081180000000001</v>
      </c>
      <c r="T18">
        <v>-8.4173319999999996E-2</v>
      </c>
      <c r="U18">
        <v>0.17797850000000001</v>
      </c>
      <c r="V18">
        <v>-7.3981889999999995E-2</v>
      </c>
      <c r="W18">
        <v>6.2060810000000001E-2</v>
      </c>
      <c r="X18">
        <v>0.99532659999999995</v>
      </c>
      <c r="Y18">
        <v>-4.8076279999999999E-2</v>
      </c>
      <c r="Z18">
        <v>2.5164570000000002E-4</v>
      </c>
      <c r="AA18">
        <v>0.99884360000000005</v>
      </c>
      <c r="AB18">
        <v>6</v>
      </c>
      <c r="AC18">
        <v>41.546900000000001</v>
      </c>
      <c r="AD18">
        <v>-1.169136</v>
      </c>
      <c r="AE18">
        <v>2.4669999999999801</v>
      </c>
      <c r="AF18">
        <v>-2.0086287654763302</v>
      </c>
      <c r="AG18">
        <v>-1.169136</v>
      </c>
      <c r="AH18">
        <v>41.538727393519601</v>
      </c>
      <c r="AI18">
        <v>91.610322835381595</v>
      </c>
      <c r="AJ18">
        <v>92.768413559893901</v>
      </c>
      <c r="AK18">
        <v>41.603693850151501</v>
      </c>
      <c r="AL18">
        <v>86.441890811243894</v>
      </c>
      <c r="AM18">
        <v>94.250935835156</v>
      </c>
      <c r="AN18">
        <v>0.99999995242669204</v>
      </c>
    </row>
    <row r="19" spans="1:40" x14ac:dyDescent="0.25">
      <c r="A19" t="str">
        <f>"20190303162742680"</f>
        <v>20190303162742680</v>
      </c>
      <c r="B19" t="str">
        <f>"1551601662671251"</f>
        <v>1551601662671251</v>
      </c>
      <c r="C19" t="s">
        <v>40</v>
      </c>
      <c r="D19">
        <v>5.0014349999999999</v>
      </c>
      <c r="E19">
        <v>0.51609399999999905</v>
      </c>
      <c r="F19" t="s">
        <v>41</v>
      </c>
      <c r="G19">
        <v>-442.07580000000002</v>
      </c>
      <c r="H19" s="1">
        <v>-3.8657530000000001E-6</v>
      </c>
      <c r="I19">
        <v>368.83019999999999</v>
      </c>
      <c r="J19">
        <v>-474.86149999999998</v>
      </c>
      <c r="K19">
        <v>1.1190929999999999</v>
      </c>
      <c r="L19">
        <v>367.08640000000003</v>
      </c>
      <c r="M19">
        <v>0.99992420000000004</v>
      </c>
      <c r="N19">
        <v>3.4593879999999999E-3</v>
      </c>
      <c r="O19">
        <v>1.1810559999999999E-2</v>
      </c>
      <c r="P19">
        <v>0.99478350000000004</v>
      </c>
      <c r="Q19">
        <v>6.1594620000000003E-2</v>
      </c>
      <c r="R19">
        <v>8.1312709999999996E-2</v>
      </c>
      <c r="S19">
        <v>3.0104060000000001</v>
      </c>
      <c r="T19">
        <v>-0.1025259</v>
      </c>
      <c r="U19">
        <v>0.1599121</v>
      </c>
      <c r="V19">
        <v>-6.9578619999999994E-2</v>
      </c>
      <c r="W19">
        <v>5.8125450000000002E-2</v>
      </c>
      <c r="X19">
        <v>0.99588160000000003</v>
      </c>
      <c r="Y19">
        <v>-4.1234159999999999E-2</v>
      </c>
      <c r="Z19">
        <v>1.8745440000000001E-4</v>
      </c>
      <c r="AA19">
        <v>0.99914950000000002</v>
      </c>
      <c r="AB19">
        <v>6</v>
      </c>
      <c r="AC19">
        <v>32.785699999999899</v>
      </c>
      <c r="AD19">
        <v>-1.1190968657529901</v>
      </c>
      <c r="AE19">
        <v>1.74379999999996</v>
      </c>
      <c r="AF19">
        <v>-1.3548844184518201</v>
      </c>
      <c r="AG19">
        <v>-1.1190968657529901</v>
      </c>
      <c r="AH19">
        <v>32.765940455305198</v>
      </c>
      <c r="AI19">
        <v>91.954466378701099</v>
      </c>
      <c r="AJ19">
        <v>92.367853884277395</v>
      </c>
      <c r="AK19">
        <v>32.813030087191102</v>
      </c>
      <c r="AL19">
        <v>86.6677787332533</v>
      </c>
      <c r="AM19">
        <v>93.996553061804207</v>
      </c>
      <c r="AN19">
        <v>0.99999995675868203</v>
      </c>
    </row>
    <row r="20" spans="1:40" x14ac:dyDescent="0.25">
      <c r="A20" t="str">
        <f>"20190303162742702"</f>
        <v>20190303162742702</v>
      </c>
      <c r="B20" t="str">
        <f>"1551601662692723"</f>
        <v>1551601662692723</v>
      </c>
      <c r="C20" t="s">
        <v>40</v>
      </c>
      <c r="D20">
        <v>5.0077850000000002</v>
      </c>
      <c r="E20">
        <v>0.51725880000000002</v>
      </c>
      <c r="F20" t="s">
        <v>41</v>
      </c>
      <c r="G20">
        <v>-441.67610000000002</v>
      </c>
      <c r="H20" s="1">
        <v>-4.0937329999999997E-6</v>
      </c>
      <c r="I20">
        <v>368.61020000000002</v>
      </c>
      <c r="J20">
        <v>-474.78879999999998</v>
      </c>
      <c r="K20">
        <v>1.1190549999999999</v>
      </c>
      <c r="L20">
        <v>367.0881</v>
      </c>
      <c r="M20">
        <v>0.99991459999999999</v>
      </c>
      <c r="N20">
        <v>3.6495859999999998E-3</v>
      </c>
      <c r="O20">
        <v>1.255586E-2</v>
      </c>
      <c r="P20">
        <v>0.99545910000000004</v>
      </c>
      <c r="Q20">
        <v>5.6414560000000002E-2</v>
      </c>
      <c r="R20">
        <v>7.6673549999999993E-2</v>
      </c>
      <c r="S20">
        <v>3.010742</v>
      </c>
      <c r="T20">
        <v>-0.1015301</v>
      </c>
      <c r="U20">
        <v>0.1382446</v>
      </c>
      <c r="V20">
        <v>-6.4187019999999997E-2</v>
      </c>
      <c r="W20">
        <v>5.2755490000000002E-2</v>
      </c>
      <c r="X20">
        <v>0.9965425</v>
      </c>
      <c r="Y20">
        <v>-3.3314360000000001E-2</v>
      </c>
      <c r="Z20" s="1">
        <v>3.160519E-5</v>
      </c>
      <c r="AA20">
        <v>0.99944489999999997</v>
      </c>
      <c r="AB20">
        <v>7</v>
      </c>
      <c r="AC20">
        <v>33.112699999999897</v>
      </c>
      <c r="AD20">
        <v>-1.1190590937329901</v>
      </c>
      <c r="AE20">
        <v>1.52210000000002</v>
      </c>
      <c r="AF20">
        <v>-1.1049595066017699</v>
      </c>
      <c r="AG20">
        <v>-1.1190590937329901</v>
      </c>
      <c r="AH20">
        <v>33.091485959251699</v>
      </c>
      <c r="AI20">
        <v>91.935762716859301</v>
      </c>
      <c r="AJ20">
        <v>91.912455754497799</v>
      </c>
      <c r="AK20">
        <v>33.128834446111298</v>
      </c>
      <c r="AL20">
        <v>86.975929338164505</v>
      </c>
      <c r="AM20">
        <v>93.6853142338976</v>
      </c>
      <c r="AN20">
        <v>1.00000003478393</v>
      </c>
    </row>
    <row r="21" spans="1:40" x14ac:dyDescent="0.25">
      <c r="A21" t="str">
        <f>"20190303162742722"</f>
        <v>20190303162742722</v>
      </c>
      <c r="B21" t="str">
        <f>"1551601662711267"</f>
        <v>1551601662711267</v>
      </c>
      <c r="C21" t="s">
        <v>40</v>
      </c>
      <c r="D21">
        <v>4.9958320000000001</v>
      </c>
      <c r="E21">
        <v>0.51828960000000002</v>
      </c>
      <c r="F21" t="s">
        <v>41</v>
      </c>
      <c r="G21">
        <v>-445.07040000000001</v>
      </c>
      <c r="H21" s="1">
        <v>-2.5618409999999998E-6</v>
      </c>
      <c r="I21">
        <v>368.20060000000001</v>
      </c>
      <c r="J21">
        <v>-474.72230000000002</v>
      </c>
      <c r="K21">
        <v>1.119038</v>
      </c>
      <c r="L21">
        <v>367.08960000000002</v>
      </c>
      <c r="M21">
        <v>0.99990590000000001</v>
      </c>
      <c r="N21">
        <v>3.7899240000000001E-3</v>
      </c>
      <c r="O21">
        <v>1.3193119999999999E-2</v>
      </c>
      <c r="P21">
        <v>0.99625960000000002</v>
      </c>
      <c r="Q21">
        <v>5.081774E-2</v>
      </c>
      <c r="R21">
        <v>6.9891830000000002E-2</v>
      </c>
      <c r="S21">
        <v>3.0113530000000002</v>
      </c>
      <c r="T21">
        <v>-0.1133937</v>
      </c>
      <c r="U21">
        <v>0.1127319</v>
      </c>
      <c r="V21">
        <v>-5.6757759999999997E-2</v>
      </c>
      <c r="W21">
        <v>4.7019600000000002E-2</v>
      </c>
      <c r="X21">
        <v>0.99728019999999995</v>
      </c>
      <c r="Y21">
        <v>-2.4218110000000001E-2</v>
      </c>
      <c r="Z21">
        <v>-1.3664229999999999E-4</v>
      </c>
      <c r="AA21">
        <v>0.99970669999999995</v>
      </c>
      <c r="AB21">
        <v>7</v>
      </c>
      <c r="AC21">
        <v>29.651900000000001</v>
      </c>
      <c r="AD21">
        <v>-1.119040561841</v>
      </c>
      <c r="AE21">
        <v>1.11099999999999</v>
      </c>
      <c r="AF21">
        <v>-0.71867732352773595</v>
      </c>
      <c r="AG21">
        <v>-1.119040561841</v>
      </c>
      <c r="AH21">
        <v>29.621847121757799</v>
      </c>
      <c r="AI21">
        <v>92.162829037848198</v>
      </c>
      <c r="AJ21">
        <v>91.389822206437302</v>
      </c>
      <c r="AK21">
        <v>29.651687570510902</v>
      </c>
      <c r="AL21">
        <v>87.304981811710903</v>
      </c>
      <c r="AM21">
        <v>93.257335114279101</v>
      </c>
      <c r="AN21">
        <v>1.0000000417082</v>
      </c>
    </row>
    <row r="22" spans="1:40" x14ac:dyDescent="0.25">
      <c r="A22" t="str">
        <f>"20190303162742744"</f>
        <v>20190303162742744</v>
      </c>
      <c r="B22" t="str">
        <f>"1551601662731763"</f>
        <v>1551601662731763</v>
      </c>
      <c r="C22" t="s">
        <v>40</v>
      </c>
      <c r="D22">
        <v>4.9698209999999996</v>
      </c>
      <c r="E22">
        <v>0.51914470000000001</v>
      </c>
      <c r="F22" t="s">
        <v>41</v>
      </c>
      <c r="G22">
        <v>-447.91180000000003</v>
      </c>
      <c r="H22" s="1">
        <v>-1.28701E-6</v>
      </c>
      <c r="I22">
        <v>367.81549999999999</v>
      </c>
      <c r="J22">
        <v>-474.64690000000002</v>
      </c>
      <c r="K22">
        <v>1.1189929999999999</v>
      </c>
      <c r="L22">
        <v>367.09140000000002</v>
      </c>
      <c r="M22">
        <v>0.99989629999999996</v>
      </c>
      <c r="N22">
        <v>3.9067909999999997E-3</v>
      </c>
      <c r="O22">
        <v>1.3863149999999999E-2</v>
      </c>
      <c r="P22">
        <v>0.99663769999999996</v>
      </c>
      <c r="Q22">
        <v>5.2022069999999997E-2</v>
      </c>
      <c r="R22">
        <v>6.3301419999999997E-2</v>
      </c>
      <c r="S22">
        <v>3.0119929999999999</v>
      </c>
      <c r="T22">
        <v>-0.1257173</v>
      </c>
      <c r="U22">
        <v>8.1542970000000006E-2</v>
      </c>
      <c r="V22">
        <v>-4.9494620000000003E-2</v>
      </c>
      <c r="W22">
        <v>4.8108900000000003E-2</v>
      </c>
      <c r="X22">
        <v>0.99761500000000003</v>
      </c>
      <c r="Y22">
        <v>-1.320607E-2</v>
      </c>
      <c r="Z22">
        <v>-3.8274149999999998E-4</v>
      </c>
      <c r="AA22">
        <v>0.99991269999999999</v>
      </c>
      <c r="AB22">
        <v>7</v>
      </c>
      <c r="AC22">
        <v>26.7350999999999</v>
      </c>
      <c r="AD22">
        <v>-1.11899428701</v>
      </c>
      <c r="AE22">
        <v>0.72409999999996399</v>
      </c>
      <c r="AF22">
        <v>-0.35277734234608199</v>
      </c>
      <c r="AG22">
        <v>-1.11899428701</v>
      </c>
      <c r="AH22">
        <v>26.6958368487321</v>
      </c>
      <c r="AI22">
        <v>92.400020400467795</v>
      </c>
      <c r="AJ22">
        <v>90.757102183981104</v>
      </c>
      <c r="AK22">
        <v>26.721607457669101</v>
      </c>
      <c r="AL22">
        <v>87.242498507230593</v>
      </c>
      <c r="AM22">
        <v>92.840283592863898</v>
      </c>
      <c r="AN22">
        <v>0.99999993594657499</v>
      </c>
    </row>
    <row r="23" spans="1:40" x14ac:dyDescent="0.25">
      <c r="A23" t="str">
        <f>"20190303162742767"</f>
        <v>20190303162742767</v>
      </c>
      <c r="B23" t="str">
        <f>"1551601662761043"</f>
        <v>1551601662761043</v>
      </c>
      <c r="C23" t="s">
        <v>40</v>
      </c>
      <c r="D23">
        <v>4.9694070000000004</v>
      </c>
      <c r="E23">
        <v>0.52008809999999905</v>
      </c>
      <c r="F23" t="s">
        <v>41</v>
      </c>
      <c r="G23">
        <v>-445.89170000000001</v>
      </c>
      <c r="H23" s="1">
        <v>-2.279173E-6</v>
      </c>
      <c r="I23">
        <v>367.60550000000001</v>
      </c>
      <c r="J23">
        <v>-474.5582</v>
      </c>
      <c r="K23">
        <v>1.1189659999999999</v>
      </c>
      <c r="L23">
        <v>367.09359999999998</v>
      </c>
      <c r="M23">
        <v>0.9998861</v>
      </c>
      <c r="N23">
        <v>3.967005E-3</v>
      </c>
      <c r="O23">
        <v>1.456991E-2</v>
      </c>
      <c r="P23">
        <v>0.99704340000000002</v>
      </c>
      <c r="Q23">
        <v>5.1644019999999999E-2</v>
      </c>
      <c r="R23">
        <v>5.690013E-2</v>
      </c>
      <c r="S23">
        <v>3.0128170000000001</v>
      </c>
      <c r="T23">
        <v>-0.11724270000000001</v>
      </c>
      <c r="U23">
        <v>5.386353E-2</v>
      </c>
      <c r="V23">
        <v>-4.2381639999999998E-2</v>
      </c>
      <c r="W23">
        <v>4.7672609999999997E-2</v>
      </c>
      <c r="X23">
        <v>0.9979635</v>
      </c>
      <c r="Y23">
        <v>-3.3168080000000001E-3</v>
      </c>
      <c r="Z23">
        <v>-5.665383E-4</v>
      </c>
      <c r="AA23">
        <v>0.9999943</v>
      </c>
      <c r="AB23">
        <v>8</v>
      </c>
      <c r="AC23">
        <v>28.6664999999999</v>
      </c>
      <c r="AD23">
        <v>-1.118968279173</v>
      </c>
      <c r="AE23">
        <v>0.511900000000025</v>
      </c>
      <c r="AF23">
        <v>-9.4030874852125607E-2</v>
      </c>
      <c r="AG23">
        <v>-1.118968279173</v>
      </c>
      <c r="AH23">
        <v>28.627311293010699</v>
      </c>
      <c r="AI23">
        <v>92.238393712381907</v>
      </c>
      <c r="AJ23">
        <v>90.188196259246496</v>
      </c>
      <c r="AK23">
        <v>28.649326059824901</v>
      </c>
      <c r="AL23">
        <v>87.267525014465704</v>
      </c>
      <c r="AM23">
        <v>92.431783164693201</v>
      </c>
      <c r="AN23">
        <v>1.0000000142427701</v>
      </c>
    </row>
    <row r="24" spans="1:40" x14ac:dyDescent="0.25">
      <c r="A24" t="str">
        <f>"20190303162742790"</f>
        <v>20190303162742790</v>
      </c>
      <c r="B24" t="str">
        <f>"1551601662781539"</f>
        <v>1551601662781539</v>
      </c>
      <c r="C24" t="s">
        <v>40</v>
      </c>
      <c r="D24">
        <v>4.9981669999999996</v>
      </c>
      <c r="E24">
        <v>0.52051340000000001</v>
      </c>
      <c r="F24" t="s">
        <v>41</v>
      </c>
      <c r="G24">
        <v>-445.572</v>
      </c>
      <c r="H24" s="1">
        <v>-2.4739230000000001E-6</v>
      </c>
      <c r="I24">
        <v>367.35950000000003</v>
      </c>
      <c r="J24">
        <v>-474.4769</v>
      </c>
      <c r="K24">
        <v>1.1189720000000001</v>
      </c>
      <c r="L24">
        <v>367.09550000000002</v>
      </c>
      <c r="M24">
        <v>0.99987740000000003</v>
      </c>
      <c r="N24">
        <v>3.9472860000000004E-3</v>
      </c>
      <c r="O24">
        <v>1.5155780000000001E-2</v>
      </c>
      <c r="P24">
        <v>0.99768690000000004</v>
      </c>
      <c r="Q24">
        <v>4.9544110000000002E-2</v>
      </c>
      <c r="R24">
        <v>4.6544080000000002E-2</v>
      </c>
      <c r="S24">
        <v>3.0133359999999998</v>
      </c>
      <c r="T24">
        <v>-0.1163255</v>
      </c>
      <c r="U24">
        <v>2.7648929999999999E-2</v>
      </c>
      <c r="V24">
        <v>-3.1431269999999997E-2</v>
      </c>
      <c r="W24">
        <v>4.5593969999999998E-2</v>
      </c>
      <c r="X24">
        <v>0.99846550000000001</v>
      </c>
      <c r="Y24">
        <v>5.9634789999999998E-3</v>
      </c>
      <c r="Z24">
        <v>-7.4789780000000003E-4</v>
      </c>
      <c r="AA24">
        <v>0.99998189999999998</v>
      </c>
      <c r="AB24">
        <v>8</v>
      </c>
      <c r="AC24">
        <v>28.904900000000001</v>
      </c>
      <c r="AD24">
        <v>-1.1189744739230001</v>
      </c>
      <c r="AE24">
        <v>0.26400000000001</v>
      </c>
      <c r="AF24">
        <v>0.17384950382813799</v>
      </c>
      <c r="AG24">
        <v>-1.1189744739230001</v>
      </c>
      <c r="AH24">
        <v>28.862330576001099</v>
      </c>
      <c r="AI24">
        <v>92.220169313561698</v>
      </c>
      <c r="AJ24">
        <v>89.654888493785094</v>
      </c>
      <c r="AK24">
        <v>28.884536586236599</v>
      </c>
      <c r="AL24">
        <v>87.386752123236803</v>
      </c>
      <c r="AM24">
        <v>91.803051382937696</v>
      </c>
      <c r="AN24">
        <v>1.0000000447622099</v>
      </c>
    </row>
    <row r="25" spans="1:40" x14ac:dyDescent="0.25">
      <c r="A25" t="str">
        <f>"20190303162742813"</f>
        <v>20190303162742813</v>
      </c>
      <c r="B25" t="str">
        <f>"1551601662801060"</f>
        <v>1551601662801060</v>
      </c>
      <c r="C25" t="s">
        <v>40</v>
      </c>
      <c r="D25">
        <v>5.0045849999999996</v>
      </c>
      <c r="E25">
        <v>0.52082819999999996</v>
      </c>
      <c r="F25" t="s">
        <v>41</v>
      </c>
      <c r="G25">
        <v>-446.39460000000003</v>
      </c>
      <c r="H25" s="1">
        <v>-2.1436539999999999E-6</v>
      </c>
      <c r="I25">
        <v>367.0292</v>
      </c>
      <c r="J25">
        <v>-474.38619999999997</v>
      </c>
      <c r="K25">
        <v>1.1190009999999999</v>
      </c>
      <c r="L25">
        <v>367.09769999999997</v>
      </c>
      <c r="M25">
        <v>0.9998686</v>
      </c>
      <c r="N25">
        <v>3.8326179999999999E-3</v>
      </c>
      <c r="O25">
        <v>1.5754130000000002E-2</v>
      </c>
      <c r="P25">
        <v>0.99802519999999995</v>
      </c>
      <c r="Q25">
        <v>4.9441390000000002E-2</v>
      </c>
      <c r="R25">
        <v>3.8747549999999999E-2</v>
      </c>
      <c r="S25">
        <v>3.013245</v>
      </c>
      <c r="T25">
        <v>-0.1200668</v>
      </c>
      <c r="U25">
        <v>-7.1105959999999899E-3</v>
      </c>
      <c r="V25">
        <v>-2.3032210000000001E-2</v>
      </c>
      <c r="W25">
        <v>4.5607780000000001E-2</v>
      </c>
      <c r="X25">
        <v>0.99869390000000002</v>
      </c>
      <c r="Y25">
        <v>1.8085690000000001E-2</v>
      </c>
      <c r="Z25">
        <v>-1.0133430000000001E-3</v>
      </c>
      <c r="AA25">
        <v>0.9998359</v>
      </c>
      <c r="AB25">
        <v>8</v>
      </c>
      <c r="AC25">
        <v>27.991599999999899</v>
      </c>
      <c r="AD25">
        <v>-1.119003143654</v>
      </c>
      <c r="AE25">
        <v>-6.8499999999971806E-2</v>
      </c>
      <c r="AF25">
        <v>0.50866512221368798</v>
      </c>
      <c r="AG25">
        <v>-1.119003143654</v>
      </c>
      <c r="AH25">
        <v>27.9423921138442</v>
      </c>
      <c r="AI25">
        <v>92.292907211487602</v>
      </c>
      <c r="AJ25">
        <v>88.957099097116796</v>
      </c>
      <c r="AK25">
        <v>27.9694151759719</v>
      </c>
      <c r="AL25">
        <v>87.385960003607195</v>
      </c>
      <c r="AM25">
        <v>91.321140080579497</v>
      </c>
      <c r="AN25">
        <v>1.0000000290956099</v>
      </c>
    </row>
    <row r="26" spans="1:40" x14ac:dyDescent="0.25">
      <c r="A26" t="str">
        <f>"20190303162742835"</f>
        <v>20190303162742835</v>
      </c>
      <c r="B26" t="str">
        <f>"1551601662831315"</f>
        <v>1551601662831315</v>
      </c>
      <c r="C26" t="s">
        <v>40</v>
      </c>
      <c r="D26">
        <v>4.9975440000000004</v>
      </c>
      <c r="E26">
        <v>0.52113500000000001</v>
      </c>
      <c r="F26" t="s">
        <v>41</v>
      </c>
      <c r="G26">
        <v>-445.77339999999998</v>
      </c>
      <c r="H26" s="1">
        <v>-2.4830039999999999E-6</v>
      </c>
      <c r="I26">
        <v>366.77170000000001</v>
      </c>
      <c r="J26">
        <v>-474.30130000000003</v>
      </c>
      <c r="K26">
        <v>1.1190450000000001</v>
      </c>
      <c r="L26">
        <v>367.09980000000002</v>
      </c>
      <c r="M26">
        <v>0.99986070000000005</v>
      </c>
      <c r="N26">
        <v>3.6470869999999998E-3</v>
      </c>
      <c r="O26">
        <v>1.62915E-2</v>
      </c>
      <c r="P26">
        <v>0.99804219999999999</v>
      </c>
      <c r="Q26">
        <v>5.2473590000000001E-2</v>
      </c>
      <c r="R26">
        <v>3.4036150000000001E-2</v>
      </c>
      <c r="S26">
        <v>3.0130919999999999</v>
      </c>
      <c r="T26">
        <v>-0.1178377</v>
      </c>
      <c r="U26">
        <v>-3.433228E-2</v>
      </c>
      <c r="V26">
        <v>-1.7784660000000001E-2</v>
      </c>
      <c r="W26">
        <v>4.8827130000000003E-2</v>
      </c>
      <c r="X26">
        <v>0.99864889999999995</v>
      </c>
      <c r="Y26">
        <v>2.7648619999999999E-2</v>
      </c>
      <c r="Z26">
        <v>-1.1862439999999999E-3</v>
      </c>
      <c r="AA26">
        <v>0.99961699999999998</v>
      </c>
      <c r="AB26">
        <v>9</v>
      </c>
      <c r="AC26">
        <v>28.527899999999999</v>
      </c>
      <c r="AD26">
        <v>-1.119047483004</v>
      </c>
      <c r="AE26">
        <v>-0.328100000000006</v>
      </c>
      <c r="AF26">
        <v>0.79160390875809905</v>
      </c>
      <c r="AG26">
        <v>-1.119047483004</v>
      </c>
      <c r="AH26">
        <v>28.474959609664701</v>
      </c>
      <c r="AI26">
        <v>92.249660674318704</v>
      </c>
      <c r="AJ26">
        <v>88.407587408172404</v>
      </c>
      <c r="AK26">
        <v>28.507932734409501</v>
      </c>
      <c r="AL26">
        <v>87.201298726026494</v>
      </c>
      <c r="AM26">
        <v>91.020256723440397</v>
      </c>
      <c r="AN26">
        <v>1.0000000041132799</v>
      </c>
    </row>
    <row r="27" spans="1:40" x14ac:dyDescent="0.25">
      <c r="A27" t="str">
        <f>"20190303162742856"</f>
        <v>20190303162742856</v>
      </c>
      <c r="B27" t="str">
        <f>"1551601662851812"</f>
        <v>1551601662851812</v>
      </c>
      <c r="C27" t="s">
        <v>40</v>
      </c>
      <c r="D27">
        <v>5.0219319999999996</v>
      </c>
      <c r="E27">
        <v>0.52123450000000005</v>
      </c>
      <c r="F27" t="s">
        <v>41</v>
      </c>
      <c r="G27">
        <v>-442.28469999999999</v>
      </c>
      <c r="H27" s="1">
        <v>-4.1721040000000004E-6</v>
      </c>
      <c r="I27">
        <v>366.54629999999997</v>
      </c>
      <c r="J27">
        <v>-474.21129999999999</v>
      </c>
      <c r="K27">
        <v>1.1191120000000001</v>
      </c>
      <c r="L27">
        <v>367.10210000000001</v>
      </c>
      <c r="M27">
        <v>0.99985210000000002</v>
      </c>
      <c r="N27">
        <v>3.3917819999999999E-3</v>
      </c>
      <c r="O27">
        <v>1.687044E-2</v>
      </c>
      <c r="P27">
        <v>0.99765210000000004</v>
      </c>
      <c r="Q27">
        <v>5.4689429999999997E-2</v>
      </c>
      <c r="R27">
        <v>4.1228290000000001E-2</v>
      </c>
      <c r="S27">
        <v>3.0131839999999999</v>
      </c>
      <c r="T27">
        <v>-0.10531749999999999</v>
      </c>
      <c r="U27">
        <v>-5.2093510000000003E-2</v>
      </c>
      <c r="V27">
        <v>-2.4405509999999998E-2</v>
      </c>
      <c r="W27">
        <v>5.1297379999999997E-2</v>
      </c>
      <c r="X27">
        <v>0.99838519999999997</v>
      </c>
      <c r="Y27">
        <v>3.4120299999999999E-2</v>
      </c>
      <c r="Z27">
        <v>-1.1848119999999999E-3</v>
      </c>
      <c r="AA27">
        <v>0.999417</v>
      </c>
      <c r="AB27">
        <v>9</v>
      </c>
      <c r="AC27">
        <v>31.926600000000001</v>
      </c>
      <c r="AD27">
        <v>-1.1191161721039999</v>
      </c>
      <c r="AE27">
        <v>-0.55580000000003305</v>
      </c>
      <c r="AF27">
        <v>1.0929971407491701</v>
      </c>
      <c r="AG27">
        <v>-1.1191161721039999</v>
      </c>
      <c r="AH27">
        <v>31.873528578294099</v>
      </c>
      <c r="AI27">
        <v>92.009714199485003</v>
      </c>
      <c r="AJ27">
        <v>88.036000521554797</v>
      </c>
      <c r="AK27">
        <v>31.911892576086402</v>
      </c>
      <c r="AL27">
        <v>87.059586170126707</v>
      </c>
      <c r="AM27">
        <v>91.400315521244494</v>
      </c>
      <c r="AN27">
        <v>1.0000000288461299</v>
      </c>
    </row>
    <row r="28" spans="1:40" x14ac:dyDescent="0.25">
      <c r="A28" t="str">
        <f>"20190303162742881"</f>
        <v>20190303162742881</v>
      </c>
      <c r="B28" t="str">
        <f>"1551601662871331"</f>
        <v>1551601662871331</v>
      </c>
      <c r="C28" t="s">
        <v>40</v>
      </c>
      <c r="D28">
        <v>5.0167000000000002</v>
      </c>
      <c r="E28">
        <v>0.52121819999999996</v>
      </c>
      <c r="F28" t="s">
        <v>41</v>
      </c>
      <c r="G28">
        <v>-439.96890000000002</v>
      </c>
      <c r="H28" s="1">
        <v>-5.2253069999999997E-6</v>
      </c>
      <c r="I28">
        <v>366.78030000000001</v>
      </c>
      <c r="J28">
        <v>-474.11110000000002</v>
      </c>
      <c r="K28">
        <v>1.1191719999999901</v>
      </c>
      <c r="L28">
        <v>367.1046</v>
      </c>
      <c r="M28">
        <v>0.99984119999999999</v>
      </c>
      <c r="N28">
        <v>3.073077E-3</v>
      </c>
      <c r="O28">
        <v>1.7555640000000001E-2</v>
      </c>
      <c r="P28">
        <v>0.99749960000000004</v>
      </c>
      <c r="Q28">
        <v>5.9910230000000002E-2</v>
      </c>
      <c r="R28">
        <v>3.7489599999999998E-2</v>
      </c>
      <c r="S28">
        <v>3.0136720000000001</v>
      </c>
      <c r="T28">
        <v>-9.8493339999999999E-2</v>
      </c>
      <c r="U28">
        <v>-2.8320310000000001E-2</v>
      </c>
      <c r="V28">
        <v>-1.9988519999999999E-2</v>
      </c>
      <c r="W28">
        <v>5.6837260000000001E-2</v>
      </c>
      <c r="X28">
        <v>0.99818340000000005</v>
      </c>
      <c r="Y28">
        <v>2.692613E-2</v>
      </c>
      <c r="Z28">
        <v>-1.026005E-3</v>
      </c>
      <c r="AA28">
        <v>0.99963690000000005</v>
      </c>
      <c r="AB28">
        <v>9</v>
      </c>
      <c r="AC28">
        <v>34.142200000000003</v>
      </c>
      <c r="AD28">
        <v>-1.11917722530699</v>
      </c>
      <c r="AE28">
        <v>-0.32429999999999298</v>
      </c>
      <c r="AF28">
        <v>0.92264968581090501</v>
      </c>
      <c r="AG28">
        <v>-1.11917722530699</v>
      </c>
      <c r="AH28">
        <v>34.094612846028397</v>
      </c>
      <c r="AI28">
        <v>91.879407558012701</v>
      </c>
      <c r="AJ28">
        <v>88.449871409417597</v>
      </c>
      <c r="AK28">
        <v>34.125451868435903</v>
      </c>
      <c r="AL28">
        <v>86.741709158084106</v>
      </c>
      <c r="AM28">
        <v>91.147188773194202</v>
      </c>
      <c r="AN28">
        <v>1.0000000575458201</v>
      </c>
    </row>
    <row r="29" spans="1:40" x14ac:dyDescent="0.25">
      <c r="A29" t="str">
        <f>"20190303162742906"</f>
        <v>20190303162742906</v>
      </c>
      <c r="B29" t="str">
        <f>"1551601662901587"</f>
        <v>1551601662901587</v>
      </c>
      <c r="C29" t="s">
        <v>40</v>
      </c>
      <c r="D29">
        <v>5.0793089999999896</v>
      </c>
      <c r="E29">
        <v>0.52119269999999995</v>
      </c>
      <c r="F29" t="s">
        <v>42</v>
      </c>
      <c r="G29">
        <v>-428.64949999999999</v>
      </c>
      <c r="H29">
        <v>-0.05</v>
      </c>
      <c r="I29">
        <v>366.40539999999999</v>
      </c>
      <c r="J29">
        <v>-474.00799999999998</v>
      </c>
      <c r="K29">
        <v>1.1192299999999999</v>
      </c>
      <c r="L29">
        <v>367.10730000000001</v>
      </c>
      <c r="M29">
        <v>0.99982850000000001</v>
      </c>
      <c r="N29">
        <v>2.7460689999999999E-3</v>
      </c>
      <c r="O29">
        <v>1.8317429999999999E-2</v>
      </c>
      <c r="P29">
        <v>0.99728510000000004</v>
      </c>
      <c r="Q29">
        <v>5.877433E-2</v>
      </c>
      <c r="R29">
        <v>4.4366389999999999E-2</v>
      </c>
      <c r="S29">
        <v>3.013916</v>
      </c>
      <c r="T29">
        <v>-7.7511189999999994E-2</v>
      </c>
      <c r="U29">
        <v>-4.6356199999999903E-2</v>
      </c>
      <c r="V29">
        <v>-2.6110290000000001E-2</v>
      </c>
      <c r="W29">
        <v>5.6025070000000003E-2</v>
      </c>
      <c r="X29">
        <v>0.99808790000000003</v>
      </c>
      <c r="Y29">
        <v>3.3674299999999997E-2</v>
      </c>
      <c r="Z29">
        <v>-9.0793500000000001E-4</v>
      </c>
      <c r="AA29">
        <v>0.9994324</v>
      </c>
      <c r="AB29">
        <v>9</v>
      </c>
      <c r="AC29">
        <v>45.358499999999999</v>
      </c>
      <c r="AD29">
        <v>-1.16923</v>
      </c>
      <c r="AE29">
        <v>-0.70190000000002295</v>
      </c>
      <c r="AF29">
        <v>1.53161898803552</v>
      </c>
      <c r="AG29">
        <v>-1.16923</v>
      </c>
      <c r="AH29">
        <v>45.307933673024898</v>
      </c>
      <c r="AI29">
        <v>91.4774202639897</v>
      </c>
      <c r="AJ29">
        <v>88.063873321198798</v>
      </c>
      <c r="AK29">
        <v>45.348889834665599</v>
      </c>
      <c r="AL29">
        <v>86.788318322206607</v>
      </c>
      <c r="AM29">
        <v>91.498533634482797</v>
      </c>
      <c r="AN29">
        <v>1.0000000059193901</v>
      </c>
    </row>
    <row r="30" spans="1:40" x14ac:dyDescent="0.25">
      <c r="A30" t="str">
        <f>"20190303162742923"</f>
        <v>20190303162742923</v>
      </c>
      <c r="B30" t="str">
        <f>"1551601662911347"</f>
        <v>1551601662911347</v>
      </c>
      <c r="C30" t="s">
        <v>40</v>
      </c>
      <c r="D30">
        <v>5.0185879999999896</v>
      </c>
      <c r="E30">
        <v>0.52122979999999997</v>
      </c>
      <c r="F30" t="s">
        <v>42</v>
      </c>
      <c r="G30">
        <v>-429.7364</v>
      </c>
      <c r="H30">
        <v>-0.05</v>
      </c>
      <c r="I30">
        <v>366.77199999999999</v>
      </c>
      <c r="J30">
        <v>-473.93</v>
      </c>
      <c r="K30">
        <v>1.119256</v>
      </c>
      <c r="L30">
        <v>367.10930000000002</v>
      </c>
      <c r="M30">
        <v>0.99981779999999998</v>
      </c>
      <c r="N30">
        <v>2.5171640000000001E-3</v>
      </c>
      <c r="O30">
        <v>1.8921810000000001E-2</v>
      </c>
      <c r="P30">
        <v>0.9968072</v>
      </c>
      <c r="Q30">
        <v>5.6594659999999998E-2</v>
      </c>
      <c r="R30">
        <v>5.6325269999999997E-2</v>
      </c>
      <c r="S30">
        <v>3.013916</v>
      </c>
      <c r="T30">
        <v>-7.9598779999999994E-2</v>
      </c>
      <c r="U30">
        <v>-2.2827150000000001E-2</v>
      </c>
      <c r="V30">
        <v>-3.7474170000000001E-2</v>
      </c>
      <c r="W30">
        <v>5.4068720000000001E-2</v>
      </c>
      <c r="X30">
        <v>0.99783379999999999</v>
      </c>
      <c r="Y30">
        <v>2.647741E-2</v>
      </c>
      <c r="Z30">
        <v>-8.6349020000000003E-4</v>
      </c>
      <c r="AA30">
        <v>0.99964900000000001</v>
      </c>
      <c r="AB30">
        <v>10</v>
      </c>
      <c r="AC30">
        <v>44.193600000000004</v>
      </c>
      <c r="AD30">
        <v>-1.1692559999999901</v>
      </c>
      <c r="AE30">
        <v>-0.33730000000002702</v>
      </c>
      <c r="AF30">
        <v>1.17264435370471</v>
      </c>
      <c r="AG30">
        <v>-1.1692559999999901</v>
      </c>
      <c r="AH30">
        <v>44.148403215626097</v>
      </c>
      <c r="AI30">
        <v>91.516570670288999</v>
      </c>
      <c r="AJ30">
        <v>88.478500383979593</v>
      </c>
      <c r="AK30">
        <v>44.179449531012899</v>
      </c>
      <c r="AL30">
        <v>86.900579182872903</v>
      </c>
      <c r="AM30">
        <v>92.150762174965394</v>
      </c>
      <c r="AN30">
        <v>1.0000000161610301</v>
      </c>
    </row>
    <row r="31" spans="1:40" x14ac:dyDescent="0.25">
      <c r="A31" t="str">
        <f>"20190303162742945"</f>
        <v>20190303162742945</v>
      </c>
      <c r="B31" t="str">
        <f>"1551601662941604"</f>
        <v>1551601662941604</v>
      </c>
      <c r="C31" t="s">
        <v>40</v>
      </c>
      <c r="D31">
        <v>5.1336969999999997</v>
      </c>
      <c r="E31">
        <v>0.52129799999999904</v>
      </c>
      <c r="F31" t="s">
        <v>42</v>
      </c>
      <c r="G31">
        <v>-432.32490000000001</v>
      </c>
      <c r="H31">
        <v>-0.05</v>
      </c>
      <c r="I31">
        <v>367.30439999999999</v>
      </c>
      <c r="J31">
        <v>-473.83109999999999</v>
      </c>
      <c r="K31">
        <v>1.1193439999999999</v>
      </c>
      <c r="L31">
        <v>367.11219999999997</v>
      </c>
      <c r="M31">
        <v>0.99980309999999994</v>
      </c>
      <c r="N31">
        <v>2.2640120000000001E-3</v>
      </c>
      <c r="O31">
        <v>1.970912E-2</v>
      </c>
      <c r="P31">
        <v>0.995919</v>
      </c>
      <c r="Q31">
        <v>6.2328840000000003E-2</v>
      </c>
      <c r="R31">
        <v>6.5271220000000005E-2</v>
      </c>
      <c r="S31">
        <v>3.013611</v>
      </c>
      <c r="T31">
        <v>-8.4693550000000006E-2</v>
      </c>
      <c r="U31">
        <v>1.4129640000000001E-2</v>
      </c>
      <c r="V31">
        <v>-4.5655759999999997E-2</v>
      </c>
      <c r="W31">
        <v>6.0051840000000002E-2</v>
      </c>
      <c r="X31">
        <v>0.9971506</v>
      </c>
      <c r="Y31">
        <v>1.5006780000000001E-2</v>
      </c>
      <c r="Z31">
        <v>-7.9220679999999902E-4</v>
      </c>
      <c r="AA31">
        <v>0.99988699999999997</v>
      </c>
      <c r="AB31">
        <v>10</v>
      </c>
      <c r="AC31">
        <v>41.5061999999999</v>
      </c>
      <c r="AD31">
        <v>-1.1693439999999999</v>
      </c>
      <c r="AE31">
        <v>0.192200000000013</v>
      </c>
      <c r="AF31">
        <v>0.62539381602937705</v>
      </c>
      <c r="AG31">
        <v>-1.1693439999999999</v>
      </c>
      <c r="AH31">
        <v>41.4690123274355</v>
      </c>
      <c r="AI31">
        <v>91.615015927656103</v>
      </c>
      <c r="AJ31">
        <v>89.135988343577495</v>
      </c>
      <c r="AK31">
        <v>41.490209281569797</v>
      </c>
      <c r="AL31">
        <v>86.557211638236396</v>
      </c>
      <c r="AM31">
        <v>92.621526472192599</v>
      </c>
      <c r="AN31">
        <v>0.99999999549446095</v>
      </c>
    </row>
    <row r="32" spans="1:40" x14ac:dyDescent="0.25">
      <c r="A32" t="str">
        <f>"20190303162742969"</f>
        <v>20190303162742969</v>
      </c>
      <c r="B32" t="str">
        <f>"1551601662962100"</f>
        <v>1551601662962100</v>
      </c>
      <c r="C32" t="s">
        <v>40</v>
      </c>
      <c r="D32">
        <v>5.1344690000000002</v>
      </c>
      <c r="E32">
        <v>0.52134629999999904</v>
      </c>
      <c r="F32" t="s">
        <v>42</v>
      </c>
      <c r="G32">
        <v>-416.67020000000002</v>
      </c>
      <c r="H32">
        <v>-0.05</v>
      </c>
      <c r="I32">
        <v>367.83569999999997</v>
      </c>
      <c r="J32">
        <v>-473.71949999999998</v>
      </c>
      <c r="K32">
        <v>1.1193610000000001</v>
      </c>
      <c r="L32">
        <v>367.11529999999999</v>
      </c>
      <c r="M32">
        <v>0.99978610000000001</v>
      </c>
      <c r="N32">
        <v>2.0332409999999999E-3</v>
      </c>
      <c r="O32">
        <v>2.058633E-2</v>
      </c>
      <c r="P32">
        <v>0.99501419999999996</v>
      </c>
      <c r="Q32">
        <v>6.615559E-2</v>
      </c>
      <c r="R32">
        <v>7.4633459999999999E-2</v>
      </c>
      <c r="S32">
        <v>3.0136409999999998</v>
      </c>
      <c r="T32">
        <v>-6.1650280000000002E-2</v>
      </c>
      <c r="U32">
        <v>3.8146970000000002E-2</v>
      </c>
      <c r="V32">
        <v>-5.4164200000000003E-2</v>
      </c>
      <c r="W32">
        <v>6.4104270000000005E-2</v>
      </c>
      <c r="X32">
        <v>0.99647220000000003</v>
      </c>
      <c r="Y32">
        <v>7.9236259999999996E-3</v>
      </c>
      <c r="Z32">
        <v>-5.3587220000000002E-4</v>
      </c>
      <c r="AA32">
        <v>0.99996850000000004</v>
      </c>
      <c r="AB32">
        <v>10</v>
      </c>
      <c r="AC32">
        <v>57.049299999999903</v>
      </c>
      <c r="AD32">
        <v>-1.1693610000000001</v>
      </c>
      <c r="AE32">
        <v>0.72039999999998305</v>
      </c>
      <c r="AF32">
        <v>0.45399999404416302</v>
      </c>
      <c r="AG32">
        <v>-1.1693610000000001</v>
      </c>
      <c r="AH32">
        <v>57.028084332495098</v>
      </c>
      <c r="AI32">
        <v>91.174648262540899</v>
      </c>
      <c r="AJ32">
        <v>89.543878523132506</v>
      </c>
      <c r="AK32">
        <v>57.041878683797599</v>
      </c>
      <c r="AL32">
        <v>86.324575603659895</v>
      </c>
      <c r="AM32">
        <v>93.111305145167407</v>
      </c>
      <c r="AN32">
        <v>0.99999998168335602</v>
      </c>
    </row>
    <row r="33" spans="1:40" x14ac:dyDescent="0.25">
      <c r="A33" t="str">
        <f>"20190303162742991"</f>
        <v>20190303162742991</v>
      </c>
      <c r="B33" t="str">
        <f>"1551601662981620"</f>
        <v>1551601662981620</v>
      </c>
      <c r="C33" t="s">
        <v>40</v>
      </c>
      <c r="D33">
        <v>5.1510259999999999</v>
      </c>
      <c r="E33">
        <v>0.52143439999999996</v>
      </c>
      <c r="F33" t="s">
        <v>42</v>
      </c>
      <c r="G33">
        <v>-407.1567</v>
      </c>
      <c r="H33">
        <v>-0.05</v>
      </c>
      <c r="I33">
        <v>368.7097</v>
      </c>
      <c r="J33">
        <v>-473.61959999999999</v>
      </c>
      <c r="K33">
        <v>1.119407</v>
      </c>
      <c r="L33">
        <v>367.11829999999998</v>
      </c>
      <c r="M33">
        <v>0.99977050000000001</v>
      </c>
      <c r="N33">
        <v>1.8709899999999999E-3</v>
      </c>
      <c r="O33">
        <v>2.134552E-2</v>
      </c>
      <c r="P33">
        <v>0.99474810000000002</v>
      </c>
      <c r="Q33">
        <v>6.1402190000000002E-2</v>
      </c>
      <c r="R33">
        <v>8.1891580000000005E-2</v>
      </c>
      <c r="S33">
        <v>3.0131230000000002</v>
      </c>
      <c r="T33">
        <v>-5.2933929999999997E-2</v>
      </c>
      <c r="U33">
        <v>7.2174070000000007E-2</v>
      </c>
      <c r="V33">
        <v>-6.0668079999999999E-2</v>
      </c>
      <c r="W33">
        <v>5.9508730000000003E-2</v>
      </c>
      <c r="X33">
        <v>0.99638249999999995</v>
      </c>
      <c r="Y33">
        <v>-2.6051540000000002E-3</v>
      </c>
      <c r="Z33">
        <v>-3.9435810000000001E-4</v>
      </c>
      <c r="AA33">
        <v>0.99999649999999995</v>
      </c>
      <c r="AB33">
        <v>10</v>
      </c>
      <c r="AC33">
        <v>66.462899999999905</v>
      </c>
      <c r="AD33">
        <v>-1.1694069999999901</v>
      </c>
      <c r="AE33">
        <v>1.5914000000000199</v>
      </c>
      <c r="AF33">
        <v>-0.17229658925399399</v>
      </c>
      <c r="AG33">
        <v>-1.1694069999999901</v>
      </c>
      <c r="AH33">
        <v>66.461163002195093</v>
      </c>
      <c r="AI33">
        <v>91.008031522188205</v>
      </c>
      <c r="AJ33">
        <v>90.148535548092596</v>
      </c>
      <c r="AK33">
        <v>66.471673564388794</v>
      </c>
      <c r="AL33">
        <v>86.588385302150797</v>
      </c>
      <c r="AM33">
        <v>93.484343417183197</v>
      </c>
      <c r="AN33">
        <v>0.99999999559167396</v>
      </c>
    </row>
    <row r="34" spans="1:40" x14ac:dyDescent="0.25">
      <c r="A34" t="str">
        <f>"20190303162743013"</f>
        <v>20190303162743013</v>
      </c>
      <c r="B34" t="str">
        <f>"1551601663001139"</f>
        <v>1551601663001139</v>
      </c>
      <c r="C34" t="s">
        <v>40</v>
      </c>
      <c r="D34">
        <v>5.1448519999999904</v>
      </c>
      <c r="E34">
        <v>0.52156020000000003</v>
      </c>
      <c r="F34" t="s">
        <v>42</v>
      </c>
      <c r="G34">
        <v>-417.43049999999999</v>
      </c>
      <c r="H34">
        <v>-0.05</v>
      </c>
      <c r="I34">
        <v>368.78960000000001</v>
      </c>
      <c r="J34">
        <v>-473.51240000000001</v>
      </c>
      <c r="K34">
        <v>1.1194120000000001</v>
      </c>
      <c r="L34">
        <v>367.12139999999999</v>
      </c>
      <c r="M34">
        <v>0.99975420000000004</v>
      </c>
      <c r="N34">
        <v>1.741025E-3</v>
      </c>
      <c r="O34">
        <v>2.2106009999999999E-2</v>
      </c>
      <c r="P34">
        <v>0.99405370000000004</v>
      </c>
      <c r="Q34">
        <v>6.6653379999999998E-2</v>
      </c>
      <c r="R34">
        <v>8.6109249999999998E-2</v>
      </c>
      <c r="S34">
        <v>3.0123289999999998</v>
      </c>
      <c r="T34">
        <v>-6.2692520000000002E-2</v>
      </c>
      <c r="U34">
        <v>8.9599609999999996E-2</v>
      </c>
      <c r="V34">
        <v>-6.4143899999999907E-2</v>
      </c>
      <c r="W34">
        <v>6.4889890000000006E-2</v>
      </c>
      <c r="X34">
        <v>0.99582870000000001</v>
      </c>
      <c r="Y34">
        <v>-7.631713E-3</v>
      </c>
      <c r="Z34">
        <v>-4.2558839999999999E-4</v>
      </c>
      <c r="AA34">
        <v>0.99997080000000005</v>
      </c>
      <c r="AB34">
        <v>10</v>
      </c>
      <c r="AC34">
        <v>56.081899999999997</v>
      </c>
      <c r="AD34">
        <v>-1.1694119999999999</v>
      </c>
      <c r="AE34">
        <v>1.6682000000000099</v>
      </c>
      <c r="AF34">
        <v>-0.427857659056252</v>
      </c>
      <c r="AG34">
        <v>-1.1694119999999999</v>
      </c>
      <c r="AH34">
        <v>56.080710311235997</v>
      </c>
      <c r="AI34">
        <v>91.194541116301707</v>
      </c>
      <c r="AJ34">
        <v>90.437119329328794</v>
      </c>
      <c r="AK34">
        <v>56.094533206141698</v>
      </c>
      <c r="AL34">
        <v>86.279468926417195</v>
      </c>
      <c r="AM34">
        <v>93.685477857430996</v>
      </c>
      <c r="AN34">
        <v>0.99999996873755503</v>
      </c>
    </row>
    <row r="35" spans="1:40" x14ac:dyDescent="0.25">
      <c r="A35" t="str">
        <f>"20190303162743034"</f>
        <v>20190303162743034</v>
      </c>
      <c r="B35" t="str">
        <f>"1551601663021635"</f>
        <v>1551601663021635</v>
      </c>
      <c r="C35" t="s">
        <v>40</v>
      </c>
      <c r="D35">
        <v>5.1447529999999997</v>
      </c>
      <c r="E35">
        <v>0.52174399999999999</v>
      </c>
      <c r="F35" t="s">
        <v>41</v>
      </c>
      <c r="G35">
        <v>-398.5394</v>
      </c>
      <c r="H35" s="1">
        <v>-6.1925659999999995E-7</v>
      </c>
      <c r="I35">
        <v>369.55790000000002</v>
      </c>
      <c r="J35">
        <v>-473.40969999999999</v>
      </c>
      <c r="K35">
        <v>1.1193930000000001</v>
      </c>
      <c r="L35">
        <v>367.12450000000001</v>
      </c>
      <c r="M35">
        <v>0.99973959999999995</v>
      </c>
      <c r="N35">
        <v>1.652733E-3</v>
      </c>
      <c r="O35">
        <v>2.2763419999999999E-2</v>
      </c>
      <c r="P35">
        <v>0.99312350000000005</v>
      </c>
      <c r="Q35">
        <v>7.0976269999999994E-2</v>
      </c>
      <c r="R35">
        <v>9.3104149999999997E-2</v>
      </c>
      <c r="S35">
        <v>3.0124819999999999</v>
      </c>
      <c r="T35">
        <v>-4.4978980000000002E-2</v>
      </c>
      <c r="U35">
        <v>9.7900390000000004E-2</v>
      </c>
      <c r="V35">
        <v>-7.0502110000000007E-2</v>
      </c>
      <c r="W35">
        <v>6.9302589999999997E-2</v>
      </c>
      <c r="X35">
        <v>0.99510129999999997</v>
      </c>
      <c r="Y35">
        <v>-9.7234139999999997E-3</v>
      </c>
      <c r="Z35">
        <v>-3.128025E-4</v>
      </c>
      <c r="AA35">
        <v>0.99995270000000003</v>
      </c>
      <c r="AB35">
        <v>11</v>
      </c>
      <c r="AC35">
        <v>74.870299999999901</v>
      </c>
      <c r="AD35">
        <v>-1.1193936192566001</v>
      </c>
      <c r="AE35">
        <v>2.4333999999999998</v>
      </c>
      <c r="AF35">
        <v>-0.72830056100949703</v>
      </c>
      <c r="AG35">
        <v>-1.1193936192566001</v>
      </c>
      <c r="AH35">
        <v>74.889569306778398</v>
      </c>
      <c r="AI35">
        <v>90.856310468600697</v>
      </c>
      <c r="AJ35">
        <v>90.557183507988796</v>
      </c>
      <c r="AK35">
        <v>74.901475651263098</v>
      </c>
      <c r="AL35">
        <v>86.026068699786805</v>
      </c>
      <c r="AM35">
        <v>94.052587186906706</v>
      </c>
      <c r="AN35">
        <v>0.999999996878425</v>
      </c>
    </row>
    <row r="36" spans="1:40" x14ac:dyDescent="0.25">
      <c r="A36" t="str">
        <f>"20190303162743057"</f>
        <v>20190303162743057</v>
      </c>
      <c r="B36" t="str">
        <f>"1551601663051892"</f>
        <v>1551601663051892</v>
      </c>
      <c r="C36" t="s">
        <v>40</v>
      </c>
      <c r="D36">
        <v>5.2250449999999997</v>
      </c>
      <c r="E36">
        <v>0.52200959999999996</v>
      </c>
      <c r="F36" t="s">
        <v>41</v>
      </c>
      <c r="G36">
        <v>-365.75049999999999</v>
      </c>
      <c r="H36" s="1">
        <v>-2.2553670000000002E-6</v>
      </c>
      <c r="I36">
        <v>371.30759999999998</v>
      </c>
      <c r="J36">
        <v>-473.29509999999999</v>
      </c>
      <c r="K36">
        <v>1.1193439999999999</v>
      </c>
      <c r="L36">
        <v>367.12779999999998</v>
      </c>
      <c r="M36">
        <v>0.99972490000000003</v>
      </c>
      <c r="N36">
        <v>1.5879479999999901E-3</v>
      </c>
      <c r="O36">
        <v>2.3401580000000002E-2</v>
      </c>
      <c r="P36">
        <v>0.99312</v>
      </c>
      <c r="Q36">
        <v>6.9278770000000003E-2</v>
      </c>
      <c r="R36">
        <v>9.4409820000000005E-2</v>
      </c>
      <c r="S36">
        <v>3.0120239999999998</v>
      </c>
      <c r="T36">
        <v>-3.1317709999999999E-2</v>
      </c>
      <c r="U36">
        <v>0.1170349</v>
      </c>
      <c r="V36">
        <v>-7.1165359999999997E-2</v>
      </c>
      <c r="W36">
        <v>6.7675639999999995E-2</v>
      </c>
      <c r="X36">
        <v>0.99516610000000005</v>
      </c>
      <c r="Y36">
        <v>-1.5432980000000001E-2</v>
      </c>
      <c r="Z36">
        <v>-2.12387E-4</v>
      </c>
      <c r="AA36">
        <v>0.99988089999999996</v>
      </c>
      <c r="AB36">
        <v>11</v>
      </c>
      <c r="AC36">
        <v>107.5446</v>
      </c>
      <c r="AD36">
        <v>-1.1193462553669999</v>
      </c>
      <c r="AE36">
        <v>4.1798000000000002</v>
      </c>
      <c r="AF36">
        <v>-1.6617588979343101</v>
      </c>
      <c r="AG36">
        <v>-1.1193462553669999</v>
      </c>
      <c r="AH36">
        <v>107.601323453793</v>
      </c>
      <c r="AI36">
        <v>90.5959392961948</v>
      </c>
      <c r="AJ36">
        <v>90.884786542533902</v>
      </c>
      <c r="AK36">
        <v>107.619975783691</v>
      </c>
      <c r="AL36">
        <v>86.119505624248205</v>
      </c>
      <c r="AM36">
        <v>94.090317708757098</v>
      </c>
      <c r="AN36">
        <v>1.00000003365127</v>
      </c>
    </row>
    <row r="37" spans="1:40" x14ac:dyDescent="0.25">
      <c r="A37" t="str">
        <f>"20190303162743083"</f>
        <v>20190303162743083</v>
      </c>
      <c r="B37" t="str">
        <f>"1551601663072389"</f>
        <v>1551601663072389</v>
      </c>
      <c r="C37" t="s">
        <v>40</v>
      </c>
      <c r="D37">
        <v>5.3064530000000003</v>
      </c>
      <c r="E37">
        <v>0.52232060000000002</v>
      </c>
      <c r="F37" t="s">
        <v>41</v>
      </c>
      <c r="G37">
        <v>-378.20299999999997</v>
      </c>
      <c r="H37" s="1">
        <v>-1.0780520000000001E-6</v>
      </c>
      <c r="I37">
        <v>370.83699999999999</v>
      </c>
      <c r="J37">
        <v>-473.1687</v>
      </c>
      <c r="K37">
        <v>1.119265</v>
      </c>
      <c r="L37">
        <v>367.13150000000002</v>
      </c>
      <c r="M37">
        <v>0.99971100000000002</v>
      </c>
      <c r="N37">
        <v>1.548385E-3</v>
      </c>
      <c r="O37">
        <v>2.3987410000000001E-2</v>
      </c>
      <c r="P37">
        <v>0.99371359999999997</v>
      </c>
      <c r="Q37">
        <v>6.6528690000000001E-2</v>
      </c>
      <c r="R37">
        <v>9.0039980000000006E-2</v>
      </c>
      <c r="S37">
        <v>3.0120849999999999</v>
      </c>
      <c r="T37">
        <v>-3.5455699999999903E-2</v>
      </c>
      <c r="U37">
        <v>0.11749270000000001</v>
      </c>
      <c r="V37">
        <v>-6.6190479999999996E-2</v>
      </c>
      <c r="W37">
        <v>6.4973630000000004E-2</v>
      </c>
      <c r="X37">
        <v>0.9956893</v>
      </c>
      <c r="Y37">
        <v>-1.4998249999999999E-2</v>
      </c>
      <c r="Z37">
        <v>-2.4270180000000001E-4</v>
      </c>
      <c r="AA37">
        <v>0.99988750000000004</v>
      </c>
      <c r="AB37">
        <v>11</v>
      </c>
      <c r="AC37">
        <v>94.965699999999899</v>
      </c>
      <c r="AD37">
        <v>-1.1192660780519901</v>
      </c>
      <c r="AE37">
        <v>3.70549999999997</v>
      </c>
      <c r="AF37">
        <v>-1.42625190714831</v>
      </c>
      <c r="AG37">
        <v>-1.1192660780519901</v>
      </c>
      <c r="AH37">
        <v>95.014081694773793</v>
      </c>
      <c r="AI37">
        <v>90.674837164159996</v>
      </c>
      <c r="AJ37">
        <v>90.859999658517395</v>
      </c>
      <c r="AK37">
        <v>95.031377299065198</v>
      </c>
      <c r="AL37">
        <v>86.274660825409796</v>
      </c>
      <c r="AM37">
        <v>93.803258112566098</v>
      </c>
      <c r="AN37">
        <v>0.99999996718624795</v>
      </c>
    </row>
    <row r="38" spans="1:40" x14ac:dyDescent="0.25">
      <c r="A38" t="str">
        <f>"20190303162743105"</f>
        <v>20190303162743105</v>
      </c>
      <c r="B38" t="str">
        <f>"1551601663091908"</f>
        <v>1551601663091908</v>
      </c>
      <c r="C38" t="s">
        <v>40</v>
      </c>
      <c r="D38">
        <v>5.1835110000000002</v>
      </c>
      <c r="E38">
        <v>0.52273270000000005</v>
      </c>
      <c r="F38" t="s">
        <v>41</v>
      </c>
      <c r="G38">
        <v>-392.41800000000001</v>
      </c>
      <c r="H38" s="1">
        <v>-3.3034309999999998E-6</v>
      </c>
      <c r="I38">
        <v>369.87349999999998</v>
      </c>
      <c r="J38">
        <v>-473.05009999999999</v>
      </c>
      <c r="K38">
        <v>1.1191879999999901</v>
      </c>
      <c r="L38">
        <v>367.13490000000002</v>
      </c>
      <c r="M38">
        <v>0.99970079999999995</v>
      </c>
      <c r="N38">
        <v>1.5367480000000001E-3</v>
      </c>
      <c r="O38">
        <v>2.4417029999999999E-2</v>
      </c>
      <c r="P38">
        <v>0.99397469999999999</v>
      </c>
      <c r="Q38">
        <v>6.7550680000000002E-2</v>
      </c>
      <c r="R38">
        <v>8.6320910000000001E-2</v>
      </c>
      <c r="S38">
        <v>3.0124819999999999</v>
      </c>
      <c r="T38">
        <v>-4.1755319999999999E-2</v>
      </c>
      <c r="U38">
        <v>0.10229489999999999</v>
      </c>
      <c r="V38">
        <v>-6.2030380000000003E-2</v>
      </c>
      <c r="W38">
        <v>6.6015660000000004E-2</v>
      </c>
      <c r="X38">
        <v>0.99588869999999896</v>
      </c>
      <c r="Y38">
        <v>-9.5264300000000007E-3</v>
      </c>
      <c r="Z38">
        <v>-3.1710419999999998E-4</v>
      </c>
      <c r="AA38">
        <v>0.99995460000000003</v>
      </c>
      <c r="AB38">
        <v>11</v>
      </c>
      <c r="AC38">
        <v>80.632099999999895</v>
      </c>
      <c r="AD38">
        <v>-1.1191913034309999</v>
      </c>
      <c r="AE38">
        <v>2.73859999999996</v>
      </c>
      <c r="AF38">
        <v>-0.76883706713562705</v>
      </c>
      <c r="AG38">
        <v>-1.1191913034309999</v>
      </c>
      <c r="AH38">
        <v>80.659406857108493</v>
      </c>
      <c r="AI38">
        <v>90.794921676957102</v>
      </c>
      <c r="AJ38">
        <v>90.546120864895101</v>
      </c>
      <c r="AK38">
        <v>80.670834966238203</v>
      </c>
      <c r="AL38">
        <v>86.214828820999998</v>
      </c>
      <c r="AM38">
        <v>93.564146783063904</v>
      </c>
      <c r="AN38">
        <v>1.00000006909793</v>
      </c>
    </row>
    <row r="39" spans="1:40" x14ac:dyDescent="0.25">
      <c r="A39" t="str">
        <f>"20190303162743128"</f>
        <v>20190303162743128</v>
      </c>
      <c r="B39" t="str">
        <f>"1551601663121187"</f>
        <v>1551601663121187</v>
      </c>
      <c r="C39" t="s">
        <v>40</v>
      </c>
      <c r="D39">
        <v>5.2106149999999998</v>
      </c>
      <c r="E39">
        <v>0.52347259999999995</v>
      </c>
      <c r="F39" t="s">
        <v>41</v>
      </c>
      <c r="G39">
        <v>-377.89589999999998</v>
      </c>
      <c r="H39" s="1">
        <v>-9.614727000000001E-7</v>
      </c>
      <c r="I39">
        <v>369.90379999999999</v>
      </c>
      <c r="J39">
        <v>-472.93130000000002</v>
      </c>
      <c r="K39">
        <v>1.1191139999999999</v>
      </c>
      <c r="L39">
        <v>367.13819999999998</v>
      </c>
      <c r="M39">
        <v>0.99969269999999999</v>
      </c>
      <c r="N39">
        <v>1.5431819999999999E-3</v>
      </c>
      <c r="O39">
        <v>2.474697E-2</v>
      </c>
      <c r="P39">
        <v>0.99420980000000003</v>
      </c>
      <c r="Q39">
        <v>6.8173739999999997E-2</v>
      </c>
      <c r="R39">
        <v>8.3063170000000006E-2</v>
      </c>
      <c r="S39">
        <v>3.0129999999999999</v>
      </c>
      <c r="T39">
        <v>-3.5438419999999998E-2</v>
      </c>
      <c r="U39">
        <v>8.7677000000000005E-2</v>
      </c>
      <c r="V39">
        <v>-5.843131E-2</v>
      </c>
      <c r="W39">
        <v>6.6639420000000005E-2</v>
      </c>
      <c r="X39">
        <v>0.99606470000000003</v>
      </c>
      <c r="Y39">
        <v>-4.3437429999999997E-3</v>
      </c>
      <c r="Z39">
        <v>-3.0694899999999999E-4</v>
      </c>
      <c r="AA39">
        <v>0.9999905</v>
      </c>
      <c r="AB39">
        <v>12</v>
      </c>
      <c r="AC39">
        <v>95.035399999999996</v>
      </c>
      <c r="AD39">
        <v>-1.1191149614726901</v>
      </c>
      <c r="AE39">
        <v>2.7656000000000001</v>
      </c>
      <c r="AF39">
        <v>-0.41285516883644702</v>
      </c>
      <c r="AG39">
        <v>-1.1191149614726901</v>
      </c>
      <c r="AH39">
        <v>95.061564425441702</v>
      </c>
      <c r="AI39">
        <v>90.674478669506499</v>
      </c>
      <c r="AJ39">
        <v>90.248835690259398</v>
      </c>
      <c r="AK39">
        <v>95.069048058239403</v>
      </c>
      <c r="AL39">
        <v>86.1790107100136</v>
      </c>
      <c r="AM39">
        <v>93.357246855472695</v>
      </c>
      <c r="AN39">
        <v>0.99999995843616996</v>
      </c>
    </row>
    <row r="40" spans="1:40" x14ac:dyDescent="0.25">
      <c r="A40" t="str">
        <f>"20190303162743148"</f>
        <v>20190303162743148</v>
      </c>
      <c r="B40" t="str">
        <f>"1551601663141684"</f>
        <v>1551601663141684</v>
      </c>
      <c r="C40" t="s">
        <v>40</v>
      </c>
      <c r="D40">
        <v>5.2463610000000003</v>
      </c>
      <c r="E40">
        <v>0.52394160000000001</v>
      </c>
      <c r="F40" t="s">
        <v>41</v>
      </c>
      <c r="G40">
        <v>-357.60570000000001</v>
      </c>
      <c r="H40" s="1">
        <v>-1.075686E-6</v>
      </c>
      <c r="I40">
        <v>369.86520000000002</v>
      </c>
      <c r="J40">
        <v>-472.81779999999998</v>
      </c>
      <c r="K40">
        <v>1.119051</v>
      </c>
      <c r="L40">
        <v>367.14139999999998</v>
      </c>
      <c r="M40">
        <v>0.99968650000000003</v>
      </c>
      <c r="N40">
        <v>1.5615379999999999E-3</v>
      </c>
      <c r="O40">
        <v>2.4993250000000002E-2</v>
      </c>
      <c r="P40">
        <v>0.99466619999999994</v>
      </c>
      <c r="Q40">
        <v>6.7435679999999998E-2</v>
      </c>
      <c r="R40">
        <v>7.8049709999999994E-2</v>
      </c>
      <c r="S40">
        <v>3.0134889999999999</v>
      </c>
      <c r="T40">
        <v>-2.9242750000000001E-2</v>
      </c>
      <c r="U40">
        <v>7.1258539999999995E-2</v>
      </c>
      <c r="V40">
        <v>-5.3156839999999997E-2</v>
      </c>
      <c r="W40">
        <v>6.5886730000000004E-2</v>
      </c>
      <c r="X40">
        <v>0.99641020000000002</v>
      </c>
      <c r="Y40">
        <v>1.3521200000000001E-3</v>
      </c>
      <c r="Z40">
        <v>-2.8698770000000002E-4</v>
      </c>
      <c r="AA40">
        <v>0.99999899999999997</v>
      </c>
      <c r="AB40">
        <v>12</v>
      </c>
      <c r="AC40">
        <v>115.212099999999</v>
      </c>
      <c r="AD40">
        <v>-1.1190520756860001</v>
      </c>
      <c r="AE40">
        <v>2.7238000000000402</v>
      </c>
      <c r="AF40">
        <v>0.15656414262809501</v>
      </c>
      <c r="AG40">
        <v>-1.1190520756860001</v>
      </c>
      <c r="AH40">
        <v>115.23332139449499</v>
      </c>
      <c r="AI40">
        <v>90.556391897714207</v>
      </c>
      <c r="AJ40">
        <v>89.922153948464299</v>
      </c>
      <c r="AK40">
        <v>115.238861281626</v>
      </c>
      <c r="AL40">
        <v>86.222231817200793</v>
      </c>
      <c r="AM40">
        <v>93.053740459992596</v>
      </c>
      <c r="AN40">
        <v>0.99999999874645895</v>
      </c>
    </row>
    <row r="41" spans="1:40" x14ac:dyDescent="0.25">
      <c r="A41" t="str">
        <f>"20190303162743170"</f>
        <v>20190303162743170</v>
      </c>
      <c r="B41" t="str">
        <f>"1551601663161204"</f>
        <v>1551601663161204</v>
      </c>
      <c r="C41" t="s">
        <v>40</v>
      </c>
      <c r="D41">
        <v>5.2439359999999997</v>
      </c>
      <c r="E41">
        <v>0.52436079999999996</v>
      </c>
      <c r="F41" t="s">
        <v>41</v>
      </c>
      <c r="G41">
        <v>-357.04880000000003</v>
      </c>
      <c r="H41" s="1">
        <v>-1.3293670000000001E-6</v>
      </c>
      <c r="I41">
        <v>369.15989999999999</v>
      </c>
      <c r="J41">
        <v>-472.69290000000001</v>
      </c>
      <c r="K41">
        <v>1.119008</v>
      </c>
      <c r="L41">
        <v>367.1447</v>
      </c>
      <c r="M41">
        <v>0.99968120000000005</v>
      </c>
      <c r="N41">
        <v>1.593017E-3</v>
      </c>
      <c r="O41">
        <v>2.5199989999999999E-2</v>
      </c>
      <c r="P41">
        <v>0.99517069999999996</v>
      </c>
      <c r="Q41">
        <v>6.7481680000000002E-2</v>
      </c>
      <c r="R41">
        <v>7.1289359999999996E-2</v>
      </c>
      <c r="S41">
        <v>3.0139469999999999</v>
      </c>
      <c r="T41">
        <v>-2.9133559999999999E-2</v>
      </c>
      <c r="U41">
        <v>5.2551269999999997E-2</v>
      </c>
      <c r="V41">
        <v>-4.6175479999999998E-2</v>
      </c>
      <c r="W41">
        <v>6.5903370000000003E-2</v>
      </c>
      <c r="X41">
        <v>0.996757</v>
      </c>
      <c r="Y41">
        <v>7.766439E-3</v>
      </c>
      <c r="Z41">
        <v>-3.150235E-4</v>
      </c>
      <c r="AA41">
        <v>0.99996980000000002</v>
      </c>
      <c r="AB41">
        <v>12</v>
      </c>
      <c r="AC41">
        <v>115.644099999999</v>
      </c>
      <c r="AD41">
        <v>-1.119009329367</v>
      </c>
      <c r="AE41">
        <v>2.0151999999999899</v>
      </c>
      <c r="AF41">
        <v>0.89958951136070597</v>
      </c>
      <c r="AG41">
        <v>-1.119009329367</v>
      </c>
      <c r="AH41">
        <v>115.64733296700599</v>
      </c>
      <c r="AI41">
        <v>90.554362732603494</v>
      </c>
      <c r="AJ41">
        <v>89.554320524150796</v>
      </c>
      <c r="AK41">
        <v>115.65624525095799</v>
      </c>
      <c r="AL41">
        <v>86.221276241662494</v>
      </c>
      <c r="AM41">
        <v>92.652371603156794</v>
      </c>
      <c r="AN41">
        <v>0.99999997308979305</v>
      </c>
    </row>
    <row r="42" spans="1:40" x14ac:dyDescent="0.25">
      <c r="A42" t="str">
        <f>"20190303162743191"</f>
        <v>20190303162743191</v>
      </c>
      <c r="B42" t="str">
        <f>"1551601663181699"</f>
        <v>1551601663181699</v>
      </c>
      <c r="C42" t="s">
        <v>40</v>
      </c>
      <c r="D42">
        <v>5.2961739999999997</v>
      </c>
      <c r="E42">
        <v>0.52472649999999998</v>
      </c>
      <c r="F42" t="s">
        <v>41</v>
      </c>
      <c r="G42">
        <v>-349.34410000000003</v>
      </c>
      <c r="H42" s="1">
        <v>-5.7608530000000002E-7</v>
      </c>
      <c r="I42">
        <v>368.33859999999999</v>
      </c>
      <c r="J42">
        <v>-472.57260000000002</v>
      </c>
      <c r="K42">
        <v>1.119</v>
      </c>
      <c r="L42">
        <v>367.14789999999999</v>
      </c>
      <c r="M42">
        <v>0.99967740000000005</v>
      </c>
      <c r="N42">
        <v>1.6316179999999901E-3</v>
      </c>
      <c r="O42">
        <v>2.5351499999999999E-2</v>
      </c>
      <c r="P42">
        <v>0.99551199999999995</v>
      </c>
      <c r="Q42">
        <v>7.0568839999999994E-2</v>
      </c>
      <c r="R42">
        <v>6.3057680000000005E-2</v>
      </c>
      <c r="S42">
        <v>3.014313</v>
      </c>
      <c r="T42">
        <v>-2.7345540000000002E-2</v>
      </c>
      <c r="U42">
        <v>2.9174800000000001E-2</v>
      </c>
      <c r="V42">
        <v>-3.7783440000000001E-2</v>
      </c>
      <c r="W42">
        <v>6.8951520000000002E-2</v>
      </c>
      <c r="X42">
        <v>0.99690429999999997</v>
      </c>
      <c r="Y42">
        <v>1.567317E-2</v>
      </c>
      <c r="Z42">
        <v>-3.296199E-4</v>
      </c>
      <c r="AA42">
        <v>0.99987709999999996</v>
      </c>
      <c r="AB42">
        <v>12</v>
      </c>
      <c r="AC42">
        <v>123.2285</v>
      </c>
      <c r="AD42">
        <v>-1.1190005760852999</v>
      </c>
      <c r="AE42">
        <v>1.1906999999999901</v>
      </c>
      <c r="AF42">
        <v>1.9335543313344701</v>
      </c>
      <c r="AG42">
        <v>-1.1190005760852999</v>
      </c>
      <c r="AH42">
        <v>123.208921476906</v>
      </c>
      <c r="AI42">
        <v>90.520289877579401</v>
      </c>
      <c r="AJ42">
        <v>89.100914057147804</v>
      </c>
      <c r="AK42">
        <v>123.22917319427199</v>
      </c>
      <c r="AL42">
        <v>86.046231940358396</v>
      </c>
      <c r="AM42">
        <v>92.170515233283595</v>
      </c>
      <c r="AN42">
        <v>1.00000004190351</v>
      </c>
    </row>
    <row r="43" spans="1:40" x14ac:dyDescent="0.25">
      <c r="A43" t="str">
        <f>"20190303162743225"</f>
        <v>20190303162743225</v>
      </c>
      <c r="B43" t="str">
        <f>"1551601663221716"</f>
        <v>1551601663221716</v>
      </c>
      <c r="C43" t="s">
        <v>40</v>
      </c>
      <c r="D43">
        <v>5.4099250000000003</v>
      </c>
      <c r="E43">
        <v>0.52507329999999997</v>
      </c>
      <c r="F43" t="s">
        <v>41</v>
      </c>
      <c r="G43">
        <v>-270.60340000000002</v>
      </c>
      <c r="H43" s="1">
        <v>-4.4255460000000002E-6</v>
      </c>
      <c r="I43">
        <v>367.29300000000001</v>
      </c>
      <c r="J43">
        <v>-472.3784</v>
      </c>
      <c r="K43">
        <v>1.1190020000000001</v>
      </c>
      <c r="L43">
        <v>367.15300000000002</v>
      </c>
      <c r="M43">
        <v>0.99967249999999996</v>
      </c>
      <c r="N43">
        <v>1.70575E-3</v>
      </c>
      <c r="O43">
        <v>2.5533670000000001E-2</v>
      </c>
      <c r="P43">
        <v>0.99552220000000002</v>
      </c>
      <c r="Q43">
        <v>7.468756E-2</v>
      </c>
      <c r="R43">
        <v>5.7943580000000001E-2</v>
      </c>
      <c r="S43">
        <v>3.0145569999999999</v>
      </c>
      <c r="T43">
        <v>-1.6702060000000001E-2</v>
      </c>
      <c r="U43">
        <v>2.166748E-3</v>
      </c>
      <c r="V43">
        <v>-3.2487059999999998E-2</v>
      </c>
      <c r="W43">
        <v>7.2995840000000006E-2</v>
      </c>
      <c r="X43">
        <v>0.99680299999999999</v>
      </c>
      <c r="Y43">
        <v>2.4814240000000001E-2</v>
      </c>
      <c r="Z43">
        <v>-2.3258999999999999E-4</v>
      </c>
      <c r="AA43">
        <v>0.99969200000000003</v>
      </c>
      <c r="AB43">
        <v>13</v>
      </c>
      <c r="AC43">
        <v>201.77500000000001</v>
      </c>
      <c r="AD43">
        <v>-1.1190064255459999</v>
      </c>
      <c r="AE43">
        <v>0.139999999999986</v>
      </c>
      <c r="AF43">
        <v>5.01195529522768</v>
      </c>
      <c r="AG43">
        <v>-1.1190064255459999</v>
      </c>
      <c r="AH43">
        <v>201.70658465674501</v>
      </c>
      <c r="AI43">
        <v>90.317758119448996</v>
      </c>
      <c r="AJ43">
        <v>88.576621538979595</v>
      </c>
      <c r="AK43">
        <v>201.771945931912</v>
      </c>
      <c r="AL43">
        <v>85.813923355394493</v>
      </c>
      <c r="AM43">
        <v>91.866680581024099</v>
      </c>
      <c r="AN43">
        <v>1.0000000112668701</v>
      </c>
    </row>
    <row r="44" spans="1:40" x14ac:dyDescent="0.25">
      <c r="A44" t="str">
        <f>"20190303162743248"</f>
        <v>20190303162743248</v>
      </c>
      <c r="B44" t="str">
        <f>"1551601663241235"</f>
        <v>1551601663241235</v>
      </c>
      <c r="C44" t="s">
        <v>40</v>
      </c>
      <c r="D44">
        <v>5.4263490000000001</v>
      </c>
      <c r="E44">
        <v>0.52507939999999997</v>
      </c>
      <c r="F44" t="s">
        <v>43</v>
      </c>
      <c r="G44">
        <v>-158.19499999999999</v>
      </c>
      <c r="H44">
        <v>0.77934479999999995</v>
      </c>
      <c r="I44">
        <v>365.48970000000003</v>
      </c>
      <c r="J44">
        <v>-472.2405</v>
      </c>
      <c r="K44">
        <v>1.1190059999999999</v>
      </c>
      <c r="L44">
        <v>367.15660000000003</v>
      </c>
      <c r="M44">
        <v>0.99966980000000005</v>
      </c>
      <c r="N44">
        <v>1.7641480000000001E-3</v>
      </c>
      <c r="O44">
        <v>2.5638930000000001E-2</v>
      </c>
      <c r="P44">
        <v>0.99567760000000005</v>
      </c>
      <c r="Q44">
        <v>7.5277919999999998E-2</v>
      </c>
      <c r="R44">
        <v>5.4402569999999997E-2</v>
      </c>
      <c r="S44">
        <v>3.0146480000000002</v>
      </c>
      <c r="T44">
        <v>-3.2582280000000002E-3</v>
      </c>
      <c r="U44">
        <v>-1.596069E-2</v>
      </c>
      <c r="V44">
        <v>-2.88396E-2</v>
      </c>
      <c r="W44">
        <v>7.3526579999999994E-2</v>
      </c>
      <c r="X44">
        <v>0.99687619999999999</v>
      </c>
      <c r="Y44">
        <v>3.0931090000000001E-2</v>
      </c>
      <c r="Z44" s="1">
        <v>-6.2373319999999894E-5</v>
      </c>
      <c r="AA44">
        <v>0.99952149999999995</v>
      </c>
      <c r="AB44">
        <v>13</v>
      </c>
      <c r="AC44">
        <v>314.0455</v>
      </c>
      <c r="AD44">
        <v>-0.339661199999999</v>
      </c>
      <c r="AE44">
        <v>-1.6668999999999901</v>
      </c>
      <c r="AF44">
        <v>9.71814308050938</v>
      </c>
      <c r="AG44">
        <v>-0.339661199999999</v>
      </c>
      <c r="AH44">
        <v>313.89915830067099</v>
      </c>
      <c r="AI44">
        <v>90.061968390778802</v>
      </c>
      <c r="AJ44">
        <v>88.226720993712703</v>
      </c>
      <c r="AK44">
        <v>314.049740099453</v>
      </c>
      <c r="AL44">
        <v>85.783432291258293</v>
      </c>
      <c r="AM44">
        <v>91.657103067946295</v>
      </c>
      <c r="AN44">
        <v>1.0000000193105401</v>
      </c>
    </row>
    <row r="45" spans="1:40" x14ac:dyDescent="0.25">
      <c r="A45" t="str">
        <f>"20190303162743272"</f>
        <v>20190303162743272</v>
      </c>
      <c r="B45" t="str">
        <f>"1551601663262708"</f>
        <v>1551601663262708</v>
      </c>
      <c r="C45" t="s">
        <v>40</v>
      </c>
      <c r="D45">
        <v>5.3582260000000002</v>
      </c>
      <c r="E45">
        <v>0.525088</v>
      </c>
      <c r="F45" t="s">
        <v>43</v>
      </c>
      <c r="G45">
        <v>-158.19499999999999</v>
      </c>
      <c r="H45">
        <v>0.88855649999999997</v>
      </c>
      <c r="I45">
        <v>364.36540000000002</v>
      </c>
      <c r="J45">
        <v>-472.09629999999999</v>
      </c>
      <c r="K45">
        <v>1.119019</v>
      </c>
      <c r="L45">
        <v>367.16039999999998</v>
      </c>
      <c r="M45">
        <v>0.99966690000000002</v>
      </c>
      <c r="N45">
        <v>1.8282179999999999E-3</v>
      </c>
      <c r="O45">
        <v>2.574684E-2</v>
      </c>
      <c r="P45">
        <v>0.9958264</v>
      </c>
      <c r="Q45">
        <v>7.5377669999999994E-2</v>
      </c>
      <c r="R45">
        <v>5.1461609999999998E-2</v>
      </c>
      <c r="S45">
        <v>3.0146480000000002</v>
      </c>
      <c r="T45">
        <v>-2.2113319999999999E-3</v>
      </c>
      <c r="U45">
        <v>-2.6794430000000001E-2</v>
      </c>
      <c r="V45">
        <v>-2.5791950000000001E-2</v>
      </c>
      <c r="W45">
        <v>7.3559849999999996E-2</v>
      </c>
      <c r="X45">
        <v>0.99695719999999999</v>
      </c>
      <c r="Y45">
        <v>3.4630580000000001E-2</v>
      </c>
      <c r="Z45" s="1">
        <v>-4.7001379999999999E-5</v>
      </c>
      <c r="AA45">
        <v>0.99940019999999996</v>
      </c>
      <c r="AB45">
        <v>13</v>
      </c>
      <c r="AC45">
        <v>313.90129999999999</v>
      </c>
      <c r="AD45">
        <v>-0.23046249999999899</v>
      </c>
      <c r="AE45">
        <v>-2.7949999999999502</v>
      </c>
      <c r="AF45">
        <v>10.876047013694899</v>
      </c>
      <c r="AG45">
        <v>-0.23046249999999899</v>
      </c>
      <c r="AH45">
        <v>313.72510824319397</v>
      </c>
      <c r="AI45">
        <v>90.042064209092501</v>
      </c>
      <c r="AJ45">
        <v>88.014497041880404</v>
      </c>
      <c r="AK45">
        <v>313.91365859709202</v>
      </c>
      <c r="AL45">
        <v>85.781520665404202</v>
      </c>
      <c r="AM45">
        <v>91.481949602706607</v>
      </c>
      <c r="AN45">
        <v>0.99999996742433195</v>
      </c>
    </row>
    <row r="46" spans="1:40" x14ac:dyDescent="0.25">
      <c r="A46" t="str">
        <f>"20190303162743294"</f>
        <v>20190303162743294</v>
      </c>
      <c r="B46" t="str">
        <f>"1551601663281252"</f>
        <v>1551601663281252</v>
      </c>
      <c r="C46" t="s">
        <v>40</v>
      </c>
      <c r="D46">
        <v>5.439629</v>
      </c>
      <c r="E46">
        <v>0.52501619999999904</v>
      </c>
      <c r="F46" t="s">
        <v>43</v>
      </c>
      <c r="G46">
        <v>-158.19499999999999</v>
      </c>
      <c r="H46">
        <v>0.85444779999999998</v>
      </c>
      <c r="I46">
        <v>363.49650000000003</v>
      </c>
      <c r="J46">
        <v>-471.95440000000002</v>
      </c>
      <c r="K46">
        <v>1.119038</v>
      </c>
      <c r="L46">
        <v>367.16419999999999</v>
      </c>
      <c r="M46">
        <v>0.99966370000000004</v>
      </c>
      <c r="N46">
        <v>1.892089E-3</v>
      </c>
      <c r="O46">
        <v>2.5863560000000001E-2</v>
      </c>
      <c r="P46">
        <v>0.99573929999999999</v>
      </c>
      <c r="Q46">
        <v>7.6687019999999995E-2</v>
      </c>
      <c r="R46">
        <v>5.1208799999999999E-2</v>
      </c>
      <c r="S46">
        <v>3.0145870000000001</v>
      </c>
      <c r="T46">
        <v>-2.539992E-3</v>
      </c>
      <c r="U46">
        <v>-3.5186769999999999E-2</v>
      </c>
      <c r="V46">
        <v>-2.542925E-2</v>
      </c>
      <c r="W46">
        <v>7.4804300000000004E-2</v>
      </c>
      <c r="X46">
        <v>0.99687400000000004</v>
      </c>
      <c r="Y46">
        <v>3.7529229999999997E-2</v>
      </c>
      <c r="Z46" s="1">
        <v>-5.1031140000000003E-5</v>
      </c>
      <c r="AA46">
        <v>0.9992955</v>
      </c>
      <c r="AB46">
        <v>14</v>
      </c>
      <c r="AC46">
        <v>313.75940000000003</v>
      </c>
      <c r="AD46">
        <v>-0.264590199999999</v>
      </c>
      <c r="AE46">
        <v>-3.66769999999996</v>
      </c>
      <c r="AF46">
        <v>11.781414232488199</v>
      </c>
      <c r="AG46">
        <v>-0.264590199999999</v>
      </c>
      <c r="AH46">
        <v>313.55935861417697</v>
      </c>
      <c r="AI46">
        <v>90.048313686503306</v>
      </c>
      <c r="AJ46">
        <v>87.848229023853804</v>
      </c>
      <c r="AK46">
        <v>313.78072455749299</v>
      </c>
      <c r="AL46">
        <v>85.710022285139203</v>
      </c>
      <c r="AM46">
        <v>91.461240637704094</v>
      </c>
      <c r="AN46">
        <v>1.00000005096502</v>
      </c>
    </row>
    <row r="47" spans="1:40" x14ac:dyDescent="0.25">
      <c r="A47" t="str">
        <f>"20190303162743316"</f>
        <v>20190303162743316</v>
      </c>
      <c r="B47" t="str">
        <f>"1551601663301748"</f>
        <v>1551601663301748</v>
      </c>
      <c r="C47" t="s">
        <v>40</v>
      </c>
      <c r="D47">
        <v>5.4386970000000003</v>
      </c>
      <c r="E47">
        <v>0.52492209999999995</v>
      </c>
      <c r="F47" t="s">
        <v>43</v>
      </c>
      <c r="G47">
        <v>-158.19499999999999</v>
      </c>
      <c r="H47">
        <v>1.1807129999999999</v>
      </c>
      <c r="I47">
        <v>363.4194</v>
      </c>
      <c r="J47">
        <v>-471.8186</v>
      </c>
      <c r="K47">
        <v>1.1190739999999999</v>
      </c>
      <c r="L47">
        <v>367.1678</v>
      </c>
      <c r="M47">
        <v>0.99966029999999995</v>
      </c>
      <c r="N47">
        <v>1.952907E-3</v>
      </c>
      <c r="O47">
        <v>2.5994860000000002E-2</v>
      </c>
      <c r="P47">
        <v>0.99524029999999997</v>
      </c>
      <c r="Q47">
        <v>8.1289230000000004E-2</v>
      </c>
      <c r="R47">
        <v>5.3751880000000002E-2</v>
      </c>
      <c r="S47">
        <v>3.0146480000000002</v>
      </c>
      <c r="T47">
        <v>5.9342379999999999E-4</v>
      </c>
      <c r="U47">
        <v>-3.598022E-2</v>
      </c>
      <c r="V47">
        <v>-2.7858839999999999E-2</v>
      </c>
      <c r="W47">
        <v>7.9345009999999994E-2</v>
      </c>
      <c r="X47">
        <v>0.99645790000000001</v>
      </c>
      <c r="Y47">
        <v>3.792326E-2</v>
      </c>
      <c r="Z47" s="1">
        <v>-4.8854639999999999E-6</v>
      </c>
      <c r="AA47">
        <v>0.99928059999999996</v>
      </c>
      <c r="AB47">
        <v>14</v>
      </c>
      <c r="AC47">
        <v>313.62360000000001</v>
      </c>
      <c r="AD47">
        <v>6.1638999999999999E-2</v>
      </c>
      <c r="AE47">
        <v>-3.7484000000000002</v>
      </c>
      <c r="AF47">
        <v>11.8997489167529</v>
      </c>
      <c r="AG47">
        <v>6.1638999999999999E-2</v>
      </c>
      <c r="AH47">
        <v>313.42016743742897</v>
      </c>
      <c r="AI47">
        <v>89.988739997798803</v>
      </c>
      <c r="AJ47">
        <v>87.825672591500606</v>
      </c>
      <c r="AK47">
        <v>313.64599340682503</v>
      </c>
      <c r="AL47">
        <v>85.449082316404102</v>
      </c>
      <c r="AM47">
        <v>91.601450763485701</v>
      </c>
      <c r="AN47">
        <v>1.0000000460252201</v>
      </c>
    </row>
    <row r="48" spans="1:40" x14ac:dyDescent="0.25">
      <c r="A48" t="str">
        <f>"20190303162743337"</f>
        <v>20190303162743337</v>
      </c>
      <c r="B48" t="str">
        <f>"1551601663332003"</f>
        <v>1551601663332003</v>
      </c>
      <c r="C48" t="s">
        <v>40</v>
      </c>
      <c r="D48">
        <v>5.4725330000000003</v>
      </c>
      <c r="E48">
        <v>0.52479989999999999</v>
      </c>
      <c r="F48" t="s">
        <v>43</v>
      </c>
      <c r="G48">
        <v>-158.19499999999999</v>
      </c>
      <c r="H48">
        <v>2.7282150000000001</v>
      </c>
      <c r="I48">
        <v>364.09460000000001</v>
      </c>
      <c r="J48">
        <v>-471.68180000000001</v>
      </c>
      <c r="K48">
        <v>1.119108</v>
      </c>
      <c r="L48">
        <v>367.17149999999998</v>
      </c>
      <c r="M48">
        <v>0.99965599999999999</v>
      </c>
      <c r="N48">
        <v>2.0130130000000001E-3</v>
      </c>
      <c r="O48">
        <v>2.6155649999999999E-2</v>
      </c>
      <c r="P48">
        <v>0.99469620000000003</v>
      </c>
      <c r="Q48">
        <v>8.6002560000000006E-2</v>
      </c>
      <c r="R48">
        <v>5.6418990000000002E-2</v>
      </c>
      <c r="S48">
        <v>3.0147089999999999</v>
      </c>
      <c r="T48">
        <v>1.546872E-2</v>
      </c>
      <c r="U48">
        <v>-2.9541020000000001E-2</v>
      </c>
      <c r="V48">
        <v>-3.0386320000000001E-2</v>
      </c>
      <c r="W48">
        <v>8.3996699999999994E-2</v>
      </c>
      <c r="X48">
        <v>0.99600259999999996</v>
      </c>
      <c r="Y48">
        <v>3.5948790000000001E-2</v>
      </c>
      <c r="Z48">
        <v>2.0995160000000001E-4</v>
      </c>
      <c r="AA48">
        <v>0.99935359999999995</v>
      </c>
      <c r="AB48">
        <v>14</v>
      </c>
      <c r="AC48">
        <v>313.48680000000002</v>
      </c>
      <c r="AD48">
        <v>1.6091070000000001</v>
      </c>
      <c r="AE48">
        <v>-3.0768999999999598</v>
      </c>
      <c r="AF48">
        <v>11.2750167505741</v>
      </c>
      <c r="AG48">
        <v>1.6091070000000001</v>
      </c>
      <c r="AH48">
        <v>313.29081831275698</v>
      </c>
      <c r="AI48">
        <v>89.7059135553733</v>
      </c>
      <c r="AJ48">
        <v>87.938872936288504</v>
      </c>
      <c r="AK48">
        <v>313.49777043408199</v>
      </c>
      <c r="AL48">
        <v>85.181666201227799</v>
      </c>
      <c r="AM48">
        <v>91.747453311785094</v>
      </c>
      <c r="AN48">
        <v>0.99999997663039497</v>
      </c>
    </row>
    <row r="49" spans="1:40" x14ac:dyDescent="0.25">
      <c r="A49" t="str">
        <f>"20190303162743360"</f>
        <v>20190303162743360</v>
      </c>
      <c r="B49" t="str">
        <f>"1551601663351524"</f>
        <v>1551601663351524</v>
      </c>
      <c r="C49" t="s">
        <v>40</v>
      </c>
      <c r="D49">
        <v>5.5185279999999999</v>
      </c>
      <c r="E49">
        <v>0.52471820000000002</v>
      </c>
      <c r="F49" t="s">
        <v>43</v>
      </c>
      <c r="G49">
        <v>-158.19499999999999</v>
      </c>
      <c r="H49">
        <v>4.1009820000000001</v>
      </c>
      <c r="I49">
        <v>364.97550000000001</v>
      </c>
      <c r="J49">
        <v>-471.53160000000003</v>
      </c>
      <c r="K49">
        <v>1.1191340000000001</v>
      </c>
      <c r="L49">
        <v>367.17559999999997</v>
      </c>
      <c r="M49">
        <v>0.99965009999999999</v>
      </c>
      <c r="N49">
        <v>2.0764780000000001E-3</v>
      </c>
      <c r="O49">
        <v>2.63719E-2</v>
      </c>
      <c r="P49">
        <v>0.99449639999999995</v>
      </c>
      <c r="Q49">
        <v>8.7067839999999994E-2</v>
      </c>
      <c r="R49">
        <v>5.8279299999999999E-2</v>
      </c>
      <c r="S49">
        <v>3.0147089999999999</v>
      </c>
      <c r="T49">
        <v>2.8676630000000002E-2</v>
      </c>
      <c r="U49">
        <v>-2.111816E-2</v>
      </c>
      <c r="V49">
        <v>-3.2043910000000002E-2</v>
      </c>
      <c r="W49">
        <v>8.4995899999999999E-2</v>
      </c>
      <c r="X49">
        <v>0.99586589999999997</v>
      </c>
      <c r="Y49">
        <v>3.3371169999999999E-2</v>
      </c>
      <c r="Z49">
        <v>3.8942879999999999E-4</v>
      </c>
      <c r="AA49">
        <v>0.99944290000000002</v>
      </c>
      <c r="AB49">
        <v>14</v>
      </c>
      <c r="AC49">
        <v>313.33659999999998</v>
      </c>
      <c r="AD49">
        <v>2.9818479999999998</v>
      </c>
      <c r="AE49">
        <v>-2.20009999999996</v>
      </c>
      <c r="AF49">
        <v>10.461686250002201</v>
      </c>
      <c r="AG49">
        <v>2.9818479999999998</v>
      </c>
      <c r="AH49">
        <v>313.14124295701498</v>
      </c>
      <c r="AI49">
        <v>89.454728853258999</v>
      </c>
      <c r="AJ49">
        <v>88.086526062554697</v>
      </c>
      <c r="AK49">
        <v>313.33013952914399</v>
      </c>
      <c r="AL49">
        <v>85.124210910873899</v>
      </c>
      <c r="AM49">
        <v>91.842966572903194</v>
      </c>
      <c r="AN49">
        <v>1.0000000029838501</v>
      </c>
    </row>
    <row r="50" spans="1:40" x14ac:dyDescent="0.25">
      <c r="A50" t="str">
        <f>"20190303162743383"</f>
        <v>20190303162743383</v>
      </c>
      <c r="B50" t="str">
        <f>"1551601663371043"</f>
        <v>1551601663371043</v>
      </c>
      <c r="C50" t="s">
        <v>40</v>
      </c>
      <c r="D50">
        <v>5.5092600000000003</v>
      </c>
      <c r="E50">
        <v>0.52463019999999905</v>
      </c>
      <c r="F50" t="s">
        <v>43</v>
      </c>
      <c r="G50">
        <v>-158.19499999999999</v>
      </c>
      <c r="H50">
        <v>4.3052710000000003</v>
      </c>
      <c r="I50">
        <v>365.5865</v>
      </c>
      <c r="J50">
        <v>-471.37619999999998</v>
      </c>
      <c r="K50">
        <v>1.1191690000000001</v>
      </c>
      <c r="L50">
        <v>367.17989999999998</v>
      </c>
      <c r="M50">
        <v>0.9996427</v>
      </c>
      <c r="N50">
        <v>2.1390799999999998E-3</v>
      </c>
      <c r="O50">
        <v>2.6641000000000001E-2</v>
      </c>
      <c r="P50">
        <v>0.99427690000000002</v>
      </c>
      <c r="Q50">
        <v>8.8197250000000005E-2</v>
      </c>
      <c r="R50">
        <v>6.0286840000000001E-2</v>
      </c>
      <c r="S50">
        <v>3.0148009999999998</v>
      </c>
      <c r="T50">
        <v>3.0656579999999999E-2</v>
      </c>
      <c r="U50">
        <v>-1.528931E-2</v>
      </c>
      <c r="V50">
        <v>-3.3797290000000001E-2</v>
      </c>
      <c r="W50">
        <v>8.6059620000000003E-2</v>
      </c>
      <c r="X50">
        <v>0.99571659999999995</v>
      </c>
      <c r="Y50">
        <v>3.170742E-2</v>
      </c>
      <c r="Z50">
        <v>4.0900609999999999E-4</v>
      </c>
      <c r="AA50">
        <v>0.99949710000000003</v>
      </c>
      <c r="AB50">
        <v>15</v>
      </c>
      <c r="AC50">
        <v>313.18119999999999</v>
      </c>
      <c r="AD50">
        <v>3.186102</v>
      </c>
      <c r="AE50">
        <v>-1.59339999999997</v>
      </c>
      <c r="AF50">
        <v>9.9352862778562194</v>
      </c>
      <c r="AG50">
        <v>3.186102</v>
      </c>
      <c r="AH50">
        <v>312.99519757182202</v>
      </c>
      <c r="AI50">
        <v>89.417077306731997</v>
      </c>
      <c r="AJ50">
        <v>88.181892562548995</v>
      </c>
      <c r="AK50">
        <v>313.16905157183197</v>
      </c>
      <c r="AL50">
        <v>85.063040238633604</v>
      </c>
      <c r="AM50">
        <v>91.944025968581798</v>
      </c>
      <c r="AN50">
        <v>1.00000003126072</v>
      </c>
    </row>
    <row r="51" spans="1:40" x14ac:dyDescent="0.25">
      <c r="A51" t="str">
        <f>"20190303162743403"</f>
        <v>20190303162743403</v>
      </c>
      <c r="B51" t="str">
        <f>"1551601663391540"</f>
        <v>1551601663391540</v>
      </c>
      <c r="C51" t="s">
        <v>40</v>
      </c>
      <c r="D51">
        <v>5.5363129999999998</v>
      </c>
      <c r="E51">
        <v>0.52446729999999997</v>
      </c>
      <c r="F51" t="s">
        <v>43</v>
      </c>
      <c r="G51">
        <v>-158.19499999999999</v>
      </c>
      <c r="H51">
        <v>4.535247</v>
      </c>
      <c r="I51">
        <v>366.2353</v>
      </c>
      <c r="J51">
        <v>-471.24160000000001</v>
      </c>
      <c r="K51">
        <v>1.1191819999999999</v>
      </c>
      <c r="L51">
        <v>367.18369999999999</v>
      </c>
      <c r="M51">
        <v>0.99963809999999997</v>
      </c>
      <c r="N51">
        <v>2.2288070000000002E-3</v>
      </c>
      <c r="O51">
        <v>2.6815410000000001E-2</v>
      </c>
      <c r="P51">
        <v>0.99414340000000001</v>
      </c>
      <c r="Q51">
        <v>8.757819E-2</v>
      </c>
      <c r="R51">
        <v>6.3321520000000006E-2</v>
      </c>
      <c r="S51">
        <v>3.014923</v>
      </c>
      <c r="T51">
        <v>3.2886619999999998E-2</v>
      </c>
      <c r="U51">
        <v>-9.0942379999999993E-3</v>
      </c>
      <c r="V51">
        <v>-3.6668579999999999E-2</v>
      </c>
      <c r="W51">
        <v>8.5347469999999995E-2</v>
      </c>
      <c r="X51">
        <v>0.99567629999999996</v>
      </c>
      <c r="Y51">
        <v>2.982752E-2</v>
      </c>
      <c r="Z51">
        <v>4.2861329999999999E-4</v>
      </c>
      <c r="AA51">
        <v>0.99955499999999997</v>
      </c>
      <c r="AB51">
        <v>15</v>
      </c>
      <c r="AC51">
        <v>313.04660000000001</v>
      </c>
      <c r="AD51">
        <v>3.4160650000000001</v>
      </c>
      <c r="AE51">
        <v>-0.94839999999999203</v>
      </c>
      <c r="AF51">
        <v>9.3414388465316502</v>
      </c>
      <c r="AG51">
        <v>3.4160650000000001</v>
      </c>
      <c r="AH51">
        <v>312.871340845237</v>
      </c>
      <c r="AI51">
        <v>89.374723302306506</v>
      </c>
      <c r="AJ51">
        <v>88.289820786057803</v>
      </c>
      <c r="AK51">
        <v>313.02940421325297</v>
      </c>
      <c r="AL51">
        <v>85.103994127715396</v>
      </c>
      <c r="AM51">
        <v>92.109125037731701</v>
      </c>
      <c r="AN51">
        <v>1.0000000348881499</v>
      </c>
    </row>
    <row r="52" spans="1:40" x14ac:dyDescent="0.25">
      <c r="A52" t="str">
        <f>"20190303162743426"</f>
        <v>20190303162743426</v>
      </c>
      <c r="B52" t="str">
        <f>"1551601663421796"</f>
        <v>1551601663421796</v>
      </c>
      <c r="C52" t="s">
        <v>40</v>
      </c>
      <c r="D52">
        <v>5.6715519999999904</v>
      </c>
      <c r="E52">
        <v>0.52427389999999996</v>
      </c>
      <c r="F52" t="s">
        <v>43</v>
      </c>
      <c r="G52">
        <v>-158.19499999999999</v>
      </c>
      <c r="H52">
        <v>4.2854919999999996</v>
      </c>
      <c r="I52">
        <v>367.25029999999998</v>
      </c>
      <c r="J52">
        <v>-471.08370000000002</v>
      </c>
      <c r="K52">
        <v>1.1190789999999999</v>
      </c>
      <c r="L52">
        <v>367.1884</v>
      </c>
      <c r="M52">
        <v>0.99962870000000004</v>
      </c>
      <c r="N52">
        <v>2.218243E-3</v>
      </c>
      <c r="O52">
        <v>2.715745E-2</v>
      </c>
      <c r="P52">
        <v>0.99423300000000003</v>
      </c>
      <c r="Q52">
        <v>8.4806549999999994E-2</v>
      </c>
      <c r="R52">
        <v>6.5640370000000003E-2</v>
      </c>
      <c r="S52">
        <v>3.0149840000000001</v>
      </c>
      <c r="T52">
        <v>3.049588E-2</v>
      </c>
      <c r="U52">
        <v>6.408691E-4</v>
      </c>
      <c r="V52">
        <v>-3.8633599999999997E-2</v>
      </c>
      <c r="W52">
        <v>8.2589220000000005E-2</v>
      </c>
      <c r="X52">
        <v>0.99583449999999996</v>
      </c>
      <c r="Y52">
        <v>2.6942509999999999E-2</v>
      </c>
      <c r="Z52">
        <v>3.805514E-4</v>
      </c>
      <c r="AA52">
        <v>0.99963690000000005</v>
      </c>
      <c r="AB52">
        <v>15</v>
      </c>
      <c r="AC52">
        <v>312.88869999999997</v>
      </c>
      <c r="AD52">
        <v>3.1664129999999902</v>
      </c>
      <c r="AE52">
        <v>6.1899999999979999E-2</v>
      </c>
      <c r="AF52">
        <v>8.4345392168850193</v>
      </c>
      <c r="AG52">
        <v>3.1664129999999902</v>
      </c>
      <c r="AH52">
        <v>312.74294828970602</v>
      </c>
      <c r="AI52">
        <v>89.420130919766905</v>
      </c>
      <c r="AJ52">
        <v>88.455132610859806</v>
      </c>
      <c r="AK52">
        <v>312.87268868986502</v>
      </c>
      <c r="AL52">
        <v>85.262589915370796</v>
      </c>
      <c r="AM52">
        <v>92.221687156738994</v>
      </c>
      <c r="AN52">
        <v>0.99999994284970695</v>
      </c>
    </row>
    <row r="53" spans="1:40" x14ac:dyDescent="0.25">
      <c r="A53" t="str">
        <f>"20190303162743449"</f>
        <v>20190303162743449</v>
      </c>
      <c r="B53" t="str">
        <f>"1551601663441316"</f>
        <v>1551601663441316</v>
      </c>
      <c r="C53" t="s">
        <v>40</v>
      </c>
      <c r="D53">
        <v>5.5554160000000001</v>
      </c>
      <c r="E53">
        <v>0.52412179999999997</v>
      </c>
      <c r="F53" t="s">
        <v>43</v>
      </c>
      <c r="G53">
        <v>-158.78319999999999</v>
      </c>
      <c r="H53">
        <v>3.2270500000000002</v>
      </c>
      <c r="I53">
        <v>368.00709999999998</v>
      </c>
      <c r="J53">
        <v>-470.91930000000002</v>
      </c>
      <c r="K53">
        <v>1.1189129999999901</v>
      </c>
      <c r="L53">
        <v>367.1934</v>
      </c>
      <c r="M53">
        <v>0.99961440000000001</v>
      </c>
      <c r="N53">
        <v>2.1772699999999998E-3</v>
      </c>
      <c r="O53">
        <v>2.7685319999999999E-2</v>
      </c>
      <c r="P53">
        <v>0.99450620000000001</v>
      </c>
      <c r="Q53">
        <v>8.0138089999999995E-2</v>
      </c>
      <c r="R53">
        <v>6.7345719999999998E-2</v>
      </c>
      <c r="S53">
        <v>3.0151059999999998</v>
      </c>
      <c r="T53">
        <v>2.0352240000000001E-2</v>
      </c>
      <c r="U53">
        <v>7.9040529999999994E-3</v>
      </c>
      <c r="V53">
        <v>-3.9786639999999998E-2</v>
      </c>
      <c r="W53">
        <v>7.7969799999999895E-2</v>
      </c>
      <c r="X53">
        <v>0.99616150000000003</v>
      </c>
      <c r="Y53">
        <v>2.5063780000000001E-2</v>
      </c>
      <c r="Z53">
        <v>2.3844830000000001E-4</v>
      </c>
      <c r="AA53">
        <v>0.99968579999999996</v>
      </c>
      <c r="AB53">
        <v>15</v>
      </c>
      <c r="AC53">
        <v>312.1361</v>
      </c>
      <c r="AD53">
        <v>2.1081369999999899</v>
      </c>
      <c r="AE53">
        <v>0.81369999999998199</v>
      </c>
      <c r="AF53">
        <v>7.8278624122278702</v>
      </c>
      <c r="AG53">
        <v>2.1081369999999899</v>
      </c>
      <c r="AH53">
        <v>312.02474857912699</v>
      </c>
      <c r="AI53">
        <v>89.613019400076595</v>
      </c>
      <c r="AJ53">
        <v>88.5629043069315</v>
      </c>
      <c r="AK53">
        <v>312.13004244613001</v>
      </c>
      <c r="AL53">
        <v>85.528120727806296</v>
      </c>
      <c r="AM53">
        <v>92.287174890206401</v>
      </c>
      <c r="AN53">
        <v>1.00000000025838</v>
      </c>
    </row>
    <row r="54" spans="1:40" x14ac:dyDescent="0.25">
      <c r="A54" t="str">
        <f>"20190303162743472"</f>
        <v>20190303162743472</v>
      </c>
      <c r="B54" t="str">
        <f>"1551601663461812"</f>
        <v>1551601663461812</v>
      </c>
      <c r="C54" t="s">
        <v>40</v>
      </c>
      <c r="D54">
        <v>5.5604040000000001</v>
      </c>
      <c r="E54">
        <v>0.52400579999999997</v>
      </c>
      <c r="F54" t="s">
        <v>43</v>
      </c>
      <c r="G54">
        <v>-158.78319999999999</v>
      </c>
      <c r="H54">
        <v>1.495401</v>
      </c>
      <c r="I54">
        <v>368.82040000000001</v>
      </c>
      <c r="J54">
        <v>-470.75869999999998</v>
      </c>
      <c r="K54">
        <v>1.118824</v>
      </c>
      <c r="L54">
        <v>367.19830000000002</v>
      </c>
      <c r="M54">
        <v>0.99959920000000002</v>
      </c>
      <c r="N54">
        <v>2.1611080000000001E-3</v>
      </c>
      <c r="O54">
        <v>2.822908E-2</v>
      </c>
      <c r="P54">
        <v>0.99450119999999997</v>
      </c>
      <c r="Q54">
        <v>7.9352590000000001E-2</v>
      </c>
      <c r="R54">
        <v>6.8343609999999999E-2</v>
      </c>
      <c r="S54">
        <v>3.0151979999999998</v>
      </c>
      <c r="T54">
        <v>3.6376709999999999E-3</v>
      </c>
      <c r="U54">
        <v>1.5716549999999999E-2</v>
      </c>
      <c r="V54">
        <v>-4.023554E-2</v>
      </c>
      <c r="W54">
        <v>7.7203450000000007E-2</v>
      </c>
      <c r="X54">
        <v>0.99620319999999996</v>
      </c>
      <c r="Y54">
        <v>2.301841E-2</v>
      </c>
      <c r="Z54" s="1">
        <v>1.179759E-5</v>
      </c>
      <c r="AA54">
        <v>0.99973509999999999</v>
      </c>
      <c r="AB54">
        <v>16</v>
      </c>
      <c r="AC54">
        <v>311.97550000000001</v>
      </c>
      <c r="AD54">
        <v>0.376577</v>
      </c>
      <c r="AE54">
        <v>1.6220999999999799</v>
      </c>
      <c r="AF54">
        <v>7.1853373931661197</v>
      </c>
      <c r="AG54">
        <v>0.376577</v>
      </c>
      <c r="AH54">
        <v>311.89650705859498</v>
      </c>
      <c r="AI54">
        <v>89.930840716416199</v>
      </c>
      <c r="AJ54">
        <v>88.680277948170001</v>
      </c>
      <c r="AK54">
        <v>311.97948970892702</v>
      </c>
      <c r="AL54">
        <v>85.572162299203299</v>
      </c>
      <c r="AM54">
        <v>92.312855773887904</v>
      </c>
      <c r="AN54">
        <v>1.00000004353061</v>
      </c>
    </row>
    <row r="55" spans="1:40" x14ac:dyDescent="0.25">
      <c r="A55" t="str">
        <f>"20190303162743495"</f>
        <v>20190303162743495</v>
      </c>
      <c r="B55" t="str">
        <f>"1551601663481332"</f>
        <v>1551601663481332</v>
      </c>
      <c r="C55" t="s">
        <v>40</v>
      </c>
      <c r="D55">
        <v>5.5607610000000003</v>
      </c>
      <c r="E55">
        <v>0.52385969999999904</v>
      </c>
      <c r="F55" t="s">
        <v>43</v>
      </c>
      <c r="G55">
        <v>-158.78319999999999</v>
      </c>
      <c r="H55">
        <v>0.90956049999999999</v>
      </c>
      <c r="I55">
        <v>369.46539999999999</v>
      </c>
      <c r="J55">
        <v>-470.59219999999999</v>
      </c>
      <c r="K55">
        <v>1.1188129999999901</v>
      </c>
      <c r="L55">
        <v>367.20350000000002</v>
      </c>
      <c r="M55">
        <v>0.99958469999999999</v>
      </c>
      <c r="N55">
        <v>2.1708460000000001E-3</v>
      </c>
      <c r="O55">
        <v>2.8737499999999999E-2</v>
      </c>
      <c r="P55">
        <v>0.99431239999999999</v>
      </c>
      <c r="Q55">
        <v>8.1402329999999995E-2</v>
      </c>
      <c r="R55">
        <v>6.8678710000000004E-2</v>
      </c>
      <c r="S55">
        <v>3.015228</v>
      </c>
      <c r="T55">
        <v>-2.0216700000000002E-3</v>
      </c>
      <c r="U55">
        <v>2.191162E-2</v>
      </c>
      <c r="V55">
        <v>-4.0073780000000003E-2</v>
      </c>
      <c r="W55">
        <v>7.9241859999999997E-2</v>
      </c>
      <c r="X55">
        <v>0.99604959999999998</v>
      </c>
      <c r="Y55">
        <v>2.1472910000000001E-2</v>
      </c>
      <c r="Z55" s="1">
        <v>-6.5548359999999907E-5</v>
      </c>
      <c r="AA55">
        <v>0.99976940000000003</v>
      </c>
      <c r="AB55">
        <v>16</v>
      </c>
      <c r="AC55">
        <v>311.80900000000003</v>
      </c>
      <c r="AD55">
        <v>-0.20925249999999901</v>
      </c>
      <c r="AE55">
        <v>2.2618999999999598</v>
      </c>
      <c r="AF55">
        <v>6.6996628418170801</v>
      </c>
      <c r="AG55">
        <v>-0.20925249999999901</v>
      </c>
      <c r="AH55">
        <v>311.74508114364397</v>
      </c>
      <c r="AI55">
        <v>90.038449734493796</v>
      </c>
      <c r="AJ55">
        <v>88.768855234016399</v>
      </c>
      <c r="AK55">
        <v>311.817133727542</v>
      </c>
      <c r="AL55">
        <v>85.455010801683798</v>
      </c>
      <c r="AM55">
        <v>92.303922224573</v>
      </c>
      <c r="AN55">
        <v>0.99999999293995301</v>
      </c>
    </row>
    <row r="56" spans="1:40" x14ac:dyDescent="0.25">
      <c r="A56" t="str">
        <f>"20190303162743516"</f>
        <v>20190303162743516</v>
      </c>
      <c r="B56" t="str">
        <f>"1551601663501828"</f>
        <v>1551601663501828</v>
      </c>
      <c r="C56" t="s">
        <v>40</v>
      </c>
      <c r="D56">
        <v>5.5224310000000001</v>
      </c>
      <c r="E56">
        <v>0.52362509999999995</v>
      </c>
      <c r="F56" t="s">
        <v>43</v>
      </c>
      <c r="G56">
        <v>-158.78319999999999</v>
      </c>
      <c r="H56">
        <v>1.3107390000000001</v>
      </c>
      <c r="I56">
        <v>369.83859999999999</v>
      </c>
      <c r="J56">
        <v>-470.4357</v>
      </c>
      <c r="K56">
        <v>1.1188659999999999</v>
      </c>
      <c r="L56">
        <v>367.20839999999998</v>
      </c>
      <c r="M56">
        <v>0.99957269999999998</v>
      </c>
      <c r="N56">
        <v>2.1923239999999998E-3</v>
      </c>
      <c r="O56">
        <v>2.915017E-2</v>
      </c>
      <c r="P56">
        <v>0.99396739999999995</v>
      </c>
      <c r="Q56">
        <v>8.4752530000000006E-2</v>
      </c>
      <c r="R56">
        <v>6.9611999999999993E-2</v>
      </c>
      <c r="S56">
        <v>3.0152589999999999</v>
      </c>
      <c r="T56">
        <v>1.8568040000000001E-3</v>
      </c>
      <c r="U56">
        <v>2.548218E-2</v>
      </c>
      <c r="V56">
        <v>-4.0614669999999999E-2</v>
      </c>
      <c r="W56">
        <v>8.2566879999999995E-2</v>
      </c>
      <c r="X56">
        <v>0.99575760000000002</v>
      </c>
      <c r="Y56">
        <v>2.070197E-2</v>
      </c>
      <c r="Z56" s="1">
        <v>-1.6899179999999899E-5</v>
      </c>
      <c r="AA56">
        <v>0.9997857</v>
      </c>
      <c r="AB56">
        <v>16</v>
      </c>
      <c r="AC56">
        <v>311.65249999999997</v>
      </c>
      <c r="AD56">
        <v>0.19187299999999999</v>
      </c>
      <c r="AE56">
        <v>2.6301999999999999</v>
      </c>
      <c r="AF56">
        <v>6.4556599160164003</v>
      </c>
      <c r="AG56">
        <v>0.19187299999999999</v>
      </c>
      <c r="AH56">
        <v>311.59661348109</v>
      </c>
      <c r="AI56">
        <v>89.964726339781706</v>
      </c>
      <c r="AJ56">
        <v>88.8131156033498</v>
      </c>
      <c r="AK56">
        <v>311.663539563234</v>
      </c>
      <c r="AL56">
        <v>85.263874653783802</v>
      </c>
      <c r="AM56">
        <v>92.335668850308807</v>
      </c>
      <c r="AN56">
        <v>1.0000000195249501</v>
      </c>
    </row>
    <row r="57" spans="1:40" x14ac:dyDescent="0.25">
      <c r="A57" t="str">
        <f>"20190303162743537"</f>
        <v>20190303162743537</v>
      </c>
      <c r="B57" t="str">
        <f>"1551601663531108"</f>
        <v>1551601663531108</v>
      </c>
      <c r="C57" t="s">
        <v>40</v>
      </c>
      <c r="D57">
        <v>5.732888</v>
      </c>
      <c r="E57">
        <v>0.52332619999999996</v>
      </c>
      <c r="F57" t="s">
        <v>43</v>
      </c>
      <c r="G57">
        <v>-158.19499999999999</v>
      </c>
      <c r="H57">
        <v>2.1333639999999998</v>
      </c>
      <c r="I57">
        <v>370.3623</v>
      </c>
      <c r="J57">
        <v>-470.26819999999998</v>
      </c>
      <c r="K57">
        <v>1.1189309999999999</v>
      </c>
      <c r="L57">
        <v>367.21370000000002</v>
      </c>
      <c r="M57">
        <v>0.99956080000000003</v>
      </c>
      <c r="N57">
        <v>2.2198679999999998E-3</v>
      </c>
      <c r="O57">
        <v>2.9550130000000001E-2</v>
      </c>
      <c r="P57">
        <v>0.9933168</v>
      </c>
      <c r="Q57">
        <v>9.1468800000000003E-2</v>
      </c>
      <c r="R57">
        <v>7.0393360000000002E-2</v>
      </c>
      <c r="S57">
        <v>3.0152589999999999</v>
      </c>
      <c r="T57">
        <v>9.7976920000000002E-3</v>
      </c>
      <c r="U57">
        <v>3.0456540000000001E-2</v>
      </c>
      <c r="V57">
        <v>-4.1027269999999998E-2</v>
      </c>
      <c r="W57">
        <v>8.9252109999999996E-2</v>
      </c>
      <c r="X57">
        <v>0.99516369999999998</v>
      </c>
      <c r="Y57">
        <v>1.9452629999999999E-2</v>
      </c>
      <c r="Z57" s="1">
        <v>8.3592500000000003E-5</v>
      </c>
      <c r="AA57">
        <v>0.9998108</v>
      </c>
      <c r="AB57">
        <v>16</v>
      </c>
      <c r="AC57">
        <v>312.07319999999999</v>
      </c>
      <c r="AD57">
        <v>1.0144329999999999</v>
      </c>
      <c r="AE57">
        <v>3.1485999999999801</v>
      </c>
      <c r="AF57">
        <v>6.0745374913491901</v>
      </c>
      <c r="AG57">
        <v>1.0144329999999999</v>
      </c>
      <c r="AH57">
        <v>312.02666187116199</v>
      </c>
      <c r="AI57">
        <v>89.813761063674406</v>
      </c>
      <c r="AJ57">
        <v>88.8847062025376</v>
      </c>
      <c r="AK57">
        <v>312.08743454119701</v>
      </c>
      <c r="AL57">
        <v>84.879416914011898</v>
      </c>
      <c r="AM57">
        <v>92.360776422494894</v>
      </c>
      <c r="AN57">
        <v>0.99999998291039705</v>
      </c>
    </row>
    <row r="58" spans="1:40" x14ac:dyDescent="0.25">
      <c r="A58" t="str">
        <f>"20190303162743561"</f>
        <v>20190303162743561</v>
      </c>
      <c r="B58" t="str">
        <f>"1551601663551604"</f>
        <v>1551601663551604</v>
      </c>
      <c r="C58" t="s">
        <v>40</v>
      </c>
      <c r="D58">
        <v>5.5628339999999996</v>
      </c>
      <c r="E58">
        <v>0.52304740000000005</v>
      </c>
      <c r="F58" t="s">
        <v>43</v>
      </c>
      <c r="G58">
        <v>-158.19499999999999</v>
      </c>
      <c r="H58">
        <v>4.1463089999999996</v>
      </c>
      <c r="I58">
        <v>370.8338</v>
      </c>
      <c r="J58">
        <v>-470.09550000000002</v>
      </c>
      <c r="K58">
        <v>1.1189789999999999</v>
      </c>
      <c r="L58">
        <v>367.21940000000001</v>
      </c>
      <c r="M58">
        <v>0.99954889999999996</v>
      </c>
      <c r="N58">
        <v>2.2499339999999999E-3</v>
      </c>
      <c r="O58">
        <v>2.99525E-2</v>
      </c>
      <c r="P58">
        <v>0.99284669999999997</v>
      </c>
      <c r="Q58">
        <v>9.665443E-2</v>
      </c>
      <c r="R58">
        <v>7.0094909999999996E-2</v>
      </c>
      <c r="S58">
        <v>3.0149539999999999</v>
      </c>
      <c r="T58">
        <v>2.924848E-2</v>
      </c>
      <c r="U58">
        <v>3.497314E-2</v>
      </c>
      <c r="V58">
        <v>-4.0351249999999998E-2</v>
      </c>
      <c r="W58">
        <v>9.4405829999999996E-2</v>
      </c>
      <c r="X58">
        <v>0.99471569999999998</v>
      </c>
      <c r="Y58">
        <v>1.835475E-2</v>
      </c>
      <c r="Z58">
        <v>3.3278890000000002E-4</v>
      </c>
      <c r="AA58">
        <v>0.99983149999999998</v>
      </c>
      <c r="AB58">
        <v>17</v>
      </c>
      <c r="AC58">
        <v>311.90050000000002</v>
      </c>
      <c r="AD58">
        <v>3.0273299999999899</v>
      </c>
      <c r="AE58">
        <v>3.6143999999999799</v>
      </c>
      <c r="AF58">
        <v>5.7289044238758002</v>
      </c>
      <c r="AG58">
        <v>3.0273299999999899</v>
      </c>
      <c r="AH58">
        <v>311.839443588123</v>
      </c>
      <c r="AI58">
        <v>89.443885222073106</v>
      </c>
      <c r="AJ58">
        <v>88.947518888013605</v>
      </c>
      <c r="AK58">
        <v>311.90675473637498</v>
      </c>
      <c r="AL58">
        <v>84.582877339286199</v>
      </c>
      <c r="AM58">
        <v>92.322964654788507</v>
      </c>
      <c r="AN58">
        <v>1.0000000039705199</v>
      </c>
    </row>
    <row r="59" spans="1:40" x14ac:dyDescent="0.25">
      <c r="A59" t="str">
        <f>"20190303162743582"</f>
        <v>20190303162743582</v>
      </c>
      <c r="B59" t="str">
        <f>"1551601663571124"</f>
        <v>1551601663571124</v>
      </c>
      <c r="C59" t="s">
        <v>40</v>
      </c>
      <c r="D59">
        <v>5.6784999999999997</v>
      </c>
      <c r="E59">
        <v>0.52277589999999996</v>
      </c>
      <c r="F59" t="s">
        <v>43</v>
      </c>
      <c r="G59">
        <v>-158.19499999999999</v>
      </c>
      <c r="H59">
        <v>5.6369749999999996</v>
      </c>
      <c r="I59">
        <v>370.9545</v>
      </c>
      <c r="J59">
        <v>-469.92660000000001</v>
      </c>
      <c r="K59">
        <v>1.1189929999999999</v>
      </c>
      <c r="L59">
        <v>367.22500000000002</v>
      </c>
      <c r="M59">
        <v>0.99953669999999994</v>
      </c>
      <c r="N59">
        <v>2.2791629999999998E-3</v>
      </c>
      <c r="O59">
        <v>3.0355219999999999E-2</v>
      </c>
      <c r="P59">
        <v>0.99303030000000003</v>
      </c>
      <c r="Q59">
        <v>9.531502E-2</v>
      </c>
      <c r="R59">
        <v>6.9326040000000005E-2</v>
      </c>
      <c r="S59">
        <v>3.0148009999999998</v>
      </c>
      <c r="T59">
        <v>4.3671370000000001E-2</v>
      </c>
      <c r="U59">
        <v>3.6102290000000002E-2</v>
      </c>
      <c r="V59">
        <v>-3.9179520000000002E-2</v>
      </c>
      <c r="W59">
        <v>9.303525E-2</v>
      </c>
      <c r="X59">
        <v>0.99489159999999999</v>
      </c>
      <c r="Y59">
        <v>1.8379989999999999E-2</v>
      </c>
      <c r="Z59">
        <v>5.2447460000000002E-4</v>
      </c>
      <c r="AA59">
        <v>0.99983100000000003</v>
      </c>
      <c r="AB59">
        <v>17</v>
      </c>
      <c r="AC59">
        <v>311.73160000000001</v>
      </c>
      <c r="AD59">
        <v>4.5179819999999999</v>
      </c>
      <c r="AE59">
        <v>3.7294999999999701</v>
      </c>
      <c r="AF59">
        <v>5.7337191504646503</v>
      </c>
      <c r="AG59">
        <v>4.5179819999999999</v>
      </c>
      <c r="AH59">
        <v>311.63570496371</v>
      </c>
      <c r="AI59">
        <v>89.169545181176801</v>
      </c>
      <c r="AJ59">
        <v>88.945946048303199</v>
      </c>
      <c r="AK59">
        <v>311.721190015817</v>
      </c>
      <c r="AL59">
        <v>84.661752642108297</v>
      </c>
      <c r="AM59">
        <v>92.255182138390595</v>
      </c>
      <c r="AN59">
        <v>0.99999994414027404</v>
      </c>
    </row>
    <row r="60" spans="1:40" x14ac:dyDescent="0.25">
      <c r="A60" t="str">
        <f>"20190303162743606"</f>
        <v>20190303162743606</v>
      </c>
      <c r="B60" t="str">
        <f>"1551601663591620"</f>
        <v>1551601663591620</v>
      </c>
      <c r="C60" t="s">
        <v>40</v>
      </c>
      <c r="D60">
        <v>5.6703080000000003</v>
      </c>
      <c r="E60">
        <v>0.52251559999999997</v>
      </c>
      <c r="F60" t="s">
        <v>43</v>
      </c>
      <c r="G60">
        <v>-158.19499999999999</v>
      </c>
      <c r="H60">
        <v>5.0579679999999998</v>
      </c>
      <c r="I60">
        <v>371.02109999999999</v>
      </c>
      <c r="J60">
        <v>-469.75029999999998</v>
      </c>
      <c r="K60">
        <v>1.1189910000000001</v>
      </c>
      <c r="L60">
        <v>367.23090000000002</v>
      </c>
      <c r="M60">
        <v>0.99952350000000001</v>
      </c>
      <c r="N60">
        <v>2.3060630000000001E-3</v>
      </c>
      <c r="O60">
        <v>3.0784570000000001E-2</v>
      </c>
      <c r="P60">
        <v>0.99340669999999998</v>
      </c>
      <c r="Q60">
        <v>9.3088760000000007E-2</v>
      </c>
      <c r="R60">
        <v>6.6917550000000006E-2</v>
      </c>
      <c r="S60">
        <v>3.0148320000000002</v>
      </c>
      <c r="T60">
        <v>3.8095589999999999E-2</v>
      </c>
      <c r="U60">
        <v>3.6712649999999999E-2</v>
      </c>
      <c r="V60">
        <v>-3.633343E-2</v>
      </c>
      <c r="W60">
        <v>9.078224E-2</v>
      </c>
      <c r="X60">
        <v>0.99520770000000003</v>
      </c>
      <c r="Y60">
        <v>1.8608300000000001E-2</v>
      </c>
      <c r="Z60">
        <v>4.5691999999999998E-4</v>
      </c>
      <c r="AA60">
        <v>0.99982669999999996</v>
      </c>
      <c r="AB60">
        <v>17</v>
      </c>
      <c r="AC60">
        <v>311.55529999999999</v>
      </c>
      <c r="AD60">
        <v>3.938977</v>
      </c>
      <c r="AE60">
        <v>3.7901999999999698</v>
      </c>
      <c r="AF60">
        <v>5.8017894756476203</v>
      </c>
      <c r="AG60">
        <v>3.938977</v>
      </c>
      <c r="AH60">
        <v>311.474535349061</v>
      </c>
      <c r="AI60">
        <v>89.275588960039002</v>
      </c>
      <c r="AJ60">
        <v>88.932883508432496</v>
      </c>
      <c r="AK60">
        <v>311.55346647379702</v>
      </c>
      <c r="AL60">
        <v>84.791389366662798</v>
      </c>
      <c r="AM60">
        <v>92.0908480076302</v>
      </c>
      <c r="AN60">
        <v>0.99999994968713501</v>
      </c>
    </row>
    <row r="61" spans="1:40" x14ac:dyDescent="0.25">
      <c r="A61" t="str">
        <f>"20190303162743627"</f>
        <v>20190303162743627</v>
      </c>
      <c r="B61" t="str">
        <f>"1551601663621875"</f>
        <v>1551601663621875</v>
      </c>
      <c r="C61" t="s">
        <v>40</v>
      </c>
      <c r="D61">
        <v>5.728491</v>
      </c>
      <c r="E61">
        <v>0.52214070000000001</v>
      </c>
      <c r="F61" t="s">
        <v>43</v>
      </c>
      <c r="G61">
        <v>-158.19499999999999</v>
      </c>
      <c r="H61">
        <v>4.1826559999999997</v>
      </c>
      <c r="I61">
        <v>370.5138</v>
      </c>
      <c r="J61">
        <v>-469.57150000000001</v>
      </c>
      <c r="K61">
        <v>1.1190059999999999</v>
      </c>
      <c r="L61">
        <v>367.23689999999999</v>
      </c>
      <c r="M61">
        <v>0.99950989999999995</v>
      </c>
      <c r="N61">
        <v>2.3253290000000001E-3</v>
      </c>
      <c r="O61">
        <v>3.1215730000000001E-2</v>
      </c>
      <c r="P61">
        <v>0.99348740000000002</v>
      </c>
      <c r="Q61">
        <v>9.3990790000000005E-2</v>
      </c>
      <c r="R61">
        <v>6.440949E-2</v>
      </c>
      <c r="S61">
        <v>3.0149840000000001</v>
      </c>
      <c r="T61">
        <v>2.9648540000000001E-2</v>
      </c>
      <c r="U61">
        <v>3.17688E-2</v>
      </c>
      <c r="V61">
        <v>-3.3394500000000001E-2</v>
      </c>
      <c r="W61">
        <v>9.1665919999999998E-2</v>
      </c>
      <c r="X61">
        <v>0.99522969999999999</v>
      </c>
      <c r="Y61">
        <v>2.068072E-2</v>
      </c>
      <c r="Z61">
        <v>3.6003089999999999E-4</v>
      </c>
      <c r="AA61">
        <v>0.99978610000000001</v>
      </c>
      <c r="AB61">
        <v>18</v>
      </c>
      <c r="AC61">
        <v>311.37650000000002</v>
      </c>
      <c r="AD61">
        <v>3.06365</v>
      </c>
      <c r="AE61">
        <v>3.2769000000000101</v>
      </c>
      <c r="AF61">
        <v>6.4439448563768602</v>
      </c>
      <c r="AG61">
        <v>3.06365</v>
      </c>
      <c r="AH61">
        <v>311.29691489496901</v>
      </c>
      <c r="AI61">
        <v>89.436258610761797</v>
      </c>
      <c r="AJ61">
        <v>88.814128558377107</v>
      </c>
      <c r="AK61">
        <v>311.37867557005302</v>
      </c>
      <c r="AL61">
        <v>84.740546469046905</v>
      </c>
      <c r="AM61">
        <v>91.921813931537599</v>
      </c>
      <c r="AN61">
        <v>0.99999999464089295</v>
      </c>
    </row>
    <row r="62" spans="1:40" x14ac:dyDescent="0.25">
      <c r="A62" t="str">
        <f>"20190303162743651"</f>
        <v>20190303162743651</v>
      </c>
      <c r="B62" t="str">
        <f>"1551601663641397"</f>
        <v>1551601663641397</v>
      </c>
      <c r="C62" t="s">
        <v>40</v>
      </c>
      <c r="D62">
        <v>5.5139079999999998</v>
      </c>
      <c r="E62">
        <v>0.52194160000000001</v>
      </c>
      <c r="F62" t="s">
        <v>43</v>
      </c>
      <c r="G62">
        <v>-158.78319999999999</v>
      </c>
      <c r="H62">
        <v>4.2728289999999998</v>
      </c>
      <c r="I62">
        <v>370.02719999999999</v>
      </c>
      <c r="J62">
        <v>-469.38080000000002</v>
      </c>
      <c r="K62">
        <v>1.119027</v>
      </c>
      <c r="L62">
        <v>367.24329999999998</v>
      </c>
      <c r="M62">
        <v>0.99949600000000005</v>
      </c>
      <c r="N62">
        <v>2.3343719999999999E-3</v>
      </c>
      <c r="O62">
        <v>3.166066E-2</v>
      </c>
      <c r="P62">
        <v>0.99350369999999999</v>
      </c>
      <c r="Q62">
        <v>9.5121430000000007E-2</v>
      </c>
      <c r="R62">
        <v>6.2468860000000001E-2</v>
      </c>
      <c r="S62">
        <v>3.0150450000000002</v>
      </c>
      <c r="T62">
        <v>3.0596970000000001E-2</v>
      </c>
      <c r="U62">
        <v>2.7069090000000001E-2</v>
      </c>
      <c r="V62">
        <v>-3.1012189999999999E-2</v>
      </c>
      <c r="W62">
        <v>9.2788850000000006E-2</v>
      </c>
      <c r="X62">
        <v>0.9952027</v>
      </c>
      <c r="Y62">
        <v>2.2683930000000001E-2</v>
      </c>
      <c r="Z62">
        <v>3.888842E-4</v>
      </c>
      <c r="AA62">
        <v>0.99974260000000004</v>
      </c>
      <c r="AB62">
        <v>18</v>
      </c>
      <c r="AC62">
        <v>310.5976</v>
      </c>
      <c r="AD62">
        <v>3.1538020000000002</v>
      </c>
      <c r="AE62">
        <v>2.7839000000000098</v>
      </c>
      <c r="AF62">
        <v>7.0505200795182503</v>
      </c>
      <c r="AG62">
        <v>3.1538020000000002</v>
      </c>
      <c r="AH62">
        <v>310.49801856588198</v>
      </c>
      <c r="AI62">
        <v>89.418203155618102</v>
      </c>
      <c r="AJ62">
        <v>88.699200602746302</v>
      </c>
      <c r="AK62">
        <v>310.59406921862802</v>
      </c>
      <c r="AL62">
        <v>84.675931796843201</v>
      </c>
      <c r="AM62">
        <v>91.784855278873195</v>
      </c>
      <c r="AN62">
        <v>0.99999997035010302</v>
      </c>
    </row>
    <row r="63" spans="1:40" x14ac:dyDescent="0.25">
      <c r="A63" t="str">
        <f>"20190303162743673"</f>
        <v>20190303162743673</v>
      </c>
      <c r="B63" t="str">
        <f>"1551601663661892"</f>
        <v>1551601663661892</v>
      </c>
      <c r="C63" t="s">
        <v>40</v>
      </c>
      <c r="D63">
        <v>5.5065839999999904</v>
      </c>
      <c r="E63">
        <v>0.52177569999999995</v>
      </c>
      <c r="F63" t="s">
        <v>43</v>
      </c>
      <c r="G63">
        <v>-158.78319999999999</v>
      </c>
      <c r="H63">
        <v>4.4350019999999999</v>
      </c>
      <c r="I63">
        <v>369.5949</v>
      </c>
      <c r="J63">
        <v>-469.19389999999999</v>
      </c>
      <c r="K63">
        <v>1.119027</v>
      </c>
      <c r="L63">
        <v>367.24970000000002</v>
      </c>
      <c r="M63">
        <v>0.9994826</v>
      </c>
      <c r="N63">
        <v>2.3308449999999998E-3</v>
      </c>
      <c r="O63">
        <v>3.2078849999999999E-2</v>
      </c>
      <c r="P63">
        <v>0.99394729999999998</v>
      </c>
      <c r="Q63">
        <v>9.2277529999999997E-2</v>
      </c>
      <c r="R63">
        <v>5.9611879999999999E-2</v>
      </c>
      <c r="S63">
        <v>3.0151059999999998</v>
      </c>
      <c r="T63">
        <v>3.2190440000000001E-2</v>
      </c>
      <c r="U63">
        <v>2.2827150000000001E-2</v>
      </c>
      <c r="V63">
        <v>-2.7725429999999999E-2</v>
      </c>
      <c r="W63">
        <v>8.9948340000000002E-2</v>
      </c>
      <c r="X63">
        <v>0.99556049999999996</v>
      </c>
      <c r="Y63">
        <v>2.450838E-2</v>
      </c>
      <c r="Z63">
        <v>4.2702590000000002E-4</v>
      </c>
      <c r="AA63">
        <v>0.99969949999999996</v>
      </c>
      <c r="AB63">
        <v>18</v>
      </c>
      <c r="AC63">
        <v>310.41070000000002</v>
      </c>
      <c r="AD63">
        <v>3.3159749999999999</v>
      </c>
      <c r="AE63">
        <v>2.34519999999997</v>
      </c>
      <c r="AF63">
        <v>7.6127838543581401</v>
      </c>
      <c r="AG63">
        <v>3.3159749999999999</v>
      </c>
      <c r="AH63">
        <v>310.29076773681601</v>
      </c>
      <c r="AI63">
        <v>89.387906405206607</v>
      </c>
      <c r="AJ63">
        <v>88.5945669520775</v>
      </c>
      <c r="AK63">
        <v>310.401853588081</v>
      </c>
      <c r="AL63">
        <v>84.839365154141106</v>
      </c>
      <c r="AM63">
        <v>91.595221624061395</v>
      </c>
      <c r="AN63">
        <v>1.00000005624884</v>
      </c>
    </row>
    <row r="64" spans="1:40" x14ac:dyDescent="0.25">
      <c r="A64" t="str">
        <f>"20190303162743698"</f>
        <v>20190303162743698</v>
      </c>
      <c r="B64" t="str">
        <f>"1551601663691172"</f>
        <v>1551601663691172</v>
      </c>
      <c r="C64" t="s">
        <v>40</v>
      </c>
      <c r="D64">
        <v>5.7320200000000003</v>
      </c>
      <c r="E64">
        <v>0.52146910000000002</v>
      </c>
      <c r="F64" t="s">
        <v>43</v>
      </c>
      <c r="G64">
        <v>-158.78319999999999</v>
      </c>
      <c r="H64">
        <v>3.3021690000000001</v>
      </c>
      <c r="I64">
        <v>368.89589999999998</v>
      </c>
      <c r="J64">
        <v>-468.99290000000002</v>
      </c>
      <c r="K64">
        <v>1.119016</v>
      </c>
      <c r="L64">
        <v>367.25659999999999</v>
      </c>
      <c r="M64">
        <v>0.99946900000000005</v>
      </c>
      <c r="N64">
        <v>2.3140769999999999E-3</v>
      </c>
      <c r="O64">
        <v>3.2502780000000002E-2</v>
      </c>
      <c r="P64">
        <v>0.99462119999999998</v>
      </c>
      <c r="Q64">
        <v>8.6321320000000007E-2</v>
      </c>
      <c r="R64">
        <v>5.7246709999999999E-2</v>
      </c>
      <c r="S64">
        <v>3.01532</v>
      </c>
      <c r="T64">
        <v>2.1207810000000001E-2</v>
      </c>
      <c r="U64">
        <v>1.5991209999999999E-2</v>
      </c>
      <c r="V64">
        <v>-2.49156E-2</v>
      </c>
      <c r="W64">
        <v>8.4008570000000005E-2</v>
      </c>
      <c r="X64">
        <v>0.99615350000000003</v>
      </c>
      <c r="Y64">
        <v>2.7200709999999999E-2</v>
      </c>
      <c r="Z64">
        <v>2.8046689999999998E-4</v>
      </c>
      <c r="AA64">
        <v>0.99963000000000002</v>
      </c>
      <c r="AB64">
        <v>18</v>
      </c>
      <c r="AC64">
        <v>310.2097</v>
      </c>
      <c r="AD64">
        <v>2.1831529999999999</v>
      </c>
      <c r="AE64">
        <v>1.63929999999999</v>
      </c>
      <c r="AF64">
        <v>8.4438522231332396</v>
      </c>
      <c r="AG64">
        <v>2.1831529999999999</v>
      </c>
      <c r="AH64">
        <v>310.08372261744103</v>
      </c>
      <c r="AI64">
        <v>89.596763620830203</v>
      </c>
      <c r="AJ64">
        <v>88.440171053003894</v>
      </c>
      <c r="AK64">
        <v>310.20635040191797</v>
      </c>
      <c r="AL64">
        <v>85.180983855261005</v>
      </c>
      <c r="AM64">
        <v>91.432772305322004</v>
      </c>
      <c r="AN64">
        <v>1.00000001125952</v>
      </c>
    </row>
    <row r="65" spans="1:40" x14ac:dyDescent="0.25">
      <c r="A65" t="str">
        <f>"20190303162743719"</f>
        <v>20190303162743719</v>
      </c>
      <c r="B65" t="str">
        <f>"1551601663711668"</f>
        <v>1551601663711668</v>
      </c>
      <c r="C65" t="s">
        <v>40</v>
      </c>
      <c r="D65">
        <v>5.6739699999999997</v>
      </c>
      <c r="E65">
        <v>0.52123009999999903</v>
      </c>
      <c r="F65" t="s">
        <v>43</v>
      </c>
      <c r="G65">
        <v>-158.78319999999999</v>
      </c>
      <c r="H65">
        <v>1.190253</v>
      </c>
      <c r="I65">
        <v>368.42140000000001</v>
      </c>
      <c r="J65">
        <v>-468.81130000000002</v>
      </c>
      <c r="K65">
        <v>1.119008</v>
      </c>
      <c r="L65">
        <v>367.2629</v>
      </c>
      <c r="M65">
        <v>0.9994577</v>
      </c>
      <c r="N65">
        <v>2.287491E-3</v>
      </c>
      <c r="O65">
        <v>3.2853550000000002E-2</v>
      </c>
      <c r="P65">
        <v>0.99503529999999996</v>
      </c>
      <c r="Q65">
        <v>8.1427589999999994E-2</v>
      </c>
      <c r="R65">
        <v>5.7222960000000003E-2</v>
      </c>
      <c r="S65">
        <v>3.0154719999999999</v>
      </c>
      <c r="T65">
        <v>6.9332119999999996E-4</v>
      </c>
      <c r="U65">
        <v>1.132202E-2</v>
      </c>
      <c r="V65">
        <v>-2.4525930000000001E-2</v>
      </c>
      <c r="W65">
        <v>7.9141089999999997E-2</v>
      </c>
      <c r="X65">
        <v>0.99656160000000005</v>
      </c>
      <c r="Y65">
        <v>2.9100729999999998E-2</v>
      </c>
      <c r="Z65" s="1">
        <v>-3.0981339999999997E-5</v>
      </c>
      <c r="AA65">
        <v>0.99957649999999998</v>
      </c>
      <c r="AB65">
        <v>19</v>
      </c>
      <c r="AC65">
        <v>310.02809999999999</v>
      </c>
      <c r="AD65">
        <v>7.1245000000000003E-2</v>
      </c>
      <c r="AE65">
        <v>1.1585000000000001</v>
      </c>
      <c r="AF65">
        <v>9.0276738068283695</v>
      </c>
      <c r="AG65">
        <v>7.1245000000000003E-2</v>
      </c>
      <c r="AH65">
        <v>309.89878325962798</v>
      </c>
      <c r="AI65">
        <v>89.986833421048104</v>
      </c>
      <c r="AJ65">
        <v>88.331386261520095</v>
      </c>
      <c r="AK65">
        <v>310.03025632349301</v>
      </c>
      <c r="AL65">
        <v>85.460802391811498</v>
      </c>
      <c r="AM65">
        <v>91.409796116996802</v>
      </c>
      <c r="AN65">
        <v>0.99999992798165305</v>
      </c>
    </row>
    <row r="66" spans="1:40" x14ac:dyDescent="0.25">
      <c r="A66" t="str">
        <f>"20190303162743740"</f>
        <v>20190303162743740</v>
      </c>
      <c r="B66" t="str">
        <f>"1551601663731188"</f>
        <v>1551601663731188</v>
      </c>
      <c r="C66" t="s">
        <v>40</v>
      </c>
      <c r="D66">
        <v>5.748723</v>
      </c>
      <c r="E66">
        <v>0.53166199999999997</v>
      </c>
      <c r="F66" t="s">
        <v>41</v>
      </c>
      <c r="G66">
        <v>-250.8022</v>
      </c>
      <c r="H66" s="1">
        <v>-4.1784989999999996E-6</v>
      </c>
      <c r="I66">
        <v>368.20499999999998</v>
      </c>
      <c r="J66">
        <v>-468.62819999999999</v>
      </c>
      <c r="K66">
        <v>1.118995</v>
      </c>
      <c r="L66">
        <v>367.26929999999999</v>
      </c>
      <c r="M66">
        <v>0.99944730000000004</v>
      </c>
      <c r="N66">
        <v>2.2504080000000002E-3</v>
      </c>
      <c r="O66">
        <v>3.3165130000000001E-2</v>
      </c>
      <c r="P66">
        <v>0.995425</v>
      </c>
      <c r="Q66">
        <v>7.7581380000000005E-2</v>
      </c>
      <c r="R66">
        <v>5.577037E-2</v>
      </c>
      <c r="S66">
        <v>3.0154719999999999</v>
      </c>
      <c r="T66">
        <v>-1.547801E-2</v>
      </c>
      <c r="U66">
        <v>1.3031010000000001E-2</v>
      </c>
      <c r="V66">
        <v>-2.2746829999999999E-2</v>
      </c>
      <c r="W66">
        <v>7.5331599999999999E-2</v>
      </c>
      <c r="X66">
        <v>0.99689910000000004</v>
      </c>
      <c r="Y66">
        <v>2.8844829999999998E-2</v>
      </c>
      <c r="Z66">
        <v>-2.8642039999999999E-4</v>
      </c>
      <c r="AA66">
        <v>0.99958380000000002</v>
      </c>
      <c r="AB66">
        <v>19</v>
      </c>
      <c r="AC66">
        <v>217.82599999999999</v>
      </c>
      <c r="AD66">
        <v>-1.1189991784990001</v>
      </c>
      <c r="AE66">
        <v>0.93569999999999698</v>
      </c>
      <c r="AF66">
        <v>6.2888950606961496</v>
      </c>
      <c r="AG66">
        <v>-1.1189991784990001</v>
      </c>
      <c r="AH66">
        <v>217.731457052514</v>
      </c>
      <c r="AI66">
        <v>90.294337988110598</v>
      </c>
      <c r="AJ66">
        <v>88.345544569103495</v>
      </c>
      <c r="AK66">
        <v>217.82513571775101</v>
      </c>
      <c r="AL66">
        <v>85.679724695647707</v>
      </c>
      <c r="AM66">
        <v>91.307124505448499</v>
      </c>
      <c r="AN66">
        <v>1.0000000419071999</v>
      </c>
    </row>
    <row r="67" spans="1:40" x14ac:dyDescent="0.25">
      <c r="A67" t="str">
        <f>"20190303162743762"</f>
        <v>20190303162743762</v>
      </c>
      <c r="B67" t="str">
        <f>"1551601663751684"</f>
        <v>1551601663751684</v>
      </c>
      <c r="C67" t="s">
        <v>40</v>
      </c>
      <c r="D67">
        <v>5.6551519999999904</v>
      </c>
      <c r="E67">
        <v>0.53951780000000005</v>
      </c>
      <c r="F67" t="s">
        <v>44</v>
      </c>
      <c r="G67">
        <v>-467.88650000000001</v>
      </c>
      <c r="H67">
        <v>1.023658</v>
      </c>
      <c r="I67">
        <v>367.255</v>
      </c>
      <c r="J67">
        <v>-468.44200000000001</v>
      </c>
      <c r="K67">
        <v>1.1189800000000001</v>
      </c>
      <c r="L67">
        <v>367.2758</v>
      </c>
      <c r="M67">
        <v>0.99943870000000001</v>
      </c>
      <c r="N67">
        <v>2.2041230000000001E-3</v>
      </c>
      <c r="O67">
        <v>3.3430799999999997E-2</v>
      </c>
      <c r="P67">
        <v>0.99582700000000002</v>
      </c>
      <c r="Q67">
        <v>7.3057819999999996E-2</v>
      </c>
      <c r="R67">
        <v>5.4692449999999997E-2</v>
      </c>
      <c r="S67">
        <v>3.047577</v>
      </c>
      <c r="T67">
        <v>-0.39191350000000003</v>
      </c>
      <c r="U67">
        <v>-5.7800289999999997E-2</v>
      </c>
      <c r="V67">
        <v>-2.1386229999999999E-2</v>
      </c>
      <c r="W67">
        <v>7.0855139999999997E-2</v>
      </c>
      <c r="X67">
        <v>0.99725739999999996</v>
      </c>
      <c r="Y67">
        <v>5.1674060000000001E-2</v>
      </c>
      <c r="Z67">
        <v>-7.605751E-3</v>
      </c>
      <c r="AA67">
        <v>0.9986351</v>
      </c>
      <c r="AB67">
        <v>19</v>
      </c>
      <c r="AC67">
        <v>0.55549999999993804</v>
      </c>
      <c r="AD67">
        <v>-9.5321999999999907E-2</v>
      </c>
      <c r="AE67">
        <v>-2.0800000000008301E-2</v>
      </c>
      <c r="AF67">
        <v>3.8234957023490501E-2</v>
      </c>
      <c r="AG67">
        <v>-9.5321999999999907E-2</v>
      </c>
      <c r="AH67">
        <v>0.53865538826733195</v>
      </c>
      <c r="AI67">
        <v>100.010654774435</v>
      </c>
      <c r="AJ67">
        <v>85.939828075849604</v>
      </c>
      <c r="AK67">
        <v>0.54835920976310704</v>
      </c>
      <c r="AL67">
        <v>85.936895194840204</v>
      </c>
      <c r="AM67">
        <v>91.228522275069693</v>
      </c>
      <c r="AN67">
        <v>1.0000000717763899</v>
      </c>
    </row>
    <row r="68" spans="1:40" x14ac:dyDescent="0.25">
      <c r="A68" t="str">
        <f>"20190303162743784"</f>
        <v>20190303162743784</v>
      </c>
      <c r="B68" t="str">
        <f>"1551601663771204"</f>
        <v>1551601663771204</v>
      </c>
      <c r="C68" t="s">
        <v>40</v>
      </c>
      <c r="D68">
        <v>5.5883260000000003</v>
      </c>
      <c r="E68">
        <v>0.54213339999999999</v>
      </c>
      <c r="F68" t="s">
        <v>44</v>
      </c>
      <c r="G68">
        <v>-467.72989999999999</v>
      </c>
      <c r="H68">
        <v>0.98648740000000001</v>
      </c>
      <c r="I68">
        <v>367.24900000000002</v>
      </c>
      <c r="J68">
        <v>-468.2518</v>
      </c>
      <c r="K68">
        <v>1.11896</v>
      </c>
      <c r="L68">
        <v>367.2824</v>
      </c>
      <c r="M68">
        <v>0.99943179999999998</v>
      </c>
      <c r="N68">
        <v>2.1507399999999999E-3</v>
      </c>
      <c r="O68">
        <v>3.3642779999999997E-2</v>
      </c>
      <c r="P68">
        <v>0.99608949999999996</v>
      </c>
      <c r="Q68">
        <v>7.0579080000000002E-2</v>
      </c>
      <c r="R68">
        <v>5.3148639999999997E-2</v>
      </c>
      <c r="S68">
        <v>3.0606689999999999</v>
      </c>
      <c r="T68">
        <v>-0.56962489999999999</v>
      </c>
      <c r="U68">
        <v>-0.1148071</v>
      </c>
      <c r="V68">
        <v>-1.9617699999999998E-2</v>
      </c>
      <c r="W68">
        <v>6.843109E-2</v>
      </c>
      <c r="X68">
        <v>0.99746290000000004</v>
      </c>
      <c r="Y68">
        <v>6.9316779999999995E-2</v>
      </c>
      <c r="Z68">
        <v>-1.259569E-2</v>
      </c>
      <c r="AA68">
        <v>0.99751520000000005</v>
      </c>
      <c r="AB68">
        <v>19</v>
      </c>
      <c r="AC68">
        <v>0.52190000000001602</v>
      </c>
      <c r="AD68">
        <v>-0.132472599999999</v>
      </c>
      <c r="AE68">
        <v>-3.3399999999971897E-2</v>
      </c>
      <c r="AF68">
        <v>4.7867827708074802E-2</v>
      </c>
      <c r="AG68">
        <v>-0.132472599999999</v>
      </c>
      <c r="AH68">
        <v>0.48909763357003</v>
      </c>
      <c r="AI68">
        <v>105.08624142196101</v>
      </c>
      <c r="AJ68">
        <v>84.410282161792097</v>
      </c>
      <c r="AK68">
        <v>0.50897624094259397</v>
      </c>
      <c r="AL68">
        <v>86.076120629861506</v>
      </c>
      <c r="AM68">
        <v>91.126725133769995</v>
      </c>
      <c r="AN68">
        <v>0.99999995255414298</v>
      </c>
    </row>
    <row r="69" spans="1:40" x14ac:dyDescent="0.25">
      <c r="A69" t="str">
        <f>"20190303162743806"</f>
        <v>20190303162743806</v>
      </c>
      <c r="B69" t="str">
        <f>"1551601663801460"</f>
        <v>1551601663801460</v>
      </c>
      <c r="C69" t="s">
        <v>40</v>
      </c>
      <c r="D69">
        <v>5.5991489999999997</v>
      </c>
      <c r="E69">
        <v>0.54316919999999902</v>
      </c>
      <c r="F69" t="s">
        <v>44</v>
      </c>
      <c r="G69">
        <v>-467.40030000000002</v>
      </c>
      <c r="H69">
        <v>0.93432519999999997</v>
      </c>
      <c r="I69">
        <v>367.24450000000002</v>
      </c>
      <c r="J69">
        <v>-468.05180000000001</v>
      </c>
      <c r="K69">
        <v>1.1189519999999999</v>
      </c>
      <c r="L69">
        <v>367.2894</v>
      </c>
      <c r="M69">
        <v>0.9994265</v>
      </c>
      <c r="N69">
        <v>2.0908099999999998E-3</v>
      </c>
      <c r="O69">
        <v>3.3799999999999997E-2</v>
      </c>
      <c r="P69">
        <v>0.99603710000000001</v>
      </c>
      <c r="Q69">
        <v>7.2790220000000003E-2</v>
      </c>
      <c r="R69">
        <v>5.1106489999999997E-2</v>
      </c>
      <c r="S69">
        <v>3.0661010000000002</v>
      </c>
      <c r="T69">
        <v>-0.66497609999999996</v>
      </c>
      <c r="U69">
        <v>-0.1356812</v>
      </c>
      <c r="V69">
        <v>-1.7415590000000002E-2</v>
      </c>
      <c r="W69">
        <v>7.0703909999999995E-2</v>
      </c>
      <c r="X69">
        <v>0.99734529999999999</v>
      </c>
      <c r="Y69">
        <v>7.5417650000000003E-2</v>
      </c>
      <c r="Z69">
        <v>-1.5313719999999999E-2</v>
      </c>
      <c r="AA69">
        <v>0.99703439999999999</v>
      </c>
      <c r="AB69">
        <v>20</v>
      </c>
      <c r="AC69">
        <v>0.65149999999999797</v>
      </c>
      <c r="AD69">
        <v>-0.18462679999999901</v>
      </c>
      <c r="AE69">
        <v>-4.4899999999984098E-2</v>
      </c>
      <c r="AF69">
        <v>6.1943988643050202E-2</v>
      </c>
      <c r="AG69">
        <v>-0.18462679999999901</v>
      </c>
      <c r="AH69">
        <v>0.60153056093859403</v>
      </c>
      <c r="AI69">
        <v>106.97815497547001</v>
      </c>
      <c r="AJ69">
        <v>84.120559791533793</v>
      </c>
      <c r="AK69">
        <v>0.63226824113690006</v>
      </c>
      <c r="AL69">
        <v>85.9455815156374</v>
      </c>
      <c r="AM69">
        <v>91.000394149336003</v>
      </c>
      <c r="AN69">
        <v>0.99999999654821303</v>
      </c>
    </row>
    <row r="70" spans="1:40" x14ac:dyDescent="0.25">
      <c r="A70" t="str">
        <f>"20190303162743828"</f>
        <v>20190303162743828</v>
      </c>
      <c r="B70" t="str">
        <f>"1551601663821956"</f>
        <v>1551601663821956</v>
      </c>
      <c r="C70" t="s">
        <v>40</v>
      </c>
      <c r="D70">
        <v>5.5979130000000001</v>
      </c>
      <c r="E70">
        <v>0.54361040000000005</v>
      </c>
      <c r="F70" t="s">
        <v>44</v>
      </c>
      <c r="G70">
        <v>-467.22199999999998</v>
      </c>
      <c r="H70">
        <v>0.93077639999999995</v>
      </c>
      <c r="I70">
        <v>367.24860000000001</v>
      </c>
      <c r="J70">
        <v>-467.84440000000001</v>
      </c>
      <c r="K70">
        <v>1.118957</v>
      </c>
      <c r="L70">
        <v>367.29649999999998</v>
      </c>
      <c r="M70">
        <v>0.9994229</v>
      </c>
      <c r="N70">
        <v>2.0266310000000001E-3</v>
      </c>
      <c r="O70">
        <v>3.3909519999999999E-2</v>
      </c>
      <c r="P70">
        <v>0.99589539999999999</v>
      </c>
      <c r="Q70">
        <v>7.5853009999999998E-2</v>
      </c>
      <c r="R70">
        <v>4.9382130000000003E-2</v>
      </c>
      <c r="S70">
        <v>3.0704959999999999</v>
      </c>
      <c r="T70">
        <v>-0.69645789999999996</v>
      </c>
      <c r="U70">
        <v>-0.14929200000000001</v>
      </c>
      <c r="V70">
        <v>-1.558297E-2</v>
      </c>
      <c r="W70">
        <v>7.3832330000000002E-2</v>
      </c>
      <c r="X70">
        <v>0.9971489</v>
      </c>
      <c r="Y70">
        <v>7.9532939999999996E-2</v>
      </c>
      <c r="Z70">
        <v>-1.647902E-2</v>
      </c>
      <c r="AA70">
        <v>0.99669600000000003</v>
      </c>
      <c r="AB70">
        <v>20</v>
      </c>
      <c r="AC70">
        <v>0.62240000000002704</v>
      </c>
      <c r="AD70">
        <v>-0.188180599999999</v>
      </c>
      <c r="AE70">
        <v>-4.7899999999970001E-2</v>
      </c>
      <c r="AF70">
        <v>6.3231590824571998E-2</v>
      </c>
      <c r="AG70">
        <v>-0.188180599999999</v>
      </c>
      <c r="AH70">
        <v>0.56873392610059104</v>
      </c>
      <c r="AI70">
        <v>108.203457544985</v>
      </c>
      <c r="AJ70">
        <v>83.655933963157494</v>
      </c>
      <c r="AK70">
        <v>0.60238563312246995</v>
      </c>
      <c r="AL70">
        <v>85.765866218209197</v>
      </c>
      <c r="AM70">
        <v>90.895318383302694</v>
      </c>
      <c r="AN70">
        <v>0.99999998533922896</v>
      </c>
    </row>
    <row r="71" spans="1:40" x14ac:dyDescent="0.25">
      <c r="A71" t="str">
        <f>"20190303162743852"</f>
        <v>20190303162743852</v>
      </c>
      <c r="B71" t="str">
        <f>"1551601663841480"</f>
        <v>1551601663841480</v>
      </c>
      <c r="C71" t="s">
        <v>40</v>
      </c>
      <c r="D71">
        <v>5.6145389999999997</v>
      </c>
      <c r="E71">
        <v>0.54392399999999996</v>
      </c>
      <c r="F71" t="s">
        <v>44</v>
      </c>
      <c r="G71">
        <v>-467.03739999999999</v>
      </c>
      <c r="H71">
        <v>0.93618449999999998</v>
      </c>
      <c r="I71">
        <v>367.25479999999999</v>
      </c>
      <c r="J71">
        <v>-467.63659999999999</v>
      </c>
      <c r="K71">
        <v>1.1189519999999999</v>
      </c>
      <c r="L71">
        <v>367.30369999999999</v>
      </c>
      <c r="M71">
        <v>0.99942059999999999</v>
      </c>
      <c r="N71">
        <v>1.9596219999999998E-3</v>
      </c>
      <c r="O71">
        <v>3.3980209999999997E-2</v>
      </c>
      <c r="P71">
        <v>0.99578730000000004</v>
      </c>
      <c r="Q71">
        <v>7.7300850000000004E-2</v>
      </c>
      <c r="R71">
        <v>4.9321509999999999E-2</v>
      </c>
      <c r="S71">
        <v>3.0732729999999999</v>
      </c>
      <c r="T71">
        <v>-0.69623359999999901</v>
      </c>
      <c r="U71">
        <v>-0.15789790000000001</v>
      </c>
      <c r="V71">
        <v>-1.545141E-2</v>
      </c>
      <c r="W71">
        <v>7.5348250000000005E-2</v>
      </c>
      <c r="X71">
        <v>0.99703750000000002</v>
      </c>
      <c r="Y71">
        <v>8.2280099999999995E-2</v>
      </c>
      <c r="Z71">
        <v>-1.6779059999999998E-2</v>
      </c>
      <c r="AA71">
        <v>0.99646800000000002</v>
      </c>
      <c r="AB71">
        <v>20</v>
      </c>
      <c r="AC71">
        <v>0.59919999999999596</v>
      </c>
      <c r="AD71">
        <v>-0.1827675</v>
      </c>
      <c r="AE71">
        <v>-4.8900000000003198E-2</v>
      </c>
      <c r="AF71">
        <v>6.3375502179434703E-2</v>
      </c>
      <c r="AG71">
        <v>-0.1827675</v>
      </c>
      <c r="AH71">
        <v>0.54666857273337799</v>
      </c>
      <c r="AI71">
        <v>108.37160315289699</v>
      </c>
      <c r="AJ71">
        <v>83.387197399090397</v>
      </c>
      <c r="AK71">
        <v>0.57988528326479705</v>
      </c>
      <c r="AL71">
        <v>85.678767563464405</v>
      </c>
      <c r="AM71">
        <v>90.887860002681094</v>
      </c>
      <c r="AN71">
        <v>0.99999994062764797</v>
      </c>
    </row>
    <row r="72" spans="1:40" x14ac:dyDescent="0.25">
      <c r="A72" t="str">
        <f>"20190303162743873"</f>
        <v>20190303162743873</v>
      </c>
      <c r="B72" t="str">
        <f>"1551601663861972"</f>
        <v>1551601663861972</v>
      </c>
      <c r="C72" t="s">
        <v>40</v>
      </c>
      <c r="D72">
        <v>5.6641320000000004</v>
      </c>
      <c r="E72">
        <v>0.54384119999999903</v>
      </c>
      <c r="F72" t="s">
        <v>44</v>
      </c>
      <c r="G72">
        <v>-466.85120000000001</v>
      </c>
      <c r="H72">
        <v>0.94109560000000003</v>
      </c>
      <c r="I72">
        <v>367.2629</v>
      </c>
      <c r="J72">
        <v>-467.44349999999997</v>
      </c>
      <c r="K72">
        <v>1.1189450000000001</v>
      </c>
      <c r="L72">
        <v>367.31029999999998</v>
      </c>
      <c r="M72">
        <v>0.99941930000000001</v>
      </c>
      <c r="N72">
        <v>1.893133E-3</v>
      </c>
      <c r="O72">
        <v>3.402322E-2</v>
      </c>
      <c r="P72">
        <v>0.9958844</v>
      </c>
      <c r="Q72">
        <v>7.5653990000000004E-2</v>
      </c>
      <c r="R72">
        <v>4.9906949999999999E-2</v>
      </c>
      <c r="S72">
        <v>3.074554</v>
      </c>
      <c r="T72">
        <v>-0.69634640000000003</v>
      </c>
      <c r="U72">
        <v>-0.15786739999999999</v>
      </c>
      <c r="V72">
        <v>-1.5987680000000001E-2</v>
      </c>
      <c r="W72">
        <v>7.3768139999999996E-2</v>
      </c>
      <c r="X72">
        <v>0.99714729999999996</v>
      </c>
      <c r="Y72">
        <v>8.229177E-2</v>
      </c>
      <c r="Z72">
        <v>-1.6786430000000001E-2</v>
      </c>
      <c r="AA72">
        <v>0.99646690000000004</v>
      </c>
      <c r="AB72">
        <v>20</v>
      </c>
      <c r="AC72">
        <v>0.59229999999996596</v>
      </c>
      <c r="AD72">
        <v>-0.17784939999999999</v>
      </c>
      <c r="AE72">
        <v>-4.7399999999981901E-2</v>
      </c>
      <c r="AF72">
        <v>6.1972560549570802E-2</v>
      </c>
      <c r="AG72">
        <v>-0.17784939999999999</v>
      </c>
      <c r="AH72">
        <v>0.54180524174238098</v>
      </c>
      <c r="AI72">
        <v>108.062541813438</v>
      </c>
      <c r="AJ72">
        <v>83.4747742361034</v>
      </c>
      <c r="AK72">
        <v>0.57360607329503599</v>
      </c>
      <c r="AL72">
        <v>85.769554327525299</v>
      </c>
      <c r="AM72">
        <v>90.918568506214299</v>
      </c>
      <c r="AN72">
        <v>1.0000000411440599</v>
      </c>
    </row>
    <row r="73" spans="1:40" x14ac:dyDescent="0.25">
      <c r="A73" t="str">
        <f>"20190303162743897"</f>
        <v>20190303162743897</v>
      </c>
      <c r="B73" t="str">
        <f>"1551601663891252"</f>
        <v>1551601663891252</v>
      </c>
      <c r="C73" t="s">
        <v>40</v>
      </c>
      <c r="D73">
        <v>5.6299570000000001</v>
      </c>
      <c r="E73">
        <v>0.54371729999999996</v>
      </c>
      <c r="F73" t="s">
        <v>44</v>
      </c>
      <c r="G73">
        <v>-466.66590000000002</v>
      </c>
      <c r="H73">
        <v>0.94006469999999998</v>
      </c>
      <c r="I73">
        <v>367.27100000000002</v>
      </c>
      <c r="J73">
        <v>-467.22680000000003</v>
      </c>
      <c r="K73">
        <v>1.1189480000000001</v>
      </c>
      <c r="L73">
        <v>367.3177</v>
      </c>
      <c r="M73">
        <v>0.99941829999999998</v>
      </c>
      <c r="N73">
        <v>1.811967E-3</v>
      </c>
      <c r="O73">
        <v>3.4058110000000003E-2</v>
      </c>
      <c r="P73">
        <v>0.99614939999999996</v>
      </c>
      <c r="Q73">
        <v>7.4477559999999998E-2</v>
      </c>
      <c r="R73">
        <v>4.6257390000000002E-2</v>
      </c>
      <c r="S73">
        <v>3.0738530000000002</v>
      </c>
      <c r="T73">
        <v>-0.70715260000000002</v>
      </c>
      <c r="U73">
        <v>-0.15438840000000001</v>
      </c>
      <c r="V73">
        <v>-1.229602E-2</v>
      </c>
      <c r="W73">
        <v>7.2671979999999997E-2</v>
      </c>
      <c r="X73">
        <v>0.9972801</v>
      </c>
      <c r="Y73">
        <v>8.1149449999999998E-2</v>
      </c>
      <c r="Z73">
        <v>-1.6924829999999998E-2</v>
      </c>
      <c r="AA73">
        <v>0.99655819999999995</v>
      </c>
      <c r="AB73">
        <v>21</v>
      </c>
      <c r="AC73">
        <v>0.56090000000000295</v>
      </c>
      <c r="AD73">
        <v>-0.1788833</v>
      </c>
      <c r="AE73">
        <v>-4.6700000000043901E-2</v>
      </c>
      <c r="AF73">
        <v>5.9741576107183197E-2</v>
      </c>
      <c r="AG73">
        <v>-0.1788833</v>
      </c>
      <c r="AH73">
        <v>0.50770073510977598</v>
      </c>
      <c r="AI73">
        <v>109.286256842471</v>
      </c>
      <c r="AJ73">
        <v>83.288818775792507</v>
      </c>
      <c r="AK73">
        <v>0.54159793884916796</v>
      </c>
      <c r="AL73">
        <v>85.832528547163093</v>
      </c>
      <c r="AM73">
        <v>90.706395680288395</v>
      </c>
      <c r="AN73">
        <v>1.0000000033204799</v>
      </c>
    </row>
    <row r="74" spans="1:40" x14ac:dyDescent="0.25">
      <c r="A74" t="str">
        <f>"20190303162743919"</f>
        <v>20190303162743919</v>
      </c>
      <c r="B74" t="str">
        <f>"1551601663911748"</f>
        <v>1551601663911748</v>
      </c>
      <c r="C74" t="s">
        <v>40</v>
      </c>
      <c r="D74">
        <v>5.6523719999999997</v>
      </c>
      <c r="E74">
        <v>0.54370549999999995</v>
      </c>
      <c r="F74" t="s">
        <v>44</v>
      </c>
      <c r="G74">
        <v>-466.47649999999999</v>
      </c>
      <c r="H74">
        <v>0.9435538</v>
      </c>
      <c r="I74">
        <v>367.27690000000001</v>
      </c>
      <c r="J74">
        <v>-467.00830000000002</v>
      </c>
      <c r="K74">
        <v>1.1189530000000001</v>
      </c>
      <c r="L74">
        <v>367.3252</v>
      </c>
      <c r="M74">
        <v>0.99941729999999995</v>
      </c>
      <c r="N74">
        <v>1.7195520000000001E-3</v>
      </c>
      <c r="O74">
        <v>3.4090500000000003E-2</v>
      </c>
      <c r="P74">
        <v>0.99642439999999999</v>
      </c>
      <c r="Q74">
        <v>7.3576870000000003E-2</v>
      </c>
      <c r="R74">
        <v>4.1534410000000001E-2</v>
      </c>
      <c r="S74">
        <v>3.0729980000000001</v>
      </c>
      <c r="T74">
        <v>-0.7185357</v>
      </c>
      <c r="U74">
        <v>-0.16473389999999999</v>
      </c>
      <c r="V74">
        <v>-7.5342780000000002E-3</v>
      </c>
      <c r="W74">
        <v>7.1862519999999999E-2</v>
      </c>
      <c r="X74">
        <v>0.99738610000000005</v>
      </c>
      <c r="Y74">
        <v>8.4357189999999999E-2</v>
      </c>
      <c r="Z74">
        <v>-1.756885E-2</v>
      </c>
      <c r="AA74">
        <v>0.99628070000000002</v>
      </c>
      <c r="AB74">
        <v>21</v>
      </c>
      <c r="AC74">
        <v>0.53180000000003202</v>
      </c>
      <c r="AD74">
        <v>-0.17539920000000001</v>
      </c>
      <c r="AE74">
        <v>-4.8299999999983301E-2</v>
      </c>
      <c r="AF74">
        <v>5.9934774172456802E-2</v>
      </c>
      <c r="AG74">
        <v>-0.17539920000000001</v>
      </c>
      <c r="AH74">
        <v>0.47824529302614899</v>
      </c>
      <c r="AI74">
        <v>109.996909094705</v>
      </c>
      <c r="AJ74">
        <v>82.856805098683196</v>
      </c>
      <c r="AK74">
        <v>0.51290897517728296</v>
      </c>
      <c r="AL74">
        <v>85.879028800689994</v>
      </c>
      <c r="AM74">
        <v>90.432805430405395</v>
      </c>
      <c r="AN74">
        <v>1.0000000097994699</v>
      </c>
    </row>
    <row r="75" spans="1:40" x14ac:dyDescent="0.25">
      <c r="A75" t="str">
        <f>"20190303162743941"</f>
        <v>20190303162743941</v>
      </c>
      <c r="B75" t="str">
        <f>"1551601663932244"</f>
        <v>1551601663932244</v>
      </c>
      <c r="C75" t="s">
        <v>40</v>
      </c>
      <c r="D75">
        <v>5.6816839999999997</v>
      </c>
      <c r="E75">
        <v>0.54342509999999999</v>
      </c>
      <c r="F75" t="s">
        <v>44</v>
      </c>
      <c r="G75">
        <v>-466.28449999999998</v>
      </c>
      <c r="H75">
        <v>0.94830320000000001</v>
      </c>
      <c r="I75">
        <v>367.2826</v>
      </c>
      <c r="J75">
        <v>-466.7971</v>
      </c>
      <c r="K75">
        <v>1.1189789999999999</v>
      </c>
      <c r="L75">
        <v>367.33229999999998</v>
      </c>
      <c r="M75">
        <v>0.99941639999999998</v>
      </c>
      <c r="N75">
        <v>1.607474E-3</v>
      </c>
      <c r="O75">
        <v>3.4124910000000001E-2</v>
      </c>
      <c r="P75">
        <v>0.99671220000000005</v>
      </c>
      <c r="Q75">
        <v>7.1783739999999999E-2</v>
      </c>
      <c r="R75">
        <v>3.7576499999999999E-2</v>
      </c>
      <c r="S75">
        <v>3.0717159999999999</v>
      </c>
      <c r="T75">
        <v>-0.72425410000000001</v>
      </c>
      <c r="U75">
        <v>-0.17941279999999901</v>
      </c>
      <c r="V75">
        <v>-3.5358849999999999E-3</v>
      </c>
      <c r="W75">
        <v>7.0180679999999995E-2</v>
      </c>
      <c r="X75">
        <v>0.99752799999999997</v>
      </c>
      <c r="Y75">
        <v>8.8980180000000006E-2</v>
      </c>
      <c r="Z75">
        <v>-1.8252629999999999E-2</v>
      </c>
      <c r="AA75">
        <v>0.99586609999999998</v>
      </c>
      <c r="AB75">
        <v>21</v>
      </c>
      <c r="AC75">
        <v>0.51260000000002004</v>
      </c>
      <c r="AD75">
        <v>-0.17067579999999999</v>
      </c>
      <c r="AE75">
        <v>-4.9699999999972898E-2</v>
      </c>
      <c r="AF75">
        <v>6.0516898965900602E-2</v>
      </c>
      <c r="AG75">
        <v>-0.17067579999999999</v>
      </c>
      <c r="AH75">
        <v>0.46007513635249297</v>
      </c>
      <c r="AI75">
        <v>110.193800525946</v>
      </c>
      <c r="AJ75">
        <v>82.506505397763902</v>
      </c>
      <c r="AK75">
        <v>0.49443063705221002</v>
      </c>
      <c r="AL75">
        <v>85.975634939321196</v>
      </c>
      <c r="AM75">
        <v>90.203092483481399</v>
      </c>
      <c r="AN75">
        <v>0.99999997055599699</v>
      </c>
    </row>
    <row r="76" spans="1:40" x14ac:dyDescent="0.25">
      <c r="A76" t="str">
        <f>"20190303162743962"</f>
        <v>20190303162743962</v>
      </c>
      <c r="B76" t="str">
        <f>"1551601663951765"</f>
        <v>1551601663951765</v>
      </c>
      <c r="C76" t="s">
        <v>40</v>
      </c>
      <c r="D76">
        <v>5.6164310000000004</v>
      </c>
      <c r="E76">
        <v>0.54354780000000003</v>
      </c>
      <c r="F76" t="s">
        <v>44</v>
      </c>
      <c r="G76">
        <v>-466.09210000000002</v>
      </c>
      <c r="H76">
        <v>0.95019359999999997</v>
      </c>
      <c r="I76">
        <v>367.28840000000002</v>
      </c>
      <c r="J76">
        <v>-466.59629999999999</v>
      </c>
      <c r="K76">
        <v>1.119014</v>
      </c>
      <c r="L76">
        <v>367.33920000000001</v>
      </c>
      <c r="M76">
        <v>0.99941530000000001</v>
      </c>
      <c r="N76">
        <v>1.45484E-3</v>
      </c>
      <c r="O76">
        <v>3.4163449999999998E-2</v>
      </c>
      <c r="P76">
        <v>0.99690049999999997</v>
      </c>
      <c r="Q76">
        <v>7.0653709999999995E-2</v>
      </c>
      <c r="R76">
        <v>3.4608739999999999E-2</v>
      </c>
      <c r="S76">
        <v>3.0700379999999998</v>
      </c>
      <c r="T76">
        <v>-0.73507359999999999</v>
      </c>
      <c r="U76">
        <v>-0.1907654</v>
      </c>
      <c r="V76">
        <v>-5.2641910000000001E-4</v>
      </c>
      <c r="W76">
        <v>6.920221E-2</v>
      </c>
      <c r="X76">
        <v>0.99760249999999995</v>
      </c>
      <c r="Y76">
        <v>9.2515639999999996E-2</v>
      </c>
      <c r="Z76">
        <v>-1.8951340000000001E-2</v>
      </c>
      <c r="AA76">
        <v>0.99553080000000005</v>
      </c>
      <c r="AB76">
        <v>21</v>
      </c>
      <c r="AC76">
        <v>0.50419999999996801</v>
      </c>
      <c r="AD76">
        <v>-0.16882039999999901</v>
      </c>
      <c r="AE76">
        <v>-5.0799999999980999E-2</v>
      </c>
      <c r="AF76">
        <v>6.1203055213386801E-2</v>
      </c>
      <c r="AG76">
        <v>-0.16882039999999901</v>
      </c>
      <c r="AH76">
        <v>0.452005138263043</v>
      </c>
      <c r="AI76">
        <v>110.31025725702099</v>
      </c>
      <c r="AJ76">
        <v>82.2888512022367</v>
      </c>
      <c r="AK76">
        <v>0.48636898178214999</v>
      </c>
      <c r="AL76">
        <v>86.031833846157298</v>
      </c>
      <c r="AM76">
        <v>90.030234076082905</v>
      </c>
      <c r="AN76">
        <v>0.99999998549610103</v>
      </c>
    </row>
    <row r="77" spans="1:40" x14ac:dyDescent="0.25">
      <c r="A77" t="str">
        <f>"20190303162743984"</f>
        <v>20190303162743984</v>
      </c>
      <c r="B77" t="str">
        <f>"1551601663971284"</f>
        <v>1551601663971284</v>
      </c>
      <c r="C77" t="s">
        <v>40</v>
      </c>
      <c r="D77">
        <v>5.6300629999999998</v>
      </c>
      <c r="E77">
        <v>0.54355759999999997</v>
      </c>
      <c r="F77" t="s">
        <v>44</v>
      </c>
      <c r="G77">
        <v>-465.89960000000002</v>
      </c>
      <c r="H77">
        <v>0.94888910000000004</v>
      </c>
      <c r="I77">
        <v>367.29349999999999</v>
      </c>
      <c r="J77">
        <v>-466.37560000000002</v>
      </c>
      <c r="K77">
        <v>1.1190739999999999</v>
      </c>
      <c r="L77">
        <v>367.3467</v>
      </c>
      <c r="M77">
        <v>0.99941389999999997</v>
      </c>
      <c r="N77">
        <v>1.1840139999999999E-3</v>
      </c>
      <c r="O77">
        <v>3.4211289999999998E-2</v>
      </c>
      <c r="P77">
        <v>0.99705049999999995</v>
      </c>
      <c r="Q77">
        <v>6.9587789999999997E-2</v>
      </c>
      <c r="R77">
        <v>3.2372900000000003E-2</v>
      </c>
      <c r="S77">
        <v>3.069458</v>
      </c>
      <c r="T77">
        <v>-0.74963210000000002</v>
      </c>
      <c r="U77">
        <v>-0.2010498</v>
      </c>
      <c r="V77">
        <v>1.758838E-3</v>
      </c>
      <c r="W77">
        <v>6.8406350000000005E-2</v>
      </c>
      <c r="X77">
        <v>0.99765599999999999</v>
      </c>
      <c r="Y77">
        <v>9.5661419999999997E-2</v>
      </c>
      <c r="Z77">
        <v>-1.9709540000000001E-2</v>
      </c>
      <c r="AA77">
        <v>0.99521879999999996</v>
      </c>
      <c r="AB77">
        <v>21</v>
      </c>
      <c r="AC77">
        <v>0.47599999999999898</v>
      </c>
      <c r="AD77">
        <v>-0.170184899999999</v>
      </c>
      <c r="AE77">
        <v>-5.3200000000003897E-2</v>
      </c>
      <c r="AF77">
        <v>6.1667788017258703E-2</v>
      </c>
      <c r="AG77">
        <v>-0.170184899999999</v>
      </c>
      <c r="AH77">
        <v>0.42077749457501301</v>
      </c>
      <c r="AI77">
        <v>111.810228832776</v>
      </c>
      <c r="AJ77">
        <v>81.662272863568305</v>
      </c>
      <c r="AK77">
        <v>0.45806060320417902</v>
      </c>
      <c r="AL77">
        <v>86.077541675886195</v>
      </c>
      <c r="AM77">
        <v>89.898989341172296</v>
      </c>
      <c r="AN77">
        <v>1.0000000082837099</v>
      </c>
    </row>
    <row r="78" spans="1:40" x14ac:dyDescent="0.25">
      <c r="A78" t="str">
        <f>"20190303162744006"</f>
        <v>20190303162744006</v>
      </c>
      <c r="B78" t="str">
        <f>"1551601664001540"</f>
        <v>1551601664001540</v>
      </c>
      <c r="C78" t="s">
        <v>40</v>
      </c>
      <c r="D78">
        <v>5.5973449999999998</v>
      </c>
      <c r="E78">
        <v>0.54374679999999997</v>
      </c>
      <c r="F78" t="s">
        <v>44</v>
      </c>
      <c r="G78">
        <v>-465.52710000000002</v>
      </c>
      <c r="H78">
        <v>0.90827780000000002</v>
      </c>
      <c r="I78">
        <v>367.2894</v>
      </c>
      <c r="J78">
        <v>-466.1558</v>
      </c>
      <c r="K78">
        <v>1.1191759999999999</v>
      </c>
      <c r="L78">
        <v>367.35430000000002</v>
      </c>
      <c r="M78">
        <v>0.99941270000000004</v>
      </c>
      <c r="N78">
        <v>7.3598990000000003E-4</v>
      </c>
      <c r="O78">
        <v>3.4263059999999998E-2</v>
      </c>
      <c r="P78">
        <v>0.99712230000000002</v>
      </c>
      <c r="Q78">
        <v>6.8259570000000006E-2</v>
      </c>
      <c r="R78">
        <v>3.298504E-2</v>
      </c>
      <c r="S78">
        <v>3.068756</v>
      </c>
      <c r="T78">
        <v>-0.76243479999999997</v>
      </c>
      <c r="U78">
        <v>-0.20764160000000001</v>
      </c>
      <c r="V78">
        <v>1.1992579999999999E-3</v>
      </c>
      <c r="W78">
        <v>6.7525290000000002E-2</v>
      </c>
      <c r="X78">
        <v>0.99771679999999996</v>
      </c>
      <c r="Y78">
        <v>9.7662120000000005E-2</v>
      </c>
      <c r="Z78">
        <v>-2.030291E-2</v>
      </c>
      <c r="AA78">
        <v>0.99501249999999997</v>
      </c>
      <c r="AB78">
        <v>22</v>
      </c>
      <c r="AC78">
        <v>0.62869999999998005</v>
      </c>
      <c r="AD78">
        <v>-0.21089819999999901</v>
      </c>
      <c r="AE78">
        <v>-6.4900000000022801E-2</v>
      </c>
      <c r="AF78">
        <v>7.7746684133722696E-2</v>
      </c>
      <c r="AG78">
        <v>-0.21089819999999901</v>
      </c>
      <c r="AH78">
        <v>0.56337986923626904</v>
      </c>
      <c r="AI78">
        <v>110.34629974900299</v>
      </c>
      <c r="AJ78">
        <v>82.142782908190796</v>
      </c>
      <c r="AK78">
        <v>0.606563660894472</v>
      </c>
      <c r="AL78">
        <v>86.128139501986198</v>
      </c>
      <c r="AM78">
        <v>89.931130368001007</v>
      </c>
      <c r="AN78">
        <v>0.999999958005786</v>
      </c>
    </row>
    <row r="79" spans="1:40" x14ac:dyDescent="0.25">
      <c r="A79" t="str">
        <f>"20190303162744030"</f>
        <v>20190303162744030</v>
      </c>
      <c r="B79" t="str">
        <f>"1551601664021566"</f>
        <v>1551601664021566</v>
      </c>
      <c r="C79" t="s">
        <v>40</v>
      </c>
      <c r="D79">
        <v>5.5751910000000002</v>
      </c>
      <c r="E79">
        <v>0.5437689</v>
      </c>
      <c r="F79" t="s">
        <v>44</v>
      </c>
      <c r="G79">
        <v>-465.33</v>
      </c>
      <c r="H79">
        <v>0.9104447</v>
      </c>
      <c r="I79">
        <v>367.29880000000003</v>
      </c>
      <c r="J79">
        <v>-465.92380000000003</v>
      </c>
      <c r="K79">
        <v>1.119318</v>
      </c>
      <c r="L79">
        <v>367.3623</v>
      </c>
      <c r="M79">
        <v>0.99941120000000006</v>
      </c>
      <c r="N79" s="1">
        <v>7.4922379999999998E-5</v>
      </c>
      <c r="O79">
        <v>3.4316659999999999E-2</v>
      </c>
      <c r="P79">
        <v>0.99734460000000003</v>
      </c>
      <c r="Q79">
        <v>6.4519350000000003E-2</v>
      </c>
      <c r="R79">
        <v>3.3782619999999999E-2</v>
      </c>
      <c r="S79">
        <v>3.0685419999999999</v>
      </c>
      <c r="T79">
        <v>-0.77565229999999996</v>
      </c>
      <c r="U79">
        <v>-0.2046509</v>
      </c>
      <c r="V79">
        <v>4.6169769999999998E-4</v>
      </c>
      <c r="W79">
        <v>6.4444970000000004E-2</v>
      </c>
      <c r="X79">
        <v>0.99792119999999995</v>
      </c>
      <c r="Y79">
        <v>9.664383E-2</v>
      </c>
      <c r="Z79">
        <v>-2.0543769999999999E-2</v>
      </c>
      <c r="AA79">
        <v>0.99510699999999996</v>
      </c>
      <c r="AB79">
        <v>22</v>
      </c>
      <c r="AC79">
        <v>0.59380000000004396</v>
      </c>
      <c r="AD79">
        <v>-0.20887330000000001</v>
      </c>
      <c r="AE79">
        <v>-6.3499999999976298E-2</v>
      </c>
      <c r="AF79">
        <v>7.4701317693879096E-2</v>
      </c>
      <c r="AG79">
        <v>-0.20887330000000001</v>
      </c>
      <c r="AH79">
        <v>0.52682281330296199</v>
      </c>
      <c r="AI79">
        <v>111.432521287301</v>
      </c>
      <c r="AJ79">
        <v>81.929494828772405</v>
      </c>
      <c r="AK79">
        <v>0.57162104486673604</v>
      </c>
      <c r="AL79">
        <v>86.305014715529595</v>
      </c>
      <c r="AM79">
        <v>89.973491566535102</v>
      </c>
      <c r="AN79">
        <v>1.00000004436625</v>
      </c>
    </row>
    <row r="80" spans="1:40" x14ac:dyDescent="0.25">
      <c r="A80" t="str">
        <f>"20190303162744052"</f>
        <v>20190303162744052</v>
      </c>
      <c r="B80" t="str">
        <f>"1551601664041085"</f>
        <v>1551601664041085</v>
      </c>
      <c r="C80" t="s">
        <v>40</v>
      </c>
      <c r="D80">
        <v>5.524686</v>
      </c>
      <c r="E80">
        <v>0.54374180000000005</v>
      </c>
      <c r="F80" t="s">
        <v>44</v>
      </c>
      <c r="G80">
        <v>-465.13139999999999</v>
      </c>
      <c r="H80">
        <v>0.91468579999999999</v>
      </c>
      <c r="I80">
        <v>367.31049999999999</v>
      </c>
      <c r="J80">
        <v>-465.71109999999999</v>
      </c>
      <c r="K80">
        <v>1.1194959999999901</v>
      </c>
      <c r="L80">
        <v>367.36970000000002</v>
      </c>
      <c r="M80">
        <v>0.99940929999999994</v>
      </c>
      <c r="N80">
        <v>-7.0289159999999996E-4</v>
      </c>
      <c r="O80">
        <v>3.4364289999999999E-2</v>
      </c>
      <c r="P80">
        <v>0.99739770000000005</v>
      </c>
      <c r="Q80">
        <v>6.4694710000000002E-2</v>
      </c>
      <c r="R80">
        <v>3.1825140000000002E-2</v>
      </c>
      <c r="S80">
        <v>3.0660400000000001</v>
      </c>
      <c r="T80">
        <v>-0.79189039999999999</v>
      </c>
      <c r="U80">
        <v>-0.2001648</v>
      </c>
      <c r="V80">
        <v>2.4661610000000001E-3</v>
      </c>
      <c r="W80">
        <v>6.5396170000000003E-2</v>
      </c>
      <c r="X80">
        <v>0.99785630000000003</v>
      </c>
      <c r="Y80">
        <v>9.5161200000000001E-2</v>
      </c>
      <c r="Z80">
        <v>-2.0813180000000001E-2</v>
      </c>
      <c r="AA80">
        <v>0.99524429999999997</v>
      </c>
      <c r="AB80">
        <v>22</v>
      </c>
      <c r="AC80">
        <v>0.57970000000000199</v>
      </c>
      <c r="AD80">
        <v>-0.204810199999999</v>
      </c>
      <c r="AE80">
        <v>-5.9200000000032497E-2</v>
      </c>
      <c r="AF80">
        <v>7.0390329834158605E-2</v>
      </c>
      <c r="AG80">
        <v>-0.204810199999999</v>
      </c>
      <c r="AH80">
        <v>0.513845256685447</v>
      </c>
      <c r="AI80">
        <v>111.54883680602801</v>
      </c>
      <c r="AJ80">
        <v>82.199749877644706</v>
      </c>
      <c r="AK80">
        <v>0.55761901364312705</v>
      </c>
      <c r="AL80">
        <v>86.250399470664405</v>
      </c>
      <c r="AM80">
        <v>89.858396114543098</v>
      </c>
      <c r="AN80">
        <v>0.99999996822521797</v>
      </c>
    </row>
    <row r="81" spans="1:40" x14ac:dyDescent="0.25">
      <c r="A81" t="str">
        <f>"20190303162744073"</f>
        <v>20190303162744073</v>
      </c>
      <c r="B81" t="str">
        <f>"1551601664061581"</f>
        <v>1551601664061581</v>
      </c>
      <c r="C81" t="s">
        <v>40</v>
      </c>
      <c r="D81">
        <v>5.5099330000000002</v>
      </c>
      <c r="E81">
        <v>0.54371400000000003</v>
      </c>
      <c r="F81" t="s">
        <v>44</v>
      </c>
      <c r="G81">
        <v>-464.93259999999998</v>
      </c>
      <c r="H81">
        <v>0.91830000000000001</v>
      </c>
      <c r="I81">
        <v>367.31580000000002</v>
      </c>
      <c r="J81">
        <v>-465.50909999999999</v>
      </c>
      <c r="K81">
        <v>1.1196980000000001</v>
      </c>
      <c r="L81">
        <v>367.37670000000003</v>
      </c>
      <c r="M81">
        <v>0.99940689999999999</v>
      </c>
      <c r="N81">
        <v>-1.6007979999999901E-3</v>
      </c>
      <c r="O81">
        <v>3.4403360000000001E-2</v>
      </c>
      <c r="P81">
        <v>0.99722350000000004</v>
      </c>
      <c r="Q81">
        <v>6.8287559999999997E-2</v>
      </c>
      <c r="R81">
        <v>2.9707419999999998E-2</v>
      </c>
      <c r="S81">
        <v>3.0659480000000001</v>
      </c>
      <c r="T81">
        <v>-0.79241680000000003</v>
      </c>
      <c r="U81">
        <v>-0.2104492</v>
      </c>
      <c r="V81">
        <v>4.6142240000000001E-3</v>
      </c>
      <c r="W81">
        <v>6.9884349999999998E-2</v>
      </c>
      <c r="X81">
        <v>0.9975444</v>
      </c>
      <c r="Y81">
        <v>9.8408689999999993E-2</v>
      </c>
      <c r="Z81">
        <v>-2.126316E-2</v>
      </c>
      <c r="AA81">
        <v>0.99491890000000005</v>
      </c>
      <c r="AB81">
        <v>22</v>
      </c>
      <c r="AC81">
        <v>0.57650000000001</v>
      </c>
      <c r="AD81">
        <v>-0.20139799999999899</v>
      </c>
      <c r="AE81">
        <v>-6.0900000000003701E-2</v>
      </c>
      <c r="AF81">
        <v>7.2006613385965396E-2</v>
      </c>
      <c r="AG81">
        <v>-0.20139799999999899</v>
      </c>
      <c r="AH81">
        <v>0.51223852832643402</v>
      </c>
      <c r="AI81">
        <v>111.27316628235</v>
      </c>
      <c r="AJ81">
        <v>81.998224934513303</v>
      </c>
      <c r="AK81">
        <v>0.55509856483092002</v>
      </c>
      <c r="AL81">
        <v>85.992655192500607</v>
      </c>
      <c r="AM81">
        <v>89.7349755304882</v>
      </c>
      <c r="AN81">
        <v>0.99999997170470101</v>
      </c>
    </row>
    <row r="82" spans="1:40" x14ac:dyDescent="0.25">
      <c r="A82" t="str">
        <f>"20190303162744096"</f>
        <v>20190303162744096</v>
      </c>
      <c r="B82" t="str">
        <f>"1551601664091838"</f>
        <v>1551601664091838</v>
      </c>
      <c r="C82" t="s">
        <v>40</v>
      </c>
      <c r="D82">
        <v>5.4684710000000001</v>
      </c>
      <c r="E82">
        <v>0.54359709999999895</v>
      </c>
      <c r="F82" t="s">
        <v>44</v>
      </c>
      <c r="G82">
        <v>-464.73399999999998</v>
      </c>
      <c r="H82">
        <v>0.92184820000000001</v>
      </c>
      <c r="I82">
        <v>367.32229999999998</v>
      </c>
      <c r="J82">
        <v>-465.28039999999999</v>
      </c>
      <c r="K82">
        <v>1.1199380000000001</v>
      </c>
      <c r="L82">
        <v>367.38470000000001</v>
      </c>
      <c r="M82">
        <v>0.99940289999999998</v>
      </c>
      <c r="N82">
        <v>-2.7788069999999999E-3</v>
      </c>
      <c r="O82">
        <v>3.4444509999999998E-2</v>
      </c>
      <c r="P82">
        <v>0.99698730000000002</v>
      </c>
      <c r="Q82">
        <v>7.1546579999999999E-2</v>
      </c>
      <c r="R82">
        <v>2.9957830000000001E-2</v>
      </c>
      <c r="S82">
        <v>3.06839</v>
      </c>
      <c r="T82">
        <v>-0.78333319999999995</v>
      </c>
      <c r="U82">
        <v>-0.21481320000000001</v>
      </c>
      <c r="V82">
        <v>4.396194E-3</v>
      </c>
      <c r="W82">
        <v>7.4318309999999999E-2</v>
      </c>
      <c r="X82">
        <v>0.99722489999999997</v>
      </c>
      <c r="Y82">
        <v>9.9855529999999998E-2</v>
      </c>
      <c r="Z82">
        <v>-2.122311E-2</v>
      </c>
      <c r="AA82">
        <v>0.99477559999999998</v>
      </c>
      <c r="AB82">
        <v>22</v>
      </c>
      <c r="AC82">
        <v>0.54639999999994804</v>
      </c>
      <c r="AD82">
        <v>-0.19808979999999901</v>
      </c>
      <c r="AE82">
        <v>-6.2400000000025102E-2</v>
      </c>
      <c r="AF82">
        <v>7.1860331722522097E-2</v>
      </c>
      <c r="AG82">
        <v>-0.19808979999999901</v>
      </c>
      <c r="AH82">
        <v>0.48146141209285997</v>
      </c>
      <c r="AI82">
        <v>112.142727492619</v>
      </c>
      <c r="AJ82">
        <v>81.511007288745006</v>
      </c>
      <c r="AK82">
        <v>0.52555548467670099</v>
      </c>
      <c r="AL82">
        <v>85.737945050614499</v>
      </c>
      <c r="AM82">
        <v>89.747417327405699</v>
      </c>
      <c r="AN82">
        <v>1.00000001945147</v>
      </c>
    </row>
    <row r="83" spans="1:40" x14ac:dyDescent="0.25">
      <c r="A83" t="str">
        <f>"20190303162744120"</f>
        <v>20190303162744120</v>
      </c>
      <c r="B83" t="str">
        <f>"1551601664111863"</f>
        <v>1551601664111863</v>
      </c>
      <c r="C83" t="s">
        <v>40</v>
      </c>
      <c r="D83">
        <v>5.4477169999999999</v>
      </c>
      <c r="E83">
        <v>0.54351159999999998</v>
      </c>
      <c r="F83" t="s">
        <v>44</v>
      </c>
      <c r="G83">
        <v>-464.5333</v>
      </c>
      <c r="H83">
        <v>0.93155030000000005</v>
      </c>
      <c r="I83">
        <v>367.33300000000003</v>
      </c>
      <c r="J83">
        <v>-465.03930000000003</v>
      </c>
      <c r="K83">
        <v>1.1201749999999999</v>
      </c>
      <c r="L83">
        <v>367.39319999999998</v>
      </c>
      <c r="M83">
        <v>0.99939630000000002</v>
      </c>
      <c r="N83">
        <v>-4.1186929999999997E-3</v>
      </c>
      <c r="O83">
        <v>3.4497930000000003E-2</v>
      </c>
      <c r="P83">
        <v>0.99667459999999997</v>
      </c>
      <c r="Q83">
        <v>7.4962790000000001E-2</v>
      </c>
      <c r="R83">
        <v>3.1938609999999999E-2</v>
      </c>
      <c r="S83">
        <v>3.0710449999999998</v>
      </c>
      <c r="T83">
        <v>-0.77440209999999998</v>
      </c>
      <c r="U83">
        <v>-0.21255489999999999</v>
      </c>
      <c r="V83">
        <v>2.4598659999999998E-3</v>
      </c>
      <c r="W83">
        <v>7.9069310000000004E-2</v>
      </c>
      <c r="X83">
        <v>0.99686609999999998</v>
      </c>
      <c r="Y83">
        <v>9.923593E-2</v>
      </c>
      <c r="Z83">
        <v>-2.0929440000000001E-2</v>
      </c>
      <c r="AA83">
        <v>0.99484379999999994</v>
      </c>
      <c r="AB83">
        <v>22</v>
      </c>
      <c r="AC83">
        <v>0.50600000000002798</v>
      </c>
      <c r="AD83">
        <v>-0.18862469999999901</v>
      </c>
      <c r="AE83">
        <v>-6.0199999999952E-2</v>
      </c>
      <c r="AF83">
        <v>6.82662518166227E-2</v>
      </c>
      <c r="AG83">
        <v>-0.18862469999999901</v>
      </c>
      <c r="AH83">
        <v>0.44293054778949997</v>
      </c>
      <c r="AI83">
        <v>112.82557219424901</v>
      </c>
      <c r="AJ83">
        <v>81.238284012855203</v>
      </c>
      <c r="AK83">
        <v>0.486237625808912</v>
      </c>
      <c r="AL83">
        <v>85.464928402766603</v>
      </c>
      <c r="AM83">
        <v>89.858617266746705</v>
      </c>
      <c r="AN83">
        <v>1.0000000140269101</v>
      </c>
    </row>
    <row r="84" spans="1:40" x14ac:dyDescent="0.25">
      <c r="A84" t="str">
        <f>"20190303162744143"</f>
        <v>20190303162744143</v>
      </c>
      <c r="B84" t="str">
        <f>"1551601664131382"</f>
        <v>1551601664131382</v>
      </c>
      <c r="C84" t="s">
        <v>40</v>
      </c>
      <c r="D84">
        <v>5.4488919999999998</v>
      </c>
      <c r="E84">
        <v>0.54346669999999997</v>
      </c>
      <c r="F84" t="s">
        <v>44</v>
      </c>
      <c r="G84">
        <v>-464.33120000000002</v>
      </c>
      <c r="H84">
        <v>0.94448540000000003</v>
      </c>
      <c r="I84">
        <v>367.34449999999998</v>
      </c>
      <c r="J84">
        <v>-464.82029999999997</v>
      </c>
      <c r="K84">
        <v>1.1203669999999999</v>
      </c>
      <c r="L84">
        <v>367.40089999999998</v>
      </c>
      <c r="M84">
        <v>0.99938890000000002</v>
      </c>
      <c r="N84">
        <v>-5.3227780000000002E-3</v>
      </c>
      <c r="O84">
        <v>3.4550629999999999E-2</v>
      </c>
      <c r="P84">
        <v>0.99640099999999998</v>
      </c>
      <c r="Q84">
        <v>7.7575270000000002E-2</v>
      </c>
      <c r="R84">
        <v>3.4163220000000001E-2</v>
      </c>
      <c r="S84">
        <v>3.0740970000000001</v>
      </c>
      <c r="T84">
        <v>-0.76284240000000003</v>
      </c>
      <c r="U84">
        <v>-0.21121219999999999</v>
      </c>
      <c r="V84">
        <v>2.8153120000000003E-4</v>
      </c>
      <c r="W84">
        <v>8.2880990000000002E-2</v>
      </c>
      <c r="X84">
        <v>0.99655939999999998</v>
      </c>
      <c r="Y84">
        <v>9.8920930000000004E-2</v>
      </c>
      <c r="Z84">
        <v>-2.0600730000000001E-2</v>
      </c>
      <c r="AA84">
        <v>0.99488200000000004</v>
      </c>
      <c r="AB84">
        <v>22</v>
      </c>
      <c r="AC84">
        <v>0.48909999999995002</v>
      </c>
      <c r="AD84">
        <v>-0.1758816</v>
      </c>
      <c r="AE84">
        <v>-5.6399999999996397E-2</v>
      </c>
      <c r="AF84">
        <v>6.4973545288095E-2</v>
      </c>
      <c r="AG84">
        <v>-0.1758816</v>
      </c>
      <c r="AH84">
        <v>0.43175943681187401</v>
      </c>
      <c r="AI84">
        <v>111.940786181821</v>
      </c>
      <c r="AJ84">
        <v>81.442029970578901</v>
      </c>
      <c r="AK84">
        <v>0.47071446767862501</v>
      </c>
      <c r="AL84">
        <v>85.245815427874703</v>
      </c>
      <c r="AM84">
        <v>89.983813760492197</v>
      </c>
      <c r="AN84">
        <v>0.99999998774577803</v>
      </c>
    </row>
    <row r="85" spans="1:40" x14ac:dyDescent="0.25">
      <c r="A85" t="str">
        <f>"20190303162744163"</f>
        <v>20190303162744163</v>
      </c>
      <c r="B85" t="str">
        <f>"1551601664151879"</f>
        <v>1551601664151879</v>
      </c>
      <c r="C85" t="s">
        <v>40</v>
      </c>
      <c r="D85">
        <v>5.4773230000000002</v>
      </c>
      <c r="E85">
        <v>0.543278699999999</v>
      </c>
      <c r="F85" t="s">
        <v>44</v>
      </c>
      <c r="G85">
        <v>-464.13220000000001</v>
      </c>
      <c r="H85">
        <v>0.95174979999999998</v>
      </c>
      <c r="I85">
        <v>367.35320000000002</v>
      </c>
      <c r="J85">
        <v>-464.62380000000002</v>
      </c>
      <c r="K85">
        <v>1.1205160000000001</v>
      </c>
      <c r="L85">
        <v>367.40780000000001</v>
      </c>
      <c r="M85">
        <v>0.99938150000000003</v>
      </c>
      <c r="N85">
        <v>-6.3292499999999998E-3</v>
      </c>
      <c r="O85">
        <v>3.4589439999999999E-2</v>
      </c>
      <c r="P85">
        <v>0.9959924</v>
      </c>
      <c r="Q85">
        <v>8.2111459999999997E-2</v>
      </c>
      <c r="R85">
        <v>3.5451879999999998E-2</v>
      </c>
      <c r="S85">
        <v>3.0767519999999999</v>
      </c>
      <c r="T85">
        <v>-0.75406530000000005</v>
      </c>
      <c r="U85">
        <v>-0.21063229999999999</v>
      </c>
      <c r="V85">
        <v>-9.8016290000000001E-4</v>
      </c>
      <c r="W85">
        <v>8.8417629999999997E-2</v>
      </c>
      <c r="X85">
        <v>0.99608300000000005</v>
      </c>
      <c r="Y85">
        <v>9.8810339999999997E-2</v>
      </c>
      <c r="Z85">
        <v>-2.036628E-2</v>
      </c>
      <c r="AA85">
        <v>0.99489780000000005</v>
      </c>
      <c r="AB85">
        <v>22</v>
      </c>
      <c r="AC85">
        <v>0.49160000000000498</v>
      </c>
      <c r="AD85">
        <v>-0.16876620000000001</v>
      </c>
      <c r="AE85">
        <v>-5.4599999999993501E-2</v>
      </c>
      <c r="AF85">
        <v>6.4108419250784601E-2</v>
      </c>
      <c r="AG85">
        <v>-0.16876620000000001</v>
      </c>
      <c r="AH85">
        <v>0.43838141128121999</v>
      </c>
      <c r="AI85">
        <v>110.853042099009</v>
      </c>
      <c r="AJ85">
        <v>81.680102497426802</v>
      </c>
      <c r="AK85">
        <v>0.47409933709950403</v>
      </c>
      <c r="AL85">
        <v>84.927418918851501</v>
      </c>
      <c r="AM85">
        <v>90.0563800198168</v>
      </c>
      <c r="AN85">
        <v>0.99999999045156296</v>
      </c>
    </row>
    <row r="86" spans="1:40" x14ac:dyDescent="0.25">
      <c r="A86" t="str">
        <f>"20190303162744186"</f>
        <v>20190303162744186</v>
      </c>
      <c r="B86" t="str">
        <f>"1551601664171399"</f>
        <v>1551601664171399</v>
      </c>
      <c r="C86" t="s">
        <v>40</v>
      </c>
      <c r="D86">
        <v>5.4624759999999997</v>
      </c>
      <c r="E86">
        <v>0.54284330000000003</v>
      </c>
      <c r="F86" t="s">
        <v>44</v>
      </c>
      <c r="G86">
        <v>-463.93549999999999</v>
      </c>
      <c r="H86">
        <v>0.9550961</v>
      </c>
      <c r="I86">
        <v>367.36130000000003</v>
      </c>
      <c r="J86">
        <v>-464.41079999999999</v>
      </c>
      <c r="K86">
        <v>1.120638</v>
      </c>
      <c r="L86">
        <v>367.4153</v>
      </c>
      <c r="M86">
        <v>0.99937399999999998</v>
      </c>
      <c r="N86">
        <v>-7.3191250000000001E-3</v>
      </c>
      <c r="O86">
        <v>3.4614699999999998E-2</v>
      </c>
      <c r="P86">
        <v>0.99538890000000002</v>
      </c>
      <c r="Q86">
        <v>8.8557720000000006E-2</v>
      </c>
      <c r="R86">
        <v>3.6863180000000002E-2</v>
      </c>
      <c r="S86">
        <v>3.0805359999999999</v>
      </c>
      <c r="T86">
        <v>-0.74031099999999905</v>
      </c>
      <c r="U86">
        <v>-0.20788570000000001</v>
      </c>
      <c r="V86">
        <v>-2.383001E-3</v>
      </c>
      <c r="W86">
        <v>9.5845990000000006E-2</v>
      </c>
      <c r="X86">
        <v>0.99539330000000004</v>
      </c>
      <c r="Y86">
        <v>9.8036960000000006E-2</v>
      </c>
      <c r="Z86">
        <v>-1.9910819999999999E-2</v>
      </c>
      <c r="AA86">
        <v>0.99498359999999997</v>
      </c>
      <c r="AB86">
        <v>22</v>
      </c>
      <c r="AC86">
        <v>0.475300000000004</v>
      </c>
      <c r="AD86">
        <v>-0.16554189999999999</v>
      </c>
      <c r="AE86">
        <v>-5.3999999999973597E-2</v>
      </c>
      <c r="AF86">
        <v>6.2888895382212304E-2</v>
      </c>
      <c r="AG86">
        <v>-0.16554189999999999</v>
      </c>
      <c r="AH86">
        <v>0.422542400592468</v>
      </c>
      <c r="AI86">
        <v>111.18171631593</v>
      </c>
      <c r="AJ86">
        <v>81.534553190964004</v>
      </c>
      <c r="AK86">
        <v>0.458149772581468</v>
      </c>
      <c r="AL86">
        <v>84.499986204079093</v>
      </c>
      <c r="AM86">
        <v>90.137167528684401</v>
      </c>
      <c r="AN86">
        <v>0.99999997708886701</v>
      </c>
    </row>
    <row r="87" spans="1:40" x14ac:dyDescent="0.25">
      <c r="A87" t="str">
        <f>"20190303162744208"</f>
        <v>20190303162744208</v>
      </c>
      <c r="B87" t="str">
        <f>"1551601664201656"</f>
        <v>1551601664201656</v>
      </c>
      <c r="C87" t="s">
        <v>40</v>
      </c>
      <c r="D87">
        <v>5.4686529999999998</v>
      </c>
      <c r="E87">
        <v>0.5422614</v>
      </c>
      <c r="F87" t="s">
        <v>44</v>
      </c>
      <c r="G87">
        <v>-463.56119999999999</v>
      </c>
      <c r="H87">
        <v>0.92285539999999999</v>
      </c>
      <c r="I87">
        <v>367.35950000000003</v>
      </c>
      <c r="J87">
        <v>-464.18029999999999</v>
      </c>
      <c r="K87">
        <v>1.12073</v>
      </c>
      <c r="L87">
        <v>367.42329999999998</v>
      </c>
      <c r="M87">
        <v>0.99936619999999998</v>
      </c>
      <c r="N87">
        <v>-8.2775499999999998E-3</v>
      </c>
      <c r="O87">
        <v>3.4623479999999998E-2</v>
      </c>
      <c r="P87">
        <v>0.99494369999999999</v>
      </c>
      <c r="Q87">
        <v>9.2356320000000006E-2</v>
      </c>
      <c r="R87">
        <v>3.9462160000000003E-2</v>
      </c>
      <c r="S87">
        <v>3.0852659999999998</v>
      </c>
      <c r="T87">
        <v>-0.71811389999999997</v>
      </c>
      <c r="U87">
        <v>-0.20291139999999999</v>
      </c>
      <c r="V87">
        <v>-4.9845189999999998E-3</v>
      </c>
      <c r="W87">
        <v>0.10059559999999999</v>
      </c>
      <c r="X87">
        <v>0.99491490000000005</v>
      </c>
      <c r="Y87">
        <v>9.6612160000000002E-2</v>
      </c>
      <c r="Z87">
        <v>-1.915215E-2</v>
      </c>
      <c r="AA87">
        <v>0.99513779999999996</v>
      </c>
      <c r="AB87">
        <v>22</v>
      </c>
      <c r="AC87">
        <v>0.61910000000000298</v>
      </c>
      <c r="AD87">
        <v>-0.19787460000000001</v>
      </c>
      <c r="AE87">
        <v>-6.3799999999957793E-2</v>
      </c>
      <c r="AF87">
        <v>7.7376554640987597E-2</v>
      </c>
      <c r="AG87">
        <v>-0.19787460000000001</v>
      </c>
      <c r="AH87">
        <v>0.55992209409494997</v>
      </c>
      <c r="AI87">
        <v>109.29361108357899</v>
      </c>
      <c r="AJ87">
        <v>82.132034169055203</v>
      </c>
      <c r="AK87">
        <v>0.59887748328764501</v>
      </c>
      <c r="AL87">
        <v>84.226531142830197</v>
      </c>
      <c r="AM87">
        <v>90.287049185997105</v>
      </c>
      <c r="AN87">
        <v>0.99999998920551503</v>
      </c>
    </row>
    <row r="88" spans="1:40" x14ac:dyDescent="0.25">
      <c r="A88" t="str">
        <f>"20190303162744230"</f>
        <v>20190303162744230</v>
      </c>
      <c r="B88" t="str">
        <f>"1551601664221682"</f>
        <v>1551601664221682</v>
      </c>
      <c r="C88" t="s">
        <v>40</v>
      </c>
      <c r="D88">
        <v>5.461093</v>
      </c>
      <c r="E88">
        <v>0.54195850000000001</v>
      </c>
      <c r="F88" t="s">
        <v>44</v>
      </c>
      <c r="G88">
        <v>-463.36200000000002</v>
      </c>
      <c r="H88">
        <v>0.93448450000000005</v>
      </c>
      <c r="I88">
        <v>367.37079999999997</v>
      </c>
      <c r="J88">
        <v>-463.96820000000002</v>
      </c>
      <c r="K88">
        <v>1.120798</v>
      </c>
      <c r="L88">
        <v>367.4307</v>
      </c>
      <c r="M88">
        <v>0.99935960000000001</v>
      </c>
      <c r="N88">
        <v>-9.0654640000000005E-3</v>
      </c>
      <c r="O88">
        <v>3.4613989999999997E-2</v>
      </c>
      <c r="P88">
        <v>0.99456339999999999</v>
      </c>
      <c r="Q88">
        <v>9.479369E-2</v>
      </c>
      <c r="R88">
        <v>4.3099909999999998E-2</v>
      </c>
      <c r="S88">
        <v>3.088257</v>
      </c>
      <c r="T88">
        <v>-0.70297519999999902</v>
      </c>
      <c r="U88">
        <v>-0.1971436</v>
      </c>
      <c r="V88">
        <v>-8.6402730000000004E-3</v>
      </c>
      <c r="W88">
        <v>0.1038149</v>
      </c>
      <c r="X88">
        <v>0.99455910000000003</v>
      </c>
      <c r="Y88">
        <v>9.4882729999999998E-2</v>
      </c>
      <c r="Z88">
        <v>-1.8551649999999999E-2</v>
      </c>
      <c r="AA88">
        <v>0.99531559999999997</v>
      </c>
      <c r="AB88">
        <v>22</v>
      </c>
      <c r="AC88">
        <v>0.60620000000005703</v>
      </c>
      <c r="AD88">
        <v>-0.18631349999999999</v>
      </c>
      <c r="AE88">
        <v>-5.9900000000027299E-2</v>
      </c>
      <c r="AF88">
        <v>7.3931758946563203E-2</v>
      </c>
      <c r="AG88">
        <v>-0.18631349999999999</v>
      </c>
      <c r="AH88">
        <v>0.55211381085557598</v>
      </c>
      <c r="AI88">
        <v>108.49351739980099</v>
      </c>
      <c r="AJ88">
        <v>82.373079303184497</v>
      </c>
      <c r="AK88">
        <v>0.58737405918260399</v>
      </c>
      <c r="AL88">
        <v>84.0411077922396</v>
      </c>
      <c r="AM88">
        <v>90.497746914096197</v>
      </c>
      <c r="AN88">
        <v>0.99999999558616703</v>
      </c>
    </row>
    <row r="89" spans="1:40" x14ac:dyDescent="0.25">
      <c r="A89" t="str">
        <f>"20190303162744253"</f>
        <v>20190303162744253</v>
      </c>
      <c r="B89" t="str">
        <f>"1551601664241202"</f>
        <v>1551601664241202</v>
      </c>
      <c r="C89" t="s">
        <v>40</v>
      </c>
      <c r="D89">
        <v>5.4567560000000004</v>
      </c>
      <c r="E89">
        <v>0.54174549999999999</v>
      </c>
      <c r="F89" t="s">
        <v>44</v>
      </c>
      <c r="G89">
        <v>-463.16590000000002</v>
      </c>
      <c r="H89">
        <v>0.94065940000000003</v>
      </c>
      <c r="I89">
        <v>367.38130000000001</v>
      </c>
      <c r="J89">
        <v>-463.7475</v>
      </c>
      <c r="K89">
        <v>1.1208549999999999</v>
      </c>
      <c r="L89">
        <v>367.4384</v>
      </c>
      <c r="M89">
        <v>0.99935430000000003</v>
      </c>
      <c r="N89">
        <v>-9.7913119999999999E-3</v>
      </c>
      <c r="O89">
        <v>3.4568189999999999E-2</v>
      </c>
      <c r="P89">
        <v>0.99363650000000003</v>
      </c>
      <c r="Q89">
        <v>0.1008646</v>
      </c>
      <c r="R89">
        <v>5.0129649999999998E-2</v>
      </c>
      <c r="S89">
        <v>3.0907900000000001</v>
      </c>
      <c r="T89">
        <v>-0.69394389999999995</v>
      </c>
      <c r="U89">
        <v>-0.1903687</v>
      </c>
      <c r="V89">
        <v>-1.573778E-2</v>
      </c>
      <c r="W89">
        <v>0.11060200000000001</v>
      </c>
      <c r="X89">
        <v>0.99374019999999996</v>
      </c>
      <c r="Y89">
        <v>9.2754229999999993E-2</v>
      </c>
      <c r="Z89">
        <v>-1.8061069999999999E-2</v>
      </c>
      <c r="AA89">
        <v>0.9955252</v>
      </c>
      <c r="AB89">
        <v>22</v>
      </c>
      <c r="AC89">
        <v>0.58159999999998002</v>
      </c>
      <c r="AD89">
        <v>-0.18019559999999901</v>
      </c>
      <c r="AE89">
        <v>-5.7099999999991199E-2</v>
      </c>
      <c r="AF89">
        <v>7.0471505614196503E-2</v>
      </c>
      <c r="AG89">
        <v>-0.18019559999999901</v>
      </c>
      <c r="AH89">
        <v>0.52898440418152903</v>
      </c>
      <c r="AI89">
        <v>108.657833800113</v>
      </c>
      <c r="AJ89">
        <v>82.411715188981304</v>
      </c>
      <c r="AK89">
        <v>0.56325943155013303</v>
      </c>
      <c r="AL89">
        <v>83.649980824020204</v>
      </c>
      <c r="AM89">
        <v>90.907312594429996</v>
      </c>
      <c r="AN89">
        <v>1.0000000326096801</v>
      </c>
    </row>
    <row r="90" spans="1:40" x14ac:dyDescent="0.25">
      <c r="A90" t="str">
        <f>"20190303162744287"</f>
        <v>20190303162744287</v>
      </c>
      <c r="B90" t="str">
        <f>"1551601664281218"</f>
        <v>1551601664281218</v>
      </c>
      <c r="C90" t="s">
        <v>40</v>
      </c>
      <c r="D90">
        <v>5.6942890000000004</v>
      </c>
      <c r="E90">
        <v>0.50030520000000001</v>
      </c>
      <c r="F90" t="s">
        <v>44</v>
      </c>
      <c r="G90">
        <v>-462.96780000000001</v>
      </c>
      <c r="H90">
        <v>0.95131659999999996</v>
      </c>
      <c r="I90">
        <v>367.39420000000001</v>
      </c>
      <c r="J90">
        <v>-463.42880000000002</v>
      </c>
      <c r="K90">
        <v>1.120887</v>
      </c>
      <c r="L90">
        <v>367.44940000000003</v>
      </c>
      <c r="M90">
        <v>0.99935149999999995</v>
      </c>
      <c r="N90">
        <v>-1.0685999999999999E-2</v>
      </c>
      <c r="O90">
        <v>3.4390850000000001E-2</v>
      </c>
      <c r="P90">
        <v>0.99188460000000001</v>
      </c>
      <c r="Q90">
        <v>0.1119018</v>
      </c>
      <c r="R90">
        <v>6.0361329999999998E-2</v>
      </c>
      <c r="S90">
        <v>3.0963440000000002</v>
      </c>
      <c r="T90">
        <v>-0.67337930000000001</v>
      </c>
      <c r="U90">
        <v>-0.17312620000000001</v>
      </c>
      <c r="V90">
        <v>-2.618096E-2</v>
      </c>
      <c r="W90">
        <v>0.122516899999999</v>
      </c>
      <c r="X90">
        <v>0.99212100000000003</v>
      </c>
      <c r="Y90">
        <v>8.7270239999999999E-2</v>
      </c>
      <c r="Z90">
        <v>-1.686986E-2</v>
      </c>
      <c r="AA90">
        <v>0.99604179999999998</v>
      </c>
      <c r="AB90">
        <v>22</v>
      </c>
      <c r="AC90">
        <v>0.46100000000001201</v>
      </c>
      <c r="AD90">
        <v>-0.16957040000000001</v>
      </c>
      <c r="AE90">
        <v>-5.5200000000013398E-2</v>
      </c>
      <c r="AF90">
        <v>6.2663843081427306E-2</v>
      </c>
      <c r="AG90">
        <v>-0.16957040000000001</v>
      </c>
      <c r="AH90">
        <v>0.40482951626673902</v>
      </c>
      <c r="AI90">
        <v>112.486571182625</v>
      </c>
      <c r="AJ90">
        <v>81.2009781980573</v>
      </c>
      <c r="AK90">
        <v>0.44335969034933198</v>
      </c>
      <c r="AL90">
        <v>82.962617297732194</v>
      </c>
      <c r="AM90">
        <v>91.511620515030401</v>
      </c>
      <c r="AN90">
        <v>0.999999956046564</v>
      </c>
    </row>
    <row r="91" spans="1:40" x14ac:dyDescent="0.25">
      <c r="A91" t="str">
        <f>"20190303162744310"</f>
        <v>20190303162744310</v>
      </c>
      <c r="B91" t="str">
        <f>"1551601664291954"</f>
        <v>1551601664291954</v>
      </c>
      <c r="C91" t="s">
        <v>40</v>
      </c>
      <c r="D91">
        <v>5.6811350000000003</v>
      </c>
      <c r="E91">
        <v>0.50031080000000006</v>
      </c>
      <c r="F91" t="s">
        <v>43</v>
      </c>
      <c r="G91">
        <v>-158.78319999999999</v>
      </c>
      <c r="H91">
        <v>4.7604470000000001</v>
      </c>
      <c r="I91">
        <v>385.68790000000001</v>
      </c>
      <c r="J91">
        <v>-463.2054</v>
      </c>
      <c r="K91">
        <v>1.1208610000000001</v>
      </c>
      <c r="L91">
        <v>367.45690000000002</v>
      </c>
      <c r="M91">
        <v>0.99935379999999996</v>
      </c>
      <c r="N91">
        <v>-1.121044E-2</v>
      </c>
      <c r="O91">
        <v>3.4153120000000002E-2</v>
      </c>
      <c r="P91">
        <v>0.99098489999999995</v>
      </c>
      <c r="Q91">
        <v>0.11584949999999999</v>
      </c>
      <c r="R91">
        <v>6.7291610000000002E-2</v>
      </c>
      <c r="S91">
        <v>3.0095519999999998</v>
      </c>
      <c r="T91">
        <v>3.5955550000000003E-2</v>
      </c>
      <c r="U91">
        <v>0.1801758</v>
      </c>
      <c r="V91">
        <v>-3.3352609999999998E-2</v>
      </c>
      <c r="W91">
        <v>0.1269845</v>
      </c>
      <c r="X91">
        <v>0.9913438</v>
      </c>
      <c r="Y91">
        <v>-2.5640900000000001E-2</v>
      </c>
      <c r="Z91">
        <v>7.8098849999999999E-4</v>
      </c>
      <c r="AA91">
        <v>0.99967090000000003</v>
      </c>
      <c r="AB91">
        <v>22</v>
      </c>
      <c r="AC91">
        <v>304.42219999999998</v>
      </c>
      <c r="AD91">
        <v>3.639586</v>
      </c>
      <c r="AE91">
        <v>18.230999999999899</v>
      </c>
      <c r="AF91">
        <v>-7.8216282543291502</v>
      </c>
      <c r="AG91">
        <v>3.639586</v>
      </c>
      <c r="AH91">
        <v>304.82385049694301</v>
      </c>
      <c r="AI91">
        <v>89.316147993730198</v>
      </c>
      <c r="AJ91">
        <v>91.4698586456595</v>
      </c>
      <c r="AK91">
        <v>304.94590386916599</v>
      </c>
      <c r="AL91">
        <v>82.704627330399106</v>
      </c>
      <c r="AM91">
        <v>91.926923098123893</v>
      </c>
      <c r="AN91">
        <v>0.99999999481625101</v>
      </c>
    </row>
    <row r="92" spans="1:40" x14ac:dyDescent="0.25">
      <c r="A92" t="str">
        <f>"20190303162744333"</f>
        <v>20190303162744333</v>
      </c>
      <c r="B92" t="str">
        <f>"1551601664321235"</f>
        <v>1551601664321235</v>
      </c>
      <c r="C92" t="s">
        <v>40</v>
      </c>
      <c r="D92">
        <v>5.6532339999999897</v>
      </c>
      <c r="E92">
        <v>0.50234499999999904</v>
      </c>
      <c r="F92" t="s">
        <v>45</v>
      </c>
      <c r="G92">
        <v>0</v>
      </c>
      <c r="H92">
        <v>0</v>
      </c>
      <c r="I92">
        <v>0</v>
      </c>
      <c r="J92">
        <v>-462.98230000000001</v>
      </c>
      <c r="K92">
        <v>1.120817</v>
      </c>
      <c r="L92">
        <v>367.46420000000001</v>
      </c>
      <c r="M92">
        <v>0.99935980000000002</v>
      </c>
      <c r="N92">
        <v>-1.166555E-2</v>
      </c>
      <c r="O92">
        <v>3.3825170000000002E-2</v>
      </c>
      <c r="P92">
        <v>0.99081399999999997</v>
      </c>
      <c r="Q92">
        <v>0.11472739999999999</v>
      </c>
      <c r="R92">
        <v>7.1594039999999998E-2</v>
      </c>
      <c r="S92">
        <v>3.007355</v>
      </c>
      <c r="T92">
        <v>5.4658890000000002E-2</v>
      </c>
      <c r="U92">
        <v>0.2001648</v>
      </c>
      <c r="V92">
        <v>-3.7962500000000003E-2</v>
      </c>
      <c r="W92">
        <v>0.1263223</v>
      </c>
      <c r="X92">
        <v>0.99126259999999999</v>
      </c>
      <c r="Y92">
        <v>-3.2633769999999999E-2</v>
      </c>
      <c r="Z92">
        <v>9.0242459999999997E-4</v>
      </c>
      <c r="AA92">
        <v>0.99946699999999999</v>
      </c>
      <c r="AB92">
        <v>21</v>
      </c>
      <c r="AC92">
        <v>3.007355</v>
      </c>
      <c r="AD92">
        <v>5.4658890000000002E-2</v>
      </c>
      <c r="AE92">
        <v>0.2001648</v>
      </c>
      <c r="AF92">
        <v>-9.82867146518554E-2</v>
      </c>
      <c r="AG92">
        <v>5.4658890000000002E-2</v>
      </c>
      <c r="AH92">
        <v>3.01141453851</v>
      </c>
      <c r="AI92">
        <v>88.960716405305803</v>
      </c>
      <c r="AJ92">
        <v>91.869359242767899</v>
      </c>
      <c r="AK92">
        <v>3.0135137954358999</v>
      </c>
      <c r="AL92">
        <v>82.742876716766105</v>
      </c>
      <c r="AM92">
        <v>92.193191375218603</v>
      </c>
      <c r="AN92">
        <v>1.00000000852115</v>
      </c>
    </row>
    <row r="93" spans="1:40" x14ac:dyDescent="0.25">
      <c r="A93" t="str">
        <f>"20190303162744354"</f>
        <v>20190303162744354</v>
      </c>
      <c r="B93" t="str">
        <f>"1551601664341730"</f>
        <v>1551601664341730</v>
      </c>
      <c r="C93" t="s">
        <v>40</v>
      </c>
      <c r="D93">
        <v>5.4897580000000001</v>
      </c>
      <c r="E93">
        <v>0.50338539999999998</v>
      </c>
      <c r="F93" t="s">
        <v>45</v>
      </c>
      <c r="G93">
        <v>0</v>
      </c>
      <c r="H93">
        <v>0</v>
      </c>
      <c r="I93">
        <v>0</v>
      </c>
      <c r="J93">
        <v>-462.78100000000001</v>
      </c>
      <c r="K93">
        <v>1.1207689999999999</v>
      </c>
      <c r="L93">
        <v>367.47059999999999</v>
      </c>
      <c r="M93">
        <v>0.9993687</v>
      </c>
      <c r="N93">
        <v>-1.202407E-2</v>
      </c>
      <c r="O93">
        <v>3.343409E-2</v>
      </c>
      <c r="P93">
        <v>0.99074320000000005</v>
      </c>
      <c r="Q93">
        <v>0.11380179999999999</v>
      </c>
      <c r="R93">
        <v>7.4007680000000006E-2</v>
      </c>
      <c r="S93">
        <v>3.0095209999999999</v>
      </c>
      <c r="T93">
        <v>3.4761790000000001E-2</v>
      </c>
      <c r="U93">
        <v>0.19686890000000001</v>
      </c>
      <c r="V93">
        <v>-4.0745999999999997E-2</v>
      </c>
      <c r="W93">
        <v>0.1257598</v>
      </c>
      <c r="X93">
        <v>0.99122359999999998</v>
      </c>
      <c r="Y93">
        <v>-3.1883479999999999E-2</v>
      </c>
      <c r="Z93">
        <v>7.9529929999999996E-4</v>
      </c>
      <c r="AA93">
        <v>0.99949129999999997</v>
      </c>
      <c r="AB93">
        <v>21</v>
      </c>
      <c r="AC93">
        <v>3.0095209999999999</v>
      </c>
      <c r="AD93">
        <v>3.4761790000000001E-2</v>
      </c>
      <c r="AE93">
        <v>0.19686890000000001</v>
      </c>
      <c r="AF93">
        <v>-9.6118190713673599E-2</v>
      </c>
      <c r="AG93">
        <v>3.4761790000000001E-2</v>
      </c>
      <c r="AH93">
        <v>3.0140204087003601</v>
      </c>
      <c r="AI93">
        <v>89.339552023110301</v>
      </c>
      <c r="AJ93">
        <v>91.826563902675105</v>
      </c>
      <c r="AK93">
        <v>3.01575299265247</v>
      </c>
      <c r="AL93">
        <v>82.7753645817765</v>
      </c>
      <c r="AM93">
        <v>92.353919137995504</v>
      </c>
      <c r="AN93">
        <v>0.99999999450449994</v>
      </c>
    </row>
    <row r="94" spans="1:40" x14ac:dyDescent="0.25">
      <c r="A94" t="str">
        <f>"20190303162744398"</f>
        <v>20190303162744398</v>
      </c>
      <c r="B94" t="str">
        <f>"1551601664391507"</f>
        <v>1551601664391507</v>
      </c>
      <c r="C94" t="s">
        <v>40</v>
      </c>
      <c r="D94">
        <v>5.538888</v>
      </c>
      <c r="E94">
        <v>0.5070306</v>
      </c>
      <c r="F94" t="s">
        <v>45</v>
      </c>
      <c r="G94">
        <v>0</v>
      </c>
      <c r="H94">
        <v>0</v>
      </c>
      <c r="I94">
        <v>0</v>
      </c>
      <c r="J94">
        <v>-462.36430000000001</v>
      </c>
      <c r="K94">
        <v>1.120714</v>
      </c>
      <c r="L94">
        <v>367.48320000000001</v>
      </c>
      <c r="M94">
        <v>0.99939809999999996</v>
      </c>
      <c r="N94">
        <v>-1.262926E-2</v>
      </c>
      <c r="O94">
        <v>3.2315070000000001E-2</v>
      </c>
      <c r="P94">
        <v>0.99020940000000002</v>
      </c>
      <c r="Q94">
        <v>0.11934019999999999</v>
      </c>
      <c r="R94">
        <v>7.2412169999999998E-2</v>
      </c>
      <c r="S94">
        <v>3.0101930000000001</v>
      </c>
      <c r="T94">
        <v>2.708375E-2</v>
      </c>
      <c r="U94">
        <v>0.19708249999999999</v>
      </c>
      <c r="V94">
        <v>-4.0235279999999998E-2</v>
      </c>
      <c r="W94">
        <v>0.13190180000000001</v>
      </c>
      <c r="X94">
        <v>0.99044589999999999</v>
      </c>
      <c r="Y94">
        <v>-3.305719E-2</v>
      </c>
      <c r="Z94">
        <v>7.5857769999999999E-4</v>
      </c>
      <c r="AA94">
        <v>0.99945320000000004</v>
      </c>
      <c r="AB94">
        <v>21</v>
      </c>
      <c r="AC94">
        <v>3.0101930000000001</v>
      </c>
      <c r="AD94">
        <v>2.708375E-2</v>
      </c>
      <c r="AE94">
        <v>0.19708249999999999</v>
      </c>
      <c r="AF94">
        <v>-9.96891778330707E-2</v>
      </c>
      <c r="AG94">
        <v>2.708375E-2</v>
      </c>
      <c r="AH94">
        <v>3.01474685425049</v>
      </c>
      <c r="AI94">
        <v>89.485563706881706</v>
      </c>
      <c r="AJ94">
        <v>91.893919778721695</v>
      </c>
      <c r="AK94">
        <v>3.0165162119412399</v>
      </c>
      <c r="AL94">
        <v>82.420496253376299</v>
      </c>
      <c r="AM94">
        <v>92.326270282867398</v>
      </c>
      <c r="AN94">
        <v>1.00000002171336</v>
      </c>
    </row>
    <row r="95" spans="1:40" x14ac:dyDescent="0.25">
      <c r="A95" t="str">
        <f>"20190303162744420"</f>
        <v>20190303162744420</v>
      </c>
      <c r="B95" t="str">
        <f>"1551601664412003"</f>
        <v>1551601664412003</v>
      </c>
      <c r="C95" t="s">
        <v>40</v>
      </c>
      <c r="D95">
        <v>5.7402139999999999</v>
      </c>
      <c r="E95">
        <v>0.50785950000000002</v>
      </c>
      <c r="F95" t="s">
        <v>43</v>
      </c>
      <c r="G95">
        <v>-169.2955</v>
      </c>
      <c r="H95">
        <v>1.8451900000000001</v>
      </c>
      <c r="I95">
        <v>383.43639999999999</v>
      </c>
      <c r="J95">
        <v>-462.15010000000001</v>
      </c>
      <c r="K95">
        <v>1.120682</v>
      </c>
      <c r="L95">
        <v>367.48930000000001</v>
      </c>
      <c r="M95">
        <v>0.99941749999999996</v>
      </c>
      <c r="N95">
        <v>-1.2880000000000001E-2</v>
      </c>
      <c r="O95">
        <v>3.1605370000000001E-2</v>
      </c>
      <c r="P95">
        <v>0.99049659999999995</v>
      </c>
      <c r="Q95">
        <v>0.1183302</v>
      </c>
      <c r="R95">
        <v>7.0104139999999995E-2</v>
      </c>
      <c r="S95">
        <v>3.016724</v>
      </c>
      <c r="T95">
        <v>7.4583289999999997E-3</v>
      </c>
      <c r="U95">
        <v>0.1642151</v>
      </c>
      <c r="V95">
        <v>-3.8607879999999997E-2</v>
      </c>
      <c r="W95">
        <v>0.1311455</v>
      </c>
      <c r="X95">
        <v>0.99061109999999997</v>
      </c>
      <c r="Y95">
        <v>-2.277003E-2</v>
      </c>
      <c r="Z95">
        <v>6.0360779999999998E-4</v>
      </c>
      <c r="AA95">
        <v>0.99974050000000003</v>
      </c>
      <c r="AB95">
        <v>21</v>
      </c>
      <c r="AC95">
        <v>292.8546</v>
      </c>
      <c r="AD95">
        <v>0.72450800000000004</v>
      </c>
      <c r="AE95">
        <v>15.947099999999899</v>
      </c>
      <c r="AF95">
        <v>-6.6825459259016498</v>
      </c>
      <c r="AG95">
        <v>0.72450800000000004</v>
      </c>
      <c r="AH95">
        <v>293.210539553822</v>
      </c>
      <c r="AI95">
        <v>89.858462149998005</v>
      </c>
      <c r="AJ95">
        <v>91.305599062468502</v>
      </c>
      <c r="AK95">
        <v>293.28757532042999</v>
      </c>
      <c r="AL95">
        <v>82.464208851284894</v>
      </c>
      <c r="AM95">
        <v>92.231904717312801</v>
      </c>
      <c r="AN95">
        <v>1.00000003100577</v>
      </c>
    </row>
    <row r="96" spans="1:40" x14ac:dyDescent="0.25">
      <c r="A96" t="str">
        <f>"20190303162744443"</f>
        <v>20190303162744443</v>
      </c>
      <c r="B96" t="str">
        <f>"1551601664431522"</f>
        <v>1551601664431522</v>
      </c>
      <c r="C96" t="s">
        <v>40</v>
      </c>
      <c r="D96">
        <v>5.5640419999999997</v>
      </c>
      <c r="E96">
        <v>0.5090017</v>
      </c>
      <c r="F96" t="s">
        <v>41</v>
      </c>
      <c r="G96">
        <v>-240.92410000000001</v>
      </c>
      <c r="H96" s="1">
        <v>-5.9404919999999999E-6</v>
      </c>
      <c r="I96">
        <v>378.54649999999998</v>
      </c>
      <c r="J96">
        <v>-461.94130000000001</v>
      </c>
      <c r="K96">
        <v>1.120657</v>
      </c>
      <c r="L96">
        <v>367.49509999999998</v>
      </c>
      <c r="M96">
        <v>0.9994381</v>
      </c>
      <c r="N96">
        <v>-1.309071E-2</v>
      </c>
      <c r="O96">
        <v>3.085361E-2</v>
      </c>
      <c r="P96">
        <v>0.99068679999999998</v>
      </c>
      <c r="Q96">
        <v>0.11781320000000001</v>
      </c>
      <c r="R96">
        <v>6.8260130000000002E-2</v>
      </c>
      <c r="S96">
        <v>3.0199280000000002</v>
      </c>
      <c r="T96">
        <v>-1.529837E-2</v>
      </c>
      <c r="U96">
        <v>0.15093989999999999</v>
      </c>
      <c r="V96">
        <v>-3.7494609999999998E-2</v>
      </c>
      <c r="W96">
        <v>0.1308406</v>
      </c>
      <c r="X96">
        <v>0.99069419999999997</v>
      </c>
      <c r="Y96">
        <v>-1.9077549999999999E-2</v>
      </c>
      <c r="Z96">
        <v>4.2088640000000001E-4</v>
      </c>
      <c r="AA96">
        <v>0.99981790000000004</v>
      </c>
      <c r="AB96">
        <v>21</v>
      </c>
      <c r="AC96">
        <v>221.0172</v>
      </c>
      <c r="AD96">
        <v>-1.1206629404919899</v>
      </c>
      <c r="AE96">
        <v>11.051399999999999</v>
      </c>
      <c r="AF96">
        <v>-4.22626585058432</v>
      </c>
      <c r="AG96">
        <v>-1.1206629404919899</v>
      </c>
      <c r="AH96">
        <v>221.24728956651199</v>
      </c>
      <c r="AI96">
        <v>90.290159471418804</v>
      </c>
      <c r="AJ96">
        <v>91.094330923485899</v>
      </c>
      <c r="AK96">
        <v>221.290488609416</v>
      </c>
      <c r="AL96">
        <v>82.481830339299805</v>
      </c>
      <c r="AM96">
        <v>92.167427717362301</v>
      </c>
      <c r="AN96">
        <v>1.00000005315052</v>
      </c>
    </row>
    <row r="97" spans="1:40" x14ac:dyDescent="0.25">
      <c r="A97" t="str">
        <f>"20190303162744464"</f>
        <v>20190303162744464</v>
      </c>
      <c r="B97" t="str">
        <f>"1551601664451042"</f>
        <v>1551601664451042</v>
      </c>
      <c r="C97" t="s">
        <v>40</v>
      </c>
      <c r="D97">
        <v>5.5833700000000004</v>
      </c>
      <c r="E97">
        <v>0.50952399999999998</v>
      </c>
      <c r="F97" t="s">
        <v>41</v>
      </c>
      <c r="G97">
        <v>-325.36200000000002</v>
      </c>
      <c r="H97" s="1">
        <v>-3.040033E-6</v>
      </c>
      <c r="I97">
        <v>373.63040000000001</v>
      </c>
      <c r="J97">
        <v>-461.73680000000002</v>
      </c>
      <c r="K97">
        <v>1.120655</v>
      </c>
      <c r="L97">
        <v>367.50049999999999</v>
      </c>
      <c r="M97">
        <v>0.9994596</v>
      </c>
      <c r="N97">
        <v>-1.3268520000000001E-2</v>
      </c>
      <c r="O97">
        <v>3.0075939999999999E-2</v>
      </c>
      <c r="P97">
        <v>0.9906604</v>
      </c>
      <c r="Q97">
        <v>0.1185872</v>
      </c>
      <c r="R97">
        <v>6.7299650000000003E-2</v>
      </c>
      <c r="S97">
        <v>3.0217589999999999</v>
      </c>
      <c r="T97">
        <v>-2.4794099999999999E-2</v>
      </c>
      <c r="U97">
        <v>0.13574220000000001</v>
      </c>
      <c r="V97">
        <v>-3.7300439999999997E-2</v>
      </c>
      <c r="W97">
        <v>0.13179080000000001</v>
      </c>
      <c r="X97">
        <v>0.9905756</v>
      </c>
      <c r="Y97">
        <v>-1.480681E-2</v>
      </c>
      <c r="Z97">
        <v>3.1142060000000001E-4</v>
      </c>
      <c r="AA97">
        <v>0.99989030000000001</v>
      </c>
      <c r="AB97">
        <v>21</v>
      </c>
      <c r="AC97">
        <v>136.37479999999999</v>
      </c>
      <c r="AD97">
        <v>-1.120658040033</v>
      </c>
      <c r="AE97">
        <v>6.1299000000000197</v>
      </c>
      <c r="AF97">
        <v>-2.0250287986683402</v>
      </c>
      <c r="AG97">
        <v>-1.120658040033</v>
      </c>
      <c r="AH97">
        <v>136.48827609875499</v>
      </c>
      <c r="AI97">
        <v>90.470373497194103</v>
      </c>
      <c r="AJ97">
        <v>90.850015067754796</v>
      </c>
      <c r="AK97">
        <v>136.50789767807601</v>
      </c>
      <c r="AL97">
        <v>82.4269125269212</v>
      </c>
      <c r="AM97">
        <v>92.156471990677503</v>
      </c>
      <c r="AN97">
        <v>1.0000000785520899</v>
      </c>
    </row>
    <row r="98" spans="1:40" x14ac:dyDescent="0.25">
      <c r="A98" t="str">
        <f>"20190303162744488"</f>
        <v>20190303162744488</v>
      </c>
      <c r="B98" t="str">
        <f>"1551601664481299"</f>
        <v>1551601664481299</v>
      </c>
      <c r="C98" t="s">
        <v>40</v>
      </c>
      <c r="D98">
        <v>5.5786709999999999</v>
      </c>
      <c r="E98">
        <v>0.51097329999999996</v>
      </c>
      <c r="F98" t="s">
        <v>41</v>
      </c>
      <c r="G98">
        <v>-352.0804</v>
      </c>
      <c r="H98" s="1">
        <v>-4.0171839999999998E-6</v>
      </c>
      <c r="I98">
        <v>372.14830000000001</v>
      </c>
      <c r="J98">
        <v>-461.51170000000002</v>
      </c>
      <c r="K98">
        <v>1.1206700000000001</v>
      </c>
      <c r="L98">
        <v>367.50630000000001</v>
      </c>
      <c r="M98">
        <v>0.99948349999999997</v>
      </c>
      <c r="N98">
        <v>-1.343521E-2</v>
      </c>
      <c r="O98">
        <v>2.9194370000000001E-2</v>
      </c>
      <c r="P98">
        <v>0.99079039999999996</v>
      </c>
      <c r="Q98">
        <v>0.1187033</v>
      </c>
      <c r="R98">
        <v>6.5146079999999995E-2</v>
      </c>
      <c r="S98">
        <v>3.023285</v>
      </c>
      <c r="T98">
        <v>-3.089714E-2</v>
      </c>
      <c r="U98">
        <v>0.12814329999999999</v>
      </c>
      <c r="V98">
        <v>-3.6017590000000002E-2</v>
      </c>
      <c r="W98">
        <v>0.13207099999999999</v>
      </c>
      <c r="X98">
        <v>0.99058570000000001</v>
      </c>
      <c r="Y98">
        <v>-1.315713E-2</v>
      </c>
      <c r="Z98">
        <v>2.4967350000000001E-4</v>
      </c>
      <c r="AA98">
        <v>0.99991339999999995</v>
      </c>
      <c r="AB98">
        <v>21</v>
      </c>
      <c r="AC98">
        <v>109.43129999999999</v>
      </c>
      <c r="AD98">
        <v>-1.1206740171839999</v>
      </c>
      <c r="AE98">
        <v>4.6419999999999897</v>
      </c>
      <c r="AF98">
        <v>-1.44480364907202</v>
      </c>
      <c r="AG98">
        <v>-1.1206740171839999</v>
      </c>
      <c r="AH98">
        <v>109.508715178195</v>
      </c>
      <c r="AI98">
        <v>90.586273546977907</v>
      </c>
      <c r="AJ98">
        <v>90.755888227578097</v>
      </c>
      <c r="AK98">
        <v>109.523979419195</v>
      </c>
      <c r="AL98">
        <v>82.410716253097604</v>
      </c>
      <c r="AM98">
        <v>92.082351080571001</v>
      </c>
      <c r="AN98">
        <v>1.0000000224374399</v>
      </c>
    </row>
    <row r="99" spans="1:40" x14ac:dyDescent="0.25">
      <c r="A99" t="str">
        <f>"20190303162744511"</f>
        <v>20190303162744511</v>
      </c>
      <c r="B99" t="str">
        <f>"1551601664501795"</f>
        <v>1551601664501795</v>
      </c>
      <c r="C99" t="s">
        <v>40</v>
      </c>
      <c r="D99">
        <v>5.7439910000000003</v>
      </c>
      <c r="E99">
        <v>0.51163239999999999</v>
      </c>
      <c r="F99" t="s">
        <v>41</v>
      </c>
      <c r="G99">
        <v>-392.0446</v>
      </c>
      <c r="H99" s="1">
        <v>-3.510289E-6</v>
      </c>
      <c r="I99">
        <v>370.0489</v>
      </c>
      <c r="J99">
        <v>-461.29770000000002</v>
      </c>
      <c r="K99">
        <v>1.1206799999999999</v>
      </c>
      <c r="L99">
        <v>367.51150000000001</v>
      </c>
      <c r="M99">
        <v>0.99950609999999995</v>
      </c>
      <c r="N99">
        <v>-1.357126E-2</v>
      </c>
      <c r="O99">
        <v>2.8349869999999999E-2</v>
      </c>
      <c r="P99">
        <v>0.99147019999999997</v>
      </c>
      <c r="Q99">
        <v>0.115823</v>
      </c>
      <c r="R99">
        <v>5.9770509999999999E-2</v>
      </c>
      <c r="S99">
        <v>3.026459</v>
      </c>
      <c r="T99">
        <v>-4.8824069999999997E-2</v>
      </c>
      <c r="U99">
        <v>0.1107788</v>
      </c>
      <c r="V99">
        <v>-3.1469129999999998E-2</v>
      </c>
      <c r="W99">
        <v>0.12932630000000001</v>
      </c>
      <c r="X99">
        <v>0.99110259999999994</v>
      </c>
      <c r="Y99">
        <v>-8.228862E-3</v>
      </c>
      <c r="Z99" s="1">
        <v>4.9868370000000003E-5</v>
      </c>
      <c r="AA99">
        <v>0.99996609999999997</v>
      </c>
      <c r="AB99">
        <v>21</v>
      </c>
      <c r="AC99">
        <v>69.253100000000003</v>
      </c>
      <c r="AD99">
        <v>-1.12068351028899</v>
      </c>
      <c r="AE99">
        <v>2.5373999999999901</v>
      </c>
      <c r="AF99">
        <v>-0.57273327693874299</v>
      </c>
      <c r="AG99">
        <v>-1.12068351028899</v>
      </c>
      <c r="AH99">
        <v>69.279083112532305</v>
      </c>
      <c r="AI99">
        <v>90.926724763699994</v>
      </c>
      <c r="AJ99">
        <v>90.473655980093298</v>
      </c>
      <c r="AK99">
        <v>69.290513866256603</v>
      </c>
      <c r="AL99">
        <v>82.569336341079904</v>
      </c>
      <c r="AM99">
        <v>91.818623799319099</v>
      </c>
      <c r="AN99">
        <v>0.99999998087070296</v>
      </c>
    </row>
    <row r="100" spans="1:40" x14ac:dyDescent="0.25">
      <c r="A100" t="str">
        <f>"20190303162744535"</f>
        <v>20190303162744535</v>
      </c>
      <c r="B100" t="str">
        <f>"1551601664531074"</f>
        <v>1551601664531074</v>
      </c>
      <c r="C100" t="s">
        <v>40</v>
      </c>
      <c r="D100">
        <v>5.5927170000000004</v>
      </c>
      <c r="E100">
        <v>0.51231930000000003</v>
      </c>
      <c r="F100" t="s">
        <v>42</v>
      </c>
      <c r="G100">
        <v>-405.54899999999998</v>
      </c>
      <c r="H100">
        <v>-0.05</v>
      </c>
      <c r="I100">
        <v>369.18040000000002</v>
      </c>
      <c r="J100">
        <v>-461.06700000000001</v>
      </c>
      <c r="K100">
        <v>1.1206910000000001</v>
      </c>
      <c r="L100">
        <v>367.51690000000002</v>
      </c>
      <c r="M100">
        <v>0.99952949999999996</v>
      </c>
      <c r="N100">
        <v>-1.3696409999999999E-2</v>
      </c>
      <c r="O100">
        <v>2.7445130000000002E-2</v>
      </c>
      <c r="P100">
        <v>0.99238720000000002</v>
      </c>
      <c r="Q100">
        <v>0.1110945</v>
      </c>
      <c r="R100">
        <v>5.3159150000000002E-2</v>
      </c>
      <c r="S100">
        <v>3.027771</v>
      </c>
      <c r="T100">
        <v>-6.3580990000000004E-2</v>
      </c>
      <c r="U100">
        <v>9.0637209999999996E-2</v>
      </c>
      <c r="V100">
        <v>-2.5743789999999999E-2</v>
      </c>
      <c r="W100">
        <v>0.1247238</v>
      </c>
      <c r="X100">
        <v>0.99185749999999995</v>
      </c>
      <c r="Y100">
        <v>-2.4750309999999999E-3</v>
      </c>
      <c r="Z100">
        <v>-1.5719350000000001E-4</v>
      </c>
      <c r="AA100">
        <v>0.99999689999999997</v>
      </c>
      <c r="AB100">
        <v>21</v>
      </c>
      <c r="AC100">
        <v>55.517999999999901</v>
      </c>
      <c r="AD100">
        <v>-1.1706909999999999</v>
      </c>
      <c r="AE100">
        <v>1.66349999999999</v>
      </c>
      <c r="AF100">
        <v>-0.13896989641577501</v>
      </c>
      <c r="AG100">
        <v>-1.1706909999999999</v>
      </c>
      <c r="AH100">
        <v>55.518078445292801</v>
      </c>
      <c r="AI100">
        <v>91.207993976520598</v>
      </c>
      <c r="AJ100">
        <v>90.143419443484603</v>
      </c>
      <c r="AK100">
        <v>55.530593948806903</v>
      </c>
      <c r="AL100">
        <v>82.835194384475997</v>
      </c>
      <c r="AM100">
        <v>91.486785578225593</v>
      </c>
      <c r="AN100">
        <v>1.0000000346581199</v>
      </c>
    </row>
    <row r="101" spans="1:40" x14ac:dyDescent="0.25">
      <c r="A101" t="str">
        <f>"20190303162744555"</f>
        <v>20190303162744555</v>
      </c>
      <c r="B101" t="str">
        <f>"1551601664541811"</f>
        <v>1551601664541811</v>
      </c>
      <c r="C101" t="s">
        <v>40</v>
      </c>
      <c r="D101">
        <v>5.7473380000000001</v>
      </c>
      <c r="E101">
        <v>0.51244230000000002</v>
      </c>
      <c r="F101" t="s">
        <v>42</v>
      </c>
      <c r="G101">
        <v>-417.74579999999997</v>
      </c>
      <c r="H101">
        <v>-0.05</v>
      </c>
      <c r="I101">
        <v>368.47340000000003</v>
      </c>
      <c r="J101">
        <v>-460.87900000000002</v>
      </c>
      <c r="K101">
        <v>1.1207</v>
      </c>
      <c r="L101">
        <v>367.52120000000002</v>
      </c>
      <c r="M101">
        <v>0.99954810000000005</v>
      </c>
      <c r="N101">
        <v>-1.378389E-2</v>
      </c>
      <c r="O101">
        <v>2.6714410000000001E-2</v>
      </c>
      <c r="P101">
        <v>0.9930947</v>
      </c>
      <c r="Q101">
        <v>0.1081141</v>
      </c>
      <c r="R101">
        <v>4.5547820000000003E-2</v>
      </c>
      <c r="S101">
        <v>3.0285639999999998</v>
      </c>
      <c r="T101">
        <v>-8.1842540000000005E-2</v>
      </c>
      <c r="U101">
        <v>6.6864010000000001E-2</v>
      </c>
      <c r="V101">
        <v>-1.8849649999999999E-2</v>
      </c>
      <c r="W101">
        <v>0.1218278</v>
      </c>
      <c r="X101">
        <v>0.99237229999999998</v>
      </c>
      <c r="Y101">
        <v>4.6410130000000003E-3</v>
      </c>
      <c r="Z101">
        <v>-4.4804170000000001E-4</v>
      </c>
      <c r="AA101">
        <v>0.99998920000000002</v>
      </c>
      <c r="AB101">
        <v>21</v>
      </c>
      <c r="AC101">
        <v>43.133200000000002</v>
      </c>
      <c r="AD101">
        <v>-1.1707000000000001</v>
      </c>
      <c r="AE101">
        <v>0.95220000000000404</v>
      </c>
      <c r="AF101">
        <v>0.200379793040218</v>
      </c>
      <c r="AG101">
        <v>-1.1707000000000001</v>
      </c>
      <c r="AH101">
        <v>43.111499886479898</v>
      </c>
      <c r="AI101">
        <v>91.555477428553701</v>
      </c>
      <c r="AJ101">
        <v>89.733694401802197</v>
      </c>
      <c r="AK101">
        <v>43.1278577373537</v>
      </c>
      <c r="AL101">
        <v>83.002398496543606</v>
      </c>
      <c r="AM101">
        <v>91.088175811150805</v>
      </c>
      <c r="AN101">
        <v>1.00000005198262</v>
      </c>
    </row>
    <row r="102" spans="1:40" x14ac:dyDescent="0.25">
      <c r="A102" t="str">
        <f>"20190303162744577"</f>
        <v>20190303162744577</v>
      </c>
      <c r="B102" t="str">
        <f>"1551601664571091"</f>
        <v>1551601664571091</v>
      </c>
      <c r="C102" t="s">
        <v>40</v>
      </c>
      <c r="D102">
        <v>5.4642980000000003</v>
      </c>
      <c r="E102">
        <v>0.51290079999999905</v>
      </c>
      <c r="F102" t="s">
        <v>42</v>
      </c>
      <c r="G102">
        <v>-422.35610000000003</v>
      </c>
      <c r="H102">
        <v>-0.05</v>
      </c>
      <c r="I102">
        <v>368.09690000000001</v>
      </c>
      <c r="J102">
        <v>-460.66840000000002</v>
      </c>
      <c r="K102">
        <v>1.12073</v>
      </c>
      <c r="L102">
        <v>367.52589999999998</v>
      </c>
      <c r="M102">
        <v>0.99956840000000002</v>
      </c>
      <c r="N102">
        <v>-1.3868470000000001E-2</v>
      </c>
      <c r="O102">
        <v>2.5898480000000001E-2</v>
      </c>
      <c r="P102">
        <v>0.99331309999999995</v>
      </c>
      <c r="Q102">
        <v>0.10911709999999999</v>
      </c>
      <c r="R102">
        <v>3.7721039999999997E-2</v>
      </c>
      <c r="S102">
        <v>3.0288089999999999</v>
      </c>
      <c r="T102">
        <v>-9.2044710000000002E-2</v>
      </c>
      <c r="U102">
        <v>4.5257569999999997E-2</v>
      </c>
      <c r="V102">
        <v>-1.1831990000000001E-2</v>
      </c>
      <c r="W102">
        <v>0.122905399999999</v>
      </c>
      <c r="X102">
        <v>0.9923478</v>
      </c>
      <c r="Y102">
        <v>1.0951499999999999E-2</v>
      </c>
      <c r="Z102">
        <v>-6.6987909999999999E-4</v>
      </c>
      <c r="AA102">
        <v>0.99993980000000005</v>
      </c>
      <c r="AB102">
        <v>21</v>
      </c>
      <c r="AC102">
        <v>38.312299999999901</v>
      </c>
      <c r="AD102">
        <v>-1.1707299999999901</v>
      </c>
      <c r="AE102">
        <v>0.57100000000002604</v>
      </c>
      <c r="AF102">
        <v>0.42112416286073201</v>
      </c>
      <c r="AG102">
        <v>-1.1707299999999901</v>
      </c>
      <c r="AH102">
        <v>38.2785010562461</v>
      </c>
      <c r="AI102">
        <v>91.751712512819196</v>
      </c>
      <c r="AJ102">
        <v>89.369681071121704</v>
      </c>
      <c r="AK102">
        <v>38.298715349297098</v>
      </c>
      <c r="AL102">
        <v>82.940188297930106</v>
      </c>
      <c r="AM102">
        <v>90.683118325752105</v>
      </c>
      <c r="AN102">
        <v>0.99999994475067799</v>
      </c>
    </row>
    <row r="103" spans="1:40" x14ac:dyDescent="0.25">
      <c r="A103" t="str">
        <f>"20190303162744599"</f>
        <v>20190303162744599</v>
      </c>
      <c r="B103" t="str">
        <f>"1551601664591586"</f>
        <v>1551601664591586</v>
      </c>
      <c r="C103" t="s">
        <v>40</v>
      </c>
      <c r="D103">
        <v>5.4836390000000002</v>
      </c>
      <c r="E103">
        <v>0.51302250000000005</v>
      </c>
      <c r="F103" t="s">
        <v>42</v>
      </c>
      <c r="G103">
        <v>-422.55009999999999</v>
      </c>
      <c r="H103">
        <v>-0.05</v>
      </c>
      <c r="I103">
        <v>367.7559</v>
      </c>
      <c r="J103">
        <v>-460.46140000000003</v>
      </c>
      <c r="K103">
        <v>1.12077</v>
      </c>
      <c r="L103">
        <v>367.53030000000001</v>
      </c>
      <c r="M103">
        <v>0.99958809999999998</v>
      </c>
      <c r="N103">
        <v>-1.3939440000000001E-2</v>
      </c>
      <c r="O103">
        <v>2.5086399999999998E-2</v>
      </c>
      <c r="P103">
        <v>0.99315600000000004</v>
      </c>
      <c r="Q103">
        <v>0.1125925</v>
      </c>
      <c r="R103">
        <v>3.1052099999999999E-2</v>
      </c>
      <c r="S103">
        <v>3.0297239999999999</v>
      </c>
      <c r="T103">
        <v>-9.305215E-2</v>
      </c>
      <c r="U103">
        <v>1.8280029999999999E-2</v>
      </c>
      <c r="V103">
        <v>-5.9710730000000004E-3</v>
      </c>
      <c r="W103">
        <v>0.12643960000000001</v>
      </c>
      <c r="X103">
        <v>0.99195639999999996</v>
      </c>
      <c r="Y103">
        <v>1.904026E-2</v>
      </c>
      <c r="Z103">
        <v>-8.4560280000000004E-4</v>
      </c>
      <c r="AA103">
        <v>0.9998184</v>
      </c>
      <c r="AB103">
        <v>21</v>
      </c>
      <c r="AC103">
        <v>37.911299999999997</v>
      </c>
      <c r="AD103">
        <v>-1.1707700000000001</v>
      </c>
      <c r="AE103">
        <v>0.22559999999998501</v>
      </c>
      <c r="AF103">
        <v>0.72493012766667997</v>
      </c>
      <c r="AG103">
        <v>-1.1707700000000001</v>
      </c>
      <c r="AH103">
        <v>37.868912726901101</v>
      </c>
      <c r="AI103">
        <v>91.770490329569796</v>
      </c>
      <c r="AJ103">
        <v>88.903312474816602</v>
      </c>
      <c r="AK103">
        <v>37.8939411674288</v>
      </c>
      <c r="AL103">
        <v>82.736101994126898</v>
      </c>
      <c r="AM103">
        <v>90.344887285399096</v>
      </c>
      <c r="AN103">
        <v>1.00000006283094</v>
      </c>
    </row>
    <row r="104" spans="1:40" x14ac:dyDescent="0.25">
      <c r="A104" t="str">
        <f>"20190303162744621"</f>
        <v>20190303162744621</v>
      </c>
      <c r="B104" t="str">
        <f>"1551601664612083"</f>
        <v>1551601664612083</v>
      </c>
      <c r="C104" t="s">
        <v>40</v>
      </c>
      <c r="D104">
        <v>5.4633379999999896</v>
      </c>
      <c r="E104">
        <v>0.51308770000000004</v>
      </c>
      <c r="F104" t="s">
        <v>42</v>
      </c>
      <c r="G104">
        <v>-418.34469999999999</v>
      </c>
      <c r="H104">
        <v>-0.05</v>
      </c>
      <c r="I104">
        <v>367.45609999999999</v>
      </c>
      <c r="J104">
        <v>-460.25830000000002</v>
      </c>
      <c r="K104">
        <v>1.120792</v>
      </c>
      <c r="L104">
        <v>367.53449999999998</v>
      </c>
      <c r="M104">
        <v>0.99960760000000004</v>
      </c>
      <c r="N104">
        <v>-1.399915E-2</v>
      </c>
      <c r="O104">
        <v>2.4265640000000002E-2</v>
      </c>
      <c r="P104">
        <v>0.9929287</v>
      </c>
      <c r="Q104">
        <v>0.11533690000000001</v>
      </c>
      <c r="R104">
        <v>2.8105850000000002E-2</v>
      </c>
      <c r="S104">
        <v>3.0303960000000001</v>
      </c>
      <c r="T104">
        <v>-8.4239599999999998E-2</v>
      </c>
      <c r="U104">
        <v>-5.3405759999999997E-3</v>
      </c>
      <c r="V104">
        <v>-3.8397380000000001E-3</v>
      </c>
      <c r="W104">
        <v>0.12923599999999999</v>
      </c>
      <c r="X104">
        <v>0.9916064</v>
      </c>
      <c r="Y104">
        <v>2.601237E-2</v>
      </c>
      <c r="Z104">
        <v>-8.7827580000000003E-4</v>
      </c>
      <c r="AA104">
        <v>0.99966120000000003</v>
      </c>
      <c r="AB104">
        <v>21</v>
      </c>
      <c r="AC104">
        <v>41.913600000000002</v>
      </c>
      <c r="AD104">
        <v>-1.1707920000000001</v>
      </c>
      <c r="AE104">
        <v>-7.8399999999987799E-2</v>
      </c>
      <c r="AF104">
        <v>1.0946826821808899</v>
      </c>
      <c r="AG104">
        <v>-1.1707920000000001</v>
      </c>
      <c r="AH104">
        <v>41.866685788266601</v>
      </c>
      <c r="AI104">
        <v>91.601298501485999</v>
      </c>
      <c r="AJ104">
        <v>88.502236107503805</v>
      </c>
      <c r="AK104">
        <v>41.897356276683801</v>
      </c>
      <c r="AL104">
        <v>82.5745538543366</v>
      </c>
      <c r="AM104">
        <v>90.221861902327504</v>
      </c>
      <c r="AN104">
        <v>0.99999996990243301</v>
      </c>
    </row>
    <row r="105" spans="1:40" x14ac:dyDescent="0.25">
      <c r="A105" t="str">
        <f>"20190303162744645"</f>
        <v>20190303162744645</v>
      </c>
      <c r="B105" t="str">
        <f>"1551601664631602"</f>
        <v>1551601664631602</v>
      </c>
      <c r="C105" t="s">
        <v>40</v>
      </c>
      <c r="D105">
        <v>5.6511529999999999</v>
      </c>
      <c r="E105">
        <v>0.51291169999999997</v>
      </c>
      <c r="F105" t="s">
        <v>42</v>
      </c>
      <c r="G105">
        <v>-414.42680000000001</v>
      </c>
      <c r="H105">
        <v>-0.05</v>
      </c>
      <c r="I105">
        <v>367.25799999999998</v>
      </c>
      <c r="J105">
        <v>-460.04860000000002</v>
      </c>
      <c r="K105">
        <v>1.1208</v>
      </c>
      <c r="L105">
        <v>367.5385</v>
      </c>
      <c r="M105">
        <v>0.99962790000000001</v>
      </c>
      <c r="N105">
        <v>-1.4051930000000001E-2</v>
      </c>
      <c r="O105">
        <v>2.3377180000000001E-2</v>
      </c>
      <c r="P105">
        <v>0.99260429999999999</v>
      </c>
      <c r="Q105">
        <v>0.1182213</v>
      </c>
      <c r="R105">
        <v>2.757778E-2</v>
      </c>
      <c r="S105">
        <v>3.0308839999999999</v>
      </c>
      <c r="T105">
        <v>-7.7425599999999997E-2</v>
      </c>
      <c r="U105">
        <v>-1.8280029999999999E-2</v>
      </c>
      <c r="V105">
        <v>-4.1903640000000002E-3</v>
      </c>
      <c r="W105">
        <v>0.13216839999999999</v>
      </c>
      <c r="X105">
        <v>0.99121840000000005</v>
      </c>
      <c r="Y105">
        <v>2.9392160000000001E-2</v>
      </c>
      <c r="Z105">
        <v>-8.5047710000000002E-4</v>
      </c>
      <c r="AA105">
        <v>0.9995676</v>
      </c>
      <c r="AB105">
        <v>21</v>
      </c>
      <c r="AC105">
        <v>45.6218</v>
      </c>
      <c r="AD105">
        <v>-1.1708000000000001</v>
      </c>
      <c r="AE105">
        <v>-0.28049999999996</v>
      </c>
      <c r="AF105">
        <v>1.34615119014284</v>
      </c>
      <c r="AG105">
        <v>-1.1708000000000001</v>
      </c>
      <c r="AH105">
        <v>45.572758892459603</v>
      </c>
      <c r="AI105">
        <v>91.471008578308002</v>
      </c>
      <c r="AJ105">
        <v>88.3080602717082</v>
      </c>
      <c r="AK105">
        <v>45.607666556588697</v>
      </c>
      <c r="AL105">
        <v>82.405085972678606</v>
      </c>
      <c r="AM105">
        <v>90.242215783695301</v>
      </c>
      <c r="AN105">
        <v>0.99999998080378605</v>
      </c>
    </row>
    <row r="106" spans="1:40" x14ac:dyDescent="0.25">
      <c r="A106" t="str">
        <f>"20190303162744667"</f>
        <v>20190303162744667</v>
      </c>
      <c r="B106" t="str">
        <f>"1551601664661859"</f>
        <v>1551601664661859</v>
      </c>
      <c r="C106" t="s">
        <v>40</v>
      </c>
      <c r="D106">
        <v>5.4076399999999998</v>
      </c>
      <c r="E106">
        <v>0.51212139999999995</v>
      </c>
      <c r="F106" t="s">
        <v>42</v>
      </c>
      <c r="G106">
        <v>-407.04559999999998</v>
      </c>
      <c r="H106">
        <v>-0.05</v>
      </c>
      <c r="I106">
        <v>367.1884</v>
      </c>
      <c r="J106">
        <v>-459.8408</v>
      </c>
      <c r="K106">
        <v>1.120798</v>
      </c>
      <c r="L106">
        <v>367.54230000000001</v>
      </c>
      <c r="M106">
        <v>0.99964889999999995</v>
      </c>
      <c r="N106">
        <v>-1.409618E-2</v>
      </c>
      <c r="O106">
        <v>2.2440789999999999E-2</v>
      </c>
      <c r="P106">
        <v>0.99236400000000002</v>
      </c>
      <c r="Q106">
        <v>0.12016739999999999</v>
      </c>
      <c r="R106">
        <v>2.7815599999999999E-2</v>
      </c>
      <c r="S106">
        <v>3.0308839999999999</v>
      </c>
      <c r="T106">
        <v>-6.6950079999999995E-2</v>
      </c>
      <c r="U106">
        <v>-2.0019530000000001E-2</v>
      </c>
      <c r="V106">
        <v>-5.3511649999999997E-3</v>
      </c>
      <c r="W106">
        <v>0.1341571</v>
      </c>
      <c r="X106">
        <v>0.99094559999999998</v>
      </c>
      <c r="Y106">
        <v>2.903358E-2</v>
      </c>
      <c r="Z106">
        <v>-7.0457929999999901E-4</v>
      </c>
      <c r="AA106">
        <v>0.99957819999999997</v>
      </c>
      <c r="AB106">
        <v>21</v>
      </c>
      <c r="AC106">
        <v>52.795200000000001</v>
      </c>
      <c r="AD106">
        <v>-1.170798</v>
      </c>
      <c r="AE106">
        <v>-0.35390000000000998</v>
      </c>
      <c r="AF106">
        <v>1.5379381548764499</v>
      </c>
      <c r="AG106">
        <v>-1.170798</v>
      </c>
      <c r="AH106">
        <v>52.748020053083501</v>
      </c>
      <c r="AI106">
        <v>91.2709916002744</v>
      </c>
      <c r="AJ106">
        <v>88.329939042145497</v>
      </c>
      <c r="AK106">
        <v>52.783422030458901</v>
      </c>
      <c r="AL106">
        <v>82.290117883613604</v>
      </c>
      <c r="AM106">
        <v>90.309397599445205</v>
      </c>
      <c r="AN106">
        <v>0.99999997230331295</v>
      </c>
    </row>
    <row r="107" spans="1:40" x14ac:dyDescent="0.25">
      <c r="A107" t="str">
        <f>"20190303162744689"</f>
        <v>20190303162744689</v>
      </c>
      <c r="B107" t="str">
        <f>"1551601664681379"</f>
        <v>1551601664681379</v>
      </c>
      <c r="C107" t="s">
        <v>40</v>
      </c>
      <c r="D107">
        <v>5.6601379999999999</v>
      </c>
      <c r="E107">
        <v>0.51179819999999998</v>
      </c>
      <c r="F107" t="s">
        <v>42</v>
      </c>
      <c r="G107">
        <v>-401.27949999999998</v>
      </c>
      <c r="H107">
        <v>-0.05</v>
      </c>
      <c r="I107">
        <v>367.28160000000003</v>
      </c>
      <c r="J107">
        <v>-459.63189999999997</v>
      </c>
      <c r="K107">
        <v>1.120789</v>
      </c>
      <c r="L107">
        <v>367.54579999999999</v>
      </c>
      <c r="M107">
        <v>0.99967010000000001</v>
      </c>
      <c r="N107">
        <v>-1.4134229999999999E-2</v>
      </c>
      <c r="O107">
        <v>2.145027E-2</v>
      </c>
      <c r="P107">
        <v>0.9921025</v>
      </c>
      <c r="Q107">
        <v>0.1221081</v>
      </c>
      <c r="R107">
        <v>2.8679360000000001E-2</v>
      </c>
      <c r="S107">
        <v>3.0308229999999998</v>
      </c>
      <c r="T107">
        <v>-6.059432E-2</v>
      </c>
      <c r="U107">
        <v>-1.3488770000000001E-2</v>
      </c>
      <c r="V107">
        <v>-7.1906050000000001E-3</v>
      </c>
      <c r="W107">
        <v>0.1361348</v>
      </c>
      <c r="X107">
        <v>0.99066419999999999</v>
      </c>
      <c r="Y107">
        <v>2.5892470000000001E-2</v>
      </c>
      <c r="Z107">
        <v>-5.6741199999999999E-4</v>
      </c>
      <c r="AA107">
        <v>0.99966449999999996</v>
      </c>
      <c r="AB107">
        <v>21</v>
      </c>
      <c r="AC107">
        <v>58.352399999999903</v>
      </c>
      <c r="AD107">
        <v>-1.1707889999999901</v>
      </c>
      <c r="AE107">
        <v>-0.26419999999995902</v>
      </c>
      <c r="AF107">
        <v>1.5153288452445399</v>
      </c>
      <c r="AG107">
        <v>-1.1707889999999901</v>
      </c>
      <c r="AH107">
        <v>58.309830446180797</v>
      </c>
      <c r="AI107">
        <v>91.149885433866501</v>
      </c>
      <c r="AJ107">
        <v>88.5113588989703</v>
      </c>
      <c r="AK107">
        <v>58.341265799210298</v>
      </c>
      <c r="AL107">
        <v>82.175754800831299</v>
      </c>
      <c r="AM107">
        <v>90.415866530526699</v>
      </c>
      <c r="AN107">
        <v>0.99999997286647202</v>
      </c>
    </row>
    <row r="108" spans="1:40" x14ac:dyDescent="0.25">
      <c r="A108" t="str">
        <f>"20190303162744712"</f>
        <v>20190303162744712</v>
      </c>
      <c r="B108" t="str">
        <f>"1551601664701875"</f>
        <v>1551601664701875</v>
      </c>
      <c r="C108" t="s">
        <v>40</v>
      </c>
      <c r="D108">
        <v>5.4842360000000001</v>
      </c>
      <c r="E108">
        <v>0.51179819999999998</v>
      </c>
      <c r="F108" t="s">
        <v>41</v>
      </c>
      <c r="G108">
        <v>-398.49579999999997</v>
      </c>
      <c r="H108" s="1">
        <v>-1.0963730000000001E-6</v>
      </c>
      <c r="I108">
        <v>367.36720000000003</v>
      </c>
      <c r="J108">
        <v>-459.41989999999998</v>
      </c>
      <c r="K108">
        <v>1.120773</v>
      </c>
      <c r="L108">
        <v>367.54910000000001</v>
      </c>
      <c r="M108">
        <v>0.99969169999999996</v>
      </c>
      <c r="N108">
        <v>-1.416688E-2</v>
      </c>
      <c r="O108">
        <v>2.039535E-2</v>
      </c>
      <c r="P108">
        <v>0.9919753</v>
      </c>
      <c r="Q108">
        <v>0.1222944</v>
      </c>
      <c r="R108">
        <v>3.2083819999999999E-2</v>
      </c>
      <c r="S108">
        <v>3.0309750000000002</v>
      </c>
      <c r="T108">
        <v>-5.5565829999999997E-2</v>
      </c>
      <c r="U108">
        <v>-8.8500980000000007E-3</v>
      </c>
      <c r="V108">
        <v>-1.163578E-2</v>
      </c>
      <c r="W108">
        <v>0.1363597</v>
      </c>
      <c r="X108">
        <v>0.990591</v>
      </c>
      <c r="Y108">
        <v>2.3309460000000001E-2</v>
      </c>
      <c r="Z108">
        <v>-4.6368050000000001E-4</v>
      </c>
      <c r="AA108">
        <v>0.99972819999999996</v>
      </c>
      <c r="AB108">
        <v>21</v>
      </c>
      <c r="AC108">
        <v>60.924100000000003</v>
      </c>
      <c r="AD108">
        <v>-1.120774096373</v>
      </c>
      <c r="AE108">
        <v>-0.18189999999998399</v>
      </c>
      <c r="AF108">
        <v>1.4240731739957799</v>
      </c>
      <c r="AG108">
        <v>-1.120774096373</v>
      </c>
      <c r="AH108">
        <v>60.88710922344</v>
      </c>
      <c r="AI108">
        <v>91.0542596637505</v>
      </c>
      <c r="AJ108">
        <v>88.660167802251905</v>
      </c>
      <c r="AK108">
        <v>60.914072171930101</v>
      </c>
      <c r="AL108">
        <v>82.162747460612707</v>
      </c>
      <c r="AM108">
        <v>90.672982518492802</v>
      </c>
      <c r="AN108">
        <v>0.99999994422064697</v>
      </c>
    </row>
    <row r="109" spans="1:40" x14ac:dyDescent="0.25">
      <c r="A109" t="str">
        <f>"20190303162744735"</f>
        <v>20190303162744735</v>
      </c>
      <c r="B109" t="str">
        <f>"1551601664721395"</f>
        <v>1551601664721395</v>
      </c>
      <c r="C109" t="s">
        <v>40</v>
      </c>
      <c r="D109">
        <v>5.4363390000000003</v>
      </c>
      <c r="E109">
        <v>0.5272964</v>
      </c>
      <c r="F109" t="s">
        <v>41</v>
      </c>
      <c r="G109">
        <v>-397.61439999999999</v>
      </c>
      <c r="H109" s="1">
        <v>-1.3677930000000001E-6</v>
      </c>
      <c r="I109">
        <v>367.5752</v>
      </c>
      <c r="J109">
        <v>-459.21109999999999</v>
      </c>
      <c r="K109">
        <v>1.1207640000000001</v>
      </c>
      <c r="L109">
        <v>367.5521</v>
      </c>
      <c r="M109">
        <v>0.99971279999999996</v>
      </c>
      <c r="N109">
        <v>-1.4193890000000001E-2</v>
      </c>
      <c r="O109">
        <v>1.9316570000000002E-2</v>
      </c>
      <c r="P109">
        <v>0.99191459999999998</v>
      </c>
      <c r="Q109">
        <v>0.1218798</v>
      </c>
      <c r="R109">
        <v>3.5370599999999898E-2</v>
      </c>
      <c r="S109">
        <v>3.0309750000000002</v>
      </c>
      <c r="T109">
        <v>-5.4963350000000001E-2</v>
      </c>
      <c r="U109">
        <v>1.2817379999999999E-3</v>
      </c>
      <c r="V109">
        <v>-1.5989199999999999E-2</v>
      </c>
      <c r="W109">
        <v>0.13597890000000001</v>
      </c>
      <c r="X109">
        <v>0.99058270000000004</v>
      </c>
      <c r="Y109">
        <v>1.8890029999999999E-2</v>
      </c>
      <c r="Z109">
        <v>-3.8138819999999999E-4</v>
      </c>
      <c r="AA109">
        <v>0.99982150000000003</v>
      </c>
      <c r="AB109">
        <v>21</v>
      </c>
      <c r="AC109">
        <v>61.596699999999998</v>
      </c>
      <c r="AD109">
        <v>-1.1207653677929901</v>
      </c>
      <c r="AE109">
        <v>2.3099999999999399E-2</v>
      </c>
      <c r="AF109">
        <v>1.1664748065137001</v>
      </c>
      <c r="AG109">
        <v>-1.1207653677929901</v>
      </c>
      <c r="AH109">
        <v>61.565268926778401</v>
      </c>
      <c r="AI109">
        <v>91.042739111191494</v>
      </c>
      <c r="AJ109">
        <v>88.914548922173907</v>
      </c>
      <c r="AK109">
        <v>61.586517327337297</v>
      </c>
      <c r="AL109">
        <v>82.184771273474297</v>
      </c>
      <c r="AM109">
        <v>90.924742708760206</v>
      </c>
      <c r="AN109">
        <v>1.00000000065057</v>
      </c>
    </row>
    <row r="110" spans="1:40" x14ac:dyDescent="0.25">
      <c r="A110" t="str">
        <f>"20190303162744755"</f>
        <v>20190303162744755</v>
      </c>
      <c r="B110" t="str">
        <f>"1551601664741894"</f>
        <v>1551601664741894</v>
      </c>
      <c r="C110" t="s">
        <v>40</v>
      </c>
      <c r="D110">
        <v>5.3764669999999999</v>
      </c>
      <c r="E110">
        <v>0.52999269999999998</v>
      </c>
      <c r="F110" t="s">
        <v>44</v>
      </c>
      <c r="G110">
        <v>-458.43579999999997</v>
      </c>
      <c r="H110">
        <v>0.97394619999999998</v>
      </c>
      <c r="I110">
        <v>367.52370000000002</v>
      </c>
      <c r="J110">
        <v>-459.02159999999998</v>
      </c>
      <c r="K110">
        <v>1.1207579999999999</v>
      </c>
      <c r="L110">
        <v>367.55459999999999</v>
      </c>
      <c r="M110">
        <v>0.99973120000000004</v>
      </c>
      <c r="N110">
        <v>-1.4214630000000001E-2</v>
      </c>
      <c r="O110">
        <v>1.8314199999999999E-2</v>
      </c>
      <c r="P110">
        <v>0.99185990000000002</v>
      </c>
      <c r="Q110">
        <v>0.12147620000000001</v>
      </c>
      <c r="R110">
        <v>3.8177700000000002E-2</v>
      </c>
      <c r="S110">
        <v>3.100616</v>
      </c>
      <c r="T110">
        <v>-0.58730450000000001</v>
      </c>
      <c r="U110">
        <v>-0.11190799999999999</v>
      </c>
      <c r="V110">
        <v>-1.9790140000000001E-2</v>
      </c>
      <c r="W110">
        <v>0.1356019</v>
      </c>
      <c r="X110">
        <v>0.99056569999999999</v>
      </c>
      <c r="Y110">
        <v>5.3073759999999998E-2</v>
      </c>
      <c r="Z110">
        <v>-8.5408869999999901E-3</v>
      </c>
      <c r="AA110">
        <v>0.9985541</v>
      </c>
      <c r="AB110">
        <v>21</v>
      </c>
      <c r="AC110">
        <v>0.58580000000000598</v>
      </c>
      <c r="AD110">
        <v>-0.14681179999999899</v>
      </c>
      <c r="AE110">
        <v>-3.0899999999974101E-2</v>
      </c>
      <c r="AF110">
        <v>3.9170893572940201E-2</v>
      </c>
      <c r="AG110">
        <v>-0.14681179999999899</v>
      </c>
      <c r="AH110">
        <v>0.55064609307970802</v>
      </c>
      <c r="AI110">
        <v>104.89282324563899</v>
      </c>
      <c r="AJ110">
        <v>85.931047803345706</v>
      </c>
      <c r="AK110">
        <v>0.57122603524917304</v>
      </c>
      <c r="AL110">
        <v>82.206573449905505</v>
      </c>
      <c r="AM110">
        <v>91.144538591994106</v>
      </c>
      <c r="AN110">
        <v>0.99999996547065895</v>
      </c>
    </row>
    <row r="111" spans="1:40" x14ac:dyDescent="0.25">
      <c r="A111" t="str">
        <f>"20190303162744778"</f>
        <v>20190303162744778</v>
      </c>
      <c r="B111" t="str">
        <f>"1551601664771171"</f>
        <v>1551601664771171</v>
      </c>
      <c r="C111" t="s">
        <v>40</v>
      </c>
      <c r="D111">
        <v>5.4364030000000003</v>
      </c>
      <c r="E111">
        <v>0.53177109999999905</v>
      </c>
      <c r="F111" t="s">
        <v>44</v>
      </c>
      <c r="G111">
        <v>-458.267</v>
      </c>
      <c r="H111">
        <v>0.94306950000000001</v>
      </c>
      <c r="I111">
        <v>367.52530000000002</v>
      </c>
      <c r="J111">
        <v>-458.80950000000001</v>
      </c>
      <c r="K111">
        <v>1.1207689999999999</v>
      </c>
      <c r="L111">
        <v>367.55709999999999</v>
      </c>
      <c r="M111">
        <v>0.99975119999999895</v>
      </c>
      <c r="N111">
        <v>-1.4234190000000001E-2</v>
      </c>
      <c r="O111">
        <v>1.7182380000000001E-2</v>
      </c>
      <c r="P111">
        <v>0.9919616</v>
      </c>
      <c r="Q111">
        <v>0.12078560000000001</v>
      </c>
      <c r="R111">
        <v>3.7729520000000002E-2</v>
      </c>
      <c r="S111">
        <v>3.119202</v>
      </c>
      <c r="T111">
        <v>-0.73444500000000001</v>
      </c>
      <c r="U111">
        <v>-0.1206055</v>
      </c>
      <c r="V111">
        <v>-2.0465580000000001E-2</v>
      </c>
      <c r="W111">
        <v>0.134933</v>
      </c>
      <c r="X111">
        <v>0.99064339999999995</v>
      </c>
      <c r="Y111">
        <v>5.3826510000000001E-2</v>
      </c>
      <c r="Z111">
        <v>-1.038652E-2</v>
      </c>
      <c r="AA111">
        <v>0.9984963</v>
      </c>
      <c r="AB111">
        <v>21</v>
      </c>
      <c r="AC111">
        <v>0.54250000000001797</v>
      </c>
      <c r="AD111">
        <v>-0.17769950000000001</v>
      </c>
      <c r="AE111">
        <v>-3.1799999999975598E-2</v>
      </c>
      <c r="AF111">
        <v>3.7145833925587401E-2</v>
      </c>
      <c r="AG111">
        <v>-0.17769950000000001</v>
      </c>
      <c r="AH111">
        <v>0.48952996857025399</v>
      </c>
      <c r="AI111">
        <v>109.898213757859</v>
      </c>
      <c r="AJ111">
        <v>85.660676814810003</v>
      </c>
      <c r="AK111">
        <v>0.52210776225475797</v>
      </c>
      <c r="AL111">
        <v>82.245254769298398</v>
      </c>
      <c r="AM111">
        <v>91.183498103910793</v>
      </c>
      <c r="AN111">
        <v>1.0000000502086399</v>
      </c>
    </row>
    <row r="112" spans="1:40" x14ac:dyDescent="0.25">
      <c r="A112" t="str">
        <f>"20190303162744800"</f>
        <v>20190303162744800</v>
      </c>
      <c r="B112" t="str">
        <f>"1551601664791667"</f>
        <v>1551601664791667</v>
      </c>
      <c r="C112" t="s">
        <v>40</v>
      </c>
      <c r="D112">
        <v>5.4380040000000003</v>
      </c>
      <c r="E112">
        <v>0.53262849999999995</v>
      </c>
      <c r="F112" t="s">
        <v>44</v>
      </c>
      <c r="G112">
        <v>-458.08659999999998</v>
      </c>
      <c r="H112">
        <v>0.93672169999999999</v>
      </c>
      <c r="I112">
        <v>367.5258</v>
      </c>
      <c r="J112">
        <v>-458.60649999999998</v>
      </c>
      <c r="K112">
        <v>1.1207830000000001</v>
      </c>
      <c r="L112">
        <v>367.55939999999998</v>
      </c>
      <c r="M112">
        <v>0.99976869999999995</v>
      </c>
      <c r="N112">
        <v>-1.4249299999999999E-2</v>
      </c>
      <c r="O112">
        <v>1.611485E-2</v>
      </c>
      <c r="P112">
        <v>0.99206070000000002</v>
      </c>
      <c r="Q112">
        <v>0.1195259</v>
      </c>
      <c r="R112">
        <v>3.9110619999999999E-2</v>
      </c>
      <c r="S112">
        <v>3.1263429999999999</v>
      </c>
      <c r="T112">
        <v>-0.79579279999999997</v>
      </c>
      <c r="U112">
        <v>-0.1336975</v>
      </c>
      <c r="V112">
        <v>-2.291205E-2</v>
      </c>
      <c r="W112">
        <v>0.13369259999999999</v>
      </c>
      <c r="X112">
        <v>0.99075789999999997</v>
      </c>
      <c r="Y112">
        <v>5.6463220000000001E-2</v>
      </c>
      <c r="Z112">
        <v>-1.128938E-2</v>
      </c>
      <c r="AA112">
        <v>0.99834080000000003</v>
      </c>
      <c r="AB112">
        <v>21</v>
      </c>
      <c r="AC112">
        <v>0.51990000000000602</v>
      </c>
      <c r="AD112">
        <v>-0.18406130000000001</v>
      </c>
      <c r="AE112">
        <v>-3.3599999999978501E-2</v>
      </c>
      <c r="AF112">
        <v>3.7316808992617301E-2</v>
      </c>
      <c r="AG112">
        <v>-0.18406130000000001</v>
      </c>
      <c r="AH112">
        <v>0.46166689522042298</v>
      </c>
      <c r="AI112">
        <v>111.672499500708</v>
      </c>
      <c r="AJ112">
        <v>85.378795024809307</v>
      </c>
      <c r="AK112">
        <v>0.49840488413893602</v>
      </c>
      <c r="AL112">
        <v>82.316973493089804</v>
      </c>
      <c r="AM112">
        <v>91.324773506501501</v>
      </c>
      <c r="AN112">
        <v>0.99999994487118404</v>
      </c>
    </row>
    <row r="113" spans="1:40" x14ac:dyDescent="0.25">
      <c r="A113" t="str">
        <f>"20190303162744825"</f>
        <v>20190303162744825</v>
      </c>
      <c r="B113" t="str">
        <f>"1551601664811187"</f>
        <v>1551601664811187</v>
      </c>
      <c r="C113" t="s">
        <v>40</v>
      </c>
      <c r="D113">
        <v>5.4649239999999999</v>
      </c>
      <c r="E113">
        <v>0.53323240000000005</v>
      </c>
      <c r="F113" t="s">
        <v>44</v>
      </c>
      <c r="G113">
        <v>-457.90280000000001</v>
      </c>
      <c r="H113">
        <v>0.9379961</v>
      </c>
      <c r="I113">
        <v>367.52870000000001</v>
      </c>
      <c r="J113">
        <v>-458.38650000000001</v>
      </c>
      <c r="K113">
        <v>1.120816</v>
      </c>
      <c r="L113">
        <v>367.5616</v>
      </c>
      <c r="M113">
        <v>0.99978579999999995</v>
      </c>
      <c r="N113">
        <v>-1.426238E-2</v>
      </c>
      <c r="O113">
        <v>1.500279E-2</v>
      </c>
      <c r="P113">
        <v>0.99217719999999998</v>
      </c>
      <c r="Q113">
        <v>0.1177666</v>
      </c>
      <c r="R113">
        <v>4.1424509999999998E-2</v>
      </c>
      <c r="S113">
        <v>3.1271969999999998</v>
      </c>
      <c r="T113">
        <v>-0.81225879999999995</v>
      </c>
      <c r="U113">
        <v>-0.13500980000000001</v>
      </c>
      <c r="V113">
        <v>-2.6341340000000001E-2</v>
      </c>
      <c r="W113">
        <v>0.1319515</v>
      </c>
      <c r="X113">
        <v>0.99090610000000001</v>
      </c>
      <c r="Y113">
        <v>5.572336E-2</v>
      </c>
      <c r="Z113">
        <v>-1.1141109999999999E-2</v>
      </c>
      <c r="AA113">
        <v>0.9983841</v>
      </c>
      <c r="AB113">
        <v>20</v>
      </c>
      <c r="AC113">
        <v>0.48369999999999802</v>
      </c>
      <c r="AD113">
        <v>-0.18281990000000001</v>
      </c>
      <c r="AE113">
        <v>-3.2899999999983699E-2</v>
      </c>
      <c r="AF113">
        <v>3.5154956996344501E-2</v>
      </c>
      <c r="AG113">
        <v>-0.18281990000000001</v>
      </c>
      <c r="AH113">
        <v>0.42300228534363399</v>
      </c>
      <c r="AI113">
        <v>113.302081858313</v>
      </c>
      <c r="AJ113">
        <v>85.249168984055402</v>
      </c>
      <c r="AK113">
        <v>0.46215789535975899</v>
      </c>
      <c r="AL113">
        <v>82.417623239668202</v>
      </c>
      <c r="AM113">
        <v>91.522739895229407</v>
      </c>
      <c r="AN113">
        <v>0.99999998178122695</v>
      </c>
    </row>
    <row r="114" spans="1:40" x14ac:dyDescent="0.25">
      <c r="A114" t="str">
        <f>"20190303162744844"</f>
        <v>20190303162744844</v>
      </c>
      <c r="B114" t="str">
        <f>"1551601664831683"</f>
        <v>1551601664831683</v>
      </c>
      <c r="C114" t="s">
        <v>40</v>
      </c>
      <c r="D114">
        <v>5.4728379999999897</v>
      </c>
      <c r="E114">
        <v>0.533389</v>
      </c>
      <c r="F114" t="s">
        <v>44</v>
      </c>
      <c r="G114">
        <v>-457.55489999999998</v>
      </c>
      <c r="H114">
        <v>0.90089870000000005</v>
      </c>
      <c r="I114">
        <v>367.52629999999999</v>
      </c>
      <c r="J114">
        <v>-458.20850000000002</v>
      </c>
      <c r="K114">
        <v>1.120851</v>
      </c>
      <c r="L114">
        <v>367.56319999999999</v>
      </c>
      <c r="M114">
        <v>0.99979799999999996</v>
      </c>
      <c r="N114">
        <v>-1.4270659999999999E-2</v>
      </c>
      <c r="O114">
        <v>1.415318E-2</v>
      </c>
      <c r="P114">
        <v>0.99220960000000002</v>
      </c>
      <c r="Q114">
        <v>0.11674130000000001</v>
      </c>
      <c r="R114">
        <v>4.3496399999999998E-2</v>
      </c>
      <c r="S114">
        <v>3.127319</v>
      </c>
      <c r="T114">
        <v>-0.82689389999999996</v>
      </c>
      <c r="U114">
        <v>-0.13238529999999901</v>
      </c>
      <c r="V114">
        <v>-2.92695E-2</v>
      </c>
      <c r="W114">
        <v>0.1309361</v>
      </c>
      <c r="X114">
        <v>0.99095860000000002</v>
      </c>
      <c r="Y114">
        <v>5.403931E-2</v>
      </c>
      <c r="Z114">
        <v>-1.0892209999999999E-2</v>
      </c>
      <c r="AA114">
        <v>0.99847940000000002</v>
      </c>
      <c r="AB114">
        <v>20</v>
      </c>
      <c r="AC114">
        <v>0.65360000000003904</v>
      </c>
      <c r="AD114">
        <v>-0.21995229999999999</v>
      </c>
      <c r="AE114">
        <v>-3.6900000000002799E-2</v>
      </c>
      <c r="AF114">
        <v>4.1466643840592197E-2</v>
      </c>
      <c r="AG114">
        <v>-0.21995229999999999</v>
      </c>
      <c r="AH114">
        <v>0.58677220171686095</v>
      </c>
      <c r="AI114">
        <v>110.50171152457401</v>
      </c>
      <c r="AJ114">
        <v>85.957681070707096</v>
      </c>
      <c r="AK114">
        <v>0.62801282911605005</v>
      </c>
      <c r="AL114">
        <v>82.476310379337207</v>
      </c>
      <c r="AM114">
        <v>91.691827884726905</v>
      </c>
      <c r="AN114">
        <v>0.99999995641370898</v>
      </c>
    </row>
    <row r="115" spans="1:40" x14ac:dyDescent="0.25">
      <c r="A115" t="str">
        <f>"20190303162744866"</f>
        <v>20190303162744866</v>
      </c>
      <c r="B115" t="str">
        <f>"1551601664861939"</f>
        <v>1551601664861939</v>
      </c>
      <c r="C115" t="s">
        <v>40</v>
      </c>
      <c r="D115">
        <v>5.4936150000000001</v>
      </c>
      <c r="E115">
        <v>0.53405719999999901</v>
      </c>
      <c r="F115" t="s">
        <v>44</v>
      </c>
      <c r="G115">
        <v>-457.37439999999998</v>
      </c>
      <c r="H115">
        <v>0.89738700000000005</v>
      </c>
      <c r="I115">
        <v>367.52940000000001</v>
      </c>
      <c r="J115">
        <v>-458.00170000000003</v>
      </c>
      <c r="K115">
        <v>1.1208979999999999</v>
      </c>
      <c r="L115">
        <v>367.565</v>
      </c>
      <c r="M115">
        <v>0.99981070000000005</v>
      </c>
      <c r="N115">
        <v>-1.427808E-2</v>
      </c>
      <c r="O115">
        <v>1.3225280000000001E-2</v>
      </c>
      <c r="P115">
        <v>0.992255</v>
      </c>
      <c r="Q115">
        <v>0.1162099</v>
      </c>
      <c r="R115">
        <v>4.3882190000000001E-2</v>
      </c>
      <c r="S115">
        <v>3.1275940000000002</v>
      </c>
      <c r="T115">
        <v>-0.83775949999999899</v>
      </c>
      <c r="U115">
        <v>-0.12521360000000001</v>
      </c>
      <c r="V115">
        <v>-3.0592330000000001E-2</v>
      </c>
      <c r="W115">
        <v>0.13041040000000001</v>
      </c>
      <c r="X115">
        <v>0.99098799999999998</v>
      </c>
      <c r="Y115">
        <v>5.0907250000000001E-2</v>
      </c>
      <c r="Z115">
        <v>-1.036194E-2</v>
      </c>
      <c r="AA115">
        <v>0.99864969999999997</v>
      </c>
      <c r="AB115">
        <v>20</v>
      </c>
      <c r="AC115">
        <v>0.62730000000004704</v>
      </c>
      <c r="AD115">
        <v>-0.22351099999999899</v>
      </c>
      <c r="AE115">
        <v>-3.5599999999988002E-2</v>
      </c>
      <c r="AF115">
        <v>3.8963275836267103E-2</v>
      </c>
      <c r="AG115">
        <v>-0.22351099999999899</v>
      </c>
      <c r="AH115">
        <v>0.55636776643932095</v>
      </c>
      <c r="AI115">
        <v>111.838491648695</v>
      </c>
      <c r="AJ115">
        <v>85.994030370206303</v>
      </c>
      <c r="AK115">
        <v>0.60084972790005697</v>
      </c>
      <c r="AL115">
        <v>82.506691523827897</v>
      </c>
      <c r="AM115">
        <v>91.768189835550302</v>
      </c>
      <c r="AN115">
        <v>0.99999998961349401</v>
      </c>
    </row>
    <row r="116" spans="1:40" x14ac:dyDescent="0.25">
      <c r="A116" t="str">
        <f>"20190303162744890"</f>
        <v>20190303162744890</v>
      </c>
      <c r="B116" t="str">
        <f>"1551601664881459"</f>
        <v>1551601664881459</v>
      </c>
      <c r="C116" t="s">
        <v>40</v>
      </c>
      <c r="D116">
        <v>5.5366900000000001</v>
      </c>
      <c r="E116">
        <v>0.53418739999999998</v>
      </c>
      <c r="F116" t="s">
        <v>44</v>
      </c>
      <c r="G116">
        <v>-457.19080000000002</v>
      </c>
      <c r="H116">
        <v>0.90158680000000002</v>
      </c>
      <c r="I116">
        <v>367.53269999999998</v>
      </c>
      <c r="J116">
        <v>-457.79300000000001</v>
      </c>
      <c r="K116">
        <v>1.120957</v>
      </c>
      <c r="L116">
        <v>367.56670000000003</v>
      </c>
      <c r="M116">
        <v>0.99982159999999998</v>
      </c>
      <c r="N116">
        <v>-1.4283769999999999E-2</v>
      </c>
      <c r="O116">
        <v>1.2359709999999999E-2</v>
      </c>
      <c r="P116">
        <v>0.99245170000000005</v>
      </c>
      <c r="Q116">
        <v>0.1147292</v>
      </c>
      <c r="R116">
        <v>4.3324870000000001E-2</v>
      </c>
      <c r="S116">
        <v>3.1280209999999999</v>
      </c>
      <c r="T116">
        <v>-0.84599040000000003</v>
      </c>
      <c r="U116">
        <v>-0.1249084</v>
      </c>
      <c r="V116">
        <v>-3.0909740000000002E-2</v>
      </c>
      <c r="W116">
        <v>0.12893479999999999</v>
      </c>
      <c r="X116">
        <v>0.99117120000000003</v>
      </c>
      <c r="Y116">
        <v>4.9959969999999999E-2</v>
      </c>
      <c r="Z116">
        <v>-1.010697E-2</v>
      </c>
      <c r="AA116">
        <v>0.99870009999999998</v>
      </c>
      <c r="AB116">
        <v>20</v>
      </c>
      <c r="AC116">
        <v>0.60219999999998197</v>
      </c>
      <c r="AD116">
        <v>-0.21937019999999999</v>
      </c>
      <c r="AE116">
        <v>-3.4000000000048602E-2</v>
      </c>
      <c r="AF116">
        <v>3.6599788320063199E-2</v>
      </c>
      <c r="AG116">
        <v>-0.21937019999999999</v>
      </c>
      <c r="AH116">
        <v>0.53143581392282302</v>
      </c>
      <c r="AI116">
        <v>112.382466557707</v>
      </c>
      <c r="AJ116">
        <v>86.060281686478802</v>
      </c>
      <c r="AK116">
        <v>0.57609621893649599</v>
      </c>
      <c r="AL116">
        <v>82.591956956658805</v>
      </c>
      <c r="AM116">
        <v>91.786193827314094</v>
      </c>
      <c r="AN116">
        <v>0.99999997119367301</v>
      </c>
    </row>
    <row r="117" spans="1:40" x14ac:dyDescent="0.25">
      <c r="A117" t="str">
        <f>"20190303162744913"</f>
        <v>20190303162744913</v>
      </c>
      <c r="B117" t="str">
        <f>"1551601664901955"</f>
        <v>1551601664901955</v>
      </c>
      <c r="C117" t="s">
        <v>40</v>
      </c>
      <c r="D117">
        <v>5.5150600000000001</v>
      </c>
      <c r="E117">
        <v>0.53791330000000004</v>
      </c>
      <c r="F117" t="s">
        <v>44</v>
      </c>
      <c r="G117">
        <v>-457.00779999999997</v>
      </c>
      <c r="H117">
        <v>0.90545819999999999</v>
      </c>
      <c r="I117">
        <v>367.53489999999999</v>
      </c>
      <c r="J117">
        <v>-457.58319999999998</v>
      </c>
      <c r="K117">
        <v>1.121011</v>
      </c>
      <c r="L117">
        <v>367.56830000000002</v>
      </c>
      <c r="M117">
        <v>0.99983100000000003</v>
      </c>
      <c r="N117">
        <v>-1.4288E-2</v>
      </c>
      <c r="O117">
        <v>1.1570250000000001E-2</v>
      </c>
      <c r="P117">
        <v>0.99262249999999996</v>
      </c>
      <c r="Q117">
        <v>0.1134371</v>
      </c>
      <c r="R117">
        <v>4.280991E-2</v>
      </c>
      <c r="S117">
        <v>3.1275019999999998</v>
      </c>
      <c r="T117">
        <v>-0.85824999999999996</v>
      </c>
      <c r="U117">
        <v>-0.12503049999999999</v>
      </c>
      <c r="V117">
        <v>-3.1194309999999999E-2</v>
      </c>
      <c r="W117">
        <v>0.1276456</v>
      </c>
      <c r="X117">
        <v>0.99132909999999996</v>
      </c>
      <c r="Y117">
        <v>4.920679E-2</v>
      </c>
      <c r="Z117">
        <v>-9.9390499999999996E-3</v>
      </c>
      <c r="AA117">
        <v>0.99873920000000005</v>
      </c>
      <c r="AB117">
        <v>20</v>
      </c>
      <c r="AC117">
        <v>0.57540000000000102</v>
      </c>
      <c r="AD117">
        <v>-0.21555279999999999</v>
      </c>
      <c r="AE117">
        <v>-3.3400000000028698E-2</v>
      </c>
      <c r="AF117">
        <v>3.5140995651278803E-2</v>
      </c>
      <c r="AG117">
        <v>-0.21555279999999999</v>
      </c>
      <c r="AH117">
        <v>0.504424086300296</v>
      </c>
      <c r="AI117">
        <v>113.088132243186</v>
      </c>
      <c r="AJ117">
        <v>86.014895027225805</v>
      </c>
      <c r="AK117">
        <v>0.54967404705251599</v>
      </c>
      <c r="AL117">
        <v>82.666437874058502</v>
      </c>
      <c r="AM117">
        <v>91.802340655407207</v>
      </c>
      <c r="AN117">
        <v>0.99999993434126999</v>
      </c>
    </row>
    <row r="118" spans="1:40" x14ac:dyDescent="0.25">
      <c r="A118" t="str">
        <f>"20190303162744936"</f>
        <v>20190303162744936</v>
      </c>
      <c r="B118" t="str">
        <f>"1551601664921475"</f>
        <v>1551601664921475</v>
      </c>
      <c r="C118" t="s">
        <v>40</v>
      </c>
      <c r="D118">
        <v>5.5197240000000001</v>
      </c>
      <c r="E118">
        <v>0.5385375</v>
      </c>
      <c r="F118" t="s">
        <v>44</v>
      </c>
      <c r="G118">
        <v>-456.84160000000003</v>
      </c>
      <c r="H118">
        <v>0.87213549999999995</v>
      </c>
      <c r="I118">
        <v>367.53160000000003</v>
      </c>
      <c r="J118">
        <v>-457.37900000000002</v>
      </c>
      <c r="K118">
        <v>1.12107</v>
      </c>
      <c r="L118">
        <v>367.56979999999999</v>
      </c>
      <c r="M118">
        <v>0.99983869999999997</v>
      </c>
      <c r="N118">
        <v>-1.4290829999999999E-2</v>
      </c>
      <c r="O118">
        <v>1.0877629999999999E-2</v>
      </c>
      <c r="P118">
        <v>0.99267830000000001</v>
      </c>
      <c r="Q118">
        <v>0.11325929999999999</v>
      </c>
      <c r="R118">
        <v>4.1975190000000002E-2</v>
      </c>
      <c r="S118">
        <v>3.1497799999999998</v>
      </c>
      <c r="T118">
        <v>-1.056962</v>
      </c>
      <c r="U118">
        <v>-0.155365</v>
      </c>
      <c r="V118">
        <v>-3.1061249999999999E-2</v>
      </c>
      <c r="W118">
        <v>0.12746689999999999</v>
      </c>
      <c r="X118">
        <v>0.99135629999999997</v>
      </c>
      <c r="Y118">
        <v>5.6362570000000001E-2</v>
      </c>
      <c r="Z118">
        <v>-1.3013149999999999E-2</v>
      </c>
      <c r="AA118">
        <v>0.99832560000000004</v>
      </c>
      <c r="AB118">
        <v>20</v>
      </c>
      <c r="AC118">
        <v>0.537399999999991</v>
      </c>
      <c r="AD118">
        <v>-0.2489345</v>
      </c>
      <c r="AE118">
        <v>-3.8199999999960703E-2</v>
      </c>
      <c r="AF118">
        <v>3.6295168716246599E-2</v>
      </c>
      <c r="AG118">
        <v>-0.2489345</v>
      </c>
      <c r="AH118">
        <v>0.44248472961603202</v>
      </c>
      <c r="AI118">
        <v>119.279356252124</v>
      </c>
      <c r="AJ118">
        <v>85.310765182556395</v>
      </c>
      <c r="AK118">
        <v>0.50899750540230004</v>
      </c>
      <c r="AL118">
        <v>82.676761165129605</v>
      </c>
      <c r="AM118">
        <v>91.794608562719006</v>
      </c>
      <c r="AN118">
        <v>0.99999996269842995</v>
      </c>
    </row>
    <row r="119" spans="1:40" x14ac:dyDescent="0.25">
      <c r="A119" t="str">
        <f>"20190303162744958"</f>
        <v>20190303162744958</v>
      </c>
      <c r="B119" t="str">
        <f>"1551601664951731"</f>
        <v>1551601664951731</v>
      </c>
      <c r="C119" t="s">
        <v>40</v>
      </c>
      <c r="D119">
        <v>5.5508100000000002</v>
      </c>
      <c r="E119">
        <v>0.53887240000000003</v>
      </c>
      <c r="F119" t="s">
        <v>44</v>
      </c>
      <c r="G119">
        <v>-456.65769999999998</v>
      </c>
      <c r="H119">
        <v>0.88037860000000001</v>
      </c>
      <c r="I119">
        <v>367.53160000000003</v>
      </c>
      <c r="J119">
        <v>-457.1773</v>
      </c>
      <c r="K119">
        <v>1.12112099999999</v>
      </c>
      <c r="L119">
        <v>367.57119999999998</v>
      </c>
      <c r="M119">
        <v>0.99984530000000005</v>
      </c>
      <c r="N119">
        <v>-1.429238E-2</v>
      </c>
      <c r="O119">
        <v>1.025276E-2</v>
      </c>
      <c r="P119">
        <v>0.99261739999999998</v>
      </c>
      <c r="Q119">
        <v>0.11444699999999999</v>
      </c>
      <c r="R119">
        <v>4.0160990000000001E-2</v>
      </c>
      <c r="S119">
        <v>3.148987</v>
      </c>
      <c r="T119">
        <v>-1.0506899999999999</v>
      </c>
      <c r="U119">
        <v>-0.16528319999999999</v>
      </c>
      <c r="V119">
        <v>-2.9880029999999998E-2</v>
      </c>
      <c r="W119">
        <v>0.12865099999999999</v>
      </c>
      <c r="X119">
        <v>0.99123969999999995</v>
      </c>
      <c r="Y119">
        <v>5.8821030000000003E-2</v>
      </c>
      <c r="Z119">
        <v>-1.316634E-2</v>
      </c>
      <c r="AA119">
        <v>0.99818169999999995</v>
      </c>
      <c r="AB119">
        <v>20</v>
      </c>
      <c r="AC119">
        <v>0.51960000000002504</v>
      </c>
      <c r="AD119">
        <v>-0.240742399999999</v>
      </c>
      <c r="AE119">
        <v>-3.95999999999503E-2</v>
      </c>
      <c r="AF119">
        <v>3.7023862722759697E-2</v>
      </c>
      <c r="AG119">
        <v>-0.240742399999999</v>
      </c>
      <c r="AH119">
        <v>0.42785116090424202</v>
      </c>
      <c r="AI119">
        <v>119.27424676841299</v>
      </c>
      <c r="AJ119">
        <v>85.054261876874406</v>
      </c>
      <c r="AK119">
        <v>0.49232538575192503</v>
      </c>
      <c r="AL119">
        <v>82.608354421008201</v>
      </c>
      <c r="AM119">
        <v>91.7266069422855</v>
      </c>
      <c r="AN119">
        <v>1.0000000194249401</v>
      </c>
    </row>
    <row r="120" spans="1:40" x14ac:dyDescent="0.25">
      <c r="A120" t="str">
        <f>"20190303162744981"</f>
        <v>20190303162744981</v>
      </c>
      <c r="B120" t="str">
        <f>"1551601664971251"</f>
        <v>1551601664971251</v>
      </c>
      <c r="C120" t="s">
        <v>40</v>
      </c>
      <c r="D120">
        <v>5.5839670000000003</v>
      </c>
      <c r="E120">
        <v>0.53874679999999997</v>
      </c>
      <c r="F120" t="s">
        <v>44</v>
      </c>
      <c r="G120">
        <v>-456.47399999999999</v>
      </c>
      <c r="H120">
        <v>0.88877059999999997</v>
      </c>
      <c r="I120">
        <v>367.53190000000001</v>
      </c>
      <c r="J120">
        <v>-456.9717</v>
      </c>
      <c r="K120">
        <v>1.1211530000000001</v>
      </c>
      <c r="L120">
        <v>367.57249999999999</v>
      </c>
      <c r="M120">
        <v>0.99985119999999905</v>
      </c>
      <c r="N120">
        <v>-1.4293119999999999E-2</v>
      </c>
      <c r="O120">
        <v>9.6554540000000008E-3</v>
      </c>
      <c r="P120">
        <v>0.99253930000000001</v>
      </c>
      <c r="Q120">
        <v>0.1157063</v>
      </c>
      <c r="R120">
        <v>3.8440969999999998E-2</v>
      </c>
      <c r="S120">
        <v>3.1493229999999999</v>
      </c>
      <c r="T120">
        <v>-1.040259</v>
      </c>
      <c r="U120">
        <v>-0.17388919999999999</v>
      </c>
      <c r="V120">
        <v>-2.8761680000000001E-2</v>
      </c>
      <c r="W120">
        <v>0.12990639999999901</v>
      </c>
      <c r="X120">
        <v>0.99110900000000002</v>
      </c>
      <c r="Y120">
        <v>6.092562E-2</v>
      </c>
      <c r="Z120">
        <v>-1.3212649999999999E-2</v>
      </c>
      <c r="AA120">
        <v>0.99805489999999997</v>
      </c>
      <c r="AB120">
        <v>20</v>
      </c>
      <c r="AC120">
        <v>0.49770000000000802</v>
      </c>
      <c r="AD120">
        <v>-0.23238239999999999</v>
      </c>
      <c r="AE120">
        <v>-4.0599999999983503E-2</v>
      </c>
      <c r="AF120">
        <v>3.7321533734444398E-2</v>
      </c>
      <c r="AG120">
        <v>-0.23238239999999999</v>
      </c>
      <c r="AH120">
        <v>0.40876093004181902</v>
      </c>
      <c r="AI120">
        <v>119.516347887997</v>
      </c>
      <c r="AJ120">
        <v>84.783127148967694</v>
      </c>
      <c r="AK120">
        <v>0.471677829284677</v>
      </c>
      <c r="AL120">
        <v>82.5358162722044</v>
      </c>
      <c r="AM120">
        <v>91.662239485194107</v>
      </c>
      <c r="AN120">
        <v>0.99999997843919097</v>
      </c>
    </row>
    <row r="121" spans="1:40" x14ac:dyDescent="0.25">
      <c r="A121" t="str">
        <f>"20190303162745001"</f>
        <v>20190303162745001</v>
      </c>
      <c r="B121" t="str">
        <f>"1551601664991747"</f>
        <v>1551601664991747</v>
      </c>
      <c r="C121" t="s">
        <v>40</v>
      </c>
      <c r="D121">
        <v>5.5913510000000004</v>
      </c>
      <c r="E121">
        <v>0.53901589999999999</v>
      </c>
      <c r="F121" t="s">
        <v>44</v>
      </c>
      <c r="G121">
        <v>-456.29070000000002</v>
      </c>
      <c r="H121">
        <v>0.896675</v>
      </c>
      <c r="I121">
        <v>367.53370000000001</v>
      </c>
      <c r="J121">
        <v>-456.78640000000001</v>
      </c>
      <c r="K121">
        <v>1.1211799999999901</v>
      </c>
      <c r="L121">
        <v>367.5736</v>
      </c>
      <c r="M121">
        <v>0.99985610000000003</v>
      </c>
      <c r="N121">
        <v>-1.4293149999999999E-2</v>
      </c>
      <c r="O121">
        <v>9.1378540000000008E-3</v>
      </c>
      <c r="P121">
        <v>0.99228139999999998</v>
      </c>
      <c r="Q121">
        <v>0.1181807</v>
      </c>
      <c r="R121">
        <v>3.756317E-2</v>
      </c>
      <c r="S121">
        <v>3.1504819999999998</v>
      </c>
      <c r="T121">
        <v>-1.0383070000000001</v>
      </c>
      <c r="U121">
        <v>-0.1772156</v>
      </c>
      <c r="V121">
        <v>-2.8402130000000001E-2</v>
      </c>
      <c r="W121">
        <v>0.1323754</v>
      </c>
      <c r="X121">
        <v>0.99079260000000002</v>
      </c>
      <c r="Y121">
        <v>6.1452119999999999E-2</v>
      </c>
      <c r="Z121">
        <v>-1.3114239999999999E-2</v>
      </c>
      <c r="AA121">
        <v>0.99802389999999996</v>
      </c>
      <c r="AB121">
        <v>20</v>
      </c>
      <c r="AC121">
        <v>0.49569999999999897</v>
      </c>
      <c r="AD121">
        <v>-0.22450499999999901</v>
      </c>
      <c r="AE121">
        <v>-3.9899999999988701E-2</v>
      </c>
      <c r="AF121">
        <v>3.6906744433318497E-2</v>
      </c>
      <c r="AG121">
        <v>-0.22450499999999901</v>
      </c>
      <c r="AH121">
        <v>0.41145841397868099</v>
      </c>
      <c r="AI121">
        <v>118.521889787582</v>
      </c>
      <c r="AJ121">
        <v>84.8744350630691</v>
      </c>
      <c r="AK121">
        <v>0.47017297800226399</v>
      </c>
      <c r="AL121">
        <v>82.393120390630898</v>
      </c>
      <c r="AM121">
        <v>91.641995156856595</v>
      </c>
      <c r="AN121">
        <v>0.99999995186422697</v>
      </c>
    </row>
    <row r="122" spans="1:40" x14ac:dyDescent="0.25">
      <c r="A122" t="str">
        <f>"20190303162745024"</f>
        <v>20190303162745024</v>
      </c>
      <c r="B122" t="str">
        <f>"1551601665011267"</f>
        <v>1551601665011267</v>
      </c>
      <c r="C122" t="s">
        <v>40</v>
      </c>
      <c r="D122">
        <v>5.5797280000000002</v>
      </c>
      <c r="E122">
        <v>0.53918809999999995</v>
      </c>
      <c r="F122" t="s">
        <v>44</v>
      </c>
      <c r="G122">
        <v>-456.1096</v>
      </c>
      <c r="H122">
        <v>0.90046729999999997</v>
      </c>
      <c r="I122">
        <v>367.53480000000002</v>
      </c>
      <c r="J122">
        <v>-456.58980000000003</v>
      </c>
      <c r="K122">
        <v>1.1212009999999999</v>
      </c>
      <c r="L122">
        <v>367.57479999999998</v>
      </c>
      <c r="M122">
        <v>0.999861</v>
      </c>
      <c r="N122">
        <v>-1.429266E-2</v>
      </c>
      <c r="O122">
        <v>8.5981909999999998E-3</v>
      </c>
      <c r="P122">
        <v>0.99195820000000001</v>
      </c>
      <c r="Q122">
        <v>0.1209446</v>
      </c>
      <c r="R122">
        <v>3.7305060000000001E-2</v>
      </c>
      <c r="S122">
        <v>3.1526179999999999</v>
      </c>
      <c r="T122">
        <v>-1.0282789999999999</v>
      </c>
      <c r="U122">
        <v>-0.18035889999999999</v>
      </c>
      <c r="V122">
        <v>-2.8680959999999998E-2</v>
      </c>
      <c r="W122">
        <v>0.1351337</v>
      </c>
      <c r="X122">
        <v>0.99041219999999996</v>
      </c>
      <c r="Y122">
        <v>6.1942579999999997E-2</v>
      </c>
      <c r="Z122">
        <v>-1.290561E-2</v>
      </c>
      <c r="AA122">
        <v>0.99799629999999995</v>
      </c>
      <c r="AB122">
        <v>20</v>
      </c>
      <c r="AC122">
        <v>0.480200000000024</v>
      </c>
      <c r="AD122">
        <v>-0.2207337</v>
      </c>
      <c r="AE122">
        <v>-3.9999999999963599E-2</v>
      </c>
      <c r="AF122">
        <v>3.6474049537577699E-2</v>
      </c>
      <c r="AG122">
        <v>-0.2207337</v>
      </c>
      <c r="AH122">
        <v>0.39661274281230502</v>
      </c>
      <c r="AI122">
        <v>118.99559431047599</v>
      </c>
      <c r="AJ122">
        <v>84.745636811013597</v>
      </c>
      <c r="AK122">
        <v>0.45536292159821201</v>
      </c>
      <c r="AL122">
        <v>82.233648977170105</v>
      </c>
      <c r="AM122">
        <v>91.658742525829894</v>
      </c>
      <c r="AN122">
        <v>1.0000000201255199</v>
      </c>
    </row>
    <row r="123" spans="1:40" x14ac:dyDescent="0.25">
      <c r="A123" t="str">
        <f>"20190303162745045"</f>
        <v>20190303162745045</v>
      </c>
      <c r="B123" t="str">
        <f>"1551601665041523"</f>
        <v>1551601665041523</v>
      </c>
      <c r="C123" t="s">
        <v>40</v>
      </c>
      <c r="D123">
        <v>5.5781159999999996</v>
      </c>
      <c r="E123">
        <v>0.53924719999999904</v>
      </c>
      <c r="F123" t="s">
        <v>44</v>
      </c>
      <c r="G123">
        <v>-455.77030000000002</v>
      </c>
      <c r="H123">
        <v>0.85691879999999998</v>
      </c>
      <c r="I123">
        <v>367.52749999999997</v>
      </c>
      <c r="J123">
        <v>-456.40089999999998</v>
      </c>
      <c r="K123">
        <v>1.1212120000000001</v>
      </c>
      <c r="L123">
        <v>367.57580000000002</v>
      </c>
      <c r="M123">
        <v>0.99986520000000001</v>
      </c>
      <c r="N123">
        <v>-1.4291720000000001E-2</v>
      </c>
      <c r="O123">
        <v>8.0808600000000005E-3</v>
      </c>
      <c r="P123">
        <v>0.99168619999999996</v>
      </c>
      <c r="Q123">
        <v>0.1233127</v>
      </c>
      <c r="R123">
        <v>3.6776330000000003E-2</v>
      </c>
      <c r="S123">
        <v>3.155243</v>
      </c>
      <c r="T123">
        <v>-1.017501</v>
      </c>
      <c r="U123">
        <v>-0.1817627</v>
      </c>
      <c r="V123">
        <v>-2.8664459999999999E-2</v>
      </c>
      <c r="W123">
        <v>0.1374966</v>
      </c>
      <c r="X123">
        <v>0.99008739999999995</v>
      </c>
      <c r="Y123">
        <v>6.1927669999999997E-2</v>
      </c>
      <c r="Z123">
        <v>-1.2612089999999999E-2</v>
      </c>
      <c r="AA123">
        <v>0.99800100000000003</v>
      </c>
      <c r="AB123">
        <v>20</v>
      </c>
      <c r="AC123">
        <v>0.63059999999995797</v>
      </c>
      <c r="AD123">
        <v>-0.26429320000000001</v>
      </c>
      <c r="AE123">
        <v>-4.83000000000402E-2</v>
      </c>
      <c r="AF123">
        <v>4.5456565645941999E-2</v>
      </c>
      <c r="AG123">
        <v>-0.26429320000000001</v>
      </c>
      <c r="AH123">
        <v>0.53649917358344801</v>
      </c>
      <c r="AI123">
        <v>116.14488725295401</v>
      </c>
      <c r="AJ123">
        <v>85.157003346954895</v>
      </c>
      <c r="AK123">
        <v>0.59979042855174503</v>
      </c>
      <c r="AL123">
        <v>82.096989043238807</v>
      </c>
      <c r="AM123">
        <v>91.658332329997407</v>
      </c>
      <c r="AN123">
        <v>1.0000000129586999</v>
      </c>
    </row>
    <row r="124" spans="1:40" x14ac:dyDescent="0.25">
      <c r="A124" t="str">
        <f>"20190303162745202"</f>
        <v>20190303162745202</v>
      </c>
      <c r="B124" t="str">
        <f>"1551601665191827"</f>
        <v>1551601665191827</v>
      </c>
      <c r="C124" t="s">
        <v>40</v>
      </c>
      <c r="D124">
        <v>5.8185520000000004</v>
      </c>
      <c r="E124">
        <v>0.50819300000000001</v>
      </c>
      <c r="F124" t="s">
        <v>44</v>
      </c>
      <c r="G124">
        <v>-454.54480000000001</v>
      </c>
      <c r="H124">
        <v>0.81772630000000002</v>
      </c>
      <c r="I124">
        <v>367.56939999999997</v>
      </c>
      <c r="J124">
        <v>-455.00439999999998</v>
      </c>
      <c r="K124">
        <v>1.1212660000000001</v>
      </c>
      <c r="L124">
        <v>367.58010000000002</v>
      </c>
      <c r="M124">
        <v>0.99988869999999996</v>
      </c>
      <c r="N124">
        <v>-1.427351E-2</v>
      </c>
      <c r="O124">
        <v>4.3900650000000003E-3</v>
      </c>
      <c r="P124">
        <v>0.99199660000000001</v>
      </c>
      <c r="Q124">
        <v>0.1237695</v>
      </c>
      <c r="R124">
        <v>2.4986830000000002E-2</v>
      </c>
      <c r="S124">
        <v>3.208923</v>
      </c>
      <c r="T124">
        <v>-1.4795149999999999</v>
      </c>
      <c r="U124">
        <v>-4.9316409999999998E-2</v>
      </c>
      <c r="V124">
        <v>-2.0557160000000001E-2</v>
      </c>
      <c r="W124">
        <v>0.13792879999999999</v>
      </c>
      <c r="X124">
        <v>0.99022880000000002</v>
      </c>
      <c r="Y124">
        <v>1.750815E-2</v>
      </c>
      <c r="Z124">
        <v>-5.839637E-3</v>
      </c>
      <c r="AA124">
        <v>0.99982959999999999</v>
      </c>
      <c r="AB124">
        <v>20</v>
      </c>
      <c r="AC124">
        <v>0.45959999999996598</v>
      </c>
      <c r="AD124">
        <v>-0.30353970000000002</v>
      </c>
      <c r="AE124">
        <v>-1.07000000000425E-2</v>
      </c>
      <c r="AF124">
        <v>8.8567047700978604E-3</v>
      </c>
      <c r="AG124">
        <v>-0.30353970000000002</v>
      </c>
      <c r="AH124">
        <v>0.32003128855839302</v>
      </c>
      <c r="AI124">
        <v>133.47410030113301</v>
      </c>
      <c r="AJ124">
        <v>88.414772765435004</v>
      </c>
      <c r="AK124">
        <v>0.44117436048780101</v>
      </c>
      <c r="AL124">
        <v>82.071987603616407</v>
      </c>
      <c r="AM124">
        <v>91.189290134777295</v>
      </c>
      <c r="AN124">
        <v>1.00000001352307</v>
      </c>
    </row>
    <row r="125" spans="1:40" x14ac:dyDescent="0.25">
      <c r="A125" t="str">
        <f>"20190303162745225"</f>
        <v>20190303162745225</v>
      </c>
      <c r="B125" t="str">
        <f>"1551601665222083"</f>
        <v>1551601665222083</v>
      </c>
      <c r="C125" t="s">
        <v>40</v>
      </c>
      <c r="D125">
        <v>5.7409879999999998</v>
      </c>
      <c r="E125">
        <v>0.50653239999999999</v>
      </c>
      <c r="F125" t="s">
        <v>41</v>
      </c>
      <c r="G125">
        <v>-443.87259999999998</v>
      </c>
      <c r="H125" s="1">
        <v>-3.226923E-6</v>
      </c>
      <c r="I125">
        <v>367.64330000000001</v>
      </c>
      <c r="J125">
        <v>-454.81229999999999</v>
      </c>
      <c r="K125">
        <v>1.1213070000000001</v>
      </c>
      <c r="L125">
        <v>367.58049999999997</v>
      </c>
      <c r="M125">
        <v>0.99989030000000001</v>
      </c>
      <c r="N125">
        <v>-1.426987E-2</v>
      </c>
      <c r="O125">
        <v>4.0131159999999997E-3</v>
      </c>
      <c r="P125">
        <v>0.991892</v>
      </c>
      <c r="Q125">
        <v>0.12515889999999999</v>
      </c>
      <c r="R125">
        <v>2.2043690000000001E-2</v>
      </c>
      <c r="S125">
        <v>3.0622859999999998</v>
      </c>
      <c r="T125">
        <v>-0.30845420000000001</v>
      </c>
      <c r="U125">
        <v>1.7395020000000001E-2</v>
      </c>
      <c r="V125">
        <v>-1.7997679999999999E-2</v>
      </c>
      <c r="W125">
        <v>0.13930960000000001</v>
      </c>
      <c r="X125">
        <v>0.99008529999999995</v>
      </c>
      <c r="Y125">
        <v>-1.672099E-3</v>
      </c>
      <c r="Z125">
        <v>-2.5009279999999999E-4</v>
      </c>
      <c r="AA125">
        <v>0.99999859999999896</v>
      </c>
      <c r="AB125">
        <v>20</v>
      </c>
      <c r="AC125">
        <v>10.9397</v>
      </c>
      <c r="AD125">
        <v>-1.121310226923</v>
      </c>
      <c r="AE125">
        <v>6.2800000000038297E-2</v>
      </c>
      <c r="AF125">
        <v>-1.8696327461856701E-2</v>
      </c>
      <c r="AG125">
        <v>-1.121310226923</v>
      </c>
      <c r="AH125">
        <v>10.8261275149463</v>
      </c>
      <c r="AI125">
        <v>95.9132850919015</v>
      </c>
      <c r="AJ125">
        <v>90.098947623658105</v>
      </c>
      <c r="AK125">
        <v>10.8840582113263</v>
      </c>
      <c r="AL125">
        <v>81.992102174037996</v>
      </c>
      <c r="AM125">
        <v>91.041402742298501</v>
      </c>
      <c r="AN125">
        <v>0.99999999120681604</v>
      </c>
    </row>
    <row r="126" spans="1:40" x14ac:dyDescent="0.25">
      <c r="A126" t="str">
        <f>"20190303162745248"</f>
        <v>20190303162745248</v>
      </c>
      <c r="B126" t="str">
        <f>"1551601665241603"</f>
        <v>1551601665241603</v>
      </c>
      <c r="C126" t="s">
        <v>40</v>
      </c>
      <c r="D126">
        <v>5.5195309999999997</v>
      </c>
      <c r="E126">
        <v>0.5064784</v>
      </c>
      <c r="F126" t="s">
        <v>42</v>
      </c>
      <c r="G126">
        <v>-417.40429999999998</v>
      </c>
      <c r="H126">
        <v>-0.05</v>
      </c>
      <c r="I126">
        <v>367.81439999999998</v>
      </c>
      <c r="J126">
        <v>-454.59870000000001</v>
      </c>
      <c r="K126">
        <v>1.1213470000000001</v>
      </c>
      <c r="L126">
        <v>367.58089999999999</v>
      </c>
      <c r="M126">
        <v>0.99989159999999999</v>
      </c>
      <c r="N126">
        <v>-1.426558E-2</v>
      </c>
      <c r="O126">
        <v>3.6572039999999998E-3</v>
      </c>
      <c r="P126">
        <v>0.99174240000000002</v>
      </c>
      <c r="Q126">
        <v>0.12682769999999999</v>
      </c>
      <c r="R126">
        <v>1.903817E-2</v>
      </c>
      <c r="S126">
        <v>3.0360719999999999</v>
      </c>
      <c r="T126">
        <v>-9.506452E-2</v>
      </c>
      <c r="U126">
        <v>1.8981930000000001E-2</v>
      </c>
      <c r="V126">
        <v>-1.535677E-2</v>
      </c>
      <c r="W126">
        <v>0.1409696</v>
      </c>
      <c r="X126">
        <v>0.98989479999999996</v>
      </c>
      <c r="Y126">
        <v>-2.5931489999999999E-3</v>
      </c>
      <c r="Z126" s="1">
        <v>-3.2242590000000001E-6</v>
      </c>
      <c r="AA126">
        <v>0.99999669999999896</v>
      </c>
      <c r="AB126">
        <v>20</v>
      </c>
      <c r="AC126">
        <v>37.194400000000002</v>
      </c>
      <c r="AD126">
        <v>-1.1713469999999999</v>
      </c>
      <c r="AE126">
        <v>0.23349999999999199</v>
      </c>
      <c r="AF126">
        <v>-9.73605360936525E-2</v>
      </c>
      <c r="AG126">
        <v>-1.1713469999999999</v>
      </c>
      <c r="AH126">
        <v>37.158153933261502</v>
      </c>
      <c r="AI126">
        <v>91.805546963796999</v>
      </c>
      <c r="AJ126">
        <v>90.150124116869307</v>
      </c>
      <c r="AK126">
        <v>37.176739187243903</v>
      </c>
      <c r="AL126">
        <v>81.896043198194107</v>
      </c>
      <c r="AM126">
        <v>90.888788921242593</v>
      </c>
      <c r="AN126">
        <v>0.99999998678801605</v>
      </c>
    </row>
    <row r="127" spans="1:40" x14ac:dyDescent="0.25">
      <c r="A127" t="str">
        <f>"20190303162745270"</f>
        <v>20190303162745270</v>
      </c>
      <c r="B127" t="str">
        <f>"1551601665262099"</f>
        <v>1551601665262099</v>
      </c>
      <c r="C127" t="s">
        <v>40</v>
      </c>
      <c r="D127">
        <v>5.5999290000000004</v>
      </c>
      <c r="E127">
        <v>0.50483420000000001</v>
      </c>
      <c r="F127" t="s">
        <v>42</v>
      </c>
      <c r="G127">
        <v>-412.74979999999999</v>
      </c>
      <c r="H127">
        <v>-0.05</v>
      </c>
      <c r="I127">
        <v>367.7201</v>
      </c>
      <c r="J127">
        <v>-454.40879999999999</v>
      </c>
      <c r="K127">
        <v>1.121381</v>
      </c>
      <c r="L127">
        <v>367.58120000000002</v>
      </c>
      <c r="M127">
        <v>0.99989269999999997</v>
      </c>
      <c r="N127">
        <v>-1.4261660000000001E-2</v>
      </c>
      <c r="O127">
        <v>3.3851340000000001E-3</v>
      </c>
      <c r="P127">
        <v>0.99167119999999997</v>
      </c>
      <c r="Q127">
        <v>0.12769900000000001</v>
      </c>
      <c r="R127">
        <v>1.6782970000000001E-2</v>
      </c>
      <c r="S127">
        <v>3.0356749999999999</v>
      </c>
      <c r="T127">
        <v>-8.4968210000000002E-2</v>
      </c>
      <c r="U127">
        <v>1.010132E-2</v>
      </c>
      <c r="V127">
        <v>-1.338014E-2</v>
      </c>
      <c r="W127">
        <v>0.1418344</v>
      </c>
      <c r="X127">
        <v>0.98980000000000001</v>
      </c>
      <c r="Y127" s="1">
        <v>5.7607669999999999E-5</v>
      </c>
      <c r="Z127" s="1">
        <v>-4.767199E-5</v>
      </c>
      <c r="AA127">
        <v>1</v>
      </c>
      <c r="AB127">
        <v>20</v>
      </c>
      <c r="AC127">
        <v>41.658999999999899</v>
      </c>
      <c r="AD127">
        <v>-1.171381</v>
      </c>
      <c r="AE127">
        <v>0.13889999999997801</v>
      </c>
      <c r="AF127">
        <v>2.1347304875637099E-3</v>
      </c>
      <c r="AG127">
        <v>-1.171381</v>
      </c>
      <c r="AH127">
        <v>41.626320446141499</v>
      </c>
      <c r="AI127">
        <v>91.611900339597</v>
      </c>
      <c r="AJ127">
        <v>89.997061689673302</v>
      </c>
      <c r="AK127">
        <v>41.642798799901698</v>
      </c>
      <c r="AL127">
        <v>81.845991269085303</v>
      </c>
      <c r="AM127">
        <v>90.774478540584298</v>
      </c>
      <c r="AN127">
        <v>1.0000000325848799</v>
      </c>
    </row>
    <row r="128" spans="1:40" x14ac:dyDescent="0.25">
      <c r="A128" t="str">
        <f>"20190303162745294"</f>
        <v>20190303162745294</v>
      </c>
      <c r="B128" t="str">
        <f>"1551601665281620"</f>
        <v>1551601665281620</v>
      </c>
      <c r="C128" t="s">
        <v>40</v>
      </c>
      <c r="D128">
        <v>5.834562</v>
      </c>
      <c r="E128">
        <v>0.50458159999999996</v>
      </c>
      <c r="F128" t="s">
        <v>42</v>
      </c>
      <c r="G128">
        <v>-418.57589999999999</v>
      </c>
      <c r="H128">
        <v>-0.05</v>
      </c>
      <c r="I128">
        <v>367.78530000000001</v>
      </c>
      <c r="J128">
        <v>-454.20420000000001</v>
      </c>
      <c r="K128">
        <v>1.1214170000000001</v>
      </c>
      <c r="L128">
        <v>367.58150000000001</v>
      </c>
      <c r="M128">
        <v>0.99989349999999999</v>
      </c>
      <c r="N128">
        <v>-1.425731E-2</v>
      </c>
      <c r="O128">
        <v>3.1419249999999998E-3</v>
      </c>
      <c r="P128">
        <v>0.99151610000000001</v>
      </c>
      <c r="Q128">
        <v>0.12918540000000001</v>
      </c>
      <c r="R128">
        <v>1.439615E-2</v>
      </c>
      <c r="S128">
        <v>3.0376590000000001</v>
      </c>
      <c r="T128">
        <v>-9.9301459999999994E-2</v>
      </c>
      <c r="U128">
        <v>1.7303470000000001E-2</v>
      </c>
      <c r="V128">
        <v>-1.1243899999999999E-2</v>
      </c>
      <c r="W128">
        <v>0.14331259999999901</v>
      </c>
      <c r="X128">
        <v>0.98961359999999998</v>
      </c>
      <c r="Y128">
        <v>-2.5525790000000001E-3</v>
      </c>
      <c r="Z128" s="1">
        <v>2.0245100000000001E-6</v>
      </c>
      <c r="AA128">
        <v>0.99999669999999896</v>
      </c>
      <c r="AB128">
        <v>20</v>
      </c>
      <c r="AC128">
        <v>35.628300000000003</v>
      </c>
      <c r="AD128">
        <v>-1.1714169999999999</v>
      </c>
      <c r="AE128">
        <v>0.20380000000000101</v>
      </c>
      <c r="AF128">
        <v>-9.1747000159734596E-2</v>
      </c>
      <c r="AG128">
        <v>-1.1714169999999999</v>
      </c>
      <c r="AH128">
        <v>35.590292017162596</v>
      </c>
      <c r="AI128">
        <v>91.885143466294295</v>
      </c>
      <c r="AJ128">
        <v>90.147700509041499</v>
      </c>
      <c r="AK128">
        <v>35.609682969198602</v>
      </c>
      <c r="AL128">
        <v>81.760422236098805</v>
      </c>
      <c r="AM128">
        <v>90.650961441558493</v>
      </c>
      <c r="AN128">
        <v>1.00000000195546</v>
      </c>
    </row>
    <row r="129" spans="1:40" x14ac:dyDescent="0.25">
      <c r="A129" t="str">
        <f>"20190303162745325"</f>
        <v>20190303162745325</v>
      </c>
      <c r="B129" t="str">
        <f>"1551601665321635"</f>
        <v>1551601665321635</v>
      </c>
      <c r="C129" t="s">
        <v>40</v>
      </c>
      <c r="D129">
        <v>5.8323830000000001</v>
      </c>
      <c r="E129">
        <v>0.50418669999999999</v>
      </c>
      <c r="F129" t="s">
        <v>42</v>
      </c>
      <c r="G129">
        <v>-413.37279999999998</v>
      </c>
      <c r="H129">
        <v>-0.05</v>
      </c>
      <c r="I129">
        <v>367.73660000000001</v>
      </c>
      <c r="J129">
        <v>-453.9341</v>
      </c>
      <c r="K129">
        <v>1.121464</v>
      </c>
      <c r="L129">
        <v>367.58210000000003</v>
      </c>
      <c r="M129">
        <v>0.99989419999999996</v>
      </c>
      <c r="N129">
        <v>-1.4251399999999999E-2</v>
      </c>
      <c r="O129">
        <v>2.907654E-3</v>
      </c>
      <c r="P129">
        <v>0.99116530000000003</v>
      </c>
      <c r="Q129">
        <v>0.13188250000000001</v>
      </c>
      <c r="R129">
        <v>1.407803E-2</v>
      </c>
      <c r="S129">
        <v>3.0368650000000001</v>
      </c>
      <c r="T129">
        <v>-8.7124939999999998E-2</v>
      </c>
      <c r="U129">
        <v>1.153564E-2</v>
      </c>
      <c r="V129">
        <v>-1.117199E-2</v>
      </c>
      <c r="W129">
        <v>0.14599719999999999</v>
      </c>
      <c r="X129">
        <v>0.98922189999999999</v>
      </c>
      <c r="Y129">
        <v>-8.9031989999999997E-4</v>
      </c>
      <c r="Z129" s="1">
        <v>-2.2849399999999998E-5</v>
      </c>
      <c r="AA129">
        <v>0.99999959999999999</v>
      </c>
      <c r="AB129">
        <v>19</v>
      </c>
      <c r="AC129">
        <v>40.561300000000003</v>
      </c>
      <c r="AD129">
        <v>-1.1714639999999901</v>
      </c>
      <c r="AE129">
        <v>0.15449999999998401</v>
      </c>
      <c r="AF129">
        <v>-3.65186791778664E-2</v>
      </c>
      <c r="AG129">
        <v>-1.1714639999999901</v>
      </c>
      <c r="AH129">
        <v>40.527772807759497</v>
      </c>
      <c r="AI129">
        <v>91.655685160603795</v>
      </c>
      <c r="AJ129">
        <v>90.051627944963002</v>
      </c>
      <c r="AK129">
        <v>40.544716428587797</v>
      </c>
      <c r="AL129">
        <v>81.604970753602004</v>
      </c>
      <c r="AM129">
        <v>90.647054683099697</v>
      </c>
      <c r="AN129">
        <v>0.99999998160400405</v>
      </c>
    </row>
    <row r="130" spans="1:40" x14ac:dyDescent="0.25">
      <c r="A130" t="str">
        <f>"20190303162745348"</f>
        <v>20190303162745348</v>
      </c>
      <c r="B130" t="str">
        <f>"1551601665341156"</f>
        <v>1551601665341156</v>
      </c>
      <c r="C130" t="s">
        <v>40</v>
      </c>
      <c r="D130">
        <v>5.8349089999999997</v>
      </c>
      <c r="E130">
        <v>0.50420279999999995</v>
      </c>
      <c r="F130" t="s">
        <v>41</v>
      </c>
      <c r="G130">
        <v>-393.31990000000002</v>
      </c>
      <c r="H130" s="1">
        <v>-3.157398E-6</v>
      </c>
      <c r="I130">
        <v>367.87220000000002</v>
      </c>
      <c r="J130">
        <v>-453.7296</v>
      </c>
      <c r="K130">
        <v>1.1215139999999999</v>
      </c>
      <c r="L130">
        <v>367.58240000000001</v>
      </c>
      <c r="M130">
        <v>0.99989470000000003</v>
      </c>
      <c r="N130">
        <v>-1.424683E-2</v>
      </c>
      <c r="O130">
        <v>2.8102410000000002E-3</v>
      </c>
      <c r="P130">
        <v>0.99094649999999995</v>
      </c>
      <c r="Q130">
        <v>0.1335626</v>
      </c>
      <c r="R130">
        <v>1.3655799999999999E-2</v>
      </c>
      <c r="S130">
        <v>3.0339969999999998</v>
      </c>
      <c r="T130">
        <v>-5.6134099999999999E-2</v>
      </c>
      <c r="U130">
        <v>1.452637E-2</v>
      </c>
      <c r="V130">
        <v>-1.086078E-2</v>
      </c>
      <c r="W130">
        <v>0.1476683</v>
      </c>
      <c r="X130">
        <v>0.98897729999999995</v>
      </c>
      <c r="Y130">
        <v>-1.976724E-3</v>
      </c>
      <c r="Z130" s="1">
        <v>2.0417440000000001E-5</v>
      </c>
      <c r="AA130">
        <v>0.99999800000000005</v>
      </c>
      <c r="AB130">
        <v>19</v>
      </c>
      <c r="AC130">
        <v>60.409700000000001</v>
      </c>
      <c r="AD130">
        <v>-1.1215171573979901</v>
      </c>
      <c r="AE130">
        <v>0.28980000000001299</v>
      </c>
      <c r="AF130">
        <v>-0.11997448185352599</v>
      </c>
      <c r="AG130">
        <v>-1.1215171573979901</v>
      </c>
      <c r="AH130">
        <v>60.389462182745703</v>
      </c>
      <c r="AI130">
        <v>91.063938719139003</v>
      </c>
      <c r="AJ130">
        <v>90.113828177422803</v>
      </c>
      <c r="AK130">
        <v>60.399994514336697</v>
      </c>
      <c r="AL130">
        <v>81.508174707379993</v>
      </c>
      <c r="AM130">
        <v>90.629187183953306</v>
      </c>
      <c r="AN130">
        <v>0.99999999164119402</v>
      </c>
    </row>
    <row r="131" spans="1:40" x14ac:dyDescent="0.25">
      <c r="A131" t="str">
        <f>"20190303162745372"</f>
        <v>20190303162745372</v>
      </c>
      <c r="B131" t="str">
        <f>"1551601665362627"</f>
        <v>1551601665362627</v>
      </c>
      <c r="C131" t="s">
        <v>40</v>
      </c>
      <c r="D131">
        <v>5.8318589999999997</v>
      </c>
      <c r="E131">
        <v>0.50378040000000002</v>
      </c>
      <c r="F131" t="s">
        <v>41</v>
      </c>
      <c r="G131">
        <v>-378.44459999999998</v>
      </c>
      <c r="H131" s="1">
        <v>-9.660757000000001E-7</v>
      </c>
      <c r="I131">
        <v>367.92239999999998</v>
      </c>
      <c r="J131">
        <v>-453.52949999999998</v>
      </c>
      <c r="K131">
        <v>1.12155</v>
      </c>
      <c r="L131">
        <v>367.5829</v>
      </c>
      <c r="M131">
        <v>0.99989459999999997</v>
      </c>
      <c r="N131">
        <v>-1.4242299999999999E-2</v>
      </c>
      <c r="O131">
        <v>2.764753E-3</v>
      </c>
      <c r="P131">
        <v>0.99088960000000004</v>
      </c>
      <c r="Q131">
        <v>0.13394979999999901</v>
      </c>
      <c r="R131">
        <v>1.395833E-2</v>
      </c>
      <c r="S131">
        <v>3.0332949999999999</v>
      </c>
      <c r="T131">
        <v>-4.5186759999999999E-2</v>
      </c>
      <c r="U131">
        <v>1.370239E-2</v>
      </c>
      <c r="V131">
        <v>-1.1220890000000001E-2</v>
      </c>
      <c r="W131">
        <v>0.14804890000000001</v>
      </c>
      <c r="X131">
        <v>0.98891640000000003</v>
      </c>
      <c r="Y131">
        <v>-1.751882E-3</v>
      </c>
      <c r="Z131" s="1">
        <v>2.3720029999999999E-5</v>
      </c>
      <c r="AA131">
        <v>0.99999850000000001</v>
      </c>
      <c r="AB131">
        <v>19</v>
      </c>
      <c r="AC131">
        <v>75.084900000000005</v>
      </c>
      <c r="AD131">
        <v>-1.1215509660756999</v>
      </c>
      <c r="AE131">
        <v>0.33949999999998598</v>
      </c>
      <c r="AF131">
        <v>-0.13185699193990999</v>
      </c>
      <c r="AG131">
        <v>-1.1215509660756999</v>
      </c>
      <c r="AH131">
        <v>75.068802911384495</v>
      </c>
      <c r="AI131">
        <v>90.855951536178907</v>
      </c>
      <c r="AJ131">
        <v>90.100638894920195</v>
      </c>
      <c r="AK131">
        <v>75.077296391013704</v>
      </c>
      <c r="AL131">
        <v>81.486125786779695</v>
      </c>
      <c r="AM131">
        <v>90.650087358973707</v>
      </c>
      <c r="AN131">
        <v>1.0000000156762801</v>
      </c>
    </row>
    <row r="132" spans="1:40" x14ac:dyDescent="0.25">
      <c r="A132" t="str">
        <f>"20190303162745392"</f>
        <v>20190303162745392</v>
      </c>
      <c r="B132" t="str">
        <f>"1551601665381171"</f>
        <v>1551601665381171</v>
      </c>
      <c r="C132" t="s">
        <v>40</v>
      </c>
      <c r="D132">
        <v>5.8231599999999997</v>
      </c>
      <c r="E132">
        <v>0.50358119999999995</v>
      </c>
      <c r="F132" t="s">
        <v>41</v>
      </c>
      <c r="G132">
        <v>-373.02839999999998</v>
      </c>
      <c r="H132" s="1">
        <v>-3.2526150000000002E-6</v>
      </c>
      <c r="I132">
        <v>368.04050000000001</v>
      </c>
      <c r="J132">
        <v>-453.34899999999999</v>
      </c>
      <c r="K132">
        <v>1.1215649999999999</v>
      </c>
      <c r="L132">
        <v>367.58339999999998</v>
      </c>
      <c r="M132">
        <v>0.99989490000000003</v>
      </c>
      <c r="N132">
        <v>-1.4238199999999999E-2</v>
      </c>
      <c r="O132">
        <v>2.7613669999999998E-3</v>
      </c>
      <c r="P132">
        <v>0.99098649999999999</v>
      </c>
      <c r="Q132">
        <v>0.1330751</v>
      </c>
      <c r="R132">
        <v>1.539194E-2</v>
      </c>
      <c r="S132">
        <v>3.03302</v>
      </c>
      <c r="T132">
        <v>-4.2256469999999997E-2</v>
      </c>
      <c r="U132">
        <v>1.724243E-2</v>
      </c>
      <c r="V132">
        <v>-1.2667390000000001E-2</v>
      </c>
      <c r="W132">
        <v>0.14717079999999999</v>
      </c>
      <c r="X132">
        <v>0.98902999999999996</v>
      </c>
      <c r="Y132">
        <v>-2.9226159999999998E-3</v>
      </c>
      <c r="Z132" s="1">
        <v>4.2016910000000002E-5</v>
      </c>
      <c r="AA132">
        <v>0.99999570000000004</v>
      </c>
      <c r="AB132">
        <v>19</v>
      </c>
      <c r="AC132">
        <v>80.320599999999999</v>
      </c>
      <c r="AD132">
        <v>-1.1215682526149999</v>
      </c>
      <c r="AE132">
        <v>0.45710000000002499</v>
      </c>
      <c r="AF132">
        <v>-0.23523526998240599</v>
      </c>
      <c r="AG132">
        <v>-1.1215682526149999</v>
      </c>
      <c r="AH132">
        <v>80.305898251932803</v>
      </c>
      <c r="AI132">
        <v>90.800148873410507</v>
      </c>
      <c r="AJ132">
        <v>90.167832623843694</v>
      </c>
      <c r="AK132">
        <v>80.314074389407594</v>
      </c>
      <c r="AL132">
        <v>81.536994515056094</v>
      </c>
      <c r="AM132">
        <v>90.733798066543798</v>
      </c>
      <c r="AN132">
        <v>1.0000000240210201</v>
      </c>
    </row>
    <row r="133" spans="1:40" x14ac:dyDescent="0.25">
      <c r="A133" t="str">
        <f>"20190303162745414"</f>
        <v>20190303162745414</v>
      </c>
      <c r="B133" t="str">
        <f>"1551601665401667"</f>
        <v>1551601665401667</v>
      </c>
      <c r="C133" t="s">
        <v>40</v>
      </c>
      <c r="D133">
        <v>5.6610990000000001</v>
      </c>
      <c r="E133">
        <v>0.50335989999999997</v>
      </c>
      <c r="F133" t="s">
        <v>41</v>
      </c>
      <c r="G133">
        <v>-372.00599999999997</v>
      </c>
      <c r="H133" s="1">
        <v>-3.667622E-6</v>
      </c>
      <c r="I133">
        <v>368.17349999999999</v>
      </c>
      <c r="J133">
        <v>-453.16719999999998</v>
      </c>
      <c r="K133">
        <v>1.121591</v>
      </c>
      <c r="L133">
        <v>367.584</v>
      </c>
      <c r="M133">
        <v>0.99989490000000003</v>
      </c>
      <c r="N133">
        <v>-1.423402E-2</v>
      </c>
      <c r="O133">
        <v>2.8005259999999998E-3</v>
      </c>
      <c r="P133">
        <v>0.99101450000000002</v>
      </c>
      <c r="Q133">
        <v>0.13265270000000001</v>
      </c>
      <c r="R133">
        <v>1.7147430000000002E-2</v>
      </c>
      <c r="S133">
        <v>3.0325009999999999</v>
      </c>
      <c r="T133">
        <v>-4.1812540000000002E-2</v>
      </c>
      <c r="U133">
        <v>2.2003169999999999E-2</v>
      </c>
      <c r="V133">
        <v>-1.439201E-2</v>
      </c>
      <c r="W133">
        <v>0.1467444</v>
      </c>
      <c r="X133">
        <v>0.9890698</v>
      </c>
      <c r="Y133">
        <v>-4.4539690000000003E-3</v>
      </c>
      <c r="Z133" s="1">
        <v>6.3660979999999998E-5</v>
      </c>
      <c r="AA133">
        <v>0.99999009999999999</v>
      </c>
      <c r="AB133">
        <v>19</v>
      </c>
      <c r="AC133">
        <v>81.161199999999994</v>
      </c>
      <c r="AD133">
        <v>-1.1215946676219899</v>
      </c>
      <c r="AE133">
        <v>0.58949999999998604</v>
      </c>
      <c r="AF133">
        <v>-0.36211148717193398</v>
      </c>
      <c r="AG133">
        <v>-1.1215946676219899</v>
      </c>
      <c r="AH133">
        <v>81.147036558737</v>
      </c>
      <c r="AI133">
        <v>90.791870067030501</v>
      </c>
      <c r="AJ133">
        <v>90.255675661048201</v>
      </c>
      <c r="AK133">
        <v>81.155595257459495</v>
      </c>
      <c r="AL133">
        <v>81.561693896089906</v>
      </c>
      <c r="AM133">
        <v>90.833655259309793</v>
      </c>
      <c r="AN133">
        <v>1.0000000590776099</v>
      </c>
    </row>
    <row r="134" spans="1:40" x14ac:dyDescent="0.25">
      <c r="A134" t="str">
        <f>"20190303162745438"</f>
        <v>20190303162745438</v>
      </c>
      <c r="B134" t="str">
        <f>"1551601665431923"</f>
        <v>1551601665431923</v>
      </c>
      <c r="C134" t="s">
        <v>40</v>
      </c>
      <c r="D134">
        <v>5.8947919999999998</v>
      </c>
      <c r="E134">
        <v>0.50250189999999995</v>
      </c>
      <c r="F134" t="s">
        <v>41</v>
      </c>
      <c r="G134">
        <v>-366.5856</v>
      </c>
      <c r="H134" s="1">
        <v>-1.6598219999999999E-6</v>
      </c>
      <c r="I134">
        <v>368.41699999999997</v>
      </c>
      <c r="J134">
        <v>-452.9588</v>
      </c>
      <c r="K134">
        <v>1.1216140000000001</v>
      </c>
      <c r="L134">
        <v>367.5847</v>
      </c>
      <c r="M134">
        <v>0.99989470000000003</v>
      </c>
      <c r="N134">
        <v>-1.4229169999999999E-2</v>
      </c>
      <c r="O134">
        <v>2.901453E-3</v>
      </c>
      <c r="P134">
        <v>0.99085140000000005</v>
      </c>
      <c r="Q134">
        <v>0.13365450000000001</v>
      </c>
      <c r="R134">
        <v>1.8714209999999998E-2</v>
      </c>
      <c r="S134">
        <v>3.031952</v>
      </c>
      <c r="T134">
        <v>-3.9276360000000003E-2</v>
      </c>
      <c r="U134">
        <v>2.9174800000000001E-2</v>
      </c>
      <c r="V134">
        <v>-1.5867699999999998E-2</v>
      </c>
      <c r="W134">
        <v>0.1477377</v>
      </c>
      <c r="X134">
        <v>0.98889930000000004</v>
      </c>
      <c r="Y134">
        <v>-6.7191719999999998E-3</v>
      </c>
      <c r="Z134" s="1">
        <v>9.5033100000000003E-5</v>
      </c>
      <c r="AA134">
        <v>0.99997740000000002</v>
      </c>
      <c r="AB134">
        <v>19</v>
      </c>
      <c r="AC134">
        <v>86.373199999999997</v>
      </c>
      <c r="AD134">
        <v>-1.121615659822</v>
      </c>
      <c r="AE134">
        <v>0.83229999999997495</v>
      </c>
      <c r="AF134">
        <v>-0.58156531991913396</v>
      </c>
      <c r="AG134">
        <v>-1.121615659822</v>
      </c>
      <c r="AH134">
        <v>86.360689993442506</v>
      </c>
      <c r="AI134">
        <v>90.744074344366396</v>
      </c>
      <c r="AJ134">
        <v>90.385832195958798</v>
      </c>
      <c r="AK134">
        <v>86.369931203244406</v>
      </c>
      <c r="AL134">
        <v>81.5041545150536</v>
      </c>
      <c r="AM134">
        <v>90.919278865563001</v>
      </c>
      <c r="AN134">
        <v>1.00000001872253</v>
      </c>
    </row>
    <row r="135" spans="1:40" x14ac:dyDescent="0.25">
      <c r="A135" t="str">
        <f>"20190303162745460"</f>
        <v>20190303162745460</v>
      </c>
      <c r="B135" t="str">
        <f>"1551601665451443"</f>
        <v>1551601665451443</v>
      </c>
      <c r="C135" t="s">
        <v>40</v>
      </c>
      <c r="D135">
        <v>5.8773470000000003</v>
      </c>
      <c r="E135">
        <v>0.50253300000000001</v>
      </c>
      <c r="F135" t="s">
        <v>41</v>
      </c>
      <c r="G135">
        <v>-354.35140000000001</v>
      </c>
      <c r="H135" s="1">
        <v>-2.5287780000000001E-6</v>
      </c>
      <c r="I135">
        <v>368.92169999999999</v>
      </c>
      <c r="J135">
        <v>-452.77229999999997</v>
      </c>
      <c r="K135">
        <v>1.1216440000000001</v>
      </c>
      <c r="L135">
        <v>367.58530000000002</v>
      </c>
      <c r="M135">
        <v>0.99989430000000001</v>
      </c>
      <c r="N135">
        <v>-1.4224830000000001E-2</v>
      </c>
      <c r="O135">
        <v>3.0381309999999999E-3</v>
      </c>
      <c r="P135">
        <v>0.99071670000000001</v>
      </c>
      <c r="Q135">
        <v>0.13442789999999999</v>
      </c>
      <c r="R135">
        <v>2.0250609999999999E-2</v>
      </c>
      <c r="S135">
        <v>3.0315859999999999</v>
      </c>
      <c r="T135">
        <v>-3.448296E-2</v>
      </c>
      <c r="U135">
        <v>4.110718E-2</v>
      </c>
      <c r="V135">
        <v>-1.727654E-2</v>
      </c>
      <c r="W135">
        <v>0.14850350000000001</v>
      </c>
      <c r="X135">
        <v>0.98876090000000005</v>
      </c>
      <c r="Y135">
        <v>-1.0518639999999999E-2</v>
      </c>
      <c r="Z135">
        <v>1.4330669999999999E-4</v>
      </c>
      <c r="AA135">
        <v>0.99994470000000002</v>
      </c>
      <c r="AB135">
        <v>19</v>
      </c>
      <c r="AC135">
        <v>98.420899999999904</v>
      </c>
      <c r="AD135">
        <v>-1.121646528778</v>
      </c>
      <c r="AE135">
        <v>1.3363999999999601</v>
      </c>
      <c r="AF135">
        <v>-1.03721332797556</v>
      </c>
      <c r="AG135">
        <v>-1.121646528778</v>
      </c>
      <c r="AH135">
        <v>98.411727037142398</v>
      </c>
      <c r="AI135">
        <v>90.652963452534905</v>
      </c>
      <c r="AJ135">
        <v>90.603848216379205</v>
      </c>
      <c r="AK135">
        <v>98.423584169934998</v>
      </c>
      <c r="AL135">
        <v>81.459787360718593</v>
      </c>
      <c r="AM135">
        <v>91.001022702266496</v>
      </c>
      <c r="AN135">
        <v>0.99999994285771399</v>
      </c>
    </row>
    <row r="136" spans="1:40" x14ac:dyDescent="0.25">
      <c r="A136" t="str">
        <f>"20190303162745482"</f>
        <v>20190303162745482</v>
      </c>
      <c r="B136" t="str">
        <f>"1551601665471940"</f>
        <v>1551601665471940</v>
      </c>
      <c r="C136" t="s">
        <v>40</v>
      </c>
      <c r="D136">
        <v>5.6477430000000002</v>
      </c>
      <c r="E136">
        <v>0.5032373</v>
      </c>
      <c r="F136" t="s">
        <v>41</v>
      </c>
      <c r="G136">
        <v>-356.06580000000002</v>
      </c>
      <c r="H136" s="1">
        <v>-1.773796E-6</v>
      </c>
      <c r="I136">
        <v>369.0317</v>
      </c>
      <c r="J136">
        <v>-452.584</v>
      </c>
      <c r="K136">
        <v>1.1216619999999999</v>
      </c>
      <c r="L136">
        <v>367.58609999999999</v>
      </c>
      <c r="M136">
        <v>0.9998937</v>
      </c>
      <c r="N136">
        <v>-1.4220429999999999E-2</v>
      </c>
      <c r="O136">
        <v>3.2079719999999999E-3</v>
      </c>
      <c r="P136">
        <v>0.99076690000000001</v>
      </c>
      <c r="Q136">
        <v>0.13390279999999999</v>
      </c>
      <c r="R136">
        <v>2.1239549999999999E-2</v>
      </c>
      <c r="S136">
        <v>3.0319210000000001</v>
      </c>
      <c r="T136">
        <v>-3.5165549999999997E-2</v>
      </c>
      <c r="U136">
        <v>4.534912E-2</v>
      </c>
      <c r="V136">
        <v>-1.8103540000000001E-2</v>
      </c>
      <c r="W136">
        <v>0.14797439999999901</v>
      </c>
      <c r="X136">
        <v>0.98882550000000002</v>
      </c>
      <c r="Y136">
        <v>-1.1745790000000001E-2</v>
      </c>
      <c r="Z136">
        <v>1.6005580000000001E-4</v>
      </c>
      <c r="AA136">
        <v>0.99993100000000001</v>
      </c>
      <c r="AB136">
        <v>19</v>
      </c>
      <c r="AC136">
        <v>96.518199999999894</v>
      </c>
      <c r="AD136">
        <v>-1.121663773796</v>
      </c>
      <c r="AE136">
        <v>1.44560000000001</v>
      </c>
      <c r="AF136">
        <v>-1.1357801966829699</v>
      </c>
      <c r="AG136">
        <v>-1.121663773796</v>
      </c>
      <c r="AH136">
        <v>96.509310142812595</v>
      </c>
      <c r="AI136">
        <v>90.665834802095802</v>
      </c>
      <c r="AJ136">
        <v>90.674260416536896</v>
      </c>
      <c r="AK136">
        <v>96.522510693196395</v>
      </c>
      <c r="AL136">
        <v>81.490441858238597</v>
      </c>
      <c r="AM136">
        <v>91.0488610657614</v>
      </c>
      <c r="AN136">
        <v>1.0000000153330699</v>
      </c>
    </row>
    <row r="137" spans="1:40" x14ac:dyDescent="0.25">
      <c r="A137" t="str">
        <f>"20190303162745504"</f>
        <v>20190303162745504</v>
      </c>
      <c r="B137" t="str">
        <f>"1551601665491459"</f>
        <v>1551601665491459</v>
      </c>
      <c r="C137" t="s">
        <v>40</v>
      </c>
      <c r="D137">
        <v>5.7516939999999996</v>
      </c>
      <c r="E137">
        <v>0.50382799999999905</v>
      </c>
      <c r="F137" t="s">
        <v>41</v>
      </c>
      <c r="G137">
        <v>-375.96929999999998</v>
      </c>
      <c r="H137" s="1">
        <v>-1.8815399999999999E-6</v>
      </c>
      <c r="I137">
        <v>368.65750000000003</v>
      </c>
      <c r="J137">
        <v>-452.40010000000001</v>
      </c>
      <c r="K137">
        <v>1.121669</v>
      </c>
      <c r="L137">
        <v>367.58690000000001</v>
      </c>
      <c r="M137">
        <v>0.99989329999999998</v>
      </c>
      <c r="N137">
        <v>-1.421613E-2</v>
      </c>
      <c r="O137">
        <v>3.392969E-3</v>
      </c>
      <c r="P137">
        <v>0.99087760000000003</v>
      </c>
      <c r="Q137">
        <v>0.1331215</v>
      </c>
      <c r="R137">
        <v>2.0995840000000002E-2</v>
      </c>
      <c r="S137">
        <v>3.0330810000000001</v>
      </c>
      <c r="T137">
        <v>-4.4405220000000002E-2</v>
      </c>
      <c r="U137">
        <v>4.2419430000000001E-2</v>
      </c>
      <c r="V137">
        <v>-1.7679859999999999E-2</v>
      </c>
      <c r="W137">
        <v>0.14719009999999999</v>
      </c>
      <c r="X137">
        <v>0.9889502</v>
      </c>
      <c r="Y137">
        <v>-1.058893E-2</v>
      </c>
      <c r="Z137">
        <v>1.5135339999999999E-4</v>
      </c>
      <c r="AA137">
        <v>0.9999439</v>
      </c>
      <c r="AB137">
        <v>19</v>
      </c>
      <c r="AC137">
        <v>76.430800000000005</v>
      </c>
      <c r="AD137">
        <v>-1.1216708815400001</v>
      </c>
      <c r="AE137">
        <v>1.07060000000001</v>
      </c>
      <c r="AF137">
        <v>-0.81106567268093899</v>
      </c>
      <c r="AG137">
        <v>-1.1216708815400001</v>
      </c>
      <c r="AH137">
        <v>76.417537691722899</v>
      </c>
      <c r="AI137">
        <v>90.8408904018371</v>
      </c>
      <c r="AJ137">
        <v>90.608092023410194</v>
      </c>
      <c r="AK137">
        <v>76.430072876831602</v>
      </c>
      <c r="AL137">
        <v>81.535876331055704</v>
      </c>
      <c r="AM137">
        <v>91.024190565194203</v>
      </c>
      <c r="AN137">
        <v>1.0000000005338301</v>
      </c>
    </row>
    <row r="138" spans="1:40" x14ac:dyDescent="0.25">
      <c r="A138" t="str">
        <f>"20190303162745525"</f>
        <v>20190303162745525</v>
      </c>
      <c r="B138" t="str">
        <f>"1551601665521715"</f>
        <v>1551601665521715</v>
      </c>
      <c r="C138" t="s">
        <v>40</v>
      </c>
      <c r="D138">
        <v>5.5733090000000001</v>
      </c>
      <c r="E138">
        <v>0.50458720000000001</v>
      </c>
      <c r="F138" t="s">
        <v>41</v>
      </c>
      <c r="G138">
        <v>-390.56670000000003</v>
      </c>
      <c r="H138" s="1">
        <v>-4.2569010000000001E-6</v>
      </c>
      <c r="I138">
        <v>368.33249999999998</v>
      </c>
      <c r="J138">
        <v>-452.21300000000002</v>
      </c>
      <c r="K138">
        <v>1.121667</v>
      </c>
      <c r="L138">
        <v>367.58780000000002</v>
      </c>
      <c r="M138">
        <v>0.99989249999999996</v>
      </c>
      <c r="N138">
        <v>-1.4211649999999999E-2</v>
      </c>
      <c r="O138">
        <v>3.593855E-3</v>
      </c>
      <c r="P138">
        <v>0.99109530000000001</v>
      </c>
      <c r="Q138">
        <v>0.13172799999999901</v>
      </c>
      <c r="R138">
        <v>1.9436410000000001E-2</v>
      </c>
      <c r="S138">
        <v>3.0342410000000002</v>
      </c>
      <c r="T138">
        <v>-5.504179E-2</v>
      </c>
      <c r="U138">
        <v>3.6590579999999998E-2</v>
      </c>
      <c r="V138">
        <v>-1.5921379999999999E-2</v>
      </c>
      <c r="W138">
        <v>0.145795799999999</v>
      </c>
      <c r="X138">
        <v>0.98918660000000003</v>
      </c>
      <c r="Y138">
        <v>-8.4618550000000008E-3</v>
      </c>
      <c r="Z138">
        <v>1.2277299999999901E-4</v>
      </c>
      <c r="AA138">
        <v>0.99996419999999997</v>
      </c>
      <c r="AB138">
        <v>19</v>
      </c>
      <c r="AC138">
        <v>61.646299999999997</v>
      </c>
      <c r="AD138">
        <v>-1.1216712569009999</v>
      </c>
      <c r="AE138">
        <v>0.74469999999996594</v>
      </c>
      <c r="AF138">
        <v>-0.52295183122156796</v>
      </c>
      <c r="AG138">
        <v>-1.1216712569009999</v>
      </c>
      <c r="AH138">
        <v>61.628178288891903</v>
      </c>
      <c r="AI138">
        <v>91.042666242931105</v>
      </c>
      <c r="AJ138">
        <v>90.486177176039604</v>
      </c>
      <c r="AK138">
        <v>61.640603373375498</v>
      </c>
      <c r="AL138">
        <v>81.616635236373796</v>
      </c>
      <c r="AM138">
        <v>90.922120371942796</v>
      </c>
      <c r="AN138">
        <v>1.0000000176291499</v>
      </c>
    </row>
    <row r="139" spans="1:40" x14ac:dyDescent="0.25">
      <c r="A139" t="str">
        <f>"20190303162745550"</f>
        <v>20190303162745550</v>
      </c>
      <c r="B139" t="str">
        <f>"1551601665542211"</f>
        <v>1551601665542211</v>
      </c>
      <c r="C139" t="s">
        <v>40</v>
      </c>
      <c r="D139">
        <v>5.6936849999999897</v>
      </c>
      <c r="E139">
        <v>0.50497179999999997</v>
      </c>
      <c r="F139" t="s">
        <v>42</v>
      </c>
      <c r="G139">
        <v>-400.86669999999998</v>
      </c>
      <c r="H139">
        <v>-0.05</v>
      </c>
      <c r="I139">
        <v>368.02600000000001</v>
      </c>
      <c r="J139">
        <v>-452.00700000000001</v>
      </c>
      <c r="K139">
        <v>1.1216619999999999</v>
      </c>
      <c r="L139">
        <v>367.58870000000002</v>
      </c>
      <c r="M139">
        <v>0.9998918</v>
      </c>
      <c r="N139">
        <v>-1.4206659999999999E-2</v>
      </c>
      <c r="O139">
        <v>3.821596E-3</v>
      </c>
      <c r="P139">
        <v>0.99115529999999996</v>
      </c>
      <c r="Q139">
        <v>0.13137389999999999</v>
      </c>
      <c r="R139">
        <v>1.8759749999999999E-2</v>
      </c>
      <c r="S139">
        <v>3.0356450000000001</v>
      </c>
      <c r="T139">
        <v>-6.9270129999999999E-2</v>
      </c>
      <c r="U139">
        <v>2.5909419999999999E-2</v>
      </c>
      <c r="V139">
        <v>-1.501654E-2</v>
      </c>
      <c r="W139">
        <v>0.14543819999999999</v>
      </c>
      <c r="X139">
        <v>0.98925339999999995</v>
      </c>
      <c r="Y139">
        <v>-4.7110009999999898E-3</v>
      </c>
      <c r="Z139" s="1">
        <v>5.4315409999999999E-5</v>
      </c>
      <c r="AA139">
        <v>0.99998889999999996</v>
      </c>
      <c r="AB139">
        <v>19</v>
      </c>
      <c r="AC139">
        <v>51.140299999999897</v>
      </c>
      <c r="AD139">
        <v>-1.171662</v>
      </c>
      <c r="AE139">
        <v>0.43729999999999303</v>
      </c>
      <c r="AF139">
        <v>-0.24171265293322</v>
      </c>
      <c r="AG139">
        <v>-1.171662</v>
      </c>
      <c r="AH139">
        <v>51.114769555993199</v>
      </c>
      <c r="AI139">
        <v>91.313099603255793</v>
      </c>
      <c r="AJ139">
        <v>90.270939529992603</v>
      </c>
      <c r="AK139">
        <v>51.128767671547898</v>
      </c>
      <c r="AL139">
        <v>81.637345037885893</v>
      </c>
      <c r="AM139">
        <v>90.869664223633194</v>
      </c>
      <c r="AN139">
        <v>1.0000000279521799</v>
      </c>
    </row>
    <row r="140" spans="1:40" x14ac:dyDescent="0.25">
      <c r="A140" t="str">
        <f>"20190303162745593"</f>
        <v>20190303162745593</v>
      </c>
      <c r="B140" t="str">
        <f>"1551601665581252"</f>
        <v>1551601665581252</v>
      </c>
      <c r="C140" t="s">
        <v>40</v>
      </c>
      <c r="D140">
        <v>5.4085190000000001</v>
      </c>
      <c r="E140">
        <v>0.50565170000000004</v>
      </c>
      <c r="F140" t="s">
        <v>42</v>
      </c>
      <c r="G140">
        <v>-404.76330000000002</v>
      </c>
      <c r="H140">
        <v>-0.05</v>
      </c>
      <c r="I140">
        <v>367.9083</v>
      </c>
      <c r="J140">
        <v>-451.63740000000001</v>
      </c>
      <c r="K140">
        <v>1.121637</v>
      </c>
      <c r="L140">
        <v>367.59070000000003</v>
      </c>
      <c r="M140">
        <v>0.99989039999999996</v>
      </c>
      <c r="N140">
        <v>-1.4197660000000001E-2</v>
      </c>
      <c r="O140">
        <v>4.2269680000000002E-3</v>
      </c>
      <c r="P140">
        <v>0.99145910000000004</v>
      </c>
      <c r="Q140">
        <v>0.12920789999999999</v>
      </c>
      <c r="R140">
        <v>1.773607E-2</v>
      </c>
      <c r="S140">
        <v>3.0363769999999999</v>
      </c>
      <c r="T140">
        <v>-7.5303320000000007E-2</v>
      </c>
      <c r="U140">
        <v>2.053833E-2</v>
      </c>
      <c r="V140">
        <v>-1.3582149999999999E-2</v>
      </c>
      <c r="W140">
        <v>0.1432687</v>
      </c>
      <c r="X140">
        <v>0.98959059999999999</v>
      </c>
      <c r="Y140">
        <v>-2.5355899999999999E-3</v>
      </c>
      <c r="Z140" s="1">
        <v>4.6411009999999997E-6</v>
      </c>
      <c r="AA140">
        <v>0.99999680000000002</v>
      </c>
      <c r="AB140">
        <v>19</v>
      </c>
      <c r="AC140">
        <v>46.874099999999999</v>
      </c>
      <c r="AD140">
        <v>-1.171637</v>
      </c>
      <c r="AE140">
        <v>0.31759999999997002</v>
      </c>
      <c r="AF140">
        <v>-0.119367320265949</v>
      </c>
      <c r="AG140">
        <v>-1.171637</v>
      </c>
      <c r="AH140">
        <v>46.8457572909441</v>
      </c>
      <c r="AI140">
        <v>91.432694216004407</v>
      </c>
      <c r="AJ140">
        <v>90.145994626977995</v>
      </c>
      <c r="AK140">
        <v>46.860558660551199</v>
      </c>
      <c r="AL140">
        <v>81.762963527329902</v>
      </c>
      <c r="AM140">
        <v>90.786336301567502</v>
      </c>
      <c r="AN140">
        <v>0.99999997540333596</v>
      </c>
    </row>
    <row r="141" spans="1:40" x14ac:dyDescent="0.25">
      <c r="A141" t="str">
        <f>"20190303162745614"</f>
        <v>20190303162745614</v>
      </c>
      <c r="B141" t="str">
        <f>"1551601665601747"</f>
        <v>1551601665601747</v>
      </c>
      <c r="C141" t="s">
        <v>40</v>
      </c>
      <c r="D141">
        <v>5.5172910000000002</v>
      </c>
      <c r="E141">
        <v>0.50588520000000003</v>
      </c>
      <c r="F141" t="s">
        <v>42</v>
      </c>
      <c r="G141">
        <v>-411.44690000000003</v>
      </c>
      <c r="H141">
        <v>-0.05</v>
      </c>
      <c r="I141">
        <v>367.74900000000002</v>
      </c>
      <c r="J141">
        <v>-451.4622</v>
      </c>
      <c r="K141">
        <v>1.1216170000000001</v>
      </c>
      <c r="L141">
        <v>367.59160000000003</v>
      </c>
      <c r="M141">
        <v>0.99988960000000005</v>
      </c>
      <c r="N141">
        <v>-1.4182739999999999E-2</v>
      </c>
      <c r="O141">
        <v>4.4088829999999997E-3</v>
      </c>
      <c r="P141">
        <v>0.99160990000000004</v>
      </c>
      <c r="Q141">
        <v>0.12824469999999999</v>
      </c>
      <c r="R141">
        <v>1.6213749999999999E-2</v>
      </c>
      <c r="S141">
        <v>3.0371700000000001</v>
      </c>
      <c r="T141">
        <v>-8.8539960000000001E-2</v>
      </c>
      <c r="U141">
        <v>1.196289E-2</v>
      </c>
      <c r="V141">
        <v>-1.1875159999999999E-2</v>
      </c>
      <c r="W141">
        <v>0.14229410000000001</v>
      </c>
      <c r="X141">
        <v>0.9897532</v>
      </c>
      <c r="Y141">
        <v>4.6974339999999998E-4</v>
      </c>
      <c r="Z141" s="1">
        <v>-7.6151379999999996E-5</v>
      </c>
      <c r="AA141">
        <v>0.99999990000000005</v>
      </c>
      <c r="AB141">
        <v>19</v>
      </c>
      <c r="AC141">
        <v>40.015299999999897</v>
      </c>
      <c r="AD141">
        <v>-1.1716169999999999</v>
      </c>
      <c r="AE141">
        <v>0.15739999999999499</v>
      </c>
      <c r="AF141">
        <v>1.9025760003555901E-2</v>
      </c>
      <c r="AG141">
        <v>-1.1716169999999999</v>
      </c>
      <c r="AH141">
        <v>39.981330646901199</v>
      </c>
      <c r="AI141">
        <v>91.678520833738204</v>
      </c>
      <c r="AJ141">
        <v>89.972734882748696</v>
      </c>
      <c r="AK141">
        <v>39.998498080191297</v>
      </c>
      <c r="AL141">
        <v>81.819382362739404</v>
      </c>
      <c r="AM141">
        <v>90.687407631677601</v>
      </c>
      <c r="AN141">
        <v>1.00000001361503</v>
      </c>
    </row>
    <row r="142" spans="1:40" x14ac:dyDescent="0.25">
      <c r="A142" t="str">
        <f>"20190303162745638"</f>
        <v>20190303162745638</v>
      </c>
      <c r="B142" t="str">
        <f>"1551601665632004"</f>
        <v>1551601665632004</v>
      </c>
      <c r="C142" t="s">
        <v>40</v>
      </c>
      <c r="D142">
        <v>5.5184189999999997</v>
      </c>
      <c r="E142">
        <v>0.50615969999999999</v>
      </c>
      <c r="F142" t="s">
        <v>42</v>
      </c>
      <c r="G142">
        <v>-413.77100000000002</v>
      </c>
      <c r="H142">
        <v>-0.05</v>
      </c>
      <c r="I142">
        <v>367.67419999999998</v>
      </c>
      <c r="J142">
        <v>-451.2638</v>
      </c>
      <c r="K142">
        <v>1.1215809999999999</v>
      </c>
      <c r="L142">
        <v>367.59280000000001</v>
      </c>
      <c r="M142">
        <v>0.99988999999999995</v>
      </c>
      <c r="N142">
        <v>-1.41072E-2</v>
      </c>
      <c r="O142">
        <v>4.6037630000000003E-3</v>
      </c>
      <c r="P142">
        <v>0.9918072</v>
      </c>
      <c r="Q142">
        <v>0.12693360000000001</v>
      </c>
      <c r="R142">
        <v>1.437334E-2</v>
      </c>
      <c r="S142">
        <v>3.0374759999999998</v>
      </c>
      <c r="T142">
        <v>-9.4419000000000003E-2</v>
      </c>
      <c r="U142">
        <v>6.6528319999999896E-3</v>
      </c>
      <c r="V142">
        <v>-9.8373269999999999E-3</v>
      </c>
      <c r="W142">
        <v>0.1409115</v>
      </c>
      <c r="X142">
        <v>0.98997329999999994</v>
      </c>
      <c r="Y142">
        <v>2.4116300000000001E-3</v>
      </c>
      <c r="Z142">
        <v>-1.32621E-4</v>
      </c>
      <c r="AA142">
        <v>0.99999709999999997</v>
      </c>
      <c r="AB142">
        <v>19</v>
      </c>
      <c r="AC142">
        <v>37.492800000000003</v>
      </c>
      <c r="AD142">
        <v>-1.171581</v>
      </c>
      <c r="AE142">
        <v>8.1399999999973702E-2</v>
      </c>
      <c r="AF142">
        <v>9.1136997341072196E-2</v>
      </c>
      <c r="AG142">
        <v>-1.171581</v>
      </c>
      <c r="AH142">
        <v>37.456203536165503</v>
      </c>
      <c r="AI142">
        <v>91.791547551317606</v>
      </c>
      <c r="AJ142">
        <v>89.860590382702</v>
      </c>
      <c r="AK142">
        <v>37.474632637752499</v>
      </c>
      <c r="AL142">
        <v>81.899405585507196</v>
      </c>
      <c r="AM142">
        <v>90.569327241555499</v>
      </c>
      <c r="AN142">
        <v>0.999999979273822</v>
      </c>
    </row>
    <row r="143" spans="1:40" x14ac:dyDescent="0.25">
      <c r="A143" t="str">
        <f>"20190303162745662"</f>
        <v>20190303162745662</v>
      </c>
      <c r="B143" t="str">
        <f>"1551601665652499"</f>
        <v>1551601665652499</v>
      </c>
      <c r="C143" t="s">
        <v>40</v>
      </c>
      <c r="D143">
        <v>5.3707750000000001</v>
      </c>
      <c r="E143">
        <v>0.50626800000000005</v>
      </c>
      <c r="F143" t="s">
        <v>42</v>
      </c>
      <c r="G143">
        <v>-416.46469999999999</v>
      </c>
      <c r="H143">
        <v>-0.05</v>
      </c>
      <c r="I143">
        <v>367.5872</v>
      </c>
      <c r="J143">
        <v>-451.0643</v>
      </c>
      <c r="K143">
        <v>1.1215170000000001</v>
      </c>
      <c r="L143">
        <v>367.59390000000002</v>
      </c>
      <c r="M143">
        <v>0.99989189999999994</v>
      </c>
      <c r="N143">
        <v>-1.3906099999999999E-2</v>
      </c>
      <c r="O143">
        <v>4.7860619999999998E-3</v>
      </c>
      <c r="P143">
        <v>0.99200169999999999</v>
      </c>
      <c r="Q143">
        <v>0.12551769999999901</v>
      </c>
      <c r="R143">
        <v>1.334106E-2</v>
      </c>
      <c r="S143">
        <v>3.037903</v>
      </c>
      <c r="T143">
        <v>-0.10227700000000001</v>
      </c>
      <c r="U143">
        <v>-4.8828130000000002E-4</v>
      </c>
      <c r="V143">
        <v>-8.6223459999999995E-3</v>
      </c>
      <c r="W143">
        <v>0.13929920000000001</v>
      </c>
      <c r="X143">
        <v>0.9902128</v>
      </c>
      <c r="Y143">
        <v>4.9423610000000001E-3</v>
      </c>
      <c r="Z143">
        <v>-2.1209199999999999E-4</v>
      </c>
      <c r="AA143">
        <v>0.99998779999999998</v>
      </c>
      <c r="AB143">
        <v>19</v>
      </c>
      <c r="AC143">
        <v>34.599600000000002</v>
      </c>
      <c r="AD143">
        <v>-1.1715169999999999</v>
      </c>
      <c r="AE143">
        <v>-6.7000000000234598E-3</v>
      </c>
      <c r="AF143">
        <v>0.17211443913131799</v>
      </c>
      <c r="AG143">
        <v>-1.1715169999999999</v>
      </c>
      <c r="AH143">
        <v>34.559550787648298</v>
      </c>
      <c r="AI143">
        <v>91.941473599614099</v>
      </c>
      <c r="AJ143">
        <v>89.714656319251503</v>
      </c>
      <c r="AK143">
        <v>34.579829758191302</v>
      </c>
      <c r="AL143">
        <v>81.992703993313597</v>
      </c>
      <c r="AM143">
        <v>90.498894328518702</v>
      </c>
      <c r="AN143">
        <v>1.00000000062751</v>
      </c>
    </row>
    <row r="144" spans="1:40" x14ac:dyDescent="0.25">
      <c r="A144" t="str">
        <f>"20190303162745684"</f>
        <v>20190303162745684</v>
      </c>
      <c r="B144" t="str">
        <f>"1551601665672019"</f>
        <v>1551601665672019</v>
      </c>
      <c r="C144" t="s">
        <v>40</v>
      </c>
      <c r="D144">
        <v>5.5214990000000004</v>
      </c>
      <c r="E144">
        <v>0.50632440000000001</v>
      </c>
      <c r="F144" t="s">
        <v>42</v>
      </c>
      <c r="G144">
        <v>-418.29680000000002</v>
      </c>
      <c r="H144">
        <v>-0.05</v>
      </c>
      <c r="I144">
        <v>367.5419</v>
      </c>
      <c r="J144">
        <v>-450.87349999999998</v>
      </c>
      <c r="K144">
        <v>1.1214309999999901</v>
      </c>
      <c r="L144">
        <v>367.5951</v>
      </c>
      <c r="M144">
        <v>0.99989589999999995</v>
      </c>
      <c r="N144">
        <v>-1.355956E-2</v>
      </c>
      <c r="O144">
        <v>4.9576869999999997E-3</v>
      </c>
      <c r="P144">
        <v>0.99208770000000002</v>
      </c>
      <c r="Q144">
        <v>0.1248857</v>
      </c>
      <c r="R144">
        <v>1.2878809999999999E-2</v>
      </c>
      <c r="S144">
        <v>3.0379939999999999</v>
      </c>
      <c r="T144">
        <v>-0.1086159</v>
      </c>
      <c r="U144">
        <v>-4.8217770000000002E-3</v>
      </c>
      <c r="V144">
        <v>-7.9879040000000005E-3</v>
      </c>
      <c r="W144">
        <v>0.13832549999999999</v>
      </c>
      <c r="X144">
        <v>0.99035459999999997</v>
      </c>
      <c r="Y144">
        <v>6.5382900000000004E-3</v>
      </c>
      <c r="Z144">
        <v>-2.7117109999999999E-4</v>
      </c>
      <c r="AA144">
        <v>0.99997860000000005</v>
      </c>
      <c r="AB144">
        <v>19</v>
      </c>
      <c r="AC144">
        <v>32.576699999999903</v>
      </c>
      <c r="AD144">
        <v>-1.1714310000000001</v>
      </c>
      <c r="AE144">
        <v>-5.3200000000003897E-2</v>
      </c>
      <c r="AF144">
        <v>0.214441971272578</v>
      </c>
      <c r="AG144">
        <v>-1.1714310000000001</v>
      </c>
      <c r="AH144">
        <v>32.533967489878499</v>
      </c>
      <c r="AI144">
        <v>92.062079071385895</v>
      </c>
      <c r="AJ144">
        <v>89.6223503333933</v>
      </c>
      <c r="AK144">
        <v>32.555756427692998</v>
      </c>
      <c r="AL144">
        <v>82.049038217404899</v>
      </c>
      <c r="AM144">
        <v>90.462120600054703</v>
      </c>
      <c r="AN144">
        <v>0.99999999215086099</v>
      </c>
    </row>
    <row r="145" spans="1:40" x14ac:dyDescent="0.25">
      <c r="A145" t="str">
        <f>"20190303162745705"</f>
        <v>20190303162745705</v>
      </c>
      <c r="B145" t="str">
        <f>"1551601665691540"</f>
        <v>1551601665691540</v>
      </c>
      <c r="C145" t="s">
        <v>40</v>
      </c>
      <c r="D145">
        <v>5.4039720000000004</v>
      </c>
      <c r="E145">
        <v>0.50634129999999999</v>
      </c>
      <c r="F145" t="s">
        <v>42</v>
      </c>
      <c r="G145">
        <v>-419.12490000000003</v>
      </c>
      <c r="H145">
        <v>-0.05</v>
      </c>
      <c r="I145">
        <v>367.5172</v>
      </c>
      <c r="J145">
        <v>-450.7011</v>
      </c>
      <c r="K145">
        <v>1.12134</v>
      </c>
      <c r="L145">
        <v>367.59620000000001</v>
      </c>
      <c r="M145">
        <v>0.99990060000000003</v>
      </c>
      <c r="N145">
        <v>-1.3142900000000001E-2</v>
      </c>
      <c r="O145">
        <v>5.1168799999999999E-3</v>
      </c>
      <c r="P145">
        <v>0.99205750000000004</v>
      </c>
      <c r="Q145">
        <v>0.1251099</v>
      </c>
      <c r="R145">
        <v>1.3022209999999999E-2</v>
      </c>
      <c r="S145">
        <v>3.0381469999999999</v>
      </c>
      <c r="T145">
        <v>-0.1120988</v>
      </c>
      <c r="U145">
        <v>-7.446289E-3</v>
      </c>
      <c r="V145">
        <v>-7.9725339999999999E-3</v>
      </c>
      <c r="W145">
        <v>0.1381366</v>
      </c>
      <c r="X145">
        <v>0.99038110000000001</v>
      </c>
      <c r="Y145">
        <v>7.5597779999999996E-3</v>
      </c>
      <c r="Z145">
        <v>-3.1061750000000002E-4</v>
      </c>
      <c r="AA145">
        <v>0.99997139999999995</v>
      </c>
      <c r="AB145">
        <v>19</v>
      </c>
      <c r="AC145">
        <v>31.576199999999901</v>
      </c>
      <c r="AD145">
        <v>-1.17134</v>
      </c>
      <c r="AE145">
        <v>-7.9000000000007703E-2</v>
      </c>
      <c r="AF145">
        <v>0.24025392942965901</v>
      </c>
      <c r="AG145">
        <v>-1.17134</v>
      </c>
      <c r="AH145">
        <v>31.531991761082899</v>
      </c>
      <c r="AI145">
        <v>92.127364750811594</v>
      </c>
      <c r="AJ145">
        <v>89.563450672696206</v>
      </c>
      <c r="AK145">
        <v>31.5546551837792</v>
      </c>
      <c r="AL145">
        <v>82.059966381640805</v>
      </c>
      <c r="AM145">
        <v>90.461219104031997</v>
      </c>
      <c r="AN145">
        <v>1.0000000023975699</v>
      </c>
    </row>
    <row r="146" spans="1:40" x14ac:dyDescent="0.25">
      <c r="A146" t="str">
        <f>"20190303162745727"</f>
        <v>20190303162745727</v>
      </c>
      <c r="B146" t="str">
        <f>"1551601665721796"</f>
        <v>1551601665721796</v>
      </c>
      <c r="C146" t="s">
        <v>40</v>
      </c>
      <c r="D146">
        <v>5.4132699999999998</v>
      </c>
      <c r="E146">
        <v>0.50630379999999997</v>
      </c>
      <c r="F146" t="s">
        <v>42</v>
      </c>
      <c r="G146">
        <v>-418.98160000000001</v>
      </c>
      <c r="H146">
        <v>-0.05</v>
      </c>
      <c r="I146">
        <v>367.52289999999999</v>
      </c>
      <c r="J146">
        <v>-450.50920000000002</v>
      </c>
      <c r="K146">
        <v>1.121248</v>
      </c>
      <c r="L146">
        <v>367.59730000000002</v>
      </c>
      <c r="M146">
        <v>0.99990619999999997</v>
      </c>
      <c r="N146">
        <v>-1.2636329999999999E-2</v>
      </c>
      <c r="O146">
        <v>5.2959410000000002E-3</v>
      </c>
      <c r="P146">
        <v>0.99199740000000003</v>
      </c>
      <c r="Q146">
        <v>0.1255307</v>
      </c>
      <c r="R146">
        <v>1.354405E-2</v>
      </c>
      <c r="S146">
        <v>3.0382389999999999</v>
      </c>
      <c r="T146">
        <v>-0.1121962</v>
      </c>
      <c r="U146">
        <v>-7.019043E-3</v>
      </c>
      <c r="V146">
        <v>-8.3154809999999996E-3</v>
      </c>
      <c r="W146">
        <v>0.13805529999999999</v>
      </c>
      <c r="X146">
        <v>0.99038959999999998</v>
      </c>
      <c r="Y146">
        <v>7.5980300000000004E-3</v>
      </c>
      <c r="Z146">
        <v>-3.1686419999999999E-4</v>
      </c>
      <c r="AA146">
        <v>0.9999711</v>
      </c>
      <c r="AB146">
        <v>19</v>
      </c>
      <c r="AC146">
        <v>31.5276</v>
      </c>
      <c r="AD146">
        <v>-1.1712480000000001</v>
      </c>
      <c r="AE146">
        <v>-7.4400000000025501E-2</v>
      </c>
      <c r="AF146">
        <v>0.241047914488809</v>
      </c>
      <c r="AG146">
        <v>-1.1712480000000001</v>
      </c>
      <c r="AH146">
        <v>31.4833133362208</v>
      </c>
      <c r="AI146">
        <v>92.130483186404504</v>
      </c>
      <c r="AJ146">
        <v>89.561330849929803</v>
      </c>
      <c r="AK146">
        <v>31.5060144194921</v>
      </c>
      <c r="AL146">
        <v>82.0646694631495</v>
      </c>
      <c r="AM146">
        <v>90.481053891005999</v>
      </c>
      <c r="AN146">
        <v>0.99999998643525501</v>
      </c>
    </row>
    <row r="147" spans="1:40" x14ac:dyDescent="0.25">
      <c r="A147" t="str">
        <f>"20190303162745752"</f>
        <v>20190303162745752</v>
      </c>
      <c r="B147" t="str">
        <f>"1551601665741316"</f>
        <v>1551601665741316</v>
      </c>
      <c r="C147" t="s">
        <v>40</v>
      </c>
      <c r="D147">
        <v>5.4045339999999999</v>
      </c>
      <c r="E147">
        <v>0.50642019999999999</v>
      </c>
      <c r="F147" t="s">
        <v>42</v>
      </c>
      <c r="G147">
        <v>-418.5247</v>
      </c>
      <c r="H147">
        <v>-0.05</v>
      </c>
      <c r="I147">
        <v>367.54939999999999</v>
      </c>
      <c r="J147">
        <v>-450.29660000000001</v>
      </c>
      <c r="K147">
        <v>1.1211519999999999</v>
      </c>
      <c r="L147">
        <v>367.59870000000001</v>
      </c>
      <c r="M147">
        <v>0.99991200000000002</v>
      </c>
      <c r="N147">
        <v>-1.2083740000000001E-2</v>
      </c>
      <c r="O147">
        <v>5.4956850000000002E-3</v>
      </c>
      <c r="P147">
        <v>0.99188929999999997</v>
      </c>
      <c r="Q147">
        <v>0.12616089999999999</v>
      </c>
      <c r="R147">
        <v>1.5461259999999999E-2</v>
      </c>
      <c r="S147">
        <v>3.0383300000000002</v>
      </c>
      <c r="T147">
        <v>-0.1112612</v>
      </c>
      <c r="U147">
        <v>-4.5471189999999996E-3</v>
      </c>
      <c r="V147">
        <v>-1.0034360000000001E-2</v>
      </c>
      <c r="W147">
        <v>0.1381365</v>
      </c>
      <c r="X147">
        <v>0.99036230000000003</v>
      </c>
      <c r="Y147">
        <v>6.9847599999999996E-3</v>
      </c>
      <c r="Z147">
        <v>-3.0485009999999999E-4</v>
      </c>
      <c r="AA147">
        <v>0.99997559999999996</v>
      </c>
      <c r="AB147">
        <v>19</v>
      </c>
      <c r="AC147">
        <v>31.771899999999999</v>
      </c>
      <c r="AD147">
        <v>-1.171152</v>
      </c>
      <c r="AE147">
        <v>-4.9300000000016497E-2</v>
      </c>
      <c r="AF147">
        <v>0.22361650047960199</v>
      </c>
      <c r="AG147">
        <v>-1.171152</v>
      </c>
      <c r="AH147">
        <v>31.728038744953299</v>
      </c>
      <c r="AI147">
        <v>92.113901592568695</v>
      </c>
      <c r="AJ147">
        <v>89.596190937789203</v>
      </c>
      <c r="AK147">
        <v>31.750433759992099</v>
      </c>
      <c r="AL147">
        <v>82.059971613200901</v>
      </c>
      <c r="AM147">
        <v>90.580501505156406</v>
      </c>
      <c r="AN147">
        <v>0.99999993313707203</v>
      </c>
    </row>
    <row r="148" spans="1:40" x14ac:dyDescent="0.25">
      <c r="A148" t="str">
        <f>"20190303162745774"</f>
        <v>20190303162745774</v>
      </c>
      <c r="B148" t="str">
        <f>"1551601665761814"</f>
        <v>1551601665761814</v>
      </c>
      <c r="C148" t="s">
        <v>40</v>
      </c>
      <c r="D148">
        <v>5.2554550000000004</v>
      </c>
      <c r="E148">
        <v>0.52650859999999899</v>
      </c>
      <c r="F148" t="s">
        <v>42</v>
      </c>
      <c r="G148">
        <v>-418.25940000000003</v>
      </c>
      <c r="H148">
        <v>-0.05</v>
      </c>
      <c r="I148">
        <v>367.60509999999999</v>
      </c>
      <c r="J148">
        <v>-450.11040000000003</v>
      </c>
      <c r="K148">
        <v>1.121092</v>
      </c>
      <c r="L148">
        <v>367.59989999999999</v>
      </c>
      <c r="M148">
        <v>0.99991640000000004</v>
      </c>
      <c r="N148">
        <v>-1.1631239999999999E-2</v>
      </c>
      <c r="O148">
        <v>5.6692849999999996E-3</v>
      </c>
      <c r="P148">
        <v>0.99177219999999999</v>
      </c>
      <c r="Q148">
        <v>0.1267855</v>
      </c>
      <c r="R148">
        <v>1.770714E-2</v>
      </c>
      <c r="S148">
        <v>3.0386350000000002</v>
      </c>
      <c r="T148">
        <v>-0.111080399999999</v>
      </c>
      <c r="U148">
        <v>6.1035159999999996E-4</v>
      </c>
      <c r="V148">
        <v>-1.2108600000000001E-2</v>
      </c>
      <c r="W148">
        <v>0.138311299999999</v>
      </c>
      <c r="X148">
        <v>0.99031480000000005</v>
      </c>
      <c r="Y148">
        <v>5.4622380000000003E-3</v>
      </c>
      <c r="Z148">
        <v>-2.7283500000000003E-4</v>
      </c>
      <c r="AA148">
        <v>0.99998500000000001</v>
      </c>
      <c r="AB148">
        <v>19</v>
      </c>
      <c r="AC148">
        <v>31.850999999999999</v>
      </c>
      <c r="AD148">
        <v>-1.171092</v>
      </c>
      <c r="AE148">
        <v>5.2000000000020901E-3</v>
      </c>
      <c r="AF148">
        <v>0.175147896998395</v>
      </c>
      <c r="AG148">
        <v>-1.171092</v>
      </c>
      <c r="AH148">
        <v>31.807517828418099</v>
      </c>
      <c r="AI148">
        <v>92.108536703667099</v>
      </c>
      <c r="AJ148">
        <v>89.684504338978201</v>
      </c>
      <c r="AK148">
        <v>31.8295511068475</v>
      </c>
      <c r="AL148">
        <v>82.049859924694999</v>
      </c>
      <c r="AM148">
        <v>90.700521799681397</v>
      </c>
      <c r="AN148">
        <v>1.0000000185003399</v>
      </c>
    </row>
    <row r="149" spans="1:40" x14ac:dyDescent="0.25">
      <c r="A149" t="str">
        <f>"20190303162745793"</f>
        <v>20190303162745793</v>
      </c>
      <c r="B149" t="str">
        <f>"1551601665781332"</f>
        <v>1551601665781332</v>
      </c>
      <c r="C149" t="s">
        <v>40</v>
      </c>
      <c r="D149">
        <v>5.2390790000000003</v>
      </c>
      <c r="E149">
        <v>0.530057</v>
      </c>
      <c r="F149" t="s">
        <v>44</v>
      </c>
      <c r="G149">
        <v>-449.3252</v>
      </c>
      <c r="H149">
        <v>0.98650559999999998</v>
      </c>
      <c r="I149">
        <v>367.56200000000001</v>
      </c>
      <c r="J149">
        <v>-449.9427</v>
      </c>
      <c r="K149">
        <v>1.121054</v>
      </c>
      <c r="L149">
        <v>367.601</v>
      </c>
      <c r="M149">
        <v>0.99991969999999997</v>
      </c>
      <c r="N149">
        <v>-1.125986E-2</v>
      </c>
      <c r="O149">
        <v>5.8252440000000003E-3</v>
      </c>
      <c r="P149">
        <v>0.99163299999999999</v>
      </c>
      <c r="Q149">
        <v>0.12759760000000001</v>
      </c>
      <c r="R149">
        <v>1.956751E-2</v>
      </c>
      <c r="S149">
        <v>3.095367</v>
      </c>
      <c r="T149">
        <v>-0.53076699999999999</v>
      </c>
      <c r="U149">
        <v>-0.14855960000000001</v>
      </c>
      <c r="V149">
        <v>-1.381573E-2</v>
      </c>
      <c r="W149">
        <v>0.13875379999999901</v>
      </c>
      <c r="X149">
        <v>0.99023059999999996</v>
      </c>
      <c r="Y149">
        <v>5.286184E-2</v>
      </c>
      <c r="Z149">
        <v>-5.7228519999999996E-3</v>
      </c>
      <c r="AA149">
        <v>0.99858550000000001</v>
      </c>
      <c r="AB149">
        <v>19</v>
      </c>
      <c r="AC149">
        <v>0.61750000000000604</v>
      </c>
      <c r="AD149">
        <v>-0.13454839999999901</v>
      </c>
      <c r="AE149">
        <v>-3.9000000000044097E-2</v>
      </c>
      <c r="AF149">
        <v>4.0673281517378597E-2</v>
      </c>
      <c r="AG149">
        <v>-0.13454839999999901</v>
      </c>
      <c r="AH149">
        <v>0.58939099071553103</v>
      </c>
      <c r="AI149">
        <v>102.829837683585</v>
      </c>
      <c r="AJ149">
        <v>86.052334324991406</v>
      </c>
      <c r="AK149">
        <v>0.60592023213339496</v>
      </c>
      <c r="AL149">
        <v>82.024260085788697</v>
      </c>
      <c r="AM149">
        <v>90.799340742359803</v>
      </c>
      <c r="AN149">
        <v>1.0000000662931099</v>
      </c>
    </row>
    <row r="150" spans="1:40" x14ac:dyDescent="0.25">
      <c r="A150" t="str">
        <f>"20190303162745817"</f>
        <v>20190303162745817</v>
      </c>
      <c r="B150" t="str">
        <f>"1551601665812563"</f>
        <v>1551601665812563</v>
      </c>
      <c r="C150" t="s">
        <v>40</v>
      </c>
      <c r="D150">
        <v>5.2293320000000003</v>
      </c>
      <c r="E150">
        <v>0.53053600000000001</v>
      </c>
      <c r="F150" t="s">
        <v>44</v>
      </c>
      <c r="G150">
        <v>-449.1841</v>
      </c>
      <c r="H150">
        <v>0.92151989999999995</v>
      </c>
      <c r="I150">
        <v>367.56029999999998</v>
      </c>
      <c r="J150">
        <v>-449.73289999999997</v>
      </c>
      <c r="K150">
        <v>1.1210150000000001</v>
      </c>
      <c r="L150">
        <v>367.60250000000002</v>
      </c>
      <c r="M150">
        <v>0.99992309999999995</v>
      </c>
      <c r="N150">
        <v>-1.0851319999999999E-2</v>
      </c>
      <c r="O150">
        <v>6.0197890000000002E-3</v>
      </c>
      <c r="P150">
        <v>0.99157949999999995</v>
      </c>
      <c r="Q150">
        <v>0.12799829999999901</v>
      </c>
      <c r="R150">
        <v>1.9665080000000001E-2</v>
      </c>
      <c r="S150">
        <v>3.134735</v>
      </c>
      <c r="T150">
        <v>-0.82458949999999998</v>
      </c>
      <c r="U150">
        <v>-0.16793820000000001</v>
      </c>
      <c r="V150">
        <v>-1.3721300000000001E-2</v>
      </c>
      <c r="W150">
        <v>0.13874900000000001</v>
      </c>
      <c r="X150">
        <v>0.99023249999999996</v>
      </c>
      <c r="Y150">
        <v>5.7292629999999997E-2</v>
      </c>
      <c r="Z150">
        <v>-9.2125809999999992E-3</v>
      </c>
      <c r="AA150">
        <v>0.99831490000000001</v>
      </c>
      <c r="AB150">
        <v>19</v>
      </c>
      <c r="AC150">
        <v>0.54879999999997098</v>
      </c>
      <c r="AD150">
        <v>-0.19949509999999901</v>
      </c>
      <c r="AE150">
        <v>-4.2200000000036597E-2</v>
      </c>
      <c r="AF150">
        <v>4.0219677545642298E-2</v>
      </c>
      <c r="AG150">
        <v>-0.19949509999999901</v>
      </c>
      <c r="AH150">
        <v>0.48484490605971298</v>
      </c>
      <c r="AI150">
        <v>112.296240883539</v>
      </c>
      <c r="AJ150">
        <v>85.257960522188498</v>
      </c>
      <c r="AK150">
        <v>0.52582363993827597</v>
      </c>
      <c r="AL150">
        <v>82.024537111552704</v>
      </c>
      <c r="AM150">
        <v>90.793876456744101</v>
      </c>
      <c r="AN150">
        <v>0.99999998156546899</v>
      </c>
    </row>
    <row r="151" spans="1:40" x14ac:dyDescent="0.25">
      <c r="A151" t="str">
        <f>"20190303162745838"</f>
        <v>20190303162745838</v>
      </c>
      <c r="B151" t="str">
        <f>"1551601665831615"</f>
        <v>1551601665831615</v>
      </c>
      <c r="C151" t="s">
        <v>40</v>
      </c>
      <c r="D151">
        <v>5.2039609999999996</v>
      </c>
      <c r="E151">
        <v>0.53138629999999998</v>
      </c>
      <c r="F151" t="s">
        <v>44</v>
      </c>
      <c r="G151">
        <v>-449.02330000000001</v>
      </c>
      <c r="H151">
        <v>0.89367700000000005</v>
      </c>
      <c r="I151">
        <v>367.5641</v>
      </c>
      <c r="J151">
        <v>-449.54969999999997</v>
      </c>
      <c r="K151">
        <v>1.121</v>
      </c>
      <c r="L151">
        <v>367.60379999999998</v>
      </c>
      <c r="M151">
        <v>0.99992530000000002</v>
      </c>
      <c r="N151">
        <v>-1.0544889999999999E-2</v>
      </c>
      <c r="O151">
        <v>6.1906499999999998E-3</v>
      </c>
      <c r="P151">
        <v>0.99157430000000002</v>
      </c>
      <c r="Q151">
        <v>0.12801679999999999</v>
      </c>
      <c r="R151">
        <v>1.9804769999999999E-2</v>
      </c>
      <c r="S151">
        <v>3.1595149999999999</v>
      </c>
      <c r="T151">
        <v>-1.012254</v>
      </c>
      <c r="U151">
        <v>-0.16897579999999901</v>
      </c>
      <c r="V151">
        <v>-1.369305E-2</v>
      </c>
      <c r="W151">
        <v>0.13846429999999901</v>
      </c>
      <c r="X151">
        <v>0.99027279999999995</v>
      </c>
      <c r="Y151">
        <v>5.638423E-2</v>
      </c>
      <c r="Z151">
        <v>-1.098084E-2</v>
      </c>
      <c r="AA151">
        <v>0.99834880000000004</v>
      </c>
      <c r="AB151">
        <v>19</v>
      </c>
      <c r="AC151">
        <v>0.52639999999996601</v>
      </c>
      <c r="AD151">
        <v>-0.227322999999999</v>
      </c>
      <c r="AE151">
        <v>-3.9699999999982E-2</v>
      </c>
      <c r="AF151">
        <v>3.6238323581522E-2</v>
      </c>
      <c r="AG151">
        <v>-0.227322999999999</v>
      </c>
      <c r="AH151">
        <v>0.44384054342637103</v>
      </c>
      <c r="AI151">
        <v>117.04313116720201</v>
      </c>
      <c r="AJ151">
        <v>85.332315468665797</v>
      </c>
      <c r="AK151">
        <v>0.49998339013812698</v>
      </c>
      <c r="AL151">
        <v>82.041008677131302</v>
      </c>
      <c r="AM151">
        <v>90.792209961573107</v>
      </c>
      <c r="AN151">
        <v>1.0000000402063101</v>
      </c>
    </row>
    <row r="152" spans="1:40" x14ac:dyDescent="0.25">
      <c r="A152" t="str">
        <f>"20190303162745861"</f>
        <v>20190303162745861</v>
      </c>
      <c r="B152" t="str">
        <f>"1551601665851135"</f>
        <v>1551601665851135</v>
      </c>
      <c r="C152" t="s">
        <v>40</v>
      </c>
      <c r="D152">
        <v>5.2091059999999896</v>
      </c>
      <c r="E152">
        <v>0.53183729999999996</v>
      </c>
      <c r="F152" t="s">
        <v>44</v>
      </c>
      <c r="G152">
        <v>-448.85090000000002</v>
      </c>
      <c r="H152">
        <v>0.891095999999999</v>
      </c>
      <c r="I152">
        <v>367.56549999999999</v>
      </c>
      <c r="J152">
        <v>-449.34660000000002</v>
      </c>
      <c r="K152">
        <v>1.1209910000000001</v>
      </c>
      <c r="L152">
        <v>367.6053</v>
      </c>
      <c r="M152">
        <v>0.99992709999999996</v>
      </c>
      <c r="N152">
        <v>-1.025415E-2</v>
      </c>
      <c r="O152">
        <v>6.3814060000000001E-3</v>
      </c>
      <c r="P152">
        <v>0.99148349999999996</v>
      </c>
      <c r="Q152">
        <v>0.12865550000000001</v>
      </c>
      <c r="R152">
        <v>2.0206930000000001E-2</v>
      </c>
      <c r="S152">
        <v>3.1633300000000002</v>
      </c>
      <c r="T152">
        <v>-1.040753</v>
      </c>
      <c r="U152">
        <v>-0.17407230000000001</v>
      </c>
      <c r="V152">
        <v>-1.390721E-2</v>
      </c>
      <c r="W152">
        <v>0.13881379999999999</v>
      </c>
      <c r="X152">
        <v>0.99022080000000001</v>
      </c>
      <c r="Y152">
        <v>5.7858689999999997E-2</v>
      </c>
      <c r="Z152">
        <v>-1.1552120000000001E-2</v>
      </c>
      <c r="AA152">
        <v>0.99825790000000003</v>
      </c>
      <c r="AB152">
        <v>19</v>
      </c>
      <c r="AC152">
        <v>0.49569999999999897</v>
      </c>
      <c r="AD152">
        <v>-0.22989499999999999</v>
      </c>
      <c r="AE152">
        <v>-3.9800000000013797E-2</v>
      </c>
      <c r="AF152">
        <v>3.5397681738381703E-2</v>
      </c>
      <c r="AG152">
        <v>-0.22989499999999999</v>
      </c>
      <c r="AH152">
        <v>0.40819864545627998</v>
      </c>
      <c r="AI152">
        <v>119.296270742083</v>
      </c>
      <c r="AJ152">
        <v>85.0438913197018</v>
      </c>
      <c r="AK152">
        <v>0.46982000920543399</v>
      </c>
      <c r="AL152">
        <v>82.020787869567997</v>
      </c>
      <c r="AM152">
        <v>90.804640796198896</v>
      </c>
      <c r="AN152">
        <v>0.99999995715653101</v>
      </c>
    </row>
    <row r="153" spans="1:40" x14ac:dyDescent="0.25">
      <c r="A153" t="str">
        <f>"20190303162745883"</f>
        <v>20190303162745883</v>
      </c>
      <c r="B153" t="str">
        <f>"1551601665871630"</f>
        <v>1551601665871630</v>
      </c>
      <c r="C153" t="s">
        <v>40</v>
      </c>
      <c r="D153">
        <v>5.1905609999999998</v>
      </c>
      <c r="E153">
        <v>0.53218989999999999</v>
      </c>
      <c r="F153" t="s">
        <v>44</v>
      </c>
      <c r="G153">
        <v>-448.67430000000002</v>
      </c>
      <c r="H153">
        <v>0.89705599999999996</v>
      </c>
      <c r="I153">
        <v>367.56760000000003</v>
      </c>
      <c r="J153">
        <v>-449.16390000000001</v>
      </c>
      <c r="K153">
        <v>1.1209929999999999</v>
      </c>
      <c r="L153">
        <v>367.60660000000001</v>
      </c>
      <c r="M153">
        <v>0.99992820000000004</v>
      </c>
      <c r="N153">
        <v>-1.003329E-2</v>
      </c>
      <c r="O153">
        <v>6.5535879999999999E-3</v>
      </c>
      <c r="P153">
        <v>0.99133709999999997</v>
      </c>
      <c r="Q153">
        <v>0.1297884</v>
      </c>
      <c r="R153">
        <v>2.015219E-2</v>
      </c>
      <c r="S153">
        <v>3.1661679999999999</v>
      </c>
      <c r="T153">
        <v>-1.054505</v>
      </c>
      <c r="U153">
        <v>-0.1755371</v>
      </c>
      <c r="V153">
        <v>-1.368304E-2</v>
      </c>
      <c r="W153">
        <v>0.1397265</v>
      </c>
      <c r="X153">
        <v>0.99009559999999996</v>
      </c>
      <c r="Y153">
        <v>5.8326450000000002E-2</v>
      </c>
      <c r="Z153">
        <v>-1.1811459999999999E-2</v>
      </c>
      <c r="AA153">
        <v>0.99822770000000005</v>
      </c>
      <c r="AB153">
        <v>19</v>
      </c>
      <c r="AC153">
        <v>0.48959999999999498</v>
      </c>
      <c r="AD153">
        <v>-0.223937</v>
      </c>
      <c r="AE153">
        <v>-3.8999999999987198E-2</v>
      </c>
      <c r="AF153">
        <v>3.4943708555470701E-2</v>
      </c>
      <c r="AG153">
        <v>-0.223937</v>
      </c>
      <c r="AH153">
        <v>0.40511648356635799</v>
      </c>
      <c r="AI153">
        <v>118.842761661842</v>
      </c>
      <c r="AJ153">
        <v>85.070100044220098</v>
      </c>
      <c r="AK153">
        <v>0.464207074476231</v>
      </c>
      <c r="AL153">
        <v>81.967979775264595</v>
      </c>
      <c r="AM153">
        <v>90.791772570026794</v>
      </c>
      <c r="AN153">
        <v>1.00000000876262</v>
      </c>
    </row>
    <row r="154" spans="1:40" x14ac:dyDescent="0.25">
      <c r="A154" t="str">
        <f>"20190303162745905"</f>
        <v>20190303162745905</v>
      </c>
      <c r="B154" t="str">
        <f>"1551601665901887"</f>
        <v>1551601665901887</v>
      </c>
      <c r="C154" t="s">
        <v>40</v>
      </c>
      <c r="D154">
        <v>5.1902920000000003</v>
      </c>
      <c r="E154">
        <v>0.53280070000000002</v>
      </c>
      <c r="F154" t="s">
        <v>44</v>
      </c>
      <c r="G154">
        <v>-448.49939999999998</v>
      </c>
      <c r="H154">
        <v>0.89794949999999996</v>
      </c>
      <c r="I154">
        <v>367.5686</v>
      </c>
      <c r="J154">
        <v>-448.97030000000001</v>
      </c>
      <c r="K154">
        <v>1.120997</v>
      </c>
      <c r="L154">
        <v>367.60809999999998</v>
      </c>
      <c r="M154">
        <v>0.99992899999999996</v>
      </c>
      <c r="N154">
        <v>-9.837663E-3</v>
      </c>
      <c r="O154">
        <v>6.7363469999999898E-3</v>
      </c>
      <c r="P154">
        <v>0.99128119999999997</v>
      </c>
      <c r="Q154">
        <v>0.1303271</v>
      </c>
      <c r="R154">
        <v>1.9408709999999999E-2</v>
      </c>
      <c r="S154">
        <v>3.1691590000000001</v>
      </c>
      <c r="T154">
        <v>-1.063747</v>
      </c>
      <c r="U154">
        <v>-0.17996219999999999</v>
      </c>
      <c r="V154">
        <v>-1.275896E-2</v>
      </c>
      <c r="W154">
        <v>0.14007120000000001</v>
      </c>
      <c r="X154">
        <v>0.99005929999999998</v>
      </c>
      <c r="Y154">
        <v>5.9706780000000001E-2</v>
      </c>
      <c r="Z154">
        <v>-1.218254E-2</v>
      </c>
      <c r="AA154">
        <v>0.99814159999999996</v>
      </c>
      <c r="AB154">
        <v>19</v>
      </c>
      <c r="AC154">
        <v>0.47090000000002802</v>
      </c>
      <c r="AD154">
        <v>-0.22304749999999901</v>
      </c>
      <c r="AE154">
        <v>-3.9499999999975402E-2</v>
      </c>
      <c r="AF154">
        <v>3.4896804924677803E-2</v>
      </c>
      <c r="AG154">
        <v>-0.22304749999999901</v>
      </c>
      <c r="AH154">
        <v>0.384877119274321</v>
      </c>
      <c r="AI154">
        <v>119.991889488528</v>
      </c>
      <c r="AJ154">
        <v>84.819158512678001</v>
      </c>
      <c r="AK154">
        <v>0.44620440516774501</v>
      </c>
      <c r="AL154">
        <v>81.948034302552898</v>
      </c>
      <c r="AM154">
        <v>90.738333647077894</v>
      </c>
      <c r="AN154">
        <v>1.0000000748230999</v>
      </c>
    </row>
    <row r="155" spans="1:40" x14ac:dyDescent="0.25">
      <c r="A155" t="str">
        <f>"20190303162745927"</f>
        <v>20190303162745927</v>
      </c>
      <c r="B155" t="str">
        <f>"1551601665921915"</f>
        <v>1551601665921915</v>
      </c>
      <c r="C155" t="s">
        <v>40</v>
      </c>
      <c r="D155">
        <v>5.2200470000000001</v>
      </c>
      <c r="E155">
        <v>0.53298819999999902</v>
      </c>
      <c r="F155" t="s">
        <v>44</v>
      </c>
      <c r="G155">
        <v>-448.16840000000002</v>
      </c>
      <c r="H155">
        <v>0.85069819999999996</v>
      </c>
      <c r="I155">
        <v>367.56020000000001</v>
      </c>
      <c r="J155">
        <v>-448.76909999999998</v>
      </c>
      <c r="K155">
        <v>1.121003</v>
      </c>
      <c r="L155">
        <v>367.6096</v>
      </c>
      <c r="M155">
        <v>0.99992930000000002</v>
      </c>
      <c r="N155">
        <v>-9.6700769999999991E-3</v>
      </c>
      <c r="O155">
        <v>6.9253169999999899E-3</v>
      </c>
      <c r="P155">
        <v>0.99124619999999997</v>
      </c>
      <c r="Q155">
        <v>0.1307287</v>
      </c>
      <c r="R155">
        <v>1.847855E-2</v>
      </c>
      <c r="S155">
        <v>3.170563</v>
      </c>
      <c r="T155">
        <v>-1.068676</v>
      </c>
      <c r="U155">
        <v>-0.18795780000000001</v>
      </c>
      <c r="V155">
        <v>-1.1642049999999999E-2</v>
      </c>
      <c r="W155">
        <v>0.14030670000000001</v>
      </c>
      <c r="X155">
        <v>0.99003960000000002</v>
      </c>
      <c r="Y155">
        <v>6.2199450000000003E-2</v>
      </c>
      <c r="Z155">
        <v>-1.2706240000000001E-2</v>
      </c>
      <c r="AA155">
        <v>0.99798290000000001</v>
      </c>
      <c r="AB155">
        <v>20</v>
      </c>
      <c r="AC155">
        <v>0.60069999999996004</v>
      </c>
      <c r="AD155">
        <v>-0.27030479999999901</v>
      </c>
      <c r="AE155">
        <v>-4.9399999999991402E-2</v>
      </c>
      <c r="AF155">
        <v>4.4590753796935299E-2</v>
      </c>
      <c r="AG155">
        <v>-0.27030479999999901</v>
      </c>
      <c r="AH155">
        <v>0.49981784516083</v>
      </c>
      <c r="AI155">
        <v>118.309890189736</v>
      </c>
      <c r="AJ155">
        <v>84.901910683932201</v>
      </c>
      <c r="AK155">
        <v>0.56997447185679695</v>
      </c>
      <c r="AL155">
        <v>81.934405625853103</v>
      </c>
      <c r="AM155">
        <v>90.6737201084823</v>
      </c>
      <c r="AN155">
        <v>0.99999995848062495</v>
      </c>
    </row>
    <row r="156" spans="1:40" x14ac:dyDescent="0.25">
      <c r="A156" t="str">
        <f>"20190303162745953"</f>
        <v>20190303162745953</v>
      </c>
      <c r="B156" t="str">
        <f>"1551601665941435"</f>
        <v>1551601665941435</v>
      </c>
      <c r="C156" t="s">
        <v>40</v>
      </c>
      <c r="D156">
        <v>5.2530989999999997</v>
      </c>
      <c r="E156">
        <v>0.53336019999999995</v>
      </c>
      <c r="F156" t="s">
        <v>44</v>
      </c>
      <c r="G156">
        <v>-447.98970000000003</v>
      </c>
      <c r="H156">
        <v>0.85773149999999998</v>
      </c>
      <c r="I156">
        <v>367.56200000000001</v>
      </c>
      <c r="J156">
        <v>-448.5532</v>
      </c>
      <c r="K156">
        <v>1.1210059999999999</v>
      </c>
      <c r="L156">
        <v>367.6114</v>
      </c>
      <c r="M156">
        <v>0.99992930000000002</v>
      </c>
      <c r="N156">
        <v>-9.5210989999999999E-3</v>
      </c>
      <c r="O156">
        <v>7.1227529999999999E-3</v>
      </c>
      <c r="P156">
        <v>0.99124259999999997</v>
      </c>
      <c r="Q156">
        <v>0.13097220000000001</v>
      </c>
      <c r="R156">
        <v>1.6876309999999999E-2</v>
      </c>
      <c r="S156">
        <v>3.1712950000000002</v>
      </c>
      <c r="T156">
        <v>-1.071142</v>
      </c>
      <c r="U156">
        <v>-0.1913147</v>
      </c>
      <c r="V156">
        <v>-9.8437100000000003E-3</v>
      </c>
      <c r="W156">
        <v>0.1404031</v>
      </c>
      <c r="X156">
        <v>0.99004550000000002</v>
      </c>
      <c r="Y156">
        <v>6.3345750000000006E-2</v>
      </c>
      <c r="Z156">
        <v>-1.298351E-2</v>
      </c>
      <c r="AA156">
        <v>0.99790719999999999</v>
      </c>
      <c r="AB156">
        <v>20</v>
      </c>
      <c r="AC156">
        <v>0.56349999999997602</v>
      </c>
      <c r="AD156">
        <v>-0.26327449999999902</v>
      </c>
      <c r="AE156">
        <v>-4.9400000000048197E-2</v>
      </c>
      <c r="AF156">
        <v>4.3902338792500502E-2</v>
      </c>
      <c r="AG156">
        <v>-0.26327449999999902</v>
      </c>
      <c r="AH156">
        <v>0.46286628873664298</v>
      </c>
      <c r="AI156">
        <v>119.520722137373</v>
      </c>
      <c r="AJ156">
        <v>84.581769978927696</v>
      </c>
      <c r="AK156">
        <v>0.53430897330153004</v>
      </c>
      <c r="AL156">
        <v>81.928827515421304</v>
      </c>
      <c r="AM156">
        <v>90.569655085187193</v>
      </c>
      <c r="AN156">
        <v>1.0000000105932101</v>
      </c>
    </row>
    <row r="157" spans="1:40" x14ac:dyDescent="0.25">
      <c r="A157" t="str">
        <f>"20190303162745975"</f>
        <v>20190303162745975</v>
      </c>
      <c r="B157" t="str">
        <f>"1551601665971690"</f>
        <v>1551601665971690</v>
      </c>
      <c r="C157" t="s">
        <v>40</v>
      </c>
      <c r="D157">
        <v>5.2370559999999999</v>
      </c>
      <c r="E157">
        <v>0.53416940000000002</v>
      </c>
      <c r="F157" t="s">
        <v>44</v>
      </c>
      <c r="G157">
        <v>-447.80829999999997</v>
      </c>
      <c r="H157">
        <v>0.87007959999999995</v>
      </c>
      <c r="I157">
        <v>367.565</v>
      </c>
      <c r="J157">
        <v>-448.35539999999997</v>
      </c>
      <c r="K157">
        <v>1.1209979999999999</v>
      </c>
      <c r="L157">
        <v>367.613</v>
      </c>
      <c r="M157">
        <v>0.99992930000000002</v>
      </c>
      <c r="N157">
        <v>-9.4085890000000002E-3</v>
      </c>
      <c r="O157">
        <v>7.2921869999999899E-3</v>
      </c>
      <c r="P157">
        <v>0.99115059999999999</v>
      </c>
      <c r="Q157">
        <v>0.1318492</v>
      </c>
      <c r="R157">
        <v>1.53933E-2</v>
      </c>
      <c r="S157">
        <v>3.1709589999999999</v>
      </c>
      <c r="T157">
        <v>-1.0681830000000001</v>
      </c>
      <c r="U157">
        <v>-0.1973877</v>
      </c>
      <c r="V157">
        <v>-8.1914239999999992E-3</v>
      </c>
      <c r="W157">
        <v>0.1411683</v>
      </c>
      <c r="X157">
        <v>0.98995169999999999</v>
      </c>
      <c r="Y157">
        <v>6.5325960000000002E-2</v>
      </c>
      <c r="Z157">
        <v>-1.3335639999999999E-2</v>
      </c>
      <c r="AA157">
        <v>0.99777479999999996</v>
      </c>
      <c r="AB157">
        <v>20</v>
      </c>
      <c r="AC157">
        <v>0.54710000000000003</v>
      </c>
      <c r="AD157">
        <v>-0.25091839999999899</v>
      </c>
      <c r="AE157">
        <v>-4.80000000000586E-2</v>
      </c>
      <c r="AF157">
        <v>4.3010526106685501E-2</v>
      </c>
      <c r="AG157">
        <v>-0.25091839999999899</v>
      </c>
      <c r="AH157">
        <v>0.452319224305546</v>
      </c>
      <c r="AI157">
        <v>118.909515440305</v>
      </c>
      <c r="AJ157">
        <v>84.568140936193899</v>
      </c>
      <c r="AK157">
        <v>0.51904010393311995</v>
      </c>
      <c r="AL157">
        <v>81.884543458314994</v>
      </c>
      <c r="AM157">
        <v>90.474087081531593</v>
      </c>
      <c r="AN157">
        <v>0.99999997834246301</v>
      </c>
    </row>
    <row r="158" spans="1:40" x14ac:dyDescent="0.25">
      <c r="A158" t="str">
        <f>"20190303162745995"</f>
        <v>20190303162745995</v>
      </c>
      <c r="B158" t="str">
        <f>"1551601665991211"</f>
        <v>1551601665991211</v>
      </c>
      <c r="C158" t="s">
        <v>40</v>
      </c>
      <c r="D158">
        <v>5.2305469999999996</v>
      </c>
      <c r="E158">
        <v>0.53462849999999995</v>
      </c>
      <c r="F158" t="s">
        <v>44</v>
      </c>
      <c r="G158">
        <v>-447.62819999999999</v>
      </c>
      <c r="H158">
        <v>0.87817109999999998</v>
      </c>
      <c r="I158">
        <v>367.565</v>
      </c>
      <c r="J158">
        <v>-448.18079999999998</v>
      </c>
      <c r="K158">
        <v>1.120986</v>
      </c>
      <c r="L158">
        <v>367.61439999999999</v>
      </c>
      <c r="M158">
        <v>0.99992899999999996</v>
      </c>
      <c r="N158">
        <v>-9.3281590000000008E-3</v>
      </c>
      <c r="O158">
        <v>7.425956E-3</v>
      </c>
      <c r="P158">
        <v>0.99107330000000005</v>
      </c>
      <c r="Q158">
        <v>0.13250319999999999</v>
      </c>
      <c r="R158">
        <v>1.47282E-2</v>
      </c>
      <c r="S158">
        <v>3.170868</v>
      </c>
      <c r="T158">
        <v>-1.0587230000000001</v>
      </c>
      <c r="U158">
        <v>-0.20809939999999999</v>
      </c>
      <c r="V158">
        <v>-7.3911640000000004E-3</v>
      </c>
      <c r="W158">
        <v>0.1417418</v>
      </c>
      <c r="X158">
        <v>0.98987610000000004</v>
      </c>
      <c r="Y158">
        <v>6.8694320000000003E-2</v>
      </c>
      <c r="Z158">
        <v>-1.3827839999999999E-2</v>
      </c>
      <c r="AA158">
        <v>0.99754189999999998</v>
      </c>
      <c r="AB158">
        <v>20</v>
      </c>
      <c r="AC158">
        <v>0.55259999999998399</v>
      </c>
      <c r="AD158">
        <v>-0.2428149</v>
      </c>
      <c r="AE158">
        <v>-4.9399999999991402E-2</v>
      </c>
      <c r="AF158">
        <v>4.4901682954084303E-2</v>
      </c>
      <c r="AG158">
        <v>-0.2428149</v>
      </c>
      <c r="AH158">
        <v>0.46344675324451101</v>
      </c>
      <c r="AI158">
        <v>117.54162601719599</v>
      </c>
      <c r="AJ158">
        <v>84.466091169329701</v>
      </c>
      <c r="AK158">
        <v>0.52512677506198202</v>
      </c>
      <c r="AL158">
        <v>81.851350988297895</v>
      </c>
      <c r="AM158">
        <v>90.427805695166398</v>
      </c>
      <c r="AN158">
        <v>1.0000000302618599</v>
      </c>
    </row>
    <row r="159" spans="1:40" x14ac:dyDescent="0.25">
      <c r="A159" t="str">
        <f>"20190303162746018"</f>
        <v>20190303162746018</v>
      </c>
      <c r="B159" t="str">
        <f>"1551601666011707"</f>
        <v>1551601666011707</v>
      </c>
      <c r="C159" t="s">
        <v>40</v>
      </c>
      <c r="D159">
        <v>5.2435989999999997</v>
      </c>
      <c r="E159">
        <v>0.53492609999999996</v>
      </c>
      <c r="F159" t="s">
        <v>44</v>
      </c>
      <c r="G159">
        <v>-447.45069999999998</v>
      </c>
      <c r="H159">
        <v>0.87836530000000002</v>
      </c>
      <c r="I159">
        <v>367.56479999999999</v>
      </c>
      <c r="J159">
        <v>-447.97640000000001</v>
      </c>
      <c r="K159">
        <v>1.1209559999999901</v>
      </c>
      <c r="L159">
        <v>367.61610000000002</v>
      </c>
      <c r="M159">
        <v>0.9999287</v>
      </c>
      <c r="N159">
        <v>-9.2531369999999998E-3</v>
      </c>
      <c r="O159">
        <v>7.5581219999999996E-3</v>
      </c>
      <c r="P159">
        <v>0.99111709999999997</v>
      </c>
      <c r="Q159">
        <v>0.13216649999999999</v>
      </c>
      <c r="R159">
        <v>1.4802869999999999E-2</v>
      </c>
      <c r="S159">
        <v>3.1711429999999998</v>
      </c>
      <c r="T159">
        <v>-1.053904</v>
      </c>
      <c r="U159">
        <v>-0.21463009999999999</v>
      </c>
      <c r="V159">
        <v>-7.3278769999999896E-3</v>
      </c>
      <c r="W159">
        <v>0.1413317</v>
      </c>
      <c r="X159">
        <v>0.98993520000000002</v>
      </c>
      <c r="Y159">
        <v>7.0782709999999999E-2</v>
      </c>
      <c r="Z159">
        <v>-1.4154170000000001E-2</v>
      </c>
      <c r="AA159">
        <v>0.99739129999999998</v>
      </c>
      <c r="AB159">
        <v>20</v>
      </c>
      <c r="AC159">
        <v>0.52570000000002803</v>
      </c>
      <c r="AD159">
        <v>-0.24259069999999899</v>
      </c>
      <c r="AE159">
        <v>-5.1300000000026102E-2</v>
      </c>
      <c r="AF159">
        <v>4.5643936511834703E-2</v>
      </c>
      <c r="AG159">
        <v>-0.24259069999999899</v>
      </c>
      <c r="AH159">
        <v>0.43379341577151798</v>
      </c>
      <c r="AI159">
        <v>119.081091782412</v>
      </c>
      <c r="AJ159">
        <v>83.993414467698599</v>
      </c>
      <c r="AK159">
        <v>0.49910955133468199</v>
      </c>
      <c r="AL159">
        <v>81.875086883020998</v>
      </c>
      <c r="AM159">
        <v>90.424117413374404</v>
      </c>
      <c r="AN159">
        <v>1.0000000237026201</v>
      </c>
    </row>
    <row r="160" spans="1:40" x14ac:dyDescent="0.25">
      <c r="A160" t="str">
        <f>"20190303162746040"</f>
        <v>20190303162746040</v>
      </c>
      <c r="B160" t="str">
        <f>"1551601666031733"</f>
        <v>1551601666031733</v>
      </c>
      <c r="C160" t="s">
        <v>40</v>
      </c>
      <c r="D160">
        <v>5.2176269999999896</v>
      </c>
      <c r="E160">
        <v>0.53527829999999998</v>
      </c>
      <c r="F160" t="s">
        <v>44</v>
      </c>
      <c r="G160">
        <v>-447.26979999999998</v>
      </c>
      <c r="H160">
        <v>0.88610630000000001</v>
      </c>
      <c r="I160">
        <v>367.56729999999999</v>
      </c>
      <c r="J160">
        <v>-447.76889999999997</v>
      </c>
      <c r="K160">
        <v>1.1209309999999999</v>
      </c>
      <c r="L160">
        <v>367.61779999999999</v>
      </c>
      <c r="M160">
        <v>0.9999285</v>
      </c>
      <c r="N160">
        <v>-9.1930629999999996E-3</v>
      </c>
      <c r="O160">
        <v>7.6625800000000004E-3</v>
      </c>
      <c r="P160">
        <v>0.99126800000000004</v>
      </c>
      <c r="Q160">
        <v>0.1310511</v>
      </c>
      <c r="R160">
        <v>1.461234E-2</v>
      </c>
      <c r="S160">
        <v>3.1706240000000001</v>
      </c>
      <c r="T160">
        <v>-1.053774</v>
      </c>
      <c r="U160">
        <v>-0.21704100000000001</v>
      </c>
      <c r="V160">
        <v>-7.0250669999999899E-3</v>
      </c>
      <c r="W160">
        <v>0.14015899999999901</v>
      </c>
      <c r="X160">
        <v>0.99010410000000004</v>
      </c>
      <c r="Y160">
        <v>7.1602730000000003E-2</v>
      </c>
      <c r="Z160">
        <v>-1.432191E-2</v>
      </c>
      <c r="AA160">
        <v>0.99733039999999995</v>
      </c>
      <c r="AB160">
        <v>20</v>
      </c>
      <c r="AC160">
        <v>0.49909999999999799</v>
      </c>
      <c r="AD160">
        <v>-0.234824699999999</v>
      </c>
      <c r="AE160">
        <v>-5.0499999999999497E-2</v>
      </c>
      <c r="AF160">
        <v>4.4559124582688799E-2</v>
      </c>
      <c r="AG160">
        <v>-0.234824699999999</v>
      </c>
      <c r="AH160">
        <v>0.40906307215007898</v>
      </c>
      <c r="AI160">
        <v>119.712505156736</v>
      </c>
      <c r="AJ160">
        <v>83.783298115761198</v>
      </c>
      <c r="AK160">
        <v>0.47377289106757298</v>
      </c>
      <c r="AL160">
        <v>81.942953110925998</v>
      </c>
      <c r="AM160">
        <v>90.406522845056202</v>
      </c>
      <c r="AN160">
        <v>1.0000000128420801</v>
      </c>
    </row>
    <row r="161" spans="1:40" x14ac:dyDescent="0.25">
      <c r="A161" t="str">
        <f>"20190303162746062"</f>
        <v>20190303162746062</v>
      </c>
      <c r="B161" t="str">
        <f>"1551601666051253"</f>
        <v>1551601666051253</v>
      </c>
      <c r="C161" t="s">
        <v>40</v>
      </c>
      <c r="D161">
        <v>5.2245660000000003</v>
      </c>
      <c r="E161">
        <v>0.53553969999999995</v>
      </c>
      <c r="F161" t="s">
        <v>44</v>
      </c>
      <c r="G161">
        <v>-447.0881</v>
      </c>
      <c r="H161">
        <v>0.89429040000000004</v>
      </c>
      <c r="I161">
        <v>367.57029999999997</v>
      </c>
      <c r="J161">
        <v>-447.57389999999998</v>
      </c>
      <c r="K161">
        <v>1.1209089999999999</v>
      </c>
      <c r="L161">
        <v>367.61939999999998</v>
      </c>
      <c r="M161">
        <v>0.99992820000000004</v>
      </c>
      <c r="N161">
        <v>-9.1472910000000001E-3</v>
      </c>
      <c r="O161">
        <v>7.7346339999999998E-3</v>
      </c>
      <c r="P161">
        <v>0.9912976</v>
      </c>
      <c r="Q161">
        <v>0.1307943</v>
      </c>
      <c r="R161">
        <v>1.4891639999999999E-2</v>
      </c>
      <c r="S161">
        <v>3.1691889999999998</v>
      </c>
      <c r="T161">
        <v>-1.055104</v>
      </c>
      <c r="U161">
        <v>-0.2199402</v>
      </c>
      <c r="V161">
        <v>-7.2260279999999998E-3</v>
      </c>
      <c r="W161">
        <v>0.13985729999999999</v>
      </c>
      <c r="X161">
        <v>0.99014530000000001</v>
      </c>
      <c r="Y161">
        <v>7.2544049999999999E-2</v>
      </c>
      <c r="Z161">
        <v>-1.452258E-2</v>
      </c>
      <c r="AA161">
        <v>0.99725949999999997</v>
      </c>
      <c r="AB161">
        <v>20</v>
      </c>
      <c r="AC161">
        <v>0.48579999999998302</v>
      </c>
      <c r="AD161">
        <v>-0.226618599999999</v>
      </c>
      <c r="AE161">
        <v>-4.91000000000099E-2</v>
      </c>
      <c r="AF161">
        <v>4.3488414016498798E-2</v>
      </c>
      <c r="AG161">
        <v>-0.226618599999999</v>
      </c>
      <c r="AH161">
        <v>0.39937668036958701</v>
      </c>
      <c r="AI161">
        <v>119.427183433585</v>
      </c>
      <c r="AJ161">
        <v>83.785506309989103</v>
      </c>
      <c r="AK161">
        <v>0.461247184102691</v>
      </c>
      <c r="AL161">
        <v>81.960411079192895</v>
      </c>
      <c r="AM161">
        <v>90.4181341435673</v>
      </c>
      <c r="AN161">
        <v>0.99999999747801804</v>
      </c>
    </row>
    <row r="162" spans="1:40" x14ac:dyDescent="0.25">
      <c r="A162" t="str">
        <f>"20190303162746084"</f>
        <v>20190303162746084</v>
      </c>
      <c r="B162" t="str">
        <f>"1551601666071749"</f>
        <v>1551601666071749</v>
      </c>
      <c r="C162" t="s">
        <v>40</v>
      </c>
      <c r="D162">
        <v>5.1930339999999999</v>
      </c>
      <c r="E162">
        <v>0.535740199999999</v>
      </c>
      <c r="F162" t="s">
        <v>44</v>
      </c>
      <c r="G162">
        <v>-446.90719999999999</v>
      </c>
      <c r="H162">
        <v>0.89909039999999996</v>
      </c>
      <c r="I162">
        <v>367.57229999999998</v>
      </c>
      <c r="J162">
        <v>-447.3843</v>
      </c>
      <c r="K162">
        <v>1.1208990000000001</v>
      </c>
      <c r="L162">
        <v>367.62090000000001</v>
      </c>
      <c r="M162">
        <v>0.99992820000000004</v>
      </c>
      <c r="N162">
        <v>-9.1106799999999995E-3</v>
      </c>
      <c r="O162">
        <v>7.7843549999999997E-3</v>
      </c>
      <c r="P162">
        <v>0.99121049999999999</v>
      </c>
      <c r="Q162">
        <v>0.13134299999999999</v>
      </c>
      <c r="R162">
        <v>1.5843929999999999E-2</v>
      </c>
      <c r="S162">
        <v>3.1687620000000001</v>
      </c>
      <c r="T162">
        <v>-1.054322</v>
      </c>
      <c r="U162">
        <v>-0.22140499999999999</v>
      </c>
      <c r="V162">
        <v>-8.1248540000000008E-3</v>
      </c>
      <c r="W162">
        <v>0.14036949999999901</v>
      </c>
      <c r="X162">
        <v>0.99006590000000005</v>
      </c>
      <c r="Y162">
        <v>7.3037589999999999E-2</v>
      </c>
      <c r="Z162">
        <v>-1.461091E-2</v>
      </c>
      <c r="AA162">
        <v>0.99722219999999995</v>
      </c>
      <c r="AB162">
        <v>20</v>
      </c>
      <c r="AC162">
        <v>0.47710000000000702</v>
      </c>
      <c r="AD162">
        <v>-0.221808599999999</v>
      </c>
      <c r="AE162">
        <v>-4.8600000000021702E-2</v>
      </c>
      <c r="AF162">
        <v>4.30938841119963E-2</v>
      </c>
      <c r="AG162">
        <v>-0.221808599999999</v>
      </c>
      <c r="AH162">
        <v>0.39270015728506302</v>
      </c>
      <c r="AI162">
        <v>119.31242038935</v>
      </c>
      <c r="AJ162">
        <v>83.737569387670405</v>
      </c>
      <c r="AK162">
        <v>0.45306682886030297</v>
      </c>
      <c r="AL162">
        <v>81.930772213666003</v>
      </c>
      <c r="AM162">
        <v>90.470180210929499</v>
      </c>
      <c r="AN162">
        <v>1.00000004806278</v>
      </c>
    </row>
    <row r="163" spans="1:40" x14ac:dyDescent="0.25">
      <c r="A163" t="str">
        <f>"20190303162746106"</f>
        <v>20190303162746106</v>
      </c>
      <c r="B163" t="str">
        <f>"1551601666102005"</f>
        <v>1551601666102005</v>
      </c>
      <c r="C163" t="s">
        <v>40</v>
      </c>
      <c r="D163">
        <v>5.1668710000000004</v>
      </c>
      <c r="E163">
        <v>0.5358562</v>
      </c>
      <c r="F163" t="s">
        <v>44</v>
      </c>
      <c r="G163">
        <v>-446.56810000000002</v>
      </c>
      <c r="H163">
        <v>0.84986109999999904</v>
      </c>
      <c r="I163">
        <v>367.56400000000002</v>
      </c>
      <c r="J163">
        <v>-447.18079999999998</v>
      </c>
      <c r="K163">
        <v>1.1208979999999999</v>
      </c>
      <c r="L163">
        <v>367.6225</v>
      </c>
      <c r="M163">
        <v>0.99992820000000004</v>
      </c>
      <c r="N163">
        <v>-9.0789519999999995E-3</v>
      </c>
      <c r="O163">
        <v>7.8205380000000001E-3</v>
      </c>
      <c r="P163">
        <v>0.99094979999999999</v>
      </c>
      <c r="Q163">
        <v>0.13318849999999999</v>
      </c>
      <c r="R163">
        <v>1.6720659999999998E-2</v>
      </c>
      <c r="S163">
        <v>3.1696170000000001</v>
      </c>
      <c r="T163">
        <v>-1.052419</v>
      </c>
      <c r="U163">
        <v>-0.22015380000000001</v>
      </c>
      <c r="V163">
        <v>-8.9652099999999995E-3</v>
      </c>
      <c r="W163">
        <v>0.14218129999999901</v>
      </c>
      <c r="X163">
        <v>0.98980000000000001</v>
      </c>
      <c r="Y163">
        <v>7.2697960000000006E-2</v>
      </c>
      <c r="Z163">
        <v>-1.4536810000000001E-2</v>
      </c>
      <c r="AA163">
        <v>0.99724809999999997</v>
      </c>
      <c r="AB163">
        <v>20</v>
      </c>
      <c r="AC163">
        <v>0.61269999999996105</v>
      </c>
      <c r="AD163">
        <v>-0.27103690000000003</v>
      </c>
      <c r="AE163">
        <v>-5.8499999999980901E-2</v>
      </c>
      <c r="AF163">
        <v>5.3010349389592898E-2</v>
      </c>
      <c r="AG163">
        <v>-0.27103690000000003</v>
      </c>
      <c r="AH163">
        <v>0.51278508066221395</v>
      </c>
      <c r="AI163">
        <v>117.733445287206</v>
      </c>
      <c r="AJ163">
        <v>84.097881117959702</v>
      </c>
      <c r="AK163">
        <v>0.58242564955002696</v>
      </c>
      <c r="AL163">
        <v>81.825911342513706</v>
      </c>
      <c r="AM163">
        <v>90.518947917762006</v>
      </c>
      <c r="AN163">
        <v>0.99999996853001605</v>
      </c>
    </row>
    <row r="164" spans="1:40" x14ac:dyDescent="0.25">
      <c r="A164" t="str">
        <f>"20190303162746129"</f>
        <v>20190303162746129</v>
      </c>
      <c r="B164" t="str">
        <f>"1551601666122014"</f>
        <v>1551601666122014</v>
      </c>
      <c r="C164" t="s">
        <v>40</v>
      </c>
      <c r="D164">
        <v>5.1948319999999999</v>
      </c>
      <c r="E164">
        <v>0.53583319999999901</v>
      </c>
      <c r="F164" t="s">
        <v>44</v>
      </c>
      <c r="G164">
        <v>-446.38470000000001</v>
      </c>
      <c r="H164">
        <v>0.85810019999999998</v>
      </c>
      <c r="I164">
        <v>367.56740000000002</v>
      </c>
      <c r="J164">
        <v>-446.97449999999998</v>
      </c>
      <c r="K164">
        <v>1.1208979999999999</v>
      </c>
      <c r="L164">
        <v>367.62419999999997</v>
      </c>
      <c r="M164">
        <v>0.99992820000000004</v>
      </c>
      <c r="N164">
        <v>-9.0531320000000002E-3</v>
      </c>
      <c r="O164">
        <v>7.8463349999999994E-3</v>
      </c>
      <c r="P164">
        <v>0.99062499999999998</v>
      </c>
      <c r="Q164">
        <v>0.13559299999999999</v>
      </c>
      <c r="R164">
        <v>1.663189E-2</v>
      </c>
      <c r="S164">
        <v>3.1718139999999999</v>
      </c>
      <c r="T164">
        <v>-1.047234</v>
      </c>
      <c r="U164">
        <v>-0.2192383</v>
      </c>
      <c r="V164">
        <v>-8.8531029999999993E-3</v>
      </c>
      <c r="W164">
        <v>0.14455689999999999</v>
      </c>
      <c r="X164">
        <v>0.98945689999999997</v>
      </c>
      <c r="Y164">
        <v>7.2449330000000006E-2</v>
      </c>
      <c r="Z164">
        <v>-1.4426939999999999E-2</v>
      </c>
      <c r="AA164">
        <v>0.99726769999999998</v>
      </c>
      <c r="AB164">
        <v>20</v>
      </c>
      <c r="AC164">
        <v>0.58979999999996802</v>
      </c>
      <c r="AD164">
        <v>-0.26279779999999903</v>
      </c>
      <c r="AE164">
        <v>-5.6799999999952798E-2</v>
      </c>
      <c r="AF164">
        <v>5.1329270497064497E-2</v>
      </c>
      <c r="AG164">
        <v>-0.26279779999999903</v>
      </c>
      <c r="AH164">
        <v>0.49246396602820802</v>
      </c>
      <c r="AI164">
        <v>117.95772538284901</v>
      </c>
      <c r="AJ164">
        <v>84.049575810373497</v>
      </c>
      <c r="AK164">
        <v>0.560551635026456</v>
      </c>
      <c r="AL164">
        <v>81.688379035156103</v>
      </c>
      <c r="AM164">
        <v>90.512636681825796</v>
      </c>
      <c r="AN164">
        <v>1.0000000158639699</v>
      </c>
    </row>
    <row r="165" spans="1:40" x14ac:dyDescent="0.25">
      <c r="A165" t="str">
        <f>"20190303162746154"</f>
        <v>20190303162746154</v>
      </c>
      <c r="B165" t="str">
        <f>"1551601666141534"</f>
        <v>1551601666141534</v>
      </c>
      <c r="C165" t="s">
        <v>40</v>
      </c>
      <c r="D165">
        <v>5.3643419999999997</v>
      </c>
      <c r="E165">
        <v>0.53578729999999997</v>
      </c>
      <c r="F165" t="s">
        <v>44</v>
      </c>
      <c r="G165">
        <v>-446.20060000000001</v>
      </c>
      <c r="H165">
        <v>0.86714959999999996</v>
      </c>
      <c r="I165">
        <v>367.57069999999999</v>
      </c>
      <c r="J165">
        <v>-446.75240000000002</v>
      </c>
      <c r="K165">
        <v>1.120897</v>
      </c>
      <c r="L165">
        <v>367.62599999999998</v>
      </c>
      <c r="M165">
        <v>0.99992840000000005</v>
      </c>
      <c r="N165">
        <v>-9.0308149999999993E-3</v>
      </c>
      <c r="O165">
        <v>7.8676259999999904E-3</v>
      </c>
      <c r="P165">
        <v>0.99051180000000005</v>
      </c>
      <c r="Q165">
        <v>0.13639289999999901</v>
      </c>
      <c r="R165">
        <v>1.6828329999999999E-2</v>
      </c>
      <c r="S165">
        <v>3.1745299999999999</v>
      </c>
      <c r="T165">
        <v>-1.0408759999999999</v>
      </c>
      <c r="U165">
        <v>-0.21823119999999999</v>
      </c>
      <c r="V165">
        <v>-9.0294659999999999E-3</v>
      </c>
      <c r="W165">
        <v>0.1453335</v>
      </c>
      <c r="X165">
        <v>0.98934149999999998</v>
      </c>
      <c r="Y165">
        <v>7.2168839999999998E-2</v>
      </c>
      <c r="Z165">
        <v>-1.4293729999999999E-2</v>
      </c>
      <c r="AA165">
        <v>0.99729000000000001</v>
      </c>
      <c r="AB165">
        <v>20</v>
      </c>
      <c r="AC165">
        <v>0.55180000000001395</v>
      </c>
      <c r="AD165">
        <v>-0.25374740000000001</v>
      </c>
      <c r="AE165">
        <v>-5.5299999999988303E-2</v>
      </c>
      <c r="AF165">
        <v>4.9315074151986001E-2</v>
      </c>
      <c r="AG165">
        <v>-0.25374740000000001</v>
      </c>
      <c r="AH165">
        <v>0.45589940405670698</v>
      </c>
      <c r="AI165">
        <v>118.958316551813</v>
      </c>
      <c r="AJ165">
        <v>83.826265636893496</v>
      </c>
      <c r="AK165">
        <v>0.52408394953922899</v>
      </c>
      <c r="AL165">
        <v>81.643407929144502</v>
      </c>
      <c r="AM165">
        <v>90.522909358519996</v>
      </c>
      <c r="AN165">
        <v>0.99999998055037198</v>
      </c>
    </row>
    <row r="166" spans="1:40" x14ac:dyDescent="0.25">
      <c r="A166" t="str">
        <f>"20190303162746176"</f>
        <v>20190303162746176</v>
      </c>
      <c r="B166" t="str">
        <f>"1551601666162029"</f>
        <v>1551601666162029</v>
      </c>
      <c r="C166" t="s">
        <v>40</v>
      </c>
      <c r="D166">
        <v>5.1714760000000002</v>
      </c>
      <c r="E166">
        <v>0.53574350000000004</v>
      </c>
      <c r="F166" t="s">
        <v>44</v>
      </c>
      <c r="G166">
        <v>-446.01479999999998</v>
      </c>
      <c r="H166">
        <v>0.87945580000000001</v>
      </c>
      <c r="I166">
        <v>367.57530000000003</v>
      </c>
      <c r="J166">
        <v>-446.55200000000002</v>
      </c>
      <c r="K166">
        <v>1.1208940000000001</v>
      </c>
      <c r="L166">
        <v>367.62759999999997</v>
      </c>
      <c r="M166">
        <v>0.99992829999999999</v>
      </c>
      <c r="N166">
        <v>-9.0147460000000006E-3</v>
      </c>
      <c r="O166">
        <v>7.8846569999999998E-3</v>
      </c>
      <c r="P166">
        <v>0.99048040000000004</v>
      </c>
      <c r="Q166">
        <v>0.13659460000000001</v>
      </c>
      <c r="R166">
        <v>1.7046349999999998E-2</v>
      </c>
      <c r="S166">
        <v>3.1755369999999998</v>
      </c>
      <c r="T166">
        <v>-1.0393969999999999</v>
      </c>
      <c r="U166">
        <v>-0.2162781</v>
      </c>
      <c r="V166">
        <v>-9.2320649999999994E-3</v>
      </c>
      <c r="W166">
        <v>0.14551929999999999</v>
      </c>
      <c r="X166">
        <v>0.98931239999999998</v>
      </c>
      <c r="Y166">
        <v>7.1597579999999994E-2</v>
      </c>
      <c r="Z166">
        <v>-1.418195E-2</v>
      </c>
      <c r="AA166">
        <v>0.99733280000000002</v>
      </c>
      <c r="AB166">
        <v>20</v>
      </c>
      <c r="AC166">
        <v>0.53719999999998402</v>
      </c>
      <c r="AD166">
        <v>-0.24143819999999899</v>
      </c>
      <c r="AE166">
        <v>-5.2299999999945598E-2</v>
      </c>
      <c r="AF166">
        <v>4.71079688629071E-2</v>
      </c>
      <c r="AG166">
        <v>-0.24143819999999899</v>
      </c>
      <c r="AH166">
        <v>0.44727253195336097</v>
      </c>
      <c r="AI166">
        <v>118.22831764625801</v>
      </c>
      <c r="AJ166">
        <v>83.987617637514404</v>
      </c>
      <c r="AK166">
        <v>0.51045497645688498</v>
      </c>
      <c r="AL166">
        <v>81.632648664942096</v>
      </c>
      <c r="AM166">
        <v>90.534657209549593</v>
      </c>
      <c r="AN166">
        <v>1.0000000612452</v>
      </c>
    </row>
    <row r="167" spans="1:40" x14ac:dyDescent="0.25">
      <c r="A167" t="str">
        <f>"20190303162746197"</f>
        <v>20190303162746197</v>
      </c>
      <c r="B167" t="str">
        <f>"1551601666191310"</f>
        <v>1551601666191310</v>
      </c>
      <c r="C167" t="s">
        <v>40</v>
      </c>
      <c r="D167">
        <v>5.1738749999999998</v>
      </c>
      <c r="E167">
        <v>0.53568419999999894</v>
      </c>
      <c r="F167" t="s">
        <v>44</v>
      </c>
      <c r="G167">
        <v>-445.83139999999997</v>
      </c>
      <c r="H167">
        <v>0.88492969999999904</v>
      </c>
      <c r="I167">
        <v>367.57839999999999</v>
      </c>
      <c r="J167">
        <v>-446.36340000000001</v>
      </c>
      <c r="K167">
        <v>1.1208929999999999</v>
      </c>
      <c r="L167">
        <v>367.62909999999999</v>
      </c>
      <c r="M167">
        <v>0.99992840000000005</v>
      </c>
      <c r="N167">
        <v>-9.002711E-3</v>
      </c>
      <c r="O167">
        <v>7.8995000000000003E-3</v>
      </c>
      <c r="P167">
        <v>0.99044319999999997</v>
      </c>
      <c r="Q167">
        <v>0.13683339999999999</v>
      </c>
      <c r="R167">
        <v>1.7294070000000002E-2</v>
      </c>
      <c r="S167">
        <v>3.175964</v>
      </c>
      <c r="T167">
        <v>-1.0400689999999999</v>
      </c>
      <c r="U167">
        <v>-0.2156372</v>
      </c>
      <c r="V167">
        <v>-9.4657279999999996E-3</v>
      </c>
      <c r="W167">
        <v>0.14574579999999901</v>
      </c>
      <c r="X167">
        <v>0.98927679999999996</v>
      </c>
      <c r="Y167">
        <v>7.1408250000000006E-2</v>
      </c>
      <c r="Z167">
        <v>-1.4162009999999999E-2</v>
      </c>
      <c r="AA167">
        <v>0.99734659999999997</v>
      </c>
      <c r="AB167">
        <v>20</v>
      </c>
      <c r="AC167">
        <v>0.532000000000039</v>
      </c>
      <c r="AD167">
        <v>-0.23596329999999999</v>
      </c>
      <c r="AE167">
        <v>-5.0700000000006101E-2</v>
      </c>
      <c r="AF167">
        <v>4.5944009925506901E-2</v>
      </c>
      <c r="AG167">
        <v>-0.23596329999999999</v>
      </c>
      <c r="AH167">
        <v>0.44485519203927198</v>
      </c>
      <c r="AI167">
        <v>117.817059190942</v>
      </c>
      <c r="AJ167">
        <v>84.103479295144496</v>
      </c>
      <c r="AK167">
        <v>0.50565370845987301</v>
      </c>
      <c r="AL167">
        <v>81.619530913982203</v>
      </c>
      <c r="AM167">
        <v>90.548208261017095</v>
      </c>
      <c r="AN167">
        <v>1.0000000126212201</v>
      </c>
    </row>
    <row r="168" spans="1:40" x14ac:dyDescent="0.25">
      <c r="A168" t="str">
        <f>"20190303162746219"</f>
        <v>20190303162746219</v>
      </c>
      <c r="B168" t="str">
        <f>"1551601666211806"</f>
        <v>1551601666211806</v>
      </c>
      <c r="C168" t="s">
        <v>40</v>
      </c>
      <c r="D168">
        <v>5.2375470000000002</v>
      </c>
      <c r="E168">
        <v>0.53563769999999999</v>
      </c>
      <c r="F168" t="s">
        <v>44</v>
      </c>
      <c r="G168">
        <v>-445.64879999999999</v>
      </c>
      <c r="H168">
        <v>0.88648919999999998</v>
      </c>
      <c r="I168">
        <v>367.58100000000002</v>
      </c>
      <c r="J168">
        <v>-446.16269999999997</v>
      </c>
      <c r="K168">
        <v>1.1208910000000001</v>
      </c>
      <c r="L168">
        <v>367.63069999999999</v>
      </c>
      <c r="M168">
        <v>0.9999285</v>
      </c>
      <c r="N168">
        <v>-8.9927949999999996E-3</v>
      </c>
      <c r="O168">
        <v>7.9132830000000001E-3</v>
      </c>
      <c r="P168">
        <v>0.99038979999999999</v>
      </c>
      <c r="Q168">
        <v>0.13716929999999999</v>
      </c>
      <c r="R168">
        <v>1.769012E-2</v>
      </c>
      <c r="S168">
        <v>3.1765750000000001</v>
      </c>
      <c r="T168">
        <v>-1.0420780000000001</v>
      </c>
      <c r="U168">
        <v>-0.21200559999999999</v>
      </c>
      <c r="V168">
        <v>-9.8478179999999995E-3</v>
      </c>
      <c r="W168">
        <v>0.14607129999999999</v>
      </c>
      <c r="X168">
        <v>0.98922500000000002</v>
      </c>
      <c r="Y168">
        <v>7.0317400000000002E-2</v>
      </c>
      <c r="Z168">
        <v>-1.401029E-2</v>
      </c>
      <c r="AA168">
        <v>0.99742629999999999</v>
      </c>
      <c r="AB168">
        <v>20</v>
      </c>
      <c r="AC168">
        <v>0.51389999999997804</v>
      </c>
      <c r="AD168">
        <v>-0.23440179999999999</v>
      </c>
      <c r="AE168">
        <v>-4.9700000000029797E-2</v>
      </c>
      <c r="AF168">
        <v>4.4577002127928901E-2</v>
      </c>
      <c r="AG168">
        <v>-0.23440179999999999</v>
      </c>
      <c r="AH168">
        <v>0.42573733994304802</v>
      </c>
      <c r="AI168">
        <v>118.704450599496</v>
      </c>
      <c r="AJ168">
        <v>84.022602346059401</v>
      </c>
      <c r="AK168">
        <v>0.48804056755943498</v>
      </c>
      <c r="AL168">
        <v>81.600678881088797</v>
      </c>
      <c r="AM168">
        <v>90.570365458364094</v>
      </c>
      <c r="AN168">
        <v>0.99999995241402395</v>
      </c>
    </row>
    <row r="169" spans="1:40" x14ac:dyDescent="0.25">
      <c r="A169" t="str">
        <f>"20190303162746241"</f>
        <v>20190303162746241</v>
      </c>
      <c r="B169" t="str">
        <f>"1551601666231834"</f>
        <v>1551601666231834</v>
      </c>
      <c r="C169" t="s">
        <v>40</v>
      </c>
      <c r="D169">
        <v>5.3507699999999998</v>
      </c>
      <c r="E169">
        <v>0.51289709999999999</v>
      </c>
      <c r="F169" t="s">
        <v>44</v>
      </c>
      <c r="G169">
        <v>-445.46409999999997</v>
      </c>
      <c r="H169">
        <v>0.89216740000000005</v>
      </c>
      <c r="I169">
        <v>367.58390000000003</v>
      </c>
      <c r="J169">
        <v>-445.95530000000002</v>
      </c>
      <c r="K169">
        <v>1.1208819999999999</v>
      </c>
      <c r="L169">
        <v>367.63240000000002</v>
      </c>
      <c r="M169">
        <v>0.99992829999999999</v>
      </c>
      <c r="N169">
        <v>-8.9851059999999996E-3</v>
      </c>
      <c r="O169">
        <v>7.9241669999999993E-3</v>
      </c>
      <c r="P169">
        <v>0.9902917</v>
      </c>
      <c r="Q169">
        <v>0.13773969999999999</v>
      </c>
      <c r="R169">
        <v>1.87171E-2</v>
      </c>
      <c r="S169">
        <v>3.176971</v>
      </c>
      <c r="T169">
        <v>-1.0400910000000001</v>
      </c>
      <c r="U169">
        <v>-0.2110901</v>
      </c>
      <c r="V169">
        <v>-1.086294E-2</v>
      </c>
      <c r="W169">
        <v>0.1466335</v>
      </c>
      <c r="X169">
        <v>0.98913119999999999</v>
      </c>
      <c r="Y169">
        <v>7.0063199999999895E-2</v>
      </c>
      <c r="Z169">
        <v>-1.3945279999999999E-2</v>
      </c>
      <c r="AA169">
        <v>0.99744500000000003</v>
      </c>
      <c r="AB169">
        <v>20</v>
      </c>
      <c r="AC169">
        <v>0.49120000000004799</v>
      </c>
      <c r="AD169">
        <v>-0.22871459999999899</v>
      </c>
      <c r="AE169">
        <v>-4.8499999999990002E-2</v>
      </c>
      <c r="AF169">
        <v>4.3130353732938997E-2</v>
      </c>
      <c r="AG169">
        <v>-0.22871459999999899</v>
      </c>
      <c r="AH169">
        <v>0.40404638294422202</v>
      </c>
      <c r="AI169">
        <v>119.37352922232201</v>
      </c>
      <c r="AJ169">
        <v>83.906974954399303</v>
      </c>
      <c r="AK169">
        <v>0.46628754565889702</v>
      </c>
      <c r="AL169">
        <v>81.568116632052195</v>
      </c>
      <c r="AM169">
        <v>90.629214399591504</v>
      </c>
      <c r="AN169">
        <v>0.99999995880056602</v>
      </c>
    </row>
    <row r="170" spans="1:40" x14ac:dyDescent="0.25">
      <c r="A170" t="str">
        <f>"20190303162746263"</f>
        <v>20190303162746263</v>
      </c>
      <c r="B170" t="str">
        <f>"1551601666251353"</f>
        <v>1551601666251353</v>
      </c>
      <c r="C170" t="s">
        <v>40</v>
      </c>
      <c r="D170">
        <v>5.4083670000000001</v>
      </c>
      <c r="E170">
        <v>0.48711520000000003</v>
      </c>
      <c r="F170" t="s">
        <v>44</v>
      </c>
      <c r="G170">
        <v>-445.24669999999998</v>
      </c>
      <c r="H170">
        <v>0.96550309999999995</v>
      </c>
      <c r="I170">
        <v>367.62479999999999</v>
      </c>
      <c r="J170">
        <v>-445.76350000000002</v>
      </c>
      <c r="K170">
        <v>1.1208670000000001</v>
      </c>
      <c r="L170">
        <v>367.63389999999998</v>
      </c>
      <c r="M170">
        <v>0.99992840000000005</v>
      </c>
      <c r="N170">
        <v>-8.9802110000000001E-3</v>
      </c>
      <c r="O170">
        <v>7.9310490000000008E-3</v>
      </c>
      <c r="P170">
        <v>0.9902801</v>
      </c>
      <c r="Q170">
        <v>0.1376462</v>
      </c>
      <c r="R170">
        <v>1.9979719999999999E-2</v>
      </c>
      <c r="S170">
        <v>3.1253660000000001</v>
      </c>
      <c r="T170">
        <v>-0.68548450000000005</v>
      </c>
      <c r="U170">
        <v>-3.2470699999999998E-2</v>
      </c>
      <c r="V170">
        <v>-1.2116770000000001E-2</v>
      </c>
      <c r="W170">
        <v>0.14653550000000001</v>
      </c>
      <c r="X170">
        <v>0.98913119999999999</v>
      </c>
      <c r="Y170">
        <v>1.7707560000000001E-2</v>
      </c>
      <c r="Z170">
        <v>-3.6481399999999998E-3</v>
      </c>
      <c r="AA170">
        <v>0.99983659999999996</v>
      </c>
      <c r="AB170">
        <v>20</v>
      </c>
      <c r="AC170">
        <v>0.516800000000046</v>
      </c>
      <c r="AD170">
        <v>-0.1553639</v>
      </c>
      <c r="AE170">
        <v>-9.0999999999894499E-3</v>
      </c>
      <c r="AF170">
        <v>1.2104978698077201E-2</v>
      </c>
      <c r="AG170">
        <v>-0.1553639</v>
      </c>
      <c r="AH170">
        <v>0.47389582769695099</v>
      </c>
      <c r="AI170">
        <v>108.145888955145</v>
      </c>
      <c r="AJ170">
        <v>88.536780944009493</v>
      </c>
      <c r="AK170">
        <v>0.49886042881859199</v>
      </c>
      <c r="AL170">
        <v>81.573793281584003</v>
      </c>
      <c r="AM170">
        <v>90.7018331435752</v>
      </c>
      <c r="AN170">
        <v>0.99999999984446097</v>
      </c>
    </row>
    <row r="171" spans="1:40" x14ac:dyDescent="0.25">
      <c r="A171" t="str">
        <f>"20190303162746286"</f>
        <v>20190303162746286</v>
      </c>
      <c r="B171" t="str">
        <f>"1551601666271848"</f>
        <v>1551601666271848</v>
      </c>
      <c r="C171" t="s">
        <v>40</v>
      </c>
      <c r="D171">
        <v>5.3889449999999997</v>
      </c>
      <c r="E171">
        <v>0.4877416</v>
      </c>
      <c r="F171" t="s">
        <v>41</v>
      </c>
      <c r="G171">
        <v>-394.53190000000001</v>
      </c>
      <c r="H171" s="1">
        <v>-2.5570529999999998E-6</v>
      </c>
      <c r="I171">
        <v>370.47669999999999</v>
      </c>
      <c r="J171">
        <v>-445.548</v>
      </c>
      <c r="K171">
        <v>1.120854</v>
      </c>
      <c r="L171">
        <v>367.63560000000001</v>
      </c>
      <c r="M171">
        <v>0.99992829999999999</v>
      </c>
      <c r="N171">
        <v>-8.9767449999999995E-3</v>
      </c>
      <c r="O171">
        <v>7.9283180000000002E-3</v>
      </c>
      <c r="P171">
        <v>0.9903267</v>
      </c>
      <c r="Q171">
        <v>0.13714379999999901</v>
      </c>
      <c r="R171">
        <v>2.1083589999999999E-2</v>
      </c>
      <c r="S171">
        <v>3.0352779999999999</v>
      </c>
      <c r="T171">
        <v>-6.64072E-2</v>
      </c>
      <c r="U171">
        <v>0.16842650000000001</v>
      </c>
      <c r="V171">
        <v>-1.3221429999999999E-2</v>
      </c>
      <c r="W171">
        <v>0.1460303</v>
      </c>
      <c r="X171">
        <v>0.98919179999999995</v>
      </c>
      <c r="Y171">
        <v>-4.7470890000000002E-2</v>
      </c>
      <c r="Z171">
        <v>6.299271E-4</v>
      </c>
      <c r="AA171">
        <v>0.99887239999999999</v>
      </c>
      <c r="AB171">
        <v>20</v>
      </c>
      <c r="AC171">
        <v>51.016100000000002</v>
      </c>
      <c r="AD171">
        <v>-1.120856557053</v>
      </c>
      <c r="AE171">
        <v>2.84109999999998</v>
      </c>
      <c r="AF171">
        <v>-2.4353506143697099</v>
      </c>
      <c r="AG171">
        <v>-1.120856557053</v>
      </c>
      <c r="AH171">
        <v>51.0124744497354</v>
      </c>
      <c r="AI171">
        <v>91.257280611179795</v>
      </c>
      <c r="AJ171">
        <v>92.733242239774995</v>
      </c>
      <c r="AK171">
        <v>51.082871899701402</v>
      </c>
      <c r="AL171">
        <v>81.603054177252602</v>
      </c>
      <c r="AM171">
        <v>90.765763558360305</v>
      </c>
      <c r="AN171">
        <v>1.0000000359582799</v>
      </c>
    </row>
    <row r="172" spans="1:40" x14ac:dyDescent="0.25">
      <c r="A172" t="str">
        <f>"20190303162746308"</f>
        <v>20190303162746308</v>
      </c>
      <c r="B172" t="str">
        <f>"1551601666302104"</f>
        <v>1551601666302104</v>
      </c>
      <c r="C172" t="s">
        <v>40</v>
      </c>
      <c r="D172">
        <v>5.3131110000000001</v>
      </c>
      <c r="E172">
        <v>0.48841889999999999</v>
      </c>
      <c r="F172" t="s">
        <v>41</v>
      </c>
      <c r="G172">
        <v>-385.93349999999998</v>
      </c>
      <c r="H172" s="1">
        <v>-2.068356E-6</v>
      </c>
      <c r="I172">
        <v>370.8997</v>
      </c>
      <c r="J172">
        <v>-445.34089999999998</v>
      </c>
      <c r="K172">
        <v>1.1208359999999999</v>
      </c>
      <c r="L172">
        <v>367.63720000000001</v>
      </c>
      <c r="M172">
        <v>0.9999285</v>
      </c>
      <c r="N172">
        <v>-8.9750790000000004E-3</v>
      </c>
      <c r="O172">
        <v>7.9072529999999995E-3</v>
      </c>
      <c r="P172">
        <v>0.9903961</v>
      </c>
      <c r="Q172">
        <v>0.1365693</v>
      </c>
      <c r="R172">
        <v>2.1556809999999999E-2</v>
      </c>
      <c r="S172">
        <v>3.0336609999999999</v>
      </c>
      <c r="T172">
        <v>-5.7038070000000003E-2</v>
      </c>
      <c r="U172">
        <v>0.16610720000000001</v>
      </c>
      <c r="V172">
        <v>-1.371174E-2</v>
      </c>
      <c r="W172">
        <v>0.14545520000000001</v>
      </c>
      <c r="X172">
        <v>0.98926979999999998</v>
      </c>
      <c r="Y172">
        <v>-4.6763550000000001E-2</v>
      </c>
      <c r="Z172">
        <v>5.7167329999999997E-4</v>
      </c>
      <c r="AA172">
        <v>0.99890579999999995</v>
      </c>
      <c r="AB172">
        <v>21</v>
      </c>
      <c r="AC172">
        <v>59.407400000000003</v>
      </c>
      <c r="AD172">
        <v>-1.120838068356</v>
      </c>
      <c r="AE172">
        <v>3.2624999999999802</v>
      </c>
      <c r="AF172">
        <v>-2.7916390216618199</v>
      </c>
      <c r="AG172">
        <v>-1.120838068356</v>
      </c>
      <c r="AH172">
        <v>59.410256804108101</v>
      </c>
      <c r="AI172">
        <v>91.079627013175696</v>
      </c>
      <c r="AJ172">
        <v>92.6903025931082</v>
      </c>
      <c r="AK172">
        <v>59.486369362508697</v>
      </c>
      <c r="AL172">
        <v>81.636360154421197</v>
      </c>
      <c r="AM172">
        <v>90.7940953298354</v>
      </c>
      <c r="AN172">
        <v>0.99999998210645302</v>
      </c>
    </row>
    <row r="173" spans="1:40" x14ac:dyDescent="0.25">
      <c r="A173" t="str">
        <f>"20190303162746330"</f>
        <v>20190303162746330</v>
      </c>
      <c r="B173" t="str">
        <f>"1551601666322130"</f>
        <v>1551601666322130</v>
      </c>
      <c r="C173" t="s">
        <v>40</v>
      </c>
      <c r="D173">
        <v>5.4383109999999997</v>
      </c>
      <c r="E173">
        <v>0.48906440000000001</v>
      </c>
      <c r="F173" t="s">
        <v>41</v>
      </c>
      <c r="G173">
        <v>-399.79680000000002</v>
      </c>
      <c r="H173" s="1">
        <v>-1.9060220000000001E-7</v>
      </c>
      <c r="I173">
        <v>370.07139999999998</v>
      </c>
      <c r="J173">
        <v>-445.13049999999998</v>
      </c>
      <c r="K173">
        <v>1.120819</v>
      </c>
      <c r="L173">
        <v>367.63889999999998</v>
      </c>
      <c r="M173">
        <v>0.99992879999999995</v>
      </c>
      <c r="N173">
        <v>-8.9747379999999995E-3</v>
      </c>
      <c r="O173">
        <v>7.8654689999999999E-3</v>
      </c>
      <c r="P173">
        <v>0.99045609999999995</v>
      </c>
      <c r="Q173">
        <v>0.13595009999999999</v>
      </c>
      <c r="R173">
        <v>2.2690539999999999E-2</v>
      </c>
      <c r="S173">
        <v>3.0358580000000002</v>
      </c>
      <c r="T173">
        <v>-7.471216E-2</v>
      </c>
      <c r="U173">
        <v>0.16226199999999999</v>
      </c>
      <c r="V173">
        <v>-1.488249E-2</v>
      </c>
      <c r="W173">
        <v>0.14483670000000001</v>
      </c>
      <c r="X173">
        <v>0.98934359999999999</v>
      </c>
      <c r="Y173">
        <v>-4.5498259999999999E-2</v>
      </c>
      <c r="Z173">
        <v>6.4087900000000001E-4</v>
      </c>
      <c r="AA173">
        <v>0.99896419999999997</v>
      </c>
      <c r="AB173">
        <v>21</v>
      </c>
      <c r="AC173">
        <v>45.333699999999901</v>
      </c>
      <c r="AD173">
        <v>-1.12081919060219</v>
      </c>
      <c r="AE173">
        <v>2.4325000000000001</v>
      </c>
      <c r="AF173">
        <v>-2.0745751062830999</v>
      </c>
      <c r="AG173">
        <v>-1.12081919060219</v>
      </c>
      <c r="AH173">
        <v>45.323805819327802</v>
      </c>
      <c r="AI173">
        <v>91.415106189856104</v>
      </c>
      <c r="AJ173">
        <v>92.620730735834002</v>
      </c>
      <c r="AK173">
        <v>45.3851018669978</v>
      </c>
      <c r="AL173">
        <v>81.672176687516597</v>
      </c>
      <c r="AM173">
        <v>90.8618234920378</v>
      </c>
      <c r="AN173">
        <v>0.99999995851822399</v>
      </c>
    </row>
    <row r="174" spans="1:40" x14ac:dyDescent="0.25">
      <c r="A174" t="str">
        <f>"20190303162746366"</f>
        <v>20190303162746366</v>
      </c>
      <c r="B174" t="str">
        <f>"1551601666351409"</f>
        <v>1551601666351409</v>
      </c>
      <c r="C174" t="s">
        <v>40</v>
      </c>
      <c r="D174">
        <v>5.4276309999999999</v>
      </c>
      <c r="E174">
        <v>0.4899442</v>
      </c>
      <c r="F174" t="s">
        <v>42</v>
      </c>
      <c r="G174">
        <v>-402.33339999999998</v>
      </c>
      <c r="H174">
        <v>-0.05</v>
      </c>
      <c r="I174">
        <v>369.90460000000002</v>
      </c>
      <c r="J174">
        <v>-444.81580000000002</v>
      </c>
      <c r="K174">
        <v>1.1207929999999999</v>
      </c>
      <c r="L174">
        <v>367.64120000000003</v>
      </c>
      <c r="M174">
        <v>0.99992970000000003</v>
      </c>
      <c r="N174">
        <v>-8.9763129999999997E-3</v>
      </c>
      <c r="O174">
        <v>7.7543309999999997E-3</v>
      </c>
      <c r="P174">
        <v>0.99034339999999998</v>
      </c>
      <c r="Q174">
        <v>0.1365933</v>
      </c>
      <c r="R174">
        <v>2.3712839999999999E-2</v>
      </c>
      <c r="S174">
        <v>3.0366520000000001</v>
      </c>
      <c r="T174">
        <v>-8.3074930000000005E-2</v>
      </c>
      <c r="U174">
        <v>0.16076660000000001</v>
      </c>
      <c r="V174">
        <v>-1.6007029999999998E-2</v>
      </c>
      <c r="W174">
        <v>0.14548159999999999</v>
      </c>
      <c r="X174">
        <v>0.98923150000000004</v>
      </c>
      <c r="Y174">
        <v>-4.5101589999999997E-2</v>
      </c>
      <c r="Z174">
        <v>6.7661890000000001E-4</v>
      </c>
      <c r="AA174">
        <v>0.99898220000000004</v>
      </c>
      <c r="AB174">
        <v>21</v>
      </c>
      <c r="AC174">
        <v>42.482399999999998</v>
      </c>
      <c r="AD174">
        <v>-1.170793</v>
      </c>
      <c r="AE174">
        <v>2.2633999999999901</v>
      </c>
      <c r="AF174">
        <v>-1.9324325225925401</v>
      </c>
      <c r="AG174">
        <v>-1.170793</v>
      </c>
      <c r="AH174">
        <v>42.466511426726399</v>
      </c>
      <c r="AI174">
        <v>91.577601143519502</v>
      </c>
      <c r="AJ174">
        <v>92.605438881908498</v>
      </c>
      <c r="AK174">
        <v>42.526575743404301</v>
      </c>
      <c r="AL174">
        <v>81.634831777302395</v>
      </c>
      <c r="AM174">
        <v>90.927038037561402</v>
      </c>
      <c r="AN174">
        <v>1.00000004077011</v>
      </c>
    </row>
    <row r="175" spans="1:40" x14ac:dyDescent="0.25">
      <c r="A175" t="str">
        <f>"20190303162746387"</f>
        <v>20190303162746387</v>
      </c>
      <c r="B175" t="str">
        <f>"1551601666381666"</f>
        <v>1551601666381666</v>
      </c>
      <c r="C175" t="s">
        <v>40</v>
      </c>
      <c r="D175">
        <v>5.5508629999999997</v>
      </c>
      <c r="E175">
        <v>0.49044880000000002</v>
      </c>
      <c r="F175" t="s">
        <v>42</v>
      </c>
      <c r="G175">
        <v>-405.24549999999999</v>
      </c>
      <c r="H175">
        <v>-0.05</v>
      </c>
      <c r="I175">
        <v>369.68200000000002</v>
      </c>
      <c r="J175">
        <v>-444.61110000000002</v>
      </c>
      <c r="K175">
        <v>1.1207739999999999</v>
      </c>
      <c r="L175">
        <v>367.64269999999999</v>
      </c>
      <c r="M175">
        <v>0.99993050000000006</v>
      </c>
      <c r="N175">
        <v>-8.9786099999999997E-3</v>
      </c>
      <c r="O175">
        <v>7.6437719999999897E-3</v>
      </c>
      <c r="P175">
        <v>0.99038740000000003</v>
      </c>
      <c r="Q175">
        <v>0.1363366</v>
      </c>
      <c r="R175">
        <v>2.335566E-2</v>
      </c>
      <c r="S175">
        <v>3.0379330000000002</v>
      </c>
      <c r="T175">
        <v>-8.9885469999999995E-2</v>
      </c>
      <c r="U175">
        <v>0.15667719999999999</v>
      </c>
      <c r="V175">
        <v>-1.5751959999999999E-2</v>
      </c>
      <c r="W175">
        <v>0.14522829999999901</v>
      </c>
      <c r="X175">
        <v>0.98927279999999995</v>
      </c>
      <c r="Y175">
        <v>-4.3846400000000001E-2</v>
      </c>
      <c r="Z175">
        <v>6.8774579999999997E-4</v>
      </c>
      <c r="AA175">
        <v>0.99903799999999998</v>
      </c>
      <c r="AB175">
        <v>21</v>
      </c>
      <c r="AC175">
        <v>39.365600000000001</v>
      </c>
      <c r="AD175">
        <v>-1.170774</v>
      </c>
      <c r="AE175">
        <v>2.0392999999999599</v>
      </c>
      <c r="AF175">
        <v>-1.7367944912366</v>
      </c>
      <c r="AG175">
        <v>-1.170774</v>
      </c>
      <c r="AH175">
        <v>39.345329488203298</v>
      </c>
      <c r="AI175">
        <v>91.702754054530104</v>
      </c>
      <c r="AJ175">
        <v>92.527528351952895</v>
      </c>
      <c r="AK175">
        <v>39.401042110573002</v>
      </c>
      <c r="AL175">
        <v>81.649500480095298</v>
      </c>
      <c r="AM175">
        <v>90.912230241517605</v>
      </c>
      <c r="AN175">
        <v>1.0000000280922801</v>
      </c>
    </row>
    <row r="176" spans="1:40" x14ac:dyDescent="0.25">
      <c r="A176" t="str">
        <f>"20190303162746408"</f>
        <v>20190303162746408</v>
      </c>
      <c r="B176" t="str">
        <f>"1551601666401185"</f>
        <v>1551601666401185</v>
      </c>
      <c r="C176" t="s">
        <v>40</v>
      </c>
      <c r="D176">
        <v>5.4322049999999997</v>
      </c>
      <c r="E176">
        <v>0.49066500000000002</v>
      </c>
      <c r="F176" t="s">
        <v>42</v>
      </c>
      <c r="G176">
        <v>-407.62180000000001</v>
      </c>
      <c r="H176">
        <v>-0.05</v>
      </c>
      <c r="I176">
        <v>369.49849999999998</v>
      </c>
      <c r="J176">
        <v>-444.41559999999998</v>
      </c>
      <c r="K176">
        <v>1.1207530000000001</v>
      </c>
      <c r="L176">
        <v>367.64400000000001</v>
      </c>
      <c r="M176">
        <v>0.99993160000000003</v>
      </c>
      <c r="N176">
        <v>-8.9814969999999997E-3</v>
      </c>
      <c r="O176">
        <v>7.514939E-3</v>
      </c>
      <c r="P176">
        <v>0.99044339999999997</v>
      </c>
      <c r="Q176">
        <v>0.13611609999999999</v>
      </c>
      <c r="R176">
        <v>2.2242899999999999E-2</v>
      </c>
      <c r="S176">
        <v>3.0387569999999999</v>
      </c>
      <c r="T176">
        <v>-9.6182110000000001E-2</v>
      </c>
      <c r="U176">
        <v>0.15246579999999901</v>
      </c>
      <c r="V176">
        <v>-1.476039E-2</v>
      </c>
      <c r="W176">
        <v>0.14501169999999999</v>
      </c>
      <c r="X176">
        <v>0.98931990000000003</v>
      </c>
      <c r="Y176">
        <v>-4.2578100000000001E-2</v>
      </c>
      <c r="Z176">
        <v>6.9444410000000004E-4</v>
      </c>
      <c r="AA176">
        <v>0.99909289999999995</v>
      </c>
      <c r="AB176">
        <v>21</v>
      </c>
      <c r="AC176">
        <v>36.793799999999898</v>
      </c>
      <c r="AD176">
        <v>-1.1707529999999999</v>
      </c>
      <c r="AE176">
        <v>1.8544999999999701</v>
      </c>
      <c r="AF176">
        <v>-1.57634141059997</v>
      </c>
      <c r="AG176">
        <v>-1.1707529999999999</v>
      </c>
      <c r="AH176">
        <v>36.769564294326301</v>
      </c>
      <c r="AI176">
        <v>91.822024734197399</v>
      </c>
      <c r="AJ176">
        <v>92.454813939434302</v>
      </c>
      <c r="AK176">
        <v>36.821955043484202</v>
      </c>
      <c r="AL176">
        <v>81.662043821942902</v>
      </c>
      <c r="AM176">
        <v>90.854774384140597</v>
      </c>
      <c r="AN176">
        <v>1.00000006339292</v>
      </c>
    </row>
    <row r="177" spans="1:40" x14ac:dyDescent="0.25">
      <c r="A177" t="str">
        <f>"20190303162746430"</f>
        <v>20190303162746430</v>
      </c>
      <c r="B177" t="str">
        <f>"1551601666421213"</f>
        <v>1551601666421213</v>
      </c>
      <c r="C177" t="s">
        <v>40</v>
      </c>
      <c r="D177">
        <v>5.2847280000000003</v>
      </c>
      <c r="E177">
        <v>0.49109750000000002</v>
      </c>
      <c r="F177" t="s">
        <v>42</v>
      </c>
      <c r="G177">
        <v>-408.53449999999998</v>
      </c>
      <c r="H177">
        <v>-0.05</v>
      </c>
      <c r="I177">
        <v>369.3972</v>
      </c>
      <c r="J177">
        <v>-444.20359999999999</v>
      </c>
      <c r="K177">
        <v>1.1207279999999999</v>
      </c>
      <c r="L177">
        <v>367.6454</v>
      </c>
      <c r="M177">
        <v>0.99993279999999995</v>
      </c>
      <c r="N177">
        <v>-8.9852999999999999E-3</v>
      </c>
      <c r="O177">
        <v>7.3535240000000002E-3</v>
      </c>
      <c r="P177">
        <v>0.99036489999999999</v>
      </c>
      <c r="Q177">
        <v>0.13692409999999999</v>
      </c>
      <c r="R177">
        <v>2.0719999999999999E-2</v>
      </c>
      <c r="S177">
        <v>3.0392459999999999</v>
      </c>
      <c r="T177">
        <v>-9.9166749999999998E-2</v>
      </c>
      <c r="U177">
        <v>0.14849849999999901</v>
      </c>
      <c r="V177">
        <v>-1.339212E-2</v>
      </c>
      <c r="W177">
        <v>0.1458227</v>
      </c>
      <c r="X177">
        <v>0.98922010000000005</v>
      </c>
      <c r="Y177">
        <v>-4.1429710000000002E-2</v>
      </c>
      <c r="Z177">
        <v>6.8793350000000001E-4</v>
      </c>
      <c r="AA177">
        <v>0.99914119999999995</v>
      </c>
      <c r="AB177">
        <v>21</v>
      </c>
      <c r="AC177">
        <v>35.6691</v>
      </c>
      <c r="AD177">
        <v>-1.170728</v>
      </c>
      <c r="AE177">
        <v>1.7518</v>
      </c>
      <c r="AF177">
        <v>-1.4878495439632999</v>
      </c>
      <c r="AG177">
        <v>-1.170728</v>
      </c>
      <c r="AH177">
        <v>35.642713228182899</v>
      </c>
      <c r="AI177">
        <v>91.879637019316704</v>
      </c>
      <c r="AJ177">
        <v>92.390335313794395</v>
      </c>
      <c r="AK177">
        <v>35.692958781557202</v>
      </c>
      <c r="AL177">
        <v>81.615077244432698</v>
      </c>
      <c r="AM177">
        <v>90.775626255964397</v>
      </c>
      <c r="AN177">
        <v>1.0000000074786899</v>
      </c>
    </row>
    <row r="178" spans="1:40" x14ac:dyDescent="0.25">
      <c r="A178" t="str">
        <f>"20190303162746452"</f>
        <v>20190303162746452</v>
      </c>
      <c r="B178" t="str">
        <f>"1551601666441708"</f>
        <v>1551601666441708</v>
      </c>
      <c r="C178" t="s">
        <v>40</v>
      </c>
      <c r="D178">
        <v>5.4610709999999996</v>
      </c>
      <c r="E178">
        <v>0.49089470000000002</v>
      </c>
      <c r="F178" t="s">
        <v>42</v>
      </c>
      <c r="G178">
        <v>-408.61610000000002</v>
      </c>
      <c r="H178">
        <v>-0.05</v>
      </c>
      <c r="I178">
        <v>369.29480000000001</v>
      </c>
      <c r="J178">
        <v>-443.99970000000002</v>
      </c>
      <c r="K178">
        <v>1.120722</v>
      </c>
      <c r="L178">
        <v>367.64670000000001</v>
      </c>
      <c r="M178">
        <v>0.99993390000000004</v>
      </c>
      <c r="N178">
        <v>-8.9895019999999999E-3</v>
      </c>
      <c r="O178">
        <v>7.1822240000000001E-3</v>
      </c>
      <c r="P178">
        <v>0.99031130000000001</v>
      </c>
      <c r="Q178">
        <v>0.1376233</v>
      </c>
      <c r="R178">
        <v>1.8542650000000001E-2</v>
      </c>
      <c r="S178">
        <v>3.0400700000000001</v>
      </c>
      <c r="T178">
        <v>-0.1000099</v>
      </c>
      <c r="U178">
        <v>0.14089969999999999</v>
      </c>
      <c r="V178">
        <v>-1.138194E-2</v>
      </c>
      <c r="W178">
        <v>0.14652509999999999</v>
      </c>
      <c r="X178">
        <v>0.98914150000000001</v>
      </c>
      <c r="Y178">
        <v>-3.9096970000000002E-2</v>
      </c>
      <c r="Z178">
        <v>6.4691040000000003E-4</v>
      </c>
      <c r="AA178">
        <v>0.99923519999999999</v>
      </c>
      <c r="AB178">
        <v>21</v>
      </c>
      <c r="AC178">
        <v>35.383600000000001</v>
      </c>
      <c r="AD178">
        <v>-1.170722</v>
      </c>
      <c r="AE178">
        <v>1.6480999999999899</v>
      </c>
      <c r="AF178">
        <v>-1.3923933205321799</v>
      </c>
      <c r="AG178">
        <v>-1.170722</v>
      </c>
      <c r="AH178">
        <v>35.355903727283597</v>
      </c>
      <c r="AI178">
        <v>91.895045053376705</v>
      </c>
      <c r="AJ178">
        <v>92.255268466730399</v>
      </c>
      <c r="AK178">
        <v>35.402673310546596</v>
      </c>
      <c r="AL178">
        <v>81.574395917742095</v>
      </c>
      <c r="AM178">
        <v>90.659266994796198</v>
      </c>
      <c r="AN178">
        <v>1.0000000302552099</v>
      </c>
    </row>
    <row r="179" spans="1:40" x14ac:dyDescent="0.25">
      <c r="A179" t="str">
        <f>"20190303162746474"</f>
        <v>20190303162746474</v>
      </c>
      <c r="B179" t="str">
        <f>"1551601666461229"</f>
        <v>1551601666461229</v>
      </c>
      <c r="C179" t="s">
        <v>40</v>
      </c>
      <c r="D179">
        <v>5.4790199999999896</v>
      </c>
      <c r="E179">
        <v>0.4911102</v>
      </c>
      <c r="F179" t="s">
        <v>42</v>
      </c>
      <c r="G179">
        <v>-408.15120000000002</v>
      </c>
      <c r="H179">
        <v>-0.05</v>
      </c>
      <c r="I179">
        <v>369.24849999999998</v>
      </c>
      <c r="J179">
        <v>-443.79360000000003</v>
      </c>
      <c r="K179">
        <v>1.120717</v>
      </c>
      <c r="L179">
        <v>367.64800000000002</v>
      </c>
      <c r="M179">
        <v>0.99993500000000002</v>
      </c>
      <c r="N179">
        <v>-8.9942129999999992E-3</v>
      </c>
      <c r="O179">
        <v>6.9988819999999997E-3</v>
      </c>
      <c r="P179">
        <v>0.99027399999999999</v>
      </c>
      <c r="Q179">
        <v>0.13815740000000001</v>
      </c>
      <c r="R179">
        <v>1.6440989999999999E-2</v>
      </c>
      <c r="S179">
        <v>3.040619</v>
      </c>
      <c r="T179">
        <v>-9.9298949999999997E-2</v>
      </c>
      <c r="U179">
        <v>0.13586429999999999</v>
      </c>
      <c r="V179">
        <v>-9.4610349999999996E-3</v>
      </c>
      <c r="W179">
        <v>0.14706229999999901</v>
      </c>
      <c r="X179">
        <v>0.98908200000000002</v>
      </c>
      <c r="Y179">
        <v>-3.7621700000000001E-2</v>
      </c>
      <c r="Z179">
        <v>6.1770849999999997E-4</v>
      </c>
      <c r="AA179">
        <v>0.99929179999999995</v>
      </c>
      <c r="AB179">
        <v>21</v>
      </c>
      <c r="AC179">
        <v>35.642400000000002</v>
      </c>
      <c r="AD179">
        <v>-1.170717</v>
      </c>
      <c r="AE179">
        <v>1.6004999999999501</v>
      </c>
      <c r="AF179">
        <v>-1.34954068789316</v>
      </c>
      <c r="AG179">
        <v>-1.170717</v>
      </c>
      <c r="AH179">
        <v>35.614383079253301</v>
      </c>
      <c r="AI179">
        <v>91.881401232788306</v>
      </c>
      <c r="AJ179">
        <v>92.170078540504306</v>
      </c>
      <c r="AK179">
        <v>35.659166009290999</v>
      </c>
      <c r="AL179">
        <v>81.543279432937098</v>
      </c>
      <c r="AM179">
        <v>90.548044391863002</v>
      </c>
      <c r="AN179">
        <v>1.00000001699428</v>
      </c>
    </row>
    <row r="180" spans="1:40" x14ac:dyDescent="0.25">
      <c r="A180" t="str">
        <f>"20190303162746498"</f>
        <v>20190303162746498</v>
      </c>
      <c r="B180" t="str">
        <f>"1551601666491485"</f>
        <v>1551601666491485</v>
      </c>
      <c r="C180" t="s">
        <v>40</v>
      </c>
      <c r="D180">
        <v>5.4302820000000001</v>
      </c>
      <c r="E180">
        <v>0.49129669999999998</v>
      </c>
      <c r="F180" t="s">
        <v>42</v>
      </c>
      <c r="G180">
        <v>-408.07600000000002</v>
      </c>
      <c r="H180">
        <v>-0.05</v>
      </c>
      <c r="I180">
        <v>369.14760000000001</v>
      </c>
      <c r="J180">
        <v>-443.57589999999999</v>
      </c>
      <c r="K180">
        <v>1.120708</v>
      </c>
      <c r="L180">
        <v>367.64929999999998</v>
      </c>
      <c r="M180">
        <v>0.99993639999999995</v>
      </c>
      <c r="N180">
        <v>-8.999567E-3</v>
      </c>
      <c r="O180">
        <v>6.799968E-3</v>
      </c>
      <c r="P180">
        <v>0.99043119999999996</v>
      </c>
      <c r="Q180">
        <v>0.1371781</v>
      </c>
      <c r="R180">
        <v>1.5117800000000001E-2</v>
      </c>
      <c r="S180">
        <v>3.0412599999999999</v>
      </c>
      <c r="T180">
        <v>-9.9683400000000005E-2</v>
      </c>
      <c r="U180">
        <v>0.12768550000000001</v>
      </c>
      <c r="V180">
        <v>-8.3341030000000007E-3</v>
      </c>
      <c r="W180">
        <v>0.14608969999999999</v>
      </c>
      <c r="X180">
        <v>0.98923620000000001</v>
      </c>
      <c r="Y180">
        <v>-3.5130149999999999E-2</v>
      </c>
      <c r="Z180">
        <v>5.7197409999999998E-4</v>
      </c>
      <c r="AA180">
        <v>0.99938260000000001</v>
      </c>
      <c r="AB180">
        <v>21</v>
      </c>
      <c r="AC180">
        <v>35.499899999999997</v>
      </c>
      <c r="AD180">
        <v>-1.1707080000000001</v>
      </c>
      <c r="AE180">
        <v>1.4983000000000199</v>
      </c>
      <c r="AF180">
        <v>-1.25549443524685</v>
      </c>
      <c r="AG180">
        <v>-1.1707080000000001</v>
      </c>
      <c r="AH180">
        <v>35.470760907550201</v>
      </c>
      <c r="AI180">
        <v>91.889171623425497</v>
      </c>
      <c r="AJ180">
        <v>92.027148917300707</v>
      </c>
      <c r="AK180">
        <v>35.5122753827292</v>
      </c>
      <c r="AL180">
        <v>81.599613258851093</v>
      </c>
      <c r="AM180">
        <v>90.482693244568296</v>
      </c>
      <c r="AN180">
        <v>0.99999995855467105</v>
      </c>
    </row>
    <row r="181" spans="1:40" x14ac:dyDescent="0.25">
      <c r="A181" t="str">
        <f>"20190303162746521"</f>
        <v>20190303162746521</v>
      </c>
      <c r="B181" t="str">
        <f>"1551601666511981"</f>
        <v>1551601666511981</v>
      </c>
      <c r="C181" t="s">
        <v>40</v>
      </c>
      <c r="D181">
        <v>5.3745589999999996</v>
      </c>
      <c r="E181">
        <v>0.49147220000000003</v>
      </c>
      <c r="F181" t="s">
        <v>42</v>
      </c>
      <c r="G181">
        <v>-409.76089999999999</v>
      </c>
      <c r="H181">
        <v>-0.05</v>
      </c>
      <c r="I181">
        <v>369.00599999999997</v>
      </c>
      <c r="J181">
        <v>-443.3571</v>
      </c>
      <c r="K181">
        <v>1.120708</v>
      </c>
      <c r="L181">
        <v>367.65050000000002</v>
      </c>
      <c r="M181">
        <v>0.99993779999999999</v>
      </c>
      <c r="N181">
        <v>-9.0053140000000004E-3</v>
      </c>
      <c r="O181">
        <v>6.6007310000000003E-3</v>
      </c>
      <c r="P181">
        <v>0.99055289999999996</v>
      </c>
      <c r="Q181">
        <v>0.1363346</v>
      </c>
      <c r="R181">
        <v>1.477883E-2</v>
      </c>
      <c r="S181">
        <v>3.0417480000000001</v>
      </c>
      <c r="T181">
        <v>-0.10530829999999999</v>
      </c>
      <c r="U181">
        <v>0.1220398</v>
      </c>
      <c r="V181">
        <v>-8.1936109999999999E-3</v>
      </c>
      <c r="W181">
        <v>0.1452523</v>
      </c>
      <c r="X181">
        <v>0.98936069999999998</v>
      </c>
      <c r="Y181">
        <v>-3.346971E-2</v>
      </c>
      <c r="Z181">
        <v>5.6084720000000002E-4</v>
      </c>
      <c r="AA181">
        <v>0.99943959999999998</v>
      </c>
      <c r="AB181">
        <v>21</v>
      </c>
      <c r="AC181">
        <v>33.596200000000003</v>
      </c>
      <c r="AD181">
        <v>-1.1707080000000001</v>
      </c>
      <c r="AE181">
        <v>1.35549999999994</v>
      </c>
      <c r="AF181">
        <v>-1.1323293026485099</v>
      </c>
      <c r="AG181">
        <v>-1.1707080000000001</v>
      </c>
      <c r="AH181">
        <v>33.563726359517098</v>
      </c>
      <c r="AI181">
        <v>91.996540876770695</v>
      </c>
      <c r="AJ181">
        <v>91.932237568822501</v>
      </c>
      <c r="AK181">
        <v>33.603220887400703</v>
      </c>
      <c r="AL181">
        <v>81.648110242256607</v>
      </c>
      <c r="AM181">
        <v>90.474496911782197</v>
      </c>
      <c r="AN181">
        <v>0.99999998031049897</v>
      </c>
    </row>
    <row r="182" spans="1:40" x14ac:dyDescent="0.25">
      <c r="A182" t="str">
        <f>"20190303162746542"</f>
        <v>20190303162746542</v>
      </c>
      <c r="B182" t="str">
        <f>"1551601666532007"</f>
        <v>1551601666532007</v>
      </c>
      <c r="C182" t="s">
        <v>40</v>
      </c>
      <c r="D182">
        <v>5.3044719999999996</v>
      </c>
      <c r="E182">
        <v>0.4915718</v>
      </c>
      <c r="F182" t="s">
        <v>42</v>
      </c>
      <c r="G182">
        <v>-410.78809999999999</v>
      </c>
      <c r="H182">
        <v>-0.05</v>
      </c>
      <c r="I182">
        <v>368.92450000000002</v>
      </c>
      <c r="J182">
        <v>-443.1558</v>
      </c>
      <c r="K182">
        <v>1.1207129999999901</v>
      </c>
      <c r="L182">
        <v>367.65170000000001</v>
      </c>
      <c r="M182">
        <v>0.99993880000000002</v>
      </c>
      <c r="N182">
        <v>-9.0108029999999995E-3</v>
      </c>
      <c r="O182">
        <v>6.4263719999999996E-3</v>
      </c>
      <c r="P182">
        <v>0.99061330000000003</v>
      </c>
      <c r="Q182">
        <v>0.13580510000000001</v>
      </c>
      <c r="R182">
        <v>1.5563270000000001E-2</v>
      </c>
      <c r="S182">
        <v>3.0419010000000002</v>
      </c>
      <c r="T182">
        <v>-0.1093426</v>
      </c>
      <c r="U182">
        <v>0.118988</v>
      </c>
      <c r="V182">
        <v>-9.1519970000000003E-3</v>
      </c>
      <c r="W182">
        <v>0.1447291</v>
      </c>
      <c r="X182">
        <v>0.989429</v>
      </c>
      <c r="Y182">
        <v>-3.2639920000000003E-2</v>
      </c>
      <c r="Z182">
        <v>5.6043599999999999E-4</v>
      </c>
      <c r="AA182">
        <v>0.99946699999999999</v>
      </c>
      <c r="AB182">
        <v>21</v>
      </c>
      <c r="AC182">
        <v>32.367699999999999</v>
      </c>
      <c r="AD182">
        <v>-1.1707129999999999</v>
      </c>
      <c r="AE182">
        <v>1.2728000000000099</v>
      </c>
      <c r="AF182">
        <v>-1.06336943749497</v>
      </c>
      <c r="AG182">
        <v>-1.1707129999999999</v>
      </c>
      <c r="AH182">
        <v>32.332978397332703</v>
      </c>
      <c r="AI182">
        <v>92.072541039949698</v>
      </c>
      <c r="AJ182">
        <v>91.883668981759399</v>
      </c>
      <c r="AK182">
        <v>32.371635972427399</v>
      </c>
      <c r="AL182">
        <v>81.678407784383595</v>
      </c>
      <c r="AM182">
        <v>90.529958034598593</v>
      </c>
      <c r="AN182">
        <v>1.00000000873844</v>
      </c>
    </row>
    <row r="183" spans="1:40" x14ac:dyDescent="0.25">
      <c r="A183" t="str">
        <f>"20190303162746565"</f>
        <v>20190303162746565</v>
      </c>
      <c r="B183" t="str">
        <f>"1551601666551527"</f>
        <v>1551601666551527</v>
      </c>
      <c r="C183" t="s">
        <v>40</v>
      </c>
      <c r="D183">
        <v>5.3036629999999896</v>
      </c>
      <c r="E183">
        <v>0.4916275</v>
      </c>
      <c r="F183" t="s">
        <v>42</v>
      </c>
      <c r="G183">
        <v>-411.23469999999998</v>
      </c>
      <c r="H183">
        <v>-0.05</v>
      </c>
      <c r="I183">
        <v>368.91120000000001</v>
      </c>
      <c r="J183">
        <v>-442.94330000000002</v>
      </c>
      <c r="K183">
        <v>1.120716</v>
      </c>
      <c r="L183">
        <v>367.65289999999999</v>
      </c>
      <c r="M183">
        <v>0.99993989999999999</v>
      </c>
      <c r="N183">
        <v>-9.0168060000000005E-3</v>
      </c>
      <c r="O183">
        <v>6.2550150000000001E-3</v>
      </c>
      <c r="P183">
        <v>0.99059219999999903</v>
      </c>
      <c r="Q183">
        <v>0.13578789999999999</v>
      </c>
      <c r="R183">
        <v>1.7001410000000002E-2</v>
      </c>
      <c r="S183">
        <v>3.0418400000000001</v>
      </c>
      <c r="T183">
        <v>-0.11156000000000001</v>
      </c>
      <c r="U183">
        <v>0.1200256</v>
      </c>
      <c r="V183">
        <v>-1.0763190000000001E-2</v>
      </c>
      <c r="W183">
        <v>0.14471829999999999</v>
      </c>
      <c r="X183">
        <v>0.98941429999999997</v>
      </c>
      <c r="Y183">
        <v>-3.315104E-2</v>
      </c>
      <c r="Z183">
        <v>5.8418930000000003E-4</v>
      </c>
      <c r="AA183">
        <v>0.99945019999999996</v>
      </c>
      <c r="AB183">
        <v>21</v>
      </c>
      <c r="AC183">
        <v>31.708600000000001</v>
      </c>
      <c r="AD183">
        <v>-1.1707160000000001</v>
      </c>
      <c r="AE183">
        <v>1.25830000000001</v>
      </c>
      <c r="AF183">
        <v>-1.05848894502657</v>
      </c>
      <c r="AG183">
        <v>-1.1707160000000001</v>
      </c>
      <c r="AH183">
        <v>31.672743299528101</v>
      </c>
      <c r="AI183">
        <v>92.115673605074804</v>
      </c>
      <c r="AJ183">
        <v>91.9140869981685</v>
      </c>
      <c r="AK183">
        <v>31.712042553534801</v>
      </c>
      <c r="AL183">
        <v>81.679032627155493</v>
      </c>
      <c r="AM183">
        <v>90.623258666237206</v>
      </c>
      <c r="AN183">
        <v>0.99999994482917598</v>
      </c>
    </row>
    <row r="184" spans="1:40" x14ac:dyDescent="0.25">
      <c r="A184" t="str">
        <f>"20190303162746588"</f>
        <v>20190303162746588</v>
      </c>
      <c r="B184" t="str">
        <f>"1551601666581783"</f>
        <v>1551601666581783</v>
      </c>
      <c r="C184" t="s">
        <v>40</v>
      </c>
      <c r="D184">
        <v>5.2469900000000003</v>
      </c>
      <c r="E184">
        <v>0.4917222</v>
      </c>
      <c r="F184" t="s">
        <v>42</v>
      </c>
      <c r="G184">
        <v>-411.0299</v>
      </c>
      <c r="H184">
        <v>-0.05</v>
      </c>
      <c r="I184">
        <v>368.94670000000002</v>
      </c>
      <c r="J184">
        <v>-442.71789999999999</v>
      </c>
      <c r="K184">
        <v>1.1207229999999999</v>
      </c>
      <c r="L184">
        <v>367.65410000000003</v>
      </c>
      <c r="M184">
        <v>0.99994090000000002</v>
      </c>
      <c r="N184">
        <v>-9.0234449999999997E-3</v>
      </c>
      <c r="O184">
        <v>6.08736E-3</v>
      </c>
      <c r="P184">
        <v>0.9905524</v>
      </c>
      <c r="Q184">
        <v>0.13582069999999999</v>
      </c>
      <c r="R184">
        <v>1.8942520000000001E-2</v>
      </c>
      <c r="S184">
        <v>3.0417179999999999</v>
      </c>
      <c r="T184">
        <v>-0.1115826</v>
      </c>
      <c r="U184">
        <v>0.1233215</v>
      </c>
      <c r="V184">
        <v>-1.2873870000000001E-2</v>
      </c>
      <c r="W184">
        <v>0.14475789999999999</v>
      </c>
      <c r="X184">
        <v>0.98938329999999997</v>
      </c>
      <c r="Y184">
        <v>-3.4400269999999997E-2</v>
      </c>
      <c r="Z184">
        <v>6.1759769999999905E-4</v>
      </c>
      <c r="AA184">
        <v>0.99940790000000002</v>
      </c>
      <c r="AB184">
        <v>21</v>
      </c>
      <c r="AC184">
        <v>31.687999999999899</v>
      </c>
      <c r="AD184">
        <v>-1.170723</v>
      </c>
      <c r="AE184">
        <v>1.29259999999999</v>
      </c>
      <c r="AF184">
        <v>-1.0981754874179599</v>
      </c>
      <c r="AG184">
        <v>-1.170723</v>
      </c>
      <c r="AH184">
        <v>31.6521496518289</v>
      </c>
      <c r="AI184">
        <v>92.116969728912295</v>
      </c>
      <c r="AJ184">
        <v>91.987087527407098</v>
      </c>
      <c r="AK184">
        <v>31.6928250448846</v>
      </c>
      <c r="AL184">
        <v>81.676739613521903</v>
      </c>
      <c r="AM184">
        <v>90.745491450970405</v>
      </c>
      <c r="AN184">
        <v>0.99999995023003696</v>
      </c>
    </row>
    <row r="185" spans="1:40" x14ac:dyDescent="0.25">
      <c r="A185" t="str">
        <f>"20190303162746609"</f>
        <v>20190303162746609</v>
      </c>
      <c r="B185" t="str">
        <f>"1551601666601303"</f>
        <v>1551601666601303</v>
      </c>
      <c r="C185" t="s">
        <v>40</v>
      </c>
      <c r="D185">
        <v>5.1284349999999996</v>
      </c>
      <c r="E185">
        <v>0.49177399999999999</v>
      </c>
      <c r="F185" t="s">
        <v>42</v>
      </c>
      <c r="G185">
        <v>-410.86930000000001</v>
      </c>
      <c r="H185">
        <v>-0.05</v>
      </c>
      <c r="I185">
        <v>368.99779999999998</v>
      </c>
      <c r="J185">
        <v>-442.51889999999997</v>
      </c>
      <c r="K185">
        <v>1.120725</v>
      </c>
      <c r="L185">
        <v>367.6551</v>
      </c>
      <c r="M185">
        <v>0.99994159999999999</v>
      </c>
      <c r="N185">
        <v>-9.0295459999999994E-3</v>
      </c>
      <c r="O185">
        <v>5.9480560000000002E-3</v>
      </c>
      <c r="P185">
        <v>0.99060950000000003</v>
      </c>
      <c r="Q185">
        <v>0.135295</v>
      </c>
      <c r="R185">
        <v>1.9702919999999999E-2</v>
      </c>
      <c r="S185">
        <v>3.0415040000000002</v>
      </c>
      <c r="T185">
        <v>-0.11180279999999999</v>
      </c>
      <c r="U185">
        <v>0.12832639999999901</v>
      </c>
      <c r="V185">
        <v>-1.37746E-2</v>
      </c>
      <c r="W185">
        <v>0.14423839999999999</v>
      </c>
      <c r="X185">
        <v>0.98944710000000002</v>
      </c>
      <c r="Y185">
        <v>-3.618238E-2</v>
      </c>
      <c r="Z185">
        <v>6.6320289999999998E-4</v>
      </c>
      <c r="AA185">
        <v>0.99934500000000004</v>
      </c>
      <c r="AB185">
        <v>21</v>
      </c>
      <c r="AC185">
        <v>31.6495999999999</v>
      </c>
      <c r="AD185">
        <v>-1.170725</v>
      </c>
      <c r="AE185">
        <v>1.34269999999997</v>
      </c>
      <c r="AF185">
        <v>-1.15284042010438</v>
      </c>
      <c r="AG185">
        <v>-1.170725</v>
      </c>
      <c r="AH185">
        <v>31.613848138236101</v>
      </c>
      <c r="AI185">
        <v>92.1194025289997</v>
      </c>
      <c r="AJ185">
        <v>92.088440316062901</v>
      </c>
      <c r="AK185">
        <v>31.656516425016001</v>
      </c>
      <c r="AL185">
        <v>81.706820965725001</v>
      </c>
      <c r="AM185">
        <v>90.797592376735494</v>
      </c>
      <c r="AN185">
        <v>1.00000000966906</v>
      </c>
    </row>
    <row r="186" spans="1:40" x14ac:dyDescent="0.25">
      <c r="A186" t="str">
        <f>"20190303162746633"</f>
        <v>20190303162746633</v>
      </c>
      <c r="B186" t="str">
        <f>"1551601666621328"</f>
        <v>1551601666621328</v>
      </c>
      <c r="C186" t="s">
        <v>40</v>
      </c>
      <c r="D186">
        <v>5.1961680000000001</v>
      </c>
      <c r="E186">
        <v>0.49185030000000002</v>
      </c>
      <c r="F186" t="s">
        <v>42</v>
      </c>
      <c r="G186">
        <v>-410.94150000000002</v>
      </c>
      <c r="H186">
        <v>-0.05</v>
      </c>
      <c r="I186">
        <v>369.00970000000001</v>
      </c>
      <c r="J186">
        <v>-442.29500000000002</v>
      </c>
      <c r="K186">
        <v>1.1207260000000001</v>
      </c>
      <c r="L186">
        <v>367.65629999999999</v>
      </c>
      <c r="M186">
        <v>0.99994240000000001</v>
      </c>
      <c r="N186">
        <v>-9.0348930000000004E-3</v>
      </c>
      <c r="O186">
        <v>5.8025480000000003E-3</v>
      </c>
      <c r="P186">
        <v>0.99079729999999999</v>
      </c>
      <c r="Q186">
        <v>0.13391500000000001</v>
      </c>
      <c r="R186">
        <v>1.9687059999999999E-2</v>
      </c>
      <c r="S186">
        <v>3.041229</v>
      </c>
      <c r="T186">
        <v>-0.1127529</v>
      </c>
      <c r="U186">
        <v>0.13046259999999901</v>
      </c>
      <c r="V186">
        <v>-1.3903840000000001E-2</v>
      </c>
      <c r="W186">
        <v>0.1428652</v>
      </c>
      <c r="X186">
        <v>0.98964450000000004</v>
      </c>
      <c r="Y186">
        <v>-3.7031099999999997E-2</v>
      </c>
      <c r="Z186">
        <v>6.9078929999999905E-4</v>
      </c>
      <c r="AA186">
        <v>0.99931389999999998</v>
      </c>
      <c r="AB186">
        <v>21</v>
      </c>
      <c r="AC186">
        <v>31.3535</v>
      </c>
      <c r="AD186">
        <v>-1.1707259999999999</v>
      </c>
      <c r="AE186">
        <v>1.3534000000000199</v>
      </c>
      <c r="AF186">
        <v>-1.1698116401576999</v>
      </c>
      <c r="AG186">
        <v>-1.1707259999999999</v>
      </c>
      <c r="AH186">
        <v>31.317242972310599</v>
      </c>
      <c r="AI186">
        <v>92.139388715154098</v>
      </c>
      <c r="AJ186">
        <v>92.139208827616301</v>
      </c>
      <c r="AK186">
        <v>31.360943321706099</v>
      </c>
      <c r="AL186">
        <v>81.786322950318095</v>
      </c>
      <c r="AM186">
        <v>90.804914232575896</v>
      </c>
      <c r="AN186">
        <v>1.00000000925901</v>
      </c>
    </row>
    <row r="187" spans="1:40" x14ac:dyDescent="0.25">
      <c r="A187" t="str">
        <f>"20190303162746654"</f>
        <v>20190303162746654</v>
      </c>
      <c r="B187" t="str">
        <f>"1551601666641825"</f>
        <v>1551601666641825</v>
      </c>
      <c r="C187" t="s">
        <v>40</v>
      </c>
      <c r="D187">
        <v>5.1321190000000003</v>
      </c>
      <c r="E187">
        <v>0.49197079999999999</v>
      </c>
      <c r="F187" t="s">
        <v>42</v>
      </c>
      <c r="G187">
        <v>-411.69200000000001</v>
      </c>
      <c r="H187">
        <v>-0.05</v>
      </c>
      <c r="I187">
        <v>368.96429999999998</v>
      </c>
      <c r="J187">
        <v>-442.0874</v>
      </c>
      <c r="K187">
        <v>1.120722</v>
      </c>
      <c r="L187">
        <v>367.65730000000002</v>
      </c>
      <c r="M187">
        <v>0.99994309999999997</v>
      </c>
      <c r="N187">
        <v>-9.0354370000000003E-3</v>
      </c>
      <c r="O187">
        <v>5.6780329999999999E-3</v>
      </c>
      <c r="P187">
        <v>0.99084720000000004</v>
      </c>
      <c r="Q187">
        <v>0.1336251</v>
      </c>
      <c r="R187">
        <v>1.9144689999999999E-2</v>
      </c>
      <c r="S187">
        <v>3.040985</v>
      </c>
      <c r="T187">
        <v>-0.1163337</v>
      </c>
      <c r="U187">
        <v>0.12997439999999999</v>
      </c>
      <c r="V187">
        <v>-1.34863E-2</v>
      </c>
      <c r="W187">
        <v>0.14257639999999999</v>
      </c>
      <c r="X187">
        <v>0.98969189999999996</v>
      </c>
      <c r="Y187">
        <v>-3.6997139999999998E-2</v>
      </c>
      <c r="Z187">
        <v>7.0862409999999996E-4</v>
      </c>
      <c r="AA187">
        <v>0.99931510000000001</v>
      </c>
      <c r="AB187">
        <v>21</v>
      </c>
      <c r="AC187">
        <v>30.395399999999999</v>
      </c>
      <c r="AD187">
        <v>-1.170722</v>
      </c>
      <c r="AE187">
        <v>1.30699999999995</v>
      </c>
      <c r="AF187">
        <v>-1.1327085184171</v>
      </c>
      <c r="AG187">
        <v>-1.170722</v>
      </c>
      <c r="AH187">
        <v>30.357378974211901</v>
      </c>
      <c r="AI187">
        <v>92.206963607902196</v>
      </c>
      <c r="AJ187">
        <v>92.136855247912905</v>
      </c>
      <c r="AK187">
        <v>30.401053876023798</v>
      </c>
      <c r="AL187">
        <v>81.803040903006305</v>
      </c>
      <c r="AM187">
        <v>90.780707863570797</v>
      </c>
      <c r="AN187">
        <v>0.99999998352512898</v>
      </c>
    </row>
    <row r="188" spans="1:40" x14ac:dyDescent="0.25">
      <c r="A188" t="str">
        <f>"20190303162746676"</f>
        <v>20190303162746676</v>
      </c>
      <c r="B188" t="str">
        <f>"1551601666672081"</f>
        <v>1551601666672081</v>
      </c>
      <c r="C188" t="s">
        <v>40</v>
      </c>
      <c r="D188">
        <v>5.068778</v>
      </c>
      <c r="E188">
        <v>0.49218400000000001</v>
      </c>
      <c r="F188" t="s">
        <v>42</v>
      </c>
      <c r="G188">
        <v>-411.47629999999998</v>
      </c>
      <c r="H188">
        <v>-0.05</v>
      </c>
      <c r="I188">
        <v>368.94080000000002</v>
      </c>
      <c r="J188">
        <v>-441.87</v>
      </c>
      <c r="K188">
        <v>1.1207240000000001</v>
      </c>
      <c r="L188">
        <v>367.65839999999997</v>
      </c>
      <c r="M188">
        <v>0.9999439</v>
      </c>
      <c r="N188">
        <v>-9.0319930000000003E-3</v>
      </c>
      <c r="O188">
        <v>5.5582590000000003E-3</v>
      </c>
      <c r="P188">
        <v>0.99094559999999998</v>
      </c>
      <c r="Q188">
        <v>0.13304460000000001</v>
      </c>
      <c r="R188">
        <v>1.8067179999999999E-2</v>
      </c>
      <c r="S188">
        <v>3.040924</v>
      </c>
      <c r="T188">
        <v>-0.1163003</v>
      </c>
      <c r="U188">
        <v>0.12750239999999999</v>
      </c>
      <c r="V188">
        <v>-1.252936E-2</v>
      </c>
      <c r="W188">
        <v>0.14199300000000001</v>
      </c>
      <c r="X188">
        <v>0.98978840000000001</v>
      </c>
      <c r="Y188">
        <v>-3.6307390000000002E-2</v>
      </c>
      <c r="Z188">
        <v>6.9561530000000001E-4</v>
      </c>
      <c r="AA188">
        <v>0.99934040000000002</v>
      </c>
      <c r="AB188">
        <v>21</v>
      </c>
      <c r="AC188">
        <v>30.393699999999999</v>
      </c>
      <c r="AD188">
        <v>-1.1707239999999901</v>
      </c>
      <c r="AE188">
        <v>1.2824000000000499</v>
      </c>
      <c r="AF188">
        <v>-1.11179064793353</v>
      </c>
      <c r="AG188">
        <v>-1.1707239999999901</v>
      </c>
      <c r="AH188">
        <v>30.355400827318501</v>
      </c>
      <c r="AI188">
        <v>92.2071669494307</v>
      </c>
      <c r="AJ188">
        <v>92.097565809072194</v>
      </c>
      <c r="AK188">
        <v>30.398306408682998</v>
      </c>
      <c r="AL188">
        <v>81.836811283059902</v>
      </c>
      <c r="AM188">
        <v>90.725247039836802</v>
      </c>
      <c r="AN188">
        <v>1.0000000368427799</v>
      </c>
    </row>
    <row r="189" spans="1:40" x14ac:dyDescent="0.25">
      <c r="A189" t="str">
        <f>"20190303162746700"</f>
        <v>20190303162746700</v>
      </c>
      <c r="B189" t="str">
        <f>"1551601666691600"</f>
        <v>1551601666691600</v>
      </c>
      <c r="C189" t="s">
        <v>40</v>
      </c>
      <c r="D189">
        <v>4.8995870000000004</v>
      </c>
      <c r="E189">
        <v>0.49231809999999998</v>
      </c>
      <c r="F189" t="s">
        <v>42</v>
      </c>
      <c r="G189">
        <v>-411.38389999999998</v>
      </c>
      <c r="H189">
        <v>-0.05</v>
      </c>
      <c r="I189">
        <v>368.88260000000002</v>
      </c>
      <c r="J189">
        <v>-441.64640000000003</v>
      </c>
      <c r="K189">
        <v>1.1207320000000001</v>
      </c>
      <c r="L189">
        <v>367.65949999999998</v>
      </c>
      <c r="M189">
        <v>0.99994450000000001</v>
      </c>
      <c r="N189">
        <v>-9.0270060000000006E-3</v>
      </c>
      <c r="O189">
        <v>5.4481030000000001E-3</v>
      </c>
      <c r="P189">
        <v>0.99092749999999996</v>
      </c>
      <c r="Q189">
        <v>0.13327749999999999</v>
      </c>
      <c r="R189">
        <v>1.7326910000000001E-2</v>
      </c>
      <c r="S189">
        <v>3.0408629999999999</v>
      </c>
      <c r="T189">
        <v>-0.1167749</v>
      </c>
      <c r="U189">
        <v>0.1221008</v>
      </c>
      <c r="V189">
        <v>-1.190124E-2</v>
      </c>
      <c r="W189">
        <v>0.14222000000000001</v>
      </c>
      <c r="X189">
        <v>0.98976359999999997</v>
      </c>
      <c r="Y189">
        <v>-3.4647329999999997E-2</v>
      </c>
      <c r="Z189">
        <v>6.6136630000000003E-4</v>
      </c>
      <c r="AA189">
        <v>0.99939940000000005</v>
      </c>
      <c r="AB189">
        <v>21</v>
      </c>
      <c r="AC189">
        <v>30.262499999999999</v>
      </c>
      <c r="AD189">
        <v>-1.1707319999999899</v>
      </c>
      <c r="AE189">
        <v>1.22310000000004</v>
      </c>
      <c r="AF189">
        <v>-1.0566231636713601</v>
      </c>
      <c r="AG189">
        <v>-1.1707319999999899</v>
      </c>
      <c r="AH189">
        <v>30.2235559132403</v>
      </c>
      <c r="AI189">
        <v>92.216932729740705</v>
      </c>
      <c r="AJ189">
        <v>92.002259484436493</v>
      </c>
      <c r="AK189">
        <v>30.264672441091999</v>
      </c>
      <c r="AL189">
        <v>81.823672115331306</v>
      </c>
      <c r="AM189">
        <v>90.688909919730804</v>
      </c>
      <c r="AN189">
        <v>1.00000007589924</v>
      </c>
    </row>
    <row r="190" spans="1:40" x14ac:dyDescent="0.25">
      <c r="A190" t="str">
        <f>"20190303162746721"</f>
        <v>20190303162746721</v>
      </c>
      <c r="B190" t="str">
        <f>"1551601666712097"</f>
        <v>1551601666712097</v>
      </c>
      <c r="C190" t="s">
        <v>40</v>
      </c>
      <c r="D190">
        <v>5.0125729999999997</v>
      </c>
      <c r="E190">
        <v>0.49241560000000001</v>
      </c>
      <c r="F190" t="s">
        <v>42</v>
      </c>
      <c r="G190">
        <v>-410.62299999999999</v>
      </c>
      <c r="H190">
        <v>-0.05</v>
      </c>
      <c r="I190">
        <v>368.8723</v>
      </c>
      <c r="J190">
        <v>-441.44220000000001</v>
      </c>
      <c r="K190">
        <v>1.1207290000000001</v>
      </c>
      <c r="L190">
        <v>367.66050000000001</v>
      </c>
      <c r="M190">
        <v>0.99994499999999997</v>
      </c>
      <c r="N190">
        <v>-9.0199359999999992E-3</v>
      </c>
      <c r="O190">
        <v>5.3593069999999998E-3</v>
      </c>
      <c r="P190">
        <v>0.99096050000000002</v>
      </c>
      <c r="Q190">
        <v>0.1331339</v>
      </c>
      <c r="R190">
        <v>1.6521729999999998E-2</v>
      </c>
      <c r="S190">
        <v>3.0408330000000001</v>
      </c>
      <c r="T190">
        <v>-0.1147521</v>
      </c>
      <c r="U190">
        <v>0.118866</v>
      </c>
      <c r="V190">
        <v>-1.1186939999999999E-2</v>
      </c>
      <c r="W190">
        <v>0.14206939999999901</v>
      </c>
      <c r="X190">
        <v>0.98979349999999999</v>
      </c>
      <c r="Y190">
        <v>-3.3676659999999997E-2</v>
      </c>
      <c r="Z190">
        <v>6.3319129999999996E-4</v>
      </c>
      <c r="AA190">
        <v>0.9994326</v>
      </c>
      <c r="AB190">
        <v>21</v>
      </c>
      <c r="AC190">
        <v>30.819199999999899</v>
      </c>
      <c r="AD190">
        <v>-1.1707289999999999</v>
      </c>
      <c r="AE190">
        <v>1.21179999999998</v>
      </c>
      <c r="AF190">
        <v>-1.04510056393686</v>
      </c>
      <c r="AG190">
        <v>-1.1707289999999999</v>
      </c>
      <c r="AH190">
        <v>30.780903378468299</v>
      </c>
      <c r="AI190">
        <v>92.176899695888494</v>
      </c>
      <c r="AJ190">
        <v>91.9446101644142</v>
      </c>
      <c r="AK190">
        <v>30.820883413276501</v>
      </c>
      <c r="AL190">
        <v>81.832388893554096</v>
      </c>
      <c r="AM190">
        <v>90.647546338789198</v>
      </c>
      <c r="AN190">
        <v>1.00000001734258</v>
      </c>
    </row>
    <row r="191" spans="1:40" x14ac:dyDescent="0.25">
      <c r="A191" t="str">
        <f>"20190303162746742"</f>
        <v>20190303162746742</v>
      </c>
      <c r="B191" t="str">
        <f>"1551601666731148"</f>
        <v>1551601666731148</v>
      </c>
      <c r="C191" t="s">
        <v>40</v>
      </c>
      <c r="D191">
        <v>4.8703059999999896</v>
      </c>
      <c r="E191">
        <v>0.49252380000000001</v>
      </c>
      <c r="F191" t="s">
        <v>42</v>
      </c>
      <c r="G191">
        <v>-410.1687</v>
      </c>
      <c r="H191">
        <v>-0.05</v>
      </c>
      <c r="I191">
        <v>368.8526</v>
      </c>
      <c r="J191">
        <v>-441.23700000000002</v>
      </c>
      <c r="K191">
        <v>1.120735</v>
      </c>
      <c r="L191">
        <v>367.66160000000002</v>
      </c>
      <c r="M191">
        <v>0.99994559999999999</v>
      </c>
      <c r="N191">
        <v>-9.0090610000000005E-3</v>
      </c>
      <c r="O191">
        <v>5.282648E-3</v>
      </c>
      <c r="P191">
        <v>0.99099630000000005</v>
      </c>
      <c r="Q191">
        <v>0.13291620000000001</v>
      </c>
      <c r="R191">
        <v>1.6117139999999999E-2</v>
      </c>
      <c r="S191">
        <v>3.0407099999999998</v>
      </c>
      <c r="T191">
        <v>-0.1138296</v>
      </c>
      <c r="U191">
        <v>0.1159058</v>
      </c>
      <c r="V191">
        <v>-1.0861640000000001E-2</v>
      </c>
      <c r="W191">
        <v>0.14184099999999999</v>
      </c>
      <c r="X191">
        <v>0.98982979999999998</v>
      </c>
      <c r="Y191">
        <v>-3.2784439999999998E-2</v>
      </c>
      <c r="Z191">
        <v>6.1096160000000002E-4</v>
      </c>
      <c r="AA191">
        <v>0.99946219999999997</v>
      </c>
      <c r="AB191">
        <v>22</v>
      </c>
      <c r="AC191">
        <v>31.068299999999901</v>
      </c>
      <c r="AD191">
        <v>-1.1707350000000001</v>
      </c>
      <c r="AE191">
        <v>1.1909999999999701</v>
      </c>
      <c r="AF191">
        <v>-1.0253999382524199</v>
      </c>
      <c r="AG191">
        <v>-1.1707350000000001</v>
      </c>
      <c r="AH191">
        <v>31.030160798269801</v>
      </c>
      <c r="AI191">
        <v>92.159506412370703</v>
      </c>
      <c r="AJ191">
        <v>91.892665589571706</v>
      </c>
      <c r="AK191">
        <v>31.0691638870452</v>
      </c>
      <c r="AL191">
        <v>81.845608484272603</v>
      </c>
      <c r="AM191">
        <v>90.628695108880507</v>
      </c>
      <c r="AN191">
        <v>0.99999993873626303</v>
      </c>
    </row>
    <row r="192" spans="1:40" x14ac:dyDescent="0.25">
      <c r="A192" t="str">
        <f>"20190303162746766"</f>
        <v>20190303162746766</v>
      </c>
      <c r="B192" t="str">
        <f>"1551601666751643"</f>
        <v>1551601666751643</v>
      </c>
      <c r="C192" t="s">
        <v>40</v>
      </c>
      <c r="D192">
        <v>5.0126400000000002</v>
      </c>
      <c r="E192">
        <v>0.4926005</v>
      </c>
      <c r="F192" t="s">
        <v>42</v>
      </c>
      <c r="G192">
        <v>-409.77679999999998</v>
      </c>
      <c r="H192">
        <v>-0.05</v>
      </c>
      <c r="I192">
        <v>368.84059999999999</v>
      </c>
      <c r="J192">
        <v>-441.01350000000002</v>
      </c>
      <c r="K192">
        <v>1.1205889999999901</v>
      </c>
      <c r="L192">
        <v>367.6626</v>
      </c>
      <c r="M192">
        <v>0.99995069999999997</v>
      </c>
      <c r="N192">
        <v>-8.4502999999999905E-3</v>
      </c>
      <c r="O192">
        <v>5.2142509999999996E-3</v>
      </c>
      <c r="P192">
        <v>0.99091660000000004</v>
      </c>
      <c r="Q192">
        <v>0.133563299999999</v>
      </c>
      <c r="R192">
        <v>1.5648990000000002E-2</v>
      </c>
      <c r="S192">
        <v>3.0405880000000001</v>
      </c>
      <c r="T192">
        <v>-0.11315</v>
      </c>
      <c r="U192">
        <v>0.1139526</v>
      </c>
      <c r="V192">
        <v>-1.046503E-2</v>
      </c>
      <c r="W192">
        <v>0.141934</v>
      </c>
      <c r="X192">
        <v>0.98982079999999995</v>
      </c>
      <c r="Y192">
        <v>-3.2214409999999999E-2</v>
      </c>
      <c r="Z192">
        <v>5.8534009999999998E-4</v>
      </c>
      <c r="AA192">
        <v>0.99948079999999995</v>
      </c>
      <c r="AB192">
        <v>22</v>
      </c>
      <c r="AC192">
        <v>31.236699999999999</v>
      </c>
      <c r="AD192">
        <v>-1.1705890000000001</v>
      </c>
      <c r="AE192">
        <v>1.1779999999999899</v>
      </c>
      <c r="AF192">
        <v>-1.01368062360134</v>
      </c>
      <c r="AG192">
        <v>-1.1705890000000001</v>
      </c>
      <c r="AH192">
        <v>31.198665987592602</v>
      </c>
      <c r="AI192">
        <v>92.1476251019768</v>
      </c>
      <c r="AJ192">
        <v>91.860951257667296</v>
      </c>
      <c r="AK192">
        <v>31.237070708037798</v>
      </c>
      <c r="AL192">
        <v>81.840225991691298</v>
      </c>
      <c r="AM192">
        <v>90.605745718430398</v>
      </c>
      <c r="AN192">
        <v>0.99999999666077</v>
      </c>
    </row>
    <row r="193" spans="1:40" x14ac:dyDescent="0.25">
      <c r="A193" t="str">
        <f>"20190303162746790"</f>
        <v>20190303162746790</v>
      </c>
      <c r="B193" t="str">
        <f>"1551601666781899"</f>
        <v>1551601666781899</v>
      </c>
      <c r="C193" t="s">
        <v>40</v>
      </c>
      <c r="D193">
        <v>4.8671740000000003</v>
      </c>
      <c r="E193">
        <v>0.4927029</v>
      </c>
      <c r="F193" t="s">
        <v>42</v>
      </c>
      <c r="G193">
        <v>-408.79079999999999</v>
      </c>
      <c r="H193">
        <v>-0.05</v>
      </c>
      <c r="I193">
        <v>368.84629999999999</v>
      </c>
      <c r="J193">
        <v>-440.76679999999999</v>
      </c>
      <c r="K193">
        <v>1.120287</v>
      </c>
      <c r="L193">
        <v>367.66379999999998</v>
      </c>
      <c r="M193">
        <v>0.99995540000000005</v>
      </c>
      <c r="N193">
        <v>-7.9337509999999993E-3</v>
      </c>
      <c r="O193">
        <v>5.1527810000000004E-3</v>
      </c>
      <c r="P193">
        <v>0.99079609999999996</v>
      </c>
      <c r="Q193">
        <v>0.13440150000000001</v>
      </c>
      <c r="R193">
        <v>1.6114659999999999E-2</v>
      </c>
      <c r="S193">
        <v>3.0406490000000002</v>
      </c>
      <c r="T193">
        <v>-0.1104609</v>
      </c>
      <c r="U193">
        <v>0.1116943</v>
      </c>
      <c r="V193">
        <v>-1.099549E-2</v>
      </c>
      <c r="W193">
        <v>0.14225960000000001</v>
      </c>
      <c r="X193">
        <v>0.98976830000000005</v>
      </c>
      <c r="Y193">
        <v>-3.1535750000000001E-2</v>
      </c>
      <c r="Z193">
        <v>5.5142479999999996E-4</v>
      </c>
      <c r="AA193">
        <v>0.99950249999999996</v>
      </c>
      <c r="AB193">
        <v>22</v>
      </c>
      <c r="AC193">
        <v>31.975999999999999</v>
      </c>
      <c r="AD193">
        <v>-1.1702870000000001</v>
      </c>
      <c r="AE193">
        <v>1.1825000000000001</v>
      </c>
      <c r="AF193">
        <v>-1.0163542862520001</v>
      </c>
      <c r="AG193">
        <v>-1.1702870000000001</v>
      </c>
      <c r="AH193">
        <v>31.938945648418201</v>
      </c>
      <c r="AI193">
        <v>92.097396841177201</v>
      </c>
      <c r="AJ193">
        <v>91.8226389701925</v>
      </c>
      <c r="AK193">
        <v>31.976535097320401</v>
      </c>
      <c r="AL193">
        <v>81.821379197901607</v>
      </c>
      <c r="AM193">
        <v>90.636481544210994</v>
      </c>
      <c r="AN193">
        <v>0.99999999113869498</v>
      </c>
    </row>
    <row r="194" spans="1:40" x14ac:dyDescent="0.25">
      <c r="A194" t="str">
        <f>"20190303162746812"</f>
        <v>20190303162746812</v>
      </c>
      <c r="B194" t="str">
        <f>"1551601666801418"</f>
        <v>1551601666801418</v>
      </c>
      <c r="C194" t="s">
        <v>40</v>
      </c>
      <c r="D194">
        <v>4.6299659999999996</v>
      </c>
      <c r="E194">
        <v>0.49280249999999998</v>
      </c>
      <c r="F194" t="s">
        <v>42</v>
      </c>
      <c r="G194">
        <v>-407.35320000000002</v>
      </c>
      <c r="H194">
        <v>-0.05</v>
      </c>
      <c r="I194">
        <v>368.89400000000001</v>
      </c>
      <c r="J194">
        <v>-440.55739999999997</v>
      </c>
      <c r="K194">
        <v>1.1199349999999999</v>
      </c>
      <c r="L194">
        <v>367.66489999999999</v>
      </c>
      <c r="M194">
        <v>0.9999557</v>
      </c>
      <c r="N194">
        <v>-7.9236080000000004E-3</v>
      </c>
      <c r="O194">
        <v>5.1090170000000004E-3</v>
      </c>
      <c r="P194">
        <v>0.99079329999999999</v>
      </c>
      <c r="Q194">
        <v>0.1343124</v>
      </c>
      <c r="R194">
        <v>1.6996250000000001E-2</v>
      </c>
      <c r="S194">
        <v>3.0404969999999998</v>
      </c>
      <c r="T194">
        <v>-0.1064913</v>
      </c>
      <c r="U194">
        <v>0.1119385</v>
      </c>
      <c r="V194">
        <v>-1.1923059999999999E-2</v>
      </c>
      <c r="W194">
        <v>0.1421605</v>
      </c>
      <c r="X194">
        <v>0.98977179999999998</v>
      </c>
      <c r="Y194">
        <v>-3.1662820000000001E-2</v>
      </c>
      <c r="Z194">
        <v>5.4130089999999997E-4</v>
      </c>
      <c r="AA194">
        <v>0.99949849999999996</v>
      </c>
      <c r="AB194">
        <v>22</v>
      </c>
      <c r="AC194">
        <v>33.204199999999901</v>
      </c>
      <c r="AD194">
        <v>-1.1699349999999999</v>
      </c>
      <c r="AE194">
        <v>1.2291000000000101</v>
      </c>
      <c r="AF194">
        <v>-1.0581259966210399</v>
      </c>
      <c r="AG194">
        <v>-1.1699349999999999</v>
      </c>
      <c r="AH194">
        <v>33.168924318275103</v>
      </c>
      <c r="AI194">
        <v>92.019074202850604</v>
      </c>
      <c r="AJ194">
        <v>91.8271801558231</v>
      </c>
      <c r="AK194">
        <v>33.206413822639902</v>
      </c>
      <c r="AL194">
        <v>81.8271155144825</v>
      </c>
      <c r="AM194">
        <v>90.690167143194998</v>
      </c>
      <c r="AN194">
        <v>0.99999999159762598</v>
      </c>
    </row>
    <row r="195" spans="1:40" x14ac:dyDescent="0.25">
      <c r="A195" t="str">
        <f>"20190303162746832"</f>
        <v>20190303162746832</v>
      </c>
      <c r="B195" t="str">
        <f>"1551601666821916"</f>
        <v>1551601666821916</v>
      </c>
      <c r="C195" t="s">
        <v>40</v>
      </c>
      <c r="D195">
        <v>4.8670540000000004</v>
      </c>
      <c r="E195">
        <v>0.492871</v>
      </c>
      <c r="F195" t="s">
        <v>42</v>
      </c>
      <c r="G195">
        <v>-406.96769999999998</v>
      </c>
      <c r="H195">
        <v>-0.05</v>
      </c>
      <c r="I195">
        <v>368.91980000000001</v>
      </c>
      <c r="J195">
        <v>-440.34710000000001</v>
      </c>
      <c r="K195">
        <v>1.1194299999999999</v>
      </c>
      <c r="L195">
        <v>367.66590000000002</v>
      </c>
      <c r="M195">
        <v>0.99995239999999996</v>
      </c>
      <c r="N195">
        <v>-8.3462580000000005E-3</v>
      </c>
      <c r="O195">
        <v>5.0716750000000003E-3</v>
      </c>
      <c r="P195">
        <v>0.99081819999999998</v>
      </c>
      <c r="Q195">
        <v>0.134052799999999</v>
      </c>
      <c r="R195">
        <v>1.758643E-2</v>
      </c>
      <c r="S195">
        <v>3.0402529999999999</v>
      </c>
      <c r="T195">
        <v>-0.10589270000000001</v>
      </c>
      <c r="U195">
        <v>0.1135864</v>
      </c>
      <c r="V195">
        <v>-1.2551420000000001E-2</v>
      </c>
      <c r="W195">
        <v>0.1423191</v>
      </c>
      <c r="X195">
        <v>0.98974130000000005</v>
      </c>
      <c r="Y195">
        <v>-3.2243569999999999E-2</v>
      </c>
      <c r="Z195">
        <v>5.6159500000000002E-4</v>
      </c>
      <c r="AA195">
        <v>0.99947989999999998</v>
      </c>
      <c r="AB195">
        <v>22</v>
      </c>
      <c r="AC195">
        <v>33.379399999999997</v>
      </c>
      <c r="AD195">
        <v>-1.16943</v>
      </c>
      <c r="AE195">
        <v>1.25389999999998</v>
      </c>
      <c r="AF195">
        <v>-1.08326078600232</v>
      </c>
      <c r="AG195">
        <v>-1.16943</v>
      </c>
      <c r="AH195">
        <v>33.344460454519599</v>
      </c>
      <c r="AI195">
        <v>92.007549834604006</v>
      </c>
      <c r="AJ195">
        <v>91.860712368044702</v>
      </c>
      <c r="AK195">
        <v>33.382541297187203</v>
      </c>
      <c r="AL195">
        <v>81.817935561919199</v>
      </c>
      <c r="AM195">
        <v>90.726558390089295</v>
      </c>
      <c r="AN195">
        <v>1.0000000526472499</v>
      </c>
    </row>
    <row r="196" spans="1:40" x14ac:dyDescent="0.25">
      <c r="A196" t="str">
        <f>"20190303162746854"</f>
        <v>20190303162746854</v>
      </c>
      <c r="B196" t="str">
        <f>"1551601666841435"</f>
        <v>1551601666841435</v>
      </c>
      <c r="C196" t="s">
        <v>40</v>
      </c>
      <c r="D196">
        <v>4.8725239999999896</v>
      </c>
      <c r="E196">
        <v>0.49294070000000001</v>
      </c>
      <c r="F196" t="s">
        <v>42</v>
      </c>
      <c r="G196">
        <v>-406.66030000000001</v>
      </c>
      <c r="H196">
        <v>-0.05</v>
      </c>
      <c r="I196">
        <v>368.93669999999997</v>
      </c>
      <c r="J196">
        <v>-440.13369999999998</v>
      </c>
      <c r="K196">
        <v>1.118706</v>
      </c>
      <c r="L196">
        <v>367.6669</v>
      </c>
      <c r="M196">
        <v>0.99994559999999999</v>
      </c>
      <c r="N196">
        <v>-9.1233860000000007E-3</v>
      </c>
      <c r="O196">
        <v>5.0416659999999898E-3</v>
      </c>
      <c r="P196">
        <v>0.99090270000000003</v>
      </c>
      <c r="Q196">
        <v>0.13336589999999901</v>
      </c>
      <c r="R196">
        <v>1.8040190000000001E-2</v>
      </c>
      <c r="S196">
        <v>3.0400999999999998</v>
      </c>
      <c r="T196">
        <v>-0.10553650000000001</v>
      </c>
      <c r="U196">
        <v>0.1146851</v>
      </c>
      <c r="V196">
        <v>-1.3035E-2</v>
      </c>
      <c r="W196">
        <v>0.14240259999999999</v>
      </c>
      <c r="X196">
        <v>0.98972300000000002</v>
      </c>
      <c r="Y196">
        <v>-3.2635369999999997E-2</v>
      </c>
      <c r="Z196">
        <v>5.8615030000000001E-4</v>
      </c>
      <c r="AA196">
        <v>0.99946710000000005</v>
      </c>
      <c r="AB196">
        <v>22</v>
      </c>
      <c r="AC196">
        <v>33.473399999999899</v>
      </c>
      <c r="AD196">
        <v>-1.168706</v>
      </c>
      <c r="AE196">
        <v>1.2697999999999701</v>
      </c>
      <c r="AF196">
        <v>-1.0996765201571901</v>
      </c>
      <c r="AG196">
        <v>-1.168706</v>
      </c>
      <c r="AH196">
        <v>33.438672873545897</v>
      </c>
      <c r="AI196">
        <v>92.000633787624196</v>
      </c>
      <c r="AJ196">
        <v>91.8835712817624</v>
      </c>
      <c r="AK196">
        <v>33.477156475833503</v>
      </c>
      <c r="AL196">
        <v>81.813101818535301</v>
      </c>
      <c r="AM196">
        <v>90.7545619410771</v>
      </c>
      <c r="AN196">
        <v>1.00000001422038</v>
      </c>
    </row>
    <row r="197" spans="1:40" x14ac:dyDescent="0.25">
      <c r="A197" t="str">
        <f>"20190303162746877"</f>
        <v>20190303162746877</v>
      </c>
      <c r="B197" t="str">
        <f>"1551601666871691"</f>
        <v>1551601666871691</v>
      </c>
      <c r="C197" t="s">
        <v>40</v>
      </c>
      <c r="D197">
        <v>5.0583159999999996</v>
      </c>
      <c r="E197">
        <v>0.52143260000000002</v>
      </c>
      <c r="F197" t="s">
        <v>42</v>
      </c>
      <c r="G197">
        <v>-406.83359999999999</v>
      </c>
      <c r="H197">
        <v>-0.05</v>
      </c>
      <c r="I197">
        <v>368.93729999999999</v>
      </c>
      <c r="J197">
        <v>-439.9008</v>
      </c>
      <c r="K197">
        <v>1.1177010000000001</v>
      </c>
      <c r="L197">
        <v>367.66809999999998</v>
      </c>
      <c r="M197">
        <v>0.99993310000000002</v>
      </c>
      <c r="N197">
        <v>-1.0436300000000001E-2</v>
      </c>
      <c r="O197">
        <v>5.0157759999999996E-3</v>
      </c>
      <c r="P197">
        <v>0.99107310000000004</v>
      </c>
      <c r="Q197">
        <v>0.132182299999999</v>
      </c>
      <c r="R197">
        <v>1.739162E-2</v>
      </c>
      <c r="S197">
        <v>3.039825</v>
      </c>
      <c r="T197">
        <v>-0.10668610000000001</v>
      </c>
      <c r="U197">
        <v>0.11596679999999999</v>
      </c>
      <c r="V197">
        <v>-1.241041E-2</v>
      </c>
      <c r="W197">
        <v>0.14252020000000001</v>
      </c>
      <c r="X197">
        <v>0.98971410000000004</v>
      </c>
      <c r="Y197">
        <v>-3.3083670000000003E-2</v>
      </c>
      <c r="Z197">
        <v>6.2934410000000003E-4</v>
      </c>
      <c r="AA197">
        <v>0.99945240000000002</v>
      </c>
      <c r="AB197">
        <v>22</v>
      </c>
      <c r="AC197">
        <v>33.0672</v>
      </c>
      <c r="AD197">
        <v>-1.1677010000000001</v>
      </c>
      <c r="AE197">
        <v>1.2692000000000101</v>
      </c>
      <c r="AF197">
        <v>-1.10194524417052</v>
      </c>
      <c r="AG197">
        <v>-1.1677010000000001</v>
      </c>
      <c r="AH197">
        <v>33.032019843388902</v>
      </c>
      <c r="AI197">
        <v>92.023471165211504</v>
      </c>
      <c r="AJ197">
        <v>91.910673533213199</v>
      </c>
      <c r="AK197">
        <v>33.0710166744324</v>
      </c>
      <c r="AL197">
        <v>81.806294389299296</v>
      </c>
      <c r="AM197">
        <v>90.718416409531997</v>
      </c>
      <c r="AN197">
        <v>1.0000000127116</v>
      </c>
    </row>
    <row r="198" spans="1:40" x14ac:dyDescent="0.25">
      <c r="A198" t="str">
        <f>"20190303162746899"</f>
        <v>20190303162746899</v>
      </c>
      <c r="B198" t="str">
        <f>"1551601666892187"</f>
        <v>1551601666892187</v>
      </c>
      <c r="C198" t="s">
        <v>40</v>
      </c>
      <c r="D198">
        <v>4.9737589999999896</v>
      </c>
      <c r="E198">
        <v>0.53180680000000002</v>
      </c>
      <c r="F198" t="s">
        <v>44</v>
      </c>
      <c r="G198">
        <v>-439.11500000000001</v>
      </c>
      <c r="H198">
        <v>1.032648</v>
      </c>
      <c r="I198">
        <v>367.6395</v>
      </c>
      <c r="J198">
        <v>-439.67149999999998</v>
      </c>
      <c r="K198">
        <v>1.116527</v>
      </c>
      <c r="L198">
        <v>367.66919999999999</v>
      </c>
      <c r="M198">
        <v>0.99991249999999998</v>
      </c>
      <c r="N198">
        <v>-1.225395E-2</v>
      </c>
      <c r="O198">
        <v>4.9915519999999998E-3</v>
      </c>
      <c r="P198">
        <v>0.99128629999999995</v>
      </c>
      <c r="Q198">
        <v>0.1306707</v>
      </c>
      <c r="R198">
        <v>1.66333E-2</v>
      </c>
      <c r="S198">
        <v>3.073334</v>
      </c>
      <c r="T198">
        <v>-0.3327155</v>
      </c>
      <c r="U198">
        <v>-0.111084</v>
      </c>
      <c r="V198">
        <v>-1.1674179999999999E-2</v>
      </c>
      <c r="W198">
        <v>0.14280989999999999</v>
      </c>
      <c r="X198">
        <v>0.98968129999999999</v>
      </c>
      <c r="Y198">
        <v>4.0820809999999999E-2</v>
      </c>
      <c r="Z198">
        <v>-2.9311189999999998E-3</v>
      </c>
      <c r="AA198">
        <v>0.9991622</v>
      </c>
      <c r="AB198">
        <v>22</v>
      </c>
      <c r="AC198">
        <v>0.55649999999997102</v>
      </c>
      <c r="AD198">
        <v>-8.3878999999999995E-2</v>
      </c>
      <c r="AE198">
        <v>-2.9699999999991102E-2</v>
      </c>
      <c r="AF198">
        <v>3.1758193572565499E-2</v>
      </c>
      <c r="AG198">
        <v>-8.3878999999999995E-2</v>
      </c>
      <c r="AH198">
        <v>0.54402067448055003</v>
      </c>
      <c r="AI198">
        <v>98.7503755466917</v>
      </c>
      <c r="AJ198">
        <v>86.659046668410994</v>
      </c>
      <c r="AK198">
        <v>0.55136445638276799</v>
      </c>
      <c r="AL198">
        <v>81.789524278124901</v>
      </c>
      <c r="AM198">
        <v>90.675823845955605</v>
      </c>
      <c r="AN198">
        <v>1.00000001479318</v>
      </c>
    </row>
    <row r="199" spans="1:40" x14ac:dyDescent="0.25">
      <c r="A199" t="str">
        <f>"20190303162746922"</f>
        <v>20190303162746922</v>
      </c>
      <c r="B199" t="str">
        <f>"1551601666911707"</f>
        <v>1551601666911707</v>
      </c>
      <c r="C199" t="s">
        <v>40</v>
      </c>
      <c r="D199">
        <v>4.9666240000000004</v>
      </c>
      <c r="E199">
        <v>0.53899649999999999</v>
      </c>
      <c r="F199" t="s">
        <v>44</v>
      </c>
      <c r="G199">
        <v>-438.93869999999998</v>
      </c>
      <c r="H199">
        <v>0.98398600000000003</v>
      </c>
      <c r="I199">
        <v>367.62310000000002</v>
      </c>
      <c r="J199">
        <v>-439.45330000000001</v>
      </c>
      <c r="K199">
        <v>1.1152420000000001</v>
      </c>
      <c r="L199">
        <v>367.67020000000002</v>
      </c>
      <c r="M199">
        <v>0.99988659999999996</v>
      </c>
      <c r="N199">
        <v>-1.42252E-2</v>
      </c>
      <c r="O199">
        <v>4.9654039999999997E-3</v>
      </c>
      <c r="P199">
        <v>0.99146630000000002</v>
      </c>
      <c r="Q199">
        <v>0.12946079999999999</v>
      </c>
      <c r="R199">
        <v>1.531747E-2</v>
      </c>
      <c r="S199">
        <v>3.1036069999999998</v>
      </c>
      <c r="T199">
        <v>-0.56147829999999999</v>
      </c>
      <c r="U199">
        <v>-0.19351199999999999</v>
      </c>
      <c r="V199">
        <v>-1.038234E-2</v>
      </c>
      <c r="W199">
        <v>0.14355319999999999</v>
      </c>
      <c r="X199">
        <v>0.98958809999999997</v>
      </c>
      <c r="Y199">
        <v>6.5964869999999995E-2</v>
      </c>
      <c r="Z199">
        <v>-7.2071929999999998E-3</v>
      </c>
      <c r="AA199">
        <v>0.99779589999999996</v>
      </c>
      <c r="AB199">
        <v>22</v>
      </c>
      <c r="AC199">
        <v>0.51460000000002903</v>
      </c>
      <c r="AD199">
        <v>-0.13125600000000001</v>
      </c>
      <c r="AE199">
        <v>-4.7100000000000301E-2</v>
      </c>
      <c r="AF199">
        <v>4.6645439805407397E-2</v>
      </c>
      <c r="AG199">
        <v>-0.13125600000000001</v>
      </c>
      <c r="AH199">
        <v>0.483185941615901</v>
      </c>
      <c r="AI199">
        <v>105.130397825312</v>
      </c>
      <c r="AJ199">
        <v>84.485910320112197</v>
      </c>
      <c r="AK199">
        <v>0.50286438406978495</v>
      </c>
      <c r="AL199">
        <v>81.746492501322905</v>
      </c>
      <c r="AM199">
        <v>90.601101042654193</v>
      </c>
      <c r="AN199">
        <v>0.99999996093786203</v>
      </c>
    </row>
    <row r="200" spans="1:40" x14ac:dyDescent="0.25">
      <c r="A200" t="str">
        <f>"20190303162746943"</f>
        <v>20190303162746943</v>
      </c>
      <c r="B200" t="str">
        <f>"1551601666932204"</f>
        <v>1551601666932204</v>
      </c>
      <c r="C200" t="s">
        <v>40</v>
      </c>
      <c r="D200">
        <v>4.971025</v>
      </c>
      <c r="E200">
        <v>0.53935999999999995</v>
      </c>
      <c r="F200" t="s">
        <v>44</v>
      </c>
      <c r="G200">
        <v>-438.78539999999998</v>
      </c>
      <c r="H200">
        <v>0.88655969999999995</v>
      </c>
      <c r="I200">
        <v>367.61739999999998</v>
      </c>
      <c r="J200">
        <v>-439.24200000000002</v>
      </c>
      <c r="K200">
        <v>1.1138509999999999</v>
      </c>
      <c r="L200">
        <v>367.67129999999997</v>
      </c>
      <c r="M200">
        <v>0.99985900000000005</v>
      </c>
      <c r="N200">
        <v>-1.6050209999999999E-2</v>
      </c>
      <c r="O200">
        <v>4.9356259999999898E-3</v>
      </c>
      <c r="P200">
        <v>0.99161849999999996</v>
      </c>
      <c r="Q200">
        <v>0.12845860000000001</v>
      </c>
      <c r="R200">
        <v>1.382603E-2</v>
      </c>
      <c r="S200">
        <v>3.171478</v>
      </c>
      <c r="T200">
        <v>-1.085704</v>
      </c>
      <c r="U200">
        <v>-0.24908449999999999</v>
      </c>
      <c r="V200">
        <v>-8.9194169999999903E-3</v>
      </c>
      <c r="W200">
        <v>0.14435919999999999</v>
      </c>
      <c r="X200">
        <v>0.98948510000000001</v>
      </c>
      <c r="Y200">
        <v>7.8307730000000006E-2</v>
      </c>
      <c r="Z200">
        <v>-1.522517E-2</v>
      </c>
      <c r="AA200">
        <v>0.9968129</v>
      </c>
      <c r="AB200">
        <v>22</v>
      </c>
      <c r="AC200">
        <v>0.45659999999998002</v>
      </c>
      <c r="AD200">
        <v>-0.2272913</v>
      </c>
      <c r="AE200">
        <v>-5.3899999999998699E-2</v>
      </c>
      <c r="AF200">
        <v>4.5125108145636597E-2</v>
      </c>
      <c r="AG200">
        <v>-0.2272913</v>
      </c>
      <c r="AH200">
        <v>0.36670843893546101</v>
      </c>
      <c r="AI200">
        <v>121.59877534234001</v>
      </c>
      <c r="AJ200">
        <v>82.984766213989303</v>
      </c>
      <c r="AK200">
        <v>0.43378876152723</v>
      </c>
      <c r="AL200">
        <v>81.699825923784601</v>
      </c>
      <c r="AM200">
        <v>90.516461651319204</v>
      </c>
      <c r="AN200">
        <v>0.99999994887313304</v>
      </c>
    </row>
    <row r="201" spans="1:40" x14ac:dyDescent="0.25">
      <c r="A201" t="str">
        <f>"20190303162746966"</f>
        <v>20190303162746966</v>
      </c>
      <c r="B201" t="str">
        <f>"1551601666951724"</f>
        <v>1551601666951724</v>
      </c>
      <c r="C201" t="s">
        <v>40</v>
      </c>
      <c r="D201">
        <v>5.0065739999999996</v>
      </c>
      <c r="E201">
        <v>0.53964259999999997</v>
      </c>
      <c r="F201" t="s">
        <v>44</v>
      </c>
      <c r="G201">
        <v>-438.40690000000001</v>
      </c>
      <c r="H201">
        <v>0.83379099999999995</v>
      </c>
      <c r="I201">
        <v>367.60379999999998</v>
      </c>
      <c r="J201">
        <v>-439.01929999999999</v>
      </c>
      <c r="K201">
        <v>1.112279</v>
      </c>
      <c r="L201">
        <v>367.67230000000001</v>
      </c>
      <c r="M201">
        <v>0.99983129999999998</v>
      </c>
      <c r="N201">
        <v>-1.770863E-2</v>
      </c>
      <c r="O201">
        <v>4.9019099999999998E-3</v>
      </c>
      <c r="P201">
        <v>0.99174890000000004</v>
      </c>
      <c r="Q201">
        <v>0.12756329999999999</v>
      </c>
      <c r="R201">
        <v>1.2726019999999999E-2</v>
      </c>
      <c r="S201">
        <v>3.1664119999999998</v>
      </c>
      <c r="T201">
        <v>-1.0617289999999999</v>
      </c>
      <c r="U201">
        <v>-0.25506590000000001</v>
      </c>
      <c r="V201">
        <v>-7.8512800000000004E-3</v>
      </c>
      <c r="W201">
        <v>0.1451075</v>
      </c>
      <c r="X201">
        <v>0.98938479999999995</v>
      </c>
      <c r="Y201">
        <v>8.0327229999999999E-2</v>
      </c>
      <c r="Z201">
        <v>-1.533444E-2</v>
      </c>
      <c r="AA201">
        <v>0.99665060000000005</v>
      </c>
      <c r="AB201">
        <v>22</v>
      </c>
      <c r="AC201">
        <v>0.61239999999997896</v>
      </c>
      <c r="AD201">
        <v>-0.27848800000000001</v>
      </c>
      <c r="AE201">
        <v>-6.8500000000028594E-2</v>
      </c>
      <c r="AF201">
        <v>5.9374813917545399E-2</v>
      </c>
      <c r="AG201">
        <v>-0.27848800000000001</v>
      </c>
      <c r="AH201">
        <v>0.50825115462451298</v>
      </c>
      <c r="AI201">
        <v>118.556479979125</v>
      </c>
      <c r="AJ201">
        <v>83.336806073895701</v>
      </c>
      <c r="AK201">
        <v>0.58258061317631704</v>
      </c>
      <c r="AL201">
        <v>81.656496145368905</v>
      </c>
      <c r="AM201">
        <v>90.454662094583099</v>
      </c>
      <c r="AN201">
        <v>1.00000005581246</v>
      </c>
    </row>
    <row r="202" spans="1:40" x14ac:dyDescent="0.25">
      <c r="A202" t="str">
        <f>"20190303162746990"</f>
        <v>20190303162746990</v>
      </c>
      <c r="B202" t="str">
        <f>"1551601666981980"</f>
        <v>1551601666981980</v>
      </c>
      <c r="C202" t="s">
        <v>40</v>
      </c>
      <c r="D202">
        <v>5.0400049999999998</v>
      </c>
      <c r="E202">
        <v>0.53954309999999905</v>
      </c>
      <c r="F202" t="s">
        <v>44</v>
      </c>
      <c r="G202">
        <v>-438.2029</v>
      </c>
      <c r="H202">
        <v>0.84266390000000002</v>
      </c>
      <c r="I202">
        <v>367.60469999999998</v>
      </c>
      <c r="J202">
        <v>-438.77679999999998</v>
      </c>
      <c r="K202">
        <v>1.1105659999999999</v>
      </c>
      <c r="L202">
        <v>367.67349999999999</v>
      </c>
      <c r="M202">
        <v>0.99980270000000004</v>
      </c>
      <c r="N202">
        <v>-1.9254360000000002E-2</v>
      </c>
      <c r="O202">
        <v>4.8650969999999997E-3</v>
      </c>
      <c r="P202">
        <v>0.99182950000000003</v>
      </c>
      <c r="Q202">
        <v>0.1270173</v>
      </c>
      <c r="R202">
        <v>1.186477E-2</v>
      </c>
      <c r="S202">
        <v>3.1626280000000002</v>
      </c>
      <c r="T202">
        <v>-1.0444610000000001</v>
      </c>
      <c r="U202">
        <v>-0.26022339999999999</v>
      </c>
      <c r="V202">
        <v>-7.0255819999999998E-3</v>
      </c>
      <c r="W202">
        <v>0.14609249999999999</v>
      </c>
      <c r="X202">
        <v>0.98924599999999996</v>
      </c>
      <c r="Y202">
        <v>8.2027740000000002E-2</v>
      </c>
      <c r="Z202">
        <v>-1.545799E-2</v>
      </c>
      <c r="AA202">
        <v>0.99651009999999995</v>
      </c>
      <c r="AB202">
        <v>22</v>
      </c>
      <c r="AC202">
        <v>0.57389999999997998</v>
      </c>
      <c r="AD202">
        <v>-0.26790209999999898</v>
      </c>
      <c r="AE202">
        <v>-6.8800000000010103E-2</v>
      </c>
      <c r="AF202">
        <v>5.89318164762632E-2</v>
      </c>
      <c r="AG202">
        <v>-0.26790209999999898</v>
      </c>
      <c r="AH202">
        <v>0.472132954618878</v>
      </c>
      <c r="AI202">
        <v>119.382123044332</v>
      </c>
      <c r="AJ202">
        <v>82.885116813072599</v>
      </c>
      <c r="AK202">
        <v>0.546034816669004</v>
      </c>
      <c r="AL202">
        <v>81.599451550929601</v>
      </c>
      <c r="AM202">
        <v>90.406905289230096</v>
      </c>
      <c r="AN202">
        <v>1.0000000129373401</v>
      </c>
    </row>
    <row r="203" spans="1:40" x14ac:dyDescent="0.25">
      <c r="A203" t="str">
        <f>"20190303162747014"</f>
        <v>20190303162747014</v>
      </c>
      <c r="B203" t="str">
        <f>"1551601667001499"</f>
        <v>1551601667001499</v>
      </c>
      <c r="C203" t="s">
        <v>40</v>
      </c>
      <c r="D203">
        <v>5.0602470000000004</v>
      </c>
      <c r="E203">
        <v>0.53933169999999897</v>
      </c>
      <c r="F203" t="s">
        <v>44</v>
      </c>
      <c r="G203">
        <v>-437.99700000000001</v>
      </c>
      <c r="H203">
        <v>0.85552430000000002</v>
      </c>
      <c r="I203">
        <v>367.60879999999997</v>
      </c>
      <c r="J203">
        <v>-438.54570000000001</v>
      </c>
      <c r="K203">
        <v>1.108954</v>
      </c>
      <c r="L203">
        <v>367.67450000000002</v>
      </c>
      <c r="M203">
        <v>0.99978100000000003</v>
      </c>
      <c r="N203">
        <v>-2.0365830000000001E-2</v>
      </c>
      <c r="O203">
        <v>4.8287470000000004E-3</v>
      </c>
      <c r="P203">
        <v>0.99187409999999998</v>
      </c>
      <c r="Q203">
        <v>0.12672459999999999</v>
      </c>
      <c r="R203">
        <v>1.127039E-2</v>
      </c>
      <c r="S203">
        <v>3.1601870000000001</v>
      </c>
      <c r="T203">
        <v>-1.033793</v>
      </c>
      <c r="U203">
        <v>-0.26110840000000002</v>
      </c>
      <c r="V203">
        <v>-6.4662969999999898E-3</v>
      </c>
      <c r="W203">
        <v>0.14690010000000001</v>
      </c>
      <c r="X203">
        <v>0.98913019999999996</v>
      </c>
      <c r="Y203">
        <v>8.2386539999999994E-2</v>
      </c>
      <c r="Z203">
        <v>-1.541675E-2</v>
      </c>
      <c r="AA203">
        <v>0.99648119999999996</v>
      </c>
      <c r="AB203">
        <v>22</v>
      </c>
      <c r="AC203">
        <v>0.54870000000005303</v>
      </c>
      <c r="AD203">
        <v>-0.25342969999999998</v>
      </c>
      <c r="AE203">
        <v>-6.5700000000049302E-2</v>
      </c>
      <c r="AF203">
        <v>5.6472505497726498E-2</v>
      </c>
      <c r="AG203">
        <v>-0.25342969999999998</v>
      </c>
      <c r="AH203">
        <v>0.45308694116700898</v>
      </c>
      <c r="AI203">
        <v>119.032263900073</v>
      </c>
      <c r="AJ203">
        <v>82.895324936558296</v>
      </c>
      <c r="AK203">
        <v>0.522210238290439</v>
      </c>
      <c r="AL203">
        <v>81.552674725518401</v>
      </c>
      <c r="AM203">
        <v>90.374557615782507</v>
      </c>
      <c r="AN203">
        <v>1.00000000246447</v>
      </c>
    </row>
    <row r="204" spans="1:40" x14ac:dyDescent="0.25">
      <c r="A204" t="str">
        <f>"20190303162747033"</f>
        <v>20190303162747033</v>
      </c>
      <c r="B204" t="str">
        <f>"1551601667021995"</f>
        <v>1551601667021995</v>
      </c>
      <c r="C204" t="s">
        <v>40</v>
      </c>
      <c r="D204">
        <v>5.0761440000000002</v>
      </c>
      <c r="E204">
        <v>0.53910590000000003</v>
      </c>
      <c r="F204" t="s">
        <v>44</v>
      </c>
      <c r="G204">
        <v>-437.79169999999999</v>
      </c>
      <c r="H204">
        <v>0.86286759999999996</v>
      </c>
      <c r="I204">
        <v>367.61169999999998</v>
      </c>
      <c r="J204">
        <v>-438.33839999999998</v>
      </c>
      <c r="K204">
        <v>1.1074820000000001</v>
      </c>
      <c r="L204">
        <v>367.6755</v>
      </c>
      <c r="M204">
        <v>0.99976940000000003</v>
      </c>
      <c r="N204">
        <v>-2.093076E-2</v>
      </c>
      <c r="O204">
        <v>4.7948950000000004E-3</v>
      </c>
      <c r="P204">
        <v>0.99180500000000005</v>
      </c>
      <c r="Q204">
        <v>0.12729579999999999</v>
      </c>
      <c r="R204">
        <v>1.0905700000000001E-2</v>
      </c>
      <c r="S204">
        <v>3.1592709999999999</v>
      </c>
      <c r="T204">
        <v>-1.0310549999999901</v>
      </c>
      <c r="U204">
        <v>-0.26028440000000003</v>
      </c>
      <c r="V204">
        <v>-6.1350939999999998E-3</v>
      </c>
      <c r="W204">
        <v>0.14802870000000001</v>
      </c>
      <c r="X204">
        <v>0.98896399999999995</v>
      </c>
      <c r="Y204">
        <v>8.2147419999999999E-2</v>
      </c>
      <c r="Z204">
        <v>-1.5354609999999999E-2</v>
      </c>
      <c r="AA204">
        <v>0.99650190000000005</v>
      </c>
      <c r="AB204">
        <v>22</v>
      </c>
      <c r="AC204">
        <v>0.54669999999998697</v>
      </c>
      <c r="AD204">
        <v>-0.24461440000000001</v>
      </c>
      <c r="AE204">
        <v>-6.3800000000014706E-2</v>
      </c>
      <c r="AF204">
        <v>5.5466056394680899E-2</v>
      </c>
      <c r="AG204">
        <v>-0.24461440000000001</v>
      </c>
      <c r="AH204">
        <v>0.456269507791153</v>
      </c>
      <c r="AI204">
        <v>118.021919567461</v>
      </c>
      <c r="AJ204">
        <v>83.068890868129898</v>
      </c>
      <c r="AK204">
        <v>0.52066741000308303</v>
      </c>
      <c r="AL204">
        <v>81.487295615879205</v>
      </c>
      <c r="AM204">
        <v>90.355433043035504</v>
      </c>
      <c r="AN204">
        <v>0.99999996434903804</v>
      </c>
    </row>
    <row r="205" spans="1:40" x14ac:dyDescent="0.25">
      <c r="A205" t="str">
        <f>"20190303162747056"</f>
        <v>20190303162747056</v>
      </c>
      <c r="B205" t="str">
        <f>"1551601667041515"</f>
        <v>1551601667041515</v>
      </c>
      <c r="C205" t="s">
        <v>40</v>
      </c>
      <c r="D205">
        <v>5.0888849999999897</v>
      </c>
      <c r="E205">
        <v>0.53885559999999999</v>
      </c>
      <c r="F205" t="s">
        <v>44</v>
      </c>
      <c r="G205">
        <v>-437.58780000000002</v>
      </c>
      <c r="H205">
        <v>0.86347809999999903</v>
      </c>
      <c r="I205">
        <v>367.61399999999998</v>
      </c>
      <c r="J205">
        <v>-438.11189999999999</v>
      </c>
      <c r="K205">
        <v>1.1058460000000001</v>
      </c>
      <c r="L205">
        <v>367.67649999999998</v>
      </c>
      <c r="M205">
        <v>0.99976030000000005</v>
      </c>
      <c r="N205">
        <v>-2.1371190000000002E-2</v>
      </c>
      <c r="O205">
        <v>4.7584020000000001E-3</v>
      </c>
      <c r="P205">
        <v>0.99173140000000004</v>
      </c>
      <c r="Q205">
        <v>0.127887</v>
      </c>
      <c r="R205">
        <v>1.0674660000000001E-2</v>
      </c>
      <c r="S205">
        <v>3.159424</v>
      </c>
      <c r="T205">
        <v>-1.0271440000000001</v>
      </c>
      <c r="U205">
        <v>-0.25833129999999999</v>
      </c>
      <c r="V205">
        <v>-5.9398799999999998E-3</v>
      </c>
      <c r="W205">
        <v>0.14905379999999999</v>
      </c>
      <c r="X205">
        <v>0.98881129999999995</v>
      </c>
      <c r="Y205">
        <v>8.1558039999999998E-2</v>
      </c>
      <c r="Z205">
        <v>-1.520758E-2</v>
      </c>
      <c r="AA205">
        <v>0.99655260000000001</v>
      </c>
      <c r="AB205">
        <v>23</v>
      </c>
      <c r="AC205">
        <v>0.52409999999997503</v>
      </c>
      <c r="AD205">
        <v>-0.2423679</v>
      </c>
      <c r="AE205">
        <v>-6.2499999999943101E-2</v>
      </c>
      <c r="AF205">
        <v>5.3675791638697103E-2</v>
      </c>
      <c r="AG205">
        <v>-0.2423679</v>
      </c>
      <c r="AH205">
        <v>0.43258315067043401</v>
      </c>
      <c r="AI205">
        <v>119.074782757389</v>
      </c>
      <c r="AJ205">
        <v>82.926776629951803</v>
      </c>
      <c r="AK205">
        <v>0.49874990907508998</v>
      </c>
      <c r="AL205">
        <v>81.427903575318197</v>
      </c>
      <c r="AM205">
        <v>90.344176852835801</v>
      </c>
      <c r="AN205">
        <v>1.0000000522382699</v>
      </c>
    </row>
    <row r="206" spans="1:40" x14ac:dyDescent="0.25">
      <c r="A206" t="str">
        <f>"20190303162747078"</f>
        <v>20190303162747078</v>
      </c>
      <c r="B206" t="str">
        <f>"1551601667071772"</f>
        <v>1551601667071772</v>
      </c>
      <c r="C206" t="s">
        <v>40</v>
      </c>
      <c r="D206">
        <v>5.1138300000000001</v>
      </c>
      <c r="E206">
        <v>0.53854190000000002</v>
      </c>
      <c r="F206" t="s">
        <v>44</v>
      </c>
      <c r="G206">
        <v>-437.38150000000002</v>
      </c>
      <c r="H206">
        <v>0.8696142</v>
      </c>
      <c r="I206">
        <v>367.61619999999999</v>
      </c>
      <c r="J206">
        <v>-437.87880000000001</v>
      </c>
      <c r="K206">
        <v>1.104093</v>
      </c>
      <c r="L206">
        <v>367.67759999999998</v>
      </c>
      <c r="M206">
        <v>0.99975190000000003</v>
      </c>
      <c r="N206">
        <v>-2.1770330000000001E-2</v>
      </c>
      <c r="O206">
        <v>4.7224420000000003E-3</v>
      </c>
      <c r="P206">
        <v>0.99163489999999999</v>
      </c>
      <c r="Q206">
        <v>0.1286069</v>
      </c>
      <c r="R206">
        <v>1.098997E-2</v>
      </c>
      <c r="S206">
        <v>3.1595460000000002</v>
      </c>
      <c r="T206">
        <v>-1.021828</v>
      </c>
      <c r="U206">
        <v>-0.25799559999999999</v>
      </c>
      <c r="V206">
        <v>-6.2910209999999999E-3</v>
      </c>
      <c r="W206">
        <v>0.15016650000000001</v>
      </c>
      <c r="X206">
        <v>0.98864070000000004</v>
      </c>
      <c r="Y206">
        <v>8.1462099999999996E-2</v>
      </c>
      <c r="Z206">
        <v>-1.512406E-2</v>
      </c>
      <c r="AA206">
        <v>0.99656169999999999</v>
      </c>
      <c r="AB206">
        <v>23</v>
      </c>
      <c r="AC206">
        <v>0.49729999999999502</v>
      </c>
      <c r="AD206">
        <v>-0.23447879999999999</v>
      </c>
      <c r="AE206">
        <v>-6.1399999999991899E-2</v>
      </c>
      <c r="AF206">
        <v>5.22965631977578E-2</v>
      </c>
      <c r="AG206">
        <v>-0.23447879999999999</v>
      </c>
      <c r="AH206">
        <v>0.407722342592714</v>
      </c>
      <c r="AI206">
        <v>119.701351157994</v>
      </c>
      <c r="AJ206">
        <v>82.690857693219698</v>
      </c>
      <c r="AK206">
        <v>0.47323645973342698</v>
      </c>
      <c r="AL206">
        <v>81.363424352229401</v>
      </c>
      <c r="AM206">
        <v>90.364585523528106</v>
      </c>
      <c r="AN206">
        <v>0.99999999418198104</v>
      </c>
    </row>
    <row r="207" spans="1:40" x14ac:dyDescent="0.25">
      <c r="A207" t="str">
        <f>"20190303162747102"</f>
        <v>20190303162747102</v>
      </c>
      <c r="B207" t="str">
        <f>"1551601667091291"</f>
        <v>1551601667091291</v>
      </c>
      <c r="C207" t="s">
        <v>40</v>
      </c>
      <c r="D207">
        <v>5.1332149999999999</v>
      </c>
      <c r="E207">
        <v>0.53852</v>
      </c>
      <c r="F207" t="s">
        <v>44</v>
      </c>
      <c r="G207">
        <v>-437.17430000000002</v>
      </c>
      <c r="H207">
        <v>0.87709219999999899</v>
      </c>
      <c r="I207">
        <v>367.62049999999999</v>
      </c>
      <c r="J207">
        <v>-437.64</v>
      </c>
      <c r="K207">
        <v>1.102136</v>
      </c>
      <c r="L207">
        <v>367.67860000000002</v>
      </c>
      <c r="M207">
        <v>0.99974790000000002</v>
      </c>
      <c r="N207">
        <v>-2.1958990000000001E-2</v>
      </c>
      <c r="O207">
        <v>4.6861790000000004E-3</v>
      </c>
      <c r="P207">
        <v>0.99160009999999998</v>
      </c>
      <c r="Q207">
        <v>0.12890839999999901</v>
      </c>
      <c r="R207">
        <v>1.0574129999999999E-2</v>
      </c>
      <c r="S207">
        <v>3.1602169999999998</v>
      </c>
      <c r="T207">
        <v>-1.018319</v>
      </c>
      <c r="U207">
        <v>-0.2544556</v>
      </c>
      <c r="V207">
        <v>-5.9110830000000001E-3</v>
      </c>
      <c r="W207">
        <v>0.15065339999999999</v>
      </c>
      <c r="X207">
        <v>0.98856900000000003</v>
      </c>
      <c r="Y207">
        <v>8.0388500000000002E-2</v>
      </c>
      <c r="Z207">
        <v>-1.489065E-2</v>
      </c>
      <c r="AA207">
        <v>0.99665239999999999</v>
      </c>
      <c r="AB207">
        <v>23</v>
      </c>
      <c r="AC207">
        <v>0.46569999999996903</v>
      </c>
      <c r="AD207">
        <v>-0.22504379999999999</v>
      </c>
      <c r="AE207">
        <v>-5.8100000000024403E-2</v>
      </c>
      <c r="AF207">
        <v>4.9012353516926697E-2</v>
      </c>
      <c r="AG207">
        <v>-0.22504379999999999</v>
      </c>
      <c r="AH207">
        <v>0.37841085542998598</v>
      </c>
      <c r="AI207">
        <v>120.531300955557</v>
      </c>
      <c r="AJ207">
        <v>82.620048145690404</v>
      </c>
      <c r="AK207">
        <v>0.44299175864000201</v>
      </c>
      <c r="AL207">
        <v>81.335206310361301</v>
      </c>
      <c r="AM207">
        <v>90.342592243930696</v>
      </c>
      <c r="AN207">
        <v>1.0000000277973899</v>
      </c>
    </row>
    <row r="208" spans="1:40" x14ac:dyDescent="0.25">
      <c r="A208" t="str">
        <f>"20190303162747122"</f>
        <v>20190303162747122</v>
      </c>
      <c r="B208" t="str">
        <f>"1551601667111787"</f>
        <v>1551601667111787</v>
      </c>
      <c r="C208" t="s">
        <v>40</v>
      </c>
      <c r="D208">
        <v>5.1493710000000004</v>
      </c>
      <c r="E208">
        <v>0.53838680000000005</v>
      </c>
      <c r="F208" t="s">
        <v>44</v>
      </c>
      <c r="G208">
        <v>-436.96679999999998</v>
      </c>
      <c r="H208">
        <v>0.88445580000000001</v>
      </c>
      <c r="I208">
        <v>367.6241</v>
      </c>
      <c r="J208">
        <v>-437.43400000000003</v>
      </c>
      <c r="K208">
        <v>1.10026</v>
      </c>
      <c r="L208">
        <v>367.67959999999999</v>
      </c>
      <c r="M208">
        <v>0.99975190000000003</v>
      </c>
      <c r="N208">
        <v>-2.1783779999999999E-2</v>
      </c>
      <c r="O208">
        <v>4.6549429999999999E-3</v>
      </c>
      <c r="P208">
        <v>0.99151650000000002</v>
      </c>
      <c r="Q208">
        <v>0.1296272</v>
      </c>
      <c r="R208">
        <v>9.5953010000000005E-3</v>
      </c>
      <c r="S208">
        <v>3.1610109999999998</v>
      </c>
      <c r="T208">
        <v>-1.0221389999999999</v>
      </c>
      <c r="U208">
        <v>-0.25433349999999999</v>
      </c>
      <c r="V208">
        <v>-4.9627059999999999E-3</v>
      </c>
      <c r="W208">
        <v>0.1511969</v>
      </c>
      <c r="X208">
        <v>0.98849120000000001</v>
      </c>
      <c r="Y208">
        <v>8.0278299999999997E-2</v>
      </c>
      <c r="Z208">
        <v>-1.490354E-2</v>
      </c>
      <c r="AA208">
        <v>0.99666109999999997</v>
      </c>
      <c r="AB208">
        <v>23</v>
      </c>
      <c r="AC208">
        <v>0.46720000000004702</v>
      </c>
      <c r="AD208">
        <v>-0.215804199999999</v>
      </c>
      <c r="AE208">
        <v>-5.5499999999994998E-2</v>
      </c>
      <c r="AF208">
        <v>4.7649625032032801E-2</v>
      </c>
      <c r="AG208">
        <v>-0.215804199999999</v>
      </c>
      <c r="AH208">
        <v>0.38577311773130701</v>
      </c>
      <c r="AI208">
        <v>119.038507407879</v>
      </c>
      <c r="AJ208">
        <v>82.958648575307095</v>
      </c>
      <c r="AK208">
        <v>0.44459289003251701</v>
      </c>
      <c r="AL208">
        <v>81.303704899792905</v>
      </c>
      <c r="AM208">
        <v>90.287650228779398</v>
      </c>
      <c r="AN208">
        <v>0.99999999174894605</v>
      </c>
    </row>
    <row r="209" spans="1:40" x14ac:dyDescent="0.25">
      <c r="A209" t="str">
        <f>"20190303162747145"</f>
        <v>20190303162747145</v>
      </c>
      <c r="B209" t="str">
        <f>"1551601667142044"</f>
        <v>1551601667142044</v>
      </c>
      <c r="C209" t="s">
        <v>40</v>
      </c>
      <c r="D209">
        <v>5.1432630000000001</v>
      </c>
      <c r="E209">
        <v>0.53821039999999998</v>
      </c>
      <c r="F209" t="s">
        <v>44</v>
      </c>
      <c r="G209">
        <v>-436.76339999999999</v>
      </c>
      <c r="H209">
        <v>0.88230379999999997</v>
      </c>
      <c r="I209">
        <v>367.62529999999998</v>
      </c>
      <c r="J209">
        <v>-437.2038</v>
      </c>
      <c r="K209">
        <v>1.097985</v>
      </c>
      <c r="L209">
        <v>367.68060000000003</v>
      </c>
      <c r="M209">
        <v>0.99976319999999996</v>
      </c>
      <c r="N209">
        <v>-2.126699E-2</v>
      </c>
      <c r="O209">
        <v>4.6238570000000003E-3</v>
      </c>
      <c r="P209">
        <v>0.99133179999999999</v>
      </c>
      <c r="Q209">
        <v>0.131103</v>
      </c>
      <c r="R209">
        <v>8.5763780000000008E-3</v>
      </c>
      <c r="S209">
        <v>3.1625670000000001</v>
      </c>
      <c r="T209">
        <v>-1.02803</v>
      </c>
      <c r="U209">
        <v>-0.25424190000000002</v>
      </c>
      <c r="V209">
        <v>-3.975106E-3</v>
      </c>
      <c r="W209">
        <v>0.15215699999999999</v>
      </c>
      <c r="X209">
        <v>0.98834840000000002</v>
      </c>
      <c r="Y209">
        <v>8.0148289999999997E-2</v>
      </c>
      <c r="Z209">
        <v>-1.492431E-2</v>
      </c>
      <c r="AA209">
        <v>0.99667119999999998</v>
      </c>
      <c r="AB209">
        <v>23</v>
      </c>
      <c r="AC209">
        <v>0.44040000000001001</v>
      </c>
      <c r="AD209">
        <v>-0.21568119999999899</v>
      </c>
      <c r="AE209">
        <v>-5.5300000000045202E-2</v>
      </c>
      <c r="AF209">
        <v>4.63839598395362E-2</v>
      </c>
      <c r="AG209">
        <v>-0.21568119999999899</v>
      </c>
      <c r="AH209">
        <v>0.356064908619252</v>
      </c>
      <c r="AI209">
        <v>120.991575397798</v>
      </c>
      <c r="AJ209">
        <v>82.577973070431</v>
      </c>
      <c r="AK209">
        <v>0.41886999285443199</v>
      </c>
      <c r="AL209">
        <v>81.248051888924195</v>
      </c>
      <c r="AM209">
        <v>90.230440570194602</v>
      </c>
      <c r="AN209">
        <v>1.0000000569496299</v>
      </c>
    </row>
    <row r="210" spans="1:40" x14ac:dyDescent="0.25">
      <c r="A210" t="str">
        <f>"20190303162747168"</f>
        <v>20190303162747168</v>
      </c>
      <c r="B210" t="str">
        <f>"1551601667161563"</f>
        <v>1551601667161563</v>
      </c>
      <c r="C210" t="s">
        <v>40</v>
      </c>
      <c r="D210">
        <v>5.1221709999999998</v>
      </c>
      <c r="E210">
        <v>0.53813169999999899</v>
      </c>
      <c r="F210" t="s">
        <v>44</v>
      </c>
      <c r="G210">
        <v>-436.3766</v>
      </c>
      <c r="H210">
        <v>0.82841089999999995</v>
      </c>
      <c r="I210">
        <v>367.61349999999999</v>
      </c>
      <c r="J210">
        <v>-436.96949999999998</v>
      </c>
      <c r="K210">
        <v>1.09555</v>
      </c>
      <c r="L210">
        <v>367.6816</v>
      </c>
      <c r="M210">
        <v>0.99977669999999996</v>
      </c>
      <c r="N210">
        <v>-2.0635520000000001E-2</v>
      </c>
      <c r="O210">
        <v>4.5918469999999996E-3</v>
      </c>
      <c r="P210">
        <v>0.9911143</v>
      </c>
      <c r="Q210">
        <v>0.13279830000000001</v>
      </c>
      <c r="R210">
        <v>7.5582469999999997E-3</v>
      </c>
      <c r="S210">
        <v>3.1648860000000001</v>
      </c>
      <c r="T210">
        <v>-1.031455</v>
      </c>
      <c r="U210">
        <v>-0.25555420000000001</v>
      </c>
      <c r="V210">
        <v>-2.9891570000000001E-3</v>
      </c>
      <c r="W210">
        <v>0.153223</v>
      </c>
      <c r="X210">
        <v>0.98818709999999998</v>
      </c>
      <c r="Y210">
        <v>8.0439079999999996E-2</v>
      </c>
      <c r="Z210">
        <v>-1.497566E-2</v>
      </c>
      <c r="AA210">
        <v>0.99664699999999995</v>
      </c>
      <c r="AB210">
        <v>23</v>
      </c>
      <c r="AC210">
        <v>0.59289999999998599</v>
      </c>
      <c r="AD210">
        <v>-0.26713910000000002</v>
      </c>
      <c r="AE210">
        <v>-6.8100000000015301E-2</v>
      </c>
      <c r="AF210">
        <v>5.9000735582269703E-2</v>
      </c>
      <c r="AG210">
        <v>-0.26713910000000002</v>
      </c>
      <c r="AH210">
        <v>0.49366767629036401</v>
      </c>
      <c r="AI210">
        <v>118.24947761928399</v>
      </c>
      <c r="AJ210">
        <v>83.1846171878083</v>
      </c>
      <c r="AK210">
        <v>0.56440425243081405</v>
      </c>
      <c r="AL210">
        <v>81.186249255819902</v>
      </c>
      <c r="AM210">
        <v>90.173312885834804</v>
      </c>
      <c r="AN210">
        <v>0.99999998369748999</v>
      </c>
    </row>
    <row r="211" spans="1:40" x14ac:dyDescent="0.25">
      <c r="A211" t="str">
        <f>"20190303162747191"</f>
        <v>20190303162747191</v>
      </c>
      <c r="B211" t="str">
        <f>"1551601667183035"</f>
        <v>1551601667183035</v>
      </c>
      <c r="C211" t="s">
        <v>40</v>
      </c>
      <c r="D211">
        <v>5.0996009999999998</v>
      </c>
      <c r="E211">
        <v>0.53806759999999998</v>
      </c>
      <c r="F211" t="s">
        <v>44</v>
      </c>
      <c r="G211">
        <v>-436.16930000000002</v>
      </c>
      <c r="H211">
        <v>0.83521350000000005</v>
      </c>
      <c r="I211">
        <v>367.61610000000002</v>
      </c>
      <c r="J211">
        <v>-436.73149999999998</v>
      </c>
      <c r="K211">
        <v>1.0930340000000001</v>
      </c>
      <c r="L211">
        <v>367.68270000000001</v>
      </c>
      <c r="M211">
        <v>0.99979110000000004</v>
      </c>
      <c r="N211">
        <v>-1.9932729999999999E-2</v>
      </c>
      <c r="O211">
        <v>4.5558639999999997E-3</v>
      </c>
      <c r="P211">
        <v>0.99092259999999999</v>
      </c>
      <c r="Q211">
        <v>0.13430529999999999</v>
      </c>
      <c r="R211">
        <v>5.9181249999999998E-3</v>
      </c>
      <c r="S211">
        <v>3.1669309999999999</v>
      </c>
      <c r="T211">
        <v>-1.030465</v>
      </c>
      <c r="U211">
        <v>-0.25839230000000002</v>
      </c>
      <c r="V211">
        <v>-1.3864109999999999E-3</v>
      </c>
      <c r="W211">
        <v>0.154031</v>
      </c>
      <c r="X211">
        <v>0.98806510000000003</v>
      </c>
      <c r="Y211">
        <v>8.122074E-2</v>
      </c>
      <c r="Z211">
        <v>-1.5048590000000001E-2</v>
      </c>
      <c r="AA211">
        <v>0.99658250000000004</v>
      </c>
      <c r="AB211">
        <v>23</v>
      </c>
      <c r="AC211">
        <v>0.56219999999996095</v>
      </c>
      <c r="AD211">
        <v>-0.25782050000000001</v>
      </c>
      <c r="AE211">
        <v>-6.6599999999993997E-2</v>
      </c>
      <c r="AF211">
        <v>5.7281214798258803E-2</v>
      </c>
      <c r="AG211">
        <v>-0.25782050000000001</v>
      </c>
      <c r="AH211">
        <v>0.46537388453154699</v>
      </c>
      <c r="AI211">
        <v>118.80453145440799</v>
      </c>
      <c r="AJ211">
        <v>82.982961102992107</v>
      </c>
      <c r="AK211">
        <v>0.535093823729069</v>
      </c>
      <c r="AL211">
        <v>81.139398739427605</v>
      </c>
      <c r="AM211">
        <v>90.080394952557597</v>
      </c>
      <c r="AN211">
        <v>1.00000005646723</v>
      </c>
    </row>
    <row r="212" spans="1:40" x14ac:dyDescent="0.25">
      <c r="A212" t="str">
        <f>"20190303162747214"</f>
        <v>20190303162747214</v>
      </c>
      <c r="B212" t="str">
        <f>"1551601667201580"</f>
        <v>1551601667201580</v>
      </c>
      <c r="C212" t="s">
        <v>40</v>
      </c>
      <c r="D212">
        <v>5.11592</v>
      </c>
      <c r="E212">
        <v>0.53800179999999997</v>
      </c>
      <c r="F212" t="s">
        <v>44</v>
      </c>
      <c r="G212">
        <v>-435.9615</v>
      </c>
      <c r="H212">
        <v>0.84301099999999995</v>
      </c>
      <c r="I212">
        <v>367.61880000000002</v>
      </c>
      <c r="J212">
        <v>-436.505</v>
      </c>
      <c r="K212">
        <v>1.090657</v>
      </c>
      <c r="L212">
        <v>367.68369999999999</v>
      </c>
      <c r="M212">
        <v>0.99980659999999999</v>
      </c>
      <c r="N212">
        <v>-1.9145289999999999E-2</v>
      </c>
      <c r="O212">
        <v>4.5180749999999999E-3</v>
      </c>
      <c r="P212">
        <v>0.99081189999999997</v>
      </c>
      <c r="Q212">
        <v>0.13517579999999901</v>
      </c>
      <c r="R212">
        <v>4.4422929999999999E-3</v>
      </c>
      <c r="S212">
        <v>3.168488</v>
      </c>
      <c r="T212">
        <v>-1.028826</v>
      </c>
      <c r="U212">
        <v>-0.2619629</v>
      </c>
      <c r="V212" s="1">
        <v>5.1105510000000001E-5</v>
      </c>
      <c r="W212">
        <v>0.1541206</v>
      </c>
      <c r="X212">
        <v>0.98805209999999999</v>
      </c>
      <c r="Y212">
        <v>8.2234009999999996E-2</v>
      </c>
      <c r="Z212">
        <v>-1.5149060000000001E-2</v>
      </c>
      <c r="AA212">
        <v>0.99649790000000005</v>
      </c>
      <c r="AB212">
        <v>23</v>
      </c>
      <c r="AC212">
        <v>0.54349999999999399</v>
      </c>
      <c r="AD212">
        <v>-0.24764599999999901</v>
      </c>
      <c r="AE212">
        <v>-6.4899999999965902E-2</v>
      </c>
      <c r="AF212">
        <v>5.5910554615777999E-2</v>
      </c>
      <c r="AG212">
        <v>-0.24764599999999901</v>
      </c>
      <c r="AH212">
        <v>0.45090217665917298</v>
      </c>
      <c r="AI212">
        <v>118.592556693763</v>
      </c>
      <c r="AJ212">
        <v>82.931569484980997</v>
      </c>
      <c r="AK212">
        <v>0.517462369983967</v>
      </c>
      <c r="AL212">
        <v>81.134203001631107</v>
      </c>
      <c r="AM212">
        <v>89.997036461912998</v>
      </c>
      <c r="AN212">
        <v>1.0000000571352601</v>
      </c>
    </row>
    <row r="213" spans="1:40" x14ac:dyDescent="0.25">
      <c r="A213" t="str">
        <f>"20190303162747233"</f>
        <v>20190303162747233</v>
      </c>
      <c r="B213" t="str">
        <f>"1551601667231835"</f>
        <v>1551601667231835</v>
      </c>
      <c r="C213" t="s">
        <v>40</v>
      </c>
      <c r="D213">
        <v>4.596851</v>
      </c>
      <c r="E213">
        <v>0.53797299999999904</v>
      </c>
      <c r="F213" t="s">
        <v>44</v>
      </c>
      <c r="G213">
        <v>-435.75470000000001</v>
      </c>
      <c r="H213">
        <v>0.84736160000000005</v>
      </c>
      <c r="I213">
        <v>367.62009999999998</v>
      </c>
      <c r="J213">
        <v>-436.298</v>
      </c>
      <c r="K213">
        <v>1.0885469999999999</v>
      </c>
      <c r="L213">
        <v>367.68450000000001</v>
      </c>
      <c r="M213">
        <v>0.99982219999999999</v>
      </c>
      <c r="N213">
        <v>-1.8324819999999999E-2</v>
      </c>
      <c r="O213">
        <v>4.4829459999999998E-3</v>
      </c>
      <c r="P213">
        <v>0.99065809999999999</v>
      </c>
      <c r="Q213">
        <v>0.13631589999999999</v>
      </c>
      <c r="R213">
        <v>3.8341719999999998E-3</v>
      </c>
      <c r="S213">
        <v>3.1691889999999998</v>
      </c>
      <c r="T213">
        <v>-1.027447</v>
      </c>
      <c r="U213">
        <v>-0.26580809999999999</v>
      </c>
      <c r="V213">
        <v>6.2354890000000001E-4</v>
      </c>
      <c r="W213">
        <v>0.15444659999999999</v>
      </c>
      <c r="X213">
        <v>0.98800089999999996</v>
      </c>
      <c r="Y213">
        <v>8.3347550000000006E-2</v>
      </c>
      <c r="Z213">
        <v>-1.527156E-2</v>
      </c>
      <c r="AA213">
        <v>0.9964035</v>
      </c>
      <c r="AB213">
        <v>23</v>
      </c>
      <c r="AC213">
        <v>0.54329999999998702</v>
      </c>
      <c r="AD213">
        <v>-0.241185399999999</v>
      </c>
      <c r="AE213">
        <v>-6.4400000000034596E-2</v>
      </c>
      <c r="AF213">
        <v>5.5960049139693803E-2</v>
      </c>
      <c r="AG213">
        <v>-0.241185399999999</v>
      </c>
      <c r="AH213">
        <v>0.45464911157450399</v>
      </c>
      <c r="AI213">
        <v>117.767416872806</v>
      </c>
      <c r="AJ213">
        <v>82.983096607323304</v>
      </c>
      <c r="AK213">
        <v>0.51769463868999399</v>
      </c>
      <c r="AL213">
        <v>81.115297351734498</v>
      </c>
      <c r="AM213">
        <v>89.963839389674106</v>
      </c>
      <c r="AN213">
        <v>0.99999995973279898</v>
      </c>
    </row>
    <row r="214" spans="1:40" x14ac:dyDescent="0.25">
      <c r="A214" t="str">
        <f>"20190303162747404"</f>
        <v>20190303162747404</v>
      </c>
      <c r="B214" t="str">
        <f>"1551601667391900"</f>
        <v>1551601667391900</v>
      </c>
      <c r="C214" t="s">
        <v>40</v>
      </c>
      <c r="D214">
        <v>5.1071540000000004</v>
      </c>
      <c r="E214">
        <v>0.4983148</v>
      </c>
      <c r="F214" t="s">
        <v>44</v>
      </c>
      <c r="G214">
        <v>-434.14510000000001</v>
      </c>
      <c r="H214">
        <v>0.73192259999999998</v>
      </c>
      <c r="I214">
        <v>367.67590000000001</v>
      </c>
      <c r="J214">
        <v>-434.54649999999998</v>
      </c>
      <c r="K214">
        <v>1.0764339999999999</v>
      </c>
      <c r="L214">
        <v>367.69200000000001</v>
      </c>
      <c r="M214">
        <v>0.99991149999999995</v>
      </c>
      <c r="N214">
        <v>-1.262857E-2</v>
      </c>
      <c r="O214">
        <v>4.2142170000000001E-3</v>
      </c>
      <c r="P214">
        <v>0.98985089999999998</v>
      </c>
      <c r="Q214">
        <v>0.14174220000000001</v>
      </c>
      <c r="R214">
        <v>1.0226860000000001E-2</v>
      </c>
      <c r="S214">
        <v>3.2392270000000001</v>
      </c>
      <c r="T214">
        <v>-1.463187</v>
      </c>
      <c r="U214">
        <v>-5.9783940000000001E-2</v>
      </c>
      <c r="V214">
        <v>-6.0396969999999897E-3</v>
      </c>
      <c r="W214">
        <v>0.1542327</v>
      </c>
      <c r="X214">
        <v>0.98801609999999995</v>
      </c>
      <c r="Y214">
        <v>2.024956E-2</v>
      </c>
      <c r="Z214">
        <v>-6.2593240000000001E-3</v>
      </c>
      <c r="AA214">
        <v>0.99977539999999998</v>
      </c>
      <c r="AB214">
        <v>23</v>
      </c>
      <c r="AC214">
        <v>0.40139999999996601</v>
      </c>
      <c r="AD214">
        <v>-0.34451140000000002</v>
      </c>
      <c r="AE214">
        <v>-1.6099999999937602E-2</v>
      </c>
      <c r="AF214">
        <v>1.0251841236787599E-2</v>
      </c>
      <c r="AG214">
        <v>-0.34451140000000002</v>
      </c>
      <c r="AH214">
        <v>0.23125305687495501</v>
      </c>
      <c r="AI214">
        <v>146.102505506489</v>
      </c>
      <c r="AJ214">
        <v>87.4616426747547</v>
      </c>
      <c r="AK214">
        <v>0.41505563638229898</v>
      </c>
      <c r="AL214">
        <v>81.127701987067098</v>
      </c>
      <c r="AM214">
        <v>90.350242103668506</v>
      </c>
      <c r="AN214">
        <v>1.0000000087741701</v>
      </c>
    </row>
    <row r="215" spans="1:40" x14ac:dyDescent="0.25">
      <c r="A215" t="str">
        <f>"20190303162747426"</f>
        <v>20190303162747426</v>
      </c>
      <c r="B215" t="str">
        <f>"1551601667422156"</f>
        <v>1551601667422156</v>
      </c>
      <c r="C215" t="s">
        <v>40</v>
      </c>
      <c r="D215">
        <v>5.0524789999999999</v>
      </c>
      <c r="E215">
        <v>0.49784499999999998</v>
      </c>
      <c r="F215" t="s">
        <v>42</v>
      </c>
      <c r="G215">
        <v>-419.14069999999998</v>
      </c>
      <c r="H215">
        <v>-0.05</v>
      </c>
      <c r="I215">
        <v>367.9547</v>
      </c>
      <c r="J215">
        <v>-434.31569999999999</v>
      </c>
      <c r="K215">
        <v>1.075583</v>
      </c>
      <c r="L215">
        <v>367.69290000000001</v>
      </c>
      <c r="M215">
        <v>0.99991719999999895</v>
      </c>
      <c r="N215">
        <v>-1.2168790000000001E-2</v>
      </c>
      <c r="O215">
        <v>4.1792549999999998E-3</v>
      </c>
      <c r="P215">
        <v>0.98971900000000002</v>
      </c>
      <c r="Q215">
        <v>0.142563</v>
      </c>
      <c r="R215">
        <v>1.1483709999999999E-2</v>
      </c>
      <c r="S215">
        <v>3.0622859999999998</v>
      </c>
      <c r="T215">
        <v>-0.22390760000000001</v>
      </c>
      <c r="U215">
        <v>5.2215579999999998E-2</v>
      </c>
      <c r="V215">
        <v>-7.3320299999999998E-3</v>
      </c>
      <c r="W215">
        <v>0.15459729999999999</v>
      </c>
      <c r="X215">
        <v>0.98795040000000001</v>
      </c>
      <c r="Y215">
        <v>-1.2837360000000001E-2</v>
      </c>
      <c r="Z215">
        <v>2.9255140000000003E-4</v>
      </c>
      <c r="AA215">
        <v>0.99991759999999996</v>
      </c>
      <c r="AB215">
        <v>23</v>
      </c>
      <c r="AC215">
        <v>15.175000000000001</v>
      </c>
      <c r="AD215">
        <v>-1.125583</v>
      </c>
      <c r="AE215">
        <v>0.26179999999999298</v>
      </c>
      <c r="AF215">
        <v>-0.197287724286583</v>
      </c>
      <c r="AG215">
        <v>-1.125583</v>
      </c>
      <c r="AH215">
        <v>15.092949350442399</v>
      </c>
      <c r="AI215">
        <v>94.264674378083697</v>
      </c>
      <c r="AJ215">
        <v>90.748900029504</v>
      </c>
      <c r="AK215">
        <v>15.1361481107666</v>
      </c>
      <c r="AL215">
        <v>81.106558615892197</v>
      </c>
      <c r="AM215">
        <v>90.425210275601998</v>
      </c>
      <c r="AN215">
        <v>1.00000003834568</v>
      </c>
    </row>
    <row r="216" spans="1:40" x14ac:dyDescent="0.25">
      <c r="A216" t="str">
        <f>"20190303162747446"</f>
        <v>20190303162747446</v>
      </c>
      <c r="B216" t="str">
        <f>"1551601667441676"</f>
        <v>1551601667441676</v>
      </c>
      <c r="C216" t="s">
        <v>40</v>
      </c>
      <c r="D216">
        <v>4.6366350000000001</v>
      </c>
      <c r="E216">
        <v>0.49756790000000001</v>
      </c>
      <c r="F216" t="s">
        <v>41</v>
      </c>
      <c r="G216">
        <v>-355.18270000000001</v>
      </c>
      <c r="H216" s="1">
        <v>-2.1256130000000002E-6</v>
      </c>
      <c r="I216">
        <v>369.1841</v>
      </c>
      <c r="J216">
        <v>-434.09829999999999</v>
      </c>
      <c r="K216">
        <v>1.0748869999999999</v>
      </c>
      <c r="L216">
        <v>367.69380000000001</v>
      </c>
      <c r="M216">
        <v>0.99992210000000004</v>
      </c>
      <c r="N216">
        <v>-1.178416E-2</v>
      </c>
      <c r="O216">
        <v>4.1460619999999998E-3</v>
      </c>
      <c r="P216">
        <v>0.9895583</v>
      </c>
      <c r="Q216">
        <v>0.1436308</v>
      </c>
      <c r="R216">
        <v>1.2031989999999999E-2</v>
      </c>
      <c r="S216">
        <v>3.036438</v>
      </c>
      <c r="T216">
        <v>-4.127157E-2</v>
      </c>
      <c r="U216">
        <v>5.7220460000000001E-2</v>
      </c>
      <c r="V216">
        <v>-7.9134369999999902E-3</v>
      </c>
      <c r="W216">
        <v>0.15528320000000001</v>
      </c>
      <c r="X216">
        <v>0.98783829999999995</v>
      </c>
      <c r="Y216">
        <v>-1.469295E-2</v>
      </c>
      <c r="Z216">
        <v>1.7894079999999999E-4</v>
      </c>
      <c r="AA216">
        <v>0.99989209999999995</v>
      </c>
      <c r="AB216">
        <v>23</v>
      </c>
      <c r="AC216">
        <v>78.915599999999898</v>
      </c>
      <c r="AD216">
        <v>-1.074889125613</v>
      </c>
      <c r="AE216">
        <v>1.49029999999999</v>
      </c>
      <c r="AF216">
        <v>-1.1628598793203899</v>
      </c>
      <c r="AG216">
        <v>-1.074889125613</v>
      </c>
      <c r="AH216">
        <v>78.906467059147005</v>
      </c>
      <c r="AI216">
        <v>90.780368429326998</v>
      </c>
      <c r="AJ216">
        <v>90.844317872861396</v>
      </c>
      <c r="AK216">
        <v>78.922355346806199</v>
      </c>
      <c r="AL216">
        <v>81.066778719217794</v>
      </c>
      <c r="AM216">
        <v>90.458978805496301</v>
      </c>
      <c r="AN216">
        <v>1.0000000008171399</v>
      </c>
    </row>
    <row r="217" spans="1:40" x14ac:dyDescent="0.25">
      <c r="A217" t="str">
        <f>"20190303162747469"</f>
        <v>20190303162747469</v>
      </c>
      <c r="B217" t="str">
        <f>"1551601667462173"</f>
        <v>1551601667462173</v>
      </c>
      <c r="C217" t="s">
        <v>40</v>
      </c>
      <c r="D217">
        <v>5.317895</v>
      </c>
      <c r="E217">
        <v>0.49693340000000003</v>
      </c>
      <c r="F217" t="s">
        <v>43</v>
      </c>
      <c r="G217">
        <v>-158.19499999999999</v>
      </c>
      <c r="H217">
        <v>1.4300580000000001</v>
      </c>
      <c r="I217">
        <v>373.19529999999997</v>
      </c>
      <c r="J217">
        <v>-433.8537</v>
      </c>
      <c r="K217">
        <v>1.074217</v>
      </c>
      <c r="L217">
        <v>367.69470000000001</v>
      </c>
      <c r="M217">
        <v>0.9999266</v>
      </c>
      <c r="N217">
        <v>-1.1404620000000001E-2</v>
      </c>
      <c r="O217">
        <v>4.1089539999999997E-3</v>
      </c>
      <c r="P217">
        <v>0.98948349999999996</v>
      </c>
      <c r="Q217">
        <v>0.14409350000000001</v>
      </c>
      <c r="R217">
        <v>1.2633510000000001E-2</v>
      </c>
      <c r="S217">
        <v>3.0303650000000002</v>
      </c>
      <c r="T217">
        <v>3.9019580000000001E-3</v>
      </c>
      <c r="U217">
        <v>6.0424800000000001E-2</v>
      </c>
      <c r="V217">
        <v>-8.5520419999999993E-3</v>
      </c>
      <c r="W217">
        <v>0.15537039999999999</v>
      </c>
      <c r="X217">
        <v>0.98781929999999996</v>
      </c>
      <c r="Y217">
        <v>-1.582768E-2</v>
      </c>
      <c r="Z217">
        <v>1.322254E-4</v>
      </c>
      <c r="AA217">
        <v>0.99987470000000001</v>
      </c>
      <c r="AB217">
        <v>23</v>
      </c>
      <c r="AC217">
        <v>275.65870000000001</v>
      </c>
      <c r="AD217">
        <v>0.35584100000000002</v>
      </c>
      <c r="AE217">
        <v>5.5005999999999604</v>
      </c>
      <c r="AF217">
        <v>-4.3678037853334404</v>
      </c>
      <c r="AG217">
        <v>0.35584100000000002</v>
      </c>
      <c r="AH217">
        <v>275.67851662968002</v>
      </c>
      <c r="AI217">
        <v>89.926052933332201</v>
      </c>
      <c r="AJ217">
        <v>90.907708690751207</v>
      </c>
      <c r="AK217">
        <v>275.71334545840398</v>
      </c>
      <c r="AL217">
        <v>81.061721443518394</v>
      </c>
      <c r="AM217">
        <v>90.496025610424397</v>
      </c>
      <c r="AN217">
        <v>1.0000000340355</v>
      </c>
    </row>
    <row r="218" spans="1:40" x14ac:dyDescent="0.25">
      <c r="A218" t="str">
        <f>"20190303162747491"</f>
        <v>20190303162747491</v>
      </c>
      <c r="B218" t="str">
        <f>"1551601667481692"</f>
        <v>1551601667481692</v>
      </c>
      <c r="C218" t="s">
        <v>40</v>
      </c>
      <c r="D218">
        <v>5.4291519999999904</v>
      </c>
      <c r="E218">
        <v>0.49640459999999897</v>
      </c>
      <c r="F218" t="s">
        <v>43</v>
      </c>
      <c r="G218">
        <v>-158.19499999999999</v>
      </c>
      <c r="H218">
        <v>2.0768439999999999</v>
      </c>
      <c r="I218">
        <v>373.77339999999998</v>
      </c>
      <c r="J218">
        <v>-433.61939999999998</v>
      </c>
      <c r="K218">
        <v>1.073666</v>
      </c>
      <c r="L218">
        <v>367.69569999999999</v>
      </c>
      <c r="M218">
        <v>0.99993030000000005</v>
      </c>
      <c r="N218">
        <v>-1.1085680000000001E-2</v>
      </c>
      <c r="O218">
        <v>4.0732190000000003E-3</v>
      </c>
      <c r="P218">
        <v>0.98948930000000002</v>
      </c>
      <c r="Q218">
        <v>0.14406060000000001</v>
      </c>
      <c r="R218">
        <v>1.2552199999999999E-2</v>
      </c>
      <c r="S218">
        <v>3.029388</v>
      </c>
      <c r="T218">
        <v>1.101947E-2</v>
      </c>
      <c r="U218">
        <v>6.6802979999999998E-2</v>
      </c>
      <c r="V218">
        <v>-8.506352E-3</v>
      </c>
      <c r="W218">
        <v>0.1550222</v>
      </c>
      <c r="X218">
        <v>0.98787429999999998</v>
      </c>
      <c r="Y218">
        <v>-1.7974299999999999E-2</v>
      </c>
      <c r="Z218">
        <v>1.26921E-4</v>
      </c>
      <c r="AA218">
        <v>0.99983840000000002</v>
      </c>
      <c r="AB218">
        <v>24</v>
      </c>
      <c r="AC218">
        <v>275.42439999999999</v>
      </c>
      <c r="AD218">
        <v>1.0031779999999999</v>
      </c>
      <c r="AE218">
        <v>6.0776999999999903</v>
      </c>
      <c r="AF218">
        <v>-4.9556510741401798</v>
      </c>
      <c r="AG218">
        <v>1.0031779999999999</v>
      </c>
      <c r="AH218">
        <v>275.44321988917</v>
      </c>
      <c r="AI218">
        <v>89.791360589338197</v>
      </c>
      <c r="AJ218">
        <v>91.030728804417194</v>
      </c>
      <c r="AK218">
        <v>275.48962272031599</v>
      </c>
      <c r="AL218">
        <v>81.081915647603495</v>
      </c>
      <c r="AM218">
        <v>90.4933482160626</v>
      </c>
      <c r="AN218">
        <v>0.99999993655883601</v>
      </c>
    </row>
    <row r="219" spans="1:40" x14ac:dyDescent="0.25">
      <c r="A219" t="str">
        <f>"20190303162747512"</f>
        <v>20190303162747512</v>
      </c>
      <c r="B219" t="str">
        <f>"1551601667502187"</f>
        <v>1551601667502187</v>
      </c>
      <c r="C219" t="s">
        <v>40</v>
      </c>
      <c r="D219">
        <v>5.3683019999999999</v>
      </c>
      <c r="E219">
        <v>0.49591449999999998</v>
      </c>
      <c r="F219" t="s">
        <v>43</v>
      </c>
      <c r="G219">
        <v>-158.19499999999999</v>
      </c>
      <c r="H219">
        <v>2.1220569999999999</v>
      </c>
      <c r="I219">
        <v>374.15789999999998</v>
      </c>
      <c r="J219">
        <v>-433.39920000000001</v>
      </c>
      <c r="K219">
        <v>1.073229</v>
      </c>
      <c r="L219">
        <v>367.69650000000001</v>
      </c>
      <c r="M219">
        <v>0.99993339999999997</v>
      </c>
      <c r="N219">
        <v>-1.082199E-2</v>
      </c>
      <c r="O219">
        <v>4.0396929999999996E-3</v>
      </c>
      <c r="P219">
        <v>0.9894984</v>
      </c>
      <c r="Q219">
        <v>0.14401510000000001</v>
      </c>
      <c r="R219">
        <v>1.236403E-2</v>
      </c>
      <c r="S219">
        <v>3.0292970000000001</v>
      </c>
      <c r="T219">
        <v>1.153183E-2</v>
      </c>
      <c r="U219">
        <v>7.1075440000000004E-2</v>
      </c>
      <c r="V219">
        <v>-8.3508390000000005E-3</v>
      </c>
      <c r="W219">
        <v>0.15471599999999999</v>
      </c>
      <c r="X219">
        <v>0.98792369999999996</v>
      </c>
      <c r="Y219">
        <v>-1.941791E-2</v>
      </c>
      <c r="Z219">
        <v>1.2722119999999999E-4</v>
      </c>
      <c r="AA219">
        <v>0.99981149999999996</v>
      </c>
      <c r="AB219">
        <v>24</v>
      </c>
      <c r="AC219">
        <v>275.20420000000001</v>
      </c>
      <c r="AD219">
        <v>1.0488280000000001</v>
      </c>
      <c r="AE219">
        <v>6.4613999999999603</v>
      </c>
      <c r="AF219">
        <v>-5.3494641623073997</v>
      </c>
      <c r="AG219">
        <v>1.0488280000000001</v>
      </c>
      <c r="AH219">
        <v>275.22406251695003</v>
      </c>
      <c r="AI219">
        <v>89.781698669461804</v>
      </c>
      <c r="AJ219">
        <v>91.113504130339294</v>
      </c>
      <c r="AK219">
        <v>275.27804379450799</v>
      </c>
      <c r="AL219">
        <v>81.099674502366597</v>
      </c>
      <c r="AM219">
        <v>90.484305047828599</v>
      </c>
      <c r="AN219">
        <v>1.00000000709484</v>
      </c>
    </row>
    <row r="220" spans="1:40" x14ac:dyDescent="0.25">
      <c r="A220" t="str">
        <f>"20190303162747537"</f>
        <v>20190303162747537</v>
      </c>
      <c r="B220" t="str">
        <f>"1551601667531468"</f>
        <v>1551601667531468</v>
      </c>
      <c r="C220" t="s">
        <v>40</v>
      </c>
      <c r="D220">
        <v>5.364363</v>
      </c>
      <c r="E220">
        <v>0.49575170000000002</v>
      </c>
      <c r="F220" t="s">
        <v>43</v>
      </c>
      <c r="G220">
        <v>-158.19499999999999</v>
      </c>
      <c r="H220">
        <v>2.094258</v>
      </c>
      <c r="I220">
        <v>374.48360000000002</v>
      </c>
      <c r="J220">
        <v>-433.1404</v>
      </c>
      <c r="K220">
        <v>1.0727949999999999</v>
      </c>
      <c r="L220">
        <v>367.69749999999999</v>
      </c>
      <c r="M220">
        <v>0.9999363</v>
      </c>
      <c r="N220">
        <v>-1.0551369999999999E-2</v>
      </c>
      <c r="O220">
        <v>4.0008040000000002E-3</v>
      </c>
      <c r="P220">
        <v>0.9894307</v>
      </c>
      <c r="Q220">
        <v>0.14451539999999999</v>
      </c>
      <c r="R220">
        <v>1.1929550000000001E-2</v>
      </c>
      <c r="S220">
        <v>3.0292659999999998</v>
      </c>
      <c r="T220">
        <v>1.123977E-2</v>
      </c>
      <c r="U220">
        <v>7.4707029999999994E-2</v>
      </c>
      <c r="V220">
        <v>-7.9557819999999998E-3</v>
      </c>
      <c r="W220">
        <v>0.15494829999999901</v>
      </c>
      <c r="X220">
        <v>0.9878905</v>
      </c>
      <c r="Y220">
        <v>-2.065492E-2</v>
      </c>
      <c r="Z220">
        <v>1.2772549999999901E-4</v>
      </c>
      <c r="AA220">
        <v>0.99978670000000003</v>
      </c>
      <c r="AB220">
        <v>24</v>
      </c>
      <c r="AC220">
        <v>274.94540000000001</v>
      </c>
      <c r="AD220">
        <v>1.02146299999999</v>
      </c>
      <c r="AE220">
        <v>6.7861000000000304</v>
      </c>
      <c r="AF220">
        <v>-5.6859033265800303</v>
      </c>
      <c r="AG220">
        <v>1.02146299999999</v>
      </c>
      <c r="AH220">
        <v>274.96655779855502</v>
      </c>
      <c r="AI220">
        <v>89.787200518262296</v>
      </c>
      <c r="AJ220">
        <v>91.184623480864602</v>
      </c>
      <c r="AK220">
        <v>275.02723645283902</v>
      </c>
      <c r="AL220">
        <v>81.086201760307304</v>
      </c>
      <c r="AM220">
        <v>90.461410325597598</v>
      </c>
      <c r="AN220">
        <v>0.99999995506518402</v>
      </c>
    </row>
    <row r="221" spans="1:40" x14ac:dyDescent="0.25">
      <c r="A221" t="str">
        <f>"20190303162747558"</f>
        <v>20190303162747558</v>
      </c>
      <c r="B221" t="str">
        <f>"1551601667551964"</f>
        <v>1551601667551964</v>
      </c>
      <c r="C221" t="s">
        <v>40</v>
      </c>
      <c r="D221">
        <v>5.3642209999999997</v>
      </c>
      <c r="E221">
        <v>0.49537910000000002</v>
      </c>
      <c r="F221" t="s">
        <v>43</v>
      </c>
      <c r="G221">
        <v>-158.19499999999999</v>
      </c>
      <c r="H221">
        <v>2.4898570000000002</v>
      </c>
      <c r="I221">
        <v>374.44040000000001</v>
      </c>
      <c r="J221">
        <v>-432.90359999999998</v>
      </c>
      <c r="K221">
        <v>1.0724629999999999</v>
      </c>
      <c r="L221">
        <v>367.69839999999999</v>
      </c>
      <c r="M221">
        <v>0.99993880000000002</v>
      </c>
      <c r="N221">
        <v>-1.0336690000000001E-2</v>
      </c>
      <c r="O221">
        <v>3.9666040000000003E-3</v>
      </c>
      <c r="P221">
        <v>0.98941520000000005</v>
      </c>
      <c r="Q221">
        <v>0.144621</v>
      </c>
      <c r="R221">
        <v>1.1926839999999999E-2</v>
      </c>
      <c r="S221">
        <v>3.0288390000000001</v>
      </c>
      <c r="T221">
        <v>1.561153E-2</v>
      </c>
      <c r="U221">
        <v>7.4279789999999998E-2</v>
      </c>
      <c r="V221">
        <v>-7.9865359999999903E-3</v>
      </c>
      <c r="W221">
        <v>0.1548418</v>
      </c>
      <c r="X221">
        <v>0.98790699999999998</v>
      </c>
      <c r="Y221">
        <v>-2.0551739999999999E-2</v>
      </c>
      <c r="Z221">
        <v>1.1471779999999999E-4</v>
      </c>
      <c r="AA221">
        <v>0.99978880000000003</v>
      </c>
      <c r="AB221">
        <v>24</v>
      </c>
      <c r="AC221">
        <v>274.70859999999999</v>
      </c>
      <c r="AD221">
        <v>1.4173939999999901</v>
      </c>
      <c r="AE221">
        <v>6.7420000000000098</v>
      </c>
      <c r="AF221">
        <v>-5.65207822825578</v>
      </c>
      <c r="AG221">
        <v>1.4173939999999901</v>
      </c>
      <c r="AH221">
        <v>274.72587362406603</v>
      </c>
      <c r="AI221">
        <v>89.704458879760196</v>
      </c>
      <c r="AJ221">
        <v>91.178609588889401</v>
      </c>
      <c r="AK221">
        <v>274.78766462953899</v>
      </c>
      <c r="AL221">
        <v>81.092378747657406</v>
      </c>
      <c r="AM221">
        <v>90.463186147360503</v>
      </c>
      <c r="AN221">
        <v>1.0000000042167501</v>
      </c>
    </row>
    <row r="222" spans="1:40" x14ac:dyDescent="0.25">
      <c r="A222" t="str">
        <f>"20190303162747581"</f>
        <v>20190303162747581</v>
      </c>
      <c r="B222" t="str">
        <f>"1551601667571484"</f>
        <v>1551601667571484</v>
      </c>
      <c r="C222" t="s">
        <v>40</v>
      </c>
      <c r="D222">
        <v>5.3561759999999996</v>
      </c>
      <c r="E222">
        <v>0.49482280000000001</v>
      </c>
      <c r="F222" t="s">
        <v>43</v>
      </c>
      <c r="G222">
        <v>-158.19499999999999</v>
      </c>
      <c r="H222">
        <v>2.5054090000000002</v>
      </c>
      <c r="I222">
        <v>374.70100000000002</v>
      </c>
      <c r="J222">
        <v>-432.67320000000001</v>
      </c>
      <c r="K222">
        <v>1.0721889999999901</v>
      </c>
      <c r="L222">
        <v>367.69920000000002</v>
      </c>
      <c r="M222">
        <v>0.99994079999999996</v>
      </c>
      <c r="N222">
        <v>-1.0154410000000001E-2</v>
      </c>
      <c r="O222">
        <v>3.9374859999999996E-3</v>
      </c>
      <c r="P222">
        <v>0.9894965</v>
      </c>
      <c r="Q222">
        <v>0.1440775</v>
      </c>
      <c r="R222">
        <v>1.1780280000000001E-2</v>
      </c>
      <c r="S222">
        <v>3.028931</v>
      </c>
      <c r="T222">
        <v>1.5800600000000001E-2</v>
      </c>
      <c r="U222">
        <v>7.7209470000000002E-2</v>
      </c>
      <c r="V222">
        <v>-7.8696689999999993E-3</v>
      </c>
      <c r="W222">
        <v>0.1541187</v>
      </c>
      <c r="X222">
        <v>0.98802100000000004</v>
      </c>
      <c r="Y222">
        <v>-2.1546530000000001E-2</v>
      </c>
      <c r="Z222">
        <v>1.137396E-4</v>
      </c>
      <c r="AA222">
        <v>0.99976779999999998</v>
      </c>
      <c r="AB222">
        <v>24</v>
      </c>
      <c r="AC222">
        <v>274.47820000000002</v>
      </c>
      <c r="AD222">
        <v>1.4332199999999999</v>
      </c>
      <c r="AE222">
        <v>7.0017999999999398</v>
      </c>
      <c r="AF222">
        <v>-5.9207747154007704</v>
      </c>
      <c r="AG222">
        <v>1.4332199999999999</v>
      </c>
      <c r="AH222">
        <v>274.49616360527801</v>
      </c>
      <c r="AI222">
        <v>89.700915253171999</v>
      </c>
      <c r="AJ222">
        <v>91.235655913494298</v>
      </c>
      <c r="AK222">
        <v>274.56375129797198</v>
      </c>
      <c r="AL222">
        <v>81.134312677507097</v>
      </c>
      <c r="AM222">
        <v>90.456355973039706</v>
      </c>
      <c r="AN222">
        <v>1.00000000091042</v>
      </c>
    </row>
    <row r="223" spans="1:40" x14ac:dyDescent="0.25">
      <c r="A223" t="str">
        <f>"20190303162747605"</f>
        <v>20190303162747605</v>
      </c>
      <c r="B223" t="str">
        <f>"1551601667601740"</f>
        <v>1551601667601740</v>
      </c>
      <c r="C223" t="s">
        <v>40</v>
      </c>
      <c r="D223">
        <v>5.4134859999999998</v>
      </c>
      <c r="E223">
        <v>0.49491940000000001</v>
      </c>
      <c r="F223" t="s">
        <v>43</v>
      </c>
      <c r="G223">
        <v>-158.19499999999999</v>
      </c>
      <c r="H223">
        <v>2.315896</v>
      </c>
      <c r="I223">
        <v>375.07220000000001</v>
      </c>
      <c r="J223">
        <v>-432.41739999999999</v>
      </c>
      <c r="K223">
        <v>1.071936</v>
      </c>
      <c r="L223">
        <v>367.7002</v>
      </c>
      <c r="M223">
        <v>0.99994269999999996</v>
      </c>
      <c r="N223">
        <v>-9.9792809999999996E-3</v>
      </c>
      <c r="O223">
        <v>3.9140140000000004E-3</v>
      </c>
      <c r="P223">
        <v>0.98962059999999996</v>
      </c>
      <c r="Q223">
        <v>0.14330580000000001</v>
      </c>
      <c r="R223">
        <v>1.071445E-2</v>
      </c>
      <c r="S223">
        <v>3.02887</v>
      </c>
      <c r="T223">
        <v>1.3725279999999999E-2</v>
      </c>
      <c r="U223">
        <v>8.1359860000000006E-2</v>
      </c>
      <c r="V223">
        <v>-6.829491E-3</v>
      </c>
      <c r="W223">
        <v>0.15317539999999999</v>
      </c>
      <c r="X223">
        <v>0.98817540000000004</v>
      </c>
      <c r="Y223">
        <v>-2.293947E-2</v>
      </c>
      <c r="Z223">
        <v>1.1930280000000001E-4</v>
      </c>
      <c r="AA223">
        <v>0.99973679999999998</v>
      </c>
      <c r="AB223">
        <v>24</v>
      </c>
      <c r="AC223">
        <v>274.22239999999999</v>
      </c>
      <c r="AD223">
        <v>1.24396</v>
      </c>
      <c r="AE223">
        <v>7.3720000000000097</v>
      </c>
      <c r="AF223">
        <v>-6.2984504151241296</v>
      </c>
      <c r="AG223">
        <v>1.24396</v>
      </c>
      <c r="AH223">
        <v>274.24351549421101</v>
      </c>
      <c r="AI223">
        <v>89.740178433987595</v>
      </c>
      <c r="AJ223">
        <v>91.315659901567997</v>
      </c>
      <c r="AK223">
        <v>274.31865358508998</v>
      </c>
      <c r="AL223">
        <v>81.189009109233396</v>
      </c>
      <c r="AM223">
        <v>90.395977050788602</v>
      </c>
      <c r="AN223">
        <v>0.99999998313881899</v>
      </c>
    </row>
    <row r="224" spans="1:40" x14ac:dyDescent="0.25">
      <c r="A224" t="str">
        <f>"20190303162747626"</f>
        <v>20190303162747626</v>
      </c>
      <c r="B224" t="str">
        <f>"1551601667611499"</f>
        <v>1551601667611499</v>
      </c>
      <c r="C224" t="s">
        <v>40</v>
      </c>
      <c r="D224">
        <v>5.4132129999999998</v>
      </c>
      <c r="E224">
        <v>0.49488290000000001</v>
      </c>
      <c r="F224" t="s">
        <v>43</v>
      </c>
      <c r="G224">
        <v>-158.19499999999999</v>
      </c>
      <c r="H224">
        <v>2.1695159999999998</v>
      </c>
      <c r="I224">
        <v>374.72649999999999</v>
      </c>
      <c r="J224">
        <v>-432.19349999999997</v>
      </c>
      <c r="K224">
        <v>1.071761</v>
      </c>
      <c r="L224">
        <v>367.7011</v>
      </c>
      <c r="M224">
        <v>0.99994400000000006</v>
      </c>
      <c r="N224">
        <v>-9.8468930000000007E-3</v>
      </c>
      <c r="O224">
        <v>3.9011660000000002E-3</v>
      </c>
      <c r="P224">
        <v>0.98971169999999997</v>
      </c>
      <c r="Q224">
        <v>0.1427495</v>
      </c>
      <c r="R224">
        <v>9.6701640000000002E-3</v>
      </c>
      <c r="S224">
        <v>3.0288390000000001</v>
      </c>
      <c r="T224">
        <v>1.212394E-2</v>
      </c>
      <c r="U224">
        <v>7.76062E-2</v>
      </c>
      <c r="V224">
        <v>-5.8000700000000001E-3</v>
      </c>
      <c r="W224">
        <v>0.15248879999999901</v>
      </c>
      <c r="X224">
        <v>0.98828819999999995</v>
      </c>
      <c r="Y224">
        <v>-2.1714379999999998E-2</v>
      </c>
      <c r="Z224">
        <v>1.1749879999999999E-4</v>
      </c>
      <c r="AA224">
        <v>0.99976419999999999</v>
      </c>
      <c r="AB224">
        <v>24</v>
      </c>
      <c r="AC224">
        <v>273.99849999999998</v>
      </c>
      <c r="AD224">
        <v>1.09775499999999</v>
      </c>
      <c r="AE224">
        <v>7.0253999999999897</v>
      </c>
      <c r="AF224">
        <v>-5.9562856307065504</v>
      </c>
      <c r="AG224">
        <v>1.09775499999999</v>
      </c>
      <c r="AH224">
        <v>274.01942784190499</v>
      </c>
      <c r="AI224">
        <v>89.770521604718198</v>
      </c>
      <c r="AJ224">
        <v>91.245226653356397</v>
      </c>
      <c r="AK224">
        <v>274.08635361754102</v>
      </c>
      <c r="AL224">
        <v>81.228816369208403</v>
      </c>
      <c r="AM224">
        <v>90.336253854507007</v>
      </c>
      <c r="AN224">
        <v>1.0000000205983399</v>
      </c>
    </row>
    <row r="225" spans="1:40" x14ac:dyDescent="0.25">
      <c r="A225" t="str">
        <f>"20190303162747648"</f>
        <v>20190303162747648</v>
      </c>
      <c r="B225" t="str">
        <f>"1551601667641757"</f>
        <v>1551601667641757</v>
      </c>
      <c r="C225" t="s">
        <v>40</v>
      </c>
      <c r="D225">
        <v>5.4123929999999998</v>
      </c>
      <c r="E225">
        <v>0.49448189999999997</v>
      </c>
      <c r="F225" t="s">
        <v>43</v>
      </c>
      <c r="G225">
        <v>-158.19499999999999</v>
      </c>
      <c r="H225">
        <v>2.03315</v>
      </c>
      <c r="I225">
        <v>374.43720000000002</v>
      </c>
      <c r="J225">
        <v>-431.94709999999998</v>
      </c>
      <c r="K225">
        <v>1.0715950000000001</v>
      </c>
      <c r="L225">
        <v>367.702</v>
      </c>
      <c r="M225">
        <v>0.99994519999999998</v>
      </c>
      <c r="N225">
        <v>-9.7206910000000001E-3</v>
      </c>
      <c r="O225">
        <v>3.893756E-3</v>
      </c>
      <c r="P225">
        <v>0.98974130000000005</v>
      </c>
      <c r="Q225">
        <v>0.14264769999999999</v>
      </c>
      <c r="R225">
        <v>7.9971250000000008E-3</v>
      </c>
      <c r="S225">
        <v>3.0289000000000001</v>
      </c>
      <c r="T225">
        <v>1.062858E-2</v>
      </c>
      <c r="U225">
        <v>7.4462890000000004E-2</v>
      </c>
      <c r="V225">
        <v>-4.1362159999999999E-3</v>
      </c>
      <c r="W225">
        <v>0.1522626</v>
      </c>
      <c r="X225">
        <v>0.98833139999999997</v>
      </c>
      <c r="Y225">
        <v>-2.0684330000000001E-2</v>
      </c>
      <c r="Z225">
        <v>1.1577070000000001E-4</v>
      </c>
      <c r="AA225">
        <v>0.99978610000000001</v>
      </c>
      <c r="AB225">
        <v>24</v>
      </c>
      <c r="AC225">
        <v>273.75209999999998</v>
      </c>
      <c r="AD225">
        <v>0.96155500000000005</v>
      </c>
      <c r="AE225">
        <v>6.7352000000000096</v>
      </c>
      <c r="AF225">
        <v>-5.6691048203413503</v>
      </c>
      <c r="AG225">
        <v>0.96155500000000005</v>
      </c>
      <c r="AH225">
        <v>273.77287535866299</v>
      </c>
      <c r="AI225">
        <v>89.798807647269101</v>
      </c>
      <c r="AJ225">
        <v>91.186272982834595</v>
      </c>
      <c r="AK225">
        <v>273.83325331236199</v>
      </c>
      <c r="AL225">
        <v>81.241929463272101</v>
      </c>
      <c r="AM225">
        <v>90.239784283271803</v>
      </c>
      <c r="AN225">
        <v>0.99999998193375905</v>
      </c>
    </row>
    <row r="226" spans="1:40" x14ac:dyDescent="0.25">
      <c r="A226" t="str">
        <f>"20190303162747672"</f>
        <v>20190303162747672</v>
      </c>
      <c r="B226" t="str">
        <f>"1551601667662253"</f>
        <v>1551601667662253</v>
      </c>
      <c r="C226" t="s">
        <v>40</v>
      </c>
      <c r="D226">
        <v>5.4668799999999997</v>
      </c>
      <c r="E226">
        <v>0.49441370000000001</v>
      </c>
      <c r="F226" t="s">
        <v>43</v>
      </c>
      <c r="G226">
        <v>-158.19499999999999</v>
      </c>
      <c r="H226">
        <v>1.938205</v>
      </c>
      <c r="I226">
        <v>374.26609999999999</v>
      </c>
      <c r="J226">
        <v>-431.70440000000002</v>
      </c>
      <c r="K226">
        <v>1.0714600000000001</v>
      </c>
      <c r="L226">
        <v>367.70299999999997</v>
      </c>
      <c r="M226">
        <v>0.99994620000000001</v>
      </c>
      <c r="N226">
        <v>-9.6132079999999998E-3</v>
      </c>
      <c r="O226">
        <v>3.8908129999999999E-3</v>
      </c>
      <c r="P226">
        <v>0.98987619999999998</v>
      </c>
      <c r="Q226">
        <v>0.14180110000000001</v>
      </c>
      <c r="R226">
        <v>6.158101E-3</v>
      </c>
      <c r="S226">
        <v>3.0291139999999999</v>
      </c>
      <c r="T226">
        <v>9.5901489999999992E-3</v>
      </c>
      <c r="U226">
        <v>7.2631840000000003E-2</v>
      </c>
      <c r="V226">
        <v>-2.301413E-3</v>
      </c>
      <c r="W226">
        <v>0.15131049999999999</v>
      </c>
      <c r="X226">
        <v>0.98848360000000002</v>
      </c>
      <c r="Y226">
        <v>-2.0081499999999999E-2</v>
      </c>
      <c r="Z226">
        <v>1.1447019999999999E-4</v>
      </c>
      <c r="AA226">
        <v>0.99979839999999998</v>
      </c>
      <c r="AB226">
        <v>24</v>
      </c>
      <c r="AC226">
        <v>273.50940000000003</v>
      </c>
      <c r="AD226">
        <v>0.86674499999999899</v>
      </c>
      <c r="AE226">
        <v>6.5630999999999604</v>
      </c>
      <c r="AF226">
        <v>-5.4987719999311402</v>
      </c>
      <c r="AG226">
        <v>0.86674499999999899</v>
      </c>
      <c r="AH226">
        <v>273.53012120293499</v>
      </c>
      <c r="AI226">
        <v>89.818482028930703</v>
      </c>
      <c r="AJ226">
        <v>91.151661088549403</v>
      </c>
      <c r="AK226">
        <v>273.58675944879798</v>
      </c>
      <c r="AL226">
        <v>81.297120378277</v>
      </c>
      <c r="AM226">
        <v>90.133397269878898</v>
      </c>
      <c r="AN226">
        <v>0.99999999569050302</v>
      </c>
    </row>
    <row r="227" spans="1:40" x14ac:dyDescent="0.25">
      <c r="A227" t="str">
        <f>"20190303162747694"</f>
        <v>20190303162747694</v>
      </c>
      <c r="B227" t="str">
        <f>"1551601667681773"</f>
        <v>1551601667681773</v>
      </c>
      <c r="C227" t="s">
        <v>40</v>
      </c>
      <c r="D227">
        <v>5.5321490000000004</v>
      </c>
      <c r="E227">
        <v>0.49464239999999998</v>
      </c>
      <c r="F227" t="s">
        <v>43</v>
      </c>
      <c r="G227">
        <v>-158.19499999999999</v>
      </c>
      <c r="H227">
        <v>1.5837220000000001</v>
      </c>
      <c r="I227">
        <v>373.8252</v>
      </c>
      <c r="J227">
        <v>-431.46499999999997</v>
      </c>
      <c r="K227">
        <v>1.07134</v>
      </c>
      <c r="L227">
        <v>367.70389999999998</v>
      </c>
      <c r="M227">
        <v>0.99994709999999998</v>
      </c>
      <c r="N227">
        <v>-9.5216020000000005E-3</v>
      </c>
      <c r="O227">
        <v>3.8944510000000002E-3</v>
      </c>
      <c r="P227">
        <v>0.99002109999999999</v>
      </c>
      <c r="Q227">
        <v>0.1408451</v>
      </c>
      <c r="R227">
        <v>4.5797659999999999E-3</v>
      </c>
      <c r="S227">
        <v>3.0294189999999999</v>
      </c>
      <c r="T227">
        <v>5.6748390000000001E-3</v>
      </c>
      <c r="U227">
        <v>6.7810060000000005E-2</v>
      </c>
      <c r="V227">
        <v>-7.196902E-4</v>
      </c>
      <c r="W227">
        <v>0.1502655</v>
      </c>
      <c r="X227">
        <v>0.98864540000000001</v>
      </c>
      <c r="Y227">
        <v>-1.8484810000000001E-2</v>
      </c>
      <c r="Z227">
        <v>1.1507619999999999E-4</v>
      </c>
      <c r="AA227">
        <v>0.99982910000000003</v>
      </c>
      <c r="AB227">
        <v>24</v>
      </c>
      <c r="AC227">
        <v>273.27</v>
      </c>
      <c r="AD227">
        <v>0.512381999999999</v>
      </c>
      <c r="AE227">
        <v>6.1213000000000104</v>
      </c>
      <c r="AF227">
        <v>-5.0569509518563498</v>
      </c>
      <c r="AG227">
        <v>0.512381999999999</v>
      </c>
      <c r="AH227">
        <v>273.290807369915</v>
      </c>
      <c r="AI227">
        <v>89.892596946857097</v>
      </c>
      <c r="AJ227">
        <v>91.060075483669095</v>
      </c>
      <c r="AK227">
        <v>273.33807031063799</v>
      </c>
      <c r="AL227">
        <v>81.357686869038403</v>
      </c>
      <c r="AM227">
        <v>90.041708790364197</v>
      </c>
      <c r="AN227">
        <v>0.99999998269269597</v>
      </c>
    </row>
    <row r="228" spans="1:40" x14ac:dyDescent="0.25">
      <c r="A228" t="str">
        <f>"20190303162747737"</f>
        <v>20190303162747737</v>
      </c>
      <c r="B228" t="str">
        <f>"1551601667731548"</f>
        <v>1551601667731548</v>
      </c>
      <c r="C228" t="s">
        <v>40</v>
      </c>
      <c r="D228">
        <v>5.2324419999999998</v>
      </c>
      <c r="E228">
        <v>0.49557780000000001</v>
      </c>
      <c r="F228" t="s">
        <v>43</v>
      </c>
      <c r="G228">
        <v>-158.19499999999999</v>
      </c>
      <c r="H228">
        <v>0.91487649999999998</v>
      </c>
      <c r="I228">
        <v>373.23570000000001</v>
      </c>
      <c r="J228">
        <v>-430.99259999999998</v>
      </c>
      <c r="K228">
        <v>1.0711820000000001</v>
      </c>
      <c r="L228">
        <v>367.70580000000001</v>
      </c>
      <c r="M228">
        <v>0.99994830000000001</v>
      </c>
      <c r="N228">
        <v>-9.376891E-3</v>
      </c>
      <c r="O228">
        <v>3.9455009999999997E-3</v>
      </c>
      <c r="P228">
        <v>0.99010750000000003</v>
      </c>
      <c r="Q228">
        <v>0.1402321</v>
      </c>
      <c r="R228">
        <v>4.7173559999999998E-3</v>
      </c>
      <c r="S228">
        <v>3.030243</v>
      </c>
      <c r="T228">
        <v>-1.7340179999999999E-3</v>
      </c>
      <c r="U228">
        <v>6.1340329999999998E-2</v>
      </c>
      <c r="V228">
        <v>-8.1218299999999996E-4</v>
      </c>
      <c r="W228">
        <v>0.14951020000000001</v>
      </c>
      <c r="X228">
        <v>0.98875990000000002</v>
      </c>
      <c r="Y228">
        <v>-1.629365E-2</v>
      </c>
      <c r="Z228">
        <v>1.157995E-4</v>
      </c>
      <c r="AA228">
        <v>0.99986730000000001</v>
      </c>
      <c r="AB228">
        <v>24</v>
      </c>
      <c r="AC228">
        <v>272.79759999999999</v>
      </c>
      <c r="AD228">
        <v>-0.15630549999999999</v>
      </c>
      <c r="AE228">
        <v>5.5298999999999898</v>
      </c>
      <c r="AF228">
        <v>-4.4534850190358402</v>
      </c>
      <c r="AG228">
        <v>-0.15630549999999999</v>
      </c>
      <c r="AH228">
        <v>272.81720614389502</v>
      </c>
      <c r="AI228">
        <v>90.032822165516293</v>
      </c>
      <c r="AJ228">
        <v>90.935216798947096</v>
      </c>
      <c r="AK228">
        <v>272.853597975882</v>
      </c>
      <c r="AL228">
        <v>81.401457422858996</v>
      </c>
      <c r="AM228">
        <v>90.047063647733097</v>
      </c>
      <c r="AN228">
        <v>1.0000000496966299</v>
      </c>
    </row>
    <row r="229" spans="1:40" x14ac:dyDescent="0.25">
      <c r="A229" t="str">
        <f>"20190303162747759"</f>
        <v>20190303162747759</v>
      </c>
      <c r="B229" t="str">
        <f>"1551601667752045"</f>
        <v>1551601667752045</v>
      </c>
      <c r="C229" t="s">
        <v>40</v>
      </c>
      <c r="D229">
        <v>5.412579</v>
      </c>
      <c r="E229">
        <v>0.4959655</v>
      </c>
      <c r="F229" t="s">
        <v>42</v>
      </c>
      <c r="G229">
        <v>-133.39699999999999</v>
      </c>
      <c r="H229">
        <v>-0.05</v>
      </c>
      <c r="I229">
        <v>372.98180000000002</v>
      </c>
      <c r="J229">
        <v>-430.74869999999999</v>
      </c>
      <c r="K229">
        <v>1.071118</v>
      </c>
      <c r="L229">
        <v>367.70679999999999</v>
      </c>
      <c r="M229">
        <v>0.99994870000000002</v>
      </c>
      <c r="N229">
        <v>-9.3175319999999999E-3</v>
      </c>
      <c r="O229">
        <v>3.9965369999999997E-3</v>
      </c>
      <c r="P229">
        <v>0.99020490000000005</v>
      </c>
      <c r="Q229">
        <v>0.1395081</v>
      </c>
      <c r="R229">
        <v>5.6502159999999996E-3</v>
      </c>
      <c r="S229">
        <v>3.031342</v>
      </c>
      <c r="T229">
        <v>-1.142049E-2</v>
      </c>
      <c r="U229">
        <v>5.3741459999999998E-2</v>
      </c>
      <c r="V229">
        <v>-1.699234E-3</v>
      </c>
      <c r="W229">
        <v>0.14872839999999901</v>
      </c>
      <c r="X229">
        <v>0.98887659999999999</v>
      </c>
      <c r="Y229">
        <v>-1.372932E-2</v>
      </c>
      <c r="Z229">
        <v>1.120101E-4</v>
      </c>
      <c r="AA229">
        <v>0.99990579999999996</v>
      </c>
      <c r="AB229">
        <v>24</v>
      </c>
      <c r="AC229">
        <v>297.35169999999903</v>
      </c>
      <c r="AD229">
        <v>-1.1211180000000001</v>
      </c>
      <c r="AE229">
        <v>5.2750000000000297</v>
      </c>
      <c r="AF229">
        <v>-4.0864712502842897</v>
      </c>
      <c r="AG229">
        <v>-1.1211180000000001</v>
      </c>
      <c r="AH229">
        <v>297.36618185842002</v>
      </c>
      <c r="AI229">
        <v>90.215992822578499</v>
      </c>
      <c r="AJ229">
        <v>90.787321601604205</v>
      </c>
      <c r="AK229">
        <v>297.39637231463399</v>
      </c>
      <c r="AL229">
        <v>81.446757130890703</v>
      </c>
      <c r="AM229">
        <v>90.098453983824399</v>
      </c>
      <c r="AN229">
        <v>0.99999997719515299</v>
      </c>
    </row>
    <row r="230" spans="1:40" x14ac:dyDescent="0.25">
      <c r="A230" t="str">
        <f>"20190303162747782"</f>
        <v>20190303162747782</v>
      </c>
      <c r="B230" t="str">
        <f>"1551601667771564"</f>
        <v>1551601667771564</v>
      </c>
      <c r="C230" t="s">
        <v>40</v>
      </c>
      <c r="D230">
        <v>5.4087379999999996</v>
      </c>
      <c r="E230">
        <v>0.49609940000000002</v>
      </c>
      <c r="F230" t="s">
        <v>41</v>
      </c>
      <c r="G230">
        <v>-232.01580000000001</v>
      </c>
      <c r="H230" s="1">
        <v>-3.8373209999999996E-6</v>
      </c>
      <c r="I230">
        <v>371.23180000000002</v>
      </c>
      <c r="J230">
        <v>-430.50729999999999</v>
      </c>
      <c r="K230">
        <v>1.0710649999999999</v>
      </c>
      <c r="L230">
        <v>367.7079</v>
      </c>
      <c r="M230">
        <v>0.99994890000000003</v>
      </c>
      <c r="N230">
        <v>-9.267539E-3</v>
      </c>
      <c r="O230">
        <v>4.0608759999999997E-3</v>
      </c>
      <c r="P230">
        <v>0.99037450000000005</v>
      </c>
      <c r="Q230">
        <v>0.13827509999999901</v>
      </c>
      <c r="R230">
        <v>6.1941679999999999E-3</v>
      </c>
      <c r="S230">
        <v>3.0316160000000001</v>
      </c>
      <c r="T230">
        <v>-1.6339659999999999E-2</v>
      </c>
      <c r="U230">
        <v>5.3771970000000002E-2</v>
      </c>
      <c r="V230">
        <v>-2.18345E-3</v>
      </c>
      <c r="W230">
        <v>0.14744760000000001</v>
      </c>
      <c r="X230">
        <v>0.98906740000000004</v>
      </c>
      <c r="Y230">
        <v>-1.367321E-2</v>
      </c>
      <c r="Z230">
        <v>1.159583E-4</v>
      </c>
      <c r="AA230">
        <v>0.99990650000000003</v>
      </c>
      <c r="AB230">
        <v>24</v>
      </c>
      <c r="AC230">
        <v>198.4915</v>
      </c>
      <c r="AD230">
        <v>-1.071068837321</v>
      </c>
      <c r="AE230">
        <v>3.5239000000000198</v>
      </c>
      <c r="AF230">
        <v>-2.7177079215420901</v>
      </c>
      <c r="AG230">
        <v>-1.071068837321</v>
      </c>
      <c r="AH230">
        <v>198.49839603981201</v>
      </c>
      <c r="AI230">
        <v>90.309127825750394</v>
      </c>
      <c r="AJ230">
        <v>90.784406667448494</v>
      </c>
      <c r="AK230">
        <v>198.519889067013</v>
      </c>
      <c r="AL230">
        <v>81.520959415376893</v>
      </c>
      <c r="AM230">
        <v>90.126485077308502</v>
      </c>
      <c r="AN230">
        <v>0.99999994197120901</v>
      </c>
    </row>
    <row r="231" spans="1:40" x14ac:dyDescent="0.25">
      <c r="A231" t="str">
        <f>"20190303162747805"</f>
        <v>20190303162747805</v>
      </c>
      <c r="B231" t="str">
        <f>"1551601667792060"</f>
        <v>1551601667792060</v>
      </c>
      <c r="C231" t="s">
        <v>40</v>
      </c>
      <c r="D231">
        <v>5.3470589999999998</v>
      </c>
      <c r="E231">
        <v>0.49622290000000002</v>
      </c>
      <c r="F231" t="s">
        <v>42</v>
      </c>
      <c r="G231">
        <v>-278.60000000000002</v>
      </c>
      <c r="H231">
        <v>-0.05</v>
      </c>
      <c r="I231">
        <v>370.4341</v>
      </c>
      <c r="J231">
        <v>-430.2543</v>
      </c>
      <c r="K231">
        <v>1.0710219999999999</v>
      </c>
      <c r="L231">
        <v>367.709</v>
      </c>
      <c r="M231">
        <v>0.99994899999999998</v>
      </c>
      <c r="N231">
        <v>-9.2236980000000007E-3</v>
      </c>
      <c r="O231">
        <v>4.1414210000000002E-3</v>
      </c>
      <c r="P231">
        <v>0.99051579999999995</v>
      </c>
      <c r="Q231">
        <v>0.13722029999999999</v>
      </c>
      <c r="R231">
        <v>7.0232879999999999E-3</v>
      </c>
      <c r="S231">
        <v>3.0319820000000002</v>
      </c>
      <c r="T231">
        <v>-2.2375820000000001E-2</v>
      </c>
      <c r="U231">
        <v>5.4412839999999997E-2</v>
      </c>
      <c r="V231">
        <v>-2.9357020000000001E-3</v>
      </c>
      <c r="W231">
        <v>0.14635049999999999</v>
      </c>
      <c r="X231">
        <v>0.98922840000000001</v>
      </c>
      <c r="Y231">
        <v>-1.380148E-2</v>
      </c>
      <c r="Z231">
        <v>1.2221829999999999E-4</v>
      </c>
      <c r="AA231">
        <v>0.99990480000000004</v>
      </c>
      <c r="AB231">
        <v>24</v>
      </c>
      <c r="AC231">
        <v>151.65429999999901</v>
      </c>
      <c r="AD231">
        <v>-1.121022</v>
      </c>
      <c r="AE231">
        <v>2.7250999999999901</v>
      </c>
      <c r="AF231">
        <v>-2.0968711412839798</v>
      </c>
      <c r="AG231">
        <v>-1.121022</v>
      </c>
      <c r="AH231">
        <v>151.65600164578601</v>
      </c>
      <c r="AI231">
        <v>90.423474973564097</v>
      </c>
      <c r="AJ231">
        <v>90.792149405446594</v>
      </c>
      <c r="AK231">
        <v>151.67463991747101</v>
      </c>
      <c r="AL231">
        <v>81.584508159838293</v>
      </c>
      <c r="AM231">
        <v>90.170034383079397</v>
      </c>
      <c r="AN231">
        <v>0.99999995728152002</v>
      </c>
    </row>
    <row r="232" spans="1:40" x14ac:dyDescent="0.25">
      <c r="A232" t="str">
        <f>"20190303162747828"</f>
        <v>20190303162747828</v>
      </c>
      <c r="B232" t="str">
        <f>"1551601667821340"</f>
        <v>1551601667821340</v>
      </c>
      <c r="C232" t="s">
        <v>40</v>
      </c>
      <c r="D232">
        <v>5.347175</v>
      </c>
      <c r="E232">
        <v>0.49638310000000002</v>
      </c>
      <c r="F232" t="s">
        <v>42</v>
      </c>
      <c r="G232">
        <v>-307.97129999999999</v>
      </c>
      <c r="H232">
        <v>-0.05</v>
      </c>
      <c r="I232">
        <v>369.94639999999998</v>
      </c>
      <c r="J232">
        <v>-430.00850000000003</v>
      </c>
      <c r="K232">
        <v>1.0709919999999999</v>
      </c>
      <c r="L232">
        <v>367.71010000000001</v>
      </c>
      <c r="M232">
        <v>0.99994899999999998</v>
      </c>
      <c r="N232">
        <v>-9.1881640000000004E-3</v>
      </c>
      <c r="O232">
        <v>4.2297979999999999E-3</v>
      </c>
      <c r="P232">
        <v>0.99052499999999999</v>
      </c>
      <c r="Q232">
        <v>0.137104</v>
      </c>
      <c r="R232">
        <v>7.9394389999999995E-3</v>
      </c>
      <c r="S232">
        <v>3.0321959999999999</v>
      </c>
      <c r="T232">
        <v>-2.779746E-2</v>
      </c>
      <c r="U232">
        <v>5.5480960000000003E-2</v>
      </c>
      <c r="V232">
        <v>-3.7664510000000001E-3</v>
      </c>
      <c r="W232">
        <v>0.14619960000000001</v>
      </c>
      <c r="X232">
        <v>0.98924789999999996</v>
      </c>
      <c r="Y232">
        <v>-1.4063610000000001E-2</v>
      </c>
      <c r="Z232">
        <v>1.291659E-4</v>
      </c>
      <c r="AA232">
        <v>0.99990109999999999</v>
      </c>
      <c r="AB232">
        <v>24</v>
      </c>
      <c r="AC232">
        <v>122.0372</v>
      </c>
      <c r="AD232">
        <v>-1.120992</v>
      </c>
      <c r="AE232">
        <v>2.2362999999999702</v>
      </c>
      <c r="AF232">
        <v>-1.71992050799107</v>
      </c>
      <c r="AG232">
        <v>-1.120992</v>
      </c>
      <c r="AH232">
        <v>122.035274272618</v>
      </c>
      <c r="AI232">
        <v>90.526240688177694</v>
      </c>
      <c r="AJ232">
        <v>90.807452295600001</v>
      </c>
      <c r="AK232">
        <v>122.052541622086</v>
      </c>
      <c r="AL232">
        <v>81.593248110189293</v>
      </c>
      <c r="AM232">
        <v>90.218146233399096</v>
      </c>
      <c r="AN232">
        <v>0.99999995842385103</v>
      </c>
    </row>
    <row r="233" spans="1:40" x14ac:dyDescent="0.25">
      <c r="A233" t="str">
        <f>"20190303162747848"</f>
        <v>20190303162747848</v>
      </c>
      <c r="B233" t="str">
        <f>"1551601667841836"</f>
        <v>1551601667841836</v>
      </c>
      <c r="C233" t="s">
        <v>40</v>
      </c>
      <c r="D233">
        <v>5.4097289999999996</v>
      </c>
      <c r="E233">
        <v>0.49656149999999999</v>
      </c>
      <c r="F233" t="s">
        <v>41</v>
      </c>
      <c r="G233">
        <v>-323.66239999999999</v>
      </c>
      <c r="H233" s="1">
        <v>-2.731261E-6</v>
      </c>
      <c r="I233">
        <v>369.7296</v>
      </c>
      <c r="J233">
        <v>-429.77429999999998</v>
      </c>
      <c r="K233">
        <v>1.070967</v>
      </c>
      <c r="L233">
        <v>367.71120000000002</v>
      </c>
      <c r="M233">
        <v>0.99994879999999997</v>
      </c>
      <c r="N233">
        <v>-9.1599060000000006E-3</v>
      </c>
      <c r="O233">
        <v>4.3194740000000002E-3</v>
      </c>
      <c r="P233">
        <v>0.99050099999999996</v>
      </c>
      <c r="Q233">
        <v>0.13729920000000001</v>
      </c>
      <c r="R233">
        <v>7.5308900000000002E-3</v>
      </c>
      <c r="S233">
        <v>3.0324710000000001</v>
      </c>
      <c r="T233">
        <v>-3.0539509999999999E-2</v>
      </c>
      <c r="U233">
        <v>5.758667E-2</v>
      </c>
      <c r="V233">
        <v>-3.2701309999999999E-3</v>
      </c>
      <c r="W233">
        <v>0.1463661</v>
      </c>
      <c r="X233">
        <v>0.98922509999999997</v>
      </c>
      <c r="Y233">
        <v>-1.466612E-2</v>
      </c>
      <c r="Z233">
        <v>1.3709090000000001E-4</v>
      </c>
      <c r="AA233">
        <v>0.99989240000000001</v>
      </c>
      <c r="AB233">
        <v>24</v>
      </c>
      <c r="AC233">
        <v>106.11190000000001</v>
      </c>
      <c r="AD233">
        <v>-1.070969731261</v>
      </c>
      <c r="AE233">
        <v>2.0183999999999802</v>
      </c>
      <c r="AF233">
        <v>-1.55985554591458</v>
      </c>
      <c r="AG233">
        <v>-1.070969731261</v>
      </c>
      <c r="AH233">
        <v>106.108823897224</v>
      </c>
      <c r="AI233">
        <v>90.578211417291001</v>
      </c>
      <c r="AJ233">
        <v>90.842217442199299</v>
      </c>
      <c r="AK233">
        <v>106.125692621257</v>
      </c>
      <c r="AL233">
        <v>81.583605094480504</v>
      </c>
      <c r="AM233">
        <v>90.189404840468697</v>
      </c>
      <c r="AN233">
        <v>1.0000000137279801</v>
      </c>
    </row>
    <row r="234" spans="1:40" x14ac:dyDescent="0.25">
      <c r="A234" t="str">
        <f>"20190303162747872"</f>
        <v>20190303162747872</v>
      </c>
      <c r="B234" t="str">
        <f>"1551601667861356"</f>
        <v>1551601667861356</v>
      </c>
      <c r="C234" t="s">
        <v>40</v>
      </c>
      <c r="D234">
        <v>5.1507449999999997</v>
      </c>
      <c r="E234">
        <v>0.52921200000000002</v>
      </c>
      <c r="F234" t="s">
        <v>41</v>
      </c>
      <c r="G234">
        <v>-326.83609999999999</v>
      </c>
      <c r="H234" s="1">
        <v>-1.342644E-6</v>
      </c>
      <c r="I234">
        <v>369.59949999999998</v>
      </c>
      <c r="J234">
        <v>-429.5206</v>
      </c>
      <c r="K234">
        <v>1.0709409999999999</v>
      </c>
      <c r="L234">
        <v>367.7124</v>
      </c>
      <c r="M234">
        <v>0.99994859999999997</v>
      </c>
      <c r="N234">
        <v>-9.1344019999999998E-3</v>
      </c>
      <c r="O234">
        <v>4.4200189999999999E-3</v>
      </c>
      <c r="P234">
        <v>0.99057289999999998</v>
      </c>
      <c r="Q234">
        <v>0.13681670000000001</v>
      </c>
      <c r="R234">
        <v>6.8421189999999998E-3</v>
      </c>
      <c r="S234">
        <v>3.032715</v>
      </c>
      <c r="T234">
        <v>-3.155231E-2</v>
      </c>
      <c r="U234">
        <v>5.5633540000000002E-2</v>
      </c>
      <c r="V234">
        <v>-2.4811640000000001E-3</v>
      </c>
      <c r="W234">
        <v>0.14585899999999999</v>
      </c>
      <c r="X234">
        <v>0.98930229999999997</v>
      </c>
      <c r="Y234">
        <v>-1.392033E-2</v>
      </c>
      <c r="Z234">
        <v>1.303842E-4</v>
      </c>
      <c r="AA234">
        <v>0.99990310000000004</v>
      </c>
      <c r="AB234">
        <v>24</v>
      </c>
      <c r="AC234">
        <v>102.6845</v>
      </c>
      <c r="AD234">
        <v>-1.0709423426439999</v>
      </c>
      <c r="AE234">
        <v>1.88709999999997</v>
      </c>
      <c r="AF234">
        <v>-1.43303940395034</v>
      </c>
      <c r="AG234">
        <v>-1.0709423426439999</v>
      </c>
      <c r="AH234">
        <v>102.680673078265</v>
      </c>
      <c r="AI234">
        <v>90.597505600448798</v>
      </c>
      <c r="AJ234">
        <v>90.799583573135806</v>
      </c>
      <c r="AK234">
        <v>102.696256714839</v>
      </c>
      <c r="AL234">
        <v>81.612975056060506</v>
      </c>
      <c r="AM234">
        <v>90.143697156487704</v>
      </c>
      <c r="AN234">
        <v>1.0000000224205401</v>
      </c>
    </row>
    <row r="235" spans="1:40" x14ac:dyDescent="0.25">
      <c r="A235" t="str">
        <f>"20190303162747892"</f>
        <v>20190303162747892</v>
      </c>
      <c r="B235" t="str">
        <f>"1551601667881852"</f>
        <v>1551601667881852</v>
      </c>
      <c r="C235" t="s">
        <v>40</v>
      </c>
      <c r="D235">
        <v>5.0876539999999997</v>
      </c>
      <c r="E235">
        <v>0.53065850000000003</v>
      </c>
      <c r="F235" t="s">
        <v>44</v>
      </c>
      <c r="G235">
        <v>-428.71469999999999</v>
      </c>
      <c r="H235">
        <v>0.89999530000000005</v>
      </c>
      <c r="I235">
        <v>367.66129999999998</v>
      </c>
      <c r="J235">
        <v>-429.29410000000001</v>
      </c>
      <c r="K235">
        <v>1.0709229999999901</v>
      </c>
      <c r="L235">
        <v>367.71350000000001</v>
      </c>
      <c r="M235">
        <v>0.99994830000000001</v>
      </c>
      <c r="N235">
        <v>-9.1157559999999992E-3</v>
      </c>
      <c r="O235">
        <v>4.5093809999999998E-3</v>
      </c>
      <c r="P235">
        <v>0.99050470000000002</v>
      </c>
      <c r="Q235">
        <v>0.13733779999999901</v>
      </c>
      <c r="R235">
        <v>6.2547280000000002E-3</v>
      </c>
      <c r="S235">
        <v>3.1213989999999998</v>
      </c>
      <c r="T235">
        <v>-0.66205780000000003</v>
      </c>
      <c r="U235">
        <v>-0.19790650000000001</v>
      </c>
      <c r="V235">
        <v>-1.80503E-3</v>
      </c>
      <c r="W235">
        <v>0.1463614</v>
      </c>
      <c r="X235">
        <v>0.98922960000000004</v>
      </c>
      <c r="Y235">
        <v>6.6153870000000004E-2</v>
      </c>
      <c r="Z235">
        <v>-8.1414920000000002E-3</v>
      </c>
      <c r="AA235">
        <v>0.9977762</v>
      </c>
      <c r="AB235">
        <v>25</v>
      </c>
      <c r="AC235">
        <v>0.57940000000002101</v>
      </c>
      <c r="AD235">
        <v>-0.17092769999999899</v>
      </c>
      <c r="AE235">
        <v>-5.2200000000027502E-2</v>
      </c>
      <c r="AF235">
        <v>5.0456454241802E-2</v>
      </c>
      <c r="AG235">
        <v>-0.17092769999999899</v>
      </c>
      <c r="AH235">
        <v>0.53313376606100105</v>
      </c>
      <c r="AI235">
        <v>107.702206128792</v>
      </c>
      <c r="AJ235">
        <v>84.593558327247095</v>
      </c>
      <c r="AK235">
        <v>0.56213320922743104</v>
      </c>
      <c r="AL235">
        <v>81.583877704509803</v>
      </c>
      <c r="AM235">
        <v>90.104546493671705</v>
      </c>
      <c r="AN235">
        <v>1.0000000595297001</v>
      </c>
    </row>
    <row r="236" spans="1:40" x14ac:dyDescent="0.25">
      <c r="A236" t="str">
        <f>"20190303162747916"</f>
        <v>20190303162747916</v>
      </c>
      <c r="B236" t="str">
        <f>"1551601667912108"</f>
        <v>1551601667912108</v>
      </c>
      <c r="C236" t="s">
        <v>40</v>
      </c>
      <c r="D236">
        <v>5.0888080000000002</v>
      </c>
      <c r="E236">
        <v>0.53297499999999998</v>
      </c>
      <c r="F236" t="s">
        <v>44</v>
      </c>
      <c r="G236">
        <v>-428.50979999999998</v>
      </c>
      <c r="H236">
        <v>0.86777000000000004</v>
      </c>
      <c r="I236">
        <v>367.66059999999999</v>
      </c>
      <c r="J236">
        <v>-429.04730000000001</v>
      </c>
      <c r="K236">
        <v>1.0709040000000001</v>
      </c>
      <c r="L236">
        <v>367.71469999999999</v>
      </c>
      <c r="M236">
        <v>0.99994819999999995</v>
      </c>
      <c r="N236">
        <v>-9.0992839999999992E-3</v>
      </c>
      <c r="O236">
        <v>4.604337E-3</v>
      </c>
      <c r="P236">
        <v>0.99048400000000003</v>
      </c>
      <c r="Q236">
        <v>0.13751640000000001</v>
      </c>
      <c r="R236">
        <v>5.5783530000000003E-3</v>
      </c>
      <c r="S236">
        <v>3.1429749999999999</v>
      </c>
      <c r="T236">
        <v>-0.81422399999999995</v>
      </c>
      <c r="U236">
        <v>-0.21008299999999999</v>
      </c>
      <c r="V236">
        <v>-1.034716E-3</v>
      </c>
      <c r="W236">
        <v>0.14652370000000001</v>
      </c>
      <c r="X236">
        <v>0.98920660000000005</v>
      </c>
      <c r="Y236">
        <v>6.8802070000000007E-2</v>
      </c>
      <c r="Z236">
        <v>-1.0207630000000001E-2</v>
      </c>
      <c r="AA236">
        <v>0.99757810000000002</v>
      </c>
      <c r="AB236">
        <v>25</v>
      </c>
      <c r="AC236">
        <v>0.53750000000002196</v>
      </c>
      <c r="AD236">
        <v>-0.20313400000000001</v>
      </c>
      <c r="AE236">
        <v>-5.4100000000005297E-2</v>
      </c>
      <c r="AF236">
        <v>4.9566024778616297E-2</v>
      </c>
      <c r="AG236">
        <v>-0.20313400000000001</v>
      </c>
      <c r="AH236">
        <v>0.47069218181861</v>
      </c>
      <c r="AI236">
        <v>113.22858978841499</v>
      </c>
      <c r="AJ236">
        <v>83.988648885111004</v>
      </c>
      <c r="AK236">
        <v>0.51504499103817902</v>
      </c>
      <c r="AL236">
        <v>81.5744765923248</v>
      </c>
      <c r="AM236">
        <v>90.059931705037997</v>
      </c>
      <c r="AN236">
        <v>0.99999998139122503</v>
      </c>
    </row>
    <row r="237" spans="1:40" x14ac:dyDescent="0.25">
      <c r="A237" t="str">
        <f>"20190303162747938"</f>
        <v>20190303162747938</v>
      </c>
      <c r="B237" t="str">
        <f>"1551601667931629"</f>
        <v>1551601667931629</v>
      </c>
      <c r="C237" t="s">
        <v>40</v>
      </c>
      <c r="D237">
        <v>5.1220759999999999</v>
      </c>
      <c r="E237">
        <v>0.53354469999999898</v>
      </c>
      <c r="F237" t="s">
        <v>44</v>
      </c>
      <c r="G237">
        <v>-428.29140000000001</v>
      </c>
      <c r="H237">
        <v>0.86296070000000002</v>
      </c>
      <c r="I237">
        <v>367.65929999999997</v>
      </c>
      <c r="J237">
        <v>-428.79669999999999</v>
      </c>
      <c r="K237">
        <v>1.070889</v>
      </c>
      <c r="L237">
        <v>367.71589999999998</v>
      </c>
      <c r="M237">
        <v>0.99994780000000005</v>
      </c>
      <c r="N237">
        <v>-9.0860950000000006E-3</v>
      </c>
      <c r="O237">
        <v>4.6987449999999998E-3</v>
      </c>
      <c r="P237">
        <v>0.9903904</v>
      </c>
      <c r="Q237">
        <v>0.1382293</v>
      </c>
      <c r="R237">
        <v>4.4092059999999997E-3</v>
      </c>
      <c r="S237">
        <v>3.150452</v>
      </c>
      <c r="T237">
        <v>-0.86680389999999996</v>
      </c>
      <c r="U237">
        <v>-0.2298279</v>
      </c>
      <c r="V237">
        <v>2.2772619999999999E-4</v>
      </c>
      <c r="W237">
        <v>0.14722270000000001</v>
      </c>
      <c r="X237">
        <v>0.98910339999999997</v>
      </c>
      <c r="Y237">
        <v>7.4434219999999995E-2</v>
      </c>
      <c r="Z237">
        <v>-1.1611109999999999E-2</v>
      </c>
      <c r="AA237">
        <v>0.99715830000000005</v>
      </c>
      <c r="AB237">
        <v>25</v>
      </c>
      <c r="AC237">
        <v>0.50529999999997699</v>
      </c>
      <c r="AD237">
        <v>-0.20792829999999901</v>
      </c>
      <c r="AE237">
        <v>-5.6600000000003002E-2</v>
      </c>
      <c r="AF237">
        <v>5.0524543036762397E-2</v>
      </c>
      <c r="AG237">
        <v>-0.20792829999999901</v>
      </c>
      <c r="AH237">
        <v>0.43267271960244102</v>
      </c>
      <c r="AI237">
        <v>115.516253478218</v>
      </c>
      <c r="AJ237">
        <v>83.339557653191704</v>
      </c>
      <c r="AK237">
        <v>0.48269305948825902</v>
      </c>
      <c r="AL237">
        <v>81.533988385247795</v>
      </c>
      <c r="AM237">
        <v>89.986808507670602</v>
      </c>
      <c r="AN237">
        <v>1.00000005557303</v>
      </c>
    </row>
    <row r="238" spans="1:40" x14ac:dyDescent="0.25">
      <c r="A238" t="str">
        <f>"20190303162747960"</f>
        <v>20190303162747960</v>
      </c>
      <c r="B238" t="str">
        <f>"1551601667952125"</f>
        <v>1551601667952125</v>
      </c>
      <c r="C238" t="s">
        <v>40</v>
      </c>
      <c r="D238">
        <v>5.0723449999999897</v>
      </c>
      <c r="E238">
        <v>0.53375859999999997</v>
      </c>
      <c r="F238" t="s">
        <v>44</v>
      </c>
      <c r="G238">
        <v>-428.06819999999999</v>
      </c>
      <c r="H238">
        <v>0.86783670000000002</v>
      </c>
      <c r="I238">
        <v>367.66090000000003</v>
      </c>
      <c r="J238">
        <v>-428.5376</v>
      </c>
      <c r="K238">
        <v>1.0708799999999901</v>
      </c>
      <c r="L238">
        <v>367.71730000000002</v>
      </c>
      <c r="M238">
        <v>0.99994740000000004</v>
      </c>
      <c r="N238">
        <v>-9.0756919999999998E-3</v>
      </c>
      <c r="O238">
        <v>4.7937989999999996E-3</v>
      </c>
      <c r="P238">
        <v>0.99023850000000002</v>
      </c>
      <c r="Q238">
        <v>0.13932520000000001</v>
      </c>
      <c r="R238">
        <v>4.062052E-3</v>
      </c>
      <c r="S238">
        <v>3.1528019999999999</v>
      </c>
      <c r="T238">
        <v>-0.87880230000000004</v>
      </c>
      <c r="U238">
        <v>-0.23706050000000001</v>
      </c>
      <c r="V238">
        <v>6.679101E-4</v>
      </c>
      <c r="W238">
        <v>0.14830689999999999</v>
      </c>
      <c r="X238">
        <v>0.98894119999999996</v>
      </c>
      <c r="Y238">
        <v>7.6586080000000001E-2</v>
      </c>
      <c r="Z238">
        <v>-1.2081669999999999E-2</v>
      </c>
      <c r="AA238">
        <v>0.99698980000000004</v>
      </c>
      <c r="AB238">
        <v>25</v>
      </c>
      <c r="AC238">
        <v>0.46940000000000698</v>
      </c>
      <c r="AD238">
        <v>-0.20304329999999901</v>
      </c>
      <c r="AE238">
        <v>-5.6399999999996397E-2</v>
      </c>
      <c r="AF238">
        <v>4.9516583083294E-2</v>
      </c>
      <c r="AG238">
        <v>-0.20304329999999901</v>
      </c>
      <c r="AH238">
        <v>0.396071028533866</v>
      </c>
      <c r="AI238">
        <v>116.96170039343799</v>
      </c>
      <c r="AJ238">
        <v>82.873886262289801</v>
      </c>
      <c r="AK238">
        <v>0.44782891076728099</v>
      </c>
      <c r="AL238">
        <v>81.471178676175199</v>
      </c>
      <c r="AM238">
        <v>89.961303640696102</v>
      </c>
      <c r="AN238">
        <v>1.0000000398744699</v>
      </c>
    </row>
    <row r="239" spans="1:40" x14ac:dyDescent="0.25">
      <c r="A239" t="str">
        <f>"20190303162747983"</f>
        <v>20190303162747983</v>
      </c>
      <c r="B239" t="str">
        <f>"1551601667971644"</f>
        <v>1551601667971644</v>
      </c>
      <c r="C239" t="s">
        <v>40</v>
      </c>
      <c r="D239">
        <v>5.0561939999999996</v>
      </c>
      <c r="E239">
        <v>0.53387450000000003</v>
      </c>
      <c r="F239" t="s">
        <v>44</v>
      </c>
      <c r="G239">
        <v>-427.84269999999998</v>
      </c>
      <c r="H239">
        <v>0.87641610000000003</v>
      </c>
      <c r="I239">
        <v>367.66430000000003</v>
      </c>
      <c r="J239">
        <v>-428.29919999999998</v>
      </c>
      <c r="K239">
        <v>1.070881</v>
      </c>
      <c r="L239">
        <v>367.71850000000001</v>
      </c>
      <c r="M239">
        <v>0.99994700000000003</v>
      </c>
      <c r="N239">
        <v>-9.0687389999999993E-3</v>
      </c>
      <c r="O239">
        <v>4.8800780000000004E-3</v>
      </c>
      <c r="P239">
        <v>0.99007889999999998</v>
      </c>
      <c r="Q239">
        <v>0.14045279999999999</v>
      </c>
      <c r="R239">
        <v>4.0945970000000002E-3</v>
      </c>
      <c r="S239">
        <v>3.1547239999999999</v>
      </c>
      <c r="T239">
        <v>-0.88273760000000001</v>
      </c>
      <c r="U239">
        <v>-0.239563</v>
      </c>
      <c r="V239">
        <v>7.2000720000000001E-4</v>
      </c>
      <c r="W239">
        <v>0.149425799999999</v>
      </c>
      <c r="X239">
        <v>0.98877269999999995</v>
      </c>
      <c r="Y239">
        <v>7.7355960000000001E-2</v>
      </c>
      <c r="Z239">
        <v>-1.2257000000000001E-2</v>
      </c>
      <c r="AA239">
        <v>0.99692820000000004</v>
      </c>
      <c r="AB239">
        <v>25</v>
      </c>
      <c r="AC239">
        <v>0.45650000000000501</v>
      </c>
      <c r="AD239">
        <v>-0.194464899999999</v>
      </c>
      <c r="AE239">
        <v>-5.4199999999980202E-2</v>
      </c>
      <c r="AF239">
        <v>4.7862422051980498E-2</v>
      </c>
      <c r="AG239">
        <v>-0.194464899999999</v>
      </c>
      <c r="AH239">
        <v>0.38698136131060401</v>
      </c>
      <c r="AI239">
        <v>116.506235280821</v>
      </c>
      <c r="AJ239">
        <v>82.949379867233006</v>
      </c>
      <c r="AK239">
        <v>0.435731548982283</v>
      </c>
      <c r="AL239">
        <v>81.406347870324097</v>
      </c>
      <c r="AM239">
        <v>89.958278210464798</v>
      </c>
      <c r="AN239">
        <v>1.00000002019064</v>
      </c>
    </row>
    <row r="240" spans="1:40" x14ac:dyDescent="0.25">
      <c r="A240" t="str">
        <f>"20190303162748005"</f>
        <v>20190303162748005</v>
      </c>
      <c r="B240" t="str">
        <f>"1551601668001901"</f>
        <v>1551601668001901</v>
      </c>
      <c r="C240" t="s">
        <v>40</v>
      </c>
      <c r="D240">
        <v>5.0852959999999996</v>
      </c>
      <c r="E240">
        <v>0.53394319999999995</v>
      </c>
      <c r="F240" t="s">
        <v>44</v>
      </c>
      <c r="G240">
        <v>-427.6189</v>
      </c>
      <c r="H240">
        <v>0.88014159999999997</v>
      </c>
      <c r="I240">
        <v>367.66590000000002</v>
      </c>
      <c r="J240">
        <v>-428.05009999999999</v>
      </c>
      <c r="K240">
        <v>1.0708770000000001</v>
      </c>
      <c r="L240">
        <v>367.71980000000002</v>
      </c>
      <c r="M240">
        <v>0.99994660000000002</v>
      </c>
      <c r="N240">
        <v>-9.0638360000000005E-3</v>
      </c>
      <c r="O240">
        <v>4.9695649999999996E-3</v>
      </c>
      <c r="P240">
        <v>0.98997080000000004</v>
      </c>
      <c r="Q240">
        <v>0.14119849999999901</v>
      </c>
      <c r="R240">
        <v>4.573143E-3</v>
      </c>
      <c r="S240">
        <v>3.156647</v>
      </c>
      <c r="T240">
        <v>-0.88521170000000005</v>
      </c>
      <c r="U240">
        <v>-0.24151610000000001</v>
      </c>
      <c r="V240">
        <v>3.2943680000000001E-4</v>
      </c>
      <c r="W240">
        <v>0.15016599999999999</v>
      </c>
      <c r="X240">
        <v>0.98866080000000001</v>
      </c>
      <c r="Y240">
        <v>7.7971440000000003E-2</v>
      </c>
      <c r="Z240">
        <v>-1.2393019999999999E-2</v>
      </c>
      <c r="AA240">
        <v>0.99687859999999995</v>
      </c>
      <c r="AB240">
        <v>25</v>
      </c>
      <c r="AC240">
        <v>0.43119999999998898</v>
      </c>
      <c r="AD240">
        <v>-0.1907354</v>
      </c>
      <c r="AE240">
        <v>-5.3899999999998699E-2</v>
      </c>
      <c r="AF240">
        <v>4.6989680383398902E-2</v>
      </c>
      <c r="AG240">
        <v>-0.1907354</v>
      </c>
      <c r="AH240">
        <v>0.36131838366007502</v>
      </c>
      <c r="AI240">
        <v>117.631115583495</v>
      </c>
      <c r="AJ240">
        <v>82.590235689250704</v>
      </c>
      <c r="AK240">
        <v>0.41126511795485798</v>
      </c>
      <c r="AL240">
        <v>81.363453873371597</v>
      </c>
      <c r="AM240">
        <v>89.9809081764365</v>
      </c>
      <c r="AN240">
        <v>1.00000005677062</v>
      </c>
    </row>
    <row r="241" spans="1:40" x14ac:dyDescent="0.25">
      <c r="A241" t="str">
        <f>"20190303162748029"</f>
        <v>20190303162748029</v>
      </c>
      <c r="B241" t="str">
        <f>"1551601668021420"</f>
        <v>1551601668021420</v>
      </c>
      <c r="C241" t="s">
        <v>40</v>
      </c>
      <c r="D241">
        <v>5.0474779999999999</v>
      </c>
      <c r="E241">
        <v>0.53386180000000005</v>
      </c>
      <c r="F241" t="s">
        <v>44</v>
      </c>
      <c r="G241">
        <v>-427.19529999999997</v>
      </c>
      <c r="H241">
        <v>0.83055199999999996</v>
      </c>
      <c r="I241">
        <v>367.6542</v>
      </c>
      <c r="J241">
        <v>-427.79050000000001</v>
      </c>
      <c r="K241">
        <v>1.0708709999999999</v>
      </c>
      <c r="L241">
        <v>367.72120000000001</v>
      </c>
      <c r="M241">
        <v>0.99994620000000001</v>
      </c>
      <c r="N241">
        <v>-9.0609169999999999E-3</v>
      </c>
      <c r="O241">
        <v>5.0627379999999998E-3</v>
      </c>
      <c r="P241">
        <v>0.98990829999999996</v>
      </c>
      <c r="Q241">
        <v>0.14162720000000001</v>
      </c>
      <c r="R241">
        <v>4.8522110000000004E-3</v>
      </c>
      <c r="S241">
        <v>3.1581730000000001</v>
      </c>
      <c r="T241">
        <v>-0.887939899999999</v>
      </c>
      <c r="U241">
        <v>-0.2400513</v>
      </c>
      <c r="V241">
        <v>1.4219149999999999E-4</v>
      </c>
      <c r="W241">
        <v>0.15059069999999999</v>
      </c>
      <c r="X241">
        <v>0.98859620000000004</v>
      </c>
      <c r="Y241">
        <v>7.7564220000000003E-2</v>
      </c>
      <c r="Z241">
        <v>-1.239025E-2</v>
      </c>
      <c r="AA241">
        <v>0.99691039999999997</v>
      </c>
      <c r="AB241">
        <v>25</v>
      </c>
      <c r="AC241">
        <v>0.59520000000003304</v>
      </c>
      <c r="AD241">
        <v>-0.24031899999999901</v>
      </c>
      <c r="AE241">
        <v>-6.7000000000007207E-2</v>
      </c>
      <c r="AF241">
        <v>6.0304557206129802E-2</v>
      </c>
      <c r="AG241">
        <v>-0.24031899999999901</v>
      </c>
      <c r="AH241">
        <v>0.512369955737765</v>
      </c>
      <c r="AI241">
        <v>114.976989825492</v>
      </c>
      <c r="AJ241">
        <v>83.287324251155198</v>
      </c>
      <c r="AK241">
        <v>0.56913340520790601</v>
      </c>
      <c r="AL241">
        <v>81.338840083279905</v>
      </c>
      <c r="AM241">
        <v>89.991759049067298</v>
      </c>
      <c r="AN241">
        <v>1.00000001289967</v>
      </c>
    </row>
    <row r="242" spans="1:40" x14ac:dyDescent="0.25">
      <c r="A242" t="str">
        <f>"20190303162748050"</f>
        <v>20190303162748050</v>
      </c>
      <c r="B242" t="str">
        <f>"1551601668041917"</f>
        <v>1551601668041917</v>
      </c>
      <c r="C242" t="s">
        <v>40</v>
      </c>
      <c r="D242">
        <v>5.0626709999999999</v>
      </c>
      <c r="E242">
        <v>0.53378979999999998</v>
      </c>
      <c r="F242" t="s">
        <v>44</v>
      </c>
      <c r="G242">
        <v>-426.96850000000001</v>
      </c>
      <c r="H242">
        <v>0.839584</v>
      </c>
      <c r="I242">
        <v>367.6592</v>
      </c>
      <c r="J242">
        <v>-427.54469999999998</v>
      </c>
      <c r="K242">
        <v>1.0708629999999999</v>
      </c>
      <c r="L242">
        <v>367.72250000000003</v>
      </c>
      <c r="M242">
        <v>0.99994570000000005</v>
      </c>
      <c r="N242">
        <v>-9.0598720000000001E-3</v>
      </c>
      <c r="O242">
        <v>5.1510740000000003E-3</v>
      </c>
      <c r="P242">
        <v>0.98979689999999998</v>
      </c>
      <c r="Q242">
        <v>0.1424087</v>
      </c>
      <c r="R242">
        <v>4.6834499999999996E-3</v>
      </c>
      <c r="S242">
        <v>3.1588750000000001</v>
      </c>
      <c r="T242">
        <v>-0.88876350000000004</v>
      </c>
      <c r="U242">
        <v>-0.23727419999999999</v>
      </c>
      <c r="V242">
        <v>3.978047E-4</v>
      </c>
      <c r="W242">
        <v>0.15137039999999999</v>
      </c>
      <c r="X242">
        <v>0.9884771</v>
      </c>
      <c r="Y242">
        <v>7.6787140000000004E-2</v>
      </c>
      <c r="Z242">
        <v>-1.231167E-2</v>
      </c>
      <c r="AA242">
        <v>0.99697150000000001</v>
      </c>
      <c r="AB242">
        <v>25</v>
      </c>
      <c r="AC242">
        <v>0.57619999999997096</v>
      </c>
      <c r="AD242">
        <v>-0.23127899999999901</v>
      </c>
      <c r="AE242">
        <v>-6.3300000000026502E-2</v>
      </c>
      <c r="AF242">
        <v>5.7166925538020899E-2</v>
      </c>
      <c r="AG242">
        <v>-0.23127899999999901</v>
      </c>
      <c r="AH242">
        <v>0.496783321266489</v>
      </c>
      <c r="AI242">
        <v>114.820584153578</v>
      </c>
      <c r="AJ242">
        <v>83.435609796282506</v>
      </c>
      <c r="AK242">
        <v>0.55095526270744799</v>
      </c>
      <c r="AL242">
        <v>81.293648992763195</v>
      </c>
      <c r="AM242">
        <v>89.976941773208495</v>
      </c>
      <c r="AN242">
        <v>1.0000000667345701</v>
      </c>
    </row>
    <row r="243" spans="1:40" x14ac:dyDescent="0.25">
      <c r="A243" t="str">
        <f>"20190303162748071"</f>
        <v>20190303162748071</v>
      </c>
      <c r="B243" t="str">
        <f>"1551601668061436"</f>
        <v>1551601668061436</v>
      </c>
      <c r="C243" t="s">
        <v>40</v>
      </c>
      <c r="D243">
        <v>5.0082810000000002</v>
      </c>
      <c r="E243">
        <v>0.53405440000000004</v>
      </c>
      <c r="F243" t="s">
        <v>44</v>
      </c>
      <c r="G243">
        <v>-426.74239999999998</v>
      </c>
      <c r="H243">
        <v>0.84583509999999995</v>
      </c>
      <c r="I243">
        <v>367.6617</v>
      </c>
      <c r="J243">
        <v>-427.30840000000001</v>
      </c>
      <c r="K243">
        <v>1.070862</v>
      </c>
      <c r="L243">
        <v>367.72379999999998</v>
      </c>
      <c r="M243">
        <v>0.99994519999999998</v>
      </c>
      <c r="N243">
        <v>-9.0602570000000004E-3</v>
      </c>
      <c r="O243">
        <v>5.2359479999999998E-3</v>
      </c>
      <c r="P243">
        <v>0.9896182</v>
      </c>
      <c r="Q243">
        <v>0.14364009999999999</v>
      </c>
      <c r="R243">
        <v>4.8385119999999997E-3</v>
      </c>
      <c r="S243">
        <v>3.1595460000000002</v>
      </c>
      <c r="T243">
        <v>-0.88626380000000005</v>
      </c>
      <c r="U243">
        <v>-0.23742679999999999</v>
      </c>
      <c r="V243">
        <v>3.2570750000000001E-4</v>
      </c>
      <c r="W243">
        <v>0.1526005</v>
      </c>
      <c r="X243">
        <v>0.9882879</v>
      </c>
      <c r="Y243">
        <v>7.6914709999999997E-2</v>
      </c>
      <c r="Z243">
        <v>-1.2317359999999999E-2</v>
      </c>
      <c r="AA243">
        <v>0.9969616</v>
      </c>
      <c r="AB243">
        <v>25</v>
      </c>
      <c r="AC243">
        <v>0.56600000000003003</v>
      </c>
      <c r="AD243">
        <v>-0.225026899999999</v>
      </c>
      <c r="AE243">
        <v>-6.2099999999986701E-2</v>
      </c>
      <c r="AF243">
        <v>5.6273709387876902E-2</v>
      </c>
      <c r="AG243">
        <v>-0.225026899999999</v>
      </c>
      <c r="AH243">
        <v>0.48925309485379398</v>
      </c>
      <c r="AI243">
        <v>114.556946513886</v>
      </c>
      <c r="AJ243">
        <v>83.438693630533507</v>
      </c>
      <c r="AK243">
        <v>0.54145399335114097</v>
      </c>
      <c r="AL243">
        <v>81.222340424874403</v>
      </c>
      <c r="AM243">
        <v>89.981117178071102</v>
      </c>
      <c r="AN243">
        <v>0.99999999598601697</v>
      </c>
    </row>
    <row r="244" spans="1:40" x14ac:dyDescent="0.25">
      <c r="A244" t="str">
        <f>"20190303162748093"</f>
        <v>20190303162748093</v>
      </c>
      <c r="B244" t="str">
        <f>"1551601668081933"</f>
        <v>1551601668081933</v>
      </c>
      <c r="C244" t="s">
        <v>40</v>
      </c>
      <c r="D244">
        <v>4.9969640000000002</v>
      </c>
      <c r="E244">
        <v>0.53417139999999996</v>
      </c>
      <c r="F244" t="s">
        <v>44</v>
      </c>
      <c r="G244">
        <v>-426.51679999999999</v>
      </c>
      <c r="H244">
        <v>0.84939900000000002</v>
      </c>
      <c r="I244">
        <v>367.66370000000001</v>
      </c>
      <c r="J244">
        <v>-427.065</v>
      </c>
      <c r="K244">
        <v>1.0708610000000001</v>
      </c>
      <c r="L244">
        <v>367.72519999999997</v>
      </c>
      <c r="M244">
        <v>0.99994479999999997</v>
      </c>
      <c r="N244">
        <v>-9.0619199999999994E-3</v>
      </c>
      <c r="O244">
        <v>5.3232009999999996E-3</v>
      </c>
      <c r="P244">
        <v>0.98954180000000003</v>
      </c>
      <c r="Q244">
        <v>0.14416229999999999</v>
      </c>
      <c r="R244">
        <v>4.9764850000000001E-3</v>
      </c>
      <c r="S244">
        <v>3.161041</v>
      </c>
      <c r="T244">
        <v>-0.88438030000000001</v>
      </c>
      <c r="U244">
        <v>-0.2394104</v>
      </c>
      <c r="V244">
        <v>2.7344700000000001E-4</v>
      </c>
      <c r="W244">
        <v>0.1531235</v>
      </c>
      <c r="X244">
        <v>0.98820699999999995</v>
      </c>
      <c r="Y244">
        <v>7.7575740000000004E-2</v>
      </c>
      <c r="Z244">
        <v>-1.2403910000000001E-2</v>
      </c>
      <c r="AA244">
        <v>0.9969093</v>
      </c>
      <c r="AB244">
        <v>25</v>
      </c>
      <c r="AC244">
        <v>0.54820000000000801</v>
      </c>
      <c r="AD244">
        <v>-0.22146199999999999</v>
      </c>
      <c r="AE244">
        <v>-6.1499999999966803E-2</v>
      </c>
      <c r="AF244">
        <v>5.5476231436700899E-2</v>
      </c>
      <c r="AG244">
        <v>-0.22146199999999999</v>
      </c>
      <c r="AH244">
        <v>0.47182071895761302</v>
      </c>
      <c r="AI244">
        <v>114.993340564023</v>
      </c>
      <c r="AJ244">
        <v>83.294006701104095</v>
      </c>
      <c r="AK244">
        <v>0.52415438616508503</v>
      </c>
      <c r="AL244">
        <v>81.192018212885898</v>
      </c>
      <c r="AM244">
        <v>89.9841456712807</v>
      </c>
      <c r="AN244">
        <v>0.99999997793725504</v>
      </c>
    </row>
    <row r="245" spans="1:40" x14ac:dyDescent="0.25">
      <c r="A245" t="str">
        <f>"20190303162748272"</f>
        <v>20190303162748272</v>
      </c>
      <c r="B245" t="str">
        <f>"1551601668261934"</f>
        <v>1551601668261934</v>
      </c>
      <c r="C245" t="s">
        <v>40</v>
      </c>
      <c r="D245">
        <v>4.8849830000000001</v>
      </c>
      <c r="E245">
        <v>0.54100700000000002</v>
      </c>
      <c r="F245" t="s">
        <v>44</v>
      </c>
      <c r="G245">
        <v>-424.53309999999999</v>
      </c>
      <c r="H245">
        <v>0.71757139999999997</v>
      </c>
      <c r="I245">
        <v>367.709</v>
      </c>
      <c r="J245">
        <v>-425.0376</v>
      </c>
      <c r="K245">
        <v>1.070862</v>
      </c>
      <c r="L245">
        <v>367.73750000000001</v>
      </c>
      <c r="M245">
        <v>0.99993989999999999</v>
      </c>
      <c r="N245">
        <v>-9.1403779999999994E-3</v>
      </c>
      <c r="O245">
        <v>6.0519329999999998E-3</v>
      </c>
      <c r="P245">
        <v>0.9890371</v>
      </c>
      <c r="Q245">
        <v>0.1474712</v>
      </c>
      <c r="R245">
        <v>7.6199569999999897E-3</v>
      </c>
      <c r="S245">
        <v>3.2655029999999998</v>
      </c>
      <c r="T245">
        <v>-1.5622499999999999</v>
      </c>
      <c r="U245">
        <v>-0.1184998</v>
      </c>
      <c r="V245">
        <v>-1.6528999999999999E-3</v>
      </c>
      <c r="W245">
        <v>0.15650549999999999</v>
      </c>
      <c r="X245">
        <v>0.98767570000000005</v>
      </c>
      <c r="Y245">
        <v>3.7525959999999997E-2</v>
      </c>
      <c r="Z245">
        <v>-1.138551E-2</v>
      </c>
      <c r="AA245">
        <v>0.99923079999999997</v>
      </c>
      <c r="AB245">
        <v>25</v>
      </c>
      <c r="AC245">
        <v>0.50450000000000705</v>
      </c>
      <c r="AD245">
        <v>-0.35329060000000001</v>
      </c>
      <c r="AE245">
        <v>-2.8500000000008099E-2</v>
      </c>
      <c r="AF245">
        <v>2.1193017782865701E-2</v>
      </c>
      <c r="AG245">
        <v>-0.35329060000000001</v>
      </c>
      <c r="AH245">
        <v>0.338734570511461</v>
      </c>
      <c r="AI245">
        <v>136.14906629158</v>
      </c>
      <c r="AJ245">
        <v>86.419940846332295</v>
      </c>
      <c r="AK245">
        <v>0.48990254266607802</v>
      </c>
      <c r="AL245">
        <v>80.995879203618799</v>
      </c>
      <c r="AM245">
        <v>90.095885831295703</v>
      </c>
      <c r="AN245">
        <v>0.99999999598957501</v>
      </c>
    </row>
    <row r="246" spans="1:40" x14ac:dyDescent="0.25">
      <c r="A246" t="str">
        <f>"20190303162748295"</f>
        <v>20190303162748295</v>
      </c>
      <c r="B246" t="str">
        <f>"1551601668281453"</f>
        <v>1551601668281453</v>
      </c>
      <c r="C246" t="s">
        <v>40</v>
      </c>
      <c r="D246">
        <v>4.8809269999999998</v>
      </c>
      <c r="E246">
        <v>0.54201779999999999</v>
      </c>
      <c r="F246" t="s">
        <v>44</v>
      </c>
      <c r="G246">
        <v>-424.20620000000002</v>
      </c>
      <c r="H246">
        <v>0.94664539999999997</v>
      </c>
      <c r="I246">
        <v>367.65879999999999</v>
      </c>
      <c r="J246">
        <v>-424.78359999999998</v>
      </c>
      <c r="K246">
        <v>1.070862</v>
      </c>
      <c r="L246">
        <v>367.73919999999998</v>
      </c>
      <c r="M246">
        <v>0.99993929999999998</v>
      </c>
      <c r="N246">
        <v>-9.1588520000000003E-3</v>
      </c>
      <c r="O246">
        <v>6.1431050000000003E-3</v>
      </c>
      <c r="P246">
        <v>0.98904230000000004</v>
      </c>
      <c r="Q246">
        <v>0.147413299999999</v>
      </c>
      <c r="R246">
        <v>8.0515329999999996E-3</v>
      </c>
      <c r="S246">
        <v>3.1046749999999999</v>
      </c>
      <c r="T246">
        <v>-0.46404649999999997</v>
      </c>
      <c r="U246">
        <v>-0.2928772</v>
      </c>
      <c r="V246">
        <v>-1.9943589999999998E-3</v>
      </c>
      <c r="W246">
        <v>0.1564654</v>
      </c>
      <c r="X246">
        <v>0.98768140000000004</v>
      </c>
      <c r="Y246">
        <v>9.8816009999999996E-2</v>
      </c>
      <c r="Z246">
        <v>-8.6395829999999993E-3</v>
      </c>
      <c r="AA246">
        <v>0.99506819999999896</v>
      </c>
      <c r="AB246">
        <v>25</v>
      </c>
      <c r="AC246">
        <v>0.57739999999995395</v>
      </c>
      <c r="AD246">
        <v>-0.1242166</v>
      </c>
      <c r="AE246">
        <v>-8.0399999999997293E-2</v>
      </c>
      <c r="AF246">
        <v>8.0299959086012104E-2</v>
      </c>
      <c r="AG246">
        <v>-0.1242166</v>
      </c>
      <c r="AH246">
        <v>0.55184102632374099</v>
      </c>
      <c r="AI246">
        <v>102.557566810735</v>
      </c>
      <c r="AJ246">
        <v>81.720835951099801</v>
      </c>
      <c r="AK246">
        <v>0.57131984516452305</v>
      </c>
      <c r="AL246">
        <v>80.998205217624601</v>
      </c>
      <c r="AM246">
        <v>90.1156933786868</v>
      </c>
      <c r="AN246">
        <v>0.99999997338546998</v>
      </c>
    </row>
    <row r="247" spans="1:40" x14ac:dyDescent="0.25">
      <c r="A247" t="str">
        <f>"20190303162748318"</f>
        <v>20190303162748318</v>
      </c>
      <c r="B247" t="str">
        <f>"1551601668311709"</f>
        <v>1551601668311709</v>
      </c>
      <c r="C247" t="s">
        <v>40</v>
      </c>
      <c r="D247">
        <v>4.9175199999999997</v>
      </c>
      <c r="E247">
        <v>0.53936030000000001</v>
      </c>
      <c r="F247" t="s">
        <v>44</v>
      </c>
      <c r="G247">
        <v>-423.9717</v>
      </c>
      <c r="H247">
        <v>0.95870489999999997</v>
      </c>
      <c r="I247">
        <v>367.66030000000001</v>
      </c>
      <c r="J247">
        <v>-424.51119999999997</v>
      </c>
      <c r="K247">
        <v>1.0708690000000001</v>
      </c>
      <c r="L247">
        <v>367.74090000000001</v>
      </c>
      <c r="M247">
        <v>0.99993840000000001</v>
      </c>
      <c r="N247">
        <v>-9.178182E-3</v>
      </c>
      <c r="O247">
        <v>6.2410080000000001E-3</v>
      </c>
      <c r="P247">
        <v>0.98911680000000002</v>
      </c>
      <c r="Q247">
        <v>0.14688770000000001</v>
      </c>
      <c r="R247">
        <v>8.4767019999999992E-3</v>
      </c>
      <c r="S247">
        <v>3.0995180000000002</v>
      </c>
      <c r="T247">
        <v>-0.42825059999999898</v>
      </c>
      <c r="U247">
        <v>-0.30041499999999999</v>
      </c>
      <c r="V247">
        <v>-2.3223380000000002E-3</v>
      </c>
      <c r="W247">
        <v>0.15596009999999999</v>
      </c>
      <c r="X247">
        <v>0.98776059999999999</v>
      </c>
      <c r="Y247">
        <v>0.10160909999999999</v>
      </c>
      <c r="Z247">
        <v>-8.2393520000000001E-3</v>
      </c>
      <c r="AA247">
        <v>0.99479030000000002</v>
      </c>
      <c r="AB247">
        <v>26</v>
      </c>
      <c r="AC247">
        <v>0.539499999999975</v>
      </c>
      <c r="AD247">
        <v>-0.1121641</v>
      </c>
      <c r="AE247">
        <v>-8.0600000000004002E-2</v>
      </c>
      <c r="AF247">
        <v>8.0559514664948595E-2</v>
      </c>
      <c r="AG247">
        <v>-0.1121641</v>
      </c>
      <c r="AH247">
        <v>0.51712235303988097</v>
      </c>
      <c r="AI247">
        <v>102.096389440965</v>
      </c>
      <c r="AJ247">
        <v>81.145392585514301</v>
      </c>
      <c r="AK247">
        <v>0.53524400860295995</v>
      </c>
      <c r="AL247">
        <v>81.027516629475002</v>
      </c>
      <c r="AM247">
        <v>90.134708674176395</v>
      </c>
      <c r="AN247">
        <v>0.99999997447907696</v>
      </c>
    </row>
    <row r="248" spans="1:40" x14ac:dyDescent="0.25">
      <c r="A248" t="str">
        <f>"20190303162748340"</f>
        <v>20190303162748340</v>
      </c>
      <c r="B248" t="str">
        <f>"1551601668331619"</f>
        <v>1551601668331619</v>
      </c>
      <c r="C248" t="s">
        <v>40</v>
      </c>
      <c r="D248">
        <v>4.9187709999999996</v>
      </c>
      <c r="E248">
        <v>0.53883990000000004</v>
      </c>
      <c r="F248" t="s">
        <v>44</v>
      </c>
      <c r="G248">
        <v>-423.74130000000002</v>
      </c>
      <c r="H248">
        <v>0.96179630000000005</v>
      </c>
      <c r="I248">
        <v>367.67180000000002</v>
      </c>
      <c r="J248">
        <v>-424.26190000000003</v>
      </c>
      <c r="K248">
        <v>1.070867</v>
      </c>
      <c r="L248">
        <v>367.74259999999998</v>
      </c>
      <c r="M248">
        <v>0.99993779999999999</v>
      </c>
      <c r="N248">
        <v>-9.1953239999999995E-3</v>
      </c>
      <c r="O248">
        <v>6.3305159999999996E-3</v>
      </c>
      <c r="P248">
        <v>0.98910790000000004</v>
      </c>
      <c r="Q248">
        <v>0.1469491</v>
      </c>
      <c r="R248">
        <v>8.4679170000000002E-3</v>
      </c>
      <c r="S248">
        <v>3.1006469999999999</v>
      </c>
      <c r="T248">
        <v>-0.4393688</v>
      </c>
      <c r="U248">
        <v>-0.27801510000000001</v>
      </c>
      <c r="V248">
        <v>-2.2248120000000001E-3</v>
      </c>
      <c r="W248">
        <v>0.15603829999999999</v>
      </c>
      <c r="X248">
        <v>0.98774850000000003</v>
      </c>
      <c r="Y248">
        <v>9.4555109999999998E-2</v>
      </c>
      <c r="Z248">
        <v>-7.923856E-3</v>
      </c>
      <c r="AA248">
        <v>0.99548809999999999</v>
      </c>
      <c r="AB248">
        <v>26</v>
      </c>
      <c r="AC248">
        <v>0.52060000000000095</v>
      </c>
      <c r="AD248">
        <v>-0.10907070000000001</v>
      </c>
      <c r="AE248">
        <v>-7.0799999999962795E-2</v>
      </c>
      <c r="AF248">
        <v>7.1033061790301E-2</v>
      </c>
      <c r="AG248">
        <v>-0.10907070000000001</v>
      </c>
      <c r="AH248">
        <v>0.49865089805026203</v>
      </c>
      <c r="AI248">
        <v>102.21849312971101</v>
      </c>
      <c r="AJ248">
        <v>81.892732782379596</v>
      </c>
      <c r="AK248">
        <v>0.51535893471650196</v>
      </c>
      <c r="AL248">
        <v>81.022980796668705</v>
      </c>
      <c r="AM248">
        <v>90.129053217737706</v>
      </c>
      <c r="AN248">
        <v>1.0000000000537801</v>
      </c>
    </row>
    <row r="249" spans="1:40" x14ac:dyDescent="0.25">
      <c r="A249" t="str">
        <f>"20190303162748362"</f>
        <v>20190303162748362</v>
      </c>
      <c r="B249" t="str">
        <f>"1551601668352115"</f>
        <v>1551601668352115</v>
      </c>
      <c r="C249" t="s">
        <v>40</v>
      </c>
      <c r="D249">
        <v>4.9279699999999904</v>
      </c>
      <c r="E249">
        <v>0.53782339999999995</v>
      </c>
      <c r="F249" t="s">
        <v>44</v>
      </c>
      <c r="G249">
        <v>-423.5104</v>
      </c>
      <c r="H249">
        <v>0.96499539999999995</v>
      </c>
      <c r="I249">
        <v>367.67570000000001</v>
      </c>
      <c r="J249">
        <v>-424.00819999999999</v>
      </c>
      <c r="K249">
        <v>1.070859</v>
      </c>
      <c r="L249">
        <v>367.74430000000001</v>
      </c>
      <c r="M249">
        <v>0.99993710000000002</v>
      </c>
      <c r="N249">
        <v>-9.2120770000000008E-3</v>
      </c>
      <c r="O249">
        <v>6.4215160000000004E-3</v>
      </c>
      <c r="P249">
        <v>0.98919699999999999</v>
      </c>
      <c r="Q249">
        <v>0.1463566</v>
      </c>
      <c r="R249">
        <v>8.3228280000000009E-3</v>
      </c>
      <c r="S249">
        <v>3.1002809999999998</v>
      </c>
      <c r="T249">
        <v>-0.43693589999999999</v>
      </c>
      <c r="U249">
        <v>-0.27453610000000001</v>
      </c>
      <c r="V249">
        <v>-1.9894980000000001E-3</v>
      </c>
      <c r="W249">
        <v>0.15546270000000001</v>
      </c>
      <c r="X249">
        <v>0.98783980000000005</v>
      </c>
      <c r="Y249">
        <v>9.3568209999999999E-2</v>
      </c>
      <c r="Z249">
        <v>-7.8226340000000002E-3</v>
      </c>
      <c r="AA249">
        <v>0.99558219999999997</v>
      </c>
      <c r="AB249">
        <v>26</v>
      </c>
      <c r="AC249">
        <v>0.49779999999998298</v>
      </c>
      <c r="AD249">
        <v>-0.1058636</v>
      </c>
      <c r="AE249">
        <v>-6.8600000000003505E-2</v>
      </c>
      <c r="AF249">
        <v>6.8744296347179504E-2</v>
      </c>
      <c r="AG249">
        <v>-0.1058636</v>
      </c>
      <c r="AH249">
        <v>0.47621357409765303</v>
      </c>
      <c r="AI249">
        <v>102.40862707896299</v>
      </c>
      <c r="AJ249">
        <v>81.785753601561694</v>
      </c>
      <c r="AK249">
        <v>0.49265834839175299</v>
      </c>
      <c r="AL249">
        <v>81.056368045853404</v>
      </c>
      <c r="AM249">
        <v>90.115392885192605</v>
      </c>
      <c r="AN249">
        <v>1.00000003982881</v>
      </c>
    </row>
    <row r="250" spans="1:40" x14ac:dyDescent="0.25">
      <c r="A250" t="str">
        <f>"20190303162748384"</f>
        <v>20190303162748384</v>
      </c>
      <c r="B250" t="str">
        <f>"1551601668381395"</f>
        <v>1551601668381395</v>
      </c>
      <c r="C250" t="s">
        <v>40</v>
      </c>
      <c r="D250">
        <v>4.9152430000000003</v>
      </c>
      <c r="E250">
        <v>0.53685699999999903</v>
      </c>
      <c r="F250" t="s">
        <v>44</v>
      </c>
      <c r="G250">
        <v>-423.279</v>
      </c>
      <c r="H250">
        <v>0.96848579999999995</v>
      </c>
      <c r="I250">
        <v>367.68119999999999</v>
      </c>
      <c r="J250">
        <v>-423.75639999999999</v>
      </c>
      <c r="K250">
        <v>1.0708610000000001</v>
      </c>
      <c r="L250">
        <v>367.74599999999998</v>
      </c>
      <c r="M250">
        <v>0.9999363</v>
      </c>
      <c r="N250">
        <v>-9.2279990000000006E-3</v>
      </c>
      <c r="O250">
        <v>6.5125169999999998E-3</v>
      </c>
      <c r="P250">
        <v>0.98932019999999998</v>
      </c>
      <c r="Q250">
        <v>0.14550750000000001</v>
      </c>
      <c r="R250">
        <v>8.5640479999999995E-3</v>
      </c>
      <c r="S250">
        <v>3.0994259999999998</v>
      </c>
      <c r="T250">
        <v>-0.43529200000000001</v>
      </c>
      <c r="U250">
        <v>-0.26733400000000002</v>
      </c>
      <c r="V250">
        <v>-2.1395709999999998E-3</v>
      </c>
      <c r="W250">
        <v>0.15463080000000001</v>
      </c>
      <c r="X250">
        <v>0.98797000000000001</v>
      </c>
      <c r="Y250">
        <v>9.1415070000000001E-2</v>
      </c>
      <c r="Z250">
        <v>-7.6498989999999999E-3</v>
      </c>
      <c r="AA250">
        <v>0.99578350000000004</v>
      </c>
      <c r="AB250">
        <v>26</v>
      </c>
      <c r="AC250">
        <v>0.477399999999988</v>
      </c>
      <c r="AD250">
        <v>-0.1023752</v>
      </c>
      <c r="AE250">
        <v>-6.4799999999991004E-2</v>
      </c>
      <c r="AF250">
        <v>6.49739987009081E-2</v>
      </c>
      <c r="AG250">
        <v>-0.1023752</v>
      </c>
      <c r="AH250">
        <v>0.456361315715409</v>
      </c>
      <c r="AI250">
        <v>102.52156868421</v>
      </c>
      <c r="AJ250">
        <v>81.897026317210901</v>
      </c>
      <c r="AK250">
        <v>0.47219482479557701</v>
      </c>
      <c r="AL250">
        <v>81.104615425222306</v>
      </c>
      <c r="AM250">
        <v>90.1240808897291</v>
      </c>
      <c r="AN250">
        <v>0.99999999148635099</v>
      </c>
    </row>
    <row r="251" spans="1:40" x14ac:dyDescent="0.25">
      <c r="A251" t="str">
        <f>"20190303162748419"</f>
        <v>20190303162748419</v>
      </c>
      <c r="B251" t="str">
        <f>"1551601668411651"</f>
        <v>1551601668411651</v>
      </c>
      <c r="C251" t="s">
        <v>40</v>
      </c>
      <c r="D251">
        <v>4.9432049999999998</v>
      </c>
      <c r="E251">
        <v>0.53669540000000004</v>
      </c>
      <c r="F251" t="s">
        <v>44</v>
      </c>
      <c r="G251">
        <v>-422.8313</v>
      </c>
      <c r="H251">
        <v>0.94145060000000003</v>
      </c>
      <c r="I251">
        <v>367.66849999999999</v>
      </c>
      <c r="J251">
        <v>-423.34969999999998</v>
      </c>
      <c r="K251">
        <v>1.070856</v>
      </c>
      <c r="L251">
        <v>367.74889999999999</v>
      </c>
      <c r="M251">
        <v>0.99993500000000002</v>
      </c>
      <c r="N251">
        <v>-9.2521180000000001E-3</v>
      </c>
      <c r="O251">
        <v>6.6582619999999999E-3</v>
      </c>
      <c r="P251">
        <v>0.98936979999999997</v>
      </c>
      <c r="Q251">
        <v>0.1451346</v>
      </c>
      <c r="R251">
        <v>9.1311910000000003E-3</v>
      </c>
      <c r="S251">
        <v>3.0984189999999998</v>
      </c>
      <c r="T251">
        <v>-0.43354740000000003</v>
      </c>
      <c r="U251">
        <v>-0.25915529999999998</v>
      </c>
      <c r="V251">
        <v>-2.5622890000000001E-3</v>
      </c>
      <c r="W251">
        <v>0.15428259999999999</v>
      </c>
      <c r="X251">
        <v>0.98802350000000005</v>
      </c>
      <c r="Y251">
        <v>8.9008359999999995E-2</v>
      </c>
      <c r="Z251">
        <v>-7.4654250000000004E-3</v>
      </c>
      <c r="AA251">
        <v>0.99600290000000002</v>
      </c>
      <c r="AB251">
        <v>26</v>
      </c>
      <c r="AC251">
        <v>0.51839999999998498</v>
      </c>
      <c r="AD251">
        <v>-0.1294054</v>
      </c>
      <c r="AE251">
        <v>-8.0399999999997293E-2</v>
      </c>
      <c r="AF251">
        <v>7.9040488972512798E-2</v>
      </c>
      <c r="AG251">
        <v>-0.1294054</v>
      </c>
      <c r="AH251">
        <v>0.48814982557015202</v>
      </c>
      <c r="AI251">
        <v>104.66463201662199</v>
      </c>
      <c r="AJ251">
        <v>80.802576916589899</v>
      </c>
      <c r="AK251">
        <v>0.51115888787180797</v>
      </c>
      <c r="AL251">
        <v>81.124808761736801</v>
      </c>
      <c r="AM251">
        <v>90.148587575575306</v>
      </c>
      <c r="AN251">
        <v>1.00000006126996</v>
      </c>
    </row>
    <row r="252" spans="1:40" x14ac:dyDescent="0.25">
      <c r="A252" t="str">
        <f>"20190303162748442"</f>
        <v>20190303162748442</v>
      </c>
      <c r="B252" t="str">
        <f>"1551601668432147"</f>
        <v>1551601668432147</v>
      </c>
      <c r="C252" t="s">
        <v>40</v>
      </c>
      <c r="D252">
        <v>4.9233219999999998</v>
      </c>
      <c r="E252">
        <v>0.53461800000000004</v>
      </c>
      <c r="F252" t="s">
        <v>44</v>
      </c>
      <c r="G252">
        <v>-422.59</v>
      </c>
      <c r="H252">
        <v>0.96301320000000001</v>
      </c>
      <c r="I252">
        <v>367.68579999999997</v>
      </c>
      <c r="J252">
        <v>-423.08530000000002</v>
      </c>
      <c r="K252">
        <v>1.0708549999999999</v>
      </c>
      <c r="L252">
        <v>367.75069999999999</v>
      </c>
      <c r="M252">
        <v>0.9999344</v>
      </c>
      <c r="N252">
        <v>-9.2669299999999996E-3</v>
      </c>
      <c r="O252">
        <v>6.7532620000000003E-3</v>
      </c>
      <c r="P252">
        <v>0.98942450000000004</v>
      </c>
      <c r="Q252">
        <v>0.14477789999999999</v>
      </c>
      <c r="R252">
        <v>8.8689600000000004E-3</v>
      </c>
      <c r="S252">
        <v>3.0991520000000001</v>
      </c>
      <c r="T252">
        <v>-0.44015870000000001</v>
      </c>
      <c r="U252">
        <v>-0.25598140000000003</v>
      </c>
      <c r="V252">
        <v>-2.2057650000000002E-3</v>
      </c>
      <c r="W252">
        <v>0.1539411</v>
      </c>
      <c r="X252">
        <v>0.9880776</v>
      </c>
      <c r="Y252">
        <v>8.8050950000000003E-2</v>
      </c>
      <c r="Z252">
        <v>-7.5125729999999998E-3</v>
      </c>
      <c r="AA252">
        <v>0.99608770000000002</v>
      </c>
      <c r="AB252">
        <v>26</v>
      </c>
      <c r="AC252">
        <v>0.49530000000004198</v>
      </c>
      <c r="AD252">
        <v>-0.107841799999999</v>
      </c>
      <c r="AE252">
        <v>-6.4900000000022801E-2</v>
      </c>
      <c r="AF252">
        <v>6.5204610035178204E-2</v>
      </c>
      <c r="AG252">
        <v>-0.107841799999999</v>
      </c>
      <c r="AH252">
        <v>0.47281428824673399</v>
      </c>
      <c r="AI252">
        <v>102.73198725624999</v>
      </c>
      <c r="AJ252">
        <v>82.148013095921897</v>
      </c>
      <c r="AK252">
        <v>0.489320800873359</v>
      </c>
      <c r="AL252">
        <v>81.144611619968799</v>
      </c>
      <c r="AM252">
        <v>90.127905758775796</v>
      </c>
      <c r="AN252">
        <v>1.0000000356451</v>
      </c>
    </row>
    <row r="253" spans="1:40" x14ac:dyDescent="0.25">
      <c r="A253" t="str">
        <f>"20190303162748462"</f>
        <v>20190303162748462</v>
      </c>
      <c r="B253" t="str">
        <f>"1551601668451667"</f>
        <v>1551601668451667</v>
      </c>
      <c r="C253" t="s">
        <v>40</v>
      </c>
      <c r="D253">
        <v>4.9299670000000004</v>
      </c>
      <c r="E253">
        <v>0.53423229999999999</v>
      </c>
      <c r="F253" t="s">
        <v>44</v>
      </c>
      <c r="G253">
        <v>-422.40210000000002</v>
      </c>
      <c r="H253">
        <v>0.87356409999999995</v>
      </c>
      <c r="I253">
        <v>367.69979999999998</v>
      </c>
      <c r="J253">
        <v>-422.85140000000001</v>
      </c>
      <c r="K253">
        <v>1.070856</v>
      </c>
      <c r="L253">
        <v>367.75240000000002</v>
      </c>
      <c r="M253">
        <v>0.99993370000000004</v>
      </c>
      <c r="N253">
        <v>-9.2795159999999998E-3</v>
      </c>
      <c r="O253">
        <v>6.8372469999999899E-3</v>
      </c>
      <c r="P253">
        <v>0.9894018</v>
      </c>
      <c r="Q253">
        <v>0.14490829999999999</v>
      </c>
      <c r="R253">
        <v>9.2697649999999993E-3</v>
      </c>
      <c r="S253">
        <v>3.168091</v>
      </c>
      <c r="T253">
        <v>-0.91498800000000002</v>
      </c>
      <c r="U253">
        <v>-0.23471069999999999</v>
      </c>
      <c r="V253">
        <v>-2.5237359999999999E-3</v>
      </c>
      <c r="W253">
        <v>0.15408379999999999</v>
      </c>
      <c r="X253">
        <v>0.98805460000000001</v>
      </c>
      <c r="Y253">
        <v>7.7196020000000004E-2</v>
      </c>
      <c r="Z253">
        <v>-1.3146980000000001E-2</v>
      </c>
      <c r="AA253">
        <v>0.99692919999999996</v>
      </c>
      <c r="AB253">
        <v>26</v>
      </c>
      <c r="AC253">
        <v>0.44929999999999298</v>
      </c>
      <c r="AD253">
        <v>-0.19729189999999999</v>
      </c>
      <c r="AE253">
        <v>-5.2600000000040802E-2</v>
      </c>
      <c r="AF253">
        <v>4.6773987485625897E-2</v>
      </c>
      <c r="AG253">
        <v>-0.19729189999999999</v>
      </c>
      <c r="AH253">
        <v>0.37718534049845698</v>
      </c>
      <c r="AI253">
        <v>117.433262487143</v>
      </c>
      <c r="AJ253">
        <v>82.930955286298598</v>
      </c>
      <c r="AK253">
        <v>0.42822970564622498</v>
      </c>
      <c r="AL253">
        <v>81.136336820242306</v>
      </c>
      <c r="AM253">
        <v>90.1463472837859</v>
      </c>
      <c r="AN253">
        <v>1.00000003962349</v>
      </c>
    </row>
    <row r="254" spans="1:40" x14ac:dyDescent="0.25">
      <c r="A254" t="str">
        <f>"20190303162748484"</f>
        <v>20190303162748484</v>
      </c>
      <c r="B254" t="str">
        <f>"1551601668481923"</f>
        <v>1551601668481923</v>
      </c>
      <c r="C254" t="s">
        <v>40</v>
      </c>
      <c r="D254">
        <v>4.9919419999999999</v>
      </c>
      <c r="E254">
        <v>0.53480490000000003</v>
      </c>
      <c r="F254" t="s">
        <v>44</v>
      </c>
      <c r="G254">
        <v>-422.1748</v>
      </c>
      <c r="H254">
        <v>0.86377299999999901</v>
      </c>
      <c r="I254">
        <v>367.70319999999998</v>
      </c>
      <c r="J254">
        <v>-422.59410000000003</v>
      </c>
      <c r="K254">
        <v>1.0708530000000001</v>
      </c>
      <c r="L254">
        <v>367.75420000000003</v>
      </c>
      <c r="M254">
        <v>0.99993279999999995</v>
      </c>
      <c r="N254">
        <v>-9.2963890000000004E-3</v>
      </c>
      <c r="O254">
        <v>6.9293810000000001E-3</v>
      </c>
      <c r="P254">
        <v>0.98954450000000005</v>
      </c>
      <c r="Q254">
        <v>0.1439259</v>
      </c>
      <c r="R254">
        <v>9.3553100000000004E-3</v>
      </c>
      <c r="S254">
        <v>3.176666</v>
      </c>
      <c r="T254">
        <v>-0.97233590000000003</v>
      </c>
      <c r="U254">
        <v>-0.2301636</v>
      </c>
      <c r="V254">
        <v>-2.5170499999999998E-3</v>
      </c>
      <c r="W254">
        <v>0.1531188</v>
      </c>
      <c r="X254">
        <v>0.98820459999999999</v>
      </c>
      <c r="Y254">
        <v>7.5335579999999999E-2</v>
      </c>
      <c r="Z254">
        <v>-1.3624570000000001E-2</v>
      </c>
      <c r="AA254">
        <v>0.99706510000000004</v>
      </c>
      <c r="AB254">
        <v>26</v>
      </c>
      <c r="AC254">
        <v>0.41930000000002099</v>
      </c>
      <c r="AD254">
        <v>-0.20707999999999999</v>
      </c>
      <c r="AE254">
        <v>-5.1000000000044503E-2</v>
      </c>
      <c r="AF254">
        <v>4.3458928722241101E-2</v>
      </c>
      <c r="AG254">
        <v>-0.20707999999999999</v>
      </c>
      <c r="AH254">
        <v>0.337756018868967</v>
      </c>
      <c r="AI254">
        <v>121.30345818746299</v>
      </c>
      <c r="AJ254">
        <v>82.668060590693202</v>
      </c>
      <c r="AK254">
        <v>0.39855982382560701</v>
      </c>
      <c r="AL254">
        <v>81.192291062989398</v>
      </c>
      <c r="AM254">
        <v>90.145937420193903</v>
      </c>
      <c r="AN254">
        <v>1.00000001695765</v>
      </c>
    </row>
    <row r="255" spans="1:40" x14ac:dyDescent="0.25">
      <c r="A255" t="str">
        <f>"20190303162748507"</f>
        <v>20190303162748507</v>
      </c>
      <c r="B255" t="str">
        <f>"1551601668501444"</f>
        <v>1551601668501444</v>
      </c>
      <c r="C255" t="s">
        <v>40</v>
      </c>
      <c r="D255">
        <v>5.0204149999999998</v>
      </c>
      <c r="E255">
        <v>0.53527690000000006</v>
      </c>
      <c r="F255" t="s">
        <v>44</v>
      </c>
      <c r="G255">
        <v>-421.73399999999998</v>
      </c>
      <c r="H255">
        <v>0.80613009999999996</v>
      </c>
      <c r="I255">
        <v>367.69060000000002</v>
      </c>
      <c r="J255">
        <v>-422.3331</v>
      </c>
      <c r="K255">
        <v>1.070854</v>
      </c>
      <c r="L255">
        <v>367.75619999999998</v>
      </c>
      <c r="M255">
        <v>0.99993209999999999</v>
      </c>
      <c r="N255">
        <v>-9.3176630000000003E-3</v>
      </c>
      <c r="O255">
        <v>7.0232189999999998E-3</v>
      </c>
      <c r="P255">
        <v>0.9896199</v>
      </c>
      <c r="Q255">
        <v>0.14342959999999999</v>
      </c>
      <c r="R255">
        <v>8.9878809999999996E-3</v>
      </c>
      <c r="S255">
        <v>3.1760860000000002</v>
      </c>
      <c r="T255">
        <v>-0.97756710000000002</v>
      </c>
      <c r="U255">
        <v>-0.23376459999999999</v>
      </c>
      <c r="V255">
        <v>-2.056357E-3</v>
      </c>
      <c r="W255">
        <v>0.1526448</v>
      </c>
      <c r="X255">
        <v>0.98827900000000002</v>
      </c>
      <c r="Y255">
        <v>7.6467540000000001E-2</v>
      </c>
      <c r="Z255">
        <v>-1.3898529999999999E-2</v>
      </c>
      <c r="AA255">
        <v>0.99697519999999995</v>
      </c>
      <c r="AB255">
        <v>26</v>
      </c>
      <c r="AC255">
        <v>0.59909999999996399</v>
      </c>
      <c r="AD255">
        <v>-0.26472390000000001</v>
      </c>
      <c r="AE255">
        <v>-6.5599999999960801E-2</v>
      </c>
      <c r="AF255">
        <v>5.8516314983431801E-2</v>
      </c>
      <c r="AG255">
        <v>-0.26472390000000001</v>
      </c>
      <c r="AH255">
        <v>0.50180802676029101</v>
      </c>
      <c r="AI255">
        <v>117.654070093014</v>
      </c>
      <c r="AJ255">
        <v>83.348723955885205</v>
      </c>
      <c r="AK255">
        <v>0.570363215917285</v>
      </c>
      <c r="AL255">
        <v>81.219772369566996</v>
      </c>
      <c r="AM255">
        <v>90.119217758586203</v>
      </c>
      <c r="AN255">
        <v>1.0000000227060699</v>
      </c>
    </row>
    <row r="256" spans="1:40" x14ac:dyDescent="0.25">
      <c r="A256" t="str">
        <f>"20190303162748530"</f>
        <v>20190303162748530</v>
      </c>
      <c r="B256" t="str">
        <f>"1551601668521939"</f>
        <v>1551601668521939</v>
      </c>
      <c r="C256" t="s">
        <v>40</v>
      </c>
      <c r="D256">
        <v>5.0178699999999896</v>
      </c>
      <c r="E256">
        <v>0.53569820000000001</v>
      </c>
      <c r="F256" t="s">
        <v>44</v>
      </c>
      <c r="G256">
        <v>-421.4984</v>
      </c>
      <c r="H256">
        <v>0.81349179999999999</v>
      </c>
      <c r="I256">
        <v>367.6936</v>
      </c>
      <c r="J256">
        <v>-422.0607</v>
      </c>
      <c r="K256">
        <v>1.0708569999999999</v>
      </c>
      <c r="L256">
        <v>367.75819999999999</v>
      </c>
      <c r="M256">
        <v>0.99993120000000002</v>
      </c>
      <c r="N256">
        <v>-9.3427000000000007E-3</v>
      </c>
      <c r="O256">
        <v>7.1203819999999998E-3</v>
      </c>
      <c r="P256">
        <v>0.98963520000000005</v>
      </c>
      <c r="Q256">
        <v>0.1433632</v>
      </c>
      <c r="R256">
        <v>8.3437479999999998E-3</v>
      </c>
      <c r="S256">
        <v>3.1755680000000002</v>
      </c>
      <c r="T256">
        <v>-0.97900770000000004</v>
      </c>
      <c r="U256">
        <v>-0.23825070000000001</v>
      </c>
      <c r="V256">
        <v>-1.316034E-3</v>
      </c>
      <c r="W256">
        <v>0.15260279999999901</v>
      </c>
      <c r="X256">
        <v>0.98828669999999996</v>
      </c>
      <c r="Y256">
        <v>7.7892499999999906E-2</v>
      </c>
      <c r="Z256">
        <v>-1.4169559999999999E-2</v>
      </c>
      <c r="AA256">
        <v>0.996861</v>
      </c>
      <c r="AB256">
        <v>26</v>
      </c>
      <c r="AC256">
        <v>0.56229999999999303</v>
      </c>
      <c r="AD256">
        <v>-0.25736519999999902</v>
      </c>
      <c r="AE256">
        <v>-6.4599999999984406E-2</v>
      </c>
      <c r="AF256">
        <v>5.6848307118392997E-2</v>
      </c>
      <c r="AG256">
        <v>-0.25736519999999902</v>
      </c>
      <c r="AH256">
        <v>0.46556500409908802</v>
      </c>
      <c r="AI256">
        <v>118.754733439267</v>
      </c>
      <c r="AJ256">
        <v>83.038301141756193</v>
      </c>
      <c r="AK256">
        <v>0.53499471888519701</v>
      </c>
      <c r="AL256">
        <v>81.222206887939805</v>
      </c>
      <c r="AM256">
        <v>90.076296837068</v>
      </c>
      <c r="AN256">
        <v>0.99999997395510898</v>
      </c>
    </row>
    <row r="257" spans="1:40" x14ac:dyDescent="0.25">
      <c r="A257" t="str">
        <f>"20190303162748552"</f>
        <v>20190303162748552</v>
      </c>
      <c r="B257" t="str">
        <f>"1551601668541459"</f>
        <v>1551601668541459</v>
      </c>
      <c r="C257" t="s">
        <v>40</v>
      </c>
      <c r="D257">
        <v>5.0026349999999997</v>
      </c>
      <c r="E257">
        <v>0.53589449999999905</v>
      </c>
      <c r="F257" t="s">
        <v>44</v>
      </c>
      <c r="G257">
        <v>-421.26100000000002</v>
      </c>
      <c r="H257">
        <v>0.82417799999999997</v>
      </c>
      <c r="I257">
        <v>367.69659999999999</v>
      </c>
      <c r="J257">
        <v>-421.8066</v>
      </c>
      <c r="K257">
        <v>1.070859</v>
      </c>
      <c r="L257">
        <v>367.76010000000002</v>
      </c>
      <c r="M257">
        <v>0.99993010000000004</v>
      </c>
      <c r="N257">
        <v>-9.3699820000000007E-3</v>
      </c>
      <c r="O257">
        <v>7.2114509999999998E-3</v>
      </c>
      <c r="P257">
        <v>0.98964110000000005</v>
      </c>
      <c r="Q257">
        <v>0.14338029999999999</v>
      </c>
      <c r="R257">
        <v>7.2573489999999997E-3</v>
      </c>
      <c r="S257">
        <v>3.1753849999999999</v>
      </c>
      <c r="T257">
        <v>-0.97960879999999995</v>
      </c>
      <c r="U257">
        <v>-0.24276729999999999</v>
      </c>
      <c r="V257">
        <v>-1.3931689999999999E-4</v>
      </c>
      <c r="W257">
        <v>0.15264710000000001</v>
      </c>
      <c r="X257">
        <v>0.98828079999999996</v>
      </c>
      <c r="Y257">
        <v>7.9320189999999999E-2</v>
      </c>
      <c r="Z257">
        <v>-1.442706E-2</v>
      </c>
      <c r="AA257">
        <v>0.99674479999999999</v>
      </c>
      <c r="AB257">
        <v>26</v>
      </c>
      <c r="AC257">
        <v>0.54560000000003495</v>
      </c>
      <c r="AD257">
        <v>-0.24668099999999901</v>
      </c>
      <c r="AE257">
        <v>-6.3500000000033197E-2</v>
      </c>
      <c r="AF257">
        <v>5.6115320124100497E-2</v>
      </c>
      <c r="AG257">
        <v>-0.24668099999999901</v>
      </c>
      <c r="AH257">
        <v>0.453635226324342</v>
      </c>
      <c r="AI257">
        <v>118.35457203686001</v>
      </c>
      <c r="AJ257">
        <v>82.948254001906193</v>
      </c>
      <c r="AK257">
        <v>0.51940866711671996</v>
      </c>
      <c r="AL257">
        <v>81.219639251336304</v>
      </c>
      <c r="AM257">
        <v>90.008076925436498</v>
      </c>
      <c r="AN257">
        <v>1.0000000480981199</v>
      </c>
    </row>
    <row r="258" spans="1:40" x14ac:dyDescent="0.25">
      <c r="A258" t="str">
        <f>"20190303162748573"</f>
        <v>20190303162748573</v>
      </c>
      <c r="B258" t="str">
        <f>"1551601668561955"</f>
        <v>1551601668561955</v>
      </c>
      <c r="C258" t="s">
        <v>40</v>
      </c>
      <c r="D258">
        <v>5.0510710000000003</v>
      </c>
      <c r="E258">
        <v>0.53605290000000005</v>
      </c>
      <c r="F258" t="s">
        <v>44</v>
      </c>
      <c r="G258">
        <v>-421.02499999999998</v>
      </c>
      <c r="H258">
        <v>0.83060279999999997</v>
      </c>
      <c r="I258">
        <v>367.69889999999998</v>
      </c>
      <c r="J258">
        <v>-421.55919999999998</v>
      </c>
      <c r="K258">
        <v>1.0708629999999999</v>
      </c>
      <c r="L258">
        <v>367.762</v>
      </c>
      <c r="M258">
        <v>0.99992910000000002</v>
      </c>
      <c r="N258">
        <v>-9.3993299999999991E-3</v>
      </c>
      <c r="O258">
        <v>7.3000069999999999E-3</v>
      </c>
      <c r="P258">
        <v>0.98974300000000004</v>
      </c>
      <c r="Q258">
        <v>0.14270039999999901</v>
      </c>
      <c r="R258">
        <v>6.7156159999999998E-3</v>
      </c>
      <c r="S258">
        <v>3.1745909999999999</v>
      </c>
      <c r="T258">
        <v>-0.97583909999999996</v>
      </c>
      <c r="U258">
        <v>-0.2481689</v>
      </c>
      <c r="V258">
        <v>4.9056410000000001E-4</v>
      </c>
      <c r="W258">
        <v>0.15199770000000001</v>
      </c>
      <c r="X258">
        <v>0.9883807</v>
      </c>
      <c r="Y258">
        <v>8.1055890000000005E-2</v>
      </c>
      <c r="Z258">
        <v>-1.467308E-2</v>
      </c>
      <c r="AA258">
        <v>0.99660150000000003</v>
      </c>
      <c r="AB258">
        <v>26</v>
      </c>
      <c r="AC258">
        <v>0.53419999999999801</v>
      </c>
      <c r="AD258">
        <v>-0.24026019999999901</v>
      </c>
      <c r="AE258">
        <v>-6.3099999999963005E-2</v>
      </c>
      <c r="AF258">
        <v>5.5855166926123197E-2</v>
      </c>
      <c r="AG258">
        <v>-0.24026019999999901</v>
      </c>
      <c r="AH258">
        <v>0.44495710963868601</v>
      </c>
      <c r="AI258">
        <v>118.180534899156</v>
      </c>
      <c r="AJ258">
        <v>82.845123931866297</v>
      </c>
      <c r="AK258">
        <v>0.508754943754258</v>
      </c>
      <c r="AL258">
        <v>81.25728579391</v>
      </c>
      <c r="AM258">
        <v>89.971562323907506</v>
      </c>
      <c r="AN258">
        <v>0.99999997479545699</v>
      </c>
    </row>
    <row r="259" spans="1:40" x14ac:dyDescent="0.25">
      <c r="A259" t="str">
        <f>"20190303162748597"</f>
        <v>20190303162748597</v>
      </c>
      <c r="B259" t="str">
        <f>"1551601668592211"</f>
        <v>1551601668592211</v>
      </c>
      <c r="C259" t="s">
        <v>40</v>
      </c>
      <c r="D259">
        <v>5.1453829999999998</v>
      </c>
      <c r="E259">
        <v>0.53635339999999998</v>
      </c>
      <c r="F259" t="s">
        <v>44</v>
      </c>
      <c r="G259">
        <v>-420.78969999999998</v>
      </c>
      <c r="H259">
        <v>0.83432640000000002</v>
      </c>
      <c r="I259">
        <v>367.70010000000002</v>
      </c>
      <c r="J259">
        <v>-421.28300000000002</v>
      </c>
      <c r="K259">
        <v>1.070865</v>
      </c>
      <c r="L259">
        <v>367.76409999999998</v>
      </c>
      <c r="M259">
        <v>0.99992829999999999</v>
      </c>
      <c r="N259">
        <v>-9.4328599999999995E-3</v>
      </c>
      <c r="O259">
        <v>7.3986149999999999E-3</v>
      </c>
      <c r="P259">
        <v>0.9897553</v>
      </c>
      <c r="Q259">
        <v>0.1426385</v>
      </c>
      <c r="R259">
        <v>6.2306569999999997E-3</v>
      </c>
      <c r="S259">
        <v>3.1734619999999998</v>
      </c>
      <c r="T259">
        <v>-0.97542830000000003</v>
      </c>
      <c r="U259">
        <v>-0.25231930000000002</v>
      </c>
      <c r="V259">
        <v>1.0731339999999999E-3</v>
      </c>
      <c r="W259">
        <v>0.15196850000000001</v>
      </c>
      <c r="X259">
        <v>0.98838479999999995</v>
      </c>
      <c r="Y259">
        <v>8.2409259999999998E-2</v>
      </c>
      <c r="Z259">
        <v>-1.491087E-2</v>
      </c>
      <c r="AA259">
        <v>0.99648700000000001</v>
      </c>
      <c r="AB259">
        <v>26</v>
      </c>
      <c r="AC259">
        <v>0.49330000000003299</v>
      </c>
      <c r="AD259">
        <v>-0.23653859999999899</v>
      </c>
      <c r="AE259">
        <v>-6.3999999999964502E-2</v>
      </c>
      <c r="AF259">
        <v>5.51726834484631E-2</v>
      </c>
      <c r="AG259">
        <v>-0.23653859999999899</v>
      </c>
      <c r="AH259">
        <v>0.40192991261859101</v>
      </c>
      <c r="AI259">
        <v>120.24388044383301</v>
      </c>
      <c r="AJ259">
        <v>82.183890368335398</v>
      </c>
      <c r="AK259">
        <v>0.46961919567501997</v>
      </c>
      <c r="AL259">
        <v>81.258979110837203</v>
      </c>
      <c r="AM259">
        <v>89.937791409892895</v>
      </c>
      <c r="AN259">
        <v>1.00000004473993</v>
      </c>
    </row>
    <row r="260" spans="1:40" x14ac:dyDescent="0.25">
      <c r="A260" t="str">
        <f>"20190303162748622"</f>
        <v>20190303162748622</v>
      </c>
      <c r="B260" t="str">
        <f>"1551601668612707"</f>
        <v>1551601668612707</v>
      </c>
      <c r="C260" t="s">
        <v>40</v>
      </c>
      <c r="D260">
        <v>5.089626</v>
      </c>
      <c r="E260">
        <v>0.5355453</v>
      </c>
      <c r="F260" t="s">
        <v>44</v>
      </c>
      <c r="G260">
        <v>-420.55090000000001</v>
      </c>
      <c r="H260">
        <v>0.84588240000000003</v>
      </c>
      <c r="I260">
        <v>367.70479999999998</v>
      </c>
      <c r="J260">
        <v>-420.99740000000003</v>
      </c>
      <c r="K260">
        <v>1.0708599999999999</v>
      </c>
      <c r="L260">
        <v>367.7663</v>
      </c>
      <c r="M260">
        <v>0.99992720000000002</v>
      </c>
      <c r="N260">
        <v>-9.4662640000000003E-3</v>
      </c>
      <c r="O260">
        <v>7.5007399999999997E-3</v>
      </c>
      <c r="P260">
        <v>0.98975100000000005</v>
      </c>
      <c r="Q260">
        <v>0.14268610000000001</v>
      </c>
      <c r="R260">
        <v>5.8392590000000003E-3</v>
      </c>
      <c r="S260">
        <v>3.1732179999999999</v>
      </c>
      <c r="T260">
        <v>-0.97525810000000002</v>
      </c>
      <c r="U260">
        <v>-0.25601200000000002</v>
      </c>
      <c r="V260">
        <v>1.56533E-3</v>
      </c>
      <c r="W260">
        <v>0.15204909999999999</v>
      </c>
      <c r="X260">
        <v>0.98837169999999996</v>
      </c>
      <c r="Y260">
        <v>8.3608870000000002E-2</v>
      </c>
      <c r="Z260">
        <v>-1.51255E-2</v>
      </c>
      <c r="AA260">
        <v>0.99638380000000004</v>
      </c>
      <c r="AB260">
        <v>26</v>
      </c>
      <c r="AC260">
        <v>0.446500000000014</v>
      </c>
      <c r="AD260">
        <v>-0.2249776</v>
      </c>
      <c r="AE260">
        <v>-6.1500000000023598E-2</v>
      </c>
      <c r="AF260">
        <v>5.1913000502959501E-2</v>
      </c>
      <c r="AG260">
        <v>-0.2249776</v>
      </c>
      <c r="AH260">
        <v>0.35706163507661798</v>
      </c>
      <c r="AI260">
        <v>121.944569548123</v>
      </c>
      <c r="AJ260">
        <v>81.7277587216212</v>
      </c>
      <c r="AK260">
        <v>0.42520923245687903</v>
      </c>
      <c r="AL260">
        <v>81.254306364570795</v>
      </c>
      <c r="AM260">
        <v>89.909258098385806</v>
      </c>
      <c r="AN260">
        <v>0.99999999821485397</v>
      </c>
    </row>
    <row r="261" spans="1:40" x14ac:dyDescent="0.25">
      <c r="A261" t="str">
        <f>"20190303162748644"</f>
        <v>20190303162748644</v>
      </c>
      <c r="B261" t="str">
        <f>"1551601668641987"</f>
        <v>1551601668641987</v>
      </c>
      <c r="C261" t="s">
        <v>40</v>
      </c>
      <c r="D261">
        <v>5.098338</v>
      </c>
      <c r="E261">
        <v>0.5368058</v>
      </c>
      <c r="F261" t="s">
        <v>44</v>
      </c>
      <c r="G261">
        <v>-420.31950000000001</v>
      </c>
      <c r="H261">
        <v>0.83836359999999999</v>
      </c>
      <c r="I261">
        <v>367.71289999999999</v>
      </c>
      <c r="J261">
        <v>-420.73790000000002</v>
      </c>
      <c r="K261">
        <v>1.0708599999999999</v>
      </c>
      <c r="L261">
        <v>367.76839999999999</v>
      </c>
      <c r="M261">
        <v>0.99992630000000005</v>
      </c>
      <c r="N261">
        <v>-9.4948770000000005E-3</v>
      </c>
      <c r="O261">
        <v>7.5936479999999997E-3</v>
      </c>
      <c r="P261">
        <v>0.98985210000000001</v>
      </c>
      <c r="Q261">
        <v>0.14197389999999999</v>
      </c>
      <c r="R261">
        <v>6.046315E-3</v>
      </c>
      <c r="S261">
        <v>3.190277</v>
      </c>
      <c r="T261">
        <v>-1.0942179999999999</v>
      </c>
      <c r="U261">
        <v>-0.24948119999999999</v>
      </c>
      <c r="V261">
        <v>1.451073E-3</v>
      </c>
      <c r="W261">
        <v>0.15136659999999999</v>
      </c>
      <c r="X261">
        <v>0.98847660000000004</v>
      </c>
      <c r="Y261">
        <v>8.0416420000000002E-2</v>
      </c>
      <c r="Z261">
        <v>-1.6240569999999999E-2</v>
      </c>
      <c r="AA261">
        <v>0.99662910000000005</v>
      </c>
      <c r="AB261">
        <v>26</v>
      </c>
      <c r="AC261">
        <v>0.41840000000001898</v>
      </c>
      <c r="AD261">
        <v>-0.23249639999999999</v>
      </c>
      <c r="AE261">
        <v>-5.5499999999994998E-2</v>
      </c>
      <c r="AF261">
        <v>4.5016027057247499E-2</v>
      </c>
      <c r="AG261">
        <v>-0.23249639999999999</v>
      </c>
      <c r="AH261">
        <v>0.32066395480051302</v>
      </c>
      <c r="AI261">
        <v>125.67858535265501</v>
      </c>
      <c r="AJ261">
        <v>82.008822895607693</v>
      </c>
      <c r="AK261">
        <v>0.39863064434797801</v>
      </c>
      <c r="AL261">
        <v>81.293868414554495</v>
      </c>
      <c r="AM261">
        <v>89.9158904733372</v>
      </c>
      <c r="AN261">
        <v>0.99999997097798499</v>
      </c>
    </row>
    <row r="262" spans="1:40" x14ac:dyDescent="0.25">
      <c r="A262" t="str">
        <f>"20190303162748667"</f>
        <v>20190303162748667</v>
      </c>
      <c r="B262" t="str">
        <f>"1551601668661507"</f>
        <v>1551601668661507</v>
      </c>
      <c r="C262" t="s">
        <v>40</v>
      </c>
      <c r="D262">
        <v>5.1177789999999996</v>
      </c>
      <c r="E262">
        <v>0.53655169999999996</v>
      </c>
      <c r="F262" t="s">
        <v>44</v>
      </c>
      <c r="G262">
        <v>-419.8734</v>
      </c>
      <c r="H262">
        <v>0.77693080000000003</v>
      </c>
      <c r="I262">
        <v>367.69779999999997</v>
      </c>
      <c r="J262">
        <v>-420.45659999999998</v>
      </c>
      <c r="K262">
        <v>1.0708569999999999</v>
      </c>
      <c r="L262">
        <v>367.7706</v>
      </c>
      <c r="M262">
        <v>0.99992519999999996</v>
      </c>
      <c r="N262">
        <v>-9.5236369999999997E-3</v>
      </c>
      <c r="O262">
        <v>7.6944200000000004E-3</v>
      </c>
      <c r="P262">
        <v>0.98995449999999996</v>
      </c>
      <c r="Q262">
        <v>0.14125079999999901</v>
      </c>
      <c r="R262">
        <v>6.2050810000000003E-3</v>
      </c>
      <c r="S262">
        <v>3.187805</v>
      </c>
      <c r="T262">
        <v>-1.0839890000000001</v>
      </c>
      <c r="U262">
        <v>-0.25906370000000001</v>
      </c>
      <c r="V262">
        <v>1.393011E-3</v>
      </c>
      <c r="W262">
        <v>0.15067269999999999</v>
      </c>
      <c r="X262">
        <v>0.98858270000000004</v>
      </c>
      <c r="Y262">
        <v>8.3458350000000001E-2</v>
      </c>
      <c r="Z262">
        <v>-1.665989E-2</v>
      </c>
      <c r="AA262">
        <v>0.99637200000000004</v>
      </c>
      <c r="AB262">
        <v>26</v>
      </c>
      <c r="AC262">
        <v>0.58319999999997596</v>
      </c>
      <c r="AD262">
        <v>-0.29392619999999903</v>
      </c>
      <c r="AE262">
        <v>-7.2800000000029202E-2</v>
      </c>
      <c r="AF262">
        <v>6.1823035855789202E-2</v>
      </c>
      <c r="AG262">
        <v>-0.29392619999999903</v>
      </c>
      <c r="AH262">
        <v>0.46605800829885702</v>
      </c>
      <c r="AI262">
        <v>122.013124729201</v>
      </c>
      <c r="AJ262">
        <v>82.443775021465399</v>
      </c>
      <c r="AK262">
        <v>0.55445898487477296</v>
      </c>
      <c r="AL262">
        <v>81.334087306242196</v>
      </c>
      <c r="AM262">
        <v>89.9192646216746</v>
      </c>
      <c r="AN262">
        <v>0.99999997887211201</v>
      </c>
    </row>
    <row r="263" spans="1:40" x14ac:dyDescent="0.25">
      <c r="A263" t="str">
        <f>"20190303162748687"</f>
        <v>20190303162748687</v>
      </c>
      <c r="B263" t="str">
        <f>"1551601668682003"</f>
        <v>1551601668682003</v>
      </c>
      <c r="C263" t="s">
        <v>40</v>
      </c>
      <c r="D263">
        <v>5.1247040000000004</v>
      </c>
      <c r="E263">
        <v>0.5364776</v>
      </c>
      <c r="F263" t="s">
        <v>44</v>
      </c>
      <c r="G263">
        <v>-419.63249999999999</v>
      </c>
      <c r="H263">
        <v>0.79090090000000002</v>
      </c>
      <c r="I263">
        <v>367.70389999999998</v>
      </c>
      <c r="J263">
        <v>-420.22050000000002</v>
      </c>
      <c r="K263">
        <v>1.070865</v>
      </c>
      <c r="L263">
        <v>367.77249999999998</v>
      </c>
      <c r="M263">
        <v>0.99992429999999999</v>
      </c>
      <c r="N263">
        <v>-9.5460890000000007E-3</v>
      </c>
      <c r="O263">
        <v>7.7784780000000001E-3</v>
      </c>
      <c r="P263">
        <v>0.98986600000000002</v>
      </c>
      <c r="Q263">
        <v>0.14185599999999901</v>
      </c>
      <c r="R263">
        <v>6.5126810000000002E-3</v>
      </c>
      <c r="S263">
        <v>3.1865230000000002</v>
      </c>
      <c r="T263">
        <v>-1.08247</v>
      </c>
      <c r="U263">
        <v>-0.25695800000000002</v>
      </c>
      <c r="V263">
        <v>1.1677009999999999E-3</v>
      </c>
      <c r="W263">
        <v>0.15129919999999999</v>
      </c>
      <c r="X263">
        <v>0.98848729999999996</v>
      </c>
      <c r="Y263">
        <v>8.2954269999999997E-2</v>
      </c>
      <c r="Z263">
        <v>-1.658689E-2</v>
      </c>
      <c r="AA263">
        <v>0.9964153</v>
      </c>
      <c r="AB263">
        <v>26</v>
      </c>
      <c r="AC263">
        <v>0.58800000000002195</v>
      </c>
      <c r="AD263">
        <v>-0.27996409999999899</v>
      </c>
      <c r="AE263">
        <v>-6.8600000000003505E-2</v>
      </c>
      <c r="AF263">
        <v>5.9797798758105002E-2</v>
      </c>
      <c r="AG263">
        <v>-0.27996409999999899</v>
      </c>
      <c r="AH263">
        <v>0.48007695482074703</v>
      </c>
      <c r="AI263">
        <v>120.057672311007</v>
      </c>
      <c r="AJ263">
        <v>82.899876243659506</v>
      </c>
      <c r="AK263">
        <v>0.55895398430916099</v>
      </c>
      <c r="AL263">
        <v>81.2977751961172</v>
      </c>
      <c r="AM263">
        <v>89.9323164719342</v>
      </c>
      <c r="AN263">
        <v>0.99999997685377695</v>
      </c>
    </row>
    <row r="264" spans="1:40" x14ac:dyDescent="0.25">
      <c r="A264" t="str">
        <f>"20190303162748710"</f>
        <v>20190303162748710</v>
      </c>
      <c r="B264" t="str">
        <f>"1551601668701523"</f>
        <v>1551601668701523</v>
      </c>
      <c r="C264" t="s">
        <v>40</v>
      </c>
      <c r="D264">
        <v>5.1133410000000001</v>
      </c>
      <c r="E264">
        <v>0.53644049999999999</v>
      </c>
      <c r="F264" t="s">
        <v>44</v>
      </c>
      <c r="G264">
        <v>-419.3963</v>
      </c>
      <c r="H264">
        <v>0.79171569999999902</v>
      </c>
      <c r="I264">
        <v>367.70699999999999</v>
      </c>
      <c r="J264">
        <v>-419.95319999999998</v>
      </c>
      <c r="K264">
        <v>1.0708690000000001</v>
      </c>
      <c r="L264">
        <v>367.7747</v>
      </c>
      <c r="M264">
        <v>0.99992320000000001</v>
      </c>
      <c r="N264">
        <v>-9.5697820000000006E-3</v>
      </c>
      <c r="O264">
        <v>7.8742680000000002E-3</v>
      </c>
      <c r="P264">
        <v>0.98984220000000001</v>
      </c>
      <c r="Q264">
        <v>0.14201250000000001</v>
      </c>
      <c r="R264">
        <v>6.7100110000000001E-3</v>
      </c>
      <c r="S264">
        <v>3.1870729999999998</v>
      </c>
      <c r="T264">
        <v>-1.0795939999999999</v>
      </c>
      <c r="U264">
        <v>-0.25210569999999999</v>
      </c>
      <c r="V264">
        <v>1.064932E-3</v>
      </c>
      <c r="W264">
        <v>0.15147929999999901</v>
      </c>
      <c r="X264">
        <v>0.98845989999999995</v>
      </c>
      <c r="Y264">
        <v>8.1626470000000007E-2</v>
      </c>
      <c r="Z264">
        <v>-1.635062E-2</v>
      </c>
      <c r="AA264">
        <v>0.99652890000000005</v>
      </c>
      <c r="AB264">
        <v>26</v>
      </c>
      <c r="AC264">
        <v>0.55689999999998396</v>
      </c>
      <c r="AD264">
        <v>-0.27915329999999999</v>
      </c>
      <c r="AE264">
        <v>-6.7700000000001995E-2</v>
      </c>
      <c r="AF264">
        <v>5.7777312459581398E-2</v>
      </c>
      <c r="AG264">
        <v>-0.27915329999999999</v>
      </c>
      <c r="AH264">
        <v>0.445933996802866</v>
      </c>
      <c r="AI264">
        <v>121.832334247007</v>
      </c>
      <c r="AJ264">
        <v>82.617614588485907</v>
      </c>
      <c r="AK264">
        <v>0.529265445915866</v>
      </c>
      <c r="AL264">
        <v>81.287336487238804</v>
      </c>
      <c r="AM264">
        <v>89.938271562193805</v>
      </c>
      <c r="AN264">
        <v>1.00000004315833</v>
      </c>
    </row>
    <row r="265" spans="1:40" x14ac:dyDescent="0.25">
      <c r="A265" t="str">
        <f>"20190303162748731"</f>
        <v>20190303162748731</v>
      </c>
      <c r="B265" t="str">
        <f>"1551601668722019"</f>
        <v>1551601668722019</v>
      </c>
      <c r="C265" t="s">
        <v>40</v>
      </c>
      <c r="D265">
        <v>5.138115</v>
      </c>
      <c r="E265">
        <v>0.53643759999999996</v>
      </c>
      <c r="F265" t="s">
        <v>44</v>
      </c>
      <c r="G265">
        <v>-419.15629999999999</v>
      </c>
      <c r="H265">
        <v>0.80149759999999903</v>
      </c>
      <c r="I265">
        <v>367.71170000000001</v>
      </c>
      <c r="J265">
        <v>-419.69650000000001</v>
      </c>
      <c r="K265">
        <v>1.0708740000000001</v>
      </c>
      <c r="L265">
        <v>367.77679999999998</v>
      </c>
      <c r="M265">
        <v>0.99992219999999998</v>
      </c>
      <c r="N265">
        <v>-9.5922139999999999E-3</v>
      </c>
      <c r="O265">
        <v>7.9661290000000006E-3</v>
      </c>
      <c r="P265">
        <v>0.98985160000000005</v>
      </c>
      <c r="Q265">
        <v>0.1419337</v>
      </c>
      <c r="R265">
        <v>6.9841570000000004E-3</v>
      </c>
      <c r="S265">
        <v>3.187103</v>
      </c>
      <c r="T265">
        <v>-1.077429</v>
      </c>
      <c r="U265">
        <v>-0.25061040000000001</v>
      </c>
      <c r="V265">
        <v>8.817206E-4</v>
      </c>
      <c r="W265">
        <v>0.15142220000000001</v>
      </c>
      <c r="X265">
        <v>0.98846880000000004</v>
      </c>
      <c r="Y265">
        <v>8.1286349999999993E-2</v>
      </c>
      <c r="Z265">
        <v>-1.62928E-2</v>
      </c>
      <c r="AA265">
        <v>0.99655760000000004</v>
      </c>
      <c r="AB265">
        <v>26</v>
      </c>
      <c r="AC265">
        <v>0.54020000000002699</v>
      </c>
      <c r="AD265">
        <v>-0.26937640000000002</v>
      </c>
      <c r="AE265">
        <v>-6.5099999999972596E-2</v>
      </c>
      <c r="AF265">
        <v>5.5739527125568102E-2</v>
      </c>
      <c r="AG265">
        <v>-0.26937640000000002</v>
      </c>
      <c r="AH265">
        <v>0.43342950106478301</v>
      </c>
      <c r="AI265">
        <v>121.650657645241</v>
      </c>
      <c r="AJ265">
        <v>82.671918796521595</v>
      </c>
      <c r="AK265">
        <v>0.51335335993291098</v>
      </c>
      <c r="AL265">
        <v>81.290646001882294</v>
      </c>
      <c r="AM265">
        <v>89.948891805496601</v>
      </c>
      <c r="AN265">
        <v>1.00000001432874</v>
      </c>
    </row>
    <row r="266" spans="1:40" x14ac:dyDescent="0.25">
      <c r="A266" t="str">
        <f>"20190303162748753"</f>
        <v>20190303162748753</v>
      </c>
      <c r="B266" t="str">
        <f>"1551601668741539"</f>
        <v>1551601668741539</v>
      </c>
      <c r="C266" t="s">
        <v>40</v>
      </c>
      <c r="D266">
        <v>5.1716530000000001</v>
      </c>
      <c r="E266">
        <v>0.53633019999999998</v>
      </c>
      <c r="F266" t="s">
        <v>44</v>
      </c>
      <c r="G266">
        <v>-418.91730000000001</v>
      </c>
      <c r="H266">
        <v>0.80790479999999998</v>
      </c>
      <c r="I266">
        <v>367.71559999999999</v>
      </c>
      <c r="J266">
        <v>-419.44470000000001</v>
      </c>
      <c r="K266">
        <v>1.0708709999999999</v>
      </c>
      <c r="L266">
        <v>367.77890000000002</v>
      </c>
      <c r="M266">
        <v>0.99992139999999996</v>
      </c>
      <c r="N266">
        <v>-9.6166010000000007E-3</v>
      </c>
      <c r="O266">
        <v>8.0560159999999992E-3</v>
      </c>
      <c r="P266">
        <v>0.9897572</v>
      </c>
      <c r="Q266">
        <v>0.14260210000000001</v>
      </c>
      <c r="R266">
        <v>6.7539050000000002E-3</v>
      </c>
      <c r="S266">
        <v>3.1867679999999998</v>
      </c>
      <c r="T266">
        <v>-1.075583</v>
      </c>
      <c r="U266">
        <v>-0.24932860000000001</v>
      </c>
      <c r="V266">
        <v>1.2001679999999999E-3</v>
      </c>
      <c r="W266">
        <v>0.1521142</v>
      </c>
      <c r="X266">
        <v>0.98836219999999997</v>
      </c>
      <c r="Y266">
        <v>8.1011810000000004E-2</v>
      </c>
      <c r="Z266">
        <v>-1.6251740000000001E-2</v>
      </c>
      <c r="AA266">
        <v>0.99658069999999999</v>
      </c>
      <c r="AB266">
        <v>26</v>
      </c>
      <c r="AC266">
        <v>0.52739999999999998</v>
      </c>
      <c r="AD266">
        <v>-0.26296619999999898</v>
      </c>
      <c r="AE266">
        <v>-6.3300000000026502E-2</v>
      </c>
      <c r="AF266">
        <v>5.4251035862534297E-2</v>
      </c>
      <c r="AG266">
        <v>-0.26296619999999898</v>
      </c>
      <c r="AH266">
        <v>0.42316387429831398</v>
      </c>
      <c r="AI266">
        <v>121.649012936114</v>
      </c>
      <c r="AJ266">
        <v>82.694339426879097</v>
      </c>
      <c r="AK266">
        <v>0.501160714487635</v>
      </c>
      <c r="AL266">
        <v>81.250532565416094</v>
      </c>
      <c r="AM266">
        <v>89.930425781855703</v>
      </c>
      <c r="AN266">
        <v>1.00000000431685</v>
      </c>
    </row>
    <row r="267" spans="1:40" x14ac:dyDescent="0.25">
      <c r="A267" t="str">
        <f>"20190303162748775"</f>
        <v>20190303162748775</v>
      </c>
      <c r="B267" t="str">
        <f>"1551601668771796"</f>
        <v>1551601668771796</v>
      </c>
      <c r="C267" t="s">
        <v>40</v>
      </c>
      <c r="D267">
        <v>5.1706300000000001</v>
      </c>
      <c r="E267">
        <v>0.53617950000000003</v>
      </c>
      <c r="F267" t="s">
        <v>44</v>
      </c>
      <c r="G267">
        <v>-418.67849999999999</v>
      </c>
      <c r="H267">
        <v>0.8131893</v>
      </c>
      <c r="I267">
        <v>367.71859999999998</v>
      </c>
      <c r="J267">
        <v>-419.18369999999999</v>
      </c>
      <c r="K267">
        <v>1.0708740000000001</v>
      </c>
      <c r="L267">
        <v>367.78109999999998</v>
      </c>
      <c r="M267">
        <v>0.99992029999999998</v>
      </c>
      <c r="N267">
        <v>-9.6438280000000001E-3</v>
      </c>
      <c r="O267">
        <v>8.1492849999999992E-3</v>
      </c>
      <c r="P267">
        <v>0.98973699999999998</v>
      </c>
      <c r="Q267">
        <v>0.14273250000000001</v>
      </c>
      <c r="R267">
        <v>6.9302900000000004E-3</v>
      </c>
      <c r="S267">
        <v>3.1871640000000001</v>
      </c>
      <c r="T267">
        <v>-1.0718019999999999</v>
      </c>
      <c r="U267">
        <v>-0.25082399999999999</v>
      </c>
      <c r="V267">
        <v>1.1159760000000001E-3</v>
      </c>
      <c r="W267">
        <v>0.1522715</v>
      </c>
      <c r="X267">
        <v>0.9883381</v>
      </c>
      <c r="Y267">
        <v>8.1559179999999995E-2</v>
      </c>
      <c r="Z267">
        <v>-1.6319139999999999E-2</v>
      </c>
      <c r="AA267">
        <v>0.9965349</v>
      </c>
      <c r="AB267">
        <v>26</v>
      </c>
      <c r="AC267">
        <v>0.50520000000000198</v>
      </c>
      <c r="AD267">
        <v>-0.25768469999999899</v>
      </c>
      <c r="AE267">
        <v>-6.25E-2</v>
      </c>
      <c r="AF267">
        <v>5.3027217336099997E-2</v>
      </c>
      <c r="AG267">
        <v>-0.25768469999999899</v>
      </c>
      <c r="AH267">
        <v>0.40173229508187303</v>
      </c>
      <c r="AI267">
        <v>122.45301405488</v>
      </c>
      <c r="AJ267">
        <v>82.480632320172901</v>
      </c>
      <c r="AK267">
        <v>0.480210503117382</v>
      </c>
      <c r="AL267">
        <v>81.241413916896903</v>
      </c>
      <c r="AM267">
        <v>89.935304843895196</v>
      </c>
      <c r="AN267">
        <v>1.00000002751314</v>
      </c>
    </row>
    <row r="268" spans="1:40" x14ac:dyDescent="0.25">
      <c r="A268" t="str">
        <f>"20190303162748798"</f>
        <v>20190303162748798</v>
      </c>
      <c r="B268" t="str">
        <f>"1551601668791315"</f>
        <v>1551601668791315</v>
      </c>
      <c r="C268" t="s">
        <v>40</v>
      </c>
      <c r="D268">
        <v>5.2006030000000001</v>
      </c>
      <c r="E268">
        <v>0.53617530000000002</v>
      </c>
      <c r="F268" t="s">
        <v>44</v>
      </c>
      <c r="G268">
        <v>-418.43849999999998</v>
      </c>
      <c r="H268">
        <v>0.82042130000000002</v>
      </c>
      <c r="I268">
        <v>367.72250000000003</v>
      </c>
      <c r="J268">
        <v>-418.91590000000002</v>
      </c>
      <c r="K268">
        <v>1.070878</v>
      </c>
      <c r="L268">
        <v>367.78339999999997</v>
      </c>
      <c r="M268">
        <v>0.99991929999999996</v>
      </c>
      <c r="N268">
        <v>-9.6718129999999996E-3</v>
      </c>
      <c r="O268">
        <v>8.2448150000000008E-3</v>
      </c>
      <c r="P268">
        <v>0.98970199999999997</v>
      </c>
      <c r="Q268">
        <v>0.14295070000000001</v>
      </c>
      <c r="R268">
        <v>7.4177499999999999E-3</v>
      </c>
      <c r="S268">
        <v>3.1873469999999999</v>
      </c>
      <c r="T268">
        <v>-1.0712839999999999</v>
      </c>
      <c r="U268">
        <v>-0.24823000000000001</v>
      </c>
      <c r="V268">
        <v>7.2276269999999997E-4</v>
      </c>
      <c r="W268">
        <v>0.1525166</v>
      </c>
      <c r="X268">
        <v>0.98830059999999997</v>
      </c>
      <c r="Y268">
        <v>8.0881549999999997E-2</v>
      </c>
      <c r="Z268">
        <v>-1.6228610000000001E-2</v>
      </c>
      <c r="AA268">
        <v>0.99659160000000002</v>
      </c>
      <c r="AB268">
        <v>26</v>
      </c>
      <c r="AC268">
        <v>0.47740000000004501</v>
      </c>
      <c r="AD268">
        <v>-0.25045669999999998</v>
      </c>
      <c r="AE268">
        <v>-6.0899999999946802E-2</v>
      </c>
      <c r="AF268">
        <v>5.1017368156401302E-2</v>
      </c>
      <c r="AG268">
        <v>-0.25045669999999998</v>
      </c>
      <c r="AH268">
        <v>0.37525334642818797</v>
      </c>
      <c r="AI268">
        <v>123.478638878119</v>
      </c>
      <c r="AJ268">
        <v>82.257851022931106</v>
      </c>
      <c r="AK268">
        <v>0.454033483824761</v>
      </c>
      <c r="AL268">
        <v>81.227204122053706</v>
      </c>
      <c r="AM268">
        <v>89.958098533060806</v>
      </c>
      <c r="AN268">
        <v>0.99999995581091905</v>
      </c>
    </row>
    <row r="269" spans="1:40" x14ac:dyDescent="0.25">
      <c r="A269" t="str">
        <f>"20190303162748823"</f>
        <v>20190303162748823</v>
      </c>
      <c r="B269" t="str">
        <f>"1551601668811811"</f>
        <v>1551601668811811</v>
      </c>
      <c r="C269" t="s">
        <v>40</v>
      </c>
      <c r="D269">
        <v>5.1437179999999998</v>
      </c>
      <c r="E269">
        <v>0.52240900000000001</v>
      </c>
      <c r="F269" t="s">
        <v>44</v>
      </c>
      <c r="G269">
        <v>-418.19740000000002</v>
      </c>
      <c r="H269">
        <v>0.82997049999999895</v>
      </c>
      <c r="I269">
        <v>367.7278</v>
      </c>
      <c r="J269">
        <v>-418.61939999999998</v>
      </c>
      <c r="K269">
        <v>1.070891</v>
      </c>
      <c r="L269">
        <v>367.78590000000003</v>
      </c>
      <c r="M269">
        <v>0.99991810000000003</v>
      </c>
      <c r="N269">
        <v>-9.7047409999999994E-3</v>
      </c>
      <c r="O269">
        <v>8.3511079999999994E-3</v>
      </c>
      <c r="P269">
        <v>0.98958279999999998</v>
      </c>
      <c r="Q269">
        <v>0.143763</v>
      </c>
      <c r="R269">
        <v>7.6321740000000002E-3</v>
      </c>
      <c r="S269">
        <v>3.187408</v>
      </c>
      <c r="T269">
        <v>-1.068624</v>
      </c>
      <c r="U269">
        <v>-0.2462463</v>
      </c>
      <c r="V269">
        <v>6.1224890000000001E-4</v>
      </c>
      <c r="W269">
        <v>0.15336060000000001</v>
      </c>
      <c r="X269">
        <v>0.98817010000000005</v>
      </c>
      <c r="Y269">
        <v>8.0413620000000005E-2</v>
      </c>
      <c r="Z269">
        <v>-1.6147330000000001E-2</v>
      </c>
      <c r="AA269">
        <v>0.99663080000000004</v>
      </c>
      <c r="AB269">
        <v>27</v>
      </c>
      <c r="AC269">
        <v>0.42199999999996801</v>
      </c>
      <c r="AD269">
        <v>-0.24092050000000001</v>
      </c>
      <c r="AE269">
        <v>-5.8100000000024403E-2</v>
      </c>
      <c r="AF269">
        <v>4.6688319658115603E-2</v>
      </c>
      <c r="AG269">
        <v>-0.24092050000000001</v>
      </c>
      <c r="AH269">
        <v>0.31935074321211698</v>
      </c>
      <c r="AI269">
        <v>126.74030644724201</v>
      </c>
      <c r="AJ269">
        <v>81.682418470582704</v>
      </c>
      <c r="AK269">
        <v>0.402749778029584</v>
      </c>
      <c r="AL269">
        <v>81.178271184685499</v>
      </c>
      <c r="AM269">
        <v>89.964500774216006</v>
      </c>
      <c r="AN269">
        <v>0.99999999750754198</v>
      </c>
    </row>
    <row r="270" spans="1:40" x14ac:dyDescent="0.25">
      <c r="A270" t="str">
        <f>"20190303162748844"</f>
        <v>20190303162748844</v>
      </c>
      <c r="B270" t="str">
        <f>"1551601668831331"</f>
        <v>1551601668831331</v>
      </c>
      <c r="C270" t="s">
        <v>40</v>
      </c>
      <c r="D270">
        <v>5.4433850000000001</v>
      </c>
      <c r="E270">
        <v>0.49066490000000001</v>
      </c>
      <c r="F270" t="s">
        <v>44</v>
      </c>
      <c r="G270">
        <v>-417.91699999999997</v>
      </c>
      <c r="H270">
        <v>0.92253940000000001</v>
      </c>
      <c r="I270">
        <v>367.75400000000002</v>
      </c>
      <c r="J270">
        <v>-418.37</v>
      </c>
      <c r="K270">
        <v>1.0708959999999901</v>
      </c>
      <c r="L270">
        <v>367.78809999999999</v>
      </c>
      <c r="M270">
        <v>0.99991699999999994</v>
      </c>
      <c r="N270">
        <v>-9.735311E-3</v>
      </c>
      <c r="O270">
        <v>8.4395960000000006E-3</v>
      </c>
      <c r="P270">
        <v>0.98936990000000002</v>
      </c>
      <c r="Q270">
        <v>0.14521239999999999</v>
      </c>
      <c r="R270">
        <v>7.7733999999999998E-3</v>
      </c>
      <c r="S270">
        <v>3.1286930000000002</v>
      </c>
      <c r="T270">
        <v>-0.66085839999999996</v>
      </c>
      <c r="U270">
        <v>-0.14105219999999999</v>
      </c>
      <c r="V270">
        <v>5.5666910000000001E-4</v>
      </c>
      <c r="W270">
        <v>0.15483759999999999</v>
      </c>
      <c r="X270">
        <v>0.98793980000000003</v>
      </c>
      <c r="Y270">
        <v>5.2096959999999998E-2</v>
      </c>
      <c r="Z270">
        <v>-7.3771349999999999E-3</v>
      </c>
      <c r="AA270">
        <v>0.99861480000000002</v>
      </c>
      <c r="AB270">
        <v>27</v>
      </c>
      <c r="AC270">
        <v>0.45300000000003099</v>
      </c>
      <c r="AD270">
        <v>-0.14835659999999901</v>
      </c>
      <c r="AE270">
        <v>-3.4099999999966699E-2</v>
      </c>
      <c r="AF270">
        <v>3.4267458070884001E-2</v>
      </c>
      <c r="AG270">
        <v>-0.14835659999999901</v>
      </c>
      <c r="AH270">
        <v>0.40906863892684198</v>
      </c>
      <c r="AI270">
        <v>109.87002722490099</v>
      </c>
      <c r="AJ270">
        <v>85.211543448937903</v>
      </c>
      <c r="AK270">
        <v>0.43648721722366501</v>
      </c>
      <c r="AL270">
        <v>81.092622472376505</v>
      </c>
      <c r="AM270">
        <v>89.967715860176995</v>
      </c>
      <c r="AN270">
        <v>1.0000000203391399</v>
      </c>
    </row>
    <row r="271" spans="1:40" x14ac:dyDescent="0.25">
      <c r="A271" t="str">
        <f>"20190303162748865"</f>
        <v>20190303162748865</v>
      </c>
      <c r="B271" t="str">
        <f>"1551601668851828"</f>
        <v>1551601668851828</v>
      </c>
      <c r="C271" t="s">
        <v>40</v>
      </c>
      <c r="D271">
        <v>5.4154269999999904</v>
      </c>
      <c r="E271">
        <v>0.48476449999999999</v>
      </c>
      <c r="F271" t="s">
        <v>41</v>
      </c>
      <c r="G271">
        <v>-326.56670000000003</v>
      </c>
      <c r="H271" s="1">
        <v>-1.8063279999999999E-6</v>
      </c>
      <c r="I271">
        <v>370.93610000000001</v>
      </c>
      <c r="J271">
        <v>-418.11340000000001</v>
      </c>
      <c r="K271">
        <v>1.0709010000000001</v>
      </c>
      <c r="L271">
        <v>367.79050000000001</v>
      </c>
      <c r="M271">
        <v>0.99991600000000003</v>
      </c>
      <c r="N271">
        <v>-9.7711540000000006E-3</v>
      </c>
      <c r="O271">
        <v>8.5309159999999995E-3</v>
      </c>
      <c r="P271">
        <v>0.98928879999999997</v>
      </c>
      <c r="Q271">
        <v>0.1457503</v>
      </c>
      <c r="R271">
        <v>8.0474710000000005E-3</v>
      </c>
      <c r="S271">
        <v>3.0365600000000001</v>
      </c>
      <c r="T271">
        <v>-3.5421849999999998E-2</v>
      </c>
      <c r="U271">
        <v>0.104126</v>
      </c>
      <c r="V271">
        <v>3.7192289999999999E-4</v>
      </c>
      <c r="W271">
        <v>0.1554104</v>
      </c>
      <c r="X271">
        <v>0.98785000000000001</v>
      </c>
      <c r="Y271">
        <v>-2.5739870000000001E-2</v>
      </c>
      <c r="Z271">
        <v>2.5974279999999998E-4</v>
      </c>
      <c r="AA271">
        <v>0.99966869999999997</v>
      </c>
      <c r="AB271">
        <v>27</v>
      </c>
      <c r="AC271">
        <v>91.546700000000001</v>
      </c>
      <c r="AD271">
        <v>-1.0709028063279999</v>
      </c>
      <c r="AE271">
        <v>3.1456</v>
      </c>
      <c r="AF271">
        <v>-2.3641480029903899</v>
      </c>
      <c r="AG271">
        <v>-1.0709028063279999</v>
      </c>
      <c r="AH271">
        <v>91.557690496142797</v>
      </c>
      <c r="AI271">
        <v>90.669905179572496</v>
      </c>
      <c r="AJ271">
        <v>91.479128724440002</v>
      </c>
      <c r="AK271">
        <v>91.594468815470094</v>
      </c>
      <c r="AL271">
        <v>81.0594018154721</v>
      </c>
      <c r="AM271">
        <v>89.978428292283795</v>
      </c>
      <c r="AN271">
        <v>1.00000007662739</v>
      </c>
    </row>
    <row r="272" spans="1:40" x14ac:dyDescent="0.25">
      <c r="A272" t="str">
        <f>"20190303162748886"</f>
        <v>20190303162748886</v>
      </c>
      <c r="B272" t="str">
        <f>"1551601668882084"</f>
        <v>1551601668882084</v>
      </c>
      <c r="C272" t="s">
        <v>40</v>
      </c>
      <c r="D272">
        <v>5.4066989999999997</v>
      </c>
      <c r="E272">
        <v>0.48513040000000002</v>
      </c>
      <c r="F272" t="s">
        <v>43</v>
      </c>
      <c r="G272">
        <v>-158.19499999999999</v>
      </c>
      <c r="H272">
        <v>0.83529189999999998</v>
      </c>
      <c r="I272">
        <v>380.77859999999998</v>
      </c>
      <c r="J272">
        <v>-417.85270000000003</v>
      </c>
      <c r="K272">
        <v>1.0709120000000001</v>
      </c>
      <c r="L272">
        <v>367.7928</v>
      </c>
      <c r="M272">
        <v>0.99991479999999999</v>
      </c>
      <c r="N272">
        <v>-9.8112589999999993E-3</v>
      </c>
      <c r="O272">
        <v>8.6238800000000004E-3</v>
      </c>
      <c r="P272">
        <v>0.98917540000000004</v>
      </c>
      <c r="Q272">
        <v>0.1465089</v>
      </c>
      <c r="R272">
        <v>8.2144119999999904E-3</v>
      </c>
      <c r="S272">
        <v>3.0316160000000001</v>
      </c>
      <c r="T272">
        <v>-2.747059E-3</v>
      </c>
      <c r="U272">
        <v>0.15148929999999999</v>
      </c>
      <c r="V272">
        <v>2.9583000000000002E-4</v>
      </c>
      <c r="W272">
        <v>0.1562074</v>
      </c>
      <c r="X272">
        <v>0.98772420000000005</v>
      </c>
      <c r="Y272">
        <v>-4.1292259999999997E-2</v>
      </c>
      <c r="Z272">
        <v>2.9814970000000002E-4</v>
      </c>
      <c r="AA272">
        <v>0.99914709999999995</v>
      </c>
      <c r="AB272">
        <v>27</v>
      </c>
      <c r="AC272">
        <v>259.65769999999998</v>
      </c>
      <c r="AD272">
        <v>-0.2356201</v>
      </c>
      <c r="AE272">
        <v>12.9857999999999</v>
      </c>
      <c r="AF272">
        <v>-10.745943870880501</v>
      </c>
      <c r="AG272">
        <v>-0.2356201</v>
      </c>
      <c r="AH272">
        <v>259.75982335174098</v>
      </c>
      <c r="AI272">
        <v>90.051926800782496</v>
      </c>
      <c r="AJ272">
        <v>92.368905065255205</v>
      </c>
      <c r="AK272">
        <v>259.98210833485302</v>
      </c>
      <c r="AL272">
        <v>81.013171502120599</v>
      </c>
      <c r="AM272">
        <v>89.982839531575095</v>
      </c>
      <c r="AN272">
        <v>0.99999996729789398</v>
      </c>
    </row>
    <row r="273" spans="1:40" x14ac:dyDescent="0.25">
      <c r="A273" t="str">
        <f>"20190303162748910"</f>
        <v>20190303162748910</v>
      </c>
      <c r="B273" t="str">
        <f>"1551601668902579"</f>
        <v>1551601668902579</v>
      </c>
      <c r="C273" t="s">
        <v>40</v>
      </c>
      <c r="D273">
        <v>5.4074140000000002</v>
      </c>
      <c r="E273">
        <v>0.48555720000000002</v>
      </c>
      <c r="F273" t="s">
        <v>41</v>
      </c>
      <c r="G273">
        <v>-346.59809999999999</v>
      </c>
      <c r="H273" s="1">
        <v>-2.0347449999999999E-6</v>
      </c>
      <c r="I273">
        <v>371.29320000000001</v>
      </c>
      <c r="J273">
        <v>-417.57279999999997</v>
      </c>
      <c r="K273">
        <v>1.070924</v>
      </c>
      <c r="L273">
        <v>367.7953</v>
      </c>
      <c r="M273">
        <v>0.99991339999999995</v>
      </c>
      <c r="N273">
        <v>-9.8600149999999998E-3</v>
      </c>
      <c r="O273">
        <v>8.7231840000000001E-3</v>
      </c>
      <c r="P273">
        <v>0.98916130000000002</v>
      </c>
      <c r="Q273">
        <v>0.14659440000000001</v>
      </c>
      <c r="R273">
        <v>8.3693340000000008E-3</v>
      </c>
      <c r="S273">
        <v>3.0383300000000002</v>
      </c>
      <c r="T273">
        <v>-4.566431E-2</v>
      </c>
      <c r="U273">
        <v>0.14926149999999999</v>
      </c>
      <c r="V273">
        <v>2.390421E-4</v>
      </c>
      <c r="W273">
        <v>0.15634110000000001</v>
      </c>
      <c r="X273">
        <v>0.98770309999999994</v>
      </c>
      <c r="Y273">
        <v>-4.0344600000000001E-2</v>
      </c>
      <c r="Z273">
        <v>4.5697549999999999E-4</v>
      </c>
      <c r="AA273">
        <v>0.99918569999999995</v>
      </c>
      <c r="AB273">
        <v>27</v>
      </c>
      <c r="AC273">
        <v>70.974699999999899</v>
      </c>
      <c r="AD273">
        <v>-1.070926034745</v>
      </c>
      <c r="AE273">
        <v>3.4979000000000098</v>
      </c>
      <c r="AF273">
        <v>-2.8779578262251699</v>
      </c>
      <c r="AG273">
        <v>-1.070926034745</v>
      </c>
      <c r="AH273">
        <v>70.986391085299999</v>
      </c>
      <c r="AI273">
        <v>90.863609660928802</v>
      </c>
      <c r="AJ273">
        <v>92.321636280763101</v>
      </c>
      <c r="AK273">
        <v>71.052777870654594</v>
      </c>
      <c r="AL273">
        <v>81.005416110791899</v>
      </c>
      <c r="AM273">
        <v>89.9861333803766</v>
      </c>
      <c r="AN273">
        <v>1.00000000521997</v>
      </c>
    </row>
    <row r="274" spans="1:40" x14ac:dyDescent="0.25">
      <c r="A274" t="str">
        <f>"20190303162748931"</f>
        <v>20190303162748931</v>
      </c>
      <c r="B274" t="str">
        <f>"1551601668922100"</f>
        <v>1551601668922100</v>
      </c>
      <c r="C274" t="s">
        <v>40</v>
      </c>
      <c r="D274">
        <v>5.4021429999999997</v>
      </c>
      <c r="E274">
        <v>0.4863094</v>
      </c>
      <c r="F274" t="s">
        <v>41</v>
      </c>
      <c r="G274">
        <v>-367.08280000000002</v>
      </c>
      <c r="H274" s="1">
        <v>-1.396197E-6</v>
      </c>
      <c r="I274">
        <v>370.22660000000002</v>
      </c>
      <c r="J274">
        <v>-417.31200000000001</v>
      </c>
      <c r="K274">
        <v>1.0709379999999999</v>
      </c>
      <c r="L274">
        <v>367.79759999999999</v>
      </c>
      <c r="M274">
        <v>0.99991209999999997</v>
      </c>
      <c r="N274">
        <v>-9.9143440000000003E-3</v>
      </c>
      <c r="O274">
        <v>8.8157229999999993E-3</v>
      </c>
      <c r="P274">
        <v>0.98899570000000003</v>
      </c>
      <c r="Q274">
        <v>0.14765200000000001</v>
      </c>
      <c r="R274">
        <v>9.3045909999999992E-3</v>
      </c>
      <c r="S274">
        <v>3.0412599999999999</v>
      </c>
      <c r="T274">
        <v>-6.4507010000000004E-2</v>
      </c>
      <c r="U274">
        <v>0.1464539</v>
      </c>
      <c r="V274">
        <v>-6.0633300000000002E-4</v>
      </c>
      <c r="W274">
        <v>0.15745010000000001</v>
      </c>
      <c r="X274">
        <v>0.98752680000000004</v>
      </c>
      <c r="Y274">
        <v>-3.9279710000000002E-2</v>
      </c>
      <c r="Z274">
        <v>5.1165939999999995E-4</v>
      </c>
      <c r="AA274">
        <v>0.99922809999999995</v>
      </c>
      <c r="AB274">
        <v>27</v>
      </c>
      <c r="AC274">
        <v>50.229199999999899</v>
      </c>
      <c r="AD274">
        <v>-1.070939396197</v>
      </c>
      <c r="AE274">
        <v>2.42900000000003</v>
      </c>
      <c r="AF274">
        <v>-1.9851768414670099</v>
      </c>
      <c r="AG274">
        <v>-1.070939396197</v>
      </c>
      <c r="AH274">
        <v>50.225883602868002</v>
      </c>
      <c r="AI274">
        <v>91.220549149442604</v>
      </c>
      <c r="AJ274">
        <v>92.263436133366994</v>
      </c>
      <c r="AK274">
        <v>50.2765076548786</v>
      </c>
      <c r="AL274">
        <v>80.9410786048864</v>
      </c>
      <c r="AM274">
        <v>90.035179113634101</v>
      </c>
      <c r="AN274">
        <v>1.00000004117397</v>
      </c>
    </row>
    <row r="275" spans="1:40" x14ac:dyDescent="0.25">
      <c r="A275" t="str">
        <f>"20190303162748954"</f>
        <v>20190303162748954</v>
      </c>
      <c r="B275" t="str">
        <f>"1551601668941620"</f>
        <v>1551601668941620</v>
      </c>
      <c r="C275" t="s">
        <v>40</v>
      </c>
      <c r="D275">
        <v>5.4015500000000003</v>
      </c>
      <c r="E275">
        <v>0.48666480000000001</v>
      </c>
      <c r="F275" t="s">
        <v>41</v>
      </c>
      <c r="G275">
        <v>-372.56490000000002</v>
      </c>
      <c r="H275" s="1">
        <v>-3.2478020000000001E-6</v>
      </c>
      <c r="I275">
        <v>369.90140000000002</v>
      </c>
      <c r="J275">
        <v>-417.05309999999997</v>
      </c>
      <c r="K275">
        <v>1.070945</v>
      </c>
      <c r="L275">
        <v>367.8</v>
      </c>
      <c r="M275">
        <v>0.99991070000000004</v>
      </c>
      <c r="N275">
        <v>-9.9805910000000005E-3</v>
      </c>
      <c r="O275">
        <v>8.9075430000000004E-3</v>
      </c>
      <c r="P275">
        <v>0.98889419999999995</v>
      </c>
      <c r="Q275">
        <v>0.14826710000000001</v>
      </c>
      <c r="R275">
        <v>1.028167E-2</v>
      </c>
      <c r="S275">
        <v>3.0428769999999998</v>
      </c>
      <c r="T275">
        <v>-7.2825790000000001E-2</v>
      </c>
      <c r="U275">
        <v>0.14306640000000001</v>
      </c>
      <c r="V275">
        <v>-1.493795E-3</v>
      </c>
      <c r="W275">
        <v>0.15812960000000001</v>
      </c>
      <c r="X275">
        <v>0.98741719999999999</v>
      </c>
      <c r="Y275">
        <v>-3.805037E-2</v>
      </c>
      <c r="Z275">
        <v>5.2087699999999999E-4</v>
      </c>
      <c r="AA275">
        <v>0.99927569999999999</v>
      </c>
      <c r="AB275">
        <v>27</v>
      </c>
      <c r="AC275">
        <v>44.4881999999999</v>
      </c>
      <c r="AD275">
        <v>-1.070948247802</v>
      </c>
      <c r="AE275">
        <v>2.1014000000000101</v>
      </c>
      <c r="AF275">
        <v>-1.7040311282784599</v>
      </c>
      <c r="AG275">
        <v>-1.070948247802</v>
      </c>
      <c r="AH275">
        <v>44.479435998597602</v>
      </c>
      <c r="AI275">
        <v>91.378255053173902</v>
      </c>
      <c r="AJ275">
        <v>92.193959208768604</v>
      </c>
      <c r="AK275">
        <v>44.524946703942902</v>
      </c>
      <c r="AL275">
        <v>80.901651512927202</v>
      </c>
      <c r="AM275">
        <v>90.086678744976098</v>
      </c>
      <c r="AN275">
        <v>0.99999996433774996</v>
      </c>
    </row>
    <row r="276" spans="1:40" x14ac:dyDescent="0.25">
      <c r="A276" t="str">
        <f>"20190303162748975"</f>
        <v>20190303162748975</v>
      </c>
      <c r="B276" t="str">
        <f>"1551601668962115"</f>
        <v>1551601668962115</v>
      </c>
      <c r="C276" t="s">
        <v>40</v>
      </c>
      <c r="D276">
        <v>5.1653390000000003</v>
      </c>
      <c r="E276">
        <v>0.48688359999999897</v>
      </c>
      <c r="F276" t="s">
        <v>41</v>
      </c>
      <c r="G276">
        <v>-377.21960000000001</v>
      </c>
      <c r="H276" s="1">
        <v>-1.192125E-6</v>
      </c>
      <c r="I276">
        <v>369.68020000000001</v>
      </c>
      <c r="J276">
        <v>-416.78730000000002</v>
      </c>
      <c r="K276">
        <v>1.070959</v>
      </c>
      <c r="L276">
        <v>367.80250000000001</v>
      </c>
      <c r="M276">
        <v>0.99990889999999999</v>
      </c>
      <c r="N276">
        <v>-1.0062649999999999E-2</v>
      </c>
      <c r="O276">
        <v>9.0021419999999994E-3</v>
      </c>
      <c r="P276">
        <v>0.9888614</v>
      </c>
      <c r="Q276">
        <v>0.1484152</v>
      </c>
      <c r="R276">
        <v>1.122226E-2</v>
      </c>
      <c r="S276">
        <v>3.0444339999999999</v>
      </c>
      <c r="T276">
        <v>-8.1851119999999999E-2</v>
      </c>
      <c r="U276">
        <v>0.14370729999999901</v>
      </c>
      <c r="V276">
        <v>-2.3407440000000001E-3</v>
      </c>
      <c r="W276">
        <v>0.15835839999999901</v>
      </c>
      <c r="X276">
        <v>0.98737889999999995</v>
      </c>
      <c r="Y276">
        <v>-3.8138650000000003E-2</v>
      </c>
      <c r="Z276">
        <v>5.5305719999999999E-4</v>
      </c>
      <c r="AA276">
        <v>0.9992723</v>
      </c>
      <c r="AB276">
        <v>27</v>
      </c>
      <c r="AC276">
        <v>39.567700000000002</v>
      </c>
      <c r="AD276">
        <v>-1.070960192125</v>
      </c>
      <c r="AE276">
        <v>1.8776999999999999</v>
      </c>
      <c r="AF276">
        <v>-1.5203005724342</v>
      </c>
      <c r="AG276">
        <v>-1.070960192125</v>
      </c>
      <c r="AH276">
        <v>39.554088637442298</v>
      </c>
      <c r="AI276">
        <v>91.549808650958099</v>
      </c>
      <c r="AJ276">
        <v>92.2011365282697</v>
      </c>
      <c r="AK276">
        <v>39.597780209278199</v>
      </c>
      <c r="AL276">
        <v>80.888375070741802</v>
      </c>
      <c r="AM276">
        <v>90.135828809869807</v>
      </c>
      <c r="AN276">
        <v>0.99999997704912102</v>
      </c>
    </row>
    <row r="277" spans="1:40" x14ac:dyDescent="0.25">
      <c r="A277" t="str">
        <f>"20190303162749000"</f>
        <v>20190303162749000</v>
      </c>
      <c r="B277" t="str">
        <f>"1551601668991396"</f>
        <v>1551601668991396</v>
      </c>
      <c r="C277" t="s">
        <v>40</v>
      </c>
      <c r="D277">
        <v>5.3907870000000004</v>
      </c>
      <c r="E277">
        <v>0.48726740000000002</v>
      </c>
      <c r="F277" t="s">
        <v>41</v>
      </c>
      <c r="G277">
        <v>-380.50670000000002</v>
      </c>
      <c r="H277" s="1">
        <v>-4.0703720000000001E-6</v>
      </c>
      <c r="I277">
        <v>369.5292</v>
      </c>
      <c r="J277">
        <v>-416.49950000000001</v>
      </c>
      <c r="K277">
        <v>1.0709759999999999</v>
      </c>
      <c r="L277">
        <v>367.80520000000001</v>
      </c>
      <c r="M277">
        <v>0.99990679999999998</v>
      </c>
      <c r="N277">
        <v>-1.0169579999999999E-2</v>
      </c>
      <c r="O277">
        <v>9.1039469999999994E-3</v>
      </c>
      <c r="P277">
        <v>0.98879930000000005</v>
      </c>
      <c r="Q277">
        <v>0.14875250000000001</v>
      </c>
      <c r="R277">
        <v>1.220736E-2</v>
      </c>
      <c r="S277">
        <v>3.0456850000000002</v>
      </c>
      <c r="T277">
        <v>-8.9904899999999996E-2</v>
      </c>
      <c r="U277">
        <v>0.14495849999999999</v>
      </c>
      <c r="V277">
        <v>-3.2261210000000002E-3</v>
      </c>
      <c r="W277">
        <v>0.158801</v>
      </c>
      <c r="X277">
        <v>0.98730530000000005</v>
      </c>
      <c r="Y277">
        <v>-3.842404E-2</v>
      </c>
      <c r="Z277">
        <v>5.8623870000000002E-4</v>
      </c>
      <c r="AA277">
        <v>0.99926139999999997</v>
      </c>
      <c r="AB277">
        <v>27</v>
      </c>
      <c r="AC277">
        <v>35.992799999999903</v>
      </c>
      <c r="AD277">
        <v>-1.0709800703719901</v>
      </c>
      <c r="AE277">
        <v>1.72399999999998</v>
      </c>
      <c r="AF277">
        <v>-1.39500275777135</v>
      </c>
      <c r="AG277">
        <v>-1.0709800703719901</v>
      </c>
      <c r="AH277">
        <v>35.975225288723799</v>
      </c>
      <c r="AI277">
        <v>91.703908140959996</v>
      </c>
      <c r="AJ277">
        <v>92.2206322573265</v>
      </c>
      <c r="AK277">
        <v>36.0181879830143</v>
      </c>
      <c r="AL277">
        <v>80.862690802602003</v>
      </c>
      <c r="AM277">
        <v>90.187219150583104</v>
      </c>
      <c r="AN277">
        <v>0.99999996043289696</v>
      </c>
    </row>
    <row r="278" spans="1:40" x14ac:dyDescent="0.25">
      <c r="A278" t="str">
        <f>"20190303162749021"</f>
        <v>20190303162749021</v>
      </c>
      <c r="B278" t="str">
        <f>"1551601669011892"</f>
        <v>1551601669011892</v>
      </c>
      <c r="C278" t="s">
        <v>40</v>
      </c>
      <c r="D278">
        <v>5.3936299999999999</v>
      </c>
      <c r="E278">
        <v>0.48756949999999999</v>
      </c>
      <c r="F278" t="s">
        <v>41</v>
      </c>
      <c r="G278">
        <v>-383.16129999999998</v>
      </c>
      <c r="H278" s="1">
        <v>-2.9570089999999998E-6</v>
      </c>
      <c r="I278">
        <v>369.38560000000001</v>
      </c>
      <c r="J278">
        <v>-416.24680000000001</v>
      </c>
      <c r="K278">
        <v>1.0710029999999999</v>
      </c>
      <c r="L278">
        <v>367.80759999999998</v>
      </c>
      <c r="M278">
        <v>0.99990480000000004</v>
      </c>
      <c r="N278">
        <v>-1.028423E-2</v>
      </c>
      <c r="O278">
        <v>9.1924699999999995E-3</v>
      </c>
      <c r="P278">
        <v>0.98878310000000003</v>
      </c>
      <c r="Q278">
        <v>0.14881989999999901</v>
      </c>
      <c r="R278">
        <v>1.267914E-2</v>
      </c>
      <c r="S278">
        <v>3.046967</v>
      </c>
      <c r="T278">
        <v>-9.7882629999999998E-2</v>
      </c>
      <c r="U278">
        <v>0.1444397</v>
      </c>
      <c r="V278">
        <v>-3.6106440000000001E-3</v>
      </c>
      <c r="W278">
        <v>0.15898129999999999</v>
      </c>
      <c r="X278">
        <v>0.98727500000000001</v>
      </c>
      <c r="Y278">
        <v>-3.8142860000000001E-2</v>
      </c>
      <c r="Z278">
        <v>6.0791040000000005E-4</v>
      </c>
      <c r="AA278">
        <v>0.9992721</v>
      </c>
      <c r="AB278">
        <v>27</v>
      </c>
      <c r="AC278">
        <v>33.085500000000003</v>
      </c>
      <c r="AD278">
        <v>-1.071005957009</v>
      </c>
      <c r="AE278">
        <v>1.57800000000003</v>
      </c>
      <c r="AF278">
        <v>-1.27244941161225</v>
      </c>
      <c r="AG278">
        <v>-1.071005957009</v>
      </c>
      <c r="AH278">
        <v>33.064040163446599</v>
      </c>
      <c r="AI278">
        <v>91.853897132858194</v>
      </c>
      <c r="AJ278">
        <v>92.203905514683996</v>
      </c>
      <c r="AK278">
        <v>33.105844396346001</v>
      </c>
      <c r="AL278">
        <v>80.852227887222597</v>
      </c>
      <c r="AM278">
        <v>90.209540138479099</v>
      </c>
      <c r="AN278">
        <v>1.0000000080623901</v>
      </c>
    </row>
    <row r="279" spans="1:40" x14ac:dyDescent="0.25">
      <c r="A279" t="str">
        <f>"20190303162749045"</f>
        <v>20190303162749045</v>
      </c>
      <c r="B279" t="str">
        <f>"1551601669031411"</f>
        <v>1551601669031411</v>
      </c>
      <c r="C279" t="s">
        <v>40</v>
      </c>
      <c r="D279">
        <v>5.3859209999999997</v>
      </c>
      <c r="E279">
        <v>0.48777920000000002</v>
      </c>
      <c r="F279" t="s">
        <v>41</v>
      </c>
      <c r="G279">
        <v>-384.04660000000001</v>
      </c>
      <c r="H279" s="1">
        <v>-2.5889209999999998E-6</v>
      </c>
      <c r="I279">
        <v>369.31959999999998</v>
      </c>
      <c r="J279">
        <v>-415.97089999999997</v>
      </c>
      <c r="K279">
        <v>1.071029</v>
      </c>
      <c r="L279">
        <v>367.81029999999998</v>
      </c>
      <c r="M279">
        <v>0.99990239999999997</v>
      </c>
      <c r="N279">
        <v>-1.043607E-2</v>
      </c>
      <c r="O279">
        <v>9.2880020000000001E-3</v>
      </c>
      <c r="P279">
        <v>0.98884209999999995</v>
      </c>
      <c r="Q279">
        <v>0.14843110000000001</v>
      </c>
      <c r="R279">
        <v>1.2631409999999999E-2</v>
      </c>
      <c r="S279">
        <v>3.0474549999999998</v>
      </c>
      <c r="T279">
        <v>-0.1013607</v>
      </c>
      <c r="U279">
        <v>0.1430969</v>
      </c>
      <c r="V279">
        <v>-3.4676659999999999E-3</v>
      </c>
      <c r="W279">
        <v>0.1587431</v>
      </c>
      <c r="X279">
        <v>0.98731389999999997</v>
      </c>
      <c r="Y279">
        <v>-3.7599359999999998E-2</v>
      </c>
      <c r="Z279">
        <v>6.093712E-4</v>
      </c>
      <c r="AA279">
        <v>0.99929270000000003</v>
      </c>
      <c r="AB279">
        <v>27</v>
      </c>
      <c r="AC279">
        <v>31.924299999999899</v>
      </c>
      <c r="AD279">
        <v>-1.071031588921</v>
      </c>
      <c r="AE279">
        <v>1.5092999999999901</v>
      </c>
      <c r="AF279">
        <v>-1.2113453982109199</v>
      </c>
      <c r="AG279">
        <v>-1.071031588921</v>
      </c>
      <c r="AH279">
        <v>31.901115982327799</v>
      </c>
      <c r="AI279">
        <v>91.921512896780499</v>
      </c>
      <c r="AJ279">
        <v>92.174583804791794</v>
      </c>
      <c r="AK279">
        <v>31.942067360397399</v>
      </c>
      <c r="AL279">
        <v>80.866051829714394</v>
      </c>
      <c r="AM279">
        <v>90.201234693042906</v>
      </c>
      <c r="AN279">
        <v>1.00000006681915</v>
      </c>
    </row>
    <row r="280" spans="1:40" x14ac:dyDescent="0.25">
      <c r="A280" t="str">
        <f>"20190303162749069"</f>
        <v>20190303162749069</v>
      </c>
      <c r="B280" t="str">
        <f>"1551601669062644"</f>
        <v>1551601669062644</v>
      </c>
      <c r="C280" t="s">
        <v>40</v>
      </c>
      <c r="D280">
        <v>5.0671309999999998</v>
      </c>
      <c r="E280">
        <v>0.4881704</v>
      </c>
      <c r="F280" t="s">
        <v>41</v>
      </c>
      <c r="G280">
        <v>-385.44119999999998</v>
      </c>
      <c r="H280" s="1">
        <v>-2.0065300000000002E-6</v>
      </c>
      <c r="I280">
        <v>369.23</v>
      </c>
      <c r="J280">
        <v>-415.67360000000002</v>
      </c>
      <c r="K280">
        <v>1.071064</v>
      </c>
      <c r="L280">
        <v>367.81319999999999</v>
      </c>
      <c r="M280">
        <v>0.99989939999999999</v>
      </c>
      <c r="N280">
        <v>-1.06284E-2</v>
      </c>
      <c r="O280">
        <v>9.3922239999999994E-3</v>
      </c>
      <c r="P280">
        <v>0.98887840000000005</v>
      </c>
      <c r="Q280">
        <v>0.14823420000000001</v>
      </c>
      <c r="R280">
        <v>1.2099759999999999E-2</v>
      </c>
      <c r="S280">
        <v>3.0480960000000001</v>
      </c>
      <c r="T280">
        <v>-0.1069319</v>
      </c>
      <c r="U280">
        <v>0.1417542</v>
      </c>
      <c r="V280">
        <v>-2.8335169999999998E-3</v>
      </c>
      <c r="W280">
        <v>0.15873599999999999</v>
      </c>
      <c r="X280">
        <v>0.987317</v>
      </c>
      <c r="Y280">
        <v>-3.7044090000000002E-2</v>
      </c>
      <c r="Z280">
        <v>6.1684739999999896E-4</v>
      </c>
      <c r="AA280">
        <v>0.99931340000000002</v>
      </c>
      <c r="AB280">
        <v>27</v>
      </c>
      <c r="AC280">
        <v>30.232399999999998</v>
      </c>
      <c r="AD280">
        <v>-1.0710660065299999</v>
      </c>
      <c r="AE280">
        <v>1.41680000000002</v>
      </c>
      <c r="AF280">
        <v>-1.13135510578502</v>
      </c>
      <c r="AG280">
        <v>-1.0710660065299999</v>
      </c>
      <c r="AH280">
        <v>30.206544088432999</v>
      </c>
      <c r="AI280">
        <v>92.029325774362505</v>
      </c>
      <c r="AJ280">
        <v>92.144952010334094</v>
      </c>
      <c r="AK280">
        <v>30.246693249546801</v>
      </c>
      <c r="AL280">
        <v>80.8664632615138</v>
      </c>
      <c r="AM280">
        <v>90.164433631302998</v>
      </c>
      <c r="AN280">
        <v>1.0000000025017901</v>
      </c>
    </row>
    <row r="281" spans="1:40" x14ac:dyDescent="0.25">
      <c r="A281" t="str">
        <f>"20190303162749088"</f>
        <v>20190303162749088</v>
      </c>
      <c r="B281" t="str">
        <f>"1551601669082164"</f>
        <v>1551601669082164</v>
      </c>
      <c r="C281" t="s">
        <v>40</v>
      </c>
      <c r="D281">
        <v>5.2077260000000001</v>
      </c>
      <c r="E281">
        <v>0.48845499999999997</v>
      </c>
      <c r="F281" t="s">
        <v>41</v>
      </c>
      <c r="G281">
        <v>-386.56810000000002</v>
      </c>
      <c r="H281" s="1">
        <v>-1.541891E-6</v>
      </c>
      <c r="I281">
        <v>369.1241</v>
      </c>
      <c r="J281">
        <v>-415.43819999999999</v>
      </c>
      <c r="K281">
        <v>1.0710900000000001</v>
      </c>
      <c r="L281">
        <v>367.81549999999999</v>
      </c>
      <c r="M281">
        <v>0.99989700000000004</v>
      </c>
      <c r="N281">
        <v>-1.0787049999999999E-2</v>
      </c>
      <c r="O281">
        <v>9.4662679999999999E-3</v>
      </c>
      <c r="P281">
        <v>0.98896759999999995</v>
      </c>
      <c r="Q281">
        <v>0.14768129999999999</v>
      </c>
      <c r="R281">
        <v>1.155962E-2</v>
      </c>
      <c r="S281">
        <v>3.048889</v>
      </c>
      <c r="T281">
        <v>-0.1121973</v>
      </c>
      <c r="U281">
        <v>0.13732910000000001</v>
      </c>
      <c r="V281">
        <v>-2.2202210000000001E-3</v>
      </c>
      <c r="W281">
        <v>0.15834100000000001</v>
      </c>
      <c r="X281">
        <v>0.98738199999999998</v>
      </c>
      <c r="Y281">
        <v>-3.550963E-2</v>
      </c>
      <c r="Z281">
        <v>5.9853330000000004E-4</v>
      </c>
      <c r="AA281">
        <v>0.99936910000000001</v>
      </c>
      <c r="AB281">
        <v>27</v>
      </c>
      <c r="AC281">
        <v>28.870099999999901</v>
      </c>
      <c r="AD281">
        <v>-1.0710915418910001</v>
      </c>
      <c r="AE281">
        <v>1.30860000000001</v>
      </c>
      <c r="AF281">
        <v>-1.0338132898216901</v>
      </c>
      <c r="AG281">
        <v>-1.0710915418910001</v>
      </c>
      <c r="AH281">
        <v>28.8415773288223</v>
      </c>
      <c r="AI281">
        <v>92.125455989275906</v>
      </c>
      <c r="AJ281">
        <v>92.052862399732206</v>
      </c>
      <c r="AK281">
        <v>28.8799686603666</v>
      </c>
      <c r="AL281">
        <v>80.889385038921006</v>
      </c>
      <c r="AM281">
        <v>90.128834714922405</v>
      </c>
      <c r="AN281">
        <v>1.0000000077931399</v>
      </c>
    </row>
    <row r="282" spans="1:40" x14ac:dyDescent="0.25">
      <c r="A282" t="str">
        <f>"20190303162749111"</f>
        <v>20190303162749111</v>
      </c>
      <c r="B282" t="str">
        <f>"1551601669101683"</f>
        <v>1551601669101683</v>
      </c>
      <c r="C282" t="s">
        <v>40</v>
      </c>
      <c r="D282">
        <v>5.14337</v>
      </c>
      <c r="E282">
        <v>0.48866850000000001</v>
      </c>
      <c r="F282" t="s">
        <v>41</v>
      </c>
      <c r="G282">
        <v>-387.19709999999998</v>
      </c>
      <c r="H282" s="1">
        <v>-1.2854879999999999E-6</v>
      </c>
      <c r="I282">
        <v>369.04840000000002</v>
      </c>
      <c r="J282">
        <v>-415.17219999999998</v>
      </c>
      <c r="K282">
        <v>1.0711120000000001</v>
      </c>
      <c r="L282">
        <v>367.81810000000002</v>
      </c>
      <c r="M282">
        <v>0.99989439999999996</v>
      </c>
      <c r="N282">
        <v>-1.0961429999999999E-2</v>
      </c>
      <c r="O282">
        <v>9.5453129999999997E-3</v>
      </c>
      <c r="P282">
        <v>0.9890563</v>
      </c>
      <c r="Q282">
        <v>0.14710309999999999</v>
      </c>
      <c r="R282">
        <v>1.13413E-2</v>
      </c>
      <c r="S282">
        <v>3.049194</v>
      </c>
      <c r="T282">
        <v>-0.1156455</v>
      </c>
      <c r="U282">
        <v>0.13311770000000001</v>
      </c>
      <c r="V282">
        <v>-1.9227879999999999E-3</v>
      </c>
      <c r="W282">
        <v>0.1579361</v>
      </c>
      <c r="X282">
        <v>0.98744739999999998</v>
      </c>
      <c r="Y282">
        <v>-3.4048290000000002E-2</v>
      </c>
      <c r="Z282">
        <v>5.7478620000000005E-4</v>
      </c>
      <c r="AA282">
        <v>0.99941999999999998</v>
      </c>
      <c r="AB282">
        <v>27</v>
      </c>
      <c r="AC282">
        <v>27.975100000000001</v>
      </c>
      <c r="AD282">
        <v>-1.0711132854880001</v>
      </c>
      <c r="AE282">
        <v>1.23029999999999</v>
      </c>
      <c r="AF282">
        <v>-0.96178958385266999</v>
      </c>
      <c r="AG282">
        <v>-1.0711132854880001</v>
      </c>
      <c r="AH282">
        <v>27.9446824581672</v>
      </c>
      <c r="AI282">
        <v>92.193761888073197</v>
      </c>
      <c r="AJ282">
        <v>91.971206516795903</v>
      </c>
      <c r="AK282">
        <v>27.9817369110953</v>
      </c>
      <c r="AL282">
        <v>80.912879098374205</v>
      </c>
      <c r="AM282">
        <v>90.111567966108893</v>
      </c>
      <c r="AN282">
        <v>0.99999993828182898</v>
      </c>
    </row>
    <row r="283" spans="1:40" x14ac:dyDescent="0.25">
      <c r="A283" t="str">
        <f>"20190303162749133"</f>
        <v>20190303162749133</v>
      </c>
      <c r="B283" t="str">
        <f>"1551601669122179"</f>
        <v>1551601669122179</v>
      </c>
      <c r="C283" t="s">
        <v>40</v>
      </c>
      <c r="D283">
        <v>4.8829949999999904</v>
      </c>
      <c r="E283">
        <v>0.48895270000000002</v>
      </c>
      <c r="F283" t="s">
        <v>41</v>
      </c>
      <c r="G283">
        <v>-387.7636</v>
      </c>
      <c r="H283" s="1">
        <v>-1.0527309999999999E-6</v>
      </c>
      <c r="I283">
        <v>368.99040000000002</v>
      </c>
      <c r="J283">
        <v>-414.90460000000002</v>
      </c>
      <c r="K283">
        <v>1.071126</v>
      </c>
      <c r="L283">
        <v>367.82080000000002</v>
      </c>
      <c r="M283">
        <v>0.99989170000000005</v>
      </c>
      <c r="N283">
        <v>-1.112527E-2</v>
      </c>
      <c r="O283">
        <v>9.6339230000000008E-3</v>
      </c>
      <c r="P283">
        <v>0.98920540000000001</v>
      </c>
      <c r="Q283">
        <v>0.1461269</v>
      </c>
      <c r="R283">
        <v>1.0943909999999999E-2</v>
      </c>
      <c r="S283">
        <v>3.0494379999999999</v>
      </c>
      <c r="T283">
        <v>-0.1191701</v>
      </c>
      <c r="U283">
        <v>0.1304321</v>
      </c>
      <c r="V283">
        <v>-1.4347029999999901E-3</v>
      </c>
      <c r="W283">
        <v>0.15712379999999901</v>
      </c>
      <c r="X283">
        <v>0.98757790000000001</v>
      </c>
      <c r="Y283">
        <v>-3.3077099999999998E-2</v>
      </c>
      <c r="Z283">
        <v>5.609136E-4</v>
      </c>
      <c r="AA283">
        <v>0.99945269999999997</v>
      </c>
      <c r="AB283">
        <v>27</v>
      </c>
      <c r="AC283">
        <v>27.140999999999998</v>
      </c>
      <c r="AD283">
        <v>-1.071127052731</v>
      </c>
      <c r="AE283">
        <v>1.1696</v>
      </c>
      <c r="AF283">
        <v>-0.90664573704847096</v>
      </c>
      <c r="AG283">
        <v>-1.071127052731</v>
      </c>
      <c r="AH283">
        <v>27.108864826523</v>
      </c>
      <c r="AI283">
        <v>92.261434083686694</v>
      </c>
      <c r="AJ283">
        <v>91.915521703444199</v>
      </c>
      <c r="AK283">
        <v>27.1451629547199</v>
      </c>
      <c r="AL283">
        <v>80.960009732879001</v>
      </c>
      <c r="AM283">
        <v>90.0832363390533</v>
      </c>
      <c r="AN283">
        <v>1.0000000277337699</v>
      </c>
    </row>
    <row r="284" spans="1:40" x14ac:dyDescent="0.25">
      <c r="A284" t="str">
        <f>"20190303162749147"</f>
        <v>20190303162749147</v>
      </c>
      <c r="B284" t="str">
        <f>"1551601669141700"</f>
        <v>1551601669141700</v>
      </c>
      <c r="C284" t="s">
        <v>40</v>
      </c>
      <c r="D284">
        <v>4.8436909999999997</v>
      </c>
      <c r="E284">
        <v>0.48920249999999998</v>
      </c>
      <c r="F284" t="s">
        <v>41</v>
      </c>
      <c r="G284">
        <v>-388.42020000000002</v>
      </c>
      <c r="H284" s="1">
        <v>-7.8240859999999998E-7</v>
      </c>
      <c r="I284">
        <v>368.92649999999998</v>
      </c>
      <c r="J284">
        <v>-414.73770000000002</v>
      </c>
      <c r="K284">
        <v>1.0711200000000001</v>
      </c>
      <c r="L284">
        <v>367.82249999999999</v>
      </c>
      <c r="M284">
        <v>0.99988999999999995</v>
      </c>
      <c r="N284">
        <v>-1.1220920000000001E-2</v>
      </c>
      <c r="O284">
        <v>9.6929419999999995E-3</v>
      </c>
      <c r="P284">
        <v>0.98925459999999998</v>
      </c>
      <c r="Q284">
        <v>0.14580009999999999</v>
      </c>
      <c r="R284">
        <v>1.0849839999999999E-2</v>
      </c>
      <c r="S284">
        <v>3.0495909999999999</v>
      </c>
      <c r="T284">
        <v>-0.1233364</v>
      </c>
      <c r="U284">
        <v>0.1273193</v>
      </c>
      <c r="V284">
        <v>-1.2798200000000001E-3</v>
      </c>
      <c r="W284">
        <v>0.15689159999999999</v>
      </c>
      <c r="X284">
        <v>0.98761500000000002</v>
      </c>
      <c r="Y284">
        <v>-3.1996980000000001E-2</v>
      </c>
      <c r="Z284">
        <v>5.4321830000000004E-4</v>
      </c>
      <c r="AA284">
        <v>0.99948780000000004</v>
      </c>
      <c r="AB284">
        <v>27</v>
      </c>
      <c r="AC284">
        <v>26.3174999999999</v>
      </c>
      <c r="AD284">
        <v>-1.0711207824086</v>
      </c>
      <c r="AE284">
        <v>1.1039999999999801</v>
      </c>
      <c r="AF284">
        <v>-0.84743675142661401</v>
      </c>
      <c r="AG284">
        <v>-1.0711207824086</v>
      </c>
      <c r="AH284">
        <v>26.283503431989399</v>
      </c>
      <c r="AI284">
        <v>92.332449263993496</v>
      </c>
      <c r="AJ284">
        <v>91.846699577477196</v>
      </c>
      <c r="AK284">
        <v>26.318966572370901</v>
      </c>
      <c r="AL284">
        <v>80.973480639202506</v>
      </c>
      <c r="AM284">
        <v>90.074247802524496</v>
      </c>
      <c r="AN284">
        <v>1.0000000001573901</v>
      </c>
    </row>
    <row r="285" spans="1:40" x14ac:dyDescent="0.25">
      <c r="A285" t="str">
        <f>"20190303162749166"</f>
        <v>20190303162749166</v>
      </c>
      <c r="B285" t="str">
        <f>"1551601669162195"</f>
        <v>1551601669162195</v>
      </c>
      <c r="C285" t="s">
        <v>40</v>
      </c>
      <c r="D285">
        <v>4.712091</v>
      </c>
      <c r="E285">
        <v>0.48940319999999998</v>
      </c>
      <c r="F285" t="s">
        <v>41</v>
      </c>
      <c r="G285">
        <v>-388.65249999999997</v>
      </c>
      <c r="H285" s="1">
        <v>-6.8959279999999996E-7</v>
      </c>
      <c r="I285">
        <v>368.88799999999998</v>
      </c>
      <c r="J285">
        <v>-414.50920000000002</v>
      </c>
      <c r="K285">
        <v>1.0711250000000001</v>
      </c>
      <c r="L285">
        <v>367.82479999999998</v>
      </c>
      <c r="M285">
        <v>0.999888</v>
      </c>
      <c r="N285">
        <v>-1.1342110000000001E-2</v>
      </c>
      <c r="O285">
        <v>9.7745890000000002E-3</v>
      </c>
      <c r="P285">
        <v>0.98929880000000003</v>
      </c>
      <c r="Q285">
        <v>0.14550150000000001</v>
      </c>
      <c r="R285">
        <v>1.0835829999999999E-2</v>
      </c>
      <c r="S285">
        <v>3.0496829999999999</v>
      </c>
      <c r="T285">
        <v>-0.1252269</v>
      </c>
      <c r="U285">
        <v>0.1245728</v>
      </c>
      <c r="V285">
        <v>-1.1833130000000001E-3</v>
      </c>
      <c r="W285">
        <v>0.1567132</v>
      </c>
      <c r="X285">
        <v>0.98764350000000001</v>
      </c>
      <c r="Y285">
        <v>-3.1015709999999998E-2</v>
      </c>
      <c r="Z285">
        <v>5.2210869999999999E-4</v>
      </c>
      <c r="AA285">
        <v>0.99951880000000004</v>
      </c>
      <c r="AB285">
        <v>27</v>
      </c>
      <c r="AC285">
        <v>25.8567</v>
      </c>
      <c r="AD285">
        <v>-1.0711256895928001</v>
      </c>
      <c r="AE285">
        <v>1.0632000000000501</v>
      </c>
      <c r="AF285">
        <v>-0.80900838273762798</v>
      </c>
      <c r="AG285">
        <v>-1.0711256895928001</v>
      </c>
      <c r="AH285">
        <v>25.821620732639602</v>
      </c>
      <c r="AI285">
        <v>92.374202993107502</v>
      </c>
      <c r="AJ285">
        <v>91.794527483217706</v>
      </c>
      <c r="AK285">
        <v>25.856486653575502</v>
      </c>
      <c r="AL285">
        <v>80.983830731081099</v>
      </c>
      <c r="AM285">
        <v>90.068647045519498</v>
      </c>
      <c r="AN285">
        <v>1.0000000551880699</v>
      </c>
    </row>
    <row r="286" spans="1:40" x14ac:dyDescent="0.25">
      <c r="A286" t="str">
        <f>"20190303162749189"</f>
        <v>20190303162749189</v>
      </c>
      <c r="B286" t="str">
        <f>"1551601669181715"</f>
        <v>1551601669181715</v>
      </c>
      <c r="C286" t="s">
        <v>40</v>
      </c>
      <c r="D286">
        <v>4.7515029999999996</v>
      </c>
      <c r="E286">
        <v>0.48963119999999999</v>
      </c>
      <c r="F286" t="s">
        <v>41</v>
      </c>
      <c r="G286">
        <v>-388.7022</v>
      </c>
      <c r="H286" s="1">
        <v>-6.7139229999999996E-7</v>
      </c>
      <c r="I286">
        <v>368.87040000000002</v>
      </c>
      <c r="J286">
        <v>-414.23020000000002</v>
      </c>
      <c r="K286">
        <v>1.071137</v>
      </c>
      <c r="L286">
        <v>367.82760000000002</v>
      </c>
      <c r="M286">
        <v>0.99988540000000004</v>
      </c>
      <c r="N286">
        <v>-1.147336E-2</v>
      </c>
      <c r="O286">
        <v>9.8724959999999997E-3</v>
      </c>
      <c r="P286">
        <v>0.98937710000000001</v>
      </c>
      <c r="Q286">
        <v>0.14495829999999901</v>
      </c>
      <c r="R286">
        <v>1.095659E-2</v>
      </c>
      <c r="S286">
        <v>3.0496829999999999</v>
      </c>
      <c r="T286">
        <v>-0.12657739999999901</v>
      </c>
      <c r="U286">
        <v>0.1235657</v>
      </c>
      <c r="V286">
        <v>-1.2069400000000001E-3</v>
      </c>
      <c r="W286">
        <v>0.1563011</v>
      </c>
      <c r="X286">
        <v>0.9877087</v>
      </c>
      <c r="Y286">
        <v>-3.058818E-2</v>
      </c>
      <c r="Z286">
        <v>5.1370859999999997E-4</v>
      </c>
      <c r="AA286">
        <v>0.99953190000000003</v>
      </c>
      <c r="AB286">
        <v>27</v>
      </c>
      <c r="AC286">
        <v>25.527999999999999</v>
      </c>
      <c r="AD286">
        <v>-1.0711376713923</v>
      </c>
      <c r="AE286">
        <v>1.04279999999999</v>
      </c>
      <c r="AF286">
        <v>-0.78932014500360903</v>
      </c>
      <c r="AG286">
        <v>-1.0711376713923</v>
      </c>
      <c r="AH286">
        <v>25.492244966493299</v>
      </c>
      <c r="AI286">
        <v>92.404897735153796</v>
      </c>
      <c r="AJ286">
        <v>91.773491067614003</v>
      </c>
      <c r="AK286">
        <v>25.5269448942502</v>
      </c>
      <c r="AL286">
        <v>81.007736269108605</v>
      </c>
      <c r="AM286">
        <v>90.070013085544701</v>
      </c>
      <c r="AN286">
        <v>0.99999998331053097</v>
      </c>
    </row>
    <row r="287" spans="1:40" x14ac:dyDescent="0.25">
      <c r="A287" t="str">
        <f>"20190303162749210"</f>
        <v>20190303162749210</v>
      </c>
      <c r="B287" t="str">
        <f>"1551601669202212"</f>
        <v>1551601669202212</v>
      </c>
      <c r="C287" t="s">
        <v>40</v>
      </c>
      <c r="D287">
        <v>4.7515619999999998</v>
      </c>
      <c r="E287">
        <v>0.48988009999999899</v>
      </c>
      <c r="F287" t="s">
        <v>41</v>
      </c>
      <c r="G287">
        <v>-388.73829999999998</v>
      </c>
      <c r="H287" s="1">
        <v>-6.6001739999999899E-7</v>
      </c>
      <c r="I287">
        <v>368.84719999999999</v>
      </c>
      <c r="J287">
        <v>-413.97140000000002</v>
      </c>
      <c r="K287">
        <v>1.0711409999999999</v>
      </c>
      <c r="L287">
        <v>367.83030000000002</v>
      </c>
      <c r="M287">
        <v>0.99988350000000004</v>
      </c>
      <c r="N287">
        <v>-1.157585E-2</v>
      </c>
      <c r="O287">
        <v>9.9618339999999993E-3</v>
      </c>
      <c r="P287">
        <v>0.98937299999999995</v>
      </c>
      <c r="Q287">
        <v>0.14496199999999901</v>
      </c>
      <c r="R287">
        <v>1.128154E-2</v>
      </c>
      <c r="S287">
        <v>3.0495909999999999</v>
      </c>
      <c r="T287">
        <v>-0.1281397</v>
      </c>
      <c r="U287">
        <v>0.1219788</v>
      </c>
      <c r="V287">
        <v>-1.4447590000000001E-3</v>
      </c>
      <c r="W287">
        <v>0.15640560000000001</v>
      </c>
      <c r="X287">
        <v>0.98769189999999996</v>
      </c>
      <c r="Y287">
        <v>-2.9980819999999998E-2</v>
      </c>
      <c r="Z287">
        <v>5.0008680000000001E-4</v>
      </c>
      <c r="AA287">
        <v>0.9995503</v>
      </c>
      <c r="AB287">
        <v>27</v>
      </c>
      <c r="AC287">
        <v>25.2331</v>
      </c>
      <c r="AD287">
        <v>-1.0711416600174</v>
      </c>
      <c r="AE287">
        <v>1.0168999999999599</v>
      </c>
      <c r="AF287">
        <v>-0.76409011826968298</v>
      </c>
      <c r="AG287">
        <v>-1.0711416600174</v>
      </c>
      <c r="AH287">
        <v>25.1966481150641</v>
      </c>
      <c r="AI287">
        <v>92.433133832912901</v>
      </c>
      <c r="AJ287">
        <v>91.736966212132003</v>
      </c>
      <c r="AK287">
        <v>25.230978070598599</v>
      </c>
      <c r="AL287">
        <v>81.001674857363497</v>
      </c>
      <c r="AM287">
        <v>90.083810076881093</v>
      </c>
      <c r="AN287">
        <v>1.0000000441827599</v>
      </c>
    </row>
    <row r="288" spans="1:40" x14ac:dyDescent="0.25">
      <c r="A288" t="str">
        <f>"20190303162749234"</f>
        <v>20190303162749234</v>
      </c>
      <c r="B288" t="str">
        <f>"1551601669221732"</f>
        <v>1551601669221732</v>
      </c>
      <c r="C288" t="s">
        <v>40</v>
      </c>
      <c r="D288">
        <v>4.720148</v>
      </c>
      <c r="E288">
        <v>0.49006070000000002</v>
      </c>
      <c r="F288" t="s">
        <v>41</v>
      </c>
      <c r="G288">
        <v>-388.43700000000001</v>
      </c>
      <c r="H288" s="1">
        <v>-7.8975610000000004E-7</v>
      </c>
      <c r="I288">
        <v>368.84440000000001</v>
      </c>
      <c r="J288">
        <v>-413.7013</v>
      </c>
      <c r="K288">
        <v>1.0711389999999901</v>
      </c>
      <c r="L288">
        <v>367.8331</v>
      </c>
      <c r="M288">
        <v>0.99988160000000004</v>
      </c>
      <c r="N288">
        <v>-1.166117E-2</v>
      </c>
      <c r="O288">
        <v>1.0051589999999999E-2</v>
      </c>
      <c r="P288">
        <v>0.98944849999999995</v>
      </c>
      <c r="Q288">
        <v>0.1444144</v>
      </c>
      <c r="R288">
        <v>1.1669469999999999E-2</v>
      </c>
      <c r="S288">
        <v>3.0495909999999999</v>
      </c>
      <c r="T288">
        <v>-0.12792680000000001</v>
      </c>
      <c r="U288">
        <v>0.1211243</v>
      </c>
      <c r="V288">
        <v>-1.7430099999999999E-3</v>
      </c>
      <c r="W288">
        <v>0.1559431</v>
      </c>
      <c r="X288">
        <v>0.98776450000000005</v>
      </c>
      <c r="Y288">
        <v>-2.9611910000000002E-2</v>
      </c>
      <c r="Z288">
        <v>4.8926709999999997E-4</v>
      </c>
      <c r="AA288">
        <v>0.99956140000000004</v>
      </c>
      <c r="AB288">
        <v>27</v>
      </c>
      <c r="AC288">
        <v>25.264299999999999</v>
      </c>
      <c r="AD288">
        <v>-1.0711397897560999</v>
      </c>
      <c r="AE288">
        <v>1.0113000000000001</v>
      </c>
      <c r="AF288">
        <v>-0.75592864416876504</v>
      </c>
      <c r="AG288">
        <v>-1.0711397897560999</v>
      </c>
      <c r="AH288">
        <v>25.227913819417999</v>
      </c>
      <c r="AI288">
        <v>92.430144153213902</v>
      </c>
      <c r="AJ288">
        <v>91.716295922877407</v>
      </c>
      <c r="AK288">
        <v>25.261955669430201</v>
      </c>
      <c r="AL288">
        <v>81.028502935579994</v>
      </c>
      <c r="AM288">
        <v>90.101104071864597</v>
      </c>
      <c r="AN288">
        <v>0.99999999799086003</v>
      </c>
    </row>
    <row r="289" spans="1:40" x14ac:dyDescent="0.25">
      <c r="A289" t="str">
        <f>"20190303162749257"</f>
        <v>20190303162749257</v>
      </c>
      <c r="B289" t="str">
        <f>"1551601669251988"</f>
        <v>1551601669251988</v>
      </c>
      <c r="C289" t="s">
        <v>40</v>
      </c>
      <c r="D289">
        <v>4.6755979999999999</v>
      </c>
      <c r="E289">
        <v>0.49034610000000001</v>
      </c>
      <c r="F289" t="s">
        <v>41</v>
      </c>
      <c r="G289">
        <v>-388.5059</v>
      </c>
      <c r="H289" s="1">
        <v>-7.6259079999999999E-7</v>
      </c>
      <c r="I289">
        <v>368.83100000000002</v>
      </c>
      <c r="J289">
        <v>-413.42450000000002</v>
      </c>
      <c r="K289">
        <v>1.071137</v>
      </c>
      <c r="L289">
        <v>367.83600000000001</v>
      </c>
      <c r="M289">
        <v>0.99987979999999999</v>
      </c>
      <c r="N289">
        <v>-1.1730269999999999E-2</v>
      </c>
      <c r="O289">
        <v>1.0143900000000001E-2</v>
      </c>
      <c r="P289">
        <v>0.98950289999999996</v>
      </c>
      <c r="Q289">
        <v>0.1439695</v>
      </c>
      <c r="R289">
        <v>1.252637E-2</v>
      </c>
      <c r="S289">
        <v>3.0495299999999999</v>
      </c>
      <c r="T289">
        <v>-0.12964500000000001</v>
      </c>
      <c r="U289">
        <v>0.1207886</v>
      </c>
      <c r="V289">
        <v>-2.5071270000000001E-3</v>
      </c>
      <c r="W289">
        <v>0.15556729999999899</v>
      </c>
      <c r="X289">
        <v>0.98782210000000004</v>
      </c>
      <c r="Y289">
        <v>-2.9410140000000001E-2</v>
      </c>
      <c r="Z289">
        <v>4.8535739999999998E-4</v>
      </c>
      <c r="AA289">
        <v>0.99956730000000005</v>
      </c>
      <c r="AB289">
        <v>27</v>
      </c>
      <c r="AC289">
        <v>24.918600000000001</v>
      </c>
      <c r="AD289">
        <v>-1.0711377625908001</v>
      </c>
      <c r="AE289">
        <v>0.99499999999994704</v>
      </c>
      <c r="AF289">
        <v>-0.74079301292341304</v>
      </c>
      <c r="AG289">
        <v>-1.0711377625908001</v>
      </c>
      <c r="AH289">
        <v>24.881509976791801</v>
      </c>
      <c r="AI289">
        <v>92.463944927307196</v>
      </c>
      <c r="AJ289">
        <v>91.705353841248794</v>
      </c>
      <c r="AK289">
        <v>24.915570415297299</v>
      </c>
      <c r="AL289">
        <v>81.050300607402406</v>
      </c>
      <c r="AM289">
        <v>90.145418377826203</v>
      </c>
      <c r="AN289">
        <v>0.99999998588174699</v>
      </c>
    </row>
    <row r="290" spans="1:40" x14ac:dyDescent="0.25">
      <c r="A290" t="str">
        <f>"20190303162749278"</f>
        <v>20190303162749278</v>
      </c>
      <c r="B290" t="str">
        <f>"1551601669271508"</f>
        <v>1551601669271508</v>
      </c>
      <c r="C290" t="s">
        <v>40</v>
      </c>
      <c r="D290">
        <v>4.6670669999999896</v>
      </c>
      <c r="E290">
        <v>0.49055029999999999</v>
      </c>
      <c r="F290" t="s">
        <v>41</v>
      </c>
      <c r="G290">
        <v>-388.4794</v>
      </c>
      <c r="H290" s="1">
        <v>-7.749005E-7</v>
      </c>
      <c r="I290">
        <v>368.82549999999998</v>
      </c>
      <c r="J290">
        <v>-413.17149999999998</v>
      </c>
      <c r="K290">
        <v>1.071132</v>
      </c>
      <c r="L290">
        <v>367.83859999999999</v>
      </c>
      <c r="M290">
        <v>0.9998785</v>
      </c>
      <c r="N290">
        <v>-1.178163E-2</v>
      </c>
      <c r="O290">
        <v>1.022692E-2</v>
      </c>
      <c r="P290">
        <v>0.98953440000000004</v>
      </c>
      <c r="Q290">
        <v>0.1436076</v>
      </c>
      <c r="R290">
        <v>1.4096849999999999E-2</v>
      </c>
      <c r="S290">
        <v>3.049347</v>
      </c>
      <c r="T290">
        <v>-0.1309382</v>
      </c>
      <c r="U290">
        <v>0.1209717</v>
      </c>
      <c r="V290">
        <v>-3.9938930000000001E-3</v>
      </c>
      <c r="W290">
        <v>0.15525639999999999</v>
      </c>
      <c r="X290">
        <v>0.98786620000000003</v>
      </c>
      <c r="Y290">
        <v>-2.938897E-2</v>
      </c>
      <c r="Z290">
        <v>4.85415E-4</v>
      </c>
      <c r="AA290">
        <v>0.99956789999999995</v>
      </c>
      <c r="AB290">
        <v>27</v>
      </c>
      <c r="AC290">
        <v>24.6920999999999</v>
      </c>
      <c r="AD290">
        <v>-1.0711327749005</v>
      </c>
      <c r="AE290">
        <v>0.98689999999999101</v>
      </c>
      <c r="AF290">
        <v>-0.73292975612993105</v>
      </c>
      <c r="AG290">
        <v>-1.0711327749005</v>
      </c>
      <c r="AH290">
        <v>24.6545814753649</v>
      </c>
      <c r="AI290">
        <v>92.486587262640199</v>
      </c>
      <c r="AJ290">
        <v>91.702783623993795</v>
      </c>
      <c r="AK290">
        <v>24.6887200797104</v>
      </c>
      <c r="AL290">
        <v>81.068333675508796</v>
      </c>
      <c r="AM290">
        <v>90.231642671796905</v>
      </c>
      <c r="AN290">
        <v>1.00000006501234</v>
      </c>
    </row>
    <row r="291" spans="1:40" x14ac:dyDescent="0.25">
      <c r="A291" t="str">
        <f>"20190303162749300"</f>
        <v>20190303162749300</v>
      </c>
      <c r="B291" t="str">
        <f>"1551601669292004"</f>
        <v>1551601669292004</v>
      </c>
      <c r="C291" t="s">
        <v>40</v>
      </c>
      <c r="D291">
        <v>4.6897760000000002</v>
      </c>
      <c r="E291">
        <v>0.49075370000000001</v>
      </c>
      <c r="F291" t="s">
        <v>41</v>
      </c>
      <c r="G291">
        <v>-388.4744</v>
      </c>
      <c r="H291" s="1">
        <v>-7.7487780000000003E-7</v>
      </c>
      <c r="I291">
        <v>368.83789999999999</v>
      </c>
      <c r="J291">
        <v>-412.89530000000002</v>
      </c>
      <c r="K291">
        <v>1.071123</v>
      </c>
      <c r="L291">
        <v>367.84160000000003</v>
      </c>
      <c r="M291">
        <v>0.99987700000000002</v>
      </c>
      <c r="N291">
        <v>-1.182834E-2</v>
      </c>
      <c r="O291">
        <v>1.03097E-2</v>
      </c>
      <c r="P291">
        <v>0.98956730000000004</v>
      </c>
      <c r="Q291">
        <v>0.1432599</v>
      </c>
      <c r="R291">
        <v>1.5271130000000001E-2</v>
      </c>
      <c r="S291">
        <v>3.0491640000000002</v>
      </c>
      <c r="T291">
        <v>-0.1322441</v>
      </c>
      <c r="U291">
        <v>0.1233826</v>
      </c>
      <c r="V291">
        <v>-5.083204E-3</v>
      </c>
      <c r="W291">
        <v>0.15495539999999999</v>
      </c>
      <c r="X291">
        <v>0.98790840000000002</v>
      </c>
      <c r="Y291">
        <v>-3.0096310000000001E-2</v>
      </c>
      <c r="Z291">
        <v>5.0540589999999999E-4</v>
      </c>
      <c r="AA291">
        <v>0.99954690000000002</v>
      </c>
      <c r="AB291">
        <v>27</v>
      </c>
      <c r="AC291">
        <v>24.4209</v>
      </c>
      <c r="AD291">
        <v>-1.0711237748778</v>
      </c>
      <c r="AE291">
        <v>0.99629999999996199</v>
      </c>
      <c r="AF291">
        <v>-0.74303024918568905</v>
      </c>
      <c r="AG291">
        <v>-1.0711237748778</v>
      </c>
      <c r="AH291">
        <v>24.383044475193898</v>
      </c>
      <c r="AI291">
        <v>92.514165936595703</v>
      </c>
      <c r="AJ291">
        <v>91.745447614070599</v>
      </c>
      <c r="AK291">
        <v>24.417867596733299</v>
      </c>
      <c r="AL291">
        <v>81.085790488384603</v>
      </c>
      <c r="AM291">
        <v>90.294808269029403</v>
      </c>
      <c r="AN291">
        <v>1.0000000108713101</v>
      </c>
    </row>
    <row r="292" spans="1:40" x14ac:dyDescent="0.25">
      <c r="A292" t="str">
        <f>"20190303162749322"</f>
        <v>20190303162749322</v>
      </c>
      <c r="B292" t="str">
        <f>"1551601669311524"</f>
        <v>1551601669311524</v>
      </c>
      <c r="C292" t="s">
        <v>40</v>
      </c>
      <c r="D292">
        <v>4.6336139999999997</v>
      </c>
      <c r="E292">
        <v>0.49741039999999997</v>
      </c>
      <c r="F292" t="s">
        <v>41</v>
      </c>
      <c r="G292">
        <v>-388.39350000000002</v>
      </c>
      <c r="H292" s="1">
        <v>-8.0811719999999997E-7</v>
      </c>
      <c r="I292">
        <v>368.846</v>
      </c>
      <c r="J292">
        <v>-412.64330000000001</v>
      </c>
      <c r="K292">
        <v>1.071107</v>
      </c>
      <c r="L292">
        <v>367.8442</v>
      </c>
      <c r="M292">
        <v>0.99987590000000004</v>
      </c>
      <c r="N292">
        <v>-1.1863719999999999E-2</v>
      </c>
      <c r="O292">
        <v>1.03689E-2</v>
      </c>
      <c r="P292">
        <v>0.98956549999999999</v>
      </c>
      <c r="Q292">
        <v>0.1430931</v>
      </c>
      <c r="R292">
        <v>1.6874090000000001E-2</v>
      </c>
      <c r="S292">
        <v>3.0489809999999999</v>
      </c>
      <c r="T292">
        <v>-0.133289299999999</v>
      </c>
      <c r="U292">
        <v>0.125</v>
      </c>
      <c r="V292">
        <v>-6.6237400000000004E-3</v>
      </c>
      <c r="W292">
        <v>0.15482389999999999</v>
      </c>
      <c r="X292">
        <v>0.98791989999999996</v>
      </c>
      <c r="Y292">
        <v>-3.0567939999999998E-2</v>
      </c>
      <c r="Z292">
        <v>5.1915399999999997E-4</v>
      </c>
      <c r="AA292">
        <v>0.99953259999999999</v>
      </c>
      <c r="AB292">
        <v>27</v>
      </c>
      <c r="AC292">
        <v>24.2498</v>
      </c>
      <c r="AD292">
        <v>-1.0711078081172001</v>
      </c>
      <c r="AE292">
        <v>1.0018</v>
      </c>
      <c r="AF292">
        <v>-0.74882625206152997</v>
      </c>
      <c r="AG292">
        <v>-1.0711078081172001</v>
      </c>
      <c r="AH292">
        <v>24.211728660216998</v>
      </c>
      <c r="AI292">
        <v>92.531859461013397</v>
      </c>
      <c r="AJ292">
        <v>91.771493149600602</v>
      </c>
      <c r="AK292">
        <v>24.246975428048</v>
      </c>
      <c r="AL292">
        <v>81.093417015150905</v>
      </c>
      <c r="AM292">
        <v>90.3841471964965</v>
      </c>
      <c r="AN292">
        <v>1.0000000213794</v>
      </c>
    </row>
    <row r="293" spans="1:40" x14ac:dyDescent="0.25">
      <c r="A293" t="str">
        <f>"20190303162749345"</f>
        <v>20190303162749345</v>
      </c>
      <c r="B293" t="str">
        <f>"1551601669332020"</f>
        <v>1551601669332020</v>
      </c>
      <c r="C293" t="s">
        <v>40</v>
      </c>
      <c r="D293">
        <v>4.6975339999999903</v>
      </c>
      <c r="E293">
        <v>0.4984286</v>
      </c>
      <c r="F293" t="s">
        <v>41</v>
      </c>
      <c r="G293">
        <v>-393.50170000000003</v>
      </c>
      <c r="H293" s="1">
        <v>-2.999092E-6</v>
      </c>
      <c r="I293">
        <v>368.32499999999999</v>
      </c>
      <c r="J293">
        <v>-412.3793</v>
      </c>
      <c r="K293">
        <v>1.0710949999999999</v>
      </c>
      <c r="L293">
        <v>367.84699999999998</v>
      </c>
      <c r="M293">
        <v>0.99987510000000002</v>
      </c>
      <c r="N293">
        <v>-1.189116E-2</v>
      </c>
      <c r="O293">
        <v>1.040846E-2</v>
      </c>
      <c r="P293">
        <v>0.98950850000000001</v>
      </c>
      <c r="Q293">
        <v>0.1434019</v>
      </c>
      <c r="R293">
        <v>1.7582110000000001E-2</v>
      </c>
      <c r="S293">
        <v>3.0550540000000002</v>
      </c>
      <c r="T293">
        <v>-0.17095160000000001</v>
      </c>
      <c r="U293">
        <v>7.6751710000000001E-2</v>
      </c>
      <c r="V293">
        <v>-7.2880389999999996E-3</v>
      </c>
      <c r="W293">
        <v>0.155159299999999</v>
      </c>
      <c r="X293">
        <v>0.98786260000000004</v>
      </c>
      <c r="Y293">
        <v>-1.4689900000000001E-2</v>
      </c>
      <c r="Z293" s="1">
        <v>3.988555E-5</v>
      </c>
      <c r="AA293">
        <v>0.99989209999999995</v>
      </c>
      <c r="AB293">
        <v>27</v>
      </c>
      <c r="AC293">
        <v>18.877599999999902</v>
      </c>
      <c r="AD293">
        <v>-1.071097999092</v>
      </c>
      <c r="AE293">
        <v>0.47800000000000797</v>
      </c>
      <c r="AF293">
        <v>-0.28057079110357502</v>
      </c>
      <c r="AG293">
        <v>-1.071097999092</v>
      </c>
      <c r="AH293">
        <v>18.821000761290801</v>
      </c>
      <c r="AI293">
        <v>93.256812719569893</v>
      </c>
      <c r="AJ293">
        <v>90.854063592854402</v>
      </c>
      <c r="AK293">
        <v>18.853541856876301</v>
      </c>
      <c r="AL293">
        <v>81.073964937361097</v>
      </c>
      <c r="AM293">
        <v>90.422696739270506</v>
      </c>
      <c r="AN293">
        <v>1.0000000201838499</v>
      </c>
    </row>
    <row r="294" spans="1:40" x14ac:dyDescent="0.25">
      <c r="A294" t="str">
        <f>"20190303162749358"</f>
        <v>20190303162749358</v>
      </c>
      <c r="B294" t="str">
        <f>"1551601669351540"</f>
        <v>1551601669351540</v>
      </c>
      <c r="C294" t="s">
        <v>40</v>
      </c>
      <c r="D294">
        <v>4.6931849999999997</v>
      </c>
      <c r="E294">
        <v>0.49779839999999997</v>
      </c>
      <c r="F294" t="s">
        <v>41</v>
      </c>
      <c r="G294">
        <v>-393.0419</v>
      </c>
      <c r="H294" s="1">
        <v>-3.2015390000000002E-6</v>
      </c>
      <c r="I294">
        <v>368.29590000000002</v>
      </c>
      <c r="J294">
        <v>-412.20030000000003</v>
      </c>
      <c r="K294">
        <v>1.071083</v>
      </c>
      <c r="L294">
        <v>367.84890000000001</v>
      </c>
      <c r="M294">
        <v>0.99987479999999995</v>
      </c>
      <c r="N294">
        <v>-1.190388E-2</v>
      </c>
      <c r="O294">
        <v>1.042385E-2</v>
      </c>
      <c r="P294">
        <v>0.9894887</v>
      </c>
      <c r="Q294">
        <v>0.1435052</v>
      </c>
      <c r="R294">
        <v>1.7846460000000001E-2</v>
      </c>
      <c r="S294">
        <v>3.0550839999999999</v>
      </c>
      <c r="T294">
        <v>-0.16922019999999999</v>
      </c>
      <c r="U294">
        <v>7.0922849999999996E-2</v>
      </c>
      <c r="V294">
        <v>-7.533316E-3</v>
      </c>
      <c r="W294">
        <v>0.15527569999999999</v>
      </c>
      <c r="X294">
        <v>0.98784240000000001</v>
      </c>
      <c r="Y294">
        <v>-1.277146E-2</v>
      </c>
      <c r="Z294" s="1">
        <v>-2.3342259999999999E-5</v>
      </c>
      <c r="AA294">
        <v>0.99991850000000004</v>
      </c>
      <c r="AB294">
        <v>27</v>
      </c>
      <c r="AC294">
        <v>19.1584</v>
      </c>
      <c r="AD294">
        <v>-1.0710862015389999</v>
      </c>
      <c r="AE294">
        <v>0.44700000000000201</v>
      </c>
      <c r="AF294">
        <v>-0.24648727388309899</v>
      </c>
      <c r="AG294">
        <v>-1.0710862015389999</v>
      </c>
      <c r="AH294">
        <v>19.102345380929499</v>
      </c>
      <c r="AI294">
        <v>93.209000412371196</v>
      </c>
      <c r="AJ294">
        <v>90.739275543532003</v>
      </c>
      <c r="AK294">
        <v>19.1339379292301</v>
      </c>
      <c r="AL294">
        <v>81.067213261085897</v>
      </c>
      <c r="AM294">
        <v>90.436930876366901</v>
      </c>
      <c r="AN294">
        <v>0.99999995054910096</v>
      </c>
    </row>
    <row r="295" spans="1:40" x14ac:dyDescent="0.25">
      <c r="A295" t="str">
        <f>"20190303162749378"</f>
        <v>20190303162749378</v>
      </c>
      <c r="B295" t="str">
        <f>"1551601669372036"</f>
        <v>1551601669372036</v>
      </c>
      <c r="C295" t="s">
        <v>40</v>
      </c>
      <c r="D295">
        <v>4.6833780000000003</v>
      </c>
      <c r="E295">
        <v>0.49820439999999999</v>
      </c>
      <c r="F295" t="s">
        <v>41</v>
      </c>
      <c r="G295">
        <v>-393.03129999999999</v>
      </c>
      <c r="H295" s="1">
        <v>-3.200211E-6</v>
      </c>
      <c r="I295">
        <v>368.32909999999998</v>
      </c>
      <c r="J295">
        <v>-411.97300000000001</v>
      </c>
      <c r="K295">
        <v>1.071072</v>
      </c>
      <c r="L295">
        <v>367.85129999999998</v>
      </c>
      <c r="M295">
        <v>0.99987459999999995</v>
      </c>
      <c r="N295">
        <v>-1.1916110000000001E-2</v>
      </c>
      <c r="O295">
        <v>1.043582E-2</v>
      </c>
      <c r="P295">
        <v>0.9895119</v>
      </c>
      <c r="Q295">
        <v>0.143361299999999</v>
      </c>
      <c r="R295">
        <v>1.771706E-2</v>
      </c>
      <c r="S295">
        <v>3.055237</v>
      </c>
      <c r="T295">
        <v>-0.1707129</v>
      </c>
      <c r="U295">
        <v>7.6538090000000003E-2</v>
      </c>
      <c r="V295">
        <v>-7.3874489999999999E-3</v>
      </c>
      <c r="W295">
        <v>0.1551438</v>
      </c>
      <c r="X295">
        <v>0.98786430000000003</v>
      </c>
      <c r="Y295">
        <v>-1.4591389999999999E-2</v>
      </c>
      <c r="Z295" s="1">
        <v>3.603892E-5</v>
      </c>
      <c r="AA295">
        <v>0.99989349999999999</v>
      </c>
      <c r="AB295">
        <v>27</v>
      </c>
      <c r="AC295">
        <v>18.941700000000001</v>
      </c>
      <c r="AD295">
        <v>-1.071075200211</v>
      </c>
      <c r="AE295">
        <v>0.477800000000002</v>
      </c>
      <c r="AF295">
        <v>-0.279195639174667</v>
      </c>
      <c r="AG295">
        <v>-1.071075200211</v>
      </c>
      <c r="AH295">
        <v>18.885308787792201</v>
      </c>
      <c r="AI295">
        <v>93.245683412028995</v>
      </c>
      <c r="AJ295">
        <v>90.846984643183205</v>
      </c>
      <c r="AK295">
        <v>18.9177176292411</v>
      </c>
      <c r="AL295">
        <v>81.074863943514003</v>
      </c>
      <c r="AM295">
        <v>90.428461438571603</v>
      </c>
      <c r="AN295">
        <v>1.00000002414782</v>
      </c>
    </row>
    <row r="296" spans="1:40" x14ac:dyDescent="0.25">
      <c r="A296" t="str">
        <f>"20190303162749402"</f>
        <v>20190303162749402</v>
      </c>
      <c r="B296" t="str">
        <f>"1551601669391556"</f>
        <v>1551601669391556</v>
      </c>
      <c r="C296" t="s">
        <v>40</v>
      </c>
      <c r="D296">
        <v>4.6448369999999999</v>
      </c>
      <c r="E296">
        <v>0.49828250000000002</v>
      </c>
      <c r="F296" t="s">
        <v>41</v>
      </c>
      <c r="G296">
        <v>-392.64339999999999</v>
      </c>
      <c r="H296" s="1">
        <v>-3.3695169999999999E-6</v>
      </c>
      <c r="I296">
        <v>368.31270000000001</v>
      </c>
      <c r="J296">
        <v>-411.69060000000002</v>
      </c>
      <c r="K296">
        <v>1.071061</v>
      </c>
      <c r="L296">
        <v>367.85430000000002</v>
      </c>
      <c r="M296">
        <v>0.99987440000000005</v>
      </c>
      <c r="N296">
        <v>-1.1926569999999999E-2</v>
      </c>
      <c r="O296">
        <v>1.0440970000000001E-2</v>
      </c>
      <c r="P296">
        <v>0.98954129999999996</v>
      </c>
      <c r="Q296">
        <v>0.14321729999999899</v>
      </c>
      <c r="R296">
        <v>1.7236990000000001E-2</v>
      </c>
      <c r="S296">
        <v>3.0550229999999998</v>
      </c>
      <c r="T296">
        <v>-0.1692816</v>
      </c>
      <c r="U296">
        <v>7.2937009999999997E-2</v>
      </c>
      <c r="V296">
        <v>-6.897701E-3</v>
      </c>
      <c r="W296">
        <v>0.15501099999999901</v>
      </c>
      <c r="X296">
        <v>0.98788869999999895</v>
      </c>
      <c r="Y296">
        <v>-1.3412469999999999E-2</v>
      </c>
      <c r="Z296" s="1">
        <v>-2.2176249999999998E-6</v>
      </c>
      <c r="AA296">
        <v>0.99991010000000002</v>
      </c>
      <c r="AB296">
        <v>27</v>
      </c>
      <c r="AC296">
        <v>19.0472</v>
      </c>
      <c r="AD296">
        <v>-1.0710643695169999</v>
      </c>
      <c r="AE296">
        <v>0.45839999999998299</v>
      </c>
      <c r="AF296">
        <v>-0.258672166607396</v>
      </c>
      <c r="AG296">
        <v>-1.0710643695169999</v>
      </c>
      <c r="AH296">
        <v>18.990932565584799</v>
      </c>
      <c r="AI296">
        <v>93.227690457840794</v>
      </c>
      <c r="AJ296">
        <v>90.780367521251506</v>
      </c>
      <c r="AK296">
        <v>19.022870705653698</v>
      </c>
      <c r="AL296">
        <v>81.082566106337794</v>
      </c>
      <c r="AM296">
        <v>90.400047832731502</v>
      </c>
      <c r="AN296">
        <v>1.0000000359938801</v>
      </c>
    </row>
    <row r="297" spans="1:40" x14ac:dyDescent="0.25">
      <c r="A297" t="str">
        <f>"20190303162749434"</f>
        <v>20190303162749434</v>
      </c>
      <c r="B297" t="str">
        <f>"1551601669421811"</f>
        <v>1551601669421811</v>
      </c>
      <c r="C297" t="s">
        <v>40</v>
      </c>
      <c r="D297">
        <v>4.7257800000000003</v>
      </c>
      <c r="E297">
        <v>0.49848589999999998</v>
      </c>
      <c r="F297" t="s">
        <v>41</v>
      </c>
      <c r="G297">
        <v>-392.75369999999998</v>
      </c>
      <c r="H297" s="1">
        <v>-3.3252989999999999E-6</v>
      </c>
      <c r="I297">
        <v>368.29509999999999</v>
      </c>
      <c r="J297">
        <v>-411.30790000000002</v>
      </c>
      <c r="K297">
        <v>1.071051</v>
      </c>
      <c r="L297">
        <v>367.85829999999999</v>
      </c>
      <c r="M297">
        <v>0.9998745</v>
      </c>
      <c r="N297">
        <v>-1.1935619999999999E-2</v>
      </c>
      <c r="O297">
        <v>1.043242E-2</v>
      </c>
      <c r="P297">
        <v>0.98968480000000003</v>
      </c>
      <c r="Q297">
        <v>0.14242389999999999</v>
      </c>
      <c r="R297">
        <v>1.5481180000000001E-2</v>
      </c>
      <c r="S297">
        <v>3.055542</v>
      </c>
      <c r="T297">
        <v>-0.17282020000000001</v>
      </c>
      <c r="U297">
        <v>7.1136469999999993E-2</v>
      </c>
      <c r="V297">
        <v>-5.1469209999999996E-3</v>
      </c>
      <c r="W297">
        <v>0.154228</v>
      </c>
      <c r="X297">
        <v>0.98802190000000001</v>
      </c>
      <c r="Y297">
        <v>-1.282877E-2</v>
      </c>
      <c r="Z297" s="1">
        <v>-2.594176E-5</v>
      </c>
      <c r="AA297">
        <v>0.99991770000000002</v>
      </c>
      <c r="AB297">
        <v>27</v>
      </c>
      <c r="AC297">
        <v>18.554200000000002</v>
      </c>
      <c r="AD297">
        <v>-1.0710543252989999</v>
      </c>
      <c r="AE297">
        <v>0.43680000000000502</v>
      </c>
      <c r="AF297">
        <v>-0.242390001695651</v>
      </c>
      <c r="AG297">
        <v>-1.0710543252989999</v>
      </c>
      <c r="AH297">
        <v>18.496147573633898</v>
      </c>
      <c r="AI297">
        <v>93.313835310188793</v>
      </c>
      <c r="AJ297">
        <v>90.750811978064604</v>
      </c>
      <c r="AK297">
        <v>18.528717854895099</v>
      </c>
      <c r="AL297">
        <v>81.127974646146598</v>
      </c>
      <c r="AM297">
        <v>90.298469278152496</v>
      </c>
      <c r="AN297">
        <v>1.00000002082969</v>
      </c>
    </row>
    <row r="298" spans="1:40" x14ac:dyDescent="0.25">
      <c r="A298" t="str">
        <f>"20190303162749457"</f>
        <v>20190303162749457</v>
      </c>
      <c r="B298" t="str">
        <f>"1551601669452068"</f>
        <v>1551601669452068</v>
      </c>
      <c r="C298" t="s">
        <v>40</v>
      </c>
      <c r="D298">
        <v>4.8431739999999897</v>
      </c>
      <c r="E298">
        <v>0.49858760000000002</v>
      </c>
      <c r="F298" t="s">
        <v>41</v>
      </c>
      <c r="G298">
        <v>-392.64859999999999</v>
      </c>
      <c r="H298" s="1">
        <v>-3.3776769999999999E-6</v>
      </c>
      <c r="I298">
        <v>368.25409999999999</v>
      </c>
      <c r="J298">
        <v>-411.03059999999999</v>
      </c>
      <c r="K298">
        <v>1.071053</v>
      </c>
      <c r="L298">
        <v>367.86110000000002</v>
      </c>
      <c r="M298">
        <v>0.9998745</v>
      </c>
      <c r="N298">
        <v>-1.1939969999999999E-2</v>
      </c>
      <c r="O298">
        <v>1.041596E-2</v>
      </c>
      <c r="P298">
        <v>0.98967890000000003</v>
      </c>
      <c r="Q298">
        <v>0.14264260000000001</v>
      </c>
      <c r="R298">
        <v>1.373626E-2</v>
      </c>
      <c r="S298">
        <v>3.05545</v>
      </c>
      <c r="T298">
        <v>-0.1753837</v>
      </c>
      <c r="U298">
        <v>6.4819340000000003E-2</v>
      </c>
      <c r="V298">
        <v>-3.4172920000000002E-3</v>
      </c>
      <c r="W298">
        <v>0.15445029999999901</v>
      </c>
      <c r="X298">
        <v>0.9879947</v>
      </c>
      <c r="Y298">
        <v>-1.0783360000000001E-2</v>
      </c>
      <c r="Z298" s="1">
        <v>-9.9370400000000007E-5</v>
      </c>
      <c r="AA298">
        <v>0.99994179999999999</v>
      </c>
      <c r="AB298">
        <v>27</v>
      </c>
      <c r="AC298">
        <v>18.382000000000001</v>
      </c>
      <c r="AD298">
        <v>-1.0710563776769999</v>
      </c>
      <c r="AE298">
        <v>0.39299999999997198</v>
      </c>
      <c r="AF298">
        <v>-0.20081739571462201</v>
      </c>
      <c r="AG298">
        <v>-1.0710563776769999</v>
      </c>
      <c r="AH298">
        <v>18.3229186462031</v>
      </c>
      <c r="AI298">
        <v>93.345186752826095</v>
      </c>
      <c r="AJ298">
        <v>90.627930996414705</v>
      </c>
      <c r="AK298">
        <v>18.355294525176099</v>
      </c>
      <c r="AL298">
        <v>81.115083592469205</v>
      </c>
      <c r="AM298">
        <v>90.1981747758079</v>
      </c>
      <c r="AN298">
        <v>1.0000000501413899</v>
      </c>
    </row>
    <row r="299" spans="1:40" x14ac:dyDescent="0.25">
      <c r="A299" t="str">
        <f>"20190303162749480"</f>
        <v>20190303162749480</v>
      </c>
      <c r="B299" t="str">
        <f>"1551601669471588"</f>
        <v>1551601669471588</v>
      </c>
      <c r="C299" t="s">
        <v>40</v>
      </c>
      <c r="D299">
        <v>4.8632249999999999</v>
      </c>
      <c r="E299">
        <v>0.5225592</v>
      </c>
      <c r="F299" t="s">
        <v>41</v>
      </c>
      <c r="G299">
        <v>-392.40109999999999</v>
      </c>
      <c r="H299" s="1">
        <v>-3.4892290000000001E-6</v>
      </c>
      <c r="I299">
        <v>368.22370000000001</v>
      </c>
      <c r="J299">
        <v>-410.75279999999998</v>
      </c>
      <c r="K299">
        <v>1.0710519999999999</v>
      </c>
      <c r="L299">
        <v>367.86399999999998</v>
      </c>
      <c r="M299">
        <v>0.99987479999999995</v>
      </c>
      <c r="N299">
        <v>-1.194305E-2</v>
      </c>
      <c r="O299">
        <v>1.039341E-2</v>
      </c>
      <c r="P299">
        <v>0.9897376</v>
      </c>
      <c r="Q299">
        <v>0.1423992</v>
      </c>
      <c r="R299">
        <v>1.192695E-2</v>
      </c>
      <c r="S299">
        <v>3.0558169999999998</v>
      </c>
      <c r="T299">
        <v>-0.17568549999999999</v>
      </c>
      <c r="U299">
        <v>5.9478759999999999E-2</v>
      </c>
      <c r="V299">
        <v>-1.6280629999999999E-3</v>
      </c>
      <c r="W299">
        <v>0.1542105</v>
      </c>
      <c r="X299">
        <v>0.98803669999999999</v>
      </c>
      <c r="Y299">
        <v>-9.0598950000000001E-3</v>
      </c>
      <c r="Z299">
        <v>-1.585623E-4</v>
      </c>
      <c r="AA299">
        <v>0.99995889999999998</v>
      </c>
      <c r="AB299">
        <v>27</v>
      </c>
      <c r="AC299">
        <v>18.351699999999902</v>
      </c>
      <c r="AD299">
        <v>-1.0710554892290001</v>
      </c>
      <c r="AE299">
        <v>0.35969999999997498</v>
      </c>
      <c r="AF299">
        <v>-0.16835700926000299</v>
      </c>
      <c r="AG299">
        <v>-1.0710554892290001</v>
      </c>
      <c r="AH299">
        <v>18.29216439084</v>
      </c>
      <c r="AI299">
        <v>93.3508545567704</v>
      </c>
      <c r="AJ299">
        <v>90.527322711316401</v>
      </c>
      <c r="AK299">
        <v>18.324267571859099</v>
      </c>
      <c r="AL299">
        <v>81.128989497691194</v>
      </c>
      <c r="AM299">
        <v>90.094410515577906</v>
      </c>
      <c r="AN299">
        <v>1.00000002472313</v>
      </c>
    </row>
    <row r="300" spans="1:40" x14ac:dyDescent="0.25">
      <c r="A300" t="str">
        <f>"20190303162749500"</f>
        <v>20190303162749500</v>
      </c>
      <c r="B300" t="str">
        <f>"1551601669492084"</f>
        <v>1551601669492084</v>
      </c>
      <c r="C300" t="s">
        <v>40</v>
      </c>
      <c r="D300">
        <v>4.8674249999999999</v>
      </c>
      <c r="E300">
        <v>0.53682459999999999</v>
      </c>
      <c r="F300" t="s">
        <v>44</v>
      </c>
      <c r="G300">
        <v>-409.99790000000002</v>
      </c>
      <c r="H300">
        <v>0.96947240000000001</v>
      </c>
      <c r="I300">
        <v>367.83109999999999</v>
      </c>
      <c r="J300">
        <v>-410.50220000000002</v>
      </c>
      <c r="K300">
        <v>1.0710459999999999</v>
      </c>
      <c r="L300">
        <v>367.86649999999997</v>
      </c>
      <c r="M300">
        <v>0.99987490000000001</v>
      </c>
      <c r="N300">
        <v>-1.194508E-2</v>
      </c>
      <c r="O300">
        <v>1.036984E-2</v>
      </c>
      <c r="P300">
        <v>0.98981620000000003</v>
      </c>
      <c r="Q300">
        <v>0.14195839999999901</v>
      </c>
      <c r="R300">
        <v>1.0562490000000001E-2</v>
      </c>
      <c r="S300">
        <v>3.09259</v>
      </c>
      <c r="T300">
        <v>-0.41619119999999998</v>
      </c>
      <c r="U300">
        <v>-0.13403319999999999</v>
      </c>
      <c r="V300">
        <v>-2.8441140000000001E-4</v>
      </c>
      <c r="W300">
        <v>0.1537724</v>
      </c>
      <c r="X300">
        <v>0.98810629999999999</v>
      </c>
      <c r="Y300">
        <v>5.306019E-2</v>
      </c>
      <c r="Z300">
        <v>-5.1366729999999996E-3</v>
      </c>
      <c r="AA300">
        <v>0.99857810000000002</v>
      </c>
      <c r="AB300">
        <v>27</v>
      </c>
      <c r="AC300">
        <v>0.50429999999999997</v>
      </c>
      <c r="AD300">
        <v>-0.101573599999999</v>
      </c>
      <c r="AE300">
        <v>-3.5399999999981398E-2</v>
      </c>
      <c r="AF300">
        <v>3.9051505736792898E-2</v>
      </c>
      <c r="AG300">
        <v>-0.101573599999999</v>
      </c>
      <c r="AH300">
        <v>0.48435287506325703</v>
      </c>
      <c r="AI300">
        <v>101.80662721873399</v>
      </c>
      <c r="AJ300">
        <v>85.390433125280794</v>
      </c>
      <c r="AK300">
        <v>0.49642715870439003</v>
      </c>
      <c r="AL300">
        <v>81.154393985852295</v>
      </c>
      <c r="AM300">
        <v>90.016491719985297</v>
      </c>
      <c r="AN300">
        <v>1.00000004599564</v>
      </c>
    </row>
    <row r="301" spans="1:40" x14ac:dyDescent="0.25">
      <c r="A301" t="str">
        <f>"20190303162749523"</f>
        <v>20190303162749523</v>
      </c>
      <c r="B301" t="str">
        <f>"1551601669511604"</f>
        <v>1551601669511604</v>
      </c>
      <c r="C301" t="s">
        <v>40</v>
      </c>
      <c r="D301">
        <v>4.8204529999999997</v>
      </c>
      <c r="E301">
        <v>0.53570589999999996</v>
      </c>
      <c r="F301" t="s">
        <v>44</v>
      </c>
      <c r="G301">
        <v>-409.81209999999999</v>
      </c>
      <c r="H301">
        <v>0.85920350000000001</v>
      </c>
      <c r="I301">
        <v>367.81259999999997</v>
      </c>
      <c r="J301">
        <v>-410.24310000000003</v>
      </c>
      <c r="K301">
        <v>1.071042</v>
      </c>
      <c r="L301">
        <v>367.86919999999998</v>
      </c>
      <c r="M301">
        <v>0.99987519999999996</v>
      </c>
      <c r="N301">
        <v>-1.1946699999999999E-2</v>
      </c>
      <c r="O301">
        <v>1.0343069999999999E-2</v>
      </c>
      <c r="P301">
        <v>0.98990140000000004</v>
      </c>
      <c r="Q301">
        <v>0.1414165</v>
      </c>
      <c r="R301">
        <v>9.836058E-3</v>
      </c>
      <c r="S301">
        <v>3.173187</v>
      </c>
      <c r="T301">
        <v>-0.97412770000000004</v>
      </c>
      <c r="U301">
        <v>-0.24563599999999999</v>
      </c>
      <c r="V301">
        <v>4.178276E-4</v>
      </c>
      <c r="W301">
        <v>0.15323290000000001</v>
      </c>
      <c r="X301">
        <v>0.98819000000000001</v>
      </c>
      <c r="Y301">
        <v>8.308902E-2</v>
      </c>
      <c r="Z301">
        <v>-1.5936680000000002E-2</v>
      </c>
      <c r="AA301">
        <v>0.99641469999999999</v>
      </c>
      <c r="AB301">
        <v>27</v>
      </c>
      <c r="AC301">
        <v>0.43100000000004002</v>
      </c>
      <c r="AD301">
        <v>-0.21183850000000001</v>
      </c>
      <c r="AE301">
        <v>-5.6600000000003002E-2</v>
      </c>
      <c r="AF301">
        <v>4.9338242810146801E-2</v>
      </c>
      <c r="AG301">
        <v>-0.21183850000000001</v>
      </c>
      <c r="AH301">
        <v>0.34779635156277</v>
      </c>
      <c r="AI301">
        <v>121.092080003457</v>
      </c>
      <c r="AJ301">
        <v>81.925918720477696</v>
      </c>
      <c r="AK301">
        <v>0.41020984196654398</v>
      </c>
      <c r="AL301">
        <v>81.185675270961397</v>
      </c>
      <c r="AM301">
        <v>89.975774135927793</v>
      </c>
      <c r="AN301">
        <v>0.99999998616115604</v>
      </c>
    </row>
    <row r="302" spans="1:40" x14ac:dyDescent="0.25">
      <c r="A302" t="str">
        <f>"20190303162749545"</f>
        <v>20190303162749545</v>
      </c>
      <c r="B302" t="str">
        <f>"1551601669541860"</f>
        <v>1551601669541860</v>
      </c>
      <c r="C302" t="s">
        <v>40</v>
      </c>
      <c r="D302">
        <v>4.864922</v>
      </c>
      <c r="E302">
        <v>0.53489299999999995</v>
      </c>
      <c r="F302" t="s">
        <v>44</v>
      </c>
      <c r="G302">
        <v>-409.57409999999999</v>
      </c>
      <c r="H302">
        <v>0.85608549999999894</v>
      </c>
      <c r="I302">
        <v>367.81869999999998</v>
      </c>
      <c r="J302">
        <v>-409.97640000000001</v>
      </c>
      <c r="K302">
        <v>1.0710459999999999</v>
      </c>
      <c r="L302">
        <v>367.87189999999998</v>
      </c>
      <c r="M302">
        <v>0.99987539999999997</v>
      </c>
      <c r="N302">
        <v>-1.194797E-2</v>
      </c>
      <c r="O302">
        <v>1.0313869999999999E-2</v>
      </c>
      <c r="P302">
        <v>0.98998390000000003</v>
      </c>
      <c r="Q302">
        <v>0.14083560000000001</v>
      </c>
      <c r="R302">
        <v>9.8593220000000002E-3</v>
      </c>
      <c r="S302">
        <v>3.1789550000000002</v>
      </c>
      <c r="T302">
        <v>-1.021407</v>
      </c>
      <c r="U302">
        <v>-0.23831179999999999</v>
      </c>
      <c r="V302">
        <v>3.6767670000000002E-4</v>
      </c>
      <c r="W302">
        <v>0.1526547</v>
      </c>
      <c r="X302">
        <v>0.98827949999999998</v>
      </c>
      <c r="Y302">
        <v>8.0375039999999995E-2</v>
      </c>
      <c r="Z302">
        <v>-1.618031E-2</v>
      </c>
      <c r="AA302">
        <v>0.9966334</v>
      </c>
      <c r="AB302">
        <v>27</v>
      </c>
      <c r="AC302">
        <v>0.40230000000002503</v>
      </c>
      <c r="AD302">
        <v>-0.2149605</v>
      </c>
      <c r="AE302">
        <v>-5.3200000000003897E-2</v>
      </c>
      <c r="AF302">
        <v>4.4781133094317999E-2</v>
      </c>
      <c r="AG302">
        <v>-0.2149605</v>
      </c>
      <c r="AH302">
        <v>0.313704312102418</v>
      </c>
      <c r="AI302">
        <v>124.151247351588</v>
      </c>
      <c r="AJ302">
        <v>81.875941977186102</v>
      </c>
      <c r="AK302">
        <v>0.38291482326114301</v>
      </c>
      <c r="AL302">
        <v>81.219198048976196</v>
      </c>
      <c r="AM302">
        <v>89.978683841804497</v>
      </c>
      <c r="AN302">
        <v>0.99999998136924695</v>
      </c>
    </row>
    <row r="303" spans="1:40" x14ac:dyDescent="0.25">
      <c r="A303" t="str">
        <f>"20190303162749569"</f>
        <v>20190303162749569</v>
      </c>
      <c r="B303" t="str">
        <f>"1551601669562356"</f>
        <v>1551601669562356</v>
      </c>
      <c r="C303" t="s">
        <v>40</v>
      </c>
      <c r="D303">
        <v>4.9098230000000003</v>
      </c>
      <c r="E303">
        <v>0.53462270000000001</v>
      </c>
      <c r="F303" t="s">
        <v>44</v>
      </c>
      <c r="G303">
        <v>-409.12</v>
      </c>
      <c r="H303">
        <v>0.79544469999999901</v>
      </c>
      <c r="I303">
        <v>367.80939999999998</v>
      </c>
      <c r="J303">
        <v>-409.68259999999998</v>
      </c>
      <c r="K303">
        <v>1.0710489999999999</v>
      </c>
      <c r="L303">
        <v>367.87490000000003</v>
      </c>
      <c r="M303">
        <v>0.99987570000000003</v>
      </c>
      <c r="N303">
        <v>-1.194899E-2</v>
      </c>
      <c r="O303">
        <v>1.027928E-2</v>
      </c>
      <c r="P303">
        <v>0.98996830000000002</v>
      </c>
      <c r="Q303">
        <v>0.14089960000000001</v>
      </c>
      <c r="R303">
        <v>1.049953E-2</v>
      </c>
      <c r="S303">
        <v>3.178131</v>
      </c>
      <c r="T303">
        <v>-1.0227630000000001</v>
      </c>
      <c r="U303">
        <v>-0.23217769999999999</v>
      </c>
      <c r="V303">
        <v>-3.070781E-4</v>
      </c>
      <c r="W303">
        <v>0.1527192</v>
      </c>
      <c r="X303">
        <v>0.98826959999999997</v>
      </c>
      <c r="Y303">
        <v>7.8529509999999997E-2</v>
      </c>
      <c r="Z303">
        <v>-1.5894229999999999E-2</v>
      </c>
      <c r="AA303">
        <v>0.99678509999999998</v>
      </c>
      <c r="AB303">
        <v>27</v>
      </c>
      <c r="AC303">
        <v>0.56259999999997401</v>
      </c>
      <c r="AD303">
        <v>-0.27560429999999903</v>
      </c>
      <c r="AE303">
        <v>-6.5500000000042705E-2</v>
      </c>
      <c r="AF303">
        <v>5.7634090844248601E-2</v>
      </c>
      <c r="AG303">
        <v>-0.27560429999999903</v>
      </c>
      <c r="AH303">
        <v>0.45432638336254999</v>
      </c>
      <c r="AI303">
        <v>121.039484058749</v>
      </c>
      <c r="AJ303">
        <v>82.770294889435107</v>
      </c>
      <c r="AK303">
        <v>0.53450152593348899</v>
      </c>
      <c r="AL303">
        <v>81.215459013998597</v>
      </c>
      <c r="AM303">
        <v>90.017803116219099</v>
      </c>
      <c r="AN303">
        <v>1.00000002531487</v>
      </c>
    </row>
    <row r="304" spans="1:40" x14ac:dyDescent="0.25">
      <c r="A304" t="str">
        <f>"20190303162749590"</f>
        <v>20190303162749590</v>
      </c>
      <c r="B304" t="str">
        <f>"1551601669581876"</f>
        <v>1551601669581876</v>
      </c>
      <c r="C304" t="s">
        <v>40</v>
      </c>
      <c r="D304">
        <v>4.9241650000000003</v>
      </c>
      <c r="E304">
        <v>0.53439179999999997</v>
      </c>
      <c r="F304" t="s">
        <v>44</v>
      </c>
      <c r="G304">
        <v>-408.87419999999997</v>
      </c>
      <c r="H304">
        <v>0.8119904</v>
      </c>
      <c r="I304">
        <v>367.81650000000002</v>
      </c>
      <c r="J304">
        <v>-409.43540000000002</v>
      </c>
      <c r="K304">
        <v>1.07104</v>
      </c>
      <c r="L304">
        <v>367.87740000000002</v>
      </c>
      <c r="M304">
        <v>0.99987610000000005</v>
      </c>
      <c r="N304">
        <v>-1.194859E-2</v>
      </c>
      <c r="O304">
        <v>1.02482999999999E-2</v>
      </c>
      <c r="P304">
        <v>0.98990619999999996</v>
      </c>
      <c r="Q304">
        <v>0.1412582</v>
      </c>
      <c r="R304">
        <v>1.148744E-2</v>
      </c>
      <c r="S304">
        <v>3.1777340000000001</v>
      </c>
      <c r="T304">
        <v>-1.018281</v>
      </c>
      <c r="U304">
        <v>-0.2283936</v>
      </c>
      <c r="V304">
        <v>-1.3258320000000001E-3</v>
      </c>
      <c r="W304">
        <v>0.1530774</v>
      </c>
      <c r="X304">
        <v>0.98821329999999996</v>
      </c>
      <c r="Y304">
        <v>7.7422710000000006E-2</v>
      </c>
      <c r="Z304">
        <v>-1.564279E-2</v>
      </c>
      <c r="AA304">
        <v>0.99687559999999997</v>
      </c>
      <c r="AB304">
        <v>27</v>
      </c>
      <c r="AC304">
        <v>0.561200000000042</v>
      </c>
      <c r="AD304">
        <v>-0.25904959999999999</v>
      </c>
      <c r="AE304">
        <v>-6.0900000000003701E-2</v>
      </c>
      <c r="AF304">
        <v>5.5054422927372698E-2</v>
      </c>
      <c r="AG304">
        <v>-0.25904959999999999</v>
      </c>
      <c r="AH304">
        <v>0.46303411884582202</v>
      </c>
      <c r="AI304">
        <v>119.054274528926</v>
      </c>
      <c r="AJ304">
        <v>83.219406053616595</v>
      </c>
      <c r="AK304">
        <v>0.53342129687457396</v>
      </c>
      <c r="AL304">
        <v>81.194691142289599</v>
      </c>
      <c r="AM304">
        <v>90.076870582863407</v>
      </c>
      <c r="AN304">
        <v>0.99999998725907102</v>
      </c>
    </row>
    <row r="305" spans="1:40" x14ac:dyDescent="0.25">
      <c r="A305" t="str">
        <f>"20190303162749612"</f>
        <v>20190303162749612</v>
      </c>
      <c r="B305" t="str">
        <f>"1551601669602372"</f>
        <v>1551601669602372</v>
      </c>
      <c r="C305" t="s">
        <v>40</v>
      </c>
      <c r="D305">
        <v>4.948442</v>
      </c>
      <c r="E305">
        <v>0.53427309999999995</v>
      </c>
      <c r="F305" t="s">
        <v>44</v>
      </c>
      <c r="G305">
        <v>-408.63380000000001</v>
      </c>
      <c r="H305">
        <v>0.81475679999999995</v>
      </c>
      <c r="I305">
        <v>367.82089999999999</v>
      </c>
      <c r="J305">
        <v>-409.17020000000002</v>
      </c>
      <c r="K305">
        <v>1.0710459999999999</v>
      </c>
      <c r="L305">
        <v>367.88010000000003</v>
      </c>
      <c r="M305">
        <v>0.9998766</v>
      </c>
      <c r="N305">
        <v>-1.194397E-2</v>
      </c>
      <c r="O305">
        <v>1.0214249999999999E-2</v>
      </c>
      <c r="P305">
        <v>0.98986169999999996</v>
      </c>
      <c r="Q305">
        <v>0.1414637</v>
      </c>
      <c r="R305">
        <v>1.2726589999999999E-2</v>
      </c>
      <c r="S305">
        <v>3.1781619999999999</v>
      </c>
      <c r="T305">
        <v>-1.016011</v>
      </c>
      <c r="U305">
        <v>-0.22363279999999999</v>
      </c>
      <c r="V305">
        <v>-2.5994479999999999E-3</v>
      </c>
      <c r="W305">
        <v>0.15327760000000001</v>
      </c>
      <c r="X305">
        <v>0.98817969999999999</v>
      </c>
      <c r="Y305">
        <v>7.5988790000000001E-2</v>
      </c>
      <c r="Z305">
        <v>-1.536653E-2</v>
      </c>
      <c r="AA305">
        <v>0.9969903</v>
      </c>
      <c r="AB305">
        <v>27</v>
      </c>
      <c r="AC305">
        <v>0.53640000000001398</v>
      </c>
      <c r="AD305">
        <v>-0.256289199999999</v>
      </c>
      <c r="AE305">
        <v>-5.9200000000032497E-2</v>
      </c>
      <c r="AF305">
        <v>5.2773621085900703E-2</v>
      </c>
      <c r="AG305">
        <v>-0.256289199999999</v>
      </c>
      <c r="AH305">
        <v>0.43716805793862301</v>
      </c>
      <c r="AI305">
        <v>120.200399402587</v>
      </c>
      <c r="AJ305">
        <v>83.116731525867195</v>
      </c>
      <c r="AK305">
        <v>0.50949496562869501</v>
      </c>
      <c r="AL305">
        <v>81.183083207877601</v>
      </c>
      <c r="AM305">
        <v>90.150718594936293</v>
      </c>
      <c r="AN305">
        <v>0.999999949641876</v>
      </c>
    </row>
    <row r="306" spans="1:40" x14ac:dyDescent="0.25">
      <c r="A306" t="str">
        <f>"20190303162749635"</f>
        <v>20190303162749635</v>
      </c>
      <c r="B306" t="str">
        <f>"1551601669631652"</f>
        <v>1551601669631652</v>
      </c>
      <c r="C306" t="s">
        <v>40</v>
      </c>
      <c r="D306">
        <v>5.0590289999999998</v>
      </c>
      <c r="E306">
        <v>0.53413840000000001</v>
      </c>
      <c r="F306" t="s">
        <v>44</v>
      </c>
      <c r="G306">
        <v>-408.39139999999998</v>
      </c>
      <c r="H306">
        <v>0.82240590000000002</v>
      </c>
      <c r="I306">
        <v>367.82600000000002</v>
      </c>
      <c r="J306">
        <v>-408.90050000000002</v>
      </c>
      <c r="K306">
        <v>1.071048</v>
      </c>
      <c r="L306">
        <v>367.88279999999997</v>
      </c>
      <c r="M306">
        <v>0.99987709999999996</v>
      </c>
      <c r="N306">
        <v>-1.193548E-2</v>
      </c>
      <c r="O306">
        <v>1.0177210000000001E-2</v>
      </c>
      <c r="P306">
        <v>0.98978690000000003</v>
      </c>
      <c r="Q306">
        <v>0.1418838</v>
      </c>
      <c r="R306">
        <v>1.3824660000000001E-2</v>
      </c>
      <c r="S306">
        <v>3.1785890000000001</v>
      </c>
      <c r="T306">
        <v>-1.0148349999999999</v>
      </c>
      <c r="U306">
        <v>-0.21911620000000001</v>
      </c>
      <c r="V306">
        <v>-3.734799E-3</v>
      </c>
      <c r="W306">
        <v>0.15368899999999999</v>
      </c>
      <c r="X306">
        <v>0.9881122</v>
      </c>
      <c r="Y306">
        <v>7.4615459999999995E-2</v>
      </c>
      <c r="Z306">
        <v>-1.511524E-2</v>
      </c>
      <c r="AA306">
        <v>0.99709780000000003</v>
      </c>
      <c r="AB306">
        <v>27</v>
      </c>
      <c r="AC306">
        <v>0.50910000000004596</v>
      </c>
      <c r="AD306">
        <v>-0.24864209999999901</v>
      </c>
      <c r="AE306">
        <v>-5.6800000000009697E-2</v>
      </c>
      <c r="AF306">
        <v>5.0160872188002602E-2</v>
      </c>
      <c r="AG306">
        <v>-0.24864209999999901</v>
      </c>
      <c r="AH306">
        <v>0.41153818996896802</v>
      </c>
      <c r="AI306">
        <v>120.952757236642</v>
      </c>
      <c r="AJ306">
        <v>83.0507069938878</v>
      </c>
      <c r="AK306">
        <v>0.483428059584883</v>
      </c>
      <c r="AL306">
        <v>81.1592294283341</v>
      </c>
      <c r="AM306">
        <v>90.216561642493602</v>
      </c>
      <c r="AN306">
        <v>0.99999998861670503</v>
      </c>
    </row>
    <row r="307" spans="1:40" x14ac:dyDescent="0.25">
      <c r="A307" t="str">
        <f>"20190303162749658"</f>
        <v>20190303162749658</v>
      </c>
      <c r="B307" t="str">
        <f>"1551601669652148"</f>
        <v>1551601669652148</v>
      </c>
      <c r="C307" t="s">
        <v>40</v>
      </c>
      <c r="D307">
        <v>5.0362030000000004</v>
      </c>
      <c r="E307">
        <v>0.53451079999999995</v>
      </c>
      <c r="F307" t="s">
        <v>44</v>
      </c>
      <c r="G307">
        <v>-408.14819999999997</v>
      </c>
      <c r="H307">
        <v>0.8320651</v>
      </c>
      <c r="I307">
        <v>367.83190000000002</v>
      </c>
      <c r="J307">
        <v>-408.625</v>
      </c>
      <c r="K307">
        <v>1.07104</v>
      </c>
      <c r="L307">
        <v>367.88560000000001</v>
      </c>
      <c r="M307">
        <v>0.99987760000000003</v>
      </c>
      <c r="N307">
        <v>-1.1925160000000001E-2</v>
      </c>
      <c r="O307">
        <v>1.013346E-2</v>
      </c>
      <c r="P307">
        <v>0.98982020000000004</v>
      </c>
      <c r="Q307">
        <v>0.1416019</v>
      </c>
      <c r="R307">
        <v>1.431605E-2</v>
      </c>
      <c r="S307">
        <v>3.1786799999999999</v>
      </c>
      <c r="T307">
        <v>-1.0096860000000001</v>
      </c>
      <c r="U307">
        <v>-0.2140503</v>
      </c>
      <c r="V307">
        <v>-4.2674139999999998E-3</v>
      </c>
      <c r="W307">
        <v>0.15339729999999999</v>
      </c>
      <c r="X307">
        <v>0.98815540000000002</v>
      </c>
      <c r="Y307">
        <v>7.3108720000000002E-2</v>
      </c>
      <c r="Z307">
        <v>-1.478808E-2</v>
      </c>
      <c r="AA307">
        <v>0.9972143</v>
      </c>
      <c r="AB307">
        <v>27</v>
      </c>
      <c r="AC307">
        <v>0.47680000000002498</v>
      </c>
      <c r="AD307">
        <v>-0.23897489999999999</v>
      </c>
      <c r="AE307">
        <v>-5.3699999999991997E-2</v>
      </c>
      <c r="AF307">
        <v>4.6896133763928899E-2</v>
      </c>
      <c r="AG307">
        <v>-0.23897489999999999</v>
      </c>
      <c r="AH307">
        <v>0.38157705541110698</v>
      </c>
      <c r="AI307">
        <v>121.86529885598701</v>
      </c>
      <c r="AJ307">
        <v>82.993437756585493</v>
      </c>
      <c r="AK307">
        <v>0.45266908377779203</v>
      </c>
      <c r="AL307">
        <v>81.176143437469904</v>
      </c>
      <c r="AM307">
        <v>90.247434048982896</v>
      </c>
      <c r="AN307">
        <v>1.0000000185093401</v>
      </c>
    </row>
    <row r="308" spans="1:40" x14ac:dyDescent="0.25">
      <c r="A308" t="str">
        <f>"20190303162749682"</f>
        <v>20190303162749682</v>
      </c>
      <c r="B308" t="str">
        <f>"1551601669671668"</f>
        <v>1551601669671668</v>
      </c>
      <c r="C308" t="s">
        <v>40</v>
      </c>
      <c r="D308">
        <v>5.0407599999999997</v>
      </c>
      <c r="E308">
        <v>0.53486789999999995</v>
      </c>
      <c r="F308" t="s">
        <v>44</v>
      </c>
      <c r="G308">
        <v>-407.90480000000002</v>
      </c>
      <c r="H308">
        <v>0.84167230000000004</v>
      </c>
      <c r="I308">
        <v>367.83670000000001</v>
      </c>
      <c r="J308">
        <v>-408.33710000000002</v>
      </c>
      <c r="K308">
        <v>1.0710329999999999</v>
      </c>
      <c r="L308">
        <v>367.88850000000002</v>
      </c>
      <c r="M308">
        <v>0.9998783</v>
      </c>
      <c r="N308">
        <v>-1.1914340000000001E-2</v>
      </c>
      <c r="O308">
        <v>1.007571E-2</v>
      </c>
      <c r="P308">
        <v>0.98990009999999995</v>
      </c>
      <c r="Q308">
        <v>0.141048799999999</v>
      </c>
      <c r="R308">
        <v>1.4263959999999999E-2</v>
      </c>
      <c r="S308">
        <v>3.1787719999999999</v>
      </c>
      <c r="T308">
        <v>-1.0124949999999999</v>
      </c>
      <c r="U308">
        <v>-0.2142029</v>
      </c>
      <c r="V308">
        <v>-4.2682620000000001E-3</v>
      </c>
      <c r="W308">
        <v>0.15283469999999999</v>
      </c>
      <c r="X308">
        <v>0.98824259999999997</v>
      </c>
      <c r="Y308">
        <v>7.3078850000000001E-2</v>
      </c>
      <c r="Z308">
        <v>-1.480369E-2</v>
      </c>
      <c r="AA308">
        <v>0.99721630000000006</v>
      </c>
      <c r="AB308">
        <v>27</v>
      </c>
      <c r="AC308">
        <v>0.43229999999999702</v>
      </c>
      <c r="AD308">
        <v>-0.229360699999999</v>
      </c>
      <c r="AE308">
        <v>-5.1800000000014203E-2</v>
      </c>
      <c r="AF308">
        <v>4.3955407676151498E-2</v>
      </c>
      <c r="AG308">
        <v>-0.229360699999999</v>
      </c>
      <c r="AH308">
        <v>0.33796728628671202</v>
      </c>
      <c r="AI308">
        <v>123.939754535733</v>
      </c>
      <c r="AJ308">
        <v>82.589810239886603</v>
      </c>
      <c r="AK308">
        <v>0.41080444881776901</v>
      </c>
      <c r="AL308">
        <v>81.208762960967704</v>
      </c>
      <c r="AM308">
        <v>90.247461380261697</v>
      </c>
      <c r="AN308">
        <v>1.00000005001967</v>
      </c>
    </row>
    <row r="309" spans="1:40" x14ac:dyDescent="0.25">
      <c r="A309" t="str">
        <f>"20190303162749703"</f>
        <v>20190303162749703</v>
      </c>
      <c r="B309" t="str">
        <f>"1551601669692165"</f>
        <v>1551601669692165</v>
      </c>
      <c r="C309" t="s">
        <v>40</v>
      </c>
      <c r="D309">
        <v>5.0211180000000004</v>
      </c>
      <c r="E309">
        <v>0.53521700000000005</v>
      </c>
      <c r="F309" t="s">
        <v>44</v>
      </c>
      <c r="G309">
        <v>-407.65969999999999</v>
      </c>
      <c r="H309">
        <v>0.85423459999999996</v>
      </c>
      <c r="I309">
        <v>367.84140000000002</v>
      </c>
      <c r="J309">
        <v>-408.0831</v>
      </c>
      <c r="K309">
        <v>1.0710200000000001</v>
      </c>
      <c r="L309">
        <v>367.89089999999999</v>
      </c>
      <c r="M309">
        <v>0.99987919999999997</v>
      </c>
      <c r="N309">
        <v>-1.1905260000000001E-2</v>
      </c>
      <c r="O309">
        <v>1.0005780000000001E-2</v>
      </c>
      <c r="P309">
        <v>0.9898574</v>
      </c>
      <c r="Q309">
        <v>0.14136409999999999</v>
      </c>
      <c r="R309">
        <v>1.410872E-2</v>
      </c>
      <c r="S309">
        <v>3.1787109999999998</v>
      </c>
      <c r="T309">
        <v>-1.0172410000000001</v>
      </c>
      <c r="U309">
        <v>-0.2191467</v>
      </c>
      <c r="V309">
        <v>-4.1780560000000003E-3</v>
      </c>
      <c r="W309">
        <v>0.15314049999999901</v>
      </c>
      <c r="X309">
        <v>0.98819559999999995</v>
      </c>
      <c r="Y309">
        <v>7.4448840000000002E-2</v>
      </c>
      <c r="Z309">
        <v>-1.506879E-2</v>
      </c>
      <c r="AA309">
        <v>0.99711099999999997</v>
      </c>
      <c r="AB309">
        <v>27</v>
      </c>
      <c r="AC309">
        <v>0.42340000000001499</v>
      </c>
      <c r="AD309">
        <v>-0.21678539999999999</v>
      </c>
      <c r="AE309">
        <v>-4.94999999999663E-2</v>
      </c>
      <c r="AF309">
        <v>4.2692994719192301E-2</v>
      </c>
      <c r="AG309">
        <v>-0.21678539999999999</v>
      </c>
      <c r="AH309">
        <v>0.33598972611064498</v>
      </c>
      <c r="AI309">
        <v>122.62200041246101</v>
      </c>
      <c r="AJ309">
        <v>82.758440644577902</v>
      </c>
      <c r="AK309">
        <v>0.40212895631023499</v>
      </c>
      <c r="AL309">
        <v>81.191032812070304</v>
      </c>
      <c r="AM309">
        <v>90.242243083246294</v>
      </c>
      <c r="AN309">
        <v>1.0000000063757699</v>
      </c>
    </row>
    <row r="310" spans="1:40" x14ac:dyDescent="0.25">
      <c r="A310" t="str">
        <f>"20190303162749725"</f>
        <v>20190303162749725</v>
      </c>
      <c r="B310" t="str">
        <f>"1551601669722420"</f>
        <v>1551601669722420</v>
      </c>
      <c r="C310" t="s">
        <v>40</v>
      </c>
      <c r="D310">
        <v>4.995908</v>
      </c>
      <c r="E310">
        <v>0.53558729999999999</v>
      </c>
      <c r="F310" t="s">
        <v>44</v>
      </c>
      <c r="G310">
        <v>-407.41829999999999</v>
      </c>
      <c r="H310">
        <v>0.85821349999999996</v>
      </c>
      <c r="I310">
        <v>367.84379999999999</v>
      </c>
      <c r="J310">
        <v>-407.8279</v>
      </c>
      <c r="K310">
        <v>1.071007</v>
      </c>
      <c r="L310">
        <v>367.89339999999999</v>
      </c>
      <c r="M310">
        <v>0.99988030000000006</v>
      </c>
      <c r="N310">
        <v>-1.1896769999999999E-2</v>
      </c>
      <c r="O310">
        <v>9.9084629999999993E-3</v>
      </c>
      <c r="P310">
        <v>0.98973869999999997</v>
      </c>
      <c r="Q310">
        <v>0.14216819999999999</v>
      </c>
      <c r="R310">
        <v>1.43471E-2</v>
      </c>
      <c r="S310">
        <v>3.1792910000000001</v>
      </c>
      <c r="T310">
        <v>-1.017655</v>
      </c>
      <c r="U310">
        <v>-0.22381590000000001</v>
      </c>
      <c r="V310">
        <v>-4.5063969999999997E-3</v>
      </c>
      <c r="W310">
        <v>0.1539354</v>
      </c>
      <c r="X310">
        <v>0.98807069999999997</v>
      </c>
      <c r="Y310">
        <v>7.5733380000000003E-2</v>
      </c>
      <c r="Z310">
        <v>-1.524999E-2</v>
      </c>
      <c r="AA310">
        <v>0.99701150000000005</v>
      </c>
      <c r="AB310">
        <v>27</v>
      </c>
      <c r="AC310">
        <v>0.40960000000001101</v>
      </c>
      <c r="AD310">
        <v>-0.2127935</v>
      </c>
      <c r="AE310">
        <v>-4.9599999999998E-2</v>
      </c>
      <c r="AF310">
        <v>4.2382731387938299E-2</v>
      </c>
      <c r="AG310">
        <v>-0.2127935</v>
      </c>
      <c r="AH310">
        <v>0.323135678299458</v>
      </c>
      <c r="AI310">
        <v>123.141904364892</v>
      </c>
      <c r="AJ310">
        <v>82.527694452684202</v>
      </c>
      <c r="AK310">
        <v>0.38922234796090899</v>
      </c>
      <c r="AL310">
        <v>81.144942377225703</v>
      </c>
      <c r="AM310">
        <v>90.261313020093297</v>
      </c>
      <c r="AN310">
        <v>1.00000006159278</v>
      </c>
    </row>
    <row r="311" spans="1:40" x14ac:dyDescent="0.25">
      <c r="A311" t="str">
        <f>"20190303162749746"</f>
        <v>20190303162749746</v>
      </c>
      <c r="B311" t="str">
        <f>"1551601669741944"</f>
        <v>1551601669741944</v>
      </c>
      <c r="C311" t="s">
        <v>40</v>
      </c>
      <c r="D311">
        <v>5.0357279999999998</v>
      </c>
      <c r="E311">
        <v>0.53574290000000002</v>
      </c>
      <c r="F311" t="s">
        <v>44</v>
      </c>
      <c r="G311">
        <v>-406.96510000000001</v>
      </c>
      <c r="H311">
        <v>0.79491820000000002</v>
      </c>
      <c r="I311">
        <v>367.83150000000001</v>
      </c>
      <c r="J311">
        <v>-407.565</v>
      </c>
      <c r="K311">
        <v>1.0709839999999999</v>
      </c>
      <c r="L311">
        <v>367.89589999999998</v>
      </c>
      <c r="M311">
        <v>0.99988160000000004</v>
      </c>
      <c r="N311">
        <v>-1.1888889999999999E-2</v>
      </c>
      <c r="O311">
        <v>9.776135E-3</v>
      </c>
      <c r="P311">
        <v>0.98968920000000005</v>
      </c>
      <c r="Q311">
        <v>0.142474499999999</v>
      </c>
      <c r="R311">
        <v>1.47066E-2</v>
      </c>
      <c r="S311">
        <v>3.1806030000000001</v>
      </c>
      <c r="T311">
        <v>-1.01772</v>
      </c>
      <c r="U311">
        <v>-0.22686770000000001</v>
      </c>
      <c r="V311">
        <v>-4.9886189999999997E-3</v>
      </c>
      <c r="W311">
        <v>0.15423310000000001</v>
      </c>
      <c r="X311">
        <v>0.98802190000000001</v>
      </c>
      <c r="Y311">
        <v>7.6494580000000006E-2</v>
      </c>
      <c r="Z311">
        <v>-1.532796E-2</v>
      </c>
      <c r="AA311">
        <v>0.99695219999999996</v>
      </c>
      <c r="AB311">
        <v>27</v>
      </c>
      <c r="AC311">
        <v>0.599899999999991</v>
      </c>
      <c r="AD311">
        <v>-0.27606579999999897</v>
      </c>
      <c r="AE311">
        <v>-6.4399999999977794E-2</v>
      </c>
      <c r="AF311">
        <v>5.8098589722500302E-2</v>
      </c>
      <c r="AG311">
        <v>-0.27606579999999897</v>
      </c>
      <c r="AH311">
        <v>0.49550365925273798</v>
      </c>
      <c r="AI311">
        <v>118.957995435876</v>
      </c>
      <c r="AJ311">
        <v>83.312513825752802</v>
      </c>
      <c r="AK311">
        <v>0.57018562625713098</v>
      </c>
      <c r="AL311">
        <v>81.1276787589469</v>
      </c>
      <c r="AM311">
        <v>90.289289524289003</v>
      </c>
      <c r="AN311">
        <v>1.0000000051673701</v>
      </c>
    </row>
    <row r="312" spans="1:40" x14ac:dyDescent="0.25">
      <c r="A312" t="str">
        <f>"20190303162749770"</f>
        <v>20190303162749770</v>
      </c>
      <c r="B312" t="str">
        <f>"1551601669762440"</f>
        <v>1551601669762440</v>
      </c>
      <c r="C312" t="s">
        <v>40</v>
      </c>
      <c r="D312">
        <v>5.1030949999999997</v>
      </c>
      <c r="E312">
        <v>0.53572600000000004</v>
      </c>
      <c r="F312" t="s">
        <v>44</v>
      </c>
      <c r="G312">
        <v>-406.72280000000001</v>
      </c>
      <c r="H312">
        <v>0.80166179999999998</v>
      </c>
      <c r="I312">
        <v>367.83580000000001</v>
      </c>
      <c r="J312">
        <v>-407.27800000000002</v>
      </c>
      <c r="K312">
        <v>1.0709610000000001</v>
      </c>
      <c r="L312">
        <v>367.89850000000001</v>
      </c>
      <c r="M312">
        <v>0.99988339999999998</v>
      </c>
      <c r="N312">
        <v>-1.188139E-2</v>
      </c>
      <c r="O312">
        <v>9.5994919999999994E-3</v>
      </c>
      <c r="P312">
        <v>0.98960389999999998</v>
      </c>
      <c r="Q312">
        <v>0.14305019999999999</v>
      </c>
      <c r="R312">
        <v>1.4866829999999999E-2</v>
      </c>
      <c r="S312">
        <v>3.1810610000000001</v>
      </c>
      <c r="T312">
        <v>-1.0172669999999999</v>
      </c>
      <c r="U312">
        <v>-0.2267151</v>
      </c>
      <c r="V312">
        <v>-5.3146299999999999E-3</v>
      </c>
      <c r="W312">
        <v>0.15480089999999999</v>
      </c>
      <c r="X312">
        <v>0.98793140000000002</v>
      </c>
      <c r="Y312">
        <v>7.6284779999999996E-2</v>
      </c>
      <c r="Z312">
        <v>-1.523236E-2</v>
      </c>
      <c r="AA312">
        <v>0.99696969999999996</v>
      </c>
      <c r="AB312">
        <v>27</v>
      </c>
      <c r="AC312">
        <v>0.55520000000001302</v>
      </c>
      <c r="AD312">
        <v>-0.26929920000000002</v>
      </c>
      <c r="AE312">
        <v>-6.2700000000006598E-2</v>
      </c>
      <c r="AF312">
        <v>5.5202944176765301E-2</v>
      </c>
      <c r="AG312">
        <v>-0.26929920000000002</v>
      </c>
      <c r="AH312">
        <v>0.45002687002075198</v>
      </c>
      <c r="AI312">
        <v>120.70840687287701</v>
      </c>
      <c r="AJ312">
        <v>83.006698749046194</v>
      </c>
      <c r="AK312">
        <v>0.52734581434491201</v>
      </c>
      <c r="AL312">
        <v>81.094750775083199</v>
      </c>
      <c r="AM312">
        <v>90.308222748359597</v>
      </c>
      <c r="AN312">
        <v>1.0000000075194</v>
      </c>
    </row>
    <row r="313" spans="1:40" x14ac:dyDescent="0.25">
      <c r="A313" t="str">
        <f>"20190303162749791"</f>
        <v>20190303162749791</v>
      </c>
      <c r="B313" t="str">
        <f>"1551601669781961"</f>
        <v>1551601669781961</v>
      </c>
      <c r="C313" t="s">
        <v>40</v>
      </c>
      <c r="D313">
        <v>5.0227760000000004</v>
      </c>
      <c r="E313">
        <v>0.53098919999999905</v>
      </c>
      <c r="F313" t="s">
        <v>44</v>
      </c>
      <c r="G313">
        <v>-406.47770000000003</v>
      </c>
      <c r="H313">
        <v>0.81546680000000005</v>
      </c>
      <c r="I313">
        <v>367.84120000000001</v>
      </c>
      <c r="J313">
        <v>-407.02620000000002</v>
      </c>
      <c r="K313">
        <v>1.070943</v>
      </c>
      <c r="L313">
        <v>367.90069999999997</v>
      </c>
      <c r="M313">
        <v>0.99988509999999997</v>
      </c>
      <c r="N313">
        <v>-1.1875500000000001E-2</v>
      </c>
      <c r="O313">
        <v>9.4162910000000002E-3</v>
      </c>
      <c r="P313">
        <v>0.98946999999999996</v>
      </c>
      <c r="Q313">
        <v>0.14393329999999999</v>
      </c>
      <c r="R313">
        <v>1.523938E-2</v>
      </c>
      <c r="S313">
        <v>3.1817319999999998</v>
      </c>
      <c r="T313">
        <v>-1.0156289999999999</v>
      </c>
      <c r="U313">
        <v>-0.2256775</v>
      </c>
      <c r="V313">
        <v>-5.8612109999999999E-3</v>
      </c>
      <c r="W313">
        <v>0.15567700000000001</v>
      </c>
      <c r="X313">
        <v>0.98779059999999996</v>
      </c>
      <c r="Y313">
        <v>7.5811770000000001E-2</v>
      </c>
      <c r="Z313">
        <v>-1.5075140000000001E-2</v>
      </c>
      <c r="AA313">
        <v>0.99700820000000001</v>
      </c>
      <c r="AB313">
        <v>27</v>
      </c>
      <c r="AC313">
        <v>0.54849999999999</v>
      </c>
      <c r="AD313">
        <v>-0.25547619999999899</v>
      </c>
      <c r="AE313">
        <v>-5.9499999999957198E-2</v>
      </c>
      <c r="AF313">
        <v>5.32455973071655E-2</v>
      </c>
      <c r="AG313">
        <v>-0.25547619999999899</v>
      </c>
      <c r="AH313">
        <v>0.45117422426578602</v>
      </c>
      <c r="AI313">
        <v>119.350997757325</v>
      </c>
      <c r="AJ313">
        <v>83.269336435019099</v>
      </c>
      <c r="AK313">
        <v>0.52121143794133196</v>
      </c>
      <c r="AL313">
        <v>81.043937648123205</v>
      </c>
      <c r="AM313">
        <v>90.339969536024896</v>
      </c>
      <c r="AN313">
        <v>0.99999997578587296</v>
      </c>
    </row>
    <row r="314" spans="1:40" x14ac:dyDescent="0.25">
      <c r="A314" t="str">
        <f>"20190303162749813"</f>
        <v>20190303162749813</v>
      </c>
      <c r="B314" t="str">
        <f>"1551601669801480"</f>
        <v>1551601669801480</v>
      </c>
      <c r="C314" t="s">
        <v>40</v>
      </c>
      <c r="D314">
        <v>5.020416</v>
      </c>
      <c r="E314">
        <v>0.51078119999999905</v>
      </c>
      <c r="F314" t="s">
        <v>44</v>
      </c>
      <c r="G314">
        <v>-406.20060000000001</v>
      </c>
      <c r="H314">
        <v>0.89978799999999903</v>
      </c>
      <c r="I314">
        <v>367.85039999999998</v>
      </c>
      <c r="J314">
        <v>-406.76780000000002</v>
      </c>
      <c r="K314">
        <v>1.070929</v>
      </c>
      <c r="L314">
        <v>367.90300000000002</v>
      </c>
      <c r="M314">
        <v>0.99988739999999998</v>
      </c>
      <c r="N314">
        <v>-1.1870210000000001E-2</v>
      </c>
      <c r="O314">
        <v>9.1979320000000007E-3</v>
      </c>
      <c r="P314">
        <v>0.98942699999999995</v>
      </c>
      <c r="Q314">
        <v>0.14427970000000001</v>
      </c>
      <c r="R314">
        <v>1.477025E-2</v>
      </c>
      <c r="S314">
        <v>3.1292420000000001</v>
      </c>
      <c r="T314">
        <v>-0.64876889999999998</v>
      </c>
      <c r="U314">
        <v>-0.1903687</v>
      </c>
      <c r="V314">
        <v>-5.6009060000000001E-3</v>
      </c>
      <c r="W314">
        <v>0.15601799999999999</v>
      </c>
      <c r="X314">
        <v>0.98773829999999996</v>
      </c>
      <c r="Y314">
        <v>6.8198960000000003E-2</v>
      </c>
      <c r="Z314">
        <v>-9.1759879999999995E-3</v>
      </c>
      <c r="AA314">
        <v>0.99762949999999995</v>
      </c>
      <c r="AB314">
        <v>27</v>
      </c>
      <c r="AC314">
        <v>0.56720000000001303</v>
      </c>
      <c r="AD314">
        <v>-0.17114099999999999</v>
      </c>
      <c r="AE314">
        <v>-5.2600000000040802E-2</v>
      </c>
      <c r="AF314">
        <v>5.30286103078563E-2</v>
      </c>
      <c r="AG314">
        <v>-0.17114099999999999</v>
      </c>
      <c r="AH314">
        <v>0.51977495940617002</v>
      </c>
      <c r="AI314">
        <v>108.13670058515</v>
      </c>
      <c r="AJ314">
        <v>84.174710841760898</v>
      </c>
      <c r="AK314">
        <v>0.54978839912994504</v>
      </c>
      <c r="AL314">
        <v>81.024158031435903</v>
      </c>
      <c r="AM314">
        <v>90.324888521421698</v>
      </c>
      <c r="AN314">
        <v>0.999999967879454</v>
      </c>
    </row>
    <row r="315" spans="1:40" x14ac:dyDescent="0.25">
      <c r="A315" t="str">
        <f>"20190303162749836"</f>
        <v>20190303162749836</v>
      </c>
      <c r="B315" t="str">
        <f>"1551601669831737"</f>
        <v>1551601669831737</v>
      </c>
      <c r="C315" t="s">
        <v>40</v>
      </c>
      <c r="D315">
        <v>5.0257949999999996</v>
      </c>
      <c r="E315">
        <v>0.50877749999999999</v>
      </c>
      <c r="F315" t="s">
        <v>46</v>
      </c>
      <c r="G315">
        <v>-199.8707</v>
      </c>
      <c r="H315" s="1">
        <v>-9.482605E-6</v>
      </c>
      <c r="I315">
        <v>365.38139999999999</v>
      </c>
      <c r="J315">
        <v>-406.49380000000002</v>
      </c>
      <c r="K315">
        <v>1.0709120000000001</v>
      </c>
      <c r="L315">
        <v>367.90519999999998</v>
      </c>
      <c r="M315">
        <v>0.99988969999999999</v>
      </c>
      <c r="N315">
        <v>-1.186537E-2</v>
      </c>
      <c r="O315">
        <v>8.9348529999999995E-3</v>
      </c>
      <c r="P315">
        <v>0.98944149999999997</v>
      </c>
      <c r="Q315">
        <v>0.1442628</v>
      </c>
      <c r="R315">
        <v>1.3935009999999999E-2</v>
      </c>
      <c r="S315">
        <v>3.0349119999999998</v>
      </c>
      <c r="T315">
        <v>-1.5709279999999999E-2</v>
      </c>
      <c r="U315">
        <v>-3.6987300000000001E-2</v>
      </c>
      <c r="V315">
        <v>-5.0183069999999996E-3</v>
      </c>
      <c r="W315">
        <v>0.15599640000000001</v>
      </c>
      <c r="X315">
        <v>0.98774490000000004</v>
      </c>
      <c r="Y315">
        <v>2.1119570000000001E-2</v>
      </c>
      <c r="Z315">
        <v>-1.201956E-4</v>
      </c>
      <c r="AA315">
        <v>0.99977700000000003</v>
      </c>
      <c r="AB315">
        <v>27</v>
      </c>
      <c r="AC315">
        <v>206.62309999999999</v>
      </c>
      <c r="AD315">
        <v>-1.070921482605</v>
      </c>
      <c r="AE315">
        <v>-2.5237999999999898</v>
      </c>
      <c r="AF315">
        <v>4.3698588404697798</v>
      </c>
      <c r="AG315">
        <v>-1.070921482605</v>
      </c>
      <c r="AH315">
        <v>206.58675102854301</v>
      </c>
      <c r="AI315">
        <v>90.296945515860003</v>
      </c>
      <c r="AJ315">
        <v>88.788222694301993</v>
      </c>
      <c r="AK315">
        <v>206.63573805040801</v>
      </c>
      <c r="AL315">
        <v>81.025411467724794</v>
      </c>
      <c r="AM315">
        <v>90.291092707774794</v>
      </c>
      <c r="AN315">
        <v>1.0000000238470499</v>
      </c>
    </row>
    <row r="316" spans="1:40" x14ac:dyDescent="0.25">
      <c r="A316" t="str">
        <f>"20190303162749861"</f>
        <v>20190303162749861</v>
      </c>
      <c r="B316" t="str">
        <f>"1551601669852233"</f>
        <v>1551601669852233</v>
      </c>
      <c r="C316" t="s">
        <v>40</v>
      </c>
      <c r="D316">
        <v>5.0321680000000004</v>
      </c>
      <c r="E316">
        <v>0.50875809999999999</v>
      </c>
      <c r="F316" t="s">
        <v>43</v>
      </c>
      <c r="G316">
        <v>-158.19499999999999</v>
      </c>
      <c r="H316">
        <v>2.215049</v>
      </c>
      <c r="I316">
        <v>365.96730000000002</v>
      </c>
      <c r="J316">
        <v>-406.19600000000003</v>
      </c>
      <c r="K316">
        <v>1.070892</v>
      </c>
      <c r="L316">
        <v>367.90750000000003</v>
      </c>
      <c r="M316">
        <v>0.99989249999999996</v>
      </c>
      <c r="N316">
        <v>-1.186077E-2</v>
      </c>
      <c r="O316">
        <v>8.6176359999999997E-3</v>
      </c>
      <c r="P316">
        <v>0.9893573</v>
      </c>
      <c r="Q316">
        <v>0.1449366</v>
      </c>
      <c r="R316">
        <v>1.2869790000000001E-2</v>
      </c>
      <c r="S316">
        <v>3.0303040000000001</v>
      </c>
      <c r="T316">
        <v>1.396441E-2</v>
      </c>
      <c r="U316">
        <v>-2.3651120000000001E-2</v>
      </c>
      <c r="V316">
        <v>-4.2586079999999997E-3</v>
      </c>
      <c r="W316">
        <v>0.1566642</v>
      </c>
      <c r="X316">
        <v>0.98764280000000004</v>
      </c>
      <c r="Y316">
        <v>1.6421430000000001E-2</v>
      </c>
      <c r="Z316" s="1">
        <v>8.2370230000000002E-5</v>
      </c>
      <c r="AA316">
        <v>0.99986520000000001</v>
      </c>
      <c r="AB316">
        <v>27</v>
      </c>
      <c r="AC316">
        <v>248.001</v>
      </c>
      <c r="AD316">
        <v>1.1441569999999901</v>
      </c>
      <c r="AE316">
        <v>-1.9401999999999999</v>
      </c>
      <c r="AF316">
        <v>4.0773739043977804</v>
      </c>
      <c r="AG316">
        <v>1.1441569999999901</v>
      </c>
      <c r="AH316">
        <v>247.969791087917</v>
      </c>
      <c r="AI316">
        <v>89.735669246335704</v>
      </c>
      <c r="AJ316">
        <v>89.057968859496697</v>
      </c>
      <c r="AK316">
        <v>248.00595026204999</v>
      </c>
      <c r="AL316">
        <v>80.986673323677607</v>
      </c>
      <c r="AM316">
        <v>90.247051619101299</v>
      </c>
      <c r="AN316">
        <v>1.00000005384778</v>
      </c>
    </row>
    <row r="317" spans="1:40" x14ac:dyDescent="0.25">
      <c r="A317" t="str">
        <f>"20190303162749883"</f>
        <v>20190303162749883</v>
      </c>
      <c r="B317" t="str">
        <f>"1551601669871752"</f>
        <v>1551601669871752</v>
      </c>
      <c r="C317" t="s">
        <v>40</v>
      </c>
      <c r="D317">
        <v>5.0236660000000004</v>
      </c>
      <c r="E317">
        <v>0.50820580000000004</v>
      </c>
      <c r="F317" t="s">
        <v>43</v>
      </c>
      <c r="G317">
        <v>-158.19499999999999</v>
      </c>
      <c r="H317">
        <v>1.462626</v>
      </c>
      <c r="I317">
        <v>365.74579999999997</v>
      </c>
      <c r="J317">
        <v>-405.92899999999997</v>
      </c>
      <c r="K317">
        <v>1.0708799999999901</v>
      </c>
      <c r="L317">
        <v>367.90949999999998</v>
      </c>
      <c r="M317">
        <v>0.99989510000000004</v>
      </c>
      <c r="N317">
        <v>-1.1857380000000001E-2</v>
      </c>
      <c r="O317">
        <v>8.3115719999999997E-3</v>
      </c>
      <c r="P317">
        <v>0.98919140000000005</v>
      </c>
      <c r="Q317">
        <v>0.1461075</v>
      </c>
      <c r="R317">
        <v>1.2375260000000001E-2</v>
      </c>
      <c r="S317">
        <v>3.0319210000000001</v>
      </c>
      <c r="T317">
        <v>4.7901869999999996E-3</v>
      </c>
      <c r="U317">
        <v>-2.6428219999999999E-2</v>
      </c>
      <c r="V317">
        <v>-4.0609890000000001E-3</v>
      </c>
      <c r="W317">
        <v>0.15782969999999999</v>
      </c>
      <c r="X317">
        <v>0.98745799999999995</v>
      </c>
      <c r="Y317">
        <v>1.7027259999999999E-2</v>
      </c>
      <c r="Z317" s="1">
        <v>2.4182089999999999E-5</v>
      </c>
      <c r="AA317">
        <v>0.99985500000000005</v>
      </c>
      <c r="AB317">
        <v>27</v>
      </c>
      <c r="AC317">
        <v>247.73400000000001</v>
      </c>
      <c r="AD317">
        <v>0.39174599999999998</v>
      </c>
      <c r="AE317">
        <v>-2.1637</v>
      </c>
      <c r="AF317">
        <v>4.22281854786364</v>
      </c>
      <c r="AG317">
        <v>0.39174599999999998</v>
      </c>
      <c r="AH317">
        <v>247.70683726634499</v>
      </c>
      <c r="AI317">
        <v>89.909400510984099</v>
      </c>
      <c r="AJ317">
        <v>89.023336422420996</v>
      </c>
      <c r="AK317">
        <v>247.74313893610099</v>
      </c>
      <c r="AL317">
        <v>80.919053401249101</v>
      </c>
      <c r="AM317">
        <v>90.235631508972205</v>
      </c>
      <c r="AN317">
        <v>1.0000000037988701</v>
      </c>
    </row>
    <row r="318" spans="1:40" x14ac:dyDescent="0.25">
      <c r="A318" t="str">
        <f>"20190303162749902"</f>
        <v>20190303162749902</v>
      </c>
      <c r="B318" t="str">
        <f>"1551601669892249"</f>
        <v>1551601669892249</v>
      </c>
      <c r="C318" t="s">
        <v>40</v>
      </c>
      <c r="D318">
        <v>4.9714320000000001</v>
      </c>
      <c r="E318">
        <v>0.50816170000000005</v>
      </c>
      <c r="F318" t="s">
        <v>43</v>
      </c>
      <c r="G318">
        <v>-158.19499999999999</v>
      </c>
      <c r="H318">
        <v>1.004011</v>
      </c>
      <c r="I318">
        <v>365.96530000000001</v>
      </c>
      <c r="J318">
        <v>-405.69009999999997</v>
      </c>
      <c r="K318">
        <v>1.0708740000000001</v>
      </c>
      <c r="L318">
        <v>367.91109999999998</v>
      </c>
      <c r="M318">
        <v>0.99989760000000005</v>
      </c>
      <c r="N318">
        <v>-1.185479E-2</v>
      </c>
      <c r="O318">
        <v>8.024125E-3</v>
      </c>
      <c r="P318">
        <v>0.98900319999999997</v>
      </c>
      <c r="Q318">
        <v>0.14737020000000001</v>
      </c>
      <c r="R318">
        <v>1.244409E-2</v>
      </c>
      <c r="S318">
        <v>3.0332029999999999</v>
      </c>
      <c r="T318">
        <v>-8.1765649999999902E-4</v>
      </c>
      <c r="U318">
        <v>-2.3803709999999999E-2</v>
      </c>
      <c r="V318">
        <v>-4.4104039999999997E-3</v>
      </c>
      <c r="W318">
        <v>0.15908810000000001</v>
      </c>
      <c r="X318">
        <v>0.98725450000000003</v>
      </c>
      <c r="Y318">
        <v>1.5871099999999999E-2</v>
      </c>
      <c r="Z318" s="1">
        <v>-3.25498E-6</v>
      </c>
      <c r="AA318">
        <v>0.99987409999999999</v>
      </c>
      <c r="AB318">
        <v>27</v>
      </c>
      <c r="AC318">
        <v>247.49510000000001</v>
      </c>
      <c r="AD318">
        <v>-6.6862999999999895E-2</v>
      </c>
      <c r="AE318">
        <v>-1.94579999999996</v>
      </c>
      <c r="AF318">
        <v>3.9318081108220801</v>
      </c>
      <c r="AG318">
        <v>-6.6862999999999895E-2</v>
      </c>
      <c r="AH318">
        <v>247.47149857167199</v>
      </c>
      <c r="AI318">
        <v>90.015478486241406</v>
      </c>
      <c r="AJ318">
        <v>89.089765651420393</v>
      </c>
      <c r="AK318">
        <v>247.50273976461301</v>
      </c>
      <c r="AL318">
        <v>80.846029385199202</v>
      </c>
      <c r="AM318">
        <v>90.255958168969499</v>
      </c>
      <c r="AN318">
        <v>0.99999996149765003</v>
      </c>
    </row>
    <row r="319" spans="1:40" x14ac:dyDescent="0.25">
      <c r="A319" t="str">
        <f>"20190303162749925"</f>
        <v>20190303162749925</v>
      </c>
      <c r="B319" t="str">
        <f>"1551601669911769"</f>
        <v>1551601669911769</v>
      </c>
      <c r="C319" t="s">
        <v>40</v>
      </c>
      <c r="D319">
        <v>5.0453539999999997</v>
      </c>
      <c r="E319">
        <v>0.50809320000000002</v>
      </c>
      <c r="F319" t="s">
        <v>43</v>
      </c>
      <c r="G319">
        <v>-158.19499999999999</v>
      </c>
      <c r="H319">
        <v>0.72832819999999898</v>
      </c>
      <c r="I319">
        <v>366.01190000000003</v>
      </c>
      <c r="J319">
        <v>-405.42930000000001</v>
      </c>
      <c r="K319">
        <v>1.070864</v>
      </c>
      <c r="L319">
        <v>367.9128</v>
      </c>
      <c r="M319">
        <v>0.99990020000000002</v>
      </c>
      <c r="N319">
        <v>-1.1852349999999999E-2</v>
      </c>
      <c r="O319">
        <v>7.7011519999999898E-3</v>
      </c>
      <c r="P319">
        <v>0.98900659999999896</v>
      </c>
      <c r="Q319">
        <v>0.1473458</v>
      </c>
      <c r="R319">
        <v>1.246003E-2</v>
      </c>
      <c r="S319">
        <v>3.0343019999999998</v>
      </c>
      <c r="T319">
        <v>-4.198551E-3</v>
      </c>
      <c r="U319">
        <v>-2.3284909999999999E-2</v>
      </c>
      <c r="V319">
        <v>-4.7427800000000003E-3</v>
      </c>
      <c r="W319">
        <v>0.15906129999999999</v>
      </c>
      <c r="X319">
        <v>0.9872573</v>
      </c>
      <c r="Y319">
        <v>1.537435E-2</v>
      </c>
      <c r="Z319" s="1">
        <v>-2.1129509999999999E-5</v>
      </c>
      <c r="AA319">
        <v>0.99988180000000004</v>
      </c>
      <c r="AB319">
        <v>27</v>
      </c>
      <c r="AC319">
        <v>247.23429999999999</v>
      </c>
      <c r="AD319">
        <v>-0.3425358</v>
      </c>
      <c r="AE319">
        <v>-1.9008999999999701</v>
      </c>
      <c r="AF319">
        <v>3.80495880485454</v>
      </c>
      <c r="AG319">
        <v>-0.3425358</v>
      </c>
      <c r="AH319">
        <v>247.21185275977399</v>
      </c>
      <c r="AI319">
        <v>90.079379360852101</v>
      </c>
      <c r="AJ319">
        <v>89.1182021997394</v>
      </c>
      <c r="AK319">
        <v>247.24137029874501</v>
      </c>
      <c r="AL319">
        <v>80.847584922409396</v>
      </c>
      <c r="AM319">
        <v>90.275246571221899</v>
      </c>
      <c r="AN319">
        <v>0.99999998376155397</v>
      </c>
    </row>
    <row r="320" spans="1:40" x14ac:dyDescent="0.25">
      <c r="A320" t="str">
        <f>"20190303162749948"</f>
        <v>20190303162749948</v>
      </c>
      <c r="B320" t="str">
        <f>"1551601669941556"</f>
        <v>1551601669941556</v>
      </c>
      <c r="C320" t="s">
        <v>40</v>
      </c>
      <c r="D320">
        <v>5.0079739999999999</v>
      </c>
      <c r="E320">
        <v>0.50789680000000004</v>
      </c>
      <c r="F320" t="s">
        <v>43</v>
      </c>
      <c r="G320">
        <v>-158.19499999999999</v>
      </c>
      <c r="H320">
        <v>8.9840890000000007E-2</v>
      </c>
      <c r="I320">
        <v>366.11579999999998</v>
      </c>
      <c r="J320">
        <v>-405.14870000000002</v>
      </c>
      <c r="K320">
        <v>1.0708580000000001</v>
      </c>
      <c r="L320">
        <v>367.91460000000001</v>
      </c>
      <c r="M320">
        <v>0.99990290000000004</v>
      </c>
      <c r="N320">
        <v>-1.185014E-2</v>
      </c>
      <c r="O320">
        <v>7.34689099999999E-3</v>
      </c>
      <c r="P320">
        <v>0.98897299999999999</v>
      </c>
      <c r="Q320">
        <v>0.1475977</v>
      </c>
      <c r="R320">
        <v>1.214666E-2</v>
      </c>
      <c r="S320">
        <v>3.035431</v>
      </c>
      <c r="T320">
        <v>-1.2043480000000001E-2</v>
      </c>
      <c r="U320">
        <v>-2.2064210000000001E-2</v>
      </c>
      <c r="V320">
        <v>-4.7783640000000002E-3</v>
      </c>
      <c r="W320">
        <v>0.15931039999999999</v>
      </c>
      <c r="X320">
        <v>0.98721700000000001</v>
      </c>
      <c r="Y320">
        <v>1.4615029999999999E-2</v>
      </c>
      <c r="Z320" s="1">
        <v>-5.7678620000000002E-5</v>
      </c>
      <c r="AA320">
        <v>0.99989320000000004</v>
      </c>
      <c r="AB320">
        <v>27</v>
      </c>
      <c r="AC320">
        <v>246.9537</v>
      </c>
      <c r="AD320">
        <v>-0.98101711000000003</v>
      </c>
      <c r="AE320">
        <v>-1.7988000000000199</v>
      </c>
      <c r="AF320">
        <v>3.6131635582984201</v>
      </c>
      <c r="AG320">
        <v>-0.98101711000000003</v>
      </c>
      <c r="AH320">
        <v>246.929921092298</v>
      </c>
      <c r="AI320">
        <v>90.227602341144205</v>
      </c>
      <c r="AJ320">
        <v>89.161688267965104</v>
      </c>
      <c r="AK320">
        <v>246.958302707396</v>
      </c>
      <c r="AL320">
        <v>80.833128542028206</v>
      </c>
      <c r="AM320">
        <v>90.277322971724701</v>
      </c>
      <c r="AN320">
        <v>1.0000000206998301</v>
      </c>
    </row>
    <row r="321" spans="1:40" x14ac:dyDescent="0.25">
      <c r="A321" t="str">
        <f>"20190303162749960"</f>
        <v>20190303162749960</v>
      </c>
      <c r="B321" t="str">
        <f>"1551601669952292"</f>
        <v>1551601669952292</v>
      </c>
      <c r="C321" t="s">
        <v>40</v>
      </c>
      <c r="D321">
        <v>5.0116420000000002</v>
      </c>
      <c r="E321">
        <v>0.50793089999999996</v>
      </c>
      <c r="F321" t="s">
        <v>41</v>
      </c>
      <c r="G321">
        <v>-223.28299999999999</v>
      </c>
      <c r="H321" s="1">
        <v>-3.395663E-6</v>
      </c>
      <c r="I321">
        <v>366.61860000000001</v>
      </c>
      <c r="J321">
        <v>-404.99900000000002</v>
      </c>
      <c r="K321">
        <v>1.070859</v>
      </c>
      <c r="L321">
        <v>367.91550000000001</v>
      </c>
      <c r="M321">
        <v>0.99990420000000002</v>
      </c>
      <c r="N321">
        <v>-1.18491E-2</v>
      </c>
      <c r="O321">
        <v>7.1571109999999999E-3</v>
      </c>
      <c r="P321">
        <v>0.98897389999999996</v>
      </c>
      <c r="Q321">
        <v>0.1475862</v>
      </c>
      <c r="R321">
        <v>1.2206150000000001E-2</v>
      </c>
      <c r="S321">
        <v>3.0363769999999999</v>
      </c>
      <c r="T321">
        <v>-1.7878769999999999E-2</v>
      </c>
      <c r="U321">
        <v>-2.163696E-2</v>
      </c>
      <c r="V321">
        <v>-5.0250429999999999E-3</v>
      </c>
      <c r="W321">
        <v>0.1592981</v>
      </c>
      <c r="X321">
        <v>0.98721769999999998</v>
      </c>
      <c r="Y321">
        <v>1.4282110000000001E-2</v>
      </c>
      <c r="Z321" s="1">
        <v>-8.4001919999999994E-5</v>
      </c>
      <c r="AA321">
        <v>0.99989799999999995</v>
      </c>
      <c r="AB321">
        <v>27</v>
      </c>
      <c r="AC321">
        <v>181.71600000000001</v>
      </c>
      <c r="AD321">
        <v>-1.0708623956629999</v>
      </c>
      <c r="AE321">
        <v>-1.2968999999999899</v>
      </c>
      <c r="AF321">
        <v>2.59742944914403</v>
      </c>
      <c r="AG321">
        <v>-1.0708623956629999</v>
      </c>
      <c r="AH321">
        <v>181.695752819891</v>
      </c>
      <c r="AI321">
        <v>90.337646401527493</v>
      </c>
      <c r="AJ321">
        <v>89.180984661630305</v>
      </c>
      <c r="AK321">
        <v>181.71747295953901</v>
      </c>
      <c r="AL321">
        <v>80.833841848642905</v>
      </c>
      <c r="AM321">
        <v>90.291639087582993</v>
      </c>
      <c r="AN321">
        <v>0.99999996145702497</v>
      </c>
    </row>
    <row r="322" spans="1:40" x14ac:dyDescent="0.25">
      <c r="A322" t="str">
        <f>"20190303162749973"</f>
        <v>20190303162749973</v>
      </c>
      <c r="B322" t="str">
        <f>"1551601669962054"</f>
        <v>1551601669962054</v>
      </c>
      <c r="C322" t="s">
        <v>40</v>
      </c>
      <c r="D322">
        <v>5.0453839999999897</v>
      </c>
      <c r="E322">
        <v>0.50792879999999996</v>
      </c>
      <c r="F322" t="s">
        <v>41</v>
      </c>
      <c r="G322">
        <v>-245.88669999999999</v>
      </c>
      <c r="H322" s="1">
        <v>-2.4299260000000001E-6</v>
      </c>
      <c r="I322">
        <v>366.76900000000001</v>
      </c>
      <c r="J322">
        <v>-404.84280000000001</v>
      </c>
      <c r="K322">
        <v>1.0708569999999999</v>
      </c>
      <c r="L322">
        <v>367.91640000000001</v>
      </c>
      <c r="M322">
        <v>0.99990559999999995</v>
      </c>
      <c r="N322">
        <v>-1.184814E-2</v>
      </c>
      <c r="O322">
        <v>6.9587E-3</v>
      </c>
      <c r="P322">
        <v>0.98893390000000003</v>
      </c>
      <c r="Q322">
        <v>0.14787330000000001</v>
      </c>
      <c r="R322">
        <v>1.1975019999999999E-2</v>
      </c>
      <c r="S322">
        <v>3.036743</v>
      </c>
      <c r="T322">
        <v>-2.0437960000000002E-2</v>
      </c>
      <c r="U322">
        <v>-2.1881100000000001E-2</v>
      </c>
      <c r="V322">
        <v>-4.9904449999999996E-3</v>
      </c>
      <c r="W322">
        <v>0.1595839</v>
      </c>
      <c r="X322">
        <v>0.98717180000000004</v>
      </c>
      <c r="Y322">
        <v>1.416312E-2</v>
      </c>
      <c r="Z322" s="1">
        <v>-9.5951610000000005E-5</v>
      </c>
      <c r="AA322">
        <v>0.99989969999999995</v>
      </c>
      <c r="AB322">
        <v>27</v>
      </c>
      <c r="AC322">
        <v>158.95609999999999</v>
      </c>
      <c r="AD322">
        <v>-1.0708594299259999</v>
      </c>
      <c r="AE322">
        <v>-1.1474</v>
      </c>
      <c r="AF322">
        <v>2.25347540045887</v>
      </c>
      <c r="AG322">
        <v>-1.0708594299259999</v>
      </c>
      <c r="AH322">
        <v>158.93705288216501</v>
      </c>
      <c r="AI322">
        <v>90.385993262038497</v>
      </c>
      <c r="AJ322">
        <v>89.187691123472405</v>
      </c>
      <c r="AK322">
        <v>158.95663455850899</v>
      </c>
      <c r="AL322">
        <v>80.817255286432399</v>
      </c>
      <c r="AM322">
        <v>90.289644619785307</v>
      </c>
      <c r="AN322">
        <v>1.00000004419787</v>
      </c>
    </row>
    <row r="323" spans="1:40" x14ac:dyDescent="0.25">
      <c r="A323" t="str">
        <f>"20190303162749992"</f>
        <v>20190303162749992</v>
      </c>
      <c r="B323" t="str">
        <f>"1551601669981572"</f>
        <v>1551601669981572</v>
      </c>
      <c r="C323" t="s">
        <v>40</v>
      </c>
      <c r="D323">
        <v>5.0590190000000002</v>
      </c>
      <c r="E323">
        <v>0.50784989999999997</v>
      </c>
      <c r="F323" t="s">
        <v>41</v>
      </c>
      <c r="G323">
        <v>-253.16220000000001</v>
      </c>
      <c r="H323" s="1">
        <v>-3.4176039999999998E-6</v>
      </c>
      <c r="I323">
        <v>366.78699999999998</v>
      </c>
      <c r="J323">
        <v>-404.61950000000002</v>
      </c>
      <c r="K323">
        <v>1.0708519999999999</v>
      </c>
      <c r="L323">
        <v>367.91770000000002</v>
      </c>
      <c r="M323">
        <v>0.99990760000000001</v>
      </c>
      <c r="N323">
        <v>-1.184692E-2</v>
      </c>
      <c r="O323">
        <v>6.6757839999999997E-3</v>
      </c>
      <c r="P323">
        <v>0.9889947</v>
      </c>
      <c r="Q323">
        <v>0.14749670000000001</v>
      </c>
      <c r="R323">
        <v>1.15961E-2</v>
      </c>
      <c r="S323">
        <v>3.037048</v>
      </c>
      <c r="T323">
        <v>-2.1441459999999999E-2</v>
      </c>
      <c r="U323">
        <v>-2.261353E-2</v>
      </c>
      <c r="V323">
        <v>-4.8914259999999999E-3</v>
      </c>
      <c r="W323">
        <v>0.15920680000000001</v>
      </c>
      <c r="X323">
        <v>0.98723320000000003</v>
      </c>
      <c r="Y323">
        <v>1.4120570000000001E-2</v>
      </c>
      <c r="Z323">
        <v>-1.0153340000000001E-4</v>
      </c>
      <c r="AA323">
        <v>0.99990029999999996</v>
      </c>
      <c r="AB323">
        <v>27</v>
      </c>
      <c r="AC323">
        <v>151.4573</v>
      </c>
      <c r="AD323">
        <v>-1.0708554176039999</v>
      </c>
      <c r="AE323">
        <v>-1.13070000000004</v>
      </c>
      <c r="AF323">
        <v>2.1417348600009398</v>
      </c>
      <c r="AG323">
        <v>-1.0708554176039999</v>
      </c>
      <c r="AH323">
        <v>151.43880574962299</v>
      </c>
      <c r="AI323">
        <v>90.405103158910407</v>
      </c>
      <c r="AJ323">
        <v>89.189744086041699</v>
      </c>
      <c r="AK323">
        <v>151.457735511951</v>
      </c>
      <c r="AL323">
        <v>80.839141498036298</v>
      </c>
      <c r="AM323">
        <v>90.283880011627303</v>
      </c>
      <c r="AN323">
        <v>1.0000000611983899</v>
      </c>
    </row>
    <row r="324" spans="1:40" x14ac:dyDescent="0.25">
      <c r="A324" t="str">
        <f>"20190303162750013"</f>
        <v>20190303162750013</v>
      </c>
      <c r="B324" t="str">
        <f>"1551601670002068"</f>
        <v>1551601670002068</v>
      </c>
      <c r="C324" t="s">
        <v>40</v>
      </c>
      <c r="D324">
        <v>5.0606609999999996</v>
      </c>
      <c r="E324">
        <v>0.50784079999999998</v>
      </c>
      <c r="F324" t="s">
        <v>41</v>
      </c>
      <c r="G324">
        <v>-276.41680000000002</v>
      </c>
      <c r="H324" s="1">
        <v>-1.9981150000000002E-6</v>
      </c>
      <c r="I324">
        <v>366.91800000000001</v>
      </c>
      <c r="J324">
        <v>-404.35890000000001</v>
      </c>
      <c r="K324">
        <v>1.070851</v>
      </c>
      <c r="L324">
        <v>367.91910000000001</v>
      </c>
      <c r="M324">
        <v>0.99990979999999996</v>
      </c>
      <c r="N324">
        <v>-1.184573E-2</v>
      </c>
      <c r="O324">
        <v>6.3475169999999996E-3</v>
      </c>
      <c r="P324">
        <v>0.98906570000000005</v>
      </c>
      <c r="Q324">
        <v>0.1470341</v>
      </c>
      <c r="R324">
        <v>1.140943E-2</v>
      </c>
      <c r="S324">
        <v>3.0374150000000002</v>
      </c>
      <c r="T324">
        <v>-2.5370960000000001E-2</v>
      </c>
      <c r="U324">
        <v>-2.368164E-2</v>
      </c>
      <c r="V324">
        <v>-5.0297340000000001E-3</v>
      </c>
      <c r="W324">
        <v>0.158744</v>
      </c>
      <c r="X324">
        <v>0.98730700000000005</v>
      </c>
      <c r="Y324">
        <v>1.4142790000000001E-2</v>
      </c>
      <c r="Z324">
        <v>-1.206627E-4</v>
      </c>
      <c r="AA324">
        <v>0.99990000000000001</v>
      </c>
      <c r="AB324">
        <v>27</v>
      </c>
      <c r="AC324">
        <v>127.942099999999</v>
      </c>
      <c r="AD324">
        <v>-1.0708529981149999</v>
      </c>
      <c r="AE324">
        <v>-1.0011000000000001</v>
      </c>
      <c r="AF324">
        <v>1.81312437027489</v>
      </c>
      <c r="AG324">
        <v>-1.0708529981149999</v>
      </c>
      <c r="AH324">
        <v>127.924206162522</v>
      </c>
      <c r="AI324">
        <v>90.479563365565298</v>
      </c>
      <c r="AJ324">
        <v>89.187976835681596</v>
      </c>
      <c r="AK324">
        <v>127.94153613442801</v>
      </c>
      <c r="AL324">
        <v>80.865999298957902</v>
      </c>
      <c r="AM324">
        <v>90.291884932707305</v>
      </c>
      <c r="AN324">
        <v>1.0000000340045501</v>
      </c>
    </row>
    <row r="325" spans="1:40" x14ac:dyDescent="0.25">
      <c r="A325" t="str">
        <f>"20190303162750036"</f>
        <v>20190303162750036</v>
      </c>
      <c r="B325" t="str">
        <f>"1551601670032323"</f>
        <v>1551601670032323</v>
      </c>
      <c r="C325" t="s">
        <v>40</v>
      </c>
      <c r="D325">
        <v>5.1522220000000001</v>
      </c>
      <c r="E325">
        <v>0.50799280000000002</v>
      </c>
      <c r="F325" t="s">
        <v>42</v>
      </c>
      <c r="G325">
        <v>-284.79050000000001</v>
      </c>
      <c r="H325">
        <v>-0.05</v>
      </c>
      <c r="I325">
        <v>366.9461</v>
      </c>
      <c r="J325">
        <v>-404.0806</v>
      </c>
      <c r="K325">
        <v>1.070851</v>
      </c>
      <c r="L325">
        <v>367.92039999999997</v>
      </c>
      <c r="M325">
        <v>0.99991200000000002</v>
      </c>
      <c r="N325">
        <v>-1.1844830000000001E-2</v>
      </c>
      <c r="O325">
        <v>5.9977829999999996E-3</v>
      </c>
      <c r="P325">
        <v>0.98904650000000005</v>
      </c>
      <c r="Q325">
        <v>0.14715159999999999</v>
      </c>
      <c r="R325">
        <v>1.156766E-2</v>
      </c>
      <c r="S325">
        <v>3.0377200000000002</v>
      </c>
      <c r="T325">
        <v>-2.8476000000000001E-2</v>
      </c>
      <c r="U325">
        <v>-2.471924E-2</v>
      </c>
      <c r="V325">
        <v>-5.5338399999999999E-3</v>
      </c>
      <c r="W325">
        <v>0.15886029999999901</v>
      </c>
      <c r="X325">
        <v>0.98728559999999999</v>
      </c>
      <c r="Y325">
        <v>1.41336E-2</v>
      </c>
      <c r="Z325">
        <v>-1.351337E-4</v>
      </c>
      <c r="AA325">
        <v>0.99990009999999996</v>
      </c>
      <c r="AB325">
        <v>27</v>
      </c>
      <c r="AC325">
        <v>119.2901</v>
      </c>
      <c r="AD325">
        <v>-1.120851</v>
      </c>
      <c r="AE325">
        <v>-0.97429999999997097</v>
      </c>
      <c r="AF325">
        <v>1.6896595404733701</v>
      </c>
      <c r="AG325">
        <v>-1.120851</v>
      </c>
      <c r="AH325">
        <v>119.271580805683</v>
      </c>
      <c r="AI325">
        <v>90.538365454304696</v>
      </c>
      <c r="AJ325">
        <v>89.188374260343195</v>
      </c>
      <c r="AK325">
        <v>119.288814413647</v>
      </c>
      <c r="AL325">
        <v>80.859250185136304</v>
      </c>
      <c r="AM325">
        <v>90.321145528835601</v>
      </c>
      <c r="AN325">
        <v>1.0000000371342901</v>
      </c>
    </row>
    <row r="326" spans="1:40" x14ac:dyDescent="0.25">
      <c r="A326" t="str">
        <f>"20190303162750049"</f>
        <v>20190303162750049</v>
      </c>
      <c r="B326" t="str">
        <f>"1551601670041616"</f>
        <v>1551601670041616</v>
      </c>
      <c r="C326" t="s">
        <v>40</v>
      </c>
      <c r="D326">
        <v>5.0670120000000001</v>
      </c>
      <c r="E326">
        <v>0.52703679999999997</v>
      </c>
      <c r="F326" t="s">
        <v>42</v>
      </c>
      <c r="G326">
        <v>-293.17110000000002</v>
      </c>
      <c r="H326">
        <v>-0.05</v>
      </c>
      <c r="I326">
        <v>367.01130000000001</v>
      </c>
      <c r="J326">
        <v>-403.92899999999997</v>
      </c>
      <c r="K326">
        <v>1.0708519999999999</v>
      </c>
      <c r="L326">
        <v>367.92110000000002</v>
      </c>
      <c r="M326">
        <v>0.9999131</v>
      </c>
      <c r="N326">
        <v>-1.1844439999999999E-2</v>
      </c>
      <c r="O326">
        <v>5.8063319999999896E-3</v>
      </c>
      <c r="P326">
        <v>0.98906669999999997</v>
      </c>
      <c r="Q326">
        <v>0.14702209999999999</v>
      </c>
      <c r="R326">
        <v>1.147743E-2</v>
      </c>
      <c r="S326">
        <v>3.0380549999999999</v>
      </c>
      <c r="T326">
        <v>-3.0702589999999998E-2</v>
      </c>
      <c r="U326">
        <v>-2.4902339999999999E-2</v>
      </c>
      <c r="V326">
        <v>-5.6328209999999997E-3</v>
      </c>
      <c r="W326">
        <v>0.15873090000000001</v>
      </c>
      <c r="X326">
        <v>0.98730580000000001</v>
      </c>
      <c r="Y326">
        <v>1.4001370000000001E-2</v>
      </c>
      <c r="Z326">
        <v>-1.4357629999999999E-4</v>
      </c>
      <c r="AA326">
        <v>0.99990199999999996</v>
      </c>
      <c r="AB326">
        <v>27</v>
      </c>
      <c r="AC326">
        <v>110.75790000000001</v>
      </c>
      <c r="AD326">
        <v>-1.120852</v>
      </c>
      <c r="AE326">
        <v>-0.90980000000001804</v>
      </c>
      <c r="AF326">
        <v>1.55276783743421</v>
      </c>
      <c r="AG326">
        <v>-1.120852</v>
      </c>
      <c r="AH326">
        <v>110.739409552257</v>
      </c>
      <c r="AI326">
        <v>90.579844021333599</v>
      </c>
      <c r="AJ326">
        <v>89.196661657744897</v>
      </c>
      <c r="AK326">
        <v>110.75596699566699</v>
      </c>
      <c r="AL326">
        <v>80.866759061123801</v>
      </c>
      <c r="AM326">
        <v>90.326882885166796</v>
      </c>
      <c r="AN326">
        <v>0.99999998500043397</v>
      </c>
    </row>
    <row r="327" spans="1:40" x14ac:dyDescent="0.25">
      <c r="A327" t="str">
        <f>"20190303162750064"</f>
        <v>20190303162750064</v>
      </c>
      <c r="B327" t="str">
        <f>"1551601670052351"</f>
        <v>1551601670052351</v>
      </c>
      <c r="C327" t="s">
        <v>40</v>
      </c>
      <c r="D327">
        <v>5.0578190000000003</v>
      </c>
      <c r="E327">
        <v>0.53039459999999905</v>
      </c>
      <c r="F327" t="s">
        <v>41</v>
      </c>
      <c r="G327">
        <v>-374.77109999999999</v>
      </c>
      <c r="H327" s="1">
        <v>-2.8248189999999999E-6</v>
      </c>
      <c r="I327">
        <v>366.23750000000001</v>
      </c>
      <c r="J327">
        <v>-403.76220000000001</v>
      </c>
      <c r="K327">
        <v>1.0708519999999999</v>
      </c>
      <c r="L327">
        <v>367.92180000000002</v>
      </c>
      <c r="M327">
        <v>0.99991419999999998</v>
      </c>
      <c r="N327">
        <v>-1.184402E-2</v>
      </c>
      <c r="O327">
        <v>5.5945439999999999E-3</v>
      </c>
      <c r="P327">
        <v>0.98907659999999997</v>
      </c>
      <c r="Q327">
        <v>0.14696979999999901</v>
      </c>
      <c r="R327">
        <v>1.127509E-2</v>
      </c>
      <c r="S327">
        <v>3.0518800000000001</v>
      </c>
      <c r="T327">
        <v>-0.11208369999999999</v>
      </c>
      <c r="U327">
        <v>-0.17620849999999999</v>
      </c>
      <c r="V327">
        <v>-5.6394599999999998E-3</v>
      </c>
      <c r="W327">
        <v>0.15867809999999999</v>
      </c>
      <c r="X327">
        <v>0.98731429999999998</v>
      </c>
      <c r="Y327">
        <v>6.3168509999999997E-2</v>
      </c>
      <c r="Z327">
        <v>-1.6722289999999999E-3</v>
      </c>
      <c r="AA327">
        <v>0.99800149999999999</v>
      </c>
      <c r="AB327">
        <v>27</v>
      </c>
      <c r="AC327">
        <v>28.991099999999999</v>
      </c>
      <c r="AD327">
        <v>-1.070854824819</v>
      </c>
      <c r="AE327">
        <v>-1.6842999999999999</v>
      </c>
      <c r="AF327">
        <v>1.8439696090989199</v>
      </c>
      <c r="AG327">
        <v>-1.070854824819</v>
      </c>
      <c r="AH327">
        <v>28.941868134269502</v>
      </c>
      <c r="AI327">
        <v>92.114704620614404</v>
      </c>
      <c r="AJ327">
        <v>86.354448700662203</v>
      </c>
      <c r="AK327">
        <v>29.0203150409599</v>
      </c>
      <c r="AL327">
        <v>80.869823571724993</v>
      </c>
      <c r="AM327">
        <v>90.327265332620897</v>
      </c>
      <c r="AN327">
        <v>1.0000000349565901</v>
      </c>
    </row>
    <row r="328" spans="1:40" x14ac:dyDescent="0.25">
      <c r="A328" t="str">
        <f>"20190303162750084"</f>
        <v>20190303162750084</v>
      </c>
      <c r="B328" t="str">
        <f>"1551601670071872"</f>
        <v>1551601670071872</v>
      </c>
      <c r="C328" t="s">
        <v>40</v>
      </c>
      <c r="D328">
        <v>5.0514640000000002</v>
      </c>
      <c r="E328">
        <v>0.53338019999999997</v>
      </c>
      <c r="F328" t="s">
        <v>41</v>
      </c>
      <c r="G328">
        <v>-376.0378</v>
      </c>
      <c r="H328" s="1">
        <v>-2.3104029999999998E-6</v>
      </c>
      <c r="I328">
        <v>366.07409999999999</v>
      </c>
      <c r="J328">
        <v>-403.51740000000001</v>
      </c>
      <c r="K328">
        <v>1.070843</v>
      </c>
      <c r="L328">
        <v>367.92290000000003</v>
      </c>
      <c r="M328">
        <v>0.99991600000000003</v>
      </c>
      <c r="N328">
        <v>-1.184353E-2</v>
      </c>
      <c r="O328">
        <v>5.275353E-3</v>
      </c>
      <c r="P328">
        <v>0.98904440000000005</v>
      </c>
      <c r="Q328">
        <v>0.14718299999999901</v>
      </c>
      <c r="R328">
        <v>1.133777E-2</v>
      </c>
      <c r="S328">
        <v>3.0530089999999999</v>
      </c>
      <c r="T328">
        <v>-0.1179221</v>
      </c>
      <c r="U328">
        <v>-0.20346069999999999</v>
      </c>
      <c r="V328">
        <v>-6.0158819999999898E-3</v>
      </c>
      <c r="W328">
        <v>0.1588909</v>
      </c>
      <c r="X328">
        <v>0.98727779999999998</v>
      </c>
      <c r="Y328">
        <v>7.1686830000000007E-2</v>
      </c>
      <c r="Z328">
        <v>-1.948677E-3</v>
      </c>
      <c r="AA328">
        <v>0.99742529999999996</v>
      </c>
      <c r="AB328">
        <v>27</v>
      </c>
      <c r="AC328">
        <v>27.479600000000001</v>
      </c>
      <c r="AD328">
        <v>-1.070845310403</v>
      </c>
      <c r="AE328">
        <v>-1.84880000000004</v>
      </c>
      <c r="AF328">
        <v>1.9907395812014399</v>
      </c>
      <c r="AG328">
        <v>-1.070845310403</v>
      </c>
      <c r="AH328">
        <v>27.428000368430901</v>
      </c>
      <c r="AI328">
        <v>92.229949085987599</v>
      </c>
      <c r="AJ328">
        <v>85.848719681357494</v>
      </c>
      <c r="AK328">
        <v>27.520991224329499</v>
      </c>
      <c r="AL328">
        <v>80.857473867582598</v>
      </c>
      <c r="AM328">
        <v>90.349121982431399</v>
      </c>
      <c r="AN328">
        <v>0.99999998165594295</v>
      </c>
    </row>
    <row r="329" spans="1:40" x14ac:dyDescent="0.25">
      <c r="A329" t="str">
        <f>"20190303162750103"</f>
        <v>20190303162750103</v>
      </c>
      <c r="B329" t="str">
        <f>"1551601670092368"</f>
        <v>1551601670092368</v>
      </c>
      <c r="C329" t="s">
        <v>40</v>
      </c>
      <c r="D329">
        <v>5.0382059999999997</v>
      </c>
      <c r="E329">
        <v>0.53401980000000004</v>
      </c>
      <c r="F329" t="s">
        <v>41</v>
      </c>
      <c r="G329">
        <v>-376.34640000000002</v>
      </c>
      <c r="H329" s="1">
        <v>-2.2185660000000001E-6</v>
      </c>
      <c r="I329">
        <v>365.89870000000002</v>
      </c>
      <c r="J329">
        <v>-403.28399999999999</v>
      </c>
      <c r="K329">
        <v>1.070837</v>
      </c>
      <c r="L329">
        <v>367.9237</v>
      </c>
      <c r="M329">
        <v>0.99991770000000002</v>
      </c>
      <c r="N329">
        <v>-1.184323E-2</v>
      </c>
      <c r="O329">
        <v>4.961666E-3</v>
      </c>
      <c r="P329">
        <v>0.98902029999999996</v>
      </c>
      <c r="Q329">
        <v>0.14733070000000001</v>
      </c>
      <c r="R329">
        <v>1.152336E-2</v>
      </c>
      <c r="S329">
        <v>3.0537109999999998</v>
      </c>
      <c r="T329">
        <v>-0.1203504</v>
      </c>
      <c r="U329">
        <v>-0.22747800000000001</v>
      </c>
      <c r="V329">
        <v>-6.508621E-3</v>
      </c>
      <c r="W329">
        <v>0.15903879999999901</v>
      </c>
      <c r="X329">
        <v>0.98725090000000004</v>
      </c>
      <c r="Y329">
        <v>7.9152440000000004E-2</v>
      </c>
      <c r="Z329">
        <v>-2.1631390000000001E-3</v>
      </c>
      <c r="AA329">
        <v>0.99686019999999997</v>
      </c>
      <c r="AB329">
        <v>27</v>
      </c>
      <c r="AC329">
        <v>26.9375999999999</v>
      </c>
      <c r="AD329">
        <v>-1.0708392185660001</v>
      </c>
      <c r="AE329">
        <v>-2.0249999999999702</v>
      </c>
      <c r="AF329">
        <v>2.1552530611240202</v>
      </c>
      <c r="AG329">
        <v>-1.0708392185660001</v>
      </c>
      <c r="AH329">
        <v>26.8849735754082</v>
      </c>
      <c r="AI329">
        <v>92.2736216953857</v>
      </c>
      <c r="AJ329">
        <v>85.416644619092594</v>
      </c>
      <c r="AK329">
        <v>26.992473331280699</v>
      </c>
      <c r="AL329">
        <v>80.848891041201</v>
      </c>
      <c r="AM329">
        <v>90.377726787750902</v>
      </c>
      <c r="AN329">
        <v>1.0000000208017801</v>
      </c>
    </row>
    <row r="330" spans="1:40" x14ac:dyDescent="0.25">
      <c r="A330" t="str">
        <f>"20190303162750126"</f>
        <v>20190303162750126</v>
      </c>
      <c r="B330" t="str">
        <f>"1551601670111888"</f>
        <v>1551601670111888</v>
      </c>
      <c r="C330" t="s">
        <v>40</v>
      </c>
      <c r="D330">
        <v>5.0220940000000001</v>
      </c>
      <c r="E330">
        <v>0.53441879999999997</v>
      </c>
      <c r="F330" t="s">
        <v>41</v>
      </c>
      <c r="G330">
        <v>-376.5401</v>
      </c>
      <c r="H330" s="1">
        <v>-2.1551360000000001E-6</v>
      </c>
      <c r="I330">
        <v>365.88929999999999</v>
      </c>
      <c r="J330">
        <v>-403.01049999999998</v>
      </c>
      <c r="K330">
        <v>1.0708340000000001</v>
      </c>
      <c r="L330">
        <v>367.9246</v>
      </c>
      <c r="M330">
        <v>0.99991940000000001</v>
      </c>
      <c r="N330">
        <v>-1.1843040000000001E-2</v>
      </c>
      <c r="O330">
        <v>4.5796869999999998E-3</v>
      </c>
      <c r="P330">
        <v>0.9890352</v>
      </c>
      <c r="Q330">
        <v>0.14725969999999999</v>
      </c>
      <c r="R330">
        <v>1.112499E-2</v>
      </c>
      <c r="S330">
        <v>3.0542600000000002</v>
      </c>
      <c r="T330">
        <v>-0.122293899999999</v>
      </c>
      <c r="U330">
        <v>-0.23233029999999999</v>
      </c>
      <c r="V330">
        <v>-6.4837459999999899E-3</v>
      </c>
      <c r="W330">
        <v>0.15896769999999999</v>
      </c>
      <c r="X330">
        <v>0.98726250000000004</v>
      </c>
      <c r="Y330">
        <v>8.0329680000000001E-2</v>
      </c>
      <c r="Z330">
        <v>-2.2107799999999999E-3</v>
      </c>
      <c r="AA330">
        <v>0.99676589999999998</v>
      </c>
      <c r="AB330">
        <v>27</v>
      </c>
      <c r="AC330">
        <v>26.470399999999898</v>
      </c>
      <c r="AD330">
        <v>-1.0708361551359999</v>
      </c>
      <c r="AE330">
        <v>-2.0352999999999999</v>
      </c>
      <c r="AF330">
        <v>2.1530105333920702</v>
      </c>
      <c r="AG330">
        <v>-1.0708361551359999</v>
      </c>
      <c r="AH330">
        <v>26.4178211126344</v>
      </c>
      <c r="AI330">
        <v>92.3135293947159</v>
      </c>
      <c r="AJ330">
        <v>85.340782103933805</v>
      </c>
      <c r="AK330">
        <v>26.527031812232501</v>
      </c>
      <c r="AL330">
        <v>80.853017130414401</v>
      </c>
      <c r="AM330">
        <v>90.376278791585406</v>
      </c>
      <c r="AN330">
        <v>1.0000000062558601</v>
      </c>
    </row>
    <row r="331" spans="1:40" x14ac:dyDescent="0.25">
      <c r="A331" t="str">
        <f>"20190303162750148"</f>
        <v>20190303162750148</v>
      </c>
      <c r="B331" t="str">
        <f>"1551601670142144"</f>
        <v>1551601670142144</v>
      </c>
      <c r="C331" t="s">
        <v>40</v>
      </c>
      <c r="D331">
        <v>4.99566</v>
      </c>
      <c r="E331">
        <v>0.5346689</v>
      </c>
      <c r="F331" t="s">
        <v>41</v>
      </c>
      <c r="G331">
        <v>-375.7962</v>
      </c>
      <c r="H331" s="1">
        <v>-2.4603660000000001E-6</v>
      </c>
      <c r="I331">
        <v>365.81299999999999</v>
      </c>
      <c r="J331">
        <v>-402.7312</v>
      </c>
      <c r="K331">
        <v>1.0708249999999999</v>
      </c>
      <c r="L331">
        <v>367.9255</v>
      </c>
      <c r="M331">
        <v>0.99992110000000001</v>
      </c>
      <c r="N331">
        <v>-1.184297E-2</v>
      </c>
      <c r="O331">
        <v>4.1739759999999898E-3</v>
      </c>
      <c r="P331">
        <v>0.98899060000000005</v>
      </c>
      <c r="Q331">
        <v>0.1476325</v>
      </c>
      <c r="R331">
        <v>1.011419E-2</v>
      </c>
      <c r="S331">
        <v>3.053833</v>
      </c>
      <c r="T331">
        <v>-0.1201628</v>
      </c>
      <c r="U331">
        <v>-0.2369385</v>
      </c>
      <c r="V331">
        <v>-5.869984E-3</v>
      </c>
      <c r="W331">
        <v>0.1593396</v>
      </c>
      <c r="X331">
        <v>0.98720640000000004</v>
      </c>
      <c r="Y331">
        <v>8.1432669999999999E-2</v>
      </c>
      <c r="Z331">
        <v>-2.1968690000000002E-3</v>
      </c>
      <c r="AA331">
        <v>0.99667640000000002</v>
      </c>
      <c r="AB331">
        <v>27</v>
      </c>
      <c r="AC331">
        <v>26.934999999999999</v>
      </c>
      <c r="AD331">
        <v>-1.070827460366</v>
      </c>
      <c r="AE331">
        <v>-2.1124999999999501</v>
      </c>
      <c r="AF331">
        <v>2.22142594657238</v>
      </c>
      <c r="AG331">
        <v>-1.070827460366</v>
      </c>
      <c r="AH331">
        <v>26.883716217304801</v>
      </c>
      <c r="AI331">
        <v>92.2732502579466</v>
      </c>
      <c r="AJ331">
        <v>85.276328936864402</v>
      </c>
      <c r="AK331">
        <v>26.9965850125263</v>
      </c>
      <c r="AL331">
        <v>80.831433856064294</v>
      </c>
      <c r="AM331">
        <v>90.340679867386498</v>
      </c>
      <c r="AN331">
        <v>1.0000000205206401</v>
      </c>
    </row>
    <row r="332" spans="1:40" x14ac:dyDescent="0.25">
      <c r="A332" t="str">
        <f>"20190303162750162"</f>
        <v>20190303162750162</v>
      </c>
      <c r="B332" t="str">
        <f>"1551601670151904"</f>
        <v>1551601670151904</v>
      </c>
      <c r="C332" t="s">
        <v>40</v>
      </c>
      <c r="D332">
        <v>5.0201029999999998</v>
      </c>
      <c r="E332">
        <v>0.53479370000000004</v>
      </c>
      <c r="F332" t="s">
        <v>41</v>
      </c>
      <c r="G332">
        <v>-375.30520000000001</v>
      </c>
      <c r="H332" s="1">
        <v>-2.6814100000000001E-6</v>
      </c>
      <c r="I332">
        <v>365.7543</v>
      </c>
      <c r="J332">
        <v>-402.57100000000003</v>
      </c>
      <c r="K332">
        <v>1.0708219999999999</v>
      </c>
      <c r="L332">
        <v>367.92590000000001</v>
      </c>
      <c r="M332">
        <v>0.99992219999999998</v>
      </c>
      <c r="N332">
        <v>-1.184297E-2</v>
      </c>
      <c r="O332">
        <v>3.9351680000000002E-3</v>
      </c>
      <c r="P332">
        <v>0.98900010000000005</v>
      </c>
      <c r="Q332">
        <v>0.14762349999999999</v>
      </c>
      <c r="R332">
        <v>9.2997229999999993E-3</v>
      </c>
      <c r="S332">
        <v>3.0536799999999999</v>
      </c>
      <c r="T332">
        <v>-0.1192285</v>
      </c>
      <c r="U332">
        <v>-0.24172969999999999</v>
      </c>
      <c r="V332">
        <v>-5.289101E-3</v>
      </c>
      <c r="W332">
        <v>0.15933059999999999</v>
      </c>
      <c r="X332">
        <v>0.98721110000000001</v>
      </c>
      <c r="Y332">
        <v>8.2752599999999996E-2</v>
      </c>
      <c r="Z332">
        <v>-2.2102469999999998E-3</v>
      </c>
      <c r="AA332">
        <v>0.99656769999999995</v>
      </c>
      <c r="AB332">
        <v>27</v>
      </c>
      <c r="AC332">
        <v>27.265799999999899</v>
      </c>
      <c r="AD332">
        <v>-1.07082468141</v>
      </c>
      <c r="AE332">
        <v>-2.17160000000001</v>
      </c>
      <c r="AF332">
        <v>2.2753987256720598</v>
      </c>
      <c r="AG332">
        <v>-1.07082468141</v>
      </c>
      <c r="AH332">
        <v>27.2153300096351</v>
      </c>
      <c r="AI332">
        <v>92.245393041346702</v>
      </c>
      <c r="AJ332">
        <v>85.220772994720804</v>
      </c>
      <c r="AK332">
        <v>27.331269498368599</v>
      </c>
      <c r="AL332">
        <v>80.831955865668604</v>
      </c>
      <c r="AM332">
        <v>90.306966023014795</v>
      </c>
      <c r="AN332">
        <v>0.99999998532447898</v>
      </c>
    </row>
    <row r="333" spans="1:40" x14ac:dyDescent="0.25">
      <c r="A333" t="str">
        <f>"20190303162750182"</f>
        <v>20190303162750182</v>
      </c>
      <c r="B333" t="str">
        <f>"1551601670171424"</f>
        <v>1551601670171424</v>
      </c>
      <c r="C333" t="s">
        <v>40</v>
      </c>
      <c r="D333">
        <v>4.9906319999999997</v>
      </c>
      <c r="E333">
        <v>0.535033599999999</v>
      </c>
      <c r="F333" t="s">
        <v>41</v>
      </c>
      <c r="G333">
        <v>-374.87959999999998</v>
      </c>
      <c r="H333" s="1">
        <v>-2.8731539999999999E-6</v>
      </c>
      <c r="I333">
        <v>365.70280000000002</v>
      </c>
      <c r="J333">
        <v>-402.34230000000002</v>
      </c>
      <c r="K333">
        <v>1.0708169999999999</v>
      </c>
      <c r="L333">
        <v>367.9264</v>
      </c>
      <c r="M333">
        <v>0.99992349999999997</v>
      </c>
      <c r="N333">
        <v>-1.1843040000000001E-2</v>
      </c>
      <c r="O333">
        <v>3.5852369999999998E-3</v>
      </c>
      <c r="P333">
        <v>0.98894230000000005</v>
      </c>
      <c r="Q333">
        <v>0.1480882</v>
      </c>
      <c r="R333">
        <v>7.9550990000000002E-3</v>
      </c>
      <c r="S333">
        <v>3.0532840000000001</v>
      </c>
      <c r="T333">
        <v>-0.11806999999999999</v>
      </c>
      <c r="U333">
        <v>-0.24511720000000001</v>
      </c>
      <c r="V333">
        <v>-4.2875109999999999E-3</v>
      </c>
      <c r="W333">
        <v>0.15979380000000001</v>
      </c>
      <c r="X333">
        <v>0.98714109999999999</v>
      </c>
      <c r="Y333">
        <v>8.3513480000000001E-2</v>
      </c>
      <c r="Z333">
        <v>-2.2031030000000001E-3</v>
      </c>
      <c r="AA333">
        <v>0.99650419999999995</v>
      </c>
      <c r="AB333">
        <v>27</v>
      </c>
      <c r="AC333">
        <v>27.462700000000002</v>
      </c>
      <c r="AD333">
        <v>-1.070819873154</v>
      </c>
      <c r="AE333">
        <v>-2.22359999999997</v>
      </c>
      <c r="AF333">
        <v>2.3185508224357201</v>
      </c>
      <c r="AG333">
        <v>-1.070819873154</v>
      </c>
      <c r="AH333">
        <v>27.4131443911429</v>
      </c>
      <c r="AI333">
        <v>92.229016076204502</v>
      </c>
      <c r="AJ333">
        <v>85.165539379665404</v>
      </c>
      <c r="AK333">
        <v>27.531850982573001</v>
      </c>
      <c r="AL333">
        <v>80.805072122500107</v>
      </c>
      <c r="AM333">
        <v>90.248854738377105</v>
      </c>
      <c r="AN333">
        <v>0.99999999628911196</v>
      </c>
    </row>
    <row r="334" spans="1:40" x14ac:dyDescent="0.25">
      <c r="A334" t="str">
        <f>"20190303162750194"</f>
        <v>20190303162750194</v>
      </c>
      <c r="B334" t="str">
        <f>"1551601670182160"</f>
        <v>1551601670182160</v>
      </c>
      <c r="C334" t="s">
        <v>40</v>
      </c>
      <c r="D334">
        <v>4.9931609999999997</v>
      </c>
      <c r="E334">
        <v>0.53507269999999996</v>
      </c>
      <c r="F334" t="s">
        <v>41</v>
      </c>
      <c r="G334">
        <v>-373.84809999999999</v>
      </c>
      <c r="H334" s="1">
        <v>-3.336133E-6</v>
      </c>
      <c r="I334">
        <v>365.5874</v>
      </c>
      <c r="J334">
        <v>-402.19260000000003</v>
      </c>
      <c r="K334">
        <v>1.070816</v>
      </c>
      <c r="L334">
        <v>367.92660000000001</v>
      </c>
      <c r="M334">
        <v>0.99992429999999999</v>
      </c>
      <c r="N334">
        <v>-1.1843090000000001E-2</v>
      </c>
      <c r="O334">
        <v>3.3518929999999999E-3</v>
      </c>
      <c r="P334">
        <v>0.98894329999999997</v>
      </c>
      <c r="Q334">
        <v>0.1481246</v>
      </c>
      <c r="R334">
        <v>7.1153880000000003E-3</v>
      </c>
      <c r="S334">
        <v>3.052765</v>
      </c>
      <c r="T334">
        <v>-0.1147234</v>
      </c>
      <c r="U334">
        <v>-0.25057980000000002</v>
      </c>
      <c r="V334">
        <v>-3.6769839999999999E-3</v>
      </c>
      <c r="W334">
        <v>0.15982959999999999</v>
      </c>
      <c r="X334">
        <v>0.98713779999999995</v>
      </c>
      <c r="Y334">
        <v>8.5068539999999998E-2</v>
      </c>
      <c r="Z334">
        <v>-2.1861269999999999E-3</v>
      </c>
      <c r="AA334">
        <v>0.9963727</v>
      </c>
      <c r="AB334">
        <v>27</v>
      </c>
      <c r="AC334">
        <v>28.3445</v>
      </c>
      <c r="AD334">
        <v>-1.0708193361330001</v>
      </c>
      <c r="AE334">
        <v>-2.3391999999999999</v>
      </c>
      <c r="AF334">
        <v>2.43075546203197</v>
      </c>
      <c r="AG334">
        <v>-1.0708193361330001</v>
      </c>
      <c r="AH334">
        <v>28.296387117199401</v>
      </c>
      <c r="AI334">
        <v>92.159263516202998</v>
      </c>
      <c r="AJ334">
        <v>85.090152097890794</v>
      </c>
      <c r="AK334">
        <v>28.4207802506061</v>
      </c>
      <c r="AL334">
        <v>80.802994528313803</v>
      </c>
      <c r="AM334">
        <v>90.213419737529705</v>
      </c>
      <c r="AN334">
        <v>1.0000000287181601</v>
      </c>
    </row>
    <row r="335" spans="1:40" x14ac:dyDescent="0.25">
      <c r="A335" t="str">
        <f>"20190303162750215"</f>
        <v>20190303162750215</v>
      </c>
      <c r="B335" t="str">
        <f>"1551601670201680"</f>
        <v>1551601670201680</v>
      </c>
      <c r="C335" t="s">
        <v>40</v>
      </c>
      <c r="D335">
        <v>4.9889260000000002</v>
      </c>
      <c r="E335">
        <v>0.53515579999999996</v>
      </c>
      <c r="F335" t="s">
        <v>41</v>
      </c>
      <c r="G335">
        <v>-373.33420000000001</v>
      </c>
      <c r="H335" s="1">
        <v>-3.5661949999999999E-6</v>
      </c>
      <c r="I335">
        <v>365.53320000000002</v>
      </c>
      <c r="J335">
        <v>-401.93619999999999</v>
      </c>
      <c r="K335">
        <v>1.070808</v>
      </c>
      <c r="L335">
        <v>367.92700000000002</v>
      </c>
      <c r="M335">
        <v>0.99992559999999997</v>
      </c>
      <c r="N335">
        <v>-1.184322E-2</v>
      </c>
      <c r="O335">
        <v>2.9484279999999999E-3</v>
      </c>
      <c r="P335">
        <v>0.98895440000000001</v>
      </c>
      <c r="Q335">
        <v>0.14812700000000001</v>
      </c>
      <c r="R335">
        <v>5.2806160000000001E-3</v>
      </c>
      <c r="S335">
        <v>3.0523989999999999</v>
      </c>
      <c r="T335">
        <v>-0.11326219999999999</v>
      </c>
      <c r="U335">
        <v>-0.25314330000000002</v>
      </c>
      <c r="V335">
        <v>-2.23945E-3</v>
      </c>
      <c r="W335">
        <v>0.159831</v>
      </c>
      <c r="X335">
        <v>0.98714179999999996</v>
      </c>
      <c r="Y335">
        <v>8.5508890000000004E-2</v>
      </c>
      <c r="Z335">
        <v>-2.1649799999999999E-3</v>
      </c>
      <c r="AA335">
        <v>0.99633499999999997</v>
      </c>
      <c r="AB335">
        <v>27</v>
      </c>
      <c r="AC335">
        <v>28.601999999999901</v>
      </c>
      <c r="AD335">
        <v>-1.070811566195</v>
      </c>
      <c r="AE335">
        <v>-2.3937999999999402</v>
      </c>
      <c r="AF335">
        <v>2.4746819785067702</v>
      </c>
      <c r="AG335">
        <v>-1.070811566195</v>
      </c>
      <c r="AH335">
        <v>28.555071980299498</v>
      </c>
      <c r="AI335">
        <v>92.139566005262694</v>
      </c>
      <c r="AJ335">
        <v>85.046923606081194</v>
      </c>
      <c r="AK335">
        <v>28.682099367116201</v>
      </c>
      <c r="AL335">
        <v>80.802912525449003</v>
      </c>
      <c r="AM335">
        <v>90.129982149786102</v>
      </c>
      <c r="AN335">
        <v>0.99999994850226903</v>
      </c>
    </row>
    <row r="336" spans="1:40" x14ac:dyDescent="0.25">
      <c r="A336" t="str">
        <f>"20190303162750228"</f>
        <v>20190303162750228</v>
      </c>
      <c r="B336" t="str">
        <f>"1551601670222176"</f>
        <v>1551601670222176</v>
      </c>
      <c r="C336" t="s">
        <v>40</v>
      </c>
      <c r="D336">
        <v>5.0363889999999998</v>
      </c>
      <c r="E336">
        <v>0.53457710000000003</v>
      </c>
      <c r="F336" t="s">
        <v>41</v>
      </c>
      <c r="G336">
        <v>-372.71570000000003</v>
      </c>
      <c r="H336" s="1">
        <v>-3.8477249999999997E-6</v>
      </c>
      <c r="I336">
        <v>365.44189999999998</v>
      </c>
      <c r="J336">
        <v>-401.7912</v>
      </c>
      <c r="K336">
        <v>1.0708070000000001</v>
      </c>
      <c r="L336">
        <v>367.92720000000003</v>
      </c>
      <c r="M336">
        <v>0.99992630000000005</v>
      </c>
      <c r="N336">
        <v>-1.1843299999999999E-2</v>
      </c>
      <c r="O336">
        <v>2.718575E-3</v>
      </c>
      <c r="P336">
        <v>0.9889694</v>
      </c>
      <c r="Q336">
        <v>0.14806150000000001</v>
      </c>
      <c r="R336">
        <v>4.1770940000000001E-3</v>
      </c>
      <c r="S336">
        <v>3.0516049999999999</v>
      </c>
      <c r="T336">
        <v>-0.11182880000000001</v>
      </c>
      <c r="U336">
        <v>-0.25952150000000002</v>
      </c>
      <c r="V336">
        <v>-1.3625390000000001E-3</v>
      </c>
      <c r="W336">
        <v>0.15976509999999999</v>
      </c>
      <c r="X336">
        <v>0.98715410000000003</v>
      </c>
      <c r="Y336">
        <v>8.7369039999999995E-2</v>
      </c>
      <c r="Z336">
        <v>-2.183272E-3</v>
      </c>
      <c r="AA336">
        <v>0.99617359999999999</v>
      </c>
      <c r="AB336">
        <v>27</v>
      </c>
      <c r="AC336">
        <v>29.075499999999899</v>
      </c>
      <c r="AD336">
        <v>-1.070810847725</v>
      </c>
      <c r="AE336">
        <v>-2.4853000000000498</v>
      </c>
      <c r="AF336">
        <v>2.56089200950347</v>
      </c>
      <c r="AG336">
        <v>-1.070810847725</v>
      </c>
      <c r="AH336">
        <v>29.029547021616501</v>
      </c>
      <c r="AI336">
        <v>92.104342647410704</v>
      </c>
      <c r="AJ336">
        <v>84.958603777753297</v>
      </c>
      <c r="AK336">
        <v>29.161951307074599</v>
      </c>
      <c r="AL336">
        <v>80.806737765049803</v>
      </c>
      <c r="AM336">
        <v>90.079083584361598</v>
      </c>
      <c r="AN336">
        <v>0.999999980418673</v>
      </c>
    </row>
    <row r="337" spans="1:40" x14ac:dyDescent="0.25">
      <c r="A337" t="str">
        <f>"20190303162750240"</f>
        <v>20190303162750240</v>
      </c>
      <c r="B337" t="str">
        <f>"1551601670231936"</f>
        <v>1551601670231936</v>
      </c>
      <c r="C337" t="s">
        <v>40</v>
      </c>
      <c r="D337">
        <v>4.985284</v>
      </c>
      <c r="E337">
        <v>0.53468019999999905</v>
      </c>
      <c r="F337" t="s">
        <v>41</v>
      </c>
      <c r="G337">
        <v>-373.88740000000001</v>
      </c>
      <c r="H337" s="1">
        <v>-3.3228589999999999E-6</v>
      </c>
      <c r="I337">
        <v>365.56720000000001</v>
      </c>
      <c r="J337">
        <v>-401.62869999999998</v>
      </c>
      <c r="K337">
        <v>1.0708059999999999</v>
      </c>
      <c r="L337">
        <v>367.9273</v>
      </c>
      <c r="M337">
        <v>0.99992689999999995</v>
      </c>
      <c r="N337">
        <v>-1.184341E-2</v>
      </c>
      <c r="O337">
        <v>2.4598250000000001E-3</v>
      </c>
      <c r="P337">
        <v>0.98897670000000004</v>
      </c>
      <c r="Q337">
        <v>0.14802850000000001</v>
      </c>
      <c r="R337">
        <v>3.575047E-3</v>
      </c>
      <c r="S337">
        <v>3.0520939999999999</v>
      </c>
      <c r="T337">
        <v>-0.1171238</v>
      </c>
      <c r="U337">
        <v>-0.25811770000000001</v>
      </c>
      <c r="V337">
        <v>-1.0161009999999999E-3</v>
      </c>
      <c r="W337">
        <v>0.15973209999999999</v>
      </c>
      <c r="X337">
        <v>0.98715980000000003</v>
      </c>
      <c r="Y337">
        <v>8.6637039999999998E-2</v>
      </c>
      <c r="Z337">
        <v>-2.2381139999999998E-3</v>
      </c>
      <c r="AA337">
        <v>0.9962375</v>
      </c>
      <c r="AB337">
        <v>27</v>
      </c>
      <c r="AC337">
        <v>27.741299999999899</v>
      </c>
      <c r="AD337">
        <v>-1.0708093228590001</v>
      </c>
      <c r="AE337">
        <v>-2.3600999999999801</v>
      </c>
      <c r="AF337">
        <v>2.42474959755668</v>
      </c>
      <c r="AG337">
        <v>-1.0708093228590001</v>
      </c>
      <c r="AH337">
        <v>27.694443491327601</v>
      </c>
      <c r="AI337">
        <v>92.205815937026003</v>
      </c>
      <c r="AJ337">
        <v>84.996304884398995</v>
      </c>
      <c r="AK337">
        <v>27.821003639536599</v>
      </c>
      <c r="AL337">
        <v>80.808652595515994</v>
      </c>
      <c r="AM337">
        <v>90.058975535975407</v>
      </c>
      <c r="AN337">
        <v>0.99999992348384303</v>
      </c>
    </row>
    <row r="338" spans="1:40" x14ac:dyDescent="0.25">
      <c r="A338" t="str">
        <f>"20190303162750262"</f>
        <v>20190303162750262</v>
      </c>
      <c r="B338" t="str">
        <f>"1551601670251456"</f>
        <v>1551601670251456</v>
      </c>
      <c r="C338" t="s">
        <v>40</v>
      </c>
      <c r="D338">
        <v>4.9632709999999998</v>
      </c>
      <c r="E338">
        <v>0.53475550000000005</v>
      </c>
      <c r="F338" t="s">
        <v>41</v>
      </c>
      <c r="G338">
        <v>-373.5256</v>
      </c>
      <c r="H338" s="1">
        <v>-3.4855470000000002E-6</v>
      </c>
      <c r="I338">
        <v>365.52499999999998</v>
      </c>
      <c r="J338">
        <v>-401.3852</v>
      </c>
      <c r="K338">
        <v>1.070805</v>
      </c>
      <c r="L338">
        <v>367.92750000000001</v>
      </c>
      <c r="M338">
        <v>0.99992769999999997</v>
      </c>
      <c r="N338">
        <v>-1.1843579999999999E-2</v>
      </c>
      <c r="O338">
        <v>2.077448E-3</v>
      </c>
      <c r="P338">
        <v>0.98904300000000001</v>
      </c>
      <c r="Q338">
        <v>0.14761640000000001</v>
      </c>
      <c r="R338">
        <v>1.910754E-3</v>
      </c>
      <c r="S338">
        <v>3.0517880000000002</v>
      </c>
      <c r="T338">
        <v>-0.11628189999999999</v>
      </c>
      <c r="U338">
        <v>-0.26086429999999999</v>
      </c>
      <c r="V338">
        <v>2.6910250000000002E-4</v>
      </c>
      <c r="W338">
        <v>0.15931979999999901</v>
      </c>
      <c r="X338">
        <v>0.98722699999999997</v>
      </c>
      <c r="Y338">
        <v>8.7155280000000002E-2</v>
      </c>
      <c r="Z338">
        <v>-2.2285619999999999E-3</v>
      </c>
      <c r="AA338">
        <v>0.99619219999999997</v>
      </c>
      <c r="AB338">
        <v>27</v>
      </c>
      <c r="AC338">
        <v>27.8596</v>
      </c>
      <c r="AD338">
        <v>-1.0708084855469999</v>
      </c>
      <c r="AE338">
        <v>-2.4025000000000301</v>
      </c>
      <c r="AF338">
        <v>2.4567731026767698</v>
      </c>
      <c r="AG338">
        <v>-1.0708084855469999</v>
      </c>
      <c r="AH338">
        <v>27.813762010246599</v>
      </c>
      <c r="AI338">
        <v>92.196212220164696</v>
      </c>
      <c r="AJ338">
        <v>84.952198365353695</v>
      </c>
      <c r="AK338">
        <v>27.9425790157851</v>
      </c>
      <c r="AL338">
        <v>80.832582897771303</v>
      </c>
      <c r="AM338">
        <v>89.984382075120905</v>
      </c>
      <c r="AN338">
        <v>1.00000001030859</v>
      </c>
    </row>
    <row r="339" spans="1:40" x14ac:dyDescent="0.25">
      <c r="A339" t="str">
        <f>"20190303162750285"</f>
        <v>20190303162750285</v>
      </c>
      <c r="B339" t="str">
        <f>"1551601670271952"</f>
        <v>1551601670271952</v>
      </c>
      <c r="C339" t="s">
        <v>40</v>
      </c>
      <c r="D339">
        <v>4.9461529999999998</v>
      </c>
      <c r="E339">
        <v>0.53471400000000002</v>
      </c>
      <c r="F339" t="s">
        <v>41</v>
      </c>
      <c r="G339">
        <v>-373.02879999999999</v>
      </c>
      <c r="H339" s="1">
        <v>-3.7114300000000001E-6</v>
      </c>
      <c r="I339">
        <v>365.4529</v>
      </c>
      <c r="J339">
        <v>-401.11559999999997</v>
      </c>
      <c r="K339">
        <v>1.0711219999999999</v>
      </c>
      <c r="L339">
        <v>367.92750000000001</v>
      </c>
      <c r="M339">
        <v>0.99991549999999996</v>
      </c>
      <c r="N339">
        <v>-1.288893E-2</v>
      </c>
      <c r="O339">
        <v>1.7030680000000001E-3</v>
      </c>
      <c r="P339">
        <v>0.9893286</v>
      </c>
      <c r="Q339">
        <v>0.1456974</v>
      </c>
      <c r="R339">
        <v>1.0453089999999999E-3</v>
      </c>
      <c r="S339">
        <v>3.0509339999999998</v>
      </c>
      <c r="T339">
        <v>-0.1152108</v>
      </c>
      <c r="U339">
        <v>-0.26623540000000001</v>
      </c>
      <c r="V339">
        <v>7.5554569999999996E-4</v>
      </c>
      <c r="W339">
        <v>0.15843660000000001</v>
      </c>
      <c r="X339">
        <v>0.98736889999999999</v>
      </c>
      <c r="Y339">
        <v>8.8545139999999994E-2</v>
      </c>
      <c r="Z339">
        <v>-2.2823470000000001E-3</v>
      </c>
      <c r="AA339">
        <v>0.9960696</v>
      </c>
      <c r="AB339">
        <v>27</v>
      </c>
      <c r="AC339">
        <v>28.086799999999901</v>
      </c>
      <c r="AD339">
        <v>-1.0711257114299999</v>
      </c>
      <c r="AE339">
        <v>-2.4746000000000001</v>
      </c>
      <c r="AF339">
        <v>2.5187990532307398</v>
      </c>
      <c r="AG339">
        <v>-1.0711257114299999</v>
      </c>
      <c r="AH339">
        <v>28.0420749572469</v>
      </c>
      <c r="AI339">
        <v>92.178705954180103</v>
      </c>
      <c r="AJ339">
        <v>84.867344611441595</v>
      </c>
      <c r="AK339">
        <v>28.175337209483299</v>
      </c>
      <c r="AL339">
        <v>80.8838377935229</v>
      </c>
      <c r="AM339">
        <v>89.956156638729496</v>
      </c>
      <c r="AN339">
        <v>1.0000000358780301</v>
      </c>
    </row>
    <row r="340" spans="1:40" x14ac:dyDescent="0.25">
      <c r="A340" t="str">
        <f>"20190303162750306"</f>
        <v>20190303162750306</v>
      </c>
      <c r="B340" t="str">
        <f>"1551601670291472"</f>
        <v>1551601670291472</v>
      </c>
      <c r="C340" t="s">
        <v>40</v>
      </c>
      <c r="D340">
        <v>4.9787569999999999</v>
      </c>
      <c r="E340">
        <v>0.53470209999999996</v>
      </c>
      <c r="F340" t="s">
        <v>41</v>
      </c>
      <c r="G340">
        <v>-373.68169999999998</v>
      </c>
      <c r="H340" s="1">
        <v>-3.4200529999999998E-6</v>
      </c>
      <c r="I340">
        <v>365.51659999999998</v>
      </c>
      <c r="J340">
        <v>-400.86900000000003</v>
      </c>
      <c r="K340">
        <v>1.0718259999999999</v>
      </c>
      <c r="L340">
        <v>367.92750000000001</v>
      </c>
      <c r="M340">
        <v>0.99989930000000005</v>
      </c>
      <c r="N340">
        <v>-1.4128949999999999E-2</v>
      </c>
      <c r="O340">
        <v>1.383734E-3</v>
      </c>
      <c r="P340">
        <v>0.98959090000000005</v>
      </c>
      <c r="Q340">
        <v>0.14390720000000001</v>
      </c>
      <c r="R340">
        <v>7.3741189999999997E-4</v>
      </c>
      <c r="S340">
        <v>3.0501399999999999</v>
      </c>
      <c r="T340">
        <v>-0.119088899999999</v>
      </c>
      <c r="U340">
        <v>-0.26803589999999999</v>
      </c>
      <c r="V340">
        <v>7.3531679999999904E-4</v>
      </c>
      <c r="W340">
        <v>0.1578744</v>
      </c>
      <c r="X340">
        <v>0.98745890000000003</v>
      </c>
      <c r="Y340">
        <v>8.8825630000000003E-2</v>
      </c>
      <c r="Z340">
        <v>-2.3935139999999998E-3</v>
      </c>
      <c r="AA340">
        <v>0.99604429999999999</v>
      </c>
      <c r="AB340">
        <v>26</v>
      </c>
      <c r="AC340">
        <v>27.1873</v>
      </c>
      <c r="AD340">
        <v>-1.0718294200530001</v>
      </c>
      <c r="AE340">
        <v>-2.4109000000000198</v>
      </c>
      <c r="AF340">
        <v>2.44475134233282</v>
      </c>
      <c r="AG340">
        <v>-1.0718294200530001</v>
      </c>
      <c r="AH340">
        <v>27.1420813183733</v>
      </c>
      <c r="AI340">
        <v>92.252302719142904</v>
      </c>
      <c r="AJ340">
        <v>84.853122810748701</v>
      </c>
      <c r="AK340">
        <v>27.2730307396284</v>
      </c>
      <c r="AL340">
        <v>80.916459481007706</v>
      </c>
      <c r="AM340">
        <v>89.957334384795402</v>
      </c>
      <c r="AN340">
        <v>0.99999997302768195</v>
      </c>
    </row>
    <row r="341" spans="1:40" x14ac:dyDescent="0.25">
      <c r="A341" t="str">
        <f>"20190303162750328"</f>
        <v>20190303162750328</v>
      </c>
      <c r="B341" t="str">
        <f>"1551601670321728"</f>
        <v>1551601670321728</v>
      </c>
      <c r="C341" t="s">
        <v>40</v>
      </c>
      <c r="D341">
        <v>4.963203</v>
      </c>
      <c r="E341">
        <v>0.53463260000000001</v>
      </c>
      <c r="F341" t="s">
        <v>41</v>
      </c>
      <c r="G341">
        <v>-374.2527</v>
      </c>
      <c r="H341" s="1">
        <v>-3.163575E-6</v>
      </c>
      <c r="I341">
        <v>365.58170000000001</v>
      </c>
      <c r="J341">
        <v>-400.60930000000002</v>
      </c>
      <c r="K341">
        <v>1.0726599999999999</v>
      </c>
      <c r="L341">
        <v>367.92750000000001</v>
      </c>
      <c r="M341">
        <v>0.99989819999999996</v>
      </c>
      <c r="N341">
        <v>-1.4235050000000001E-2</v>
      </c>
      <c r="O341">
        <v>1.0704289999999999E-3</v>
      </c>
      <c r="P341">
        <v>0.98967559999999999</v>
      </c>
      <c r="Q341">
        <v>0.14332439999999999</v>
      </c>
      <c r="R341">
        <v>9.0457449999999996E-4</v>
      </c>
      <c r="S341">
        <v>3.0496219999999998</v>
      </c>
      <c r="T341">
        <v>-0.122807</v>
      </c>
      <c r="U341">
        <v>-0.26876830000000002</v>
      </c>
      <c r="V341">
        <v>2.5323460000000001E-4</v>
      </c>
      <c r="W341">
        <v>0.15739790000000001</v>
      </c>
      <c r="X341">
        <v>0.98753519999999995</v>
      </c>
      <c r="Y341">
        <v>8.876059E-2</v>
      </c>
      <c r="Z341">
        <v>-2.4441559999999998E-3</v>
      </c>
      <c r="AA341">
        <v>0.99604999999999999</v>
      </c>
      <c r="AB341">
        <v>26</v>
      </c>
      <c r="AC341">
        <v>26.3566</v>
      </c>
      <c r="AD341">
        <v>-1.0726631635749999</v>
      </c>
      <c r="AE341">
        <v>-2.3457999999999899</v>
      </c>
      <c r="AF341">
        <v>2.3701195238203399</v>
      </c>
      <c r="AG341">
        <v>-1.0726631635749999</v>
      </c>
      <c r="AH341">
        <v>26.310836591529899</v>
      </c>
      <c r="AI341">
        <v>92.325186895166496</v>
      </c>
      <c r="AJ341">
        <v>84.852603611323701</v>
      </c>
      <c r="AK341">
        <v>26.439141343203101</v>
      </c>
      <c r="AL341">
        <v>80.944106531749398</v>
      </c>
      <c r="AM341">
        <v>89.985307588540905</v>
      </c>
      <c r="AN341">
        <v>0.99999996714560502</v>
      </c>
    </row>
    <row r="342" spans="1:40" x14ac:dyDescent="0.25">
      <c r="A342" t="str">
        <f>"20190303162750351"</f>
        <v>20190303162750351</v>
      </c>
      <c r="B342" t="str">
        <f>"1551601670342224"</f>
        <v>1551601670342224</v>
      </c>
      <c r="C342" t="s">
        <v>40</v>
      </c>
      <c r="D342">
        <v>4.940645</v>
      </c>
      <c r="E342">
        <v>0.53462919999999903</v>
      </c>
      <c r="F342" t="s">
        <v>41</v>
      </c>
      <c r="G342">
        <v>-373.72239999999999</v>
      </c>
      <c r="H342" s="1">
        <v>-3.3936750000000002E-6</v>
      </c>
      <c r="I342">
        <v>365.56689999999998</v>
      </c>
      <c r="J342">
        <v>-400.32830000000001</v>
      </c>
      <c r="K342">
        <v>1.073504</v>
      </c>
      <c r="L342">
        <v>367.9273</v>
      </c>
      <c r="M342">
        <v>0.9999228</v>
      </c>
      <c r="N342">
        <v>-1.2402359999999999E-2</v>
      </c>
      <c r="O342">
        <v>7.5558190000000005E-4</v>
      </c>
      <c r="P342">
        <v>0.98950110000000002</v>
      </c>
      <c r="Q342">
        <v>0.14452419999999999</v>
      </c>
      <c r="R342">
        <v>4.8579139999999999E-4</v>
      </c>
      <c r="S342">
        <v>3.0491329999999999</v>
      </c>
      <c r="T342">
        <v>-0.1216463</v>
      </c>
      <c r="U342">
        <v>-0.2677002</v>
      </c>
      <c r="V342">
        <v>3.5863289999999999E-4</v>
      </c>
      <c r="W342">
        <v>0.1567848</v>
      </c>
      <c r="X342">
        <v>0.98763279999999998</v>
      </c>
      <c r="Y342">
        <v>8.8120180000000006E-2</v>
      </c>
      <c r="Z342">
        <v>-2.3222519999999999E-3</v>
      </c>
      <c r="AA342">
        <v>0.99610719999999997</v>
      </c>
      <c r="AB342">
        <v>26</v>
      </c>
      <c r="AC342">
        <v>26.605899999999998</v>
      </c>
      <c r="AD342">
        <v>-1.0735073936749999</v>
      </c>
      <c r="AE342">
        <v>-2.3604000000000198</v>
      </c>
      <c r="AF342">
        <v>2.3766648163333302</v>
      </c>
      <c r="AG342">
        <v>-1.0735073936749999</v>
      </c>
      <c r="AH342">
        <v>26.561204858261998</v>
      </c>
      <c r="AI342">
        <v>92.305227628610396</v>
      </c>
      <c r="AJ342">
        <v>84.886859265805299</v>
      </c>
      <c r="AK342">
        <v>26.688921995765099</v>
      </c>
      <c r="AL342">
        <v>80.979677186253298</v>
      </c>
      <c r="AM342">
        <v>89.979194544104402</v>
      </c>
      <c r="AN342">
        <v>1.00000007488221</v>
      </c>
    </row>
    <row r="343" spans="1:40" x14ac:dyDescent="0.25">
      <c r="A343" t="str">
        <f>"20190303162750371"</f>
        <v>20190303162750371</v>
      </c>
      <c r="B343" t="str">
        <f>"1551601670361744"</f>
        <v>1551601670361744</v>
      </c>
      <c r="C343" t="s">
        <v>40</v>
      </c>
      <c r="D343">
        <v>4.9326460000000001</v>
      </c>
      <c r="E343">
        <v>0.53458509999999904</v>
      </c>
      <c r="F343" t="s">
        <v>41</v>
      </c>
      <c r="G343">
        <v>-371.96949999999998</v>
      </c>
      <c r="H343" s="1">
        <v>-4.1712150000000002E-6</v>
      </c>
      <c r="I343">
        <v>365.4228</v>
      </c>
      <c r="J343">
        <v>-400.09019999999998</v>
      </c>
      <c r="K343">
        <v>1.0744229999999999</v>
      </c>
      <c r="L343">
        <v>367.92720000000003</v>
      </c>
      <c r="M343">
        <v>0.99994649999999996</v>
      </c>
      <c r="N343">
        <v>-1.0348629999999999E-2</v>
      </c>
      <c r="O343">
        <v>5.083469E-4</v>
      </c>
      <c r="P343">
        <v>0.98928329999999998</v>
      </c>
      <c r="Q343">
        <v>0.14601</v>
      </c>
      <c r="R343">
        <v>2.3631699999999999E-4</v>
      </c>
      <c r="S343">
        <v>3.0488590000000002</v>
      </c>
      <c r="T343">
        <v>-0.115413</v>
      </c>
      <c r="U343">
        <v>-0.26925660000000001</v>
      </c>
      <c r="V343">
        <v>3.591558E-4</v>
      </c>
      <c r="W343">
        <v>0.15623989999999999</v>
      </c>
      <c r="X343">
        <v>0.98771909999999896</v>
      </c>
      <c r="Y343">
        <v>8.8397580000000003E-2</v>
      </c>
      <c r="Z343">
        <v>-2.1417329999999998E-3</v>
      </c>
      <c r="AA343">
        <v>0.99608300000000005</v>
      </c>
      <c r="AB343">
        <v>26</v>
      </c>
      <c r="AC343">
        <v>28.120699999999999</v>
      </c>
      <c r="AD343">
        <v>-1.074427171215</v>
      </c>
      <c r="AE343">
        <v>-2.5044000000000302</v>
      </c>
      <c r="AF343">
        <v>2.5150528569525301</v>
      </c>
      <c r="AG343">
        <v>-1.074427171215</v>
      </c>
      <c r="AH343">
        <v>28.078755593533302</v>
      </c>
      <c r="AI343">
        <v>92.182611235567407</v>
      </c>
      <c r="AJ343">
        <v>84.881597228669307</v>
      </c>
      <c r="AK343">
        <v>28.2116359026003</v>
      </c>
      <c r="AL343">
        <v>81.011286790915193</v>
      </c>
      <c r="AM343">
        <v>89.979166029470605</v>
      </c>
      <c r="AN343">
        <v>1.00000002792485</v>
      </c>
    </row>
    <row r="344" spans="1:40" x14ac:dyDescent="0.25">
      <c r="A344" t="str">
        <f>"20190303162750386"</f>
        <v>20190303162750386</v>
      </c>
      <c r="B344" t="str">
        <f>"1551601670382240"</f>
        <v>1551601670382240</v>
      </c>
      <c r="C344" t="s">
        <v>40</v>
      </c>
      <c r="D344">
        <v>4.9322299999999997</v>
      </c>
      <c r="E344">
        <v>0.53450620000000004</v>
      </c>
      <c r="F344" t="s">
        <v>41</v>
      </c>
      <c r="G344">
        <v>-370.22309999999999</v>
      </c>
      <c r="H344" s="1">
        <v>-4.9440380000000002E-6</v>
      </c>
      <c r="I344">
        <v>365.28989999999999</v>
      </c>
      <c r="J344">
        <v>-399.9248</v>
      </c>
      <c r="K344">
        <v>1.075202</v>
      </c>
      <c r="L344">
        <v>367.92700000000002</v>
      </c>
      <c r="M344">
        <v>0.99996010000000002</v>
      </c>
      <c r="N344">
        <v>-8.9453099999999997E-3</v>
      </c>
      <c r="O344">
        <v>3.368512E-4</v>
      </c>
      <c r="P344">
        <v>0.98910489999999995</v>
      </c>
      <c r="Q344">
        <v>0.1472135</v>
      </c>
      <c r="R344">
        <v>-1.385952E-4</v>
      </c>
      <c r="S344">
        <v>3.0487060000000001</v>
      </c>
      <c r="T344">
        <v>-0.10967250000000001</v>
      </c>
      <c r="U344">
        <v>-0.26919559999999998</v>
      </c>
      <c r="V344">
        <v>5.5806710000000002E-4</v>
      </c>
      <c r="W344">
        <v>0.15605520000000001</v>
      </c>
      <c r="X344">
        <v>0.98774810000000002</v>
      </c>
      <c r="Y344">
        <v>8.8220720000000002E-2</v>
      </c>
      <c r="Z344">
        <v>-1.98781E-3</v>
      </c>
      <c r="AA344">
        <v>0.99609899999999996</v>
      </c>
      <c r="AB344">
        <v>27</v>
      </c>
      <c r="AC344">
        <v>29.701699999999999</v>
      </c>
      <c r="AD344">
        <v>-1.0752069440379901</v>
      </c>
      <c r="AE344">
        <v>-2.63709999999997</v>
      </c>
      <c r="AF344">
        <v>2.64366799542969</v>
      </c>
      <c r="AG344">
        <v>-1.0752069440379901</v>
      </c>
      <c r="AH344">
        <v>29.662243011267002</v>
      </c>
      <c r="AI344">
        <v>92.067778554894304</v>
      </c>
      <c r="AJ344">
        <v>84.906930848168599</v>
      </c>
      <c r="AK344">
        <v>29.799223327161101</v>
      </c>
      <c r="AL344">
        <v>81.021999791121203</v>
      </c>
      <c r="AM344">
        <v>89.967628501524999</v>
      </c>
      <c r="AN344">
        <v>0.99999992296976603</v>
      </c>
    </row>
    <row r="345" spans="1:40" x14ac:dyDescent="0.25">
      <c r="A345" t="str">
        <f>"20190303162750404"</f>
        <v>20190303162750404</v>
      </c>
      <c r="B345" t="str">
        <f>"1551601670391999"</f>
        <v>1551601670391999</v>
      </c>
      <c r="C345" t="s">
        <v>40</v>
      </c>
      <c r="D345">
        <v>4.9681639999999998</v>
      </c>
      <c r="E345">
        <v>0.53431549999999906</v>
      </c>
      <c r="F345" t="s">
        <v>41</v>
      </c>
      <c r="G345">
        <v>-368.41820000000001</v>
      </c>
      <c r="H345" s="1">
        <v>-1.715727E-6</v>
      </c>
      <c r="I345">
        <v>365.13869999999997</v>
      </c>
      <c r="J345">
        <v>-399.6961</v>
      </c>
      <c r="K345">
        <v>1.0764819999999999</v>
      </c>
      <c r="L345">
        <v>367.92680000000001</v>
      </c>
      <c r="M345">
        <v>0.99997429999999998</v>
      </c>
      <c r="N345">
        <v>-7.171925E-3</v>
      </c>
      <c r="O345">
        <v>1.013431E-4</v>
      </c>
      <c r="P345">
        <v>0.98888560000000003</v>
      </c>
      <c r="Q345">
        <v>0.148677799999999</v>
      </c>
      <c r="R345">
        <v>-5.2002999999999999E-4</v>
      </c>
      <c r="S345">
        <v>3.0484619999999998</v>
      </c>
      <c r="T345">
        <v>-0.104032399999999</v>
      </c>
      <c r="U345">
        <v>-0.2697754</v>
      </c>
      <c r="V345">
        <v>6.9534130000000003E-4</v>
      </c>
      <c r="W345">
        <v>0.15576599999999999</v>
      </c>
      <c r="X345">
        <v>0.9877937</v>
      </c>
      <c r="Y345">
        <v>8.8190270000000001E-2</v>
      </c>
      <c r="Z345">
        <v>-1.8211340000000001E-3</v>
      </c>
      <c r="AA345">
        <v>0.99610200000000004</v>
      </c>
      <c r="AB345">
        <v>27</v>
      </c>
      <c r="AC345">
        <v>31.277899999999899</v>
      </c>
      <c r="AD345">
        <v>-1.076483715727</v>
      </c>
      <c r="AE345">
        <v>-2.78810000000004</v>
      </c>
      <c r="AF345">
        <v>2.7879934862242899</v>
      </c>
      <c r="AG345">
        <v>-1.076483715727</v>
      </c>
      <c r="AH345">
        <v>31.240903748246801</v>
      </c>
      <c r="AI345">
        <v>91.9656832649394</v>
      </c>
      <c r="AJ345">
        <v>84.900332776679093</v>
      </c>
      <c r="AK345">
        <v>31.383527396974898</v>
      </c>
      <c r="AL345">
        <v>81.038775224237895</v>
      </c>
      <c r="AM345">
        <v>89.959667575091203</v>
      </c>
      <c r="AN345">
        <v>0.99999996200760599</v>
      </c>
    </row>
    <row r="346" spans="1:40" x14ac:dyDescent="0.25">
      <c r="A346" t="str">
        <f>"20190303162750428"</f>
        <v>20190303162750428</v>
      </c>
      <c r="B346" t="str">
        <f>"1551601670422256"</f>
        <v>1551601670422256</v>
      </c>
      <c r="C346" t="s">
        <v>40</v>
      </c>
      <c r="D346">
        <v>4.9684650000000001</v>
      </c>
      <c r="E346">
        <v>0.53384989999999999</v>
      </c>
      <c r="F346" t="s">
        <v>41</v>
      </c>
      <c r="G346">
        <v>-366.86540000000002</v>
      </c>
      <c r="H346" s="1">
        <v>-2.2741200000000001E-6</v>
      </c>
      <c r="I346">
        <v>365.02609999999999</v>
      </c>
      <c r="J346">
        <v>-399.42110000000002</v>
      </c>
      <c r="K346">
        <v>1.078147</v>
      </c>
      <c r="L346">
        <v>367.92649999999998</v>
      </c>
      <c r="M346">
        <v>0.99998659999999995</v>
      </c>
      <c r="N346">
        <v>-5.214799E-3</v>
      </c>
      <c r="O346">
        <v>-1.708522E-4</v>
      </c>
      <c r="P346">
        <v>0.98861429999999995</v>
      </c>
      <c r="Q346">
        <v>0.15046789999999999</v>
      </c>
      <c r="R346">
        <v>-1.2119069999999999E-3</v>
      </c>
      <c r="S346">
        <v>3.0486149999999999</v>
      </c>
      <c r="T346">
        <v>-9.9960569999999999E-2</v>
      </c>
      <c r="U346">
        <v>-0.26934809999999998</v>
      </c>
      <c r="V346">
        <v>1.1060429999999999E-3</v>
      </c>
      <c r="W346">
        <v>0.15562089999999901</v>
      </c>
      <c r="X346">
        <v>0.98781620000000003</v>
      </c>
      <c r="Y346">
        <v>8.7783749999999994E-2</v>
      </c>
      <c r="Z346">
        <v>-1.6606870000000001E-3</v>
      </c>
      <c r="AA346">
        <v>0.99613819999999997</v>
      </c>
      <c r="AB346">
        <v>27</v>
      </c>
      <c r="AC346">
        <v>32.555700000000002</v>
      </c>
      <c r="AD346">
        <v>-1.0781492741200001</v>
      </c>
      <c r="AE346">
        <v>-2.9003999999999901</v>
      </c>
      <c r="AF346">
        <v>2.8916912103616998</v>
      </c>
      <c r="AG346">
        <v>-1.0781492741200001</v>
      </c>
      <c r="AH346">
        <v>32.520809058756903</v>
      </c>
      <c r="AI346">
        <v>91.891351670808206</v>
      </c>
      <c r="AJ346">
        <v>84.918726944431299</v>
      </c>
      <c r="AK346">
        <v>32.666914542844303</v>
      </c>
      <c r="AL346">
        <v>81.047191514594502</v>
      </c>
      <c r="AM346">
        <v>89.935846800875296</v>
      </c>
      <c r="AN346">
        <v>0.99999996641518296</v>
      </c>
    </row>
    <row r="347" spans="1:40" x14ac:dyDescent="0.25">
      <c r="A347" t="str">
        <f>"20190303162750451"</f>
        <v>20190303162750451</v>
      </c>
      <c r="B347" t="str">
        <f>"1551601670441775"</f>
        <v>1551601670441775</v>
      </c>
      <c r="C347" t="s">
        <v>40</v>
      </c>
      <c r="D347">
        <v>4.927619</v>
      </c>
      <c r="E347">
        <v>0.53353689999999998</v>
      </c>
      <c r="F347" t="s">
        <v>41</v>
      </c>
      <c r="G347">
        <v>-365.23430000000002</v>
      </c>
      <c r="H347" s="1">
        <v>-2.8581370000000002E-6</v>
      </c>
      <c r="I347">
        <v>364.92950000000002</v>
      </c>
      <c r="J347">
        <v>-399.14249999999998</v>
      </c>
      <c r="K347">
        <v>1.0798350000000001</v>
      </c>
      <c r="L347">
        <v>367.92619999999999</v>
      </c>
      <c r="M347">
        <v>0.9999943</v>
      </c>
      <c r="N347">
        <v>-3.3776510000000002E-3</v>
      </c>
      <c r="O347">
        <v>-4.1786170000000002E-4</v>
      </c>
      <c r="P347">
        <v>0.98835240000000002</v>
      </c>
      <c r="Q347">
        <v>0.15216540000000001</v>
      </c>
      <c r="R347">
        <v>-2.3459399999999999E-3</v>
      </c>
      <c r="S347">
        <v>3.048889</v>
      </c>
      <c r="T347">
        <v>-9.6152779999999993E-2</v>
      </c>
      <c r="U347">
        <v>-0.26727289999999998</v>
      </c>
      <c r="V347">
        <v>1.9885990000000002E-3</v>
      </c>
      <c r="W347">
        <v>0.15550229999999901</v>
      </c>
      <c r="X347">
        <v>0.98783359999999998</v>
      </c>
      <c r="Y347">
        <v>8.6863930000000006E-2</v>
      </c>
      <c r="Z347">
        <v>-1.5020319999999999E-3</v>
      </c>
      <c r="AA347">
        <v>0.99621899999999997</v>
      </c>
      <c r="AB347">
        <v>27</v>
      </c>
      <c r="AC347">
        <v>33.908199999999901</v>
      </c>
      <c r="AD347">
        <v>-1.0798378581370001</v>
      </c>
      <c r="AE347">
        <v>-2.9966999999999699</v>
      </c>
      <c r="AF347">
        <v>2.9795324083896801</v>
      </c>
      <c r="AG347">
        <v>-1.0798378581370001</v>
      </c>
      <c r="AH347">
        <v>33.875360376511999</v>
      </c>
      <c r="AI347">
        <v>91.818770570958407</v>
      </c>
      <c r="AJ347">
        <v>84.973442820555107</v>
      </c>
      <c r="AK347">
        <v>34.023281790724802</v>
      </c>
      <c r="AL347">
        <v>81.054071477503598</v>
      </c>
      <c r="AM347">
        <v>89.884658533652498</v>
      </c>
      <c r="AN347">
        <v>1.00000007056011</v>
      </c>
    </row>
    <row r="348" spans="1:40" x14ac:dyDescent="0.25">
      <c r="A348" t="str">
        <f>"20190303162750465"</f>
        <v>20190303162750465</v>
      </c>
      <c r="B348" t="str">
        <f>"1551601670451536"</f>
        <v>1551601670451536</v>
      </c>
      <c r="C348" t="s">
        <v>40</v>
      </c>
      <c r="D348">
        <v>4.9554679999999998</v>
      </c>
      <c r="E348">
        <v>0.53342769999999995</v>
      </c>
      <c r="F348" t="s">
        <v>41</v>
      </c>
      <c r="G348">
        <v>-363.27629999999999</v>
      </c>
      <c r="H348" s="1">
        <v>-3.725938E-6</v>
      </c>
      <c r="I348">
        <v>364.77260000000001</v>
      </c>
      <c r="J348">
        <v>-398.98559999999998</v>
      </c>
      <c r="K348">
        <v>1.080776</v>
      </c>
      <c r="L348">
        <v>367.92599999999999</v>
      </c>
      <c r="M348">
        <v>0.99999700000000002</v>
      </c>
      <c r="N348">
        <v>-2.404252E-3</v>
      </c>
      <c r="O348">
        <v>-5.4108089999999997E-4</v>
      </c>
      <c r="P348">
        <v>0.98822189999999999</v>
      </c>
      <c r="Q348">
        <v>0.15299879999999999</v>
      </c>
      <c r="R348">
        <v>-2.9548349999999998E-3</v>
      </c>
      <c r="S348">
        <v>3.048889</v>
      </c>
      <c r="T348">
        <v>-9.1794009999999995E-2</v>
      </c>
      <c r="U348">
        <v>-0.26806639999999998</v>
      </c>
      <c r="V348">
        <v>2.4746999999999998E-3</v>
      </c>
      <c r="W348">
        <v>0.15537319999999999</v>
      </c>
      <c r="X348">
        <v>0.98785279999999998</v>
      </c>
      <c r="Y348">
        <v>8.7003709999999998E-2</v>
      </c>
      <c r="Z348">
        <v>-1.396769E-3</v>
      </c>
      <c r="AA348">
        <v>0.99620699999999995</v>
      </c>
      <c r="AB348">
        <v>27</v>
      </c>
      <c r="AC348">
        <v>35.709299999999899</v>
      </c>
      <c r="AD348">
        <v>-1.0807797259380001</v>
      </c>
      <c r="AE348">
        <v>-3.1533999999999698</v>
      </c>
      <c r="AF348">
        <v>3.1312317422721798</v>
      </c>
      <c r="AG348">
        <v>-1.0807797259380001</v>
      </c>
      <c r="AH348">
        <v>35.678571124929903</v>
      </c>
      <c r="AI348">
        <v>91.728440729589593</v>
      </c>
      <c r="AJ348">
        <v>84.984443990200504</v>
      </c>
      <c r="AK348">
        <v>35.832012705909897</v>
      </c>
      <c r="AL348">
        <v>81.061559231573995</v>
      </c>
      <c r="AM348">
        <v>89.856466905845707</v>
      </c>
      <c r="AN348">
        <v>1.0000000549430801</v>
      </c>
    </row>
    <row r="349" spans="1:40" x14ac:dyDescent="0.25">
      <c r="A349" t="str">
        <f>"20190303162750484"</f>
        <v>20190303162750484</v>
      </c>
      <c r="B349" t="str">
        <f>"1551601670472032"</f>
        <v>1551601670472032</v>
      </c>
      <c r="C349" t="s">
        <v>40</v>
      </c>
      <c r="D349">
        <v>4.9643459999999999</v>
      </c>
      <c r="E349">
        <v>0.53318719999999997</v>
      </c>
      <c r="F349" t="s">
        <v>41</v>
      </c>
      <c r="G349">
        <v>-362.16879999999998</v>
      </c>
      <c r="H349" s="1">
        <v>-4.2178389999999997E-6</v>
      </c>
      <c r="I349">
        <v>364.67809999999997</v>
      </c>
      <c r="J349">
        <v>-398.74549999999999</v>
      </c>
      <c r="K349">
        <v>1.082176</v>
      </c>
      <c r="L349">
        <v>367.92570000000001</v>
      </c>
      <c r="M349">
        <v>0.99999919999999998</v>
      </c>
      <c r="N349">
        <v>-1.0968659999999999E-3</v>
      </c>
      <c r="O349">
        <v>-7.0564830000000001E-4</v>
      </c>
      <c r="P349">
        <v>0.98799820000000005</v>
      </c>
      <c r="Q349">
        <v>0.1544141</v>
      </c>
      <c r="R349">
        <v>-4.005967E-3</v>
      </c>
      <c r="S349">
        <v>3.0487980000000001</v>
      </c>
      <c r="T349">
        <v>-8.9499120000000001E-2</v>
      </c>
      <c r="U349">
        <v>-0.26895140000000001</v>
      </c>
      <c r="V349">
        <v>3.3636730000000002E-3</v>
      </c>
      <c r="W349">
        <v>0.15549660000000001</v>
      </c>
      <c r="X349">
        <v>0.98783069999999895</v>
      </c>
      <c r="Y349">
        <v>8.7133009999999997E-2</v>
      </c>
      <c r="Z349">
        <v>-1.304159E-3</v>
      </c>
      <c r="AA349">
        <v>0.99619590000000002</v>
      </c>
      <c r="AB349">
        <v>27</v>
      </c>
      <c r="AC349">
        <v>36.576700000000002</v>
      </c>
      <c r="AD349">
        <v>-1.0821802178389901</v>
      </c>
      <c r="AE349">
        <v>-3.24760000000003</v>
      </c>
      <c r="AF349">
        <v>3.2189931310966302</v>
      </c>
      <c r="AG349">
        <v>-1.0821802178389901</v>
      </c>
      <c r="AH349">
        <v>36.547240548395798</v>
      </c>
      <c r="AI349">
        <v>91.689521313026205</v>
      </c>
      <c r="AJ349">
        <v>84.966514622326699</v>
      </c>
      <c r="AK349">
        <v>36.704683931403501</v>
      </c>
      <c r="AL349">
        <v>81.054401443011002</v>
      </c>
      <c r="AM349">
        <v>89.804902275559797</v>
      </c>
      <c r="AN349">
        <v>0.99999999938505002</v>
      </c>
    </row>
    <row r="350" spans="1:40" x14ac:dyDescent="0.25">
      <c r="A350" t="str">
        <f>"20190303162750507"</f>
        <v>20190303162750507</v>
      </c>
      <c r="B350" t="str">
        <f>"1551601670502287"</f>
        <v>1551601670502287</v>
      </c>
      <c r="C350" t="s">
        <v>40</v>
      </c>
      <c r="D350">
        <v>5.0017870000000002</v>
      </c>
      <c r="E350">
        <v>0.53332659999999998</v>
      </c>
      <c r="F350" t="s">
        <v>41</v>
      </c>
      <c r="G350">
        <v>-360.52109999999999</v>
      </c>
      <c r="H350" s="1">
        <v>-4.9490579999999999E-6</v>
      </c>
      <c r="I350">
        <v>364.54070000000002</v>
      </c>
      <c r="J350">
        <v>-398.48</v>
      </c>
      <c r="K350">
        <v>1.0839430000000001</v>
      </c>
      <c r="L350">
        <v>367.92529999999999</v>
      </c>
      <c r="M350">
        <v>0.99999950000000004</v>
      </c>
      <c r="N350">
        <v>-6.7772890000000004E-4</v>
      </c>
      <c r="O350">
        <v>-8.9039209999999998E-4</v>
      </c>
      <c r="P350">
        <v>0.98793450000000005</v>
      </c>
      <c r="Q350">
        <v>0.15480669999999999</v>
      </c>
      <c r="R350">
        <v>-4.4864570000000001E-3</v>
      </c>
      <c r="S350">
        <v>3.0488279999999999</v>
      </c>
      <c r="T350">
        <v>-8.6316110000000001E-2</v>
      </c>
      <c r="U350">
        <v>-0.26998899999999998</v>
      </c>
      <c r="V350">
        <v>3.6589460000000002E-3</v>
      </c>
      <c r="W350">
        <v>0.1554749</v>
      </c>
      <c r="X350">
        <v>0.98783310000000002</v>
      </c>
      <c r="Y350">
        <v>8.7287660000000003E-2</v>
      </c>
      <c r="Z350">
        <v>-1.2380430000000001E-3</v>
      </c>
      <c r="AA350">
        <v>0.99618240000000002</v>
      </c>
      <c r="AB350">
        <v>27</v>
      </c>
      <c r="AC350">
        <v>37.9589</v>
      </c>
      <c r="AD350">
        <v>-1.083947949058</v>
      </c>
      <c r="AE350">
        <v>-3.3845999999999701</v>
      </c>
      <c r="AF350">
        <v>3.3480917318038999</v>
      </c>
      <c r="AG350">
        <v>-1.083947949058</v>
      </c>
      <c r="AH350">
        <v>37.9312120863529</v>
      </c>
      <c r="AI350">
        <v>91.630541313219197</v>
      </c>
      <c r="AJ350">
        <v>84.955720224861494</v>
      </c>
      <c r="AK350">
        <v>38.094113872627702</v>
      </c>
      <c r="AL350">
        <v>81.055660371212497</v>
      </c>
      <c r="AM350">
        <v>89.787776695748306</v>
      </c>
      <c r="AN350">
        <v>1.0000000329357199</v>
      </c>
    </row>
    <row r="351" spans="1:40" x14ac:dyDescent="0.25">
      <c r="A351" t="str">
        <f>"20190303162750528"</f>
        <v>20190303162750528</v>
      </c>
      <c r="B351" t="str">
        <f>"1551601670521808"</f>
        <v>1551601670521808</v>
      </c>
      <c r="C351" t="s">
        <v>40</v>
      </c>
      <c r="D351">
        <v>4.9792339999999999</v>
      </c>
      <c r="E351">
        <v>0.53112869999999901</v>
      </c>
      <c r="F351" t="s">
        <v>44</v>
      </c>
      <c r="G351">
        <v>-397.57</v>
      </c>
      <c r="H351">
        <v>0.98481759999999996</v>
      </c>
      <c r="I351">
        <v>367.84539999999998</v>
      </c>
      <c r="J351">
        <v>-398.21839999999997</v>
      </c>
      <c r="K351">
        <v>1.086125</v>
      </c>
      <c r="L351">
        <v>367.92489999999998</v>
      </c>
      <c r="M351">
        <v>0.99999890000000002</v>
      </c>
      <c r="N351">
        <v>-1.0241810000000001E-3</v>
      </c>
      <c r="O351">
        <v>-1.080489E-3</v>
      </c>
      <c r="P351">
        <v>0.98795889999999997</v>
      </c>
      <c r="Q351">
        <v>0.15462770000000001</v>
      </c>
      <c r="R351">
        <v>-5.2465150000000002E-3</v>
      </c>
      <c r="S351">
        <v>3.088104</v>
      </c>
      <c r="T351">
        <v>-0.33653</v>
      </c>
      <c r="U351">
        <v>-0.26968379999999997</v>
      </c>
      <c r="V351">
        <v>4.2290720000000004E-3</v>
      </c>
      <c r="W351">
        <v>0.1556379</v>
      </c>
      <c r="X351">
        <v>0.98780509999999999</v>
      </c>
      <c r="Y351">
        <v>8.5421899999999995E-2</v>
      </c>
      <c r="Z351">
        <v>-4.5598840000000002E-3</v>
      </c>
      <c r="AA351">
        <v>0.99633439999999995</v>
      </c>
      <c r="AB351">
        <v>27</v>
      </c>
      <c r="AC351">
        <v>0.64839999999997999</v>
      </c>
      <c r="AD351">
        <v>-0.10130740000000001</v>
      </c>
      <c r="AE351">
        <v>-7.9499999999995893E-2</v>
      </c>
      <c r="AF351">
        <v>7.6948742451889804E-2</v>
      </c>
      <c r="AG351">
        <v>-0.10130740000000001</v>
      </c>
      <c r="AH351">
        <v>0.63325568454250103</v>
      </c>
      <c r="AI351">
        <v>99.023813211031396</v>
      </c>
      <c r="AJ351">
        <v>83.071788975489</v>
      </c>
      <c r="AK351">
        <v>0.64590793482126996</v>
      </c>
      <c r="AL351">
        <v>81.046205578959899</v>
      </c>
      <c r="AM351">
        <v>89.754702120466803</v>
      </c>
      <c r="AN351">
        <v>0.99999997827620002</v>
      </c>
    </row>
    <row r="352" spans="1:40" x14ac:dyDescent="0.25">
      <c r="A352" t="str">
        <f>"20190303162750541"</f>
        <v>20190303162750541</v>
      </c>
      <c r="B352" t="str">
        <f>"1551601670531569"</f>
        <v>1551601670531569</v>
      </c>
      <c r="C352" t="s">
        <v>40</v>
      </c>
      <c r="D352">
        <v>4.9526000000000003</v>
      </c>
      <c r="E352">
        <v>0.53136810000000001</v>
      </c>
      <c r="F352" t="s">
        <v>44</v>
      </c>
      <c r="G352">
        <v>-397.38799999999998</v>
      </c>
      <c r="H352">
        <v>0.87189329999999998</v>
      </c>
      <c r="I352">
        <v>367.85930000000002</v>
      </c>
      <c r="J352">
        <v>-398.0677</v>
      </c>
      <c r="K352">
        <v>1.0874820000000001</v>
      </c>
      <c r="L352">
        <v>367.92469999999997</v>
      </c>
      <c r="M352">
        <v>0.99999859999999896</v>
      </c>
      <c r="N352">
        <v>-1.227007E-3</v>
      </c>
      <c r="O352">
        <v>-1.192334E-3</v>
      </c>
      <c r="P352">
        <v>0.98798019999999998</v>
      </c>
      <c r="Q352">
        <v>0.15448990000000001</v>
      </c>
      <c r="R352">
        <v>-5.306659E-3</v>
      </c>
      <c r="S352">
        <v>3.1629640000000001</v>
      </c>
      <c r="T352">
        <v>-0.8160039</v>
      </c>
      <c r="U352">
        <v>-0.24853520000000001</v>
      </c>
      <c r="V352">
        <v>4.1784810000000004E-3</v>
      </c>
      <c r="W352">
        <v>0.15570049999999999</v>
      </c>
      <c r="X352">
        <v>0.98779550000000005</v>
      </c>
      <c r="Y352">
        <v>7.4740550000000003E-2</v>
      </c>
      <c r="Z352">
        <v>-9.2177409999999998E-3</v>
      </c>
      <c r="AA352">
        <v>0.99716039999999995</v>
      </c>
      <c r="AB352">
        <v>26</v>
      </c>
      <c r="AC352">
        <v>0.679699999999968</v>
      </c>
      <c r="AD352">
        <v>-0.21558869999999999</v>
      </c>
      <c r="AE352">
        <v>-6.5399999999954106E-2</v>
      </c>
      <c r="AF352">
        <v>5.8734747106968403E-2</v>
      </c>
      <c r="AG352">
        <v>-0.21558869999999999</v>
      </c>
      <c r="AH352">
        <v>0.61815844282080401</v>
      </c>
      <c r="AI352">
        <v>109.146791389928</v>
      </c>
      <c r="AJ352">
        <v>84.572296927821995</v>
      </c>
      <c r="AK352">
        <v>0.65730367298232095</v>
      </c>
      <c r="AL352">
        <v>81.042575044240394</v>
      </c>
      <c r="AM352">
        <v>89.757634147847995</v>
      </c>
      <c r="AN352">
        <v>1.00000002761198</v>
      </c>
    </row>
    <row r="353" spans="1:40" x14ac:dyDescent="0.25">
      <c r="A353" t="str">
        <f>"20190303162750554"</f>
        <v>20190303162750554</v>
      </c>
      <c r="B353" t="str">
        <f>"1551601670542304"</f>
        <v>1551601670542304</v>
      </c>
      <c r="C353" t="s">
        <v>40</v>
      </c>
      <c r="D353">
        <v>4.9430249999999996</v>
      </c>
      <c r="E353">
        <v>0.5310243</v>
      </c>
      <c r="F353" t="s">
        <v>44</v>
      </c>
      <c r="G353">
        <v>-397.3784</v>
      </c>
      <c r="H353">
        <v>0.89311180000000001</v>
      </c>
      <c r="I353">
        <v>367.87009999999998</v>
      </c>
      <c r="J353">
        <v>-397.92250000000001</v>
      </c>
      <c r="K353">
        <v>1.088822</v>
      </c>
      <c r="L353">
        <v>367.92430000000002</v>
      </c>
      <c r="M353">
        <v>0.99999850000000001</v>
      </c>
      <c r="N353">
        <v>-1.205575E-3</v>
      </c>
      <c r="O353">
        <v>-1.2992489999999999E-3</v>
      </c>
      <c r="P353">
        <v>0.98797950000000001</v>
      </c>
      <c r="Q353">
        <v>0.1544885</v>
      </c>
      <c r="R353">
        <v>-5.4605330000000001E-3</v>
      </c>
      <c r="S353">
        <v>3.1751399999999999</v>
      </c>
      <c r="T353">
        <v>-0.8952504</v>
      </c>
      <c r="U353">
        <v>-0.24969479999999999</v>
      </c>
      <c r="V353">
        <v>4.2270229999999999E-3</v>
      </c>
      <c r="W353">
        <v>0.15567790000000001</v>
      </c>
      <c r="X353">
        <v>0.98779879999999998</v>
      </c>
      <c r="Y353">
        <v>7.4262350000000005E-2</v>
      </c>
      <c r="Z353">
        <v>-9.9426459999999994E-3</v>
      </c>
      <c r="AA353">
        <v>0.9971892</v>
      </c>
      <c r="AB353">
        <v>26</v>
      </c>
      <c r="AC353">
        <v>0.54410000000001402</v>
      </c>
      <c r="AD353">
        <v>-0.195710199999999</v>
      </c>
      <c r="AE353">
        <v>-5.42000000000371E-2</v>
      </c>
      <c r="AF353">
        <v>4.7418299342918802E-2</v>
      </c>
      <c r="AG353">
        <v>-0.195710199999999</v>
      </c>
      <c r="AH353">
        <v>0.48237336527138902</v>
      </c>
      <c r="AI353">
        <v>111.987736006284</v>
      </c>
      <c r="AJ353">
        <v>84.385744094758707</v>
      </c>
      <c r="AK353">
        <v>0.52271889292415996</v>
      </c>
      <c r="AL353">
        <v>81.043885418289904</v>
      </c>
      <c r="AM353">
        <v>89.754819402998095</v>
      </c>
      <c r="AN353">
        <v>0.99999997277664499</v>
      </c>
    </row>
    <row r="354" spans="1:40" x14ac:dyDescent="0.25">
      <c r="A354" t="str">
        <f>"20190303162750572"</f>
        <v>20190303162750572</v>
      </c>
      <c r="B354" t="str">
        <f>"1551601670561824"</f>
        <v>1551601670561824</v>
      </c>
      <c r="C354" t="s">
        <v>40</v>
      </c>
      <c r="D354">
        <v>4.9773129999999997</v>
      </c>
      <c r="E354">
        <v>0.53192980000000001</v>
      </c>
      <c r="F354" t="s">
        <v>44</v>
      </c>
      <c r="G354">
        <v>-397.15440000000001</v>
      </c>
      <c r="H354">
        <v>0.86173389999999905</v>
      </c>
      <c r="I354">
        <v>367.8646</v>
      </c>
      <c r="J354">
        <v>-397.70260000000002</v>
      </c>
      <c r="K354">
        <v>1.0909040000000001</v>
      </c>
      <c r="L354">
        <v>367.9239</v>
      </c>
      <c r="M354">
        <v>0.99999839999999995</v>
      </c>
      <c r="N354">
        <v>-1.1076910000000001E-3</v>
      </c>
      <c r="O354">
        <v>-1.457131E-3</v>
      </c>
      <c r="P354">
        <v>0.98796890000000004</v>
      </c>
      <c r="Q354">
        <v>0.1545618</v>
      </c>
      <c r="R354">
        <v>-5.3472679999999996E-3</v>
      </c>
      <c r="S354">
        <v>3.18222</v>
      </c>
      <c r="T354">
        <v>-0.94085249999999998</v>
      </c>
      <c r="U354">
        <v>-0.2475281</v>
      </c>
      <c r="V354">
        <v>3.958207E-3</v>
      </c>
      <c r="W354">
        <v>0.15565489999999901</v>
      </c>
      <c r="X354">
        <v>0.9878036</v>
      </c>
      <c r="Y354">
        <v>7.3039960000000001E-2</v>
      </c>
      <c r="Z354">
        <v>-1.0178070000000001E-2</v>
      </c>
      <c r="AA354">
        <v>0.99727710000000003</v>
      </c>
      <c r="AB354">
        <v>26</v>
      </c>
      <c r="AC354">
        <v>0.54820000000000801</v>
      </c>
      <c r="AD354">
        <v>-0.22917009999999999</v>
      </c>
      <c r="AE354">
        <v>-5.9300000000007402E-2</v>
      </c>
      <c r="AF354">
        <v>4.9884273696227097E-2</v>
      </c>
      <c r="AG354">
        <v>-0.22917009999999999</v>
      </c>
      <c r="AH354">
        <v>0.46752663998467497</v>
      </c>
      <c r="AI354">
        <v>115.985015374151</v>
      </c>
      <c r="AJ354">
        <v>83.909682692518004</v>
      </c>
      <c r="AK354">
        <v>0.52305691333885396</v>
      </c>
      <c r="AL354">
        <v>81.045220034292598</v>
      </c>
      <c r="AM354">
        <v>89.770412517501498</v>
      </c>
      <c r="AN354">
        <v>1.0000000337348101</v>
      </c>
    </row>
    <row r="355" spans="1:40" x14ac:dyDescent="0.25">
      <c r="A355" t="str">
        <f>"20190303162750587"</f>
        <v>20190303162750587</v>
      </c>
      <c r="B355" t="str">
        <f>"1551601670582319"</f>
        <v>1551601670582319</v>
      </c>
      <c r="C355" t="s">
        <v>40</v>
      </c>
      <c r="D355">
        <v>4.9916419999999997</v>
      </c>
      <c r="E355">
        <v>0.53225559999999905</v>
      </c>
      <c r="F355" t="s">
        <v>44</v>
      </c>
      <c r="G355">
        <v>-396.9196</v>
      </c>
      <c r="H355">
        <v>0.84986349999999999</v>
      </c>
      <c r="I355">
        <v>367.86149999999998</v>
      </c>
      <c r="J355">
        <v>-397.53129999999999</v>
      </c>
      <c r="K355">
        <v>1.0925879999999999</v>
      </c>
      <c r="L355">
        <v>367.92360000000002</v>
      </c>
      <c r="M355">
        <v>0.99999830000000001</v>
      </c>
      <c r="N355">
        <v>-1.0658060000000001E-3</v>
      </c>
      <c r="O355">
        <v>-1.57488299999999E-3</v>
      </c>
      <c r="P355">
        <v>0.9879443</v>
      </c>
      <c r="Q355">
        <v>0.15471679999999999</v>
      </c>
      <c r="R355">
        <v>-5.3924589999999996E-3</v>
      </c>
      <c r="S355">
        <v>3.1887210000000001</v>
      </c>
      <c r="T355">
        <v>-0.98167660000000001</v>
      </c>
      <c r="U355">
        <v>-0.25357059999999998</v>
      </c>
      <c r="V355">
        <v>3.8878329999999998E-3</v>
      </c>
      <c r="W355">
        <v>0.1557684</v>
      </c>
      <c r="X355">
        <v>0.98778589999999999</v>
      </c>
      <c r="Y355">
        <v>7.4338589999999996E-2</v>
      </c>
      <c r="Z355">
        <v>-1.073649E-2</v>
      </c>
      <c r="AA355">
        <v>0.99717529999999999</v>
      </c>
      <c r="AB355">
        <v>27</v>
      </c>
      <c r="AC355">
        <v>0.61169999999998403</v>
      </c>
      <c r="AD355">
        <v>-0.24272449999999901</v>
      </c>
      <c r="AE355">
        <v>-6.2100000000043502E-2</v>
      </c>
      <c r="AF355">
        <v>5.2893324801809097E-2</v>
      </c>
      <c r="AG355">
        <v>-0.24272449999999901</v>
      </c>
      <c r="AH355">
        <v>0.52930645980462199</v>
      </c>
      <c r="AI355">
        <v>114.527129132833</v>
      </c>
      <c r="AJ355">
        <v>84.293406793009794</v>
      </c>
      <c r="AK355">
        <v>0.58470352752462695</v>
      </c>
      <c r="AL355">
        <v>81.038635879202005</v>
      </c>
      <c r="AM355">
        <v>89.774490330246906</v>
      </c>
      <c r="AN355">
        <v>0.99999994696140104</v>
      </c>
    </row>
    <row r="356" spans="1:40" x14ac:dyDescent="0.25">
      <c r="A356" t="str">
        <f>"20190303162750599"</f>
        <v>20190303162750599</v>
      </c>
      <c r="B356" t="str">
        <f>"1551601670592080"</f>
        <v>1551601670592080</v>
      </c>
      <c r="C356" t="s">
        <v>40</v>
      </c>
      <c r="D356">
        <v>5.0098000000000003</v>
      </c>
      <c r="E356">
        <v>0.53225630000000002</v>
      </c>
      <c r="F356" t="s">
        <v>44</v>
      </c>
      <c r="G356">
        <v>-396.68720000000002</v>
      </c>
      <c r="H356">
        <v>0.83003660000000001</v>
      </c>
      <c r="I356">
        <v>367.85550000000001</v>
      </c>
      <c r="J356">
        <v>-397.36799999999999</v>
      </c>
      <c r="K356">
        <v>1.094265</v>
      </c>
      <c r="L356">
        <v>367.92320000000001</v>
      </c>
      <c r="M356">
        <v>0.9999979</v>
      </c>
      <c r="N356">
        <v>-1.1800739999999999E-3</v>
      </c>
      <c r="O356">
        <v>-1.679514E-3</v>
      </c>
      <c r="P356">
        <v>0.98794190000000004</v>
      </c>
      <c r="Q356">
        <v>0.15473020000000001</v>
      </c>
      <c r="R356">
        <v>-5.4009729999999999E-3</v>
      </c>
      <c r="S356">
        <v>3.1906129999999999</v>
      </c>
      <c r="T356">
        <v>-0.99243610000000004</v>
      </c>
      <c r="U356">
        <v>-0.25665280000000001</v>
      </c>
      <c r="V356">
        <v>3.793252E-3</v>
      </c>
      <c r="W356">
        <v>0.15589459999999999</v>
      </c>
      <c r="X356">
        <v>0.98776640000000004</v>
      </c>
      <c r="Y356">
        <v>7.5046760000000004E-2</v>
      </c>
      <c r="Z356">
        <v>-1.092275E-2</v>
      </c>
      <c r="AA356">
        <v>0.99712020000000001</v>
      </c>
      <c r="AB356">
        <v>27</v>
      </c>
      <c r="AC356">
        <v>0.68080000000003305</v>
      </c>
      <c r="AD356">
        <v>-0.26422839999999997</v>
      </c>
      <c r="AE356">
        <v>-6.7700000000001995E-2</v>
      </c>
      <c r="AF356">
        <v>5.7917617734776702E-2</v>
      </c>
      <c r="AG356">
        <v>-0.26422839999999997</v>
      </c>
      <c r="AH356">
        <v>0.59253190192476901</v>
      </c>
      <c r="AI356">
        <v>113.932412391989</v>
      </c>
      <c r="AJ356">
        <v>84.417301750514099</v>
      </c>
      <c r="AK356">
        <v>0.65135639446405602</v>
      </c>
      <c r="AL356">
        <v>81.031316097164293</v>
      </c>
      <c r="AM356">
        <v>89.7799720036503</v>
      </c>
      <c r="AN356">
        <v>0.99999998801942702</v>
      </c>
    </row>
    <row r="357" spans="1:40" x14ac:dyDescent="0.25">
      <c r="A357" t="str">
        <f>"20190303162750618"</f>
        <v>20190303162750618</v>
      </c>
      <c r="B357" t="str">
        <f>"1551601670611600"</f>
        <v>1551601670611600</v>
      </c>
      <c r="C357" t="s">
        <v>40</v>
      </c>
      <c r="D357">
        <v>5.0575190000000001</v>
      </c>
      <c r="E357">
        <v>0.53232199999999996</v>
      </c>
      <c r="F357" t="s">
        <v>44</v>
      </c>
      <c r="G357">
        <v>-396.66919999999999</v>
      </c>
      <c r="H357">
        <v>0.87624169999999901</v>
      </c>
      <c r="I357">
        <v>367.86700000000002</v>
      </c>
      <c r="J357">
        <v>-397.14870000000002</v>
      </c>
      <c r="K357">
        <v>1.096565</v>
      </c>
      <c r="L357">
        <v>367.92270000000002</v>
      </c>
      <c r="M357">
        <v>0.99999709999999997</v>
      </c>
      <c r="N357">
        <v>-1.587401E-3</v>
      </c>
      <c r="O357">
        <v>-1.8143289999999999E-3</v>
      </c>
      <c r="P357">
        <v>0.98799519999999996</v>
      </c>
      <c r="Q357">
        <v>0.154386299999999</v>
      </c>
      <c r="R357">
        <v>-5.5239039999999996E-3</v>
      </c>
      <c r="S357">
        <v>3.1911010000000002</v>
      </c>
      <c r="T357">
        <v>-0.99556540000000004</v>
      </c>
      <c r="U357">
        <v>-0.25582890000000003</v>
      </c>
      <c r="V357">
        <v>3.7826510000000002E-3</v>
      </c>
      <c r="W357">
        <v>0.15595300000000001</v>
      </c>
      <c r="X357">
        <v>0.9877572</v>
      </c>
      <c r="Y357">
        <v>7.4644310000000005E-2</v>
      </c>
      <c r="Z357">
        <v>-1.0867979999999999E-2</v>
      </c>
      <c r="AA357">
        <v>0.99715100000000001</v>
      </c>
      <c r="AB357">
        <v>27</v>
      </c>
      <c r="AC357">
        <v>0.47950000000003001</v>
      </c>
      <c r="AD357">
        <v>-0.2203233</v>
      </c>
      <c r="AE357">
        <v>-5.5700000000058397E-2</v>
      </c>
      <c r="AF357">
        <v>4.53771514639041E-2</v>
      </c>
      <c r="AG357">
        <v>-0.2203233</v>
      </c>
      <c r="AH357">
        <v>0.39691627327828299</v>
      </c>
      <c r="AI357">
        <v>118.87652757228</v>
      </c>
      <c r="AJ357">
        <v>83.478019330781905</v>
      </c>
      <c r="AK357">
        <v>0.45622798071905801</v>
      </c>
      <c r="AL357">
        <v>81.027928395779</v>
      </c>
      <c r="AM357">
        <v>89.780584866192299</v>
      </c>
      <c r="AN357">
        <v>0.999999966404713</v>
      </c>
    </row>
    <row r="358" spans="1:40" x14ac:dyDescent="0.25">
      <c r="A358" t="str">
        <f>"20190303162750640"</f>
        <v>20190303162750640</v>
      </c>
      <c r="B358" t="str">
        <f>"1551601670632096"</f>
        <v>1551601670632096</v>
      </c>
      <c r="C358" t="s">
        <v>40</v>
      </c>
      <c r="D358">
        <v>5.0370200000000001</v>
      </c>
      <c r="E358">
        <v>0.53248469999999903</v>
      </c>
      <c r="F358" t="s">
        <v>44</v>
      </c>
      <c r="G358">
        <v>-396.43150000000003</v>
      </c>
      <c r="H358">
        <v>0.87102950000000001</v>
      </c>
      <c r="I358">
        <v>367.86509999999998</v>
      </c>
      <c r="J358">
        <v>-396.87139999999999</v>
      </c>
      <c r="K358">
        <v>1.09945</v>
      </c>
      <c r="L358">
        <v>367.92200000000003</v>
      </c>
      <c r="M358">
        <v>0.99999550000000004</v>
      </c>
      <c r="N358">
        <v>-2.3322759999999999E-3</v>
      </c>
      <c r="O358">
        <v>-1.9778930000000001E-3</v>
      </c>
      <c r="P358">
        <v>0.9881837</v>
      </c>
      <c r="Q358">
        <v>0.153161299999999</v>
      </c>
      <c r="R358">
        <v>-5.9115829999999998E-3</v>
      </c>
      <c r="S358">
        <v>3.1919559999999998</v>
      </c>
      <c r="T358">
        <v>-1.003811</v>
      </c>
      <c r="U358">
        <v>-0.25436399999999998</v>
      </c>
      <c r="V358">
        <v>4.0073000000000001E-3</v>
      </c>
      <c r="W358">
        <v>0.15546460000000001</v>
      </c>
      <c r="X358">
        <v>0.98783330000000003</v>
      </c>
      <c r="Y358">
        <v>7.3981329999999998E-2</v>
      </c>
      <c r="Z358">
        <v>-1.082842E-2</v>
      </c>
      <c r="AA358">
        <v>0.9972008</v>
      </c>
      <c r="AB358">
        <v>27</v>
      </c>
      <c r="AC358">
        <v>0.43989999999996598</v>
      </c>
      <c r="AD358">
        <v>-0.2284205</v>
      </c>
      <c r="AE358">
        <v>-5.6899999999984602E-2</v>
      </c>
      <c r="AF358">
        <v>4.42857084078246E-2</v>
      </c>
      <c r="AG358">
        <v>-0.2284205</v>
      </c>
      <c r="AH358">
        <v>0.34778323485756402</v>
      </c>
      <c r="AI358">
        <v>123.085406300809</v>
      </c>
      <c r="AJ358">
        <v>82.743175946674398</v>
      </c>
      <c r="AK358">
        <v>0.418437961037744</v>
      </c>
      <c r="AL358">
        <v>81.056257164280694</v>
      </c>
      <c r="AM358">
        <v>89.767572000478197</v>
      </c>
      <c r="AN358">
        <v>0.99999996444766903</v>
      </c>
    </row>
    <row r="359" spans="1:40" x14ac:dyDescent="0.25">
      <c r="A359" t="str">
        <f>"20190303162750664"</f>
        <v>20190303162750664</v>
      </c>
      <c r="B359" t="str">
        <f>"1551601670651615"</f>
        <v>1551601670651615</v>
      </c>
      <c r="C359" t="s">
        <v>40</v>
      </c>
      <c r="D359">
        <v>5.0321660000000001</v>
      </c>
      <c r="E359">
        <v>0.53274719999999998</v>
      </c>
      <c r="F359" t="s">
        <v>44</v>
      </c>
      <c r="G359">
        <v>-396.18630000000002</v>
      </c>
      <c r="H359">
        <v>0.88291129999999995</v>
      </c>
      <c r="I359">
        <v>367.86649999999997</v>
      </c>
      <c r="J359">
        <v>-396.60489999999999</v>
      </c>
      <c r="K359">
        <v>1.102074</v>
      </c>
      <c r="L359">
        <v>367.92129999999997</v>
      </c>
      <c r="M359">
        <v>0.99999280000000002</v>
      </c>
      <c r="N359">
        <v>-3.1234309999999999E-3</v>
      </c>
      <c r="O359">
        <v>-2.1308339999999999E-3</v>
      </c>
      <c r="P359">
        <v>0.9883345</v>
      </c>
      <c r="Q359">
        <v>0.1521766</v>
      </c>
      <c r="R359">
        <v>-6.0824570000000003E-3</v>
      </c>
      <c r="S359">
        <v>3.190674</v>
      </c>
      <c r="T359">
        <v>-1.0084900000000001</v>
      </c>
      <c r="U359">
        <v>-0.25790410000000002</v>
      </c>
      <c r="V359">
        <v>4.0252129999999997E-3</v>
      </c>
      <c r="W359">
        <v>0.15526199999999901</v>
      </c>
      <c r="X359">
        <v>0.98786510000000005</v>
      </c>
      <c r="Y359">
        <v>7.4879150000000005E-2</v>
      </c>
      <c r="Z359">
        <v>-1.1004480000000001E-2</v>
      </c>
      <c r="AA359">
        <v>0.99713189999999996</v>
      </c>
      <c r="AB359">
        <v>27</v>
      </c>
      <c r="AC359">
        <v>0.418599999999969</v>
      </c>
      <c r="AD359">
        <v>-0.21916269999999999</v>
      </c>
      <c r="AE359">
        <v>-5.4800000000000099E-2</v>
      </c>
      <c r="AF359">
        <v>4.2463966663576297E-2</v>
      </c>
      <c r="AG359">
        <v>-0.21916269999999999</v>
      </c>
      <c r="AH359">
        <v>0.32982797092882399</v>
      </c>
      <c r="AI359">
        <v>123.386332654062</v>
      </c>
      <c r="AJ359">
        <v>82.663765160354998</v>
      </c>
      <c r="AK359">
        <v>0.39827373494008</v>
      </c>
      <c r="AL359">
        <v>81.068008055569805</v>
      </c>
      <c r="AM359">
        <v>89.7665405527583</v>
      </c>
      <c r="AN359">
        <v>0.999999973390852</v>
      </c>
    </row>
    <row r="360" spans="1:40" x14ac:dyDescent="0.25">
      <c r="A360" t="str">
        <f>"20190303162750807"</f>
        <v>20190303162750807</v>
      </c>
      <c r="B360" t="str">
        <f>"1551601670801921"</f>
        <v>1551601670801921</v>
      </c>
      <c r="C360" t="s">
        <v>40</v>
      </c>
      <c r="D360">
        <v>5.0984030000000002</v>
      </c>
      <c r="E360">
        <v>0.5328425</v>
      </c>
      <c r="F360" t="s">
        <v>44</v>
      </c>
      <c r="G360">
        <v>-394.2611</v>
      </c>
      <c r="H360">
        <v>0.87632549999999898</v>
      </c>
      <c r="I360">
        <v>367.85399999999998</v>
      </c>
      <c r="J360">
        <v>-394.85829999999999</v>
      </c>
      <c r="K360">
        <v>1.1139939999999999</v>
      </c>
      <c r="L360">
        <v>367.91629999999998</v>
      </c>
      <c r="M360">
        <v>0.99996960000000001</v>
      </c>
      <c r="N360">
        <v>-7.3129719999999896E-3</v>
      </c>
      <c r="O360">
        <v>-2.7571090000000002E-3</v>
      </c>
      <c r="P360">
        <v>0.98897999999999997</v>
      </c>
      <c r="Q360">
        <v>0.14789079999999999</v>
      </c>
      <c r="R360">
        <v>-6.8789790000000003E-3</v>
      </c>
      <c r="S360">
        <v>3.1838989999999998</v>
      </c>
      <c r="T360">
        <v>-1.020224</v>
      </c>
      <c r="U360">
        <v>-0.27020260000000001</v>
      </c>
      <c r="V360">
        <v>4.1694089999999998E-3</v>
      </c>
      <c r="W360">
        <v>0.15511929999999999</v>
      </c>
      <c r="X360">
        <v>0.98788699999999996</v>
      </c>
      <c r="Y360">
        <v>7.7973459999999994E-2</v>
      </c>
      <c r="Z360">
        <v>-1.1619020000000001E-2</v>
      </c>
      <c r="AA360">
        <v>0.99688770000000004</v>
      </c>
      <c r="AB360">
        <v>27</v>
      </c>
      <c r="AC360">
        <v>0.59719999999998596</v>
      </c>
      <c r="AD360">
        <v>-0.2376685</v>
      </c>
      <c r="AE360">
        <v>-6.2299999999936503E-2</v>
      </c>
      <c r="AF360">
        <v>5.2437472602921198E-2</v>
      </c>
      <c r="AG360">
        <v>-0.2376685</v>
      </c>
      <c r="AH360">
        <v>0.51645354899870699</v>
      </c>
      <c r="AI360">
        <v>114.600176164893</v>
      </c>
      <c r="AJ360">
        <v>84.202412034826594</v>
      </c>
      <c r="AK360">
        <v>0.57092930621802196</v>
      </c>
      <c r="AL360">
        <v>81.076285151786607</v>
      </c>
      <c r="AM360">
        <v>89.758182747276607</v>
      </c>
      <c r="AN360">
        <v>1.0000000529864399</v>
      </c>
    </row>
    <row r="361" spans="1:40" x14ac:dyDescent="0.25">
      <c r="A361" t="str">
        <f>"20190303162750831"</f>
        <v>20190303162750831</v>
      </c>
      <c r="B361" t="str">
        <f>"1551601670821440"</f>
        <v>1551601670821440</v>
      </c>
      <c r="C361" t="s">
        <v>40</v>
      </c>
      <c r="D361">
        <v>5.0833300000000001</v>
      </c>
      <c r="E361">
        <v>0.54046309999999997</v>
      </c>
      <c r="F361" t="s">
        <v>44</v>
      </c>
      <c r="G361">
        <v>-394.03019999999998</v>
      </c>
      <c r="H361">
        <v>0.84875940000000005</v>
      </c>
      <c r="I361">
        <v>367.846</v>
      </c>
      <c r="J361">
        <v>-394.57560000000001</v>
      </c>
      <c r="K361">
        <v>1.11514</v>
      </c>
      <c r="L361">
        <v>367.91539999999998</v>
      </c>
      <c r="M361">
        <v>0.99996600000000002</v>
      </c>
      <c r="N361">
        <v>-7.7842229999999998E-3</v>
      </c>
      <c r="O361">
        <v>-2.7836879999999999E-3</v>
      </c>
      <c r="P361">
        <v>0.98899139999999996</v>
      </c>
      <c r="Q361">
        <v>0.147819799999999</v>
      </c>
      <c r="R361">
        <v>-6.7674750000000002E-3</v>
      </c>
      <c r="S361">
        <v>3.1840519999999999</v>
      </c>
      <c r="T361">
        <v>-1.0198199999999999</v>
      </c>
      <c r="U361">
        <v>-0.2694397</v>
      </c>
      <c r="V361">
        <v>4.0262400000000004E-3</v>
      </c>
      <c r="W361">
        <v>0.15551400000000001</v>
      </c>
      <c r="X361">
        <v>0.98782550000000002</v>
      </c>
      <c r="Y361">
        <v>7.7716880000000002E-2</v>
      </c>
      <c r="Z361">
        <v>-1.1585349999999999E-2</v>
      </c>
      <c r="AA361">
        <v>0.99690809999999996</v>
      </c>
      <c r="AB361">
        <v>27</v>
      </c>
      <c r="AC361">
        <v>0.54540000000002897</v>
      </c>
      <c r="AD361">
        <v>-0.26638060000000002</v>
      </c>
      <c r="AE361">
        <v>-6.9399999999973205E-2</v>
      </c>
      <c r="AF361">
        <v>5.4976026010709902E-2</v>
      </c>
      <c r="AG361">
        <v>-0.26638060000000002</v>
      </c>
      <c r="AH361">
        <v>0.44186481233306002</v>
      </c>
      <c r="AI361">
        <v>120.88967140498799</v>
      </c>
      <c r="AJ361">
        <v>82.907807660216704</v>
      </c>
      <c r="AK361">
        <v>0.51886944395524104</v>
      </c>
      <c r="AL361">
        <v>81.053392374825407</v>
      </c>
      <c r="AM361">
        <v>89.766471626940799</v>
      </c>
      <c r="AN361">
        <v>1.0000000166273899</v>
      </c>
    </row>
    <row r="362" spans="1:40" x14ac:dyDescent="0.25">
      <c r="A362" t="str">
        <f>"20190303162750843"</f>
        <v>20190303162750843</v>
      </c>
      <c r="B362" t="str">
        <f>"1551601670832176"</f>
        <v>1551601670832176</v>
      </c>
      <c r="C362" t="s">
        <v>40</v>
      </c>
      <c r="D362">
        <v>5.0722110000000002</v>
      </c>
      <c r="E362">
        <v>0.53840519999999903</v>
      </c>
      <c r="F362" t="s">
        <v>44</v>
      </c>
      <c r="G362">
        <v>-393.69540000000001</v>
      </c>
      <c r="H362">
        <v>1.046084</v>
      </c>
      <c r="I362">
        <v>367.8186</v>
      </c>
      <c r="J362">
        <v>-394.4239</v>
      </c>
      <c r="K362">
        <v>1.1156969999999999</v>
      </c>
      <c r="L362">
        <v>367.91500000000002</v>
      </c>
      <c r="M362">
        <v>0.99996399999999996</v>
      </c>
      <c r="N362">
        <v>-8.0198030000000007E-3</v>
      </c>
      <c r="O362">
        <v>-2.792072E-3</v>
      </c>
      <c r="P362">
        <v>0.9889348</v>
      </c>
      <c r="Q362">
        <v>0.14820079999999999</v>
      </c>
      <c r="R362">
        <v>-6.6945609999999999E-3</v>
      </c>
      <c r="S362">
        <v>3.067078</v>
      </c>
      <c r="T362">
        <v>-0.2406769</v>
      </c>
      <c r="U362">
        <v>-0.33731080000000002</v>
      </c>
      <c r="V362">
        <v>3.9428700000000002E-3</v>
      </c>
      <c r="W362">
        <v>0.1561273</v>
      </c>
      <c r="X362">
        <v>0.98772910000000003</v>
      </c>
      <c r="Y362">
        <v>0.10619389999999899</v>
      </c>
      <c r="Z362">
        <v>-4.3797559999999899E-3</v>
      </c>
      <c r="AA362">
        <v>0.99433579999999999</v>
      </c>
      <c r="AB362">
        <v>27</v>
      </c>
      <c r="AC362">
        <v>0.72849999999999604</v>
      </c>
      <c r="AD362">
        <v>-6.9612999999999897E-2</v>
      </c>
      <c r="AE362">
        <v>-9.6400000000016903E-2</v>
      </c>
      <c r="AF362">
        <v>9.3526236433593896E-2</v>
      </c>
      <c r="AG362">
        <v>-6.9612999999999897E-2</v>
      </c>
      <c r="AH362">
        <v>0.72228459216229302</v>
      </c>
      <c r="AI362">
        <v>95.459798682394407</v>
      </c>
      <c r="AJ362">
        <v>82.622011848850207</v>
      </c>
      <c r="AK362">
        <v>0.73163389666245104</v>
      </c>
      <c r="AL362">
        <v>81.017818448005997</v>
      </c>
      <c r="AM362">
        <v>89.771284849023402</v>
      </c>
      <c r="AN362">
        <v>1.0000000275079599</v>
      </c>
    </row>
    <row r="363" spans="1:40" x14ac:dyDescent="0.25">
      <c r="A363" t="str">
        <f>"20190303162750862"</f>
        <v>20190303162750862</v>
      </c>
      <c r="B363" t="str">
        <f>"1551601670851696"</f>
        <v>1551601670851696</v>
      </c>
      <c r="C363" t="s">
        <v>40</v>
      </c>
      <c r="D363">
        <v>5.0209020000000004</v>
      </c>
      <c r="E363">
        <v>0.53785780000000005</v>
      </c>
      <c r="F363" t="s">
        <v>44</v>
      </c>
      <c r="G363">
        <v>-393.4597</v>
      </c>
      <c r="H363">
        <v>1.0374049999999999</v>
      </c>
      <c r="I363">
        <v>367.81400000000002</v>
      </c>
      <c r="J363">
        <v>-394.19760000000002</v>
      </c>
      <c r="K363">
        <v>1.1164259999999999</v>
      </c>
      <c r="L363">
        <v>367.9144</v>
      </c>
      <c r="M363">
        <v>0.9999614</v>
      </c>
      <c r="N363">
        <v>-8.3384229999999993E-3</v>
      </c>
      <c r="O363">
        <v>-2.7953409999999998E-3</v>
      </c>
      <c r="P363">
        <v>0.98878560000000004</v>
      </c>
      <c r="Q363">
        <v>0.14920510000000001</v>
      </c>
      <c r="R363">
        <v>-6.4238780000000001E-3</v>
      </c>
      <c r="S363">
        <v>3.0687869999999999</v>
      </c>
      <c r="T363">
        <v>-0.2493901</v>
      </c>
      <c r="U363">
        <v>-0.32058720000000002</v>
      </c>
      <c r="V363">
        <v>3.6669290000000002E-3</v>
      </c>
      <c r="W363">
        <v>0.157445</v>
      </c>
      <c r="X363">
        <v>0.98752090000000003</v>
      </c>
      <c r="Y363">
        <v>0.1007656</v>
      </c>
      <c r="Z363">
        <v>-4.2957200000000003E-3</v>
      </c>
      <c r="AA363">
        <v>0.99490089999999998</v>
      </c>
      <c r="AB363">
        <v>27</v>
      </c>
      <c r="AC363">
        <v>0.73790000000002398</v>
      </c>
      <c r="AD363">
        <v>-7.9020999999999994E-2</v>
      </c>
      <c r="AE363">
        <v>-0.10039999999997901</v>
      </c>
      <c r="AF363">
        <v>9.7241947178266896E-2</v>
      </c>
      <c r="AG363">
        <v>-7.9020999999999994E-2</v>
      </c>
      <c r="AH363">
        <v>0.72995872490587999</v>
      </c>
      <c r="AI363">
        <v>96.124750598003899</v>
      </c>
      <c r="AJ363">
        <v>82.411980081952194</v>
      </c>
      <c r="AK363">
        <v>0.74063489979762598</v>
      </c>
      <c r="AL363">
        <v>80.941373681775801</v>
      </c>
      <c r="AM363">
        <v>89.787246437174304</v>
      </c>
      <c r="AN363">
        <v>0.99999995116504903</v>
      </c>
    </row>
    <row r="364" spans="1:40" x14ac:dyDescent="0.25">
      <c r="A364" t="str">
        <f>"20190303162750876"</f>
        <v>20190303162750876</v>
      </c>
      <c r="B364" t="str">
        <f>"1551601670872192"</f>
        <v>1551601670872192</v>
      </c>
      <c r="C364" t="s">
        <v>40</v>
      </c>
      <c r="D364">
        <v>5.0470079999999999</v>
      </c>
      <c r="E364">
        <v>0.53649729999999995</v>
      </c>
      <c r="F364" t="s">
        <v>41</v>
      </c>
      <c r="G364">
        <v>-380.71300000000002</v>
      </c>
      <c r="H364" s="1">
        <v>-4.5141760000000001E-6</v>
      </c>
      <c r="I364">
        <v>366.52809999999999</v>
      </c>
      <c r="J364">
        <v>-394.04250000000002</v>
      </c>
      <c r="K364">
        <v>1.116859</v>
      </c>
      <c r="L364">
        <v>367.91399999999999</v>
      </c>
      <c r="M364">
        <v>0.99995959999999995</v>
      </c>
      <c r="N364">
        <v>-8.5367919999999996E-3</v>
      </c>
      <c r="O364">
        <v>-2.7943629999999998E-3</v>
      </c>
      <c r="P364">
        <v>0.98876019999999998</v>
      </c>
      <c r="Q364">
        <v>0.14937639999999999</v>
      </c>
      <c r="R364">
        <v>-6.3224300000000004E-3</v>
      </c>
      <c r="S364">
        <v>3.0704039999999999</v>
      </c>
      <c r="T364">
        <v>-0.2542082</v>
      </c>
      <c r="U364">
        <v>-0.31564330000000002</v>
      </c>
      <c r="V364">
        <v>3.5655019999999999E-3</v>
      </c>
      <c r="W364">
        <v>0.1578118</v>
      </c>
      <c r="X364">
        <v>0.98746279999999997</v>
      </c>
      <c r="Y364">
        <v>9.9119739999999998E-2</v>
      </c>
      <c r="Z364">
        <v>-4.3038979999999996E-3</v>
      </c>
      <c r="AA364">
        <v>0.99506620000000001</v>
      </c>
      <c r="AB364">
        <v>27</v>
      </c>
      <c r="AC364">
        <v>13.3294999999999</v>
      </c>
      <c r="AD364">
        <v>-1.1168635141759999</v>
      </c>
      <c r="AE364">
        <v>-1.3858999999999899</v>
      </c>
      <c r="AF364">
        <v>1.33934337258875</v>
      </c>
      <c r="AG364">
        <v>-1.1168635141759999</v>
      </c>
      <c r="AH364">
        <v>13.241353126807599</v>
      </c>
      <c r="AI364">
        <v>94.796932830322703</v>
      </c>
      <c r="AJ364">
        <v>84.224260055439501</v>
      </c>
      <c r="AK364">
        <v>13.355697563505</v>
      </c>
      <c r="AL364">
        <v>80.920092244422307</v>
      </c>
      <c r="AM364">
        <v>89.793118962417097</v>
      </c>
      <c r="AN364">
        <v>1.0000000292037901</v>
      </c>
    </row>
    <row r="365" spans="1:40" x14ac:dyDescent="0.25">
      <c r="A365" t="str">
        <f>"20190303162750891"</f>
        <v>20190303162750891</v>
      </c>
      <c r="B365" t="str">
        <f>"1551601670881952"</f>
        <v>1551601670881952</v>
      </c>
      <c r="C365" t="s">
        <v>40</v>
      </c>
      <c r="D365">
        <v>5.0575140000000003</v>
      </c>
      <c r="E365">
        <v>0.53610780000000002</v>
      </c>
      <c r="F365" t="s">
        <v>44</v>
      </c>
      <c r="G365">
        <v>-393.21199999999999</v>
      </c>
      <c r="H365">
        <v>1.0464789999999999</v>
      </c>
      <c r="I365">
        <v>367.83159999999998</v>
      </c>
      <c r="J365">
        <v>-393.84899999999999</v>
      </c>
      <c r="K365">
        <v>1.117351</v>
      </c>
      <c r="L365">
        <v>367.91340000000002</v>
      </c>
      <c r="M365">
        <v>0.9999576</v>
      </c>
      <c r="N365">
        <v>-8.7702219999999994E-3</v>
      </c>
      <c r="O365">
        <v>-2.7917720000000001E-3</v>
      </c>
      <c r="P365">
        <v>0.98879119999999998</v>
      </c>
      <c r="Q365">
        <v>0.14917659999999999</v>
      </c>
      <c r="R365">
        <v>-6.1915980000000004E-3</v>
      </c>
      <c r="S365">
        <v>3.071472</v>
      </c>
      <c r="T365">
        <v>-0.26037290000000002</v>
      </c>
      <c r="U365">
        <v>-0.30416870000000001</v>
      </c>
      <c r="V365">
        <v>3.4361389999999999E-3</v>
      </c>
      <c r="W365">
        <v>0.15784289999999901</v>
      </c>
      <c r="X365">
        <v>0.98745830000000001</v>
      </c>
      <c r="Y365">
        <v>9.5403219999999997E-2</v>
      </c>
      <c r="Z365">
        <v>-4.235628E-3</v>
      </c>
      <c r="AA365">
        <v>0.99542969999999997</v>
      </c>
      <c r="AB365">
        <v>27</v>
      </c>
      <c r="AC365">
        <v>0.63700000000000001</v>
      </c>
      <c r="AD365">
        <v>-7.0871999999999796E-2</v>
      </c>
      <c r="AE365">
        <v>-8.1800000000043796E-2</v>
      </c>
      <c r="AF365">
        <v>7.9058498811411401E-2</v>
      </c>
      <c r="AG365">
        <v>-7.0871999999999796E-2</v>
      </c>
      <c r="AH365">
        <v>0.62955927360095199</v>
      </c>
      <c r="AI365">
        <v>96.373333530552301</v>
      </c>
      <c r="AJ365">
        <v>82.842404994322607</v>
      </c>
      <c r="AK365">
        <v>0.63844965783941998</v>
      </c>
      <c r="AL365">
        <v>80.918287838975601</v>
      </c>
      <c r="AM365">
        <v>89.800624018375402</v>
      </c>
      <c r="AN365">
        <v>1.0000000411852601</v>
      </c>
    </row>
    <row r="366" spans="1:40" x14ac:dyDescent="0.25">
      <c r="A366" t="str">
        <f>"20190303162750909"</f>
        <v>20190303162750909</v>
      </c>
      <c r="B366" t="str">
        <f>"1551601670902448"</f>
        <v>1551601670902448</v>
      </c>
      <c r="C366" t="s">
        <v>40</v>
      </c>
      <c r="D366">
        <v>5.0667960000000001</v>
      </c>
      <c r="E366">
        <v>0.53505719999999901</v>
      </c>
      <c r="F366" t="s">
        <v>44</v>
      </c>
      <c r="G366">
        <v>-392.97309999999999</v>
      </c>
      <c r="H366">
        <v>1.042259</v>
      </c>
      <c r="I366">
        <v>367.82740000000001</v>
      </c>
      <c r="J366">
        <v>-393.62639999999999</v>
      </c>
      <c r="K366">
        <v>1.1178520000000001</v>
      </c>
      <c r="L366">
        <v>367.9128</v>
      </c>
      <c r="M366">
        <v>0.99995560000000006</v>
      </c>
      <c r="N366">
        <v>-9.0155359999999993E-3</v>
      </c>
      <c r="O366">
        <v>-2.7872460000000002E-3</v>
      </c>
      <c r="P366">
        <v>0.98877490000000001</v>
      </c>
      <c r="Q366">
        <v>0.14928379999999999</v>
      </c>
      <c r="R366">
        <v>-6.2404130000000002E-3</v>
      </c>
      <c r="S366">
        <v>3.071869</v>
      </c>
      <c r="T366">
        <v>-0.26358379999999998</v>
      </c>
      <c r="U366">
        <v>-0.3003845</v>
      </c>
      <c r="V366">
        <v>3.4889610000000001E-3</v>
      </c>
      <c r="W366">
        <v>0.15819169999999999</v>
      </c>
      <c r="X366">
        <v>0.98740229999999996</v>
      </c>
      <c r="Y366">
        <v>9.4175850000000005E-2</v>
      </c>
      <c r="Z366">
        <v>-4.2367339999999998E-3</v>
      </c>
      <c r="AA366">
        <v>0.99554659999999995</v>
      </c>
      <c r="AB366">
        <v>27</v>
      </c>
      <c r="AC366">
        <v>0.65330000000000099</v>
      </c>
      <c r="AD366">
        <v>-7.5592999999999994E-2</v>
      </c>
      <c r="AE366">
        <v>-8.5399999999992801E-2</v>
      </c>
      <c r="AF366">
        <v>8.2492773156359195E-2</v>
      </c>
      <c r="AG366">
        <v>-7.5592999999999994E-2</v>
      </c>
      <c r="AH366">
        <v>0.64504430639259902</v>
      </c>
      <c r="AI366">
        <v>96.630513266177203</v>
      </c>
      <c r="AJ366">
        <v>82.712174542163595</v>
      </c>
      <c r="AK366">
        <v>0.65467665032559097</v>
      </c>
      <c r="AL366">
        <v>80.898048825133699</v>
      </c>
      <c r="AM366">
        <v>89.797547657895905</v>
      </c>
      <c r="AN366">
        <v>1.00000004442151</v>
      </c>
    </row>
    <row r="367" spans="1:40" x14ac:dyDescent="0.25">
      <c r="A367" t="str">
        <f>"20190303162750931"</f>
        <v>20190303162750931</v>
      </c>
      <c r="B367" t="str">
        <f>"1551601670921968"</f>
        <v>1551601670921968</v>
      </c>
      <c r="C367" t="s">
        <v>40</v>
      </c>
      <c r="D367">
        <v>5.0191480000000004</v>
      </c>
      <c r="E367">
        <v>0.53387519999999999</v>
      </c>
      <c r="F367" t="s">
        <v>44</v>
      </c>
      <c r="G367">
        <v>-392.7312</v>
      </c>
      <c r="H367">
        <v>1.04135</v>
      </c>
      <c r="I367">
        <v>367.82780000000002</v>
      </c>
      <c r="J367">
        <v>-393.35329999999999</v>
      </c>
      <c r="K367">
        <v>1.1183829999999999</v>
      </c>
      <c r="L367">
        <v>367.91199999999998</v>
      </c>
      <c r="M367">
        <v>0.99995299999999998</v>
      </c>
      <c r="N367">
        <v>-9.2849230000000005E-3</v>
      </c>
      <c r="O367">
        <v>-2.7809670000000001E-3</v>
      </c>
      <c r="P367">
        <v>0.98882689999999995</v>
      </c>
      <c r="Q367">
        <v>0.1489501</v>
      </c>
      <c r="R367">
        <v>-5.9418350000000003E-3</v>
      </c>
      <c r="S367">
        <v>3.0718380000000001</v>
      </c>
      <c r="T367">
        <v>-0.2624533</v>
      </c>
      <c r="U367">
        <v>-0.29196169999999999</v>
      </c>
      <c r="V367">
        <v>3.1965230000000002E-3</v>
      </c>
      <c r="W367">
        <v>0.15812490000000001</v>
      </c>
      <c r="X367">
        <v>0.98741389999999996</v>
      </c>
      <c r="Y367">
        <v>9.149061E-2</v>
      </c>
      <c r="Z367">
        <v>-4.1082280000000002E-3</v>
      </c>
      <c r="AA367">
        <v>0.9957975</v>
      </c>
      <c r="AB367">
        <v>27</v>
      </c>
      <c r="AC367">
        <v>0.622099999999989</v>
      </c>
      <c r="AD367">
        <v>-7.7032999999999893E-2</v>
      </c>
      <c r="AE367">
        <v>-8.4199999999952896E-2</v>
      </c>
      <c r="AF367">
        <v>8.1246205402909694E-2</v>
      </c>
      <c r="AG367">
        <v>-7.7032999999999893E-2</v>
      </c>
      <c r="AH367">
        <v>0.61310008236659697</v>
      </c>
      <c r="AI367">
        <v>97.099976863289001</v>
      </c>
      <c r="AJ367">
        <v>82.451315004270995</v>
      </c>
      <c r="AK367">
        <v>0.62323891083540295</v>
      </c>
      <c r="AL367">
        <v>80.901924156274305</v>
      </c>
      <c r="AM367">
        <v>89.814518878828693</v>
      </c>
      <c r="AN367">
        <v>0.99999995583625301</v>
      </c>
    </row>
    <row r="368" spans="1:40" x14ac:dyDescent="0.25">
      <c r="A368" t="str">
        <f>"20190303162750953"</f>
        <v>20190303162750953</v>
      </c>
      <c r="B368" t="str">
        <f>"1551601670941488"</f>
        <v>1551601670941488</v>
      </c>
      <c r="C368" t="s">
        <v>40</v>
      </c>
      <c r="D368">
        <v>5.0860760000000003</v>
      </c>
      <c r="E368">
        <v>0.53324959999999999</v>
      </c>
      <c r="F368" t="s">
        <v>44</v>
      </c>
      <c r="G368">
        <v>-392.48790000000002</v>
      </c>
      <c r="H368">
        <v>1.0430919999999999</v>
      </c>
      <c r="I368">
        <v>367.83229999999998</v>
      </c>
      <c r="J368">
        <v>-393.10149999999999</v>
      </c>
      <c r="K368">
        <v>1.1187929999999999</v>
      </c>
      <c r="L368">
        <v>367.91129999999998</v>
      </c>
      <c r="M368">
        <v>0.99995109999999998</v>
      </c>
      <c r="N368">
        <v>-9.5062310000000004E-3</v>
      </c>
      <c r="O368">
        <v>-2.7761700000000001E-3</v>
      </c>
      <c r="P368">
        <v>0.98883929999999998</v>
      </c>
      <c r="Q368">
        <v>0.14886969999999999</v>
      </c>
      <c r="R368">
        <v>-5.9151809999999898E-3</v>
      </c>
      <c r="S368">
        <v>3.072479</v>
      </c>
      <c r="T368">
        <v>-0.26746930000000002</v>
      </c>
      <c r="U368">
        <v>-0.2820435</v>
      </c>
      <c r="V368">
        <v>3.174493E-3</v>
      </c>
      <c r="W368">
        <v>0.158263299999999</v>
      </c>
      <c r="X368">
        <v>0.98739180000000004</v>
      </c>
      <c r="Y368">
        <v>8.8287950000000004E-2</v>
      </c>
      <c r="Z368">
        <v>-4.0346119999999999E-3</v>
      </c>
      <c r="AA368">
        <v>0.99608680000000005</v>
      </c>
      <c r="AB368">
        <v>27</v>
      </c>
      <c r="AC368">
        <v>0.61359999999996195</v>
      </c>
      <c r="AD368">
        <v>-7.5701000000000004E-2</v>
      </c>
      <c r="AE368">
        <v>-7.9000000000007703E-2</v>
      </c>
      <c r="AF368">
        <v>7.6155920840033406E-2</v>
      </c>
      <c r="AG368">
        <v>-7.5701000000000004E-2</v>
      </c>
      <c r="AH368">
        <v>0.60476219609467696</v>
      </c>
      <c r="AI368">
        <v>97.079541017948699</v>
      </c>
      <c r="AJ368">
        <v>82.822690606705606</v>
      </c>
      <c r="AK368">
        <v>0.61422119753819104</v>
      </c>
      <c r="AL368">
        <v>80.893893316677406</v>
      </c>
      <c r="AM368">
        <v>89.815793057712</v>
      </c>
      <c r="AN368">
        <v>0.999999958119967</v>
      </c>
    </row>
    <row r="369" spans="1:40" x14ac:dyDescent="0.25">
      <c r="A369" t="str">
        <f>"20190303162750966"</f>
        <v>20190303162750966</v>
      </c>
      <c r="B369" t="str">
        <f>"1551601670951597"</f>
        <v>1551601670951597</v>
      </c>
      <c r="C369" t="s">
        <v>40</v>
      </c>
      <c r="D369">
        <v>5.0537710000000002</v>
      </c>
      <c r="E369">
        <v>0.53296109999999997</v>
      </c>
      <c r="F369" t="s">
        <v>44</v>
      </c>
      <c r="G369">
        <v>-392.24470000000002</v>
      </c>
      <c r="H369">
        <v>1.0444469999999999</v>
      </c>
      <c r="I369">
        <v>367.834</v>
      </c>
      <c r="J369">
        <v>-392.94619999999998</v>
      </c>
      <c r="K369">
        <v>1.1190180000000001</v>
      </c>
      <c r="L369">
        <v>367.91090000000003</v>
      </c>
      <c r="M369">
        <v>0.9999498</v>
      </c>
      <c r="N369">
        <v>-9.6323559999999999E-3</v>
      </c>
      <c r="O369">
        <v>-2.7741530000000001E-3</v>
      </c>
      <c r="P369">
        <v>0.98881609999999998</v>
      </c>
      <c r="Q369">
        <v>0.14902580000000001</v>
      </c>
      <c r="R369">
        <v>-5.8234150000000002E-3</v>
      </c>
      <c r="S369">
        <v>3.0723569999999998</v>
      </c>
      <c r="T369">
        <v>-0.26662459999999999</v>
      </c>
      <c r="U369">
        <v>-0.27676390000000001</v>
      </c>
      <c r="V369">
        <v>3.0849269999999999E-3</v>
      </c>
      <c r="W369">
        <v>0.15854389999999999</v>
      </c>
      <c r="X369">
        <v>0.98734710000000003</v>
      </c>
      <c r="Y369">
        <v>8.6604329999999993E-2</v>
      </c>
      <c r="Z369">
        <v>-3.9488930000000002E-3</v>
      </c>
      <c r="AA369">
        <v>0.99623499999999998</v>
      </c>
      <c r="AB369">
        <v>27</v>
      </c>
      <c r="AC369">
        <v>0.70149999999995305</v>
      </c>
      <c r="AD369">
        <v>-7.4571000000000096E-2</v>
      </c>
      <c r="AE369">
        <v>-7.69000000000232E-2</v>
      </c>
      <c r="AF369">
        <v>7.4125857842458107E-2</v>
      </c>
      <c r="AG369">
        <v>-7.4571000000000096E-2</v>
      </c>
      <c r="AH369">
        <v>0.69396187970469103</v>
      </c>
      <c r="AI369">
        <v>96.098862474310096</v>
      </c>
      <c r="AJ369">
        <v>83.903042619223697</v>
      </c>
      <c r="AK369">
        <v>0.70188216056910102</v>
      </c>
      <c r="AL369">
        <v>80.877610838513206</v>
      </c>
      <c r="AM369">
        <v>89.820982183429507</v>
      </c>
      <c r="AN369">
        <v>0.99999999044010701</v>
      </c>
    </row>
    <row r="370" spans="1:40" x14ac:dyDescent="0.25">
      <c r="A370" t="str">
        <f>"20190303162750977"</f>
        <v>20190303162750977</v>
      </c>
      <c r="B370" t="str">
        <f>"1551601670972093"</f>
        <v>1551601670972093</v>
      </c>
      <c r="C370" t="s">
        <v>40</v>
      </c>
      <c r="D370">
        <v>5.0443030000000002</v>
      </c>
      <c r="E370">
        <v>0.53242939999999905</v>
      </c>
      <c r="F370" t="s">
        <v>44</v>
      </c>
      <c r="G370">
        <v>-392.00529999999998</v>
      </c>
      <c r="H370">
        <v>1.0375760000000001</v>
      </c>
      <c r="I370">
        <v>367.82679999999999</v>
      </c>
      <c r="J370">
        <v>-392.78840000000002</v>
      </c>
      <c r="K370">
        <v>1.1192200000000001</v>
      </c>
      <c r="L370">
        <v>367.91050000000001</v>
      </c>
      <c r="M370">
        <v>0.99994859999999997</v>
      </c>
      <c r="N370">
        <v>-9.7496010000000001E-3</v>
      </c>
      <c r="O370">
        <v>-2.77246E-3</v>
      </c>
      <c r="P370">
        <v>0.98883869999999896</v>
      </c>
      <c r="Q370">
        <v>0.14886060000000001</v>
      </c>
      <c r="R370">
        <v>-6.1904159999999998E-3</v>
      </c>
      <c r="S370">
        <v>3.072479</v>
      </c>
      <c r="T370">
        <v>-0.26618000000000003</v>
      </c>
      <c r="U370">
        <v>-0.27352910000000002</v>
      </c>
      <c r="V370">
        <v>3.4537959999999999E-3</v>
      </c>
      <c r="W370">
        <v>0.15849449999999901</v>
      </c>
      <c r="X370">
        <v>0.98735379999999995</v>
      </c>
      <c r="Y370">
        <v>8.5566790000000004E-2</v>
      </c>
      <c r="Z370">
        <v>-3.8987800000000001E-3</v>
      </c>
      <c r="AA370">
        <v>0.99632480000000001</v>
      </c>
      <c r="AB370">
        <v>27</v>
      </c>
      <c r="AC370">
        <v>0.78310000000004698</v>
      </c>
      <c r="AD370">
        <v>-8.1643999999999994E-2</v>
      </c>
      <c r="AE370">
        <v>-8.3700000000021604E-2</v>
      </c>
      <c r="AF370">
        <v>8.0661604089266301E-2</v>
      </c>
      <c r="AG370">
        <v>-8.1643999999999994E-2</v>
      </c>
      <c r="AH370">
        <v>0.77500025072096601</v>
      </c>
      <c r="AI370">
        <v>95.981685641127299</v>
      </c>
      <c r="AJ370">
        <v>84.058080186446702</v>
      </c>
      <c r="AK370">
        <v>0.78345224853070194</v>
      </c>
      <c r="AL370">
        <v>80.8804774077621</v>
      </c>
      <c r="AM370">
        <v>89.799578300128303</v>
      </c>
      <c r="AN370">
        <v>0.99999998080574903</v>
      </c>
    </row>
    <row r="371" spans="1:40" x14ac:dyDescent="0.25">
      <c r="A371" t="str">
        <f>"20190303162750997"</f>
        <v>20190303162750997</v>
      </c>
      <c r="B371" t="str">
        <f>"1551601670991613"</f>
        <v>1551601670991613</v>
      </c>
      <c r="C371" t="s">
        <v>40</v>
      </c>
      <c r="D371">
        <v>5.090192</v>
      </c>
      <c r="E371">
        <v>0.53202959999999999</v>
      </c>
      <c r="F371" t="s">
        <v>44</v>
      </c>
      <c r="G371">
        <v>-391.99689999999998</v>
      </c>
      <c r="H371">
        <v>1.050673</v>
      </c>
      <c r="I371">
        <v>367.84039999999999</v>
      </c>
      <c r="J371">
        <v>-392.56049999999999</v>
      </c>
      <c r="K371">
        <v>1.1194820000000001</v>
      </c>
      <c r="L371">
        <v>367.90989999999999</v>
      </c>
      <c r="M371">
        <v>0.99994709999999998</v>
      </c>
      <c r="N371">
        <v>-9.9056769999999999E-3</v>
      </c>
      <c r="O371">
        <v>-2.7710859999999999E-3</v>
      </c>
      <c r="P371">
        <v>0.98881680000000005</v>
      </c>
      <c r="Q371">
        <v>0.14899809999999999</v>
      </c>
      <c r="R371">
        <v>-6.3907919999999898E-3</v>
      </c>
      <c r="S371">
        <v>3.0722960000000001</v>
      </c>
      <c r="T371">
        <v>-0.2663547</v>
      </c>
      <c r="U371">
        <v>-0.27069090000000001</v>
      </c>
      <c r="V371">
        <v>3.6557299999999998E-3</v>
      </c>
      <c r="W371">
        <v>0.15878539999999999</v>
      </c>
      <c r="X371">
        <v>0.98730640000000003</v>
      </c>
      <c r="Y371">
        <v>8.4662780000000007E-2</v>
      </c>
      <c r="Z371">
        <v>-3.8650759999999998E-3</v>
      </c>
      <c r="AA371">
        <v>0.99640209999999996</v>
      </c>
      <c r="AB371">
        <v>27</v>
      </c>
      <c r="AC371">
        <v>0.56360000000000798</v>
      </c>
      <c r="AD371">
        <v>-6.8808999999999898E-2</v>
      </c>
      <c r="AE371">
        <v>-6.9500000000005002E-2</v>
      </c>
      <c r="AF371">
        <v>6.6954821513564106E-2</v>
      </c>
      <c r="AG371">
        <v>-6.8808999999999898E-2</v>
      </c>
      <c r="AH371">
        <v>0.55563247193278198</v>
      </c>
      <c r="AI371">
        <v>97.009316128056298</v>
      </c>
      <c r="AJ371">
        <v>83.128874358514096</v>
      </c>
      <c r="AK371">
        <v>0.56386618135072297</v>
      </c>
      <c r="AL371">
        <v>80.863596906110701</v>
      </c>
      <c r="AM371">
        <v>89.787850111364094</v>
      </c>
      <c r="AN371">
        <v>1.00000004754797</v>
      </c>
    </row>
    <row r="372" spans="1:40" x14ac:dyDescent="0.25">
      <c r="A372" t="str">
        <f>"20190303162751010"</f>
        <v>20190303162751010</v>
      </c>
      <c r="B372" t="str">
        <f>"1551601671002349"</f>
        <v>1551601671002349</v>
      </c>
      <c r="C372" t="s">
        <v>40</v>
      </c>
      <c r="D372">
        <v>5.0402189999999996</v>
      </c>
      <c r="E372">
        <v>0.53189310000000001</v>
      </c>
      <c r="F372" t="s">
        <v>44</v>
      </c>
      <c r="G372">
        <v>-391.75479999999999</v>
      </c>
      <c r="H372">
        <v>1.0498289999999999</v>
      </c>
      <c r="I372">
        <v>367.83980000000003</v>
      </c>
      <c r="J372">
        <v>-392.40910000000002</v>
      </c>
      <c r="K372">
        <v>1.119634</v>
      </c>
      <c r="L372">
        <v>367.90940000000001</v>
      </c>
      <c r="M372">
        <v>0.99994609999999995</v>
      </c>
      <c r="N372">
        <v>-1.000096E-2</v>
      </c>
      <c r="O372">
        <v>-2.7704909999999999E-3</v>
      </c>
      <c r="P372">
        <v>0.98883270000000001</v>
      </c>
      <c r="Q372">
        <v>0.14888170000000001</v>
      </c>
      <c r="R372">
        <v>-6.6465169999999898E-3</v>
      </c>
      <c r="S372">
        <v>3.072174</v>
      </c>
      <c r="T372">
        <v>-0.26555630000000002</v>
      </c>
      <c r="U372">
        <v>-0.26760859999999997</v>
      </c>
      <c r="V372">
        <v>3.9120429999999996E-3</v>
      </c>
      <c r="W372">
        <v>0.158763299999999</v>
      </c>
      <c r="X372">
        <v>0.98730890000000004</v>
      </c>
      <c r="Y372">
        <v>8.3680309999999994E-2</v>
      </c>
      <c r="Z372">
        <v>-3.8122569999999999E-3</v>
      </c>
      <c r="AA372">
        <v>0.99648539999999997</v>
      </c>
      <c r="AB372">
        <v>27</v>
      </c>
      <c r="AC372">
        <v>0.65430000000003397</v>
      </c>
      <c r="AD372">
        <v>-6.9804999999999895E-2</v>
      </c>
      <c r="AE372">
        <v>-6.95999999999799E-2</v>
      </c>
      <c r="AF372">
        <v>6.7032481569096095E-2</v>
      </c>
      <c r="AG372">
        <v>-6.9804999999999895E-2</v>
      </c>
      <c r="AH372">
        <v>0.64720623366855601</v>
      </c>
      <c r="AI372">
        <v>96.123385382298693</v>
      </c>
      <c r="AJ372">
        <v>84.086841875112398</v>
      </c>
      <c r="AK372">
        <v>0.65440201750128302</v>
      </c>
      <c r="AL372">
        <v>80.8648787593267</v>
      </c>
      <c r="AM372">
        <v>89.772976441149396</v>
      </c>
      <c r="AN372">
        <v>0.99999997676326602</v>
      </c>
    </row>
    <row r="373" spans="1:40" x14ac:dyDescent="0.25">
      <c r="A373" t="str">
        <f>"20190303162751021"</f>
        <v>20190303162751021</v>
      </c>
      <c r="B373" t="str">
        <f>"1551601671012110"</f>
        <v>1551601671012110</v>
      </c>
      <c r="C373" t="s">
        <v>40</v>
      </c>
      <c r="D373">
        <v>5.077032</v>
      </c>
      <c r="E373">
        <v>0.53189549999999997</v>
      </c>
      <c r="F373" t="s">
        <v>44</v>
      </c>
      <c r="G373">
        <v>-391.5172</v>
      </c>
      <c r="H373">
        <v>1.042287</v>
      </c>
      <c r="I373">
        <v>367.83150000000001</v>
      </c>
      <c r="J373">
        <v>-392.2552</v>
      </c>
      <c r="K373">
        <v>1.119777</v>
      </c>
      <c r="L373">
        <v>367.90899999999999</v>
      </c>
      <c r="M373">
        <v>0.99994530000000004</v>
      </c>
      <c r="N373">
        <v>-1.009269E-2</v>
      </c>
      <c r="O373">
        <v>-2.770121E-3</v>
      </c>
      <c r="P373">
        <v>0.98882990000000004</v>
      </c>
      <c r="Q373">
        <v>0.1488932</v>
      </c>
      <c r="R373">
        <v>-6.8140859999999996E-3</v>
      </c>
      <c r="S373">
        <v>3.0722659999999999</v>
      </c>
      <c r="T373">
        <v>-0.26663959999999998</v>
      </c>
      <c r="U373">
        <v>-0.26748660000000002</v>
      </c>
      <c r="V373">
        <v>4.079905E-3</v>
      </c>
      <c r="W373">
        <v>0.15886549999999999</v>
      </c>
      <c r="X373">
        <v>0.98729180000000005</v>
      </c>
      <c r="Y373">
        <v>8.3636059999999998E-2</v>
      </c>
      <c r="Z373">
        <v>-3.8278409999999998E-3</v>
      </c>
      <c r="AA373">
        <v>0.99648899999999996</v>
      </c>
      <c r="AB373">
        <v>27</v>
      </c>
      <c r="AC373">
        <v>0.73799999999999899</v>
      </c>
      <c r="AD373">
        <v>-7.7489999999999795E-2</v>
      </c>
      <c r="AE373">
        <v>-7.7499999999986302E-2</v>
      </c>
      <c r="AF373">
        <v>7.4641304998201402E-2</v>
      </c>
      <c r="AG373">
        <v>-7.7489999999999795E-2</v>
      </c>
      <c r="AH373">
        <v>0.73024868833433099</v>
      </c>
      <c r="AI373">
        <v>96.026082944072201</v>
      </c>
      <c r="AJ373">
        <v>84.163863670744703</v>
      </c>
      <c r="AK373">
        <v>0.73813221805164697</v>
      </c>
      <c r="AL373">
        <v>80.8589480312517</v>
      </c>
      <c r="AM373">
        <v>89.763231086606496</v>
      </c>
      <c r="AN373">
        <v>0.99999999553114904</v>
      </c>
    </row>
    <row r="374" spans="1:40" x14ac:dyDescent="0.25">
      <c r="A374" t="str">
        <f>"20190303162751042"</f>
        <v>20190303162751042</v>
      </c>
      <c r="B374" t="str">
        <f>"1551601671031629"</f>
        <v>1551601671031629</v>
      </c>
      <c r="C374" t="s">
        <v>40</v>
      </c>
      <c r="D374">
        <v>5.0703509999999996</v>
      </c>
      <c r="E374">
        <v>0.53175939999999999</v>
      </c>
      <c r="F374" t="s">
        <v>44</v>
      </c>
      <c r="G374">
        <v>-391.50529999999998</v>
      </c>
      <c r="H374">
        <v>1.054727</v>
      </c>
      <c r="I374">
        <v>367.84320000000002</v>
      </c>
      <c r="J374">
        <v>-392.02210000000002</v>
      </c>
      <c r="K374">
        <v>1.119964</v>
      </c>
      <c r="L374">
        <v>367.90839999999997</v>
      </c>
      <c r="M374">
        <v>0.99994400000000006</v>
      </c>
      <c r="N374">
        <v>-1.0217779999999999E-2</v>
      </c>
      <c r="O374">
        <v>-2.7699259999999998E-3</v>
      </c>
      <c r="P374">
        <v>0.98880250000000003</v>
      </c>
      <c r="Q374">
        <v>0.14903449999999999</v>
      </c>
      <c r="R374">
        <v>-7.6465459999999997E-3</v>
      </c>
      <c r="S374">
        <v>3.0722659999999999</v>
      </c>
      <c r="T374">
        <v>-0.26674740000000002</v>
      </c>
      <c r="U374">
        <v>-0.2684937</v>
      </c>
      <c r="V374">
        <v>4.9128239999999997E-3</v>
      </c>
      <c r="W374">
        <v>0.1591301</v>
      </c>
      <c r="X374">
        <v>0.98724540000000005</v>
      </c>
      <c r="Y374">
        <v>8.3958340000000006E-2</v>
      </c>
      <c r="Z374">
        <v>-3.8503639999999998E-3</v>
      </c>
      <c r="AA374">
        <v>0.99646179999999995</v>
      </c>
      <c r="AB374">
        <v>27</v>
      </c>
      <c r="AC374">
        <v>0.516800000000046</v>
      </c>
      <c r="AD374">
        <v>-6.5236999999999906E-2</v>
      </c>
      <c r="AE374">
        <v>-6.5199999999947494E-2</v>
      </c>
      <c r="AF374">
        <v>6.2783418646326195E-2</v>
      </c>
      <c r="AG374">
        <v>-6.5236999999999906E-2</v>
      </c>
      <c r="AH374">
        <v>0.50899503185107198</v>
      </c>
      <c r="AI374">
        <v>97.249331541873801</v>
      </c>
      <c r="AJ374">
        <v>82.968210103271105</v>
      </c>
      <c r="AK374">
        <v>0.51698507355144496</v>
      </c>
      <c r="AL374">
        <v>80.843592287232596</v>
      </c>
      <c r="AM374">
        <v>89.714881672566904</v>
      </c>
      <c r="AN374">
        <v>1.0000000021934099</v>
      </c>
    </row>
    <row r="375" spans="1:40" x14ac:dyDescent="0.25">
      <c r="A375" t="str">
        <f>"20190303162751063"</f>
        <v>20190303162751063</v>
      </c>
      <c r="B375" t="str">
        <f>"1551601671052125"</f>
        <v>1551601671052125</v>
      </c>
      <c r="C375" t="s">
        <v>40</v>
      </c>
      <c r="D375">
        <v>5.0858970000000001</v>
      </c>
      <c r="E375">
        <v>0.531524199999999</v>
      </c>
      <c r="F375" t="s">
        <v>44</v>
      </c>
      <c r="G375">
        <v>-391.26479999999998</v>
      </c>
      <c r="H375">
        <v>1.0542830000000001</v>
      </c>
      <c r="I375">
        <v>367.84190000000001</v>
      </c>
      <c r="J375">
        <v>-391.75529999999998</v>
      </c>
      <c r="K375">
        <v>1.1201479999999999</v>
      </c>
      <c r="L375">
        <v>367.9076</v>
      </c>
      <c r="M375">
        <v>0.99994269999999996</v>
      </c>
      <c r="N375">
        <v>-1.034618E-2</v>
      </c>
      <c r="O375">
        <v>-2.7697580000000002E-3</v>
      </c>
      <c r="P375">
        <v>0.98875259999999998</v>
      </c>
      <c r="Q375">
        <v>0.1493215</v>
      </c>
      <c r="R375">
        <v>-8.4688149999999993E-3</v>
      </c>
      <c r="S375">
        <v>3.0720830000000001</v>
      </c>
      <c r="T375">
        <v>-0.26646730000000002</v>
      </c>
      <c r="U375">
        <v>-0.2694397</v>
      </c>
      <c r="V375">
        <v>5.7356949999999999E-3</v>
      </c>
      <c r="W375">
        <v>0.1595434</v>
      </c>
      <c r="X375">
        <v>0.98717429999999995</v>
      </c>
      <c r="Y375">
        <v>8.4267049999999996E-2</v>
      </c>
      <c r="Z375">
        <v>-3.8676980000000001E-3</v>
      </c>
      <c r="AA375">
        <v>0.99643570000000004</v>
      </c>
      <c r="AB375">
        <v>27</v>
      </c>
      <c r="AC375">
        <v>0.49049999999999699</v>
      </c>
      <c r="AD375">
        <v>-6.5864999999999799E-2</v>
      </c>
      <c r="AE375">
        <v>-6.5699999999992501E-2</v>
      </c>
      <c r="AF375">
        <v>6.3221228769599805E-2</v>
      </c>
      <c r="AG375">
        <v>-6.5864999999999799E-2</v>
      </c>
      <c r="AH375">
        <v>0.482139636686433</v>
      </c>
      <c r="AI375">
        <v>97.7137841557483</v>
      </c>
      <c r="AJ375">
        <v>82.529632345341795</v>
      </c>
      <c r="AK375">
        <v>0.49070739881956499</v>
      </c>
      <c r="AL375">
        <v>80.819605904595605</v>
      </c>
      <c r="AM375">
        <v>89.6671029441233</v>
      </c>
      <c r="AN375">
        <v>1.0000000466305901</v>
      </c>
    </row>
    <row r="376" spans="1:40" x14ac:dyDescent="0.25">
      <c r="A376" t="str">
        <f>"20190303162751077"</f>
        <v>20190303162751077</v>
      </c>
      <c r="B376" t="str">
        <f>"1551601671071644"</f>
        <v>1551601671071644</v>
      </c>
      <c r="C376" t="s">
        <v>40</v>
      </c>
      <c r="D376">
        <v>5.1196460000000004</v>
      </c>
      <c r="E376">
        <v>0.53131629999999996</v>
      </c>
      <c r="F376" t="s">
        <v>44</v>
      </c>
      <c r="G376">
        <v>-390.79059999999998</v>
      </c>
      <c r="H376">
        <v>1.0367770000000001</v>
      </c>
      <c r="I376">
        <v>367.82260000000002</v>
      </c>
      <c r="J376">
        <v>-391.59199999999998</v>
      </c>
      <c r="K376">
        <v>1.120241</v>
      </c>
      <c r="L376">
        <v>367.90719999999999</v>
      </c>
      <c r="M376">
        <v>0.999942</v>
      </c>
      <c r="N376">
        <v>-1.041598E-2</v>
      </c>
      <c r="O376">
        <v>-2.769765E-3</v>
      </c>
      <c r="P376">
        <v>0.98873069999999996</v>
      </c>
      <c r="Q376">
        <v>0.14945149999999999</v>
      </c>
      <c r="R376">
        <v>-8.7187589999999995E-3</v>
      </c>
      <c r="S376">
        <v>3.07193</v>
      </c>
      <c r="T376">
        <v>-0.26558900000000002</v>
      </c>
      <c r="U376">
        <v>-0.27032469999999997</v>
      </c>
      <c r="V376">
        <v>5.9857030000000002E-3</v>
      </c>
      <c r="W376">
        <v>0.159742</v>
      </c>
      <c r="X376">
        <v>0.98714069999999998</v>
      </c>
      <c r="Y376">
        <v>8.4556850000000003E-2</v>
      </c>
      <c r="Z376">
        <v>-3.8737929999999999E-3</v>
      </c>
      <c r="AA376">
        <v>0.99641109999999999</v>
      </c>
      <c r="AB376">
        <v>27</v>
      </c>
      <c r="AC376">
        <v>0.801400000000001</v>
      </c>
      <c r="AD376">
        <v>-8.3463999999999899E-2</v>
      </c>
      <c r="AE376">
        <v>-8.4599999999966202E-2</v>
      </c>
      <c r="AF376">
        <v>8.1505538701508298E-2</v>
      </c>
      <c r="AG376">
        <v>-8.3463999999999899E-2</v>
      </c>
      <c r="AH376">
        <v>0.79312326242758002</v>
      </c>
      <c r="AI376">
        <v>95.976143271322101</v>
      </c>
      <c r="AJ376">
        <v>84.1325796942007</v>
      </c>
      <c r="AK376">
        <v>0.80165697248810297</v>
      </c>
      <c r="AL376">
        <v>80.808079147254404</v>
      </c>
      <c r="AM376">
        <v>89.652581120272501</v>
      </c>
      <c r="AN376">
        <v>1.0000000484004401</v>
      </c>
    </row>
    <row r="377" spans="1:40" x14ac:dyDescent="0.25">
      <c r="A377" t="str">
        <f>"20190303162751099"</f>
        <v>20190303162751099</v>
      </c>
      <c r="B377" t="str">
        <f>"1551601671092141"</f>
        <v>1551601671092141</v>
      </c>
      <c r="C377" t="s">
        <v>40</v>
      </c>
      <c r="D377">
        <v>5.1014949999999999</v>
      </c>
      <c r="E377">
        <v>0.52899280000000004</v>
      </c>
      <c r="F377" t="s">
        <v>44</v>
      </c>
      <c r="G377">
        <v>-390.78190000000001</v>
      </c>
      <c r="H377">
        <v>1.050773</v>
      </c>
      <c r="I377">
        <v>367.83600000000001</v>
      </c>
      <c r="J377">
        <v>-391.31610000000001</v>
      </c>
      <c r="K377">
        <v>1.120385</v>
      </c>
      <c r="L377">
        <v>367.90640000000002</v>
      </c>
      <c r="M377">
        <v>0.99994079999999996</v>
      </c>
      <c r="N377">
        <v>-1.052495E-2</v>
      </c>
      <c r="O377">
        <v>-2.7697440000000002E-3</v>
      </c>
      <c r="P377">
        <v>0.98873690000000003</v>
      </c>
      <c r="Q377">
        <v>0.14937600000000001</v>
      </c>
      <c r="R377">
        <v>-9.2966000000000003E-3</v>
      </c>
      <c r="S377">
        <v>3.0716549999999998</v>
      </c>
      <c r="T377">
        <v>-0.26348880000000002</v>
      </c>
      <c r="U377">
        <v>-0.26934809999999998</v>
      </c>
      <c r="V377">
        <v>6.5637680000000002E-3</v>
      </c>
      <c r="W377">
        <v>0.159774</v>
      </c>
      <c r="X377">
        <v>0.9871318</v>
      </c>
      <c r="Y377">
        <v>8.4256120000000004E-2</v>
      </c>
      <c r="Z377">
        <v>-3.8378000000000002E-3</v>
      </c>
      <c r="AA377">
        <v>0.99643669999999995</v>
      </c>
      <c r="AB377">
        <v>27</v>
      </c>
      <c r="AC377">
        <v>0.53419999999999801</v>
      </c>
      <c r="AD377">
        <v>-6.9611999999999993E-2</v>
      </c>
      <c r="AE377">
        <v>-7.0400000000006402E-2</v>
      </c>
      <c r="AF377">
        <v>6.7788590787908207E-2</v>
      </c>
      <c r="AG377">
        <v>-6.9611999999999993E-2</v>
      </c>
      <c r="AH377">
        <v>0.52561982623383197</v>
      </c>
      <c r="AI377">
        <v>97.482966217108498</v>
      </c>
      <c r="AJ377">
        <v>82.6511935153341</v>
      </c>
      <c r="AK377">
        <v>0.53452532710349099</v>
      </c>
      <c r="AL377">
        <v>80.806221400312793</v>
      </c>
      <c r="AM377">
        <v>89.619026900272502</v>
      </c>
      <c r="AN377">
        <v>1.0000000023487901</v>
      </c>
    </row>
    <row r="378" spans="1:40" x14ac:dyDescent="0.25">
      <c r="A378" t="str">
        <f>"20190303162751123"</f>
        <v>20190303162751123</v>
      </c>
      <c r="B378" t="str">
        <f>"1551601671111662"</f>
        <v>1551601671111662</v>
      </c>
      <c r="C378" t="s">
        <v>40</v>
      </c>
      <c r="D378">
        <v>5.1093330000000003</v>
      </c>
      <c r="E378">
        <v>0.5296206</v>
      </c>
      <c r="F378" t="s">
        <v>41</v>
      </c>
      <c r="G378">
        <v>-362.6583</v>
      </c>
      <c r="H378" s="1">
        <v>-3.8587009999999901E-6</v>
      </c>
      <c r="I378">
        <v>365.51870000000002</v>
      </c>
      <c r="J378">
        <v>-391.03640000000001</v>
      </c>
      <c r="K378">
        <v>1.1205000000000001</v>
      </c>
      <c r="L378">
        <v>367.90559999999999</v>
      </c>
      <c r="M378">
        <v>0.99993969999999999</v>
      </c>
      <c r="N378">
        <v>-1.062257E-2</v>
      </c>
      <c r="O378">
        <v>-2.769667E-3</v>
      </c>
      <c r="P378">
        <v>0.98869050000000003</v>
      </c>
      <c r="Q378">
        <v>0.1496296</v>
      </c>
      <c r="R378">
        <v>-1.0110920000000001E-2</v>
      </c>
      <c r="S378">
        <v>3.0498050000000001</v>
      </c>
      <c r="T378">
        <v>-0.1192333</v>
      </c>
      <c r="U378">
        <v>-0.25408940000000002</v>
      </c>
      <c r="V378">
        <v>7.3782489999999999E-3</v>
      </c>
      <c r="W378">
        <v>0.16012379999999901</v>
      </c>
      <c r="X378">
        <v>0.98706939999999999</v>
      </c>
      <c r="Y378">
        <v>8.0188739999999994E-2</v>
      </c>
      <c r="Z378">
        <v>-1.912373E-3</v>
      </c>
      <c r="AA378">
        <v>0.99677789999999999</v>
      </c>
      <c r="AB378">
        <v>27</v>
      </c>
      <c r="AC378">
        <v>28.3781</v>
      </c>
      <c r="AD378">
        <v>-1.1205038587010001</v>
      </c>
      <c r="AE378">
        <v>-2.3868999999999598</v>
      </c>
      <c r="AF378">
        <v>2.30472058535215</v>
      </c>
      <c r="AG378">
        <v>-1.1205038587010001</v>
      </c>
      <c r="AH378">
        <v>28.340728210142199</v>
      </c>
      <c r="AI378">
        <v>92.256674960960396</v>
      </c>
      <c r="AJ378">
        <v>85.350831619445501</v>
      </c>
      <c r="AK378">
        <v>28.456355025812002</v>
      </c>
      <c r="AL378">
        <v>80.785918240338702</v>
      </c>
      <c r="AM378">
        <v>89.571727525242693</v>
      </c>
      <c r="AN378">
        <v>1.00000003515055</v>
      </c>
    </row>
    <row r="379" spans="1:40" x14ac:dyDescent="0.25">
      <c r="A379" t="str">
        <f>"20190303162751141"</f>
        <v>20190303162751141</v>
      </c>
      <c r="B379" t="str">
        <f>"1551601671132157"</f>
        <v>1551601671132157</v>
      </c>
      <c r="C379" t="s">
        <v>40</v>
      </c>
      <c r="D379">
        <v>5.113829</v>
      </c>
      <c r="E379">
        <v>0.52996080000000001</v>
      </c>
      <c r="F379" t="s">
        <v>41</v>
      </c>
      <c r="G379">
        <v>-361.5025</v>
      </c>
      <c r="H379" s="1">
        <v>-4.3805120000000001E-6</v>
      </c>
      <c r="I379">
        <v>365.3723</v>
      </c>
      <c r="J379">
        <v>-390.80279999999999</v>
      </c>
      <c r="K379">
        <v>1.120581</v>
      </c>
      <c r="L379">
        <v>367.90499999999997</v>
      </c>
      <c r="M379">
        <v>0.99993900000000002</v>
      </c>
      <c r="N379">
        <v>-1.069441E-2</v>
      </c>
      <c r="O379">
        <v>-2.769933E-3</v>
      </c>
      <c r="P379">
        <v>0.98863069999999997</v>
      </c>
      <c r="Q379">
        <v>0.14999100000000001</v>
      </c>
      <c r="R379">
        <v>-1.0604860000000001E-2</v>
      </c>
      <c r="S379">
        <v>3.0491640000000002</v>
      </c>
      <c r="T379">
        <v>-0.11568390000000001</v>
      </c>
      <c r="U379">
        <v>-0.26153559999999998</v>
      </c>
      <c r="V379">
        <v>7.8720519999999992E-3</v>
      </c>
      <c r="W379">
        <v>0.16055539999999999</v>
      </c>
      <c r="X379">
        <v>0.98699550000000003</v>
      </c>
      <c r="Y379">
        <v>8.2624119999999995E-2</v>
      </c>
      <c r="Z379">
        <v>-1.931468E-3</v>
      </c>
      <c r="AA379">
        <v>0.99657890000000005</v>
      </c>
      <c r="AB379">
        <v>27</v>
      </c>
      <c r="AC379">
        <v>29.3003</v>
      </c>
      <c r="AD379">
        <v>-1.1205853805120001</v>
      </c>
      <c r="AE379">
        <v>-2.53269999999997</v>
      </c>
      <c r="AF379">
        <v>2.4479717599690498</v>
      </c>
      <c r="AG379">
        <v>-1.1205853805120001</v>
      </c>
      <c r="AH379">
        <v>29.2647162823679</v>
      </c>
      <c r="AI379">
        <v>92.185236697421004</v>
      </c>
      <c r="AJ379">
        <v>85.2183825482103</v>
      </c>
      <c r="AK379">
        <v>29.388295228204498</v>
      </c>
      <c r="AL379">
        <v>80.760865488791893</v>
      </c>
      <c r="AM379">
        <v>89.543031561769595</v>
      </c>
      <c r="AN379">
        <v>1.00000006134604</v>
      </c>
    </row>
    <row r="380" spans="1:40" x14ac:dyDescent="0.25">
      <c r="A380" t="str">
        <f>"20190303162751165"</f>
        <v>20190303162751165</v>
      </c>
      <c r="B380" t="str">
        <f>"1551601671151677"</f>
        <v>1551601671151677</v>
      </c>
      <c r="C380" t="s">
        <v>40</v>
      </c>
      <c r="D380">
        <v>5.1396410000000001</v>
      </c>
      <c r="E380">
        <v>0.53020409999999996</v>
      </c>
      <c r="F380" t="s">
        <v>41</v>
      </c>
      <c r="G380">
        <v>-362.07319999999999</v>
      </c>
      <c r="H380" s="1">
        <v>-4.1312859999999998E-6</v>
      </c>
      <c r="I380">
        <v>365.39710000000002</v>
      </c>
      <c r="J380">
        <v>-390.52699999999999</v>
      </c>
      <c r="K380">
        <v>1.1206640000000001</v>
      </c>
      <c r="L380">
        <v>367.9042</v>
      </c>
      <c r="M380">
        <v>0.9999382</v>
      </c>
      <c r="N380">
        <v>-1.0769900000000001E-2</v>
      </c>
      <c r="O380">
        <v>-2.7699819999999998E-3</v>
      </c>
      <c r="P380">
        <v>0.98864589999999997</v>
      </c>
      <c r="Q380">
        <v>0.1498833</v>
      </c>
      <c r="R380">
        <v>-1.068909E-2</v>
      </c>
      <c r="S380">
        <v>3.0496829999999999</v>
      </c>
      <c r="T380">
        <v>-0.1189513</v>
      </c>
      <c r="U380">
        <v>-0.26620480000000002</v>
      </c>
      <c r="V380">
        <v>7.95651E-3</v>
      </c>
      <c r="W380">
        <v>0.16052239999999901</v>
      </c>
      <c r="X380">
        <v>0.98700010000000005</v>
      </c>
      <c r="Y380">
        <v>8.4118689999999996E-2</v>
      </c>
      <c r="Z380">
        <v>-2.0128139999999999E-3</v>
      </c>
      <c r="AA380">
        <v>0.9964537</v>
      </c>
      <c r="AB380">
        <v>27</v>
      </c>
      <c r="AC380">
        <v>28.453800000000001</v>
      </c>
      <c r="AD380">
        <v>-1.1206681312859901</v>
      </c>
      <c r="AE380">
        <v>-2.5070999999999799</v>
      </c>
      <c r="AF380">
        <v>2.4245372803471499</v>
      </c>
      <c r="AG380">
        <v>-1.1206681312859901</v>
      </c>
      <c r="AH380">
        <v>28.416894575582798</v>
      </c>
      <c r="AI380">
        <v>92.250218343496897</v>
      </c>
      <c r="AJ380">
        <v>85.123318757792504</v>
      </c>
      <c r="AK380">
        <v>28.542147350962601</v>
      </c>
      <c r="AL380">
        <v>80.762780264860695</v>
      </c>
      <c r="AM380">
        <v>89.538131183481596</v>
      </c>
      <c r="AN380">
        <v>0.99999997217657399</v>
      </c>
    </row>
    <row r="381" spans="1:40" x14ac:dyDescent="0.25">
      <c r="A381" t="str">
        <f>"20190303162751177"</f>
        <v>20190303162751177</v>
      </c>
      <c r="B381" t="str">
        <f>"1551601671172175"</f>
        <v>1551601671172175</v>
      </c>
      <c r="C381" t="s">
        <v>40</v>
      </c>
      <c r="D381">
        <v>5.1607909999999997</v>
      </c>
      <c r="E381">
        <v>0.53042210000000001</v>
      </c>
      <c r="F381" t="s">
        <v>41</v>
      </c>
      <c r="G381">
        <v>-362.13260000000002</v>
      </c>
      <c r="H381" s="1">
        <v>-4.1049599999999901E-6</v>
      </c>
      <c r="I381">
        <v>365.40190000000001</v>
      </c>
      <c r="J381">
        <v>-390.3732</v>
      </c>
      <c r="K381">
        <v>1.1207009999999999</v>
      </c>
      <c r="L381">
        <v>367.90379999999999</v>
      </c>
      <c r="M381">
        <v>0.99993770000000004</v>
      </c>
      <c r="N381">
        <v>-1.08074E-2</v>
      </c>
      <c r="O381">
        <v>-2.7697080000000001E-3</v>
      </c>
      <c r="P381">
        <v>0.98865890000000001</v>
      </c>
      <c r="Q381">
        <v>0.14979100000000001</v>
      </c>
      <c r="R381">
        <v>-1.0785329999999999E-2</v>
      </c>
      <c r="S381">
        <v>3.0498050000000001</v>
      </c>
      <c r="T381">
        <v>-0.1203692</v>
      </c>
      <c r="U381">
        <v>-0.26876830000000002</v>
      </c>
      <c r="V381">
        <v>8.0528449999999994E-3</v>
      </c>
      <c r="W381">
        <v>0.16046729999999901</v>
      </c>
      <c r="X381">
        <v>0.98700829999999995</v>
      </c>
      <c r="Y381">
        <v>8.4944069999999997E-2</v>
      </c>
      <c r="Z381">
        <v>-2.0533410000000002E-3</v>
      </c>
      <c r="AA381">
        <v>0.99638360000000004</v>
      </c>
      <c r="AB381">
        <v>27</v>
      </c>
      <c r="AC381">
        <v>28.240599999999901</v>
      </c>
      <c r="AD381">
        <v>-1.1207051049600001</v>
      </c>
      <c r="AE381">
        <v>-2.5018999999999698</v>
      </c>
      <c r="AF381">
        <v>2.4198863709217102</v>
      </c>
      <c r="AG381">
        <v>-1.1207051049600001</v>
      </c>
      <c r="AH381">
        <v>28.2033518838712</v>
      </c>
      <c r="AI381">
        <v>92.267220409989903</v>
      </c>
      <c r="AJ381">
        <v>85.095954127807104</v>
      </c>
      <c r="AK381">
        <v>28.329152607621602</v>
      </c>
      <c r="AL381">
        <v>80.7659789234675</v>
      </c>
      <c r="AM381">
        <v>89.532543146643306</v>
      </c>
      <c r="AN381">
        <v>0.99999999347538604</v>
      </c>
    </row>
    <row r="382" spans="1:40" x14ac:dyDescent="0.25">
      <c r="A382" t="str">
        <f>"20190303162751189"</f>
        <v>20190303162751189</v>
      </c>
      <c r="B382" t="str">
        <f>"1551601671181933"</f>
        <v>1551601671181933</v>
      </c>
      <c r="C382" t="s">
        <v>40</v>
      </c>
      <c r="D382">
        <v>5.1355930000000001</v>
      </c>
      <c r="E382">
        <v>0.53047709999999904</v>
      </c>
      <c r="F382" t="s">
        <v>41</v>
      </c>
      <c r="G382">
        <v>-361.5711</v>
      </c>
      <c r="H382" s="1">
        <v>-4.3566890000000001E-6</v>
      </c>
      <c r="I382">
        <v>365.34070000000003</v>
      </c>
      <c r="J382">
        <v>-390.21870000000001</v>
      </c>
      <c r="K382">
        <v>1.1207290000000001</v>
      </c>
      <c r="L382">
        <v>367.90339999999998</v>
      </c>
      <c r="M382">
        <v>0.99993750000000003</v>
      </c>
      <c r="N382">
        <v>-1.084305E-2</v>
      </c>
      <c r="O382">
        <v>-2.7697820000000001E-3</v>
      </c>
      <c r="P382">
        <v>0.98867490000000002</v>
      </c>
      <c r="Q382">
        <v>0.14968129999999999</v>
      </c>
      <c r="R382">
        <v>-1.083918E-2</v>
      </c>
      <c r="S382">
        <v>3.0494080000000001</v>
      </c>
      <c r="T382">
        <v>-0.118654</v>
      </c>
      <c r="U382">
        <v>-0.2713623</v>
      </c>
      <c r="V382">
        <v>8.1066990000000002E-3</v>
      </c>
      <c r="W382">
        <v>0.16039300000000001</v>
      </c>
      <c r="X382">
        <v>0.98702000000000001</v>
      </c>
      <c r="Y382">
        <v>8.5797460000000006E-2</v>
      </c>
      <c r="Z382">
        <v>-2.0540509999999999E-3</v>
      </c>
      <c r="AA382">
        <v>0.99631049999999999</v>
      </c>
      <c r="AB382">
        <v>27</v>
      </c>
      <c r="AC382">
        <v>28.647600000000001</v>
      </c>
      <c r="AD382">
        <v>-1.1207333566889901</v>
      </c>
      <c r="AE382">
        <v>-2.5626999999999498</v>
      </c>
      <c r="AF382">
        <v>2.4795730932715498</v>
      </c>
      <c r="AG382">
        <v>-1.1207333566889901</v>
      </c>
      <c r="AH382">
        <v>28.611147434532501</v>
      </c>
      <c r="AI382">
        <v>92.234829973268603</v>
      </c>
      <c r="AJ382">
        <v>85.046861153197199</v>
      </c>
      <c r="AK382">
        <v>28.740251973534001</v>
      </c>
      <c r="AL382">
        <v>80.770292453323805</v>
      </c>
      <c r="AM382">
        <v>89.529422712254203</v>
      </c>
      <c r="AN382">
        <v>1.0000000567088301</v>
      </c>
    </row>
    <row r="383" spans="1:40" x14ac:dyDescent="0.25">
      <c r="A383" t="str">
        <f>"20190303162751202"</f>
        <v>20190303162751202</v>
      </c>
      <c r="B383" t="str">
        <f>"1551601671191694"</f>
        <v>1551601671191694</v>
      </c>
      <c r="C383" t="s">
        <v>40</v>
      </c>
      <c r="D383">
        <v>5.1257929999999998</v>
      </c>
      <c r="E383">
        <v>0.53047219999999995</v>
      </c>
      <c r="F383" t="s">
        <v>41</v>
      </c>
      <c r="G383">
        <v>-361.47739999999999</v>
      </c>
      <c r="H383" s="1">
        <v>-4.3968190000000003E-6</v>
      </c>
      <c r="I383">
        <v>365.34129999999999</v>
      </c>
      <c r="J383">
        <v>-390.06150000000002</v>
      </c>
      <c r="K383">
        <v>1.120762</v>
      </c>
      <c r="L383">
        <v>367.90289999999999</v>
      </c>
      <c r="M383">
        <v>0.99993710000000002</v>
      </c>
      <c r="N383">
        <v>-1.0877400000000001E-2</v>
      </c>
      <c r="O383">
        <v>-2.7696119999999999E-3</v>
      </c>
      <c r="P383">
        <v>0.98870400000000003</v>
      </c>
      <c r="Q383">
        <v>0.14947579999999999</v>
      </c>
      <c r="R383">
        <v>-1.101297E-2</v>
      </c>
      <c r="S383">
        <v>3.0493769999999998</v>
      </c>
      <c r="T383">
        <v>-0.11890630000000001</v>
      </c>
      <c r="U383">
        <v>-0.27182009999999901</v>
      </c>
      <c r="V383">
        <v>8.2807239999999997E-3</v>
      </c>
      <c r="W383">
        <v>0.16022169999999999</v>
      </c>
      <c r="X383">
        <v>0.98704630000000004</v>
      </c>
      <c r="Y383">
        <v>8.5946380000000003E-2</v>
      </c>
      <c r="Z383">
        <v>-2.062655E-3</v>
      </c>
      <c r="AA383">
        <v>0.99629769999999895</v>
      </c>
      <c r="AB383">
        <v>27</v>
      </c>
      <c r="AC383">
        <v>28.584099999999999</v>
      </c>
      <c r="AD383">
        <v>-1.120766396819</v>
      </c>
      <c r="AE383">
        <v>-2.5615999999999901</v>
      </c>
      <c r="AF383">
        <v>2.4786383825242502</v>
      </c>
      <c r="AG383">
        <v>-1.120766396819</v>
      </c>
      <c r="AH383">
        <v>28.5475466559379</v>
      </c>
      <c r="AI383">
        <v>92.239838937507997</v>
      </c>
      <c r="AJ383">
        <v>85.037743137597502</v>
      </c>
      <c r="AK383">
        <v>28.676858015140201</v>
      </c>
      <c r="AL383">
        <v>80.780235111195594</v>
      </c>
      <c r="AM383">
        <v>89.519334193281793</v>
      </c>
      <c r="AN383">
        <v>0.99999998094227205</v>
      </c>
    </row>
    <row r="384" spans="1:40" x14ac:dyDescent="0.25">
      <c r="A384" t="str">
        <f>"20190303162751220"</f>
        <v>20190303162751220</v>
      </c>
      <c r="B384" t="str">
        <f>"1551601671212189"</f>
        <v>1551601671212189</v>
      </c>
      <c r="C384" t="s">
        <v>40</v>
      </c>
      <c r="D384">
        <v>5.1284140000000003</v>
      </c>
      <c r="E384">
        <v>0.53047559999999905</v>
      </c>
      <c r="F384" t="s">
        <v>41</v>
      </c>
      <c r="G384">
        <v>-361.23340000000002</v>
      </c>
      <c r="H384" s="1">
        <v>-4.5036520000000001E-6</v>
      </c>
      <c r="I384">
        <v>365.32889999999998</v>
      </c>
      <c r="J384">
        <v>-389.84030000000001</v>
      </c>
      <c r="K384">
        <v>1.120806</v>
      </c>
      <c r="L384">
        <v>367.90230000000003</v>
      </c>
      <c r="M384">
        <v>0.99993659999999995</v>
      </c>
      <c r="N384">
        <v>-1.0920549999999999E-2</v>
      </c>
      <c r="O384">
        <v>-2.7694899999999999E-3</v>
      </c>
      <c r="P384">
        <v>0.98863670000000003</v>
      </c>
      <c r="Q384">
        <v>0.14990139999999999</v>
      </c>
      <c r="R384">
        <v>-1.12723999999999E-2</v>
      </c>
      <c r="S384">
        <v>3.0491640000000002</v>
      </c>
      <c r="T384">
        <v>-0.1185441</v>
      </c>
      <c r="U384">
        <v>-0.27224730000000003</v>
      </c>
      <c r="V384">
        <v>8.5404450000000007E-3</v>
      </c>
      <c r="W384">
        <v>0.160689</v>
      </c>
      <c r="X384">
        <v>0.98696819999999996</v>
      </c>
      <c r="Y384">
        <v>8.6091379999999995E-2</v>
      </c>
      <c r="Z384">
        <v>-2.0635839999999998E-3</v>
      </c>
      <c r="AA384">
        <v>0.99628510000000003</v>
      </c>
      <c r="AB384">
        <v>27</v>
      </c>
      <c r="AC384">
        <v>28.6069</v>
      </c>
      <c r="AD384">
        <v>-1.120810503652</v>
      </c>
      <c r="AE384">
        <v>-2.5734000000000399</v>
      </c>
      <c r="AF384">
        <v>2.4903667343894398</v>
      </c>
      <c r="AG384">
        <v>-1.120810503652</v>
      </c>
      <c r="AH384">
        <v>28.5704127258896</v>
      </c>
      <c r="AI384">
        <v>92.238070281425493</v>
      </c>
      <c r="AJ384">
        <v>85.018351044613894</v>
      </c>
      <c r="AK384">
        <v>28.700638076261001</v>
      </c>
      <c r="AL384">
        <v>80.753110072082904</v>
      </c>
      <c r="AM384">
        <v>89.504219851447104</v>
      </c>
      <c r="AN384">
        <v>1.0000000608665101</v>
      </c>
    </row>
    <row r="385" spans="1:40" x14ac:dyDescent="0.25">
      <c r="A385" t="str">
        <f>"20190303162751233"</f>
        <v>20190303162751233</v>
      </c>
      <c r="B385" t="str">
        <f>"1551601671221950"</f>
        <v>1551601671221950</v>
      </c>
      <c r="C385" t="s">
        <v>40</v>
      </c>
      <c r="D385">
        <v>5.1389459999999998</v>
      </c>
      <c r="E385">
        <v>0.53046150000000003</v>
      </c>
      <c r="F385" t="s">
        <v>41</v>
      </c>
      <c r="G385">
        <v>-360.50670000000002</v>
      </c>
      <c r="H385" s="1">
        <v>-4.8245070000000001E-6</v>
      </c>
      <c r="I385">
        <v>365.27780000000001</v>
      </c>
      <c r="J385">
        <v>-389.68700000000001</v>
      </c>
      <c r="K385">
        <v>1.1208309999999999</v>
      </c>
      <c r="L385">
        <v>367.90190000000001</v>
      </c>
      <c r="M385">
        <v>0.9999363</v>
      </c>
      <c r="N385">
        <v>-1.0947770000000001E-2</v>
      </c>
      <c r="O385">
        <v>-2.7692810000000002E-3</v>
      </c>
      <c r="P385">
        <v>0.98860029999999999</v>
      </c>
      <c r="Q385">
        <v>0.15013489999999999</v>
      </c>
      <c r="R385">
        <v>-1.136468E-2</v>
      </c>
      <c r="S385">
        <v>3.049042</v>
      </c>
      <c r="T385">
        <v>-0.1165009</v>
      </c>
      <c r="U385">
        <v>-0.2727966</v>
      </c>
      <c r="V385">
        <v>8.6329879999999994E-3</v>
      </c>
      <c r="W385">
        <v>0.160948799999999</v>
      </c>
      <c r="X385">
        <v>0.98692500000000005</v>
      </c>
      <c r="Y385">
        <v>8.6275459999999998E-2</v>
      </c>
      <c r="Z385">
        <v>-2.0424979999999998E-3</v>
      </c>
      <c r="AA385">
        <v>0.99626919999999997</v>
      </c>
      <c r="AB385">
        <v>27</v>
      </c>
      <c r="AC385">
        <v>29.1802999999999</v>
      </c>
      <c r="AD385">
        <v>-1.12083582450699</v>
      </c>
      <c r="AE385">
        <v>-2.6240999999999901</v>
      </c>
      <c r="AF385">
        <v>2.5395598844135399</v>
      </c>
      <c r="AG385">
        <v>-1.12083582450699</v>
      </c>
      <c r="AH385">
        <v>29.144800628934</v>
      </c>
      <c r="AI385">
        <v>92.194060965662402</v>
      </c>
      <c r="AJ385">
        <v>85.020056111367097</v>
      </c>
      <c r="AK385">
        <v>29.276697919204199</v>
      </c>
      <c r="AL385">
        <v>80.738027757218006</v>
      </c>
      <c r="AM385">
        <v>89.498825988077002</v>
      </c>
      <c r="AN385">
        <v>1.0000000001641201</v>
      </c>
    </row>
    <row r="386" spans="1:40" x14ac:dyDescent="0.25">
      <c r="A386" t="str">
        <f>"20190303162751246"</f>
        <v>20190303162751246</v>
      </c>
      <c r="B386" t="str">
        <f>"1551601671241468"</f>
        <v>1551601671241468</v>
      </c>
      <c r="C386" t="s">
        <v>40</v>
      </c>
      <c r="D386">
        <v>5.1091800000000003</v>
      </c>
      <c r="E386">
        <v>0.53052889999999997</v>
      </c>
      <c r="F386" t="s">
        <v>41</v>
      </c>
      <c r="G386">
        <v>-360.19580000000002</v>
      </c>
      <c r="H386" s="1">
        <v>-4.9597189999999996E-6</v>
      </c>
      <c r="I386">
        <v>365.26740000000001</v>
      </c>
      <c r="J386">
        <v>-389.5378</v>
      </c>
      <c r="K386">
        <v>1.120852</v>
      </c>
      <c r="L386">
        <v>367.9015</v>
      </c>
      <c r="M386">
        <v>0.99993609999999999</v>
      </c>
      <c r="N386">
        <v>-1.0973139999999999E-2</v>
      </c>
      <c r="O386">
        <v>-2.769063E-3</v>
      </c>
      <c r="P386">
        <v>0.98855349999999997</v>
      </c>
      <c r="Q386">
        <v>0.150424</v>
      </c>
      <c r="R386">
        <v>-1.1628919999999999E-2</v>
      </c>
      <c r="S386">
        <v>3.049042</v>
      </c>
      <c r="T386">
        <v>-0.1158806</v>
      </c>
      <c r="U386">
        <v>-0.27236939999999998</v>
      </c>
      <c r="V386">
        <v>8.8973490000000006E-3</v>
      </c>
      <c r="W386">
        <v>0.16126270000000001</v>
      </c>
      <c r="X386">
        <v>0.98687139999999995</v>
      </c>
      <c r="Y386">
        <v>8.6138000000000006E-2</v>
      </c>
      <c r="Z386">
        <v>-2.0321279999999998E-3</v>
      </c>
      <c r="AA386">
        <v>0.99628110000000003</v>
      </c>
      <c r="AB386">
        <v>27</v>
      </c>
      <c r="AC386">
        <v>29.341999999999899</v>
      </c>
      <c r="AD386">
        <v>-1.1208569597189999</v>
      </c>
      <c r="AE386">
        <v>-2.6340999999999801</v>
      </c>
      <c r="AF386">
        <v>2.54914514584337</v>
      </c>
      <c r="AG386">
        <v>-1.1208569597189999</v>
      </c>
      <c r="AH386">
        <v>29.306758784505298</v>
      </c>
      <c r="AI386">
        <v>92.182017862248003</v>
      </c>
      <c r="AJ386">
        <v>85.028840211740999</v>
      </c>
      <c r="AK386">
        <v>29.438759684333</v>
      </c>
      <c r="AL386">
        <v>80.719804476365695</v>
      </c>
      <c r="AM386">
        <v>89.483451709055799</v>
      </c>
      <c r="AN386">
        <v>0.99999999068423795</v>
      </c>
    </row>
    <row r="387" spans="1:40" x14ac:dyDescent="0.25">
      <c r="A387" t="str">
        <f>"20190303162751265"</f>
        <v>20190303162751265</v>
      </c>
      <c r="B387" t="str">
        <f>"1551601671252206"</f>
        <v>1551601671252206</v>
      </c>
      <c r="C387" t="s">
        <v>40</v>
      </c>
      <c r="D387">
        <v>5.1539929999999998</v>
      </c>
      <c r="E387">
        <v>0.5305105</v>
      </c>
      <c r="F387" t="s">
        <v>41</v>
      </c>
      <c r="G387">
        <v>-359.78199999999998</v>
      </c>
      <c r="H387" s="1">
        <v>-1.2278520000000001E-6</v>
      </c>
      <c r="I387">
        <v>365.22809999999998</v>
      </c>
      <c r="J387">
        <v>-389.29989999999998</v>
      </c>
      <c r="K387">
        <v>1.1208739999999999</v>
      </c>
      <c r="L387">
        <v>367.9008</v>
      </c>
      <c r="M387">
        <v>0.99993569999999998</v>
      </c>
      <c r="N387">
        <v>-1.1009690000000001E-2</v>
      </c>
      <c r="O387">
        <v>-2.7687860000000001E-3</v>
      </c>
      <c r="P387">
        <v>0.98855930000000003</v>
      </c>
      <c r="Q387">
        <v>0.15036329999999901</v>
      </c>
      <c r="R387">
        <v>-1.1911390000000001E-2</v>
      </c>
      <c r="S387">
        <v>3.0490110000000001</v>
      </c>
      <c r="T387">
        <v>-0.11485090000000001</v>
      </c>
      <c r="U387">
        <v>-0.2739258</v>
      </c>
      <c r="V387">
        <v>9.180176E-3</v>
      </c>
      <c r="W387">
        <v>0.16123779999999999</v>
      </c>
      <c r="X387">
        <v>0.98687290000000005</v>
      </c>
      <c r="Y387">
        <v>8.6644369999999998E-2</v>
      </c>
      <c r="Z387">
        <v>-2.032542E-3</v>
      </c>
      <c r="AA387">
        <v>0.99623720000000004</v>
      </c>
      <c r="AB387">
        <v>27</v>
      </c>
      <c r="AC387">
        <v>29.517900000000001</v>
      </c>
      <c r="AD387">
        <v>-1.120875227852</v>
      </c>
      <c r="AE387">
        <v>-2.6727000000000198</v>
      </c>
      <c r="AF387">
        <v>2.5872557632047002</v>
      </c>
      <c r="AG387">
        <v>-1.120875227852</v>
      </c>
      <c r="AH387">
        <v>29.483020724749998</v>
      </c>
      <c r="AI387">
        <v>92.168875492405206</v>
      </c>
      <c r="AJ387">
        <v>84.984907841558893</v>
      </c>
      <c r="AK387">
        <v>29.6175415035868</v>
      </c>
      <c r="AL387">
        <v>80.721250260863897</v>
      </c>
      <c r="AM387">
        <v>89.467033526652699</v>
      </c>
      <c r="AN387">
        <v>1.00000001226732</v>
      </c>
    </row>
    <row r="388" spans="1:40" x14ac:dyDescent="0.25">
      <c r="A388" t="str">
        <f>"20190303162751278"</f>
        <v>20190303162751278</v>
      </c>
      <c r="B388" t="str">
        <f>"1551601671271725"</f>
        <v>1551601671271725</v>
      </c>
      <c r="C388" t="s">
        <v>40</v>
      </c>
      <c r="D388">
        <v>5.1224109999999996</v>
      </c>
      <c r="E388">
        <v>0.53055180000000002</v>
      </c>
      <c r="F388" t="s">
        <v>41</v>
      </c>
      <c r="G388">
        <v>-359.87279999999998</v>
      </c>
      <c r="H388" s="1">
        <v>-1.188857E-6</v>
      </c>
      <c r="I388">
        <v>365.25850000000003</v>
      </c>
      <c r="J388">
        <v>-389.13330000000002</v>
      </c>
      <c r="K388">
        <v>1.1208910000000001</v>
      </c>
      <c r="L388">
        <v>367.90030000000002</v>
      </c>
      <c r="M388">
        <v>0.99993529999999997</v>
      </c>
      <c r="N388">
        <v>-1.1032770000000001E-2</v>
      </c>
      <c r="O388">
        <v>-2.7675949999999999E-3</v>
      </c>
      <c r="P388">
        <v>0.98858679999999999</v>
      </c>
      <c r="Q388">
        <v>0.15014430000000001</v>
      </c>
      <c r="R388">
        <v>-1.2366250000000001E-2</v>
      </c>
      <c r="S388">
        <v>3.0490719999999998</v>
      </c>
      <c r="T388">
        <v>-0.11613859999999999</v>
      </c>
      <c r="U388">
        <v>-0.27377319999999999</v>
      </c>
      <c r="V388">
        <v>9.6360089999999992E-3</v>
      </c>
      <c r="W388">
        <v>0.16104250000000001</v>
      </c>
      <c r="X388">
        <v>0.98690040000000001</v>
      </c>
      <c r="Y388">
        <v>8.6592769999999999E-2</v>
      </c>
      <c r="Z388">
        <v>-2.0494250000000001E-3</v>
      </c>
      <c r="AA388">
        <v>0.99624170000000001</v>
      </c>
      <c r="AB388">
        <v>27</v>
      </c>
      <c r="AC388">
        <v>29.2605</v>
      </c>
      <c r="AD388">
        <v>-1.120892188857</v>
      </c>
      <c r="AE388">
        <v>-2.6417999999999799</v>
      </c>
      <c r="AF388">
        <v>2.5570816811769301</v>
      </c>
      <c r="AG388">
        <v>-1.120892188857</v>
      </c>
      <c r="AH388">
        <v>29.2251600156034</v>
      </c>
      <c r="AI388">
        <v>92.188075645932699</v>
      </c>
      <c r="AJ388">
        <v>84.999588524561801</v>
      </c>
      <c r="AK388">
        <v>29.358219359505998</v>
      </c>
      <c r="AL388">
        <v>80.732587897374003</v>
      </c>
      <c r="AM388">
        <v>89.440586807606294</v>
      </c>
      <c r="AN388">
        <v>0.99999996949792802</v>
      </c>
    </row>
    <row r="389" spans="1:40" x14ac:dyDescent="0.25">
      <c r="A389" t="str">
        <f>"20190303162751292"</f>
        <v>20190303162751292</v>
      </c>
      <c r="B389" t="str">
        <f>"1551601671281486"</f>
        <v>1551601671281486</v>
      </c>
      <c r="C389" t="s">
        <v>40</v>
      </c>
      <c r="D389">
        <v>5.1514030000000002</v>
      </c>
      <c r="E389">
        <v>0.53055140000000001</v>
      </c>
      <c r="F389" t="s">
        <v>41</v>
      </c>
      <c r="G389">
        <v>-359.96550000000002</v>
      </c>
      <c r="H389" s="1">
        <v>-5.0585719999999901E-6</v>
      </c>
      <c r="I389">
        <v>365.26690000000002</v>
      </c>
      <c r="J389">
        <v>-388.97050000000002</v>
      </c>
      <c r="K389">
        <v>1.1209100000000001</v>
      </c>
      <c r="L389">
        <v>367.8999</v>
      </c>
      <c r="M389">
        <v>0.99993509999999997</v>
      </c>
      <c r="N389">
        <v>-1.1053759999999999E-2</v>
      </c>
      <c r="O389">
        <v>-2.763756E-3</v>
      </c>
      <c r="P389">
        <v>0.98863610000000002</v>
      </c>
      <c r="Q389">
        <v>0.1497773</v>
      </c>
      <c r="R389">
        <v>-1.2866799999999999E-2</v>
      </c>
      <c r="S389">
        <v>3.0489809999999999</v>
      </c>
      <c r="T389">
        <v>-0.1171697</v>
      </c>
      <c r="U389">
        <v>-0.27526859999999997</v>
      </c>
      <c r="V389">
        <v>1.0139489999999999E-2</v>
      </c>
      <c r="W389">
        <v>0.16069649999999999</v>
      </c>
      <c r="X389">
        <v>0.98695180000000005</v>
      </c>
      <c r="Y389">
        <v>8.7082179999999995E-2</v>
      </c>
      <c r="Z389">
        <v>-2.076282E-3</v>
      </c>
      <c r="AA389">
        <v>0.99619899999999995</v>
      </c>
      <c r="AB389">
        <v>27</v>
      </c>
      <c r="AC389">
        <v>29.0049999999999</v>
      </c>
      <c r="AD389">
        <v>-1.120915058572</v>
      </c>
      <c r="AE389">
        <v>-2.63299999999998</v>
      </c>
      <c r="AF389">
        <v>2.5490464661966801</v>
      </c>
      <c r="AG389">
        <v>-1.120915058572</v>
      </c>
      <c r="AH389">
        <v>28.9692552098441</v>
      </c>
      <c r="AI389">
        <v>92.207335187341698</v>
      </c>
      <c r="AJ389">
        <v>84.971413131890401</v>
      </c>
      <c r="AK389">
        <v>29.102780552181699</v>
      </c>
      <c r="AL389">
        <v>80.752674267458303</v>
      </c>
      <c r="AM389">
        <v>89.411390155228403</v>
      </c>
      <c r="AN389">
        <v>1.0000000149464701</v>
      </c>
    </row>
    <row r="390" spans="1:40" x14ac:dyDescent="0.25">
      <c r="A390" t="str">
        <f>"20190303162751312"</f>
        <v>20190303162751312</v>
      </c>
      <c r="B390" t="str">
        <f>"1551601671301981"</f>
        <v>1551601671301981</v>
      </c>
      <c r="C390" t="s">
        <v>40</v>
      </c>
      <c r="D390">
        <v>5.1245629999999904</v>
      </c>
      <c r="E390">
        <v>0.53067900000000001</v>
      </c>
      <c r="F390" t="s">
        <v>41</v>
      </c>
      <c r="G390">
        <v>-360.12560000000002</v>
      </c>
      <c r="H390" s="1">
        <v>-4.9867839999999998E-6</v>
      </c>
      <c r="I390">
        <v>365.28449999999998</v>
      </c>
      <c r="J390">
        <v>-388.72550000000001</v>
      </c>
      <c r="K390">
        <v>1.120932</v>
      </c>
      <c r="L390">
        <v>367.89920000000001</v>
      </c>
      <c r="M390">
        <v>0.99993489999999996</v>
      </c>
      <c r="N390">
        <v>-1.1082730000000001E-2</v>
      </c>
      <c r="O390">
        <v>-2.750373E-3</v>
      </c>
      <c r="P390">
        <v>0.98864890000000005</v>
      </c>
      <c r="Q390">
        <v>0.14959510000000001</v>
      </c>
      <c r="R390">
        <v>-1.395651E-2</v>
      </c>
      <c r="S390">
        <v>3.0488279999999999</v>
      </c>
      <c r="T390">
        <v>-0.11847729999999999</v>
      </c>
      <c r="U390">
        <v>-0.27642820000000001</v>
      </c>
      <c r="V390">
        <v>1.1240440000000001E-2</v>
      </c>
      <c r="W390">
        <v>0.16054270000000001</v>
      </c>
      <c r="X390">
        <v>0.98696490000000003</v>
      </c>
      <c r="Y390">
        <v>8.7473759999999998E-2</v>
      </c>
      <c r="Z390">
        <v>-2.1052589999999999E-3</v>
      </c>
      <c r="AA390">
        <v>0.99616459999999996</v>
      </c>
      <c r="AB390">
        <v>27</v>
      </c>
      <c r="AC390">
        <v>28.599899999999899</v>
      </c>
      <c r="AD390">
        <v>-1.120936986784</v>
      </c>
      <c r="AE390">
        <v>-2.61470000000002</v>
      </c>
      <c r="AF390">
        <v>2.5321673486220502</v>
      </c>
      <c r="AG390">
        <v>-1.120936986784</v>
      </c>
      <c r="AH390">
        <v>28.563469607790999</v>
      </c>
      <c r="AI390">
        <v>92.238576480930305</v>
      </c>
      <c r="AJ390">
        <v>84.933941069618697</v>
      </c>
      <c r="AK390">
        <v>28.6973895545391</v>
      </c>
      <c r="AL390">
        <v>80.7616022292368</v>
      </c>
      <c r="AM390">
        <v>89.347492571424198</v>
      </c>
      <c r="AN390">
        <v>1.0000000099233399</v>
      </c>
    </row>
    <row r="391" spans="1:40" x14ac:dyDescent="0.25">
      <c r="A391" t="str">
        <f>"20190303162751332"</f>
        <v>20190303162751332</v>
      </c>
      <c r="B391" t="str">
        <f>"1551601671321501"</f>
        <v>1551601671321501</v>
      </c>
      <c r="C391" t="s">
        <v>40</v>
      </c>
      <c r="D391">
        <v>5.1559179999999998</v>
      </c>
      <c r="E391">
        <v>0.53079860000000001</v>
      </c>
      <c r="F391" t="s">
        <v>41</v>
      </c>
      <c r="G391">
        <v>-360.13780000000003</v>
      </c>
      <c r="H391" s="1">
        <v>-4.9845530000000003E-6</v>
      </c>
      <c r="I391">
        <v>365.26749999999998</v>
      </c>
      <c r="J391">
        <v>-388.47820000000002</v>
      </c>
      <c r="K391">
        <v>1.120959</v>
      </c>
      <c r="L391">
        <v>367.89859999999999</v>
      </c>
      <c r="M391">
        <v>0.99993460000000001</v>
      </c>
      <c r="N391">
        <v>-1.1108959999999999E-2</v>
      </c>
      <c r="O391">
        <v>-2.722609E-3</v>
      </c>
      <c r="P391">
        <v>0.98867930000000004</v>
      </c>
      <c r="Q391">
        <v>0.1493138</v>
      </c>
      <c r="R391">
        <v>-1.477151E-2</v>
      </c>
      <c r="S391">
        <v>3.0486149999999999</v>
      </c>
      <c r="T391">
        <v>-0.11953759999999999</v>
      </c>
      <c r="U391">
        <v>-0.28063959999999999</v>
      </c>
      <c r="V391">
        <v>1.2078820000000001E-2</v>
      </c>
      <c r="W391">
        <v>0.1602885</v>
      </c>
      <c r="X391">
        <v>0.98699630000000005</v>
      </c>
      <c r="Y391">
        <v>8.8869600000000007E-2</v>
      </c>
      <c r="Z391">
        <v>-2.1565830000000001E-3</v>
      </c>
      <c r="AA391">
        <v>0.99604090000000001</v>
      </c>
      <c r="AB391">
        <v>27</v>
      </c>
      <c r="AC391">
        <v>28.340399999999899</v>
      </c>
      <c r="AD391">
        <v>-1.1209639845529999</v>
      </c>
      <c r="AE391">
        <v>-2.6311</v>
      </c>
      <c r="AF391">
        <v>2.5499703596143699</v>
      </c>
      <c r="AG391">
        <v>-1.1209639845529999</v>
      </c>
      <c r="AH391">
        <v>28.303556758240699</v>
      </c>
      <c r="AI391">
        <v>92.258877841328001</v>
      </c>
      <c r="AJ391">
        <v>84.851913606696797</v>
      </c>
      <c r="AK391">
        <v>28.440292443231499</v>
      </c>
      <c r="AL391">
        <v>80.776357804107107</v>
      </c>
      <c r="AM391">
        <v>89.298851615820396</v>
      </c>
      <c r="AN391">
        <v>0.99999999866926603</v>
      </c>
    </row>
    <row r="392" spans="1:40" x14ac:dyDescent="0.25">
      <c r="A392" t="str">
        <f>"20190303162751345"</f>
        <v>20190303162751345</v>
      </c>
      <c r="B392" t="str">
        <f>"1551601671341997"</f>
        <v>1551601671341997</v>
      </c>
      <c r="C392" t="s">
        <v>40</v>
      </c>
      <c r="D392">
        <v>5.1155189999999999</v>
      </c>
      <c r="E392">
        <v>0.53085890000000002</v>
      </c>
      <c r="F392" t="s">
        <v>41</v>
      </c>
      <c r="G392">
        <v>-360.18299999999999</v>
      </c>
      <c r="H392" s="1">
        <v>-4.9658099999999998E-6</v>
      </c>
      <c r="I392">
        <v>365.26409999999998</v>
      </c>
      <c r="J392">
        <v>-388.3186</v>
      </c>
      <c r="K392">
        <v>1.120976</v>
      </c>
      <c r="L392">
        <v>367.8981</v>
      </c>
      <c r="M392">
        <v>0.99993460000000001</v>
      </c>
      <c r="N392">
        <v>-1.112463E-2</v>
      </c>
      <c r="O392">
        <v>-2.698148E-3</v>
      </c>
      <c r="P392">
        <v>0.98871120000000001</v>
      </c>
      <c r="Q392">
        <v>0.14907100000000001</v>
      </c>
      <c r="R392">
        <v>-1.511499E-2</v>
      </c>
      <c r="S392">
        <v>3.04834</v>
      </c>
      <c r="T392">
        <v>-0.1207647</v>
      </c>
      <c r="U392">
        <v>-0.2838135</v>
      </c>
      <c r="V392">
        <v>1.24431E-2</v>
      </c>
      <c r="W392">
        <v>0.16006119999999999</v>
      </c>
      <c r="X392">
        <v>0.98702869999999998</v>
      </c>
      <c r="Y392">
        <v>8.9927670000000001E-2</v>
      </c>
      <c r="Z392">
        <v>-2.2016549999999998E-3</v>
      </c>
      <c r="AA392">
        <v>0.99594590000000005</v>
      </c>
      <c r="AB392">
        <v>27</v>
      </c>
      <c r="AC392">
        <v>28.135599999999901</v>
      </c>
      <c r="AD392">
        <v>-1.1209809658100001</v>
      </c>
      <c r="AE392">
        <v>-2.6340000000000101</v>
      </c>
      <c r="AF392">
        <v>2.5540526517604998</v>
      </c>
      <c r="AG392">
        <v>-1.1209809658100001</v>
      </c>
      <c r="AH392">
        <v>28.098389304168599</v>
      </c>
      <c r="AI392">
        <v>92.275224913719399</v>
      </c>
      <c r="AJ392">
        <v>84.8062716031462</v>
      </c>
      <c r="AK392">
        <v>28.236488180407498</v>
      </c>
      <c r="AL392">
        <v>80.789551834914406</v>
      </c>
      <c r="AM392">
        <v>89.277731894374497</v>
      </c>
      <c r="AN392">
        <v>1.0000000365533599</v>
      </c>
    </row>
    <row r="393" spans="1:40" x14ac:dyDescent="0.25">
      <c r="A393" t="str">
        <f>"20190303162751358"</f>
        <v>20190303162751358</v>
      </c>
      <c r="B393" t="str">
        <f>"1551601671351757"</f>
        <v>1551601671351757</v>
      </c>
      <c r="C393" t="s">
        <v>40</v>
      </c>
      <c r="D393">
        <v>5.104819</v>
      </c>
      <c r="E393">
        <v>0.53087709999999999</v>
      </c>
      <c r="F393" t="s">
        <v>41</v>
      </c>
      <c r="G393">
        <v>-360.34070000000003</v>
      </c>
      <c r="H393" s="1">
        <v>-4.8951239999999998E-6</v>
      </c>
      <c r="I393">
        <v>365.28109999999998</v>
      </c>
      <c r="J393">
        <v>-388.15820000000002</v>
      </c>
      <c r="K393">
        <v>1.120992</v>
      </c>
      <c r="L393">
        <v>367.89780000000002</v>
      </c>
      <c r="M393">
        <v>0.99993449999999995</v>
      </c>
      <c r="N393">
        <v>-1.113891E-2</v>
      </c>
      <c r="O393">
        <v>-2.6644839999999999E-3</v>
      </c>
      <c r="P393">
        <v>0.98873100000000003</v>
      </c>
      <c r="Q393">
        <v>0.148927</v>
      </c>
      <c r="R393">
        <v>-1.5232600000000001E-2</v>
      </c>
      <c r="S393">
        <v>3.0483090000000002</v>
      </c>
      <c r="T393">
        <v>-0.1221349</v>
      </c>
      <c r="U393">
        <v>-0.28512569999999998</v>
      </c>
      <c r="V393">
        <v>1.2590240000000001E-2</v>
      </c>
      <c r="W393">
        <v>0.15993170000000001</v>
      </c>
      <c r="X393">
        <v>0.98704780000000003</v>
      </c>
      <c r="Y393">
        <v>9.0384839999999994E-2</v>
      </c>
      <c r="Z393">
        <v>-2.2339289999999999E-3</v>
      </c>
      <c r="AA393">
        <v>0.99590440000000002</v>
      </c>
      <c r="AB393">
        <v>27</v>
      </c>
      <c r="AC393">
        <v>27.8174999999999</v>
      </c>
      <c r="AD393">
        <v>-1.1209968951239999</v>
      </c>
      <c r="AE393">
        <v>-2.61670000000003</v>
      </c>
      <c r="AF393">
        <v>2.5384806262194801</v>
      </c>
      <c r="AG393">
        <v>-1.1209968951239999</v>
      </c>
      <c r="AH393">
        <v>27.779656740311399</v>
      </c>
      <c r="AI393">
        <v>92.301234458620002</v>
      </c>
      <c r="AJ393">
        <v>84.778862205692505</v>
      </c>
      <c r="AK393">
        <v>27.9179126465088</v>
      </c>
      <c r="AL393">
        <v>80.797068234622301</v>
      </c>
      <c r="AM393">
        <v>89.269206115107707</v>
      </c>
      <c r="AN393">
        <v>1.00000001114649</v>
      </c>
    </row>
    <row r="394" spans="1:40" x14ac:dyDescent="0.25">
      <c r="A394" t="str">
        <f>"20190303162751377"</f>
        <v>20190303162751377</v>
      </c>
      <c r="B394" t="str">
        <f>"1551601671372253"</f>
        <v>1551601671372253</v>
      </c>
      <c r="C394" t="s">
        <v>40</v>
      </c>
      <c r="D394">
        <v>5.1002479999999997</v>
      </c>
      <c r="E394">
        <v>0.530945</v>
      </c>
      <c r="F394" t="s">
        <v>41</v>
      </c>
      <c r="G394">
        <v>-360.30829999999997</v>
      </c>
      <c r="H394" s="1">
        <v>-4.9080549999999999E-6</v>
      </c>
      <c r="I394">
        <v>365.28660000000002</v>
      </c>
      <c r="J394">
        <v>-387.93459999999999</v>
      </c>
      <c r="K394">
        <v>1.121008</v>
      </c>
      <c r="L394">
        <v>367.8972</v>
      </c>
      <c r="M394">
        <v>0.9999344</v>
      </c>
      <c r="N394">
        <v>-1.115741E-2</v>
      </c>
      <c r="O394">
        <v>-2.6087430000000002E-3</v>
      </c>
      <c r="P394">
        <v>0.98879819999999996</v>
      </c>
      <c r="Q394">
        <v>0.1484925</v>
      </c>
      <c r="R394">
        <v>-1.511768E-2</v>
      </c>
      <c r="S394">
        <v>3.0483090000000002</v>
      </c>
      <c r="T394">
        <v>-0.1226979</v>
      </c>
      <c r="U394">
        <v>-0.28579710000000003</v>
      </c>
      <c r="V394">
        <v>1.252522E-2</v>
      </c>
      <c r="W394">
        <v>0.15951699999999999</v>
      </c>
      <c r="X394">
        <v>0.98711570000000004</v>
      </c>
      <c r="Y394">
        <v>9.0656749999999994E-2</v>
      </c>
      <c r="Z394">
        <v>-2.2512309999999998E-3</v>
      </c>
      <c r="AA394">
        <v>0.99587969999999904</v>
      </c>
      <c r="AB394">
        <v>27</v>
      </c>
      <c r="AC394">
        <v>27.626300000000001</v>
      </c>
      <c r="AD394">
        <v>-1.121012908055</v>
      </c>
      <c r="AE394">
        <v>-2.6105999999999701</v>
      </c>
      <c r="AF394">
        <v>2.5343806569831999</v>
      </c>
      <c r="AG394">
        <v>-1.121012908055</v>
      </c>
      <c r="AH394">
        <v>27.5879937305392</v>
      </c>
      <c r="AI394">
        <v>92.317135342271101</v>
      </c>
      <c r="AJ394">
        <v>84.751235366817994</v>
      </c>
      <c r="AK394">
        <v>27.7268309283767</v>
      </c>
      <c r="AL394">
        <v>80.821137517642001</v>
      </c>
      <c r="AM394">
        <v>89.273029764442299</v>
      </c>
      <c r="AN394">
        <v>0.99999997980576905</v>
      </c>
    </row>
    <row r="395" spans="1:40" x14ac:dyDescent="0.25">
      <c r="A395" t="str">
        <f>"20190303162751389"</f>
        <v>20190303162751389</v>
      </c>
      <c r="B395" t="str">
        <f>"1551601671382990"</f>
        <v>1551601671382990</v>
      </c>
      <c r="C395" t="s">
        <v>40</v>
      </c>
      <c r="D395">
        <v>5.1058130000000004</v>
      </c>
      <c r="E395">
        <v>0.53100590000000003</v>
      </c>
      <c r="F395" t="s">
        <v>41</v>
      </c>
      <c r="G395">
        <v>-360.28649999999999</v>
      </c>
      <c r="H395" s="1">
        <v>-4.91529299999999E-6</v>
      </c>
      <c r="I395">
        <v>365.29849999999999</v>
      </c>
      <c r="J395">
        <v>-387.77659999999997</v>
      </c>
      <c r="K395">
        <v>1.121022</v>
      </c>
      <c r="L395">
        <v>367.89690000000002</v>
      </c>
      <c r="M395">
        <v>0.9999344</v>
      </c>
      <c r="N395">
        <v>-1.1169409999999999E-2</v>
      </c>
      <c r="O395">
        <v>-2.563521E-3</v>
      </c>
      <c r="P395">
        <v>0.98879600000000001</v>
      </c>
      <c r="Q395">
        <v>0.14852319999999999</v>
      </c>
      <c r="R395">
        <v>-1.4950649999999999E-2</v>
      </c>
      <c r="S395">
        <v>3.0481569999999998</v>
      </c>
      <c r="T395">
        <v>-0.1235894</v>
      </c>
      <c r="U395">
        <v>-0.286499</v>
      </c>
      <c r="V395">
        <v>1.2400019999999999E-2</v>
      </c>
      <c r="W395">
        <v>0.1595598</v>
      </c>
      <c r="X395">
        <v>0.98711040000000005</v>
      </c>
      <c r="Y395">
        <v>9.0932200000000005E-2</v>
      </c>
      <c r="Z395">
        <v>-2.2727709999999998E-3</v>
      </c>
      <c r="AA395">
        <v>0.99585449999999998</v>
      </c>
      <c r="AB395">
        <v>27</v>
      </c>
      <c r="AC395">
        <v>27.490099999999899</v>
      </c>
      <c r="AD395">
        <v>-1.1210269152929999</v>
      </c>
      <c r="AE395">
        <v>-2.5984000000000198</v>
      </c>
      <c r="AF395">
        <v>2.5237559025626299</v>
      </c>
      <c r="AG395">
        <v>-1.1210269152929999</v>
      </c>
      <c r="AH395">
        <v>27.451424997208399</v>
      </c>
      <c r="AI395">
        <v>92.328664483533998</v>
      </c>
      <c r="AJ395">
        <v>84.747259120720898</v>
      </c>
      <c r="AK395">
        <v>27.589976070629199</v>
      </c>
      <c r="AL395">
        <v>80.818653776958101</v>
      </c>
      <c r="AM395">
        <v>89.280291805037507</v>
      </c>
      <c r="AN395">
        <v>1.0000000160300999</v>
      </c>
    </row>
    <row r="396" spans="1:40" x14ac:dyDescent="0.25">
      <c r="A396" t="str">
        <f>"20190303162751403"</f>
        <v>20190303162751403</v>
      </c>
      <c r="B396" t="str">
        <f>"1551601671391773"</f>
        <v>1551601671391773</v>
      </c>
      <c r="C396" t="s">
        <v>40</v>
      </c>
      <c r="D396">
        <v>5.1122610000000002</v>
      </c>
      <c r="E396">
        <v>0.53103149999999999</v>
      </c>
      <c r="F396" t="s">
        <v>41</v>
      </c>
      <c r="G396">
        <v>-360.1345</v>
      </c>
      <c r="H396" s="1">
        <v>-4.9800809999999997E-6</v>
      </c>
      <c r="I396">
        <v>365.30090000000001</v>
      </c>
      <c r="J396">
        <v>-387.60610000000003</v>
      </c>
      <c r="K396">
        <v>1.121035</v>
      </c>
      <c r="L396">
        <v>367.8965</v>
      </c>
      <c r="M396">
        <v>0.9999344</v>
      </c>
      <c r="N396">
        <v>-1.118155E-2</v>
      </c>
      <c r="O396">
        <v>-2.510558E-3</v>
      </c>
      <c r="P396">
        <v>0.98880159999999995</v>
      </c>
      <c r="Q396">
        <v>0.1485099</v>
      </c>
      <c r="R396">
        <v>-1.470723E-2</v>
      </c>
      <c r="S396">
        <v>3.048187</v>
      </c>
      <c r="T396">
        <v>-0.1236191</v>
      </c>
      <c r="U396">
        <v>-0.28625489999999998</v>
      </c>
      <c r="V396">
        <v>1.220596E-2</v>
      </c>
      <c r="W396">
        <v>0.15955839999999999</v>
      </c>
      <c r="X396">
        <v>0.98711300000000002</v>
      </c>
      <c r="Y396">
        <v>9.0904890000000002E-2</v>
      </c>
      <c r="Z396">
        <v>-2.2746049999999999E-3</v>
      </c>
      <c r="AA396">
        <v>0.99585699999999999</v>
      </c>
      <c r="AB396">
        <v>27</v>
      </c>
      <c r="AC396">
        <v>27.471599999999999</v>
      </c>
      <c r="AD396">
        <v>-1.121039980081</v>
      </c>
      <c r="AE396">
        <v>-2.5955999999999899</v>
      </c>
      <c r="AF396">
        <v>2.52245516395045</v>
      </c>
      <c r="AG396">
        <v>-1.121039980081</v>
      </c>
      <c r="AH396">
        <v>27.432752570852202</v>
      </c>
      <c r="AI396">
        <v>92.330271679683904</v>
      </c>
      <c r="AJ396">
        <v>84.746397722100895</v>
      </c>
      <c r="AK396">
        <v>27.571278974771602</v>
      </c>
      <c r="AL396">
        <v>80.818734620786302</v>
      </c>
      <c r="AM396">
        <v>89.291555928835706</v>
      </c>
      <c r="AN396">
        <v>0.99999997161954002</v>
      </c>
    </row>
    <row r="397" spans="1:40" x14ac:dyDescent="0.25">
      <c r="A397" t="str">
        <f>"20190303162751422"</f>
        <v>20190303162751422</v>
      </c>
      <c r="B397" t="str">
        <f>"1551601671412270"</f>
        <v>1551601671412270</v>
      </c>
      <c r="C397" t="s">
        <v>40</v>
      </c>
      <c r="D397">
        <v>5.0952070000000003</v>
      </c>
      <c r="E397">
        <v>0.53112409999999999</v>
      </c>
      <c r="F397" t="s">
        <v>41</v>
      </c>
      <c r="G397">
        <v>-360.01080000000002</v>
      </c>
      <c r="H397" s="1">
        <v>-5.0317329999999999E-6</v>
      </c>
      <c r="I397">
        <v>365.30869999999999</v>
      </c>
      <c r="J397">
        <v>-387.38099999999997</v>
      </c>
      <c r="K397">
        <v>1.1210500000000001</v>
      </c>
      <c r="L397">
        <v>367.89600000000002</v>
      </c>
      <c r="M397">
        <v>0.9999344</v>
      </c>
      <c r="N397">
        <v>-1.119596E-2</v>
      </c>
      <c r="O397">
        <v>-2.43283E-3</v>
      </c>
      <c r="P397">
        <v>0.9888188</v>
      </c>
      <c r="Q397">
        <v>0.14847689999999999</v>
      </c>
      <c r="R397">
        <v>-1.387097E-2</v>
      </c>
      <c r="S397">
        <v>3.04834</v>
      </c>
      <c r="T397">
        <v>-0.1238364</v>
      </c>
      <c r="U397">
        <v>-0.28585820000000001</v>
      </c>
      <c r="V397">
        <v>1.144396E-2</v>
      </c>
      <c r="W397">
        <v>0.15954009999999999</v>
      </c>
      <c r="X397">
        <v>0.98712509999999998</v>
      </c>
      <c r="Y397">
        <v>9.084892E-2</v>
      </c>
      <c r="Z397">
        <v>-2.2791040000000001E-3</v>
      </c>
      <c r="AA397">
        <v>0.99586209999999997</v>
      </c>
      <c r="AB397">
        <v>27</v>
      </c>
      <c r="AC397">
        <v>27.370199999999901</v>
      </c>
      <c r="AD397">
        <v>-1.1210550317329999</v>
      </c>
      <c r="AE397">
        <v>-2.5872999999999702</v>
      </c>
      <c r="AF397">
        <v>2.5165167179410202</v>
      </c>
      <c r="AG397">
        <v>-1.1210550317329999</v>
      </c>
      <c r="AH397">
        <v>27.330968505736202</v>
      </c>
      <c r="AI397">
        <v>92.338944982113802</v>
      </c>
      <c r="AJ397">
        <v>84.739286983706506</v>
      </c>
      <c r="AK397">
        <v>27.469464141795601</v>
      </c>
      <c r="AL397">
        <v>80.819796866854404</v>
      </c>
      <c r="AM397">
        <v>89.335787089461107</v>
      </c>
      <c r="AN397">
        <v>0.99999998538924995</v>
      </c>
    </row>
    <row r="398" spans="1:40" x14ac:dyDescent="0.25">
      <c r="A398" t="str">
        <f>"20190303162751443"</f>
        <v>20190303162751443</v>
      </c>
      <c r="B398" t="str">
        <f>"1551601671431789"</f>
        <v>1551601671431789</v>
      </c>
      <c r="C398" t="s">
        <v>40</v>
      </c>
      <c r="D398">
        <v>5.0795070000000004</v>
      </c>
      <c r="E398">
        <v>0.53118310000000002</v>
      </c>
      <c r="F398" t="s">
        <v>41</v>
      </c>
      <c r="G398">
        <v>-359.62610000000001</v>
      </c>
      <c r="H398" s="1">
        <v>-1.2601710000000001E-6</v>
      </c>
      <c r="I398">
        <v>365.30599999999998</v>
      </c>
      <c r="J398">
        <v>-387.12400000000002</v>
      </c>
      <c r="K398">
        <v>1.1210599999999999</v>
      </c>
      <c r="L398">
        <v>367.89550000000003</v>
      </c>
      <c r="M398">
        <v>0.99993449999999995</v>
      </c>
      <c r="N398">
        <v>-1.1210909999999999E-2</v>
      </c>
      <c r="O398">
        <v>-2.3377369999999999E-3</v>
      </c>
      <c r="P398">
        <v>0.98887480000000005</v>
      </c>
      <c r="Q398">
        <v>0.1482145</v>
      </c>
      <c r="R398">
        <v>-1.2624109999999999E-2</v>
      </c>
      <c r="S398">
        <v>3.0484010000000001</v>
      </c>
      <c r="T398">
        <v>-0.12312770000000001</v>
      </c>
      <c r="U398">
        <v>-0.28445429999999999</v>
      </c>
      <c r="V398">
        <v>1.0289609999999999E-2</v>
      </c>
      <c r="W398">
        <v>0.15929289999999999</v>
      </c>
      <c r="X398">
        <v>0.98717770000000005</v>
      </c>
      <c r="Y398">
        <v>9.0488390000000002E-2</v>
      </c>
      <c r="Z398">
        <v>-2.2633290000000001E-3</v>
      </c>
      <c r="AA398">
        <v>0.99589490000000003</v>
      </c>
      <c r="AB398">
        <v>27</v>
      </c>
      <c r="AC398">
        <v>27.497900000000001</v>
      </c>
      <c r="AD398">
        <v>-1.1210612601709999</v>
      </c>
      <c r="AE398">
        <v>-2.5895000000000401</v>
      </c>
      <c r="AF398">
        <v>2.5210525976525902</v>
      </c>
      <c r="AG398">
        <v>-1.1210612601709999</v>
      </c>
      <c r="AH398">
        <v>27.458640712334699</v>
      </c>
      <c r="AI398">
        <v>92.328150442616703</v>
      </c>
      <c r="AJ398">
        <v>84.754225314306197</v>
      </c>
      <c r="AK398">
        <v>27.596909869010201</v>
      </c>
      <c r="AL398">
        <v>80.834143605761099</v>
      </c>
      <c r="AM398">
        <v>89.402812809935995</v>
      </c>
      <c r="AN398">
        <v>0.99999995772082495</v>
      </c>
    </row>
    <row r="399" spans="1:40" x14ac:dyDescent="0.25">
      <c r="A399" t="str">
        <f>"20190303162751457"</f>
        <v>20190303162751457</v>
      </c>
      <c r="B399" t="str">
        <f>"1551601671452286"</f>
        <v>1551601671452286</v>
      </c>
      <c r="C399" t="s">
        <v>40</v>
      </c>
      <c r="D399">
        <v>5.0611410000000001</v>
      </c>
      <c r="E399">
        <v>0.53129209999999905</v>
      </c>
      <c r="F399" t="s">
        <v>41</v>
      </c>
      <c r="G399">
        <v>-359.6542</v>
      </c>
      <c r="H399" s="1">
        <v>-1.235143E-6</v>
      </c>
      <c r="I399">
        <v>365.36419999999998</v>
      </c>
      <c r="J399">
        <v>-386.95400000000001</v>
      </c>
      <c r="K399">
        <v>1.121065</v>
      </c>
      <c r="L399">
        <v>367.89510000000001</v>
      </c>
      <c r="M399">
        <v>0.99993460000000001</v>
      </c>
      <c r="N399">
        <v>-1.121982E-2</v>
      </c>
      <c r="O399">
        <v>-2.272572E-3</v>
      </c>
      <c r="P399">
        <v>0.98893200000000003</v>
      </c>
      <c r="Q399">
        <v>0.14788090000000001</v>
      </c>
      <c r="R399">
        <v>-1.20538E-2</v>
      </c>
      <c r="S399">
        <v>3.0488279999999999</v>
      </c>
      <c r="T399">
        <v>-0.1244242</v>
      </c>
      <c r="U399">
        <v>-0.28094479999999999</v>
      </c>
      <c r="V399">
        <v>9.7832820000000008E-3</v>
      </c>
      <c r="W399">
        <v>0.1589691</v>
      </c>
      <c r="X399">
        <v>0.98723510000000003</v>
      </c>
      <c r="Y399">
        <v>8.9403099999999999E-2</v>
      </c>
      <c r="Z399">
        <v>-2.255497E-3</v>
      </c>
      <c r="AA399">
        <v>0.99599300000000002</v>
      </c>
      <c r="AB399">
        <v>27</v>
      </c>
      <c r="AC399">
        <v>27.299800000000001</v>
      </c>
      <c r="AD399">
        <v>-1.1210662351430001</v>
      </c>
      <c r="AE399">
        <v>-2.5309000000000301</v>
      </c>
      <c r="AF399">
        <v>2.4647278687313499</v>
      </c>
      <c r="AG399">
        <v>-1.1210662351430001</v>
      </c>
      <c r="AH399">
        <v>27.259903929994699</v>
      </c>
      <c r="AI399">
        <v>92.345410906820504</v>
      </c>
      <c r="AJ399">
        <v>84.833600305530595</v>
      </c>
      <c r="AK399">
        <v>27.394051092217499</v>
      </c>
      <c r="AL399">
        <v>80.852935963980997</v>
      </c>
      <c r="AM399">
        <v>89.432230053000197</v>
      </c>
      <c r="AN399">
        <v>1.0000000150167501</v>
      </c>
    </row>
    <row r="400" spans="1:40" x14ac:dyDescent="0.25">
      <c r="A400" t="str">
        <f>"20190303162751469"</f>
        <v>20190303162751469</v>
      </c>
      <c r="B400" t="str">
        <f>"1551601671462046"</f>
        <v>1551601671462046</v>
      </c>
      <c r="C400" t="s">
        <v>40</v>
      </c>
      <c r="D400">
        <v>5.079618</v>
      </c>
      <c r="E400">
        <v>0.53136629999999996</v>
      </c>
      <c r="F400" t="s">
        <v>41</v>
      </c>
      <c r="G400">
        <v>-359.66289999999998</v>
      </c>
      <c r="H400" s="1">
        <v>-1.225694E-6</v>
      </c>
      <c r="I400">
        <v>365.38850000000002</v>
      </c>
      <c r="J400">
        <v>-386.798</v>
      </c>
      <c r="K400">
        <v>1.1210690000000001</v>
      </c>
      <c r="L400">
        <v>367.89490000000001</v>
      </c>
      <c r="M400">
        <v>0.99993460000000001</v>
      </c>
      <c r="N400">
        <v>-1.1227630000000001E-2</v>
      </c>
      <c r="O400">
        <v>-2.2122919999999998E-3</v>
      </c>
      <c r="P400">
        <v>0.98893379999999997</v>
      </c>
      <c r="Q400">
        <v>0.147916299999999</v>
      </c>
      <c r="R400">
        <v>-1.1440250000000001E-2</v>
      </c>
      <c r="S400">
        <v>3.048889</v>
      </c>
      <c r="T400">
        <v>-0.1252422</v>
      </c>
      <c r="U400">
        <v>-0.28002929999999998</v>
      </c>
      <c r="V400">
        <v>9.2294749999999991E-3</v>
      </c>
      <c r="W400">
        <v>0.15901189999999901</v>
      </c>
      <c r="X400">
        <v>0.98723349999999999</v>
      </c>
      <c r="Y400">
        <v>8.9163850000000003E-2</v>
      </c>
      <c r="Z400">
        <v>-2.2627429999999998E-3</v>
      </c>
      <c r="AA400">
        <v>0.99601439999999997</v>
      </c>
      <c r="AB400">
        <v>27</v>
      </c>
      <c r="AC400">
        <v>27.135100000000001</v>
      </c>
      <c r="AD400">
        <v>-1.1210702256939999</v>
      </c>
      <c r="AE400">
        <v>-2.5063999999999802</v>
      </c>
      <c r="AF400">
        <v>2.4422260014723101</v>
      </c>
      <c r="AG400">
        <v>-1.1210702256939999</v>
      </c>
      <c r="AH400">
        <v>27.094722641567699</v>
      </c>
      <c r="AI400">
        <v>92.359760779709205</v>
      </c>
      <c r="AJ400">
        <v>84.849472187352902</v>
      </c>
      <c r="AK400">
        <v>27.2276561847818</v>
      </c>
      <c r="AL400">
        <v>80.850451745986405</v>
      </c>
      <c r="AM400">
        <v>89.464367285618593</v>
      </c>
      <c r="AN400">
        <v>0.99999997553631703</v>
      </c>
    </row>
    <row r="401" spans="1:40" x14ac:dyDescent="0.25">
      <c r="A401" t="str">
        <f>"20190303162751490"</f>
        <v>20190303162751490</v>
      </c>
      <c r="B401" t="str">
        <f>"1551601671481565"</f>
        <v>1551601671481565</v>
      </c>
      <c r="C401" t="s">
        <v>40</v>
      </c>
      <c r="D401">
        <v>5.0855790000000001</v>
      </c>
      <c r="E401">
        <v>0.53146309999999997</v>
      </c>
      <c r="F401" t="s">
        <v>41</v>
      </c>
      <c r="G401">
        <v>-359.3965</v>
      </c>
      <c r="H401" s="1">
        <v>-1.3158789999999901E-6</v>
      </c>
      <c r="I401">
        <v>365.39030000000002</v>
      </c>
      <c r="J401">
        <v>-386.54689999999999</v>
      </c>
      <c r="K401">
        <v>1.1210719999999901</v>
      </c>
      <c r="L401">
        <v>367.89440000000002</v>
      </c>
      <c r="M401">
        <v>0.99993460000000001</v>
      </c>
      <c r="N401">
        <v>-1.1239209999999999E-2</v>
      </c>
      <c r="O401">
        <v>-2.1153190000000001E-3</v>
      </c>
      <c r="P401">
        <v>0.98887139999999996</v>
      </c>
      <c r="Q401">
        <v>0.1484354</v>
      </c>
      <c r="R401">
        <v>-1.0013090000000001E-2</v>
      </c>
      <c r="S401">
        <v>3.0490110000000001</v>
      </c>
      <c r="T401">
        <v>-0.12474300000000001</v>
      </c>
      <c r="U401">
        <v>-0.2786865</v>
      </c>
      <c r="V401">
        <v>7.898113E-3</v>
      </c>
      <c r="W401">
        <v>0.15954199999999999</v>
      </c>
      <c r="X401">
        <v>0.98715960000000003</v>
      </c>
      <c r="Y401">
        <v>8.8822799999999993E-2</v>
      </c>
      <c r="Z401">
        <v>-2.2503150000000001E-3</v>
      </c>
      <c r="AA401">
        <v>0.99604490000000001</v>
      </c>
      <c r="AB401">
        <v>27</v>
      </c>
      <c r="AC401">
        <v>27.150399999999902</v>
      </c>
      <c r="AD401">
        <v>-1.1210733158789901</v>
      </c>
      <c r="AE401">
        <v>-2.50409999999999</v>
      </c>
      <c r="AF401">
        <v>2.4425297094535701</v>
      </c>
      <c r="AG401">
        <v>-1.1210733158789901</v>
      </c>
      <c r="AH401">
        <v>27.109805139436599</v>
      </c>
      <c r="AI401">
        <v>92.3584641081966</v>
      </c>
      <c r="AJ401">
        <v>84.851685566070699</v>
      </c>
      <c r="AK401">
        <v>27.2426924414486</v>
      </c>
      <c r="AL401">
        <v>80.819687217643605</v>
      </c>
      <c r="AM401">
        <v>89.541595011179993</v>
      </c>
      <c r="AN401">
        <v>1.0000000529125499</v>
      </c>
    </row>
    <row r="402" spans="1:40" x14ac:dyDescent="0.25">
      <c r="A402" t="str">
        <f>"20190303162751512"</f>
        <v>20190303162751512</v>
      </c>
      <c r="B402" t="str">
        <f>"1551601671502061"</f>
        <v>1551601671502061</v>
      </c>
      <c r="C402" t="s">
        <v>40</v>
      </c>
      <c r="D402">
        <v>5.0738059999999896</v>
      </c>
      <c r="E402">
        <v>0.53997019999999996</v>
      </c>
      <c r="F402" t="s">
        <v>41</v>
      </c>
      <c r="G402">
        <v>-358.66879999999998</v>
      </c>
      <c r="H402" s="1">
        <v>-1.5680449999999901E-6</v>
      </c>
      <c r="I402">
        <v>365.37329999999997</v>
      </c>
      <c r="J402">
        <v>-386.27269999999999</v>
      </c>
      <c r="K402">
        <v>1.1210739999999999</v>
      </c>
      <c r="L402">
        <v>367.89400000000001</v>
      </c>
      <c r="M402">
        <v>0.99993469999999995</v>
      </c>
      <c r="N402">
        <v>-1.125047E-2</v>
      </c>
      <c r="O402">
        <v>-2.0119080000000002E-3</v>
      </c>
      <c r="P402">
        <v>0.98881269999999999</v>
      </c>
      <c r="Q402">
        <v>0.1489221</v>
      </c>
      <c r="R402">
        <v>-8.4694309999999995E-3</v>
      </c>
      <c r="S402">
        <v>3.0493769999999998</v>
      </c>
      <c r="T402">
        <v>-0.1226254</v>
      </c>
      <c r="U402">
        <v>-0.27575680000000002</v>
      </c>
      <c r="V402">
        <v>6.4566459999999999E-3</v>
      </c>
      <c r="W402">
        <v>0.1600386</v>
      </c>
      <c r="X402">
        <v>0.98708960000000001</v>
      </c>
      <c r="Y402">
        <v>8.7969439999999996E-2</v>
      </c>
      <c r="Z402">
        <v>-2.2024610000000002E-3</v>
      </c>
      <c r="AA402">
        <v>0.99612080000000003</v>
      </c>
      <c r="AB402">
        <v>27</v>
      </c>
      <c r="AC402">
        <v>27.603899999999999</v>
      </c>
      <c r="AD402">
        <v>-1.121075568045</v>
      </c>
      <c r="AE402">
        <v>-2.5207000000000299</v>
      </c>
      <c r="AF402">
        <v>2.4611290333940898</v>
      </c>
      <c r="AG402">
        <v>-1.121075568045</v>
      </c>
      <c r="AH402">
        <v>27.5638277613849</v>
      </c>
      <c r="AI402">
        <v>92.319830539936603</v>
      </c>
      <c r="AJ402">
        <v>84.897684240231897</v>
      </c>
      <c r="AK402">
        <v>27.696183264261801</v>
      </c>
      <c r="AL402">
        <v>80.790862919715195</v>
      </c>
      <c r="AM402">
        <v>89.625228257199296</v>
      </c>
      <c r="AN402">
        <v>0.99999996009784298</v>
      </c>
    </row>
    <row r="403" spans="1:40" x14ac:dyDescent="0.25">
      <c r="A403" t="str">
        <f>"20190303162751533"</f>
        <v>20190303162751533</v>
      </c>
      <c r="B403" t="str">
        <f>"1551601671521581"</f>
        <v>1551601671521581</v>
      </c>
      <c r="C403" t="s">
        <v>40</v>
      </c>
      <c r="D403">
        <v>5.038424</v>
      </c>
      <c r="E403">
        <v>0.54075949999999995</v>
      </c>
      <c r="F403" t="s">
        <v>41</v>
      </c>
      <c r="G403">
        <v>-350.88319999999999</v>
      </c>
      <c r="H403" s="1">
        <v>-4.8988270000000001E-6</v>
      </c>
      <c r="I403">
        <v>363.94819999999999</v>
      </c>
      <c r="J403">
        <v>-386.02089999999998</v>
      </c>
      <c r="K403">
        <v>1.121081</v>
      </c>
      <c r="L403">
        <v>367.89359999999999</v>
      </c>
      <c r="M403">
        <v>0.99993480000000001</v>
      </c>
      <c r="N403">
        <v>-1.125981E-2</v>
      </c>
      <c r="O403">
        <v>-1.9198209999999999E-3</v>
      </c>
      <c r="P403">
        <v>0.98870369999999996</v>
      </c>
      <c r="Q403">
        <v>0.14970539999999999</v>
      </c>
      <c r="R403">
        <v>-7.2963119999999897E-3</v>
      </c>
      <c r="S403">
        <v>3.045563</v>
      </c>
      <c r="T403">
        <v>-9.6478099999999997E-2</v>
      </c>
      <c r="U403">
        <v>-0.33956910000000001</v>
      </c>
      <c r="V403">
        <v>5.3748989999999998E-3</v>
      </c>
      <c r="W403">
        <v>0.16082920000000001</v>
      </c>
      <c r="X403">
        <v>0.98696759999999994</v>
      </c>
      <c r="Y403">
        <v>0.10882849999999999</v>
      </c>
      <c r="Z403">
        <v>-2.2937449999999998E-3</v>
      </c>
      <c r="AA403">
        <v>0.99405790000000005</v>
      </c>
      <c r="AB403">
        <v>27</v>
      </c>
      <c r="AC403">
        <v>35.137699999999903</v>
      </c>
      <c r="AD403">
        <v>-1.121085898827</v>
      </c>
      <c r="AE403">
        <v>-3.9453999999999998</v>
      </c>
      <c r="AF403">
        <v>3.8740358433316699</v>
      </c>
      <c r="AG403">
        <v>-1.121085898827</v>
      </c>
      <c r="AH403">
        <v>35.109914652547701</v>
      </c>
      <c r="AI403">
        <v>91.817850624397394</v>
      </c>
      <c r="AJ403">
        <v>83.703441880762</v>
      </c>
      <c r="AK403">
        <v>35.340785138663101</v>
      </c>
      <c r="AL403">
        <v>80.744970615701106</v>
      </c>
      <c r="AM403">
        <v>89.687977615851096</v>
      </c>
      <c r="AN403">
        <v>0.99999998228082898</v>
      </c>
    </row>
    <row r="404" spans="1:40" x14ac:dyDescent="0.25">
      <c r="A404" t="str">
        <f>"20190303162751546"</f>
        <v>20190303162751546</v>
      </c>
      <c r="B404" t="str">
        <f>"1551601671542077"</f>
        <v>1551601671542077</v>
      </c>
      <c r="C404" t="s">
        <v>40</v>
      </c>
      <c r="D404">
        <v>5.0392380000000001</v>
      </c>
      <c r="E404">
        <v>0.54093809999999998</v>
      </c>
      <c r="F404" t="s">
        <v>41</v>
      </c>
      <c r="G404">
        <v>-350.88569999999999</v>
      </c>
      <c r="H404" s="1">
        <v>-4.8988060000000002E-6</v>
      </c>
      <c r="I404">
        <v>363.94229999999999</v>
      </c>
      <c r="J404">
        <v>-385.85520000000002</v>
      </c>
      <c r="K404">
        <v>1.121086</v>
      </c>
      <c r="L404">
        <v>367.89330000000001</v>
      </c>
      <c r="M404">
        <v>0.99993500000000002</v>
      </c>
      <c r="N404">
        <v>-1.1265539999999999E-2</v>
      </c>
      <c r="O404">
        <v>-1.8613340000000001E-3</v>
      </c>
      <c r="P404">
        <v>0.98861730000000003</v>
      </c>
      <c r="Q404">
        <v>0.15029809999999999</v>
      </c>
      <c r="R404">
        <v>-6.8526990000000003E-3</v>
      </c>
      <c r="S404">
        <v>3.0464169999999999</v>
      </c>
      <c r="T404">
        <v>-9.7203970000000001E-2</v>
      </c>
      <c r="U404">
        <v>-0.34259030000000001</v>
      </c>
      <c r="V404">
        <v>4.9893200000000002E-3</v>
      </c>
      <c r="W404">
        <v>0.1614265</v>
      </c>
      <c r="X404">
        <v>0.98687210000000003</v>
      </c>
      <c r="Y404">
        <v>0.10982790000000001</v>
      </c>
      <c r="Z404">
        <v>-2.3287519999999999E-3</v>
      </c>
      <c r="AA404">
        <v>0.9939479</v>
      </c>
      <c r="AB404">
        <v>27</v>
      </c>
      <c r="AC404">
        <v>34.969499999999996</v>
      </c>
      <c r="AD404">
        <v>-1.121090898806</v>
      </c>
      <c r="AE404">
        <v>-3.9510000000000201</v>
      </c>
      <c r="AF404">
        <v>3.8819595823257398</v>
      </c>
      <c r="AG404">
        <v>-1.121090898806</v>
      </c>
      <c r="AH404">
        <v>34.941334444043299</v>
      </c>
      <c r="AI404">
        <v>91.826471797151996</v>
      </c>
      <c r="AJ404">
        <v>83.660473838472001</v>
      </c>
      <c r="AK404">
        <v>35.174185246181402</v>
      </c>
      <c r="AL404">
        <v>80.710294686369593</v>
      </c>
      <c r="AM404">
        <v>89.710332734008603</v>
      </c>
      <c r="AN404">
        <v>0.99999997498736004</v>
      </c>
    </row>
    <row r="405" spans="1:40" x14ac:dyDescent="0.25">
      <c r="A405" t="str">
        <f>"20190303162751559"</f>
        <v>20190303162751559</v>
      </c>
      <c r="B405" t="str">
        <f>"1551601671551838"</f>
        <v>1551601671551838</v>
      </c>
      <c r="C405" t="s">
        <v>40</v>
      </c>
      <c r="D405">
        <v>5.0429529999999998</v>
      </c>
      <c r="E405">
        <v>0.54120729999999995</v>
      </c>
      <c r="F405" t="s">
        <v>41</v>
      </c>
      <c r="G405">
        <v>-350.09100000000001</v>
      </c>
      <c r="H405" s="1">
        <v>-5.252864E-6</v>
      </c>
      <c r="I405">
        <v>363.8682</v>
      </c>
      <c r="J405">
        <v>-385.6934</v>
      </c>
      <c r="K405">
        <v>1.121089</v>
      </c>
      <c r="L405">
        <v>367.8931</v>
      </c>
      <c r="M405">
        <v>0.99993489999999996</v>
      </c>
      <c r="N405">
        <v>-1.127075E-2</v>
      </c>
      <c r="O405">
        <v>-1.8061850000000001E-3</v>
      </c>
      <c r="P405">
        <v>0.98856149999999998</v>
      </c>
      <c r="Q405">
        <v>0.15067529999999901</v>
      </c>
      <c r="R405">
        <v>-6.5795469999999998E-3</v>
      </c>
      <c r="S405">
        <v>3.0467219999999999</v>
      </c>
      <c r="T405">
        <v>-9.5504759999999994E-2</v>
      </c>
      <c r="U405">
        <v>-0.34289550000000002</v>
      </c>
      <c r="V405">
        <v>4.7712989999999997E-3</v>
      </c>
      <c r="W405">
        <v>0.1618086</v>
      </c>
      <c r="X405">
        <v>0.98681059999999998</v>
      </c>
      <c r="Y405">
        <v>0.1099721</v>
      </c>
      <c r="Z405">
        <v>-2.3035659999999999E-3</v>
      </c>
      <c r="AA405">
        <v>0.99393200000000004</v>
      </c>
      <c r="AB405">
        <v>27</v>
      </c>
      <c r="AC405">
        <v>35.602399999999903</v>
      </c>
      <c r="AD405">
        <v>-1.121094252864</v>
      </c>
      <c r="AE405">
        <v>-4.0248999999999997</v>
      </c>
      <c r="AF405">
        <v>3.9567109650108101</v>
      </c>
      <c r="AG405">
        <v>-1.121094252864</v>
      </c>
      <c r="AH405">
        <v>35.574782167410298</v>
      </c>
      <c r="AI405">
        <v>91.793952072579998</v>
      </c>
      <c r="AJ405">
        <v>83.653512392222297</v>
      </c>
      <c r="AK405">
        <v>35.811695579002297</v>
      </c>
      <c r="AL405">
        <v>80.688110314383394</v>
      </c>
      <c r="AM405">
        <v>89.722973015074302</v>
      </c>
      <c r="AN405">
        <v>0.99999997430023302</v>
      </c>
    </row>
    <row r="406" spans="1:40" x14ac:dyDescent="0.25">
      <c r="A406" t="str">
        <f>"20190303162751580"</f>
        <v>20190303162751580</v>
      </c>
      <c r="B406" t="str">
        <f>"1551601671572334"</f>
        <v>1551601671572334</v>
      </c>
      <c r="C406" t="s">
        <v>40</v>
      </c>
      <c r="D406">
        <v>5.280068</v>
      </c>
      <c r="E406">
        <v>0.52065070000000002</v>
      </c>
      <c r="F406" t="s">
        <v>41</v>
      </c>
      <c r="G406">
        <v>-349.95600000000002</v>
      </c>
      <c r="H406" s="1">
        <v>-1.5323909999999999E-6</v>
      </c>
      <c r="I406">
        <v>363.86130000000003</v>
      </c>
      <c r="J406">
        <v>-385.44279999999998</v>
      </c>
      <c r="K406">
        <v>1.121097</v>
      </c>
      <c r="L406">
        <v>367.89280000000002</v>
      </c>
      <c r="M406">
        <v>0.99993500000000002</v>
      </c>
      <c r="N406">
        <v>-1.127825E-2</v>
      </c>
      <c r="O406">
        <v>-1.7236599999999999E-3</v>
      </c>
      <c r="P406">
        <v>0.98849370000000003</v>
      </c>
      <c r="Q406">
        <v>0.15114330000000001</v>
      </c>
      <c r="R406">
        <v>-6.0018989999999998E-3</v>
      </c>
      <c r="S406">
        <v>3.0469970000000002</v>
      </c>
      <c r="T406">
        <v>-9.5584870000000002E-2</v>
      </c>
      <c r="U406">
        <v>-0.34375</v>
      </c>
      <c r="V406">
        <v>4.2765349999999997E-3</v>
      </c>
      <c r="W406">
        <v>0.16228290000000001</v>
      </c>
      <c r="X406">
        <v>0.98673500000000003</v>
      </c>
      <c r="Y406">
        <v>0.1103191</v>
      </c>
      <c r="Z406">
        <v>-2.3142599999999998E-3</v>
      </c>
      <c r="AA406">
        <v>0.99389349999999999</v>
      </c>
      <c r="AB406">
        <v>27</v>
      </c>
      <c r="AC406">
        <v>35.486800000000002</v>
      </c>
      <c r="AD406">
        <v>-1.1210985323909901</v>
      </c>
      <c r="AE406">
        <v>-4.0314999999999896</v>
      </c>
      <c r="AF406">
        <v>3.96641469366384</v>
      </c>
      <c r="AG406">
        <v>-1.1210985323909901</v>
      </c>
      <c r="AH406">
        <v>35.458757839926498</v>
      </c>
      <c r="AI406">
        <v>91.799698721702697</v>
      </c>
      <c r="AJ406">
        <v>83.617429968323194</v>
      </c>
      <c r="AK406">
        <v>35.697518330998697</v>
      </c>
      <c r="AL406">
        <v>80.6605711325832</v>
      </c>
      <c r="AM406">
        <v>89.7516801651132</v>
      </c>
      <c r="AN406">
        <v>0.99999999430450803</v>
      </c>
    </row>
    <row r="407" spans="1:40" x14ac:dyDescent="0.25">
      <c r="A407" t="str">
        <f>"20190303162751590"</f>
        <v>20190303162751590</v>
      </c>
      <c r="B407" t="str">
        <f>"1551601671582094"</f>
        <v>1551601671582094</v>
      </c>
      <c r="C407" t="s">
        <v>40</v>
      </c>
      <c r="D407">
        <v>5.1842680000000003</v>
      </c>
      <c r="E407">
        <v>0.52065070000000002</v>
      </c>
      <c r="F407" t="s">
        <v>41</v>
      </c>
      <c r="G407">
        <v>-343.53989999999999</v>
      </c>
      <c r="H407" s="1">
        <v>-3.7741489999999999E-6</v>
      </c>
      <c r="I407">
        <v>365.44499999999999</v>
      </c>
      <c r="J407">
        <v>-385.30119999999999</v>
      </c>
      <c r="K407">
        <v>1.1210979999999999</v>
      </c>
      <c r="L407">
        <v>367.89249999999998</v>
      </c>
      <c r="M407">
        <v>0.99993509999999997</v>
      </c>
      <c r="N407">
        <v>-1.1282169999999999E-2</v>
      </c>
      <c r="O407">
        <v>-1.678768E-3</v>
      </c>
      <c r="P407">
        <v>0.98844019999999999</v>
      </c>
      <c r="Q407">
        <v>0.15150189999999999</v>
      </c>
      <c r="R407">
        <v>-5.7904059999999997E-3</v>
      </c>
      <c r="S407">
        <v>3.0462950000000002</v>
      </c>
      <c r="T407">
        <v>-8.1502679999999994E-2</v>
      </c>
      <c r="U407">
        <v>-0.177948</v>
      </c>
      <c r="V407">
        <v>4.1102359999999998E-3</v>
      </c>
      <c r="W407">
        <v>0.1626447</v>
      </c>
      <c r="X407">
        <v>0.9866762</v>
      </c>
      <c r="Y407">
        <v>5.6610540000000001E-2</v>
      </c>
      <c r="Z407">
        <v>-1.050282E-3</v>
      </c>
      <c r="AA407">
        <v>0.99839580000000006</v>
      </c>
      <c r="AB407">
        <v>27</v>
      </c>
      <c r="AC407">
        <v>41.761299999999999</v>
      </c>
      <c r="AD407">
        <v>-1.1211017741489999</v>
      </c>
      <c r="AE407">
        <v>-2.44749999999999</v>
      </c>
      <c r="AF407">
        <v>2.3756783234714001</v>
      </c>
      <c r="AG407">
        <v>-1.1211017741489999</v>
      </c>
      <c r="AH407">
        <v>41.735375325658801</v>
      </c>
      <c r="AI407">
        <v>91.536231992824398</v>
      </c>
      <c r="AJ407">
        <v>86.742101573604401</v>
      </c>
      <c r="AK407">
        <v>41.8179658790121</v>
      </c>
      <c r="AL407">
        <v>80.639563010162902</v>
      </c>
      <c r="AM407">
        <v>89.761322089880196</v>
      </c>
      <c r="AN407">
        <v>1.0000000580622499</v>
      </c>
    </row>
    <row r="408" spans="1:40" x14ac:dyDescent="0.25">
      <c r="A408" t="str">
        <f>"20190303162751612"</f>
        <v>20190303162751612</v>
      </c>
      <c r="B408" t="str">
        <f>"1551601671601613"</f>
        <v>1551601671601613</v>
      </c>
      <c r="C408" t="s">
        <v>40</v>
      </c>
      <c r="D408">
        <v>5.1196789999999996</v>
      </c>
      <c r="E408">
        <v>0.46335510000000002</v>
      </c>
      <c r="F408" t="s">
        <v>41</v>
      </c>
      <c r="G408">
        <v>-342.79349999999999</v>
      </c>
      <c r="H408" s="1">
        <v>-4.1322309999999998E-6</v>
      </c>
      <c r="I408">
        <v>365.41550000000001</v>
      </c>
      <c r="J408">
        <v>-385.05020000000002</v>
      </c>
      <c r="K408">
        <v>1.121094</v>
      </c>
      <c r="L408">
        <v>367.8922</v>
      </c>
      <c r="M408">
        <v>0.99993500000000002</v>
      </c>
      <c r="N408">
        <v>-1.128872E-2</v>
      </c>
      <c r="O408">
        <v>-1.6017220000000001E-3</v>
      </c>
      <c r="P408">
        <v>0.98832299999999995</v>
      </c>
      <c r="Q408">
        <v>0.1522587</v>
      </c>
      <c r="R408">
        <v>-5.9146059999999898E-3</v>
      </c>
      <c r="S408">
        <v>3.0463260000000001</v>
      </c>
      <c r="T408">
        <v>-8.0343960000000006E-2</v>
      </c>
      <c r="U408">
        <v>-0.17752079999999901</v>
      </c>
      <c r="V408">
        <v>4.311886E-3</v>
      </c>
      <c r="W408">
        <v>0.16340679999999999</v>
      </c>
      <c r="X408">
        <v>0.98654929999999996</v>
      </c>
      <c r="Y408">
        <v>5.6548029999999999E-2</v>
      </c>
      <c r="Z408">
        <v>-1.040341E-3</v>
      </c>
      <c r="AA408">
        <v>0.99839929999999999</v>
      </c>
      <c r="AB408">
        <v>27</v>
      </c>
      <c r="AC408">
        <v>42.256700000000002</v>
      </c>
      <c r="AD408">
        <v>-1.1210981322310001</v>
      </c>
      <c r="AE408">
        <v>-2.4766999999999899</v>
      </c>
      <c r="AF408">
        <v>2.40732036977478</v>
      </c>
      <c r="AG408">
        <v>-1.1210981322310001</v>
      </c>
      <c r="AH408">
        <v>42.230989413440199</v>
      </c>
      <c r="AI408">
        <v>91.518199653751395</v>
      </c>
      <c r="AJ408">
        <v>86.737462392070995</v>
      </c>
      <c r="AK408">
        <v>42.314400849154403</v>
      </c>
      <c r="AL408">
        <v>80.595304772481498</v>
      </c>
      <c r="AM408">
        <v>89.749580384451093</v>
      </c>
      <c r="AN408">
        <v>0.99999994798880198</v>
      </c>
    </row>
    <row r="409" spans="1:40" x14ac:dyDescent="0.25">
      <c r="A409" t="str">
        <f>"20190303162751625"</f>
        <v>20190303162751625</v>
      </c>
      <c r="B409" t="str">
        <f>"1551601671612350"</f>
        <v>1551601671612350</v>
      </c>
      <c r="C409" t="s">
        <v>40</v>
      </c>
      <c r="D409">
        <v>5.1454170000000001</v>
      </c>
      <c r="E409">
        <v>0.45763680000000001</v>
      </c>
      <c r="F409" t="s">
        <v>41</v>
      </c>
      <c r="G409">
        <v>-338.39819999999997</v>
      </c>
      <c r="H409" s="1">
        <v>-1.3451259999999999E-6</v>
      </c>
      <c r="I409">
        <v>372.15559999999999</v>
      </c>
      <c r="J409">
        <v>-384.8922</v>
      </c>
      <c r="K409">
        <v>1.121095</v>
      </c>
      <c r="L409">
        <v>367.892</v>
      </c>
      <c r="M409">
        <v>0.99993500000000002</v>
      </c>
      <c r="N409">
        <v>-1.129261E-2</v>
      </c>
      <c r="O409">
        <v>-1.554204E-3</v>
      </c>
      <c r="P409">
        <v>0.9882512</v>
      </c>
      <c r="Q409">
        <v>0.15271270000000001</v>
      </c>
      <c r="R409">
        <v>-6.1878740000000003E-3</v>
      </c>
      <c r="S409">
        <v>3.0484619999999998</v>
      </c>
      <c r="T409">
        <v>-7.3257569999999994E-2</v>
      </c>
      <c r="U409">
        <v>0.27859499999999998</v>
      </c>
      <c r="V409">
        <v>4.633046E-3</v>
      </c>
      <c r="W409">
        <v>0.1638636</v>
      </c>
      <c r="X409">
        <v>0.98647209999999996</v>
      </c>
      <c r="Y409">
        <v>-9.2518039999999996E-2</v>
      </c>
      <c r="Z409">
        <v>1.6525310000000001E-3</v>
      </c>
      <c r="AA409">
        <v>0.99570970000000003</v>
      </c>
      <c r="AB409">
        <v>28</v>
      </c>
      <c r="AC409">
        <v>46.494</v>
      </c>
      <c r="AD409">
        <v>-1.1210963451260001</v>
      </c>
      <c r="AE409">
        <v>4.2635999999999896</v>
      </c>
      <c r="AF409">
        <v>-4.3333621157827098</v>
      </c>
      <c r="AG409">
        <v>-1.1210963451260001</v>
      </c>
      <c r="AH409">
        <v>46.4605289686559</v>
      </c>
      <c r="AI409">
        <v>91.376312415796505</v>
      </c>
      <c r="AJ409">
        <v>95.328547501970505</v>
      </c>
      <c r="AK409">
        <v>46.675642858871001</v>
      </c>
      <c r="AL409">
        <v>80.568774704816803</v>
      </c>
      <c r="AM409">
        <v>89.7309077161609</v>
      </c>
      <c r="AN409">
        <v>0.99999997429930298</v>
      </c>
    </row>
    <row r="410" spans="1:40" x14ac:dyDescent="0.25">
      <c r="A410" t="str">
        <f>"20190303162751636"</f>
        <v>20190303162751636</v>
      </c>
      <c r="B410" t="str">
        <f>"1551601671622109"</f>
        <v>1551601671622109</v>
      </c>
      <c r="C410" t="s">
        <v>40</v>
      </c>
      <c r="D410">
        <v>5.0927429999999996</v>
      </c>
      <c r="E410">
        <v>0.4548528</v>
      </c>
      <c r="F410" t="s">
        <v>41</v>
      </c>
      <c r="G410">
        <v>-342.6386</v>
      </c>
      <c r="H410" s="1">
        <v>-4.1868409999999999E-6</v>
      </c>
      <c r="I410">
        <v>372.37200000000001</v>
      </c>
      <c r="J410">
        <v>-384.74360000000001</v>
      </c>
      <c r="K410">
        <v>1.121097</v>
      </c>
      <c r="L410">
        <v>367.89179999999999</v>
      </c>
      <c r="M410">
        <v>0.99993520000000002</v>
      </c>
      <c r="N410">
        <v>-1.129603E-2</v>
      </c>
      <c r="O410">
        <v>-1.5110869999999999E-3</v>
      </c>
      <c r="P410">
        <v>0.98818039999999996</v>
      </c>
      <c r="Q410">
        <v>0.1531536</v>
      </c>
      <c r="R410">
        <v>-6.6227480000000003E-3</v>
      </c>
      <c r="S410">
        <v>3.0501710000000002</v>
      </c>
      <c r="T410">
        <v>-8.0929039999999994E-2</v>
      </c>
      <c r="U410">
        <v>0.32339479999999998</v>
      </c>
      <c r="V410">
        <v>5.1109299999999996E-3</v>
      </c>
      <c r="W410">
        <v>0.1643067</v>
      </c>
      <c r="X410">
        <v>0.9863961</v>
      </c>
      <c r="Y410">
        <v>-0.10688350000000001</v>
      </c>
      <c r="Z410">
        <v>2.0422309999999998E-3</v>
      </c>
      <c r="AA410">
        <v>0.99426939999999997</v>
      </c>
      <c r="AB410">
        <v>28</v>
      </c>
      <c r="AC410">
        <v>42.104999999999997</v>
      </c>
      <c r="AD410">
        <v>-1.1211011868409999</v>
      </c>
      <c r="AE410">
        <v>4.48019999999996</v>
      </c>
      <c r="AF410">
        <v>-4.5406401560117597</v>
      </c>
      <c r="AG410">
        <v>-1.1211011868409999</v>
      </c>
      <c r="AH410">
        <v>42.068690365707802</v>
      </c>
      <c r="AI410">
        <v>91.517720396420401</v>
      </c>
      <c r="AJ410">
        <v>96.160311976749796</v>
      </c>
      <c r="AK410">
        <v>42.327874857867897</v>
      </c>
      <c r="AL410">
        <v>80.543038738878906</v>
      </c>
      <c r="AM410">
        <v>89.703129302880797</v>
      </c>
      <c r="AN410">
        <v>1.00000003968278</v>
      </c>
    </row>
    <row r="411" spans="1:40" x14ac:dyDescent="0.25">
      <c r="A411" t="str">
        <f>"20190303162751656"</f>
        <v>20190303162751656</v>
      </c>
      <c r="B411" t="str">
        <f>"1551601671651896"</f>
        <v>1551601671651896</v>
      </c>
      <c r="C411" t="s">
        <v>40</v>
      </c>
      <c r="D411">
        <v>5.0436500000000004</v>
      </c>
      <c r="E411">
        <v>0.45304529999999898</v>
      </c>
      <c r="F411" t="s">
        <v>41</v>
      </c>
      <c r="G411">
        <v>-345.6121</v>
      </c>
      <c r="H411" s="1">
        <v>-2.7705410000000001E-6</v>
      </c>
      <c r="I411">
        <v>372.30669999999998</v>
      </c>
      <c r="J411">
        <v>-384.50450000000001</v>
      </c>
      <c r="K411">
        <v>1.1210990000000001</v>
      </c>
      <c r="L411">
        <v>367.89150000000001</v>
      </c>
      <c r="M411">
        <v>0.99993520000000002</v>
      </c>
      <c r="N411">
        <v>-1.1301250000000001E-2</v>
      </c>
      <c r="O411">
        <v>-1.442353E-3</v>
      </c>
      <c r="P411">
        <v>0.9880757</v>
      </c>
      <c r="Q411">
        <v>0.1537963</v>
      </c>
      <c r="R411">
        <v>-7.275307E-3</v>
      </c>
      <c r="S411">
        <v>3.0517270000000001</v>
      </c>
      <c r="T411">
        <v>-8.7430599999999997E-2</v>
      </c>
      <c r="U411">
        <v>0.34429929999999997</v>
      </c>
      <c r="V411">
        <v>5.8323000000000003E-3</v>
      </c>
      <c r="W411">
        <v>0.1649534</v>
      </c>
      <c r="X411">
        <v>0.9862841</v>
      </c>
      <c r="Y411">
        <v>-0.1134786</v>
      </c>
      <c r="Z411">
        <v>2.288478E-3</v>
      </c>
      <c r="AA411">
        <v>0.99353780000000003</v>
      </c>
      <c r="AB411">
        <v>28</v>
      </c>
      <c r="AC411">
        <v>38.892400000000002</v>
      </c>
      <c r="AD411">
        <v>-1.121101770541</v>
      </c>
      <c r="AE411">
        <v>4.4151999999999596</v>
      </c>
      <c r="AF411">
        <v>-4.4676305314312099</v>
      </c>
      <c r="AG411">
        <v>-1.121101770541</v>
      </c>
      <c r="AH411">
        <v>38.854116869566802</v>
      </c>
      <c r="AI411">
        <v>91.641948464646106</v>
      </c>
      <c r="AJ411">
        <v>96.559333485265</v>
      </c>
      <c r="AK411">
        <v>39.126193137835898</v>
      </c>
      <c r="AL411">
        <v>80.505472444806898</v>
      </c>
      <c r="AM411">
        <v>89.661190644915095</v>
      </c>
      <c r="AN411">
        <v>0.99999998290382897</v>
      </c>
    </row>
    <row r="412" spans="1:40" x14ac:dyDescent="0.25">
      <c r="A412" t="str">
        <f>"20190303162751669"</f>
        <v>20190303162751669</v>
      </c>
      <c r="B412" t="str">
        <f>"1551601671661656"</f>
        <v>1551601671661656</v>
      </c>
      <c r="C412" t="s">
        <v>40</v>
      </c>
      <c r="D412">
        <v>4.9951499999999998</v>
      </c>
      <c r="E412">
        <v>0.45302039999999999</v>
      </c>
      <c r="F412" t="s">
        <v>41</v>
      </c>
      <c r="G412">
        <v>-351.5641</v>
      </c>
      <c r="H412" s="1">
        <v>-4.1198949999999998E-6</v>
      </c>
      <c r="I412">
        <v>371.73680000000002</v>
      </c>
      <c r="J412">
        <v>-384.33929999999998</v>
      </c>
      <c r="K412">
        <v>1.1211</v>
      </c>
      <c r="L412">
        <v>367.89139999999998</v>
      </c>
      <c r="M412">
        <v>0.99993520000000002</v>
      </c>
      <c r="N412">
        <v>-1.130459E-2</v>
      </c>
      <c r="O412">
        <v>-1.395411E-3</v>
      </c>
      <c r="P412">
        <v>0.98804239999999999</v>
      </c>
      <c r="Q412">
        <v>0.1539999</v>
      </c>
      <c r="R412">
        <v>-7.5155029999999998E-3</v>
      </c>
      <c r="S412">
        <v>3.0550229999999998</v>
      </c>
      <c r="T412">
        <v>-0.10397530000000001</v>
      </c>
      <c r="U412">
        <v>0.35662840000000001</v>
      </c>
      <c r="V412">
        <v>6.1188500000000003E-3</v>
      </c>
      <c r="W412">
        <v>0.1651598</v>
      </c>
      <c r="X412">
        <v>0.98624780000000001</v>
      </c>
      <c r="Y412">
        <v>-0.117243899999999</v>
      </c>
      <c r="Z412">
        <v>2.6846439999999999E-3</v>
      </c>
      <c r="AA412">
        <v>0.99309950000000002</v>
      </c>
      <c r="AB412">
        <v>28</v>
      </c>
      <c r="AC412">
        <v>32.775199999999899</v>
      </c>
      <c r="AD412">
        <v>-1.121104119895</v>
      </c>
      <c r="AE412">
        <v>3.8454000000000401</v>
      </c>
      <c r="AF412">
        <v>-3.8866482597385801</v>
      </c>
      <c r="AG412">
        <v>-1.121104119895</v>
      </c>
      <c r="AH412">
        <v>32.732024040711003</v>
      </c>
      <c r="AI412">
        <v>91.947995929475297</v>
      </c>
      <c r="AJ412">
        <v>96.771677353906099</v>
      </c>
      <c r="AK412">
        <v>32.981029500976099</v>
      </c>
      <c r="AL412">
        <v>80.493481931783094</v>
      </c>
      <c r="AM412">
        <v>89.644531747114499</v>
      </c>
      <c r="AN412">
        <v>0.99999996143309999</v>
      </c>
    </row>
    <row r="413" spans="1:40" x14ac:dyDescent="0.25">
      <c r="A413" t="str">
        <f>"20190303162751682"</f>
        <v>20190303162751682</v>
      </c>
      <c r="B413" t="str">
        <f>"1551601671672392"</f>
        <v>1551601671672392</v>
      </c>
      <c r="C413" t="s">
        <v>40</v>
      </c>
      <c r="D413">
        <v>4.9919520000000004</v>
      </c>
      <c r="E413">
        <v>0.4529474</v>
      </c>
      <c r="F413" t="s">
        <v>41</v>
      </c>
      <c r="G413">
        <v>-351.72730000000001</v>
      </c>
      <c r="H413" s="1">
        <v>-4.0561680000000002E-6</v>
      </c>
      <c r="I413">
        <v>371.69069999999999</v>
      </c>
      <c r="J413">
        <v>-384.17930000000001</v>
      </c>
      <c r="K413">
        <v>1.1211089999999999</v>
      </c>
      <c r="L413">
        <v>367.89120000000003</v>
      </c>
      <c r="M413">
        <v>0.99993520000000002</v>
      </c>
      <c r="N413">
        <v>-1.1307640000000001E-2</v>
      </c>
      <c r="O413">
        <v>-1.3507279999999901E-3</v>
      </c>
      <c r="P413">
        <v>0.98802140000000005</v>
      </c>
      <c r="Q413">
        <v>0.1541313</v>
      </c>
      <c r="R413">
        <v>-7.5825279999999998E-3</v>
      </c>
      <c r="S413">
        <v>3.0553889999999999</v>
      </c>
      <c r="T413">
        <v>-0.10503510000000001</v>
      </c>
      <c r="U413">
        <v>0.35595700000000002</v>
      </c>
      <c r="V413">
        <v>6.2300869999999996E-3</v>
      </c>
      <c r="W413">
        <v>0.16529440000000001</v>
      </c>
      <c r="X413">
        <v>0.98622460000000001</v>
      </c>
      <c r="Y413">
        <v>-0.11696910000000001</v>
      </c>
      <c r="Z413">
        <v>2.698036E-3</v>
      </c>
      <c r="AA413">
        <v>0.99313189999999996</v>
      </c>
      <c r="AB413">
        <v>28</v>
      </c>
      <c r="AC413">
        <v>32.451999999999998</v>
      </c>
      <c r="AD413">
        <v>-1.1211130561679901</v>
      </c>
      <c r="AE413">
        <v>3.7994999999999601</v>
      </c>
      <c r="AF413">
        <v>-3.8388135582879102</v>
      </c>
      <c r="AG413">
        <v>-1.1211130561679901</v>
      </c>
      <c r="AH413">
        <v>32.408681833345398</v>
      </c>
      <c r="AI413">
        <v>91.967498577848701</v>
      </c>
      <c r="AJ413">
        <v>96.755218712243405</v>
      </c>
      <c r="AK413">
        <v>32.654494976879</v>
      </c>
      <c r="AL413">
        <v>80.485662883996596</v>
      </c>
      <c r="AM413">
        <v>89.638061205348393</v>
      </c>
      <c r="AN413">
        <v>1.0000000071502699</v>
      </c>
    </row>
    <row r="414" spans="1:40" x14ac:dyDescent="0.25">
      <c r="A414" t="str">
        <f>"20190303162751702"</f>
        <v>20190303162751702</v>
      </c>
      <c r="B414" t="str">
        <f>"1551601671691914"</f>
        <v>1551601671691914</v>
      </c>
      <c r="C414" t="s">
        <v>40</v>
      </c>
      <c r="D414">
        <v>5.0142280000000001</v>
      </c>
      <c r="E414">
        <v>0.45276189999999999</v>
      </c>
      <c r="F414" t="s">
        <v>41</v>
      </c>
      <c r="G414">
        <v>-352.39159999999998</v>
      </c>
      <c r="H414" s="1">
        <v>-3.7728839999999999E-6</v>
      </c>
      <c r="I414">
        <v>371.59550000000002</v>
      </c>
      <c r="J414">
        <v>-383.93560000000002</v>
      </c>
      <c r="K414">
        <v>1.1211150000000001</v>
      </c>
      <c r="L414">
        <v>367.89100000000002</v>
      </c>
      <c r="M414">
        <v>0.99993529999999997</v>
      </c>
      <c r="N414">
        <v>-1.131213E-2</v>
      </c>
      <c r="O414">
        <v>-1.283162E-3</v>
      </c>
      <c r="P414">
        <v>0.98788520000000002</v>
      </c>
      <c r="Q414">
        <v>0.15499679999999999</v>
      </c>
      <c r="R414">
        <v>-7.6650900000000003E-3</v>
      </c>
      <c r="S414">
        <v>3.0559080000000001</v>
      </c>
      <c r="T414">
        <v>-0.10777780000000001</v>
      </c>
      <c r="U414">
        <v>0.35610960000000003</v>
      </c>
      <c r="V414">
        <v>6.3796290000000004E-3</v>
      </c>
      <c r="W414">
        <v>0.1661629</v>
      </c>
      <c r="X414">
        <v>0.98607769999999995</v>
      </c>
      <c r="Y414">
        <v>-0.1169274</v>
      </c>
      <c r="Z414">
        <v>2.7488479999999999E-3</v>
      </c>
      <c r="AA414">
        <v>0.99313660000000004</v>
      </c>
      <c r="AB414">
        <v>28</v>
      </c>
      <c r="AC414">
        <v>31.544</v>
      </c>
      <c r="AD414">
        <v>-1.121118772884</v>
      </c>
      <c r="AE414">
        <v>3.7045000000000501</v>
      </c>
      <c r="AF414">
        <v>-3.7403151344986099</v>
      </c>
      <c r="AG414">
        <v>-1.121118772884</v>
      </c>
      <c r="AH414">
        <v>31.499971030075699</v>
      </c>
      <c r="AI414">
        <v>92.024152090906199</v>
      </c>
      <c r="AJ414">
        <v>96.771610354155399</v>
      </c>
      <c r="AK414">
        <v>31.741062356258301</v>
      </c>
      <c r="AL414">
        <v>80.435203839445705</v>
      </c>
      <c r="AM414">
        <v>89.629318544832998</v>
      </c>
      <c r="AN414">
        <v>1.0000000197199299</v>
      </c>
    </row>
    <row r="415" spans="1:40" x14ac:dyDescent="0.25">
      <c r="A415" t="str">
        <f>"20190303162751724"</f>
        <v>20190303162751724</v>
      </c>
      <c r="B415" t="str">
        <f>"1551601671712408"</f>
        <v>1551601671712408</v>
      </c>
      <c r="C415" t="s">
        <v>40</v>
      </c>
      <c r="D415">
        <v>5.1204650000000003</v>
      </c>
      <c r="E415">
        <v>0.45297130000000002</v>
      </c>
      <c r="F415" t="s">
        <v>41</v>
      </c>
      <c r="G415">
        <v>-352.55680000000001</v>
      </c>
      <c r="H415" s="1">
        <v>-3.6917709999999998E-6</v>
      </c>
      <c r="I415">
        <v>371.55700000000002</v>
      </c>
      <c r="J415">
        <v>-383.67809999999997</v>
      </c>
      <c r="K415">
        <v>1.1211169999999999</v>
      </c>
      <c r="L415">
        <v>367.89069999999998</v>
      </c>
      <c r="M415">
        <v>0.99993529999999997</v>
      </c>
      <c r="N415">
        <v>-1.131657E-2</v>
      </c>
      <c r="O415">
        <v>-1.211422E-3</v>
      </c>
      <c r="P415">
        <v>0.987734</v>
      </c>
      <c r="Q415">
        <v>0.1559603</v>
      </c>
      <c r="R415">
        <v>-7.6303129999999997E-3</v>
      </c>
      <c r="S415">
        <v>3.0566710000000001</v>
      </c>
      <c r="T415">
        <v>-0.1092099</v>
      </c>
      <c r="U415">
        <v>0.35711670000000001</v>
      </c>
      <c r="V415">
        <v>6.4153709999999996E-3</v>
      </c>
      <c r="W415">
        <v>0.16712859999999999</v>
      </c>
      <c r="X415">
        <v>0.98591419999999996</v>
      </c>
      <c r="Y415">
        <v>-0.11714810000000001</v>
      </c>
      <c r="Z415">
        <v>2.779868E-3</v>
      </c>
      <c r="AA415">
        <v>0.99311050000000001</v>
      </c>
      <c r="AB415">
        <v>28</v>
      </c>
      <c r="AC415">
        <v>31.121299999999898</v>
      </c>
      <c r="AD415">
        <v>-1.1211206917709999</v>
      </c>
      <c r="AE415">
        <v>3.6662999999999699</v>
      </c>
      <c r="AF415">
        <v>-3.6992657602275201</v>
      </c>
      <c r="AG415">
        <v>-1.1211206917709999</v>
      </c>
      <c r="AH415">
        <v>31.077057409731101</v>
      </c>
      <c r="AI415">
        <v>92.051607097079099</v>
      </c>
      <c r="AJ415">
        <v>96.788276622925906</v>
      </c>
      <c r="AK415">
        <v>31.316528798990898</v>
      </c>
      <c r="AL415">
        <v>80.379088131743202</v>
      </c>
      <c r="AM415">
        <v>89.627180037999395</v>
      </c>
      <c r="AN415">
        <v>0.99999996784233303</v>
      </c>
    </row>
    <row r="416" spans="1:40" x14ac:dyDescent="0.25">
      <c r="A416" t="str">
        <f>"20190303162751738"</f>
        <v>20190303162751738</v>
      </c>
      <c r="B416" t="str">
        <f>"1551601671731928"</f>
        <v>1551601671731928</v>
      </c>
      <c r="C416" t="s">
        <v>40</v>
      </c>
      <c r="D416">
        <v>5.0027540000000004</v>
      </c>
      <c r="E416">
        <v>0.45301799999999998</v>
      </c>
      <c r="F416" t="s">
        <v>41</v>
      </c>
      <c r="G416">
        <v>-350.33670000000001</v>
      </c>
      <c r="H416" s="1">
        <v>-4.5433960000000003E-6</v>
      </c>
      <c r="I416">
        <v>371.76949999999999</v>
      </c>
      <c r="J416">
        <v>-383.4871</v>
      </c>
      <c r="K416">
        <v>1.12112099999999</v>
      </c>
      <c r="L416">
        <v>367.89049999999997</v>
      </c>
      <c r="M416">
        <v>0.99993529999999997</v>
      </c>
      <c r="N416">
        <v>-1.131967E-2</v>
      </c>
      <c r="O416">
        <v>-1.1581479999999999E-3</v>
      </c>
      <c r="P416">
        <v>0.98765000000000003</v>
      </c>
      <c r="Q416">
        <v>0.1564921</v>
      </c>
      <c r="R416">
        <v>-7.6084960000000002E-3</v>
      </c>
      <c r="S416">
        <v>3.056244</v>
      </c>
      <c r="T416">
        <v>-0.10276730000000001</v>
      </c>
      <c r="U416">
        <v>0.3555603</v>
      </c>
      <c r="V416">
        <v>6.4460369999999999E-3</v>
      </c>
      <c r="W416">
        <v>0.1676627</v>
      </c>
      <c r="X416">
        <v>0.98582329999999996</v>
      </c>
      <c r="Y416">
        <v>-0.1166225</v>
      </c>
      <c r="Z416">
        <v>2.64189E-3</v>
      </c>
      <c r="AA416">
        <v>0.99317279999999997</v>
      </c>
      <c r="AB416">
        <v>28</v>
      </c>
      <c r="AC416">
        <v>33.150399999999898</v>
      </c>
      <c r="AD416">
        <v>-1.1211255433959999</v>
      </c>
      <c r="AE416">
        <v>3.8790000000000102</v>
      </c>
      <c r="AF416">
        <v>-3.9129779089815502</v>
      </c>
      <c r="AG416">
        <v>-1.1211255433959999</v>
      </c>
      <c r="AH416">
        <v>33.108528633043598</v>
      </c>
      <c r="AI416">
        <v>91.926021993194993</v>
      </c>
      <c r="AJ416">
        <v>96.740315172173993</v>
      </c>
      <c r="AK416">
        <v>33.357802488253</v>
      </c>
      <c r="AL416">
        <v>80.348048359397396</v>
      </c>
      <c r="AM416">
        <v>89.625363438624703</v>
      </c>
      <c r="AN416">
        <v>0.99999995559359101</v>
      </c>
    </row>
    <row r="417" spans="1:40" x14ac:dyDescent="0.25">
      <c r="A417" t="str">
        <f>"20190303162751756"</f>
        <v>20190303162751756</v>
      </c>
      <c r="B417" t="str">
        <f>"1551601671751954"</f>
        <v>1551601671751954</v>
      </c>
      <c r="C417" t="s">
        <v>40</v>
      </c>
      <c r="D417">
        <v>5.0209169999999999</v>
      </c>
      <c r="E417">
        <v>0.45331470000000001</v>
      </c>
      <c r="F417" t="s">
        <v>41</v>
      </c>
      <c r="G417">
        <v>-347.79039999999998</v>
      </c>
      <c r="H417" s="1">
        <v>-1.670558E-6</v>
      </c>
      <c r="I417">
        <v>372.04270000000002</v>
      </c>
      <c r="J417">
        <v>-383.26280000000003</v>
      </c>
      <c r="K417">
        <v>1.1211329999999999</v>
      </c>
      <c r="L417">
        <v>367.89030000000002</v>
      </c>
      <c r="M417">
        <v>0.99993540000000003</v>
      </c>
      <c r="N417">
        <v>-1.132317E-2</v>
      </c>
      <c r="O417">
        <v>-1.0954630000000001E-3</v>
      </c>
      <c r="P417">
        <v>0.98757050000000002</v>
      </c>
      <c r="Q417">
        <v>0.15699179999999999</v>
      </c>
      <c r="R417">
        <v>-7.6499899999999997E-3</v>
      </c>
      <c r="S417">
        <v>3.0554809999999999</v>
      </c>
      <c r="T417">
        <v>-9.5963240000000005E-2</v>
      </c>
      <c r="U417">
        <v>0.35540769999999999</v>
      </c>
      <c r="V417">
        <v>6.549493E-3</v>
      </c>
      <c r="W417">
        <v>0.16816510000000001</v>
      </c>
      <c r="X417">
        <v>0.98573710000000003</v>
      </c>
      <c r="Y417">
        <v>-0.1165496</v>
      </c>
      <c r="Z417">
        <v>2.507872E-3</v>
      </c>
      <c r="AA417">
        <v>0.99318169999999995</v>
      </c>
      <c r="AB417">
        <v>28</v>
      </c>
      <c r="AC417">
        <v>35.4724</v>
      </c>
      <c r="AD417">
        <v>-1.1211346705580001</v>
      </c>
      <c r="AE417">
        <v>4.1524000000000001</v>
      </c>
      <c r="AF417">
        <v>-4.1871325909937198</v>
      </c>
      <c r="AG417">
        <v>-1.1211346705580001</v>
      </c>
      <c r="AH417">
        <v>35.432913135669601</v>
      </c>
      <c r="AI417">
        <v>91.799779683140699</v>
      </c>
      <c r="AJ417">
        <v>96.739428552988898</v>
      </c>
      <c r="AK417">
        <v>35.6970636826616</v>
      </c>
      <c r="AL417">
        <v>80.318848932990306</v>
      </c>
      <c r="AM417">
        <v>89.6193175797859</v>
      </c>
      <c r="AN417">
        <v>1.0000000135164799</v>
      </c>
    </row>
    <row r="418" spans="1:40" x14ac:dyDescent="0.25">
      <c r="A418" t="str">
        <f>"20190303162751768"</f>
        <v>20190303162751768</v>
      </c>
      <c r="B418" t="str">
        <f>"1551601671761715"</f>
        <v>1551601671761715</v>
      </c>
      <c r="C418" t="s">
        <v>40</v>
      </c>
      <c r="D418">
        <v>4.9921150000000001</v>
      </c>
      <c r="E418">
        <v>0.45342399999999999</v>
      </c>
      <c r="F418" t="s">
        <v>41</v>
      </c>
      <c r="G418">
        <v>-345.93349999999998</v>
      </c>
      <c r="H418" s="1">
        <v>-2.5905259999999999E-6</v>
      </c>
      <c r="I418">
        <v>372.20119999999997</v>
      </c>
      <c r="J418">
        <v>-383.11320000000001</v>
      </c>
      <c r="K418">
        <v>1.1211329999999999</v>
      </c>
      <c r="L418">
        <v>367.89019999999999</v>
      </c>
      <c r="M418">
        <v>0.99993540000000003</v>
      </c>
      <c r="N418">
        <v>-1.1325419999999999E-2</v>
      </c>
      <c r="O418">
        <v>-1.0531570000000001E-3</v>
      </c>
      <c r="P418">
        <v>0.98755680000000001</v>
      </c>
      <c r="Q418">
        <v>0.1570619</v>
      </c>
      <c r="R418">
        <v>-7.9606490000000002E-3</v>
      </c>
      <c r="S418">
        <v>3.0551149999999998</v>
      </c>
      <c r="T418">
        <v>-9.1756340000000006E-2</v>
      </c>
      <c r="U418">
        <v>0.35281370000000001</v>
      </c>
      <c r="V418">
        <v>6.9021610000000004E-3</v>
      </c>
      <c r="W418">
        <v>0.1682371</v>
      </c>
      <c r="X418">
        <v>0.9857224</v>
      </c>
      <c r="Y418">
        <v>-0.1156954</v>
      </c>
      <c r="Z418">
        <v>2.4084129999999999E-3</v>
      </c>
      <c r="AA418">
        <v>0.99328179999999999</v>
      </c>
      <c r="AB418">
        <v>28</v>
      </c>
      <c r="AC418">
        <v>37.179699999999997</v>
      </c>
      <c r="AD418">
        <v>-1.1211355905260001</v>
      </c>
      <c r="AE418">
        <v>4.3109999999999697</v>
      </c>
      <c r="AF418">
        <v>-4.3462565795199204</v>
      </c>
      <c r="AG418">
        <v>-1.1211355905260001</v>
      </c>
      <c r="AH418">
        <v>37.141814119394098</v>
      </c>
      <c r="AI418">
        <v>91.717253167370501</v>
      </c>
      <c r="AJ418">
        <v>96.674277418357093</v>
      </c>
      <c r="AK418">
        <v>37.412046821137501</v>
      </c>
      <c r="AL418">
        <v>80.3146639371991</v>
      </c>
      <c r="AM418">
        <v>89.598813791983304</v>
      </c>
      <c r="AN418">
        <v>1.00000000575232</v>
      </c>
    </row>
    <row r="419" spans="1:40" x14ac:dyDescent="0.25">
      <c r="A419" t="str">
        <f>"20190303162751780"</f>
        <v>20190303162751780</v>
      </c>
      <c r="B419" t="str">
        <f>"1551601671772449"</f>
        <v>1551601671772449</v>
      </c>
      <c r="C419" t="s">
        <v>40</v>
      </c>
      <c r="D419">
        <v>4.9811730000000001</v>
      </c>
      <c r="E419">
        <v>0.45355420000000002</v>
      </c>
      <c r="F419" t="s">
        <v>41</v>
      </c>
      <c r="G419">
        <v>-344.84019999999998</v>
      </c>
      <c r="H419" s="1">
        <v>-3.1300629999999999E-6</v>
      </c>
      <c r="I419">
        <v>372.2867</v>
      </c>
      <c r="J419">
        <v>-382.9665</v>
      </c>
      <c r="K419">
        <v>1.121129</v>
      </c>
      <c r="L419">
        <v>367.89010000000002</v>
      </c>
      <c r="M419">
        <v>0.99993540000000003</v>
      </c>
      <c r="N419">
        <v>-1.132756E-2</v>
      </c>
      <c r="O419">
        <v>-1.011685E-3</v>
      </c>
      <c r="P419">
        <v>0.98760800000000004</v>
      </c>
      <c r="Q419">
        <v>0.1567347</v>
      </c>
      <c r="R419">
        <v>-8.0598549999999995E-3</v>
      </c>
      <c r="S419">
        <v>3.0548709999999999</v>
      </c>
      <c r="T419">
        <v>-8.9486839999999998E-2</v>
      </c>
      <c r="U419">
        <v>0.3509216</v>
      </c>
      <c r="V419">
        <v>7.0422330000000002E-3</v>
      </c>
      <c r="W419">
        <v>0.1679128</v>
      </c>
      <c r="X419">
        <v>0.98577669999999995</v>
      </c>
      <c r="Y419">
        <v>-0.1150595</v>
      </c>
      <c r="Z419">
        <v>2.3514809999999999E-3</v>
      </c>
      <c r="AA419">
        <v>0.99335580000000001</v>
      </c>
      <c r="AB419">
        <v>28</v>
      </c>
      <c r="AC419">
        <v>38.126300000000001</v>
      </c>
      <c r="AD419">
        <v>-1.1211321300629999</v>
      </c>
      <c r="AE419">
        <v>4.3965999999999701</v>
      </c>
      <c r="AF419">
        <v>-4.4313905013130599</v>
      </c>
      <c r="AG419">
        <v>-1.1211321300629999</v>
      </c>
      <c r="AH419">
        <v>38.089328704153402</v>
      </c>
      <c r="AI419">
        <v>91.6746842511604</v>
      </c>
      <c r="AJ419">
        <v>96.636074828339801</v>
      </c>
      <c r="AK419">
        <v>38.362626606649698</v>
      </c>
      <c r="AL419">
        <v>80.333513064548299</v>
      </c>
      <c r="AM419">
        <v>89.590694966226295</v>
      </c>
      <c r="AN419">
        <v>1.0000000018561701</v>
      </c>
    </row>
    <row r="420" spans="1:40" x14ac:dyDescent="0.25">
      <c r="A420" t="str">
        <f>"20190303162751792"</f>
        <v>20190303162751792</v>
      </c>
      <c r="B420" t="str">
        <f>"1551601671782210"</f>
        <v>1551601671782210</v>
      </c>
      <c r="C420" t="s">
        <v>40</v>
      </c>
      <c r="D420">
        <v>4.9794119999999999</v>
      </c>
      <c r="E420">
        <v>0.4536018</v>
      </c>
      <c r="F420" t="s">
        <v>41</v>
      </c>
      <c r="G420">
        <v>-344.54259999999999</v>
      </c>
      <c r="H420" s="1">
        <v>-3.270736E-6</v>
      </c>
      <c r="I420">
        <v>372.2867</v>
      </c>
      <c r="J420">
        <v>-382.82310000000001</v>
      </c>
      <c r="K420">
        <v>1.121129</v>
      </c>
      <c r="L420">
        <v>367.89</v>
      </c>
      <c r="M420">
        <v>0.99993540000000003</v>
      </c>
      <c r="N420">
        <v>-1.1329580000000001E-2</v>
      </c>
      <c r="O420">
        <v>-9.7069140000000001E-4</v>
      </c>
      <c r="P420">
        <v>0.98764030000000003</v>
      </c>
      <c r="Q420">
        <v>0.156527</v>
      </c>
      <c r="R420">
        <v>-8.1446379999999992E-3</v>
      </c>
      <c r="S420">
        <v>3.0546259999999998</v>
      </c>
      <c r="T420">
        <v>-8.9127780000000004E-2</v>
      </c>
      <c r="U420">
        <v>0.34951779999999999</v>
      </c>
      <c r="V420">
        <v>7.1674859999999998E-3</v>
      </c>
      <c r="W420">
        <v>0.167707299999999</v>
      </c>
      <c r="X420">
        <v>0.98581079999999999</v>
      </c>
      <c r="Y420">
        <v>-0.1145779</v>
      </c>
      <c r="Z420">
        <v>2.3344339999999998E-3</v>
      </c>
      <c r="AA420">
        <v>0.9934115</v>
      </c>
      <c r="AB420">
        <v>28</v>
      </c>
      <c r="AC420">
        <v>38.280500000000004</v>
      </c>
      <c r="AD420">
        <v>-1.1211322707359901</v>
      </c>
      <c r="AE420">
        <v>4.3967000000000098</v>
      </c>
      <c r="AF420">
        <v>-4.4301084318339496</v>
      </c>
      <c r="AG420">
        <v>-1.1211322707359901</v>
      </c>
      <c r="AH420">
        <v>38.2438374639922</v>
      </c>
      <c r="AI420">
        <v>91.668018560638501</v>
      </c>
      <c r="AJ420">
        <v>96.607606825491004</v>
      </c>
      <c r="AK420">
        <v>38.515891554766597</v>
      </c>
      <c r="AL420">
        <v>80.345456915879296</v>
      </c>
      <c r="AM420">
        <v>89.583429739785601</v>
      </c>
      <c r="AN420">
        <v>1.0000000223627401</v>
      </c>
    </row>
    <row r="421" spans="1:40" x14ac:dyDescent="0.25">
      <c r="A421" t="str">
        <f>"20190303162751813"</f>
        <v>20190303162751813</v>
      </c>
      <c r="B421" t="str">
        <f>"1551601671801730"</f>
        <v>1551601671801730</v>
      </c>
      <c r="C421" t="s">
        <v>40</v>
      </c>
      <c r="D421">
        <v>4.8925340000000004</v>
      </c>
      <c r="E421">
        <v>0.45381159999999998</v>
      </c>
      <c r="F421" t="s">
        <v>41</v>
      </c>
      <c r="G421">
        <v>-344.3175</v>
      </c>
      <c r="H421" s="1">
        <v>-3.3770640000000001E-6</v>
      </c>
      <c r="I421">
        <v>372.28640000000001</v>
      </c>
      <c r="J421">
        <v>-382.57429999999999</v>
      </c>
      <c r="K421">
        <v>1.1211260000000001</v>
      </c>
      <c r="L421">
        <v>367.88979999999998</v>
      </c>
      <c r="M421">
        <v>0.99993529999999997</v>
      </c>
      <c r="N421">
        <v>-1.1332979999999999E-2</v>
      </c>
      <c r="O421">
        <v>-8.9954659999999997E-4</v>
      </c>
      <c r="P421">
        <v>0.98771940000000003</v>
      </c>
      <c r="Q421">
        <v>0.1560348</v>
      </c>
      <c r="R421">
        <v>-7.9794480000000001E-3</v>
      </c>
      <c r="S421">
        <v>3.054535</v>
      </c>
      <c r="T421">
        <v>-8.8936210000000002E-2</v>
      </c>
      <c r="U421">
        <v>0.34875489999999998</v>
      </c>
      <c r="V421">
        <v>7.0725919999999999E-3</v>
      </c>
      <c r="W421">
        <v>0.16721939999999999</v>
      </c>
      <c r="X421">
        <v>0.9858943</v>
      </c>
      <c r="Y421">
        <v>-0.1142661</v>
      </c>
      <c r="Z421">
        <v>2.3234940000000002E-3</v>
      </c>
      <c r="AA421">
        <v>0.99344750000000004</v>
      </c>
      <c r="AB421">
        <v>28</v>
      </c>
      <c r="AC421">
        <v>38.256799999999998</v>
      </c>
      <c r="AD421">
        <v>-1.1211293770640001</v>
      </c>
      <c r="AE421">
        <v>4.3966000000000296</v>
      </c>
      <c r="AF421">
        <v>-4.4272616188779601</v>
      </c>
      <c r="AG421">
        <v>-1.1211293770640001</v>
      </c>
      <c r="AH421">
        <v>38.220433314521998</v>
      </c>
      <c r="AI421">
        <v>91.669035760074607</v>
      </c>
      <c r="AJ421">
        <v>96.607406075610399</v>
      </c>
      <c r="AK421">
        <v>38.492325199602199</v>
      </c>
      <c r="AL421">
        <v>80.373811341858399</v>
      </c>
      <c r="AM421">
        <v>89.588979548248304</v>
      </c>
      <c r="AN421">
        <v>0.999999960033223</v>
      </c>
    </row>
    <row r="422" spans="1:40" x14ac:dyDescent="0.25">
      <c r="A422" t="str">
        <f>"20190303162751834"</f>
        <v>20190303162751834</v>
      </c>
      <c r="B422" t="str">
        <f>"1551601671822226"</f>
        <v>1551601671822226</v>
      </c>
      <c r="C422" t="s">
        <v>40</v>
      </c>
      <c r="D422">
        <v>5.1129550000000004</v>
      </c>
      <c r="E422">
        <v>0.45382420000000001</v>
      </c>
      <c r="F422" t="s">
        <v>41</v>
      </c>
      <c r="G422">
        <v>-343.87150000000003</v>
      </c>
      <c r="H422" s="1">
        <v>-3.5897140000000001E-6</v>
      </c>
      <c r="I422">
        <v>372.29309999999998</v>
      </c>
      <c r="J422">
        <v>-382.30779999999999</v>
      </c>
      <c r="K422">
        <v>1.1211249999999999</v>
      </c>
      <c r="L422">
        <v>367.8897</v>
      </c>
      <c r="M422">
        <v>0.99993540000000003</v>
      </c>
      <c r="N422">
        <v>-1.133646E-2</v>
      </c>
      <c r="O422">
        <v>-8.2327530000000004E-4</v>
      </c>
      <c r="P422">
        <v>0.98779280000000003</v>
      </c>
      <c r="Q422">
        <v>0.15559770000000001</v>
      </c>
      <c r="R422">
        <v>-7.4131780000000003E-3</v>
      </c>
      <c r="S422">
        <v>3.0541079999999998</v>
      </c>
      <c r="T422">
        <v>-8.8470339999999995E-2</v>
      </c>
      <c r="U422">
        <v>0.34747309999999998</v>
      </c>
      <c r="V422">
        <v>6.5815509999999997E-3</v>
      </c>
      <c r="W422">
        <v>0.16678680000000001</v>
      </c>
      <c r="X422">
        <v>0.98597100000000004</v>
      </c>
      <c r="Y422">
        <v>-0.1137952</v>
      </c>
      <c r="Z422">
        <v>2.304314E-3</v>
      </c>
      <c r="AA422">
        <v>0.99350150000000004</v>
      </c>
      <c r="AB422">
        <v>28</v>
      </c>
      <c r="AC422">
        <v>38.436299999999903</v>
      </c>
      <c r="AD422">
        <v>-1.121128589714</v>
      </c>
      <c r="AE422">
        <v>4.4033999999999702</v>
      </c>
      <c r="AF422">
        <v>-4.4313228678417103</v>
      </c>
      <c r="AG422">
        <v>-1.121128589714</v>
      </c>
      <c r="AH422">
        <v>38.400413687176403</v>
      </c>
      <c r="AI422">
        <v>91.661299128844604</v>
      </c>
      <c r="AJ422">
        <v>96.582689576252804</v>
      </c>
      <c r="AK422">
        <v>38.671505311017</v>
      </c>
      <c r="AL422">
        <v>80.3989507670248</v>
      </c>
      <c r="AM422">
        <v>89.617545045240206</v>
      </c>
      <c r="AN422">
        <v>0.99999998315440197</v>
      </c>
    </row>
    <row r="423" spans="1:40" x14ac:dyDescent="0.25">
      <c r="A423" t="str">
        <f>"20190303162751847"</f>
        <v>20190303162751847</v>
      </c>
      <c r="B423" t="str">
        <f>"1551601671841747"</f>
        <v>1551601671841747</v>
      </c>
      <c r="C423" t="s">
        <v>40</v>
      </c>
      <c r="D423">
        <v>4.9322019999999904</v>
      </c>
      <c r="E423">
        <v>0.45380900000000002</v>
      </c>
      <c r="F423" t="s">
        <v>41</v>
      </c>
      <c r="G423">
        <v>-343.57900000000001</v>
      </c>
      <c r="H423" s="1">
        <v>-3.7366010000000002E-6</v>
      </c>
      <c r="I423">
        <v>372.32560000000001</v>
      </c>
      <c r="J423">
        <v>-382.1524</v>
      </c>
      <c r="K423">
        <v>1.1211230000000001</v>
      </c>
      <c r="L423">
        <v>367.88959999999997</v>
      </c>
      <c r="M423">
        <v>0.99993549999999998</v>
      </c>
      <c r="N423">
        <v>-1.133843E-2</v>
      </c>
      <c r="O423">
        <v>-7.7882299999999999E-4</v>
      </c>
      <c r="P423">
        <v>0.98780469999999998</v>
      </c>
      <c r="Q423">
        <v>0.1555465</v>
      </c>
      <c r="R423">
        <v>-6.8885639999999998E-3</v>
      </c>
      <c r="S423">
        <v>3.0536799999999999</v>
      </c>
      <c r="T423">
        <v>-8.8398459999999998E-2</v>
      </c>
      <c r="U423">
        <v>0.34976200000000002</v>
      </c>
      <c r="V423">
        <v>6.1010279999999997E-3</v>
      </c>
      <c r="W423">
        <v>0.16673740000000001</v>
      </c>
      <c r="X423">
        <v>0.98598249999999998</v>
      </c>
      <c r="Y423">
        <v>-0.1145014</v>
      </c>
      <c r="Z423">
        <v>2.3166829999999999E-3</v>
      </c>
      <c r="AA423">
        <v>0.99342039999999998</v>
      </c>
      <c r="AB423">
        <v>28</v>
      </c>
      <c r="AC423">
        <v>38.5733999999999</v>
      </c>
      <c r="AD423">
        <v>-1.12112673660099</v>
      </c>
      <c r="AE423">
        <v>4.4360000000000301</v>
      </c>
      <c r="AF423">
        <v>-4.4623220445273803</v>
      </c>
      <c r="AG423">
        <v>-1.12112673660099</v>
      </c>
      <c r="AH423">
        <v>38.537802941326902</v>
      </c>
      <c r="AI423">
        <v>91.655302914462496</v>
      </c>
      <c r="AJ423">
        <v>96.604909033779805</v>
      </c>
      <c r="AK423">
        <v>38.811486685427901</v>
      </c>
      <c r="AL423">
        <v>80.4018218940856</v>
      </c>
      <c r="AM423">
        <v>89.645471705851904</v>
      </c>
      <c r="AN423">
        <v>1.00000003670383</v>
      </c>
    </row>
    <row r="424" spans="1:40" x14ac:dyDescent="0.25">
      <c r="A424" t="str">
        <f>"20190303162751858"</f>
        <v>20190303162751858</v>
      </c>
      <c r="B424" t="str">
        <f>"1551601671852013"</f>
        <v>1551601671852013</v>
      </c>
      <c r="C424" t="s">
        <v>40</v>
      </c>
      <c r="D424">
        <v>4.8360919999999998</v>
      </c>
      <c r="E424">
        <v>0.45378109999999999</v>
      </c>
      <c r="F424" t="s">
        <v>41</v>
      </c>
      <c r="G424">
        <v>-343.6909</v>
      </c>
      <c r="H424" s="1">
        <v>-3.6827330000000002E-6</v>
      </c>
      <c r="I424">
        <v>372.322</v>
      </c>
      <c r="J424">
        <v>-382.00170000000003</v>
      </c>
      <c r="K424">
        <v>1.1211230000000001</v>
      </c>
      <c r="L424">
        <v>367.8895</v>
      </c>
      <c r="M424">
        <v>0.99993560000000004</v>
      </c>
      <c r="N424">
        <v>-1.1340279999999999E-2</v>
      </c>
      <c r="O424">
        <v>-7.3591770000000002E-4</v>
      </c>
      <c r="P424">
        <v>0.98780109999999999</v>
      </c>
      <c r="Q424">
        <v>0.15557860000000001</v>
      </c>
      <c r="R424">
        <v>-6.6831049999999999E-3</v>
      </c>
      <c r="S424">
        <v>3.0534970000000001</v>
      </c>
      <c r="T424">
        <v>-8.9007379999999997E-2</v>
      </c>
      <c r="U424">
        <v>0.35189819999999999</v>
      </c>
      <c r="V424">
        <v>5.9377400000000004E-3</v>
      </c>
      <c r="W424">
        <v>0.16677129999999901</v>
      </c>
      <c r="X424">
        <v>0.98597769999999996</v>
      </c>
      <c r="Y424">
        <v>-0.1151503</v>
      </c>
      <c r="Z424">
        <v>2.3407319999999999E-3</v>
      </c>
      <c r="AA424">
        <v>0.99334529999999999</v>
      </c>
      <c r="AB424">
        <v>28</v>
      </c>
      <c r="AC424">
        <v>38.3108</v>
      </c>
      <c r="AD424">
        <v>-1.121126682733</v>
      </c>
      <c r="AE424">
        <v>4.4324999999999397</v>
      </c>
      <c r="AF424">
        <v>-4.4569277936909701</v>
      </c>
      <c r="AG424">
        <v>-1.121126682733</v>
      </c>
      <c r="AH424">
        <v>38.275182304352398</v>
      </c>
      <c r="AI424">
        <v>91.666529393074498</v>
      </c>
      <c r="AJ424">
        <v>96.641856590653802</v>
      </c>
      <c r="AK424">
        <v>38.550106495680701</v>
      </c>
      <c r="AL424">
        <v>80.399851378601895</v>
      </c>
      <c r="AM424">
        <v>89.654958393886005</v>
      </c>
      <c r="AN424">
        <v>0.99999997407864305</v>
      </c>
    </row>
    <row r="425" spans="1:40" x14ac:dyDescent="0.25">
      <c r="A425" t="str">
        <f>"20190303162751871"</f>
        <v>20190303162751871</v>
      </c>
      <c r="B425" t="str">
        <f>"1551601671861773"</f>
        <v>1551601671861773</v>
      </c>
      <c r="C425" t="s">
        <v>40</v>
      </c>
      <c r="D425">
        <v>4.8481560000000004</v>
      </c>
      <c r="E425">
        <v>0.45378499999999999</v>
      </c>
      <c r="F425" t="s">
        <v>41</v>
      </c>
      <c r="G425">
        <v>-342.99020000000002</v>
      </c>
      <c r="H425" s="1">
        <v>-4.0325699999999997E-6</v>
      </c>
      <c r="I425">
        <v>372.39190000000002</v>
      </c>
      <c r="J425">
        <v>-381.85129999999998</v>
      </c>
      <c r="K425">
        <v>1.121127</v>
      </c>
      <c r="L425">
        <v>367.88940000000002</v>
      </c>
      <c r="M425">
        <v>0.99993540000000003</v>
      </c>
      <c r="N425">
        <v>-1.1342079999999999E-2</v>
      </c>
      <c r="O425">
        <v>-6.9324899999999995E-4</v>
      </c>
      <c r="P425">
        <v>0.98780889999999999</v>
      </c>
      <c r="Q425">
        <v>0.155555</v>
      </c>
      <c r="R425">
        <v>-6.0269599999999996E-3</v>
      </c>
      <c r="S425">
        <v>3.0532530000000002</v>
      </c>
      <c r="T425">
        <v>-8.7745550000000005E-2</v>
      </c>
      <c r="U425">
        <v>0.35238649999999999</v>
      </c>
      <c r="V425">
        <v>5.3236849999999999E-3</v>
      </c>
      <c r="W425">
        <v>0.1667497</v>
      </c>
      <c r="X425">
        <v>0.98598490000000005</v>
      </c>
      <c r="Y425">
        <v>-0.11527519999999999</v>
      </c>
      <c r="Z425">
        <v>2.3187120000000001E-3</v>
      </c>
      <c r="AA425">
        <v>0.99333090000000002</v>
      </c>
      <c r="AB425">
        <v>28</v>
      </c>
      <c r="AC425">
        <v>38.861099999999901</v>
      </c>
      <c r="AD425">
        <v>-1.1211310325699999</v>
      </c>
      <c r="AE425">
        <v>4.5024999999999897</v>
      </c>
      <c r="AF425">
        <v>-4.5257241821689798</v>
      </c>
      <c r="AG425">
        <v>-1.1211310325699999</v>
      </c>
      <c r="AH425">
        <v>38.8260820068474</v>
      </c>
      <c r="AI425">
        <v>91.642879993312306</v>
      </c>
      <c r="AJ425">
        <v>96.648622706373601</v>
      </c>
      <c r="AK425">
        <v>39.1050349465091</v>
      </c>
      <c r="AL425">
        <v>80.401106925464006</v>
      </c>
      <c r="AM425">
        <v>89.690642607331498</v>
      </c>
      <c r="AN425">
        <v>1.00000001355003</v>
      </c>
    </row>
    <row r="426" spans="1:40" x14ac:dyDescent="0.25">
      <c r="A426" t="str">
        <f>"20190303162751886"</f>
        <v>20190303162751886</v>
      </c>
      <c r="B426" t="str">
        <f>"1551601671882270"</f>
        <v>1551601671882270</v>
      </c>
      <c r="C426" t="s">
        <v>40</v>
      </c>
      <c r="D426">
        <v>4.8569630000000004</v>
      </c>
      <c r="E426">
        <v>0.45368550000000002</v>
      </c>
      <c r="F426" t="s">
        <v>41</v>
      </c>
      <c r="G426">
        <v>-342.42489999999998</v>
      </c>
      <c r="H426" s="1">
        <v>-4.2857399999999997E-6</v>
      </c>
      <c r="I426">
        <v>372.46690000000001</v>
      </c>
      <c r="J426">
        <v>-381.66550000000001</v>
      </c>
      <c r="K426">
        <v>1.1211279999999999</v>
      </c>
      <c r="L426">
        <v>367.88940000000002</v>
      </c>
      <c r="M426">
        <v>0.99993540000000003</v>
      </c>
      <c r="N426">
        <v>-1.134426E-2</v>
      </c>
      <c r="O426">
        <v>-6.4068709999999995E-4</v>
      </c>
      <c r="P426">
        <v>0.98779139999999999</v>
      </c>
      <c r="Q426">
        <v>0.15568009999999999</v>
      </c>
      <c r="R426">
        <v>-5.649055E-3</v>
      </c>
      <c r="S426">
        <v>3.0527950000000001</v>
      </c>
      <c r="T426">
        <v>-8.6809520000000001E-2</v>
      </c>
      <c r="U426">
        <v>0.3544312</v>
      </c>
      <c r="V426">
        <v>4.9975569999999997E-3</v>
      </c>
      <c r="W426">
        <v>0.16687660000000001</v>
      </c>
      <c r="X426">
        <v>0.98596510000000004</v>
      </c>
      <c r="Y426">
        <v>-0.11589729999999999</v>
      </c>
      <c r="Z426">
        <v>2.3126890000000002E-3</v>
      </c>
      <c r="AA426">
        <v>0.99325850000000004</v>
      </c>
      <c r="AB426">
        <v>28</v>
      </c>
      <c r="AC426">
        <v>39.240600000000001</v>
      </c>
      <c r="AD426">
        <v>-1.1211322857399999</v>
      </c>
      <c r="AE426">
        <v>4.5774999999999801</v>
      </c>
      <c r="AF426">
        <v>-4.5989379744348504</v>
      </c>
      <c r="AG426">
        <v>-1.1211322857399999</v>
      </c>
      <c r="AH426">
        <v>39.206085272503501</v>
      </c>
      <c r="AI426">
        <v>91.6268285132264</v>
      </c>
      <c r="AJ426">
        <v>96.690314988484801</v>
      </c>
      <c r="AK426">
        <v>39.490812735238102</v>
      </c>
      <c r="AL426">
        <v>80.3937324120554</v>
      </c>
      <c r="AM426">
        <v>89.709587619441805</v>
      </c>
      <c r="AN426">
        <v>0.99999997681076802</v>
      </c>
    </row>
    <row r="427" spans="1:40" x14ac:dyDescent="0.25">
      <c r="A427" t="str">
        <f>"20190303162751901"</f>
        <v>20190303162751901</v>
      </c>
      <c r="B427" t="str">
        <f>"1551601671892030"</f>
        <v>1551601671892030</v>
      </c>
      <c r="C427" t="s">
        <v>40</v>
      </c>
      <c r="D427">
        <v>4.8314389999999996</v>
      </c>
      <c r="E427">
        <v>0.4539337</v>
      </c>
      <c r="F427" t="s">
        <v>41</v>
      </c>
      <c r="G427">
        <v>-341.80590000000001</v>
      </c>
      <c r="H427" s="1">
        <v>-4.53705E-6</v>
      </c>
      <c r="I427">
        <v>372.54360000000003</v>
      </c>
      <c r="J427">
        <v>-381.46510000000001</v>
      </c>
      <c r="K427">
        <v>1.121127</v>
      </c>
      <c r="L427">
        <v>367.88929999999999</v>
      </c>
      <c r="M427">
        <v>0.99993560000000004</v>
      </c>
      <c r="N427">
        <v>-1.1346530000000001E-2</v>
      </c>
      <c r="O427">
        <v>-5.8407559999999997E-4</v>
      </c>
      <c r="P427">
        <v>0.9878285</v>
      </c>
      <c r="Q427">
        <v>0.1554507</v>
      </c>
      <c r="R427">
        <v>-5.5006780000000002E-3</v>
      </c>
      <c r="S427">
        <v>3.0526430000000002</v>
      </c>
      <c r="T427">
        <v>-8.5861800000000002E-2</v>
      </c>
      <c r="U427">
        <v>0.35644530000000002</v>
      </c>
      <c r="V427">
        <v>4.9052150000000001E-3</v>
      </c>
      <c r="W427">
        <v>0.16664960000000001</v>
      </c>
      <c r="X427">
        <v>0.98600399999999999</v>
      </c>
      <c r="Y427">
        <v>-0.11649420000000001</v>
      </c>
      <c r="Z427">
        <v>2.3055609999999998E-3</v>
      </c>
      <c r="AA427">
        <v>0.99318870000000004</v>
      </c>
      <c r="AB427">
        <v>28</v>
      </c>
      <c r="AC427">
        <v>39.659199999999998</v>
      </c>
      <c r="AD427">
        <v>-1.1211315370499999</v>
      </c>
      <c r="AE427">
        <v>4.6543000000000303</v>
      </c>
      <c r="AF427">
        <v>-4.6737803824258197</v>
      </c>
      <c r="AG427">
        <v>-1.1211315370499999</v>
      </c>
      <c r="AH427">
        <v>39.625238517635204</v>
      </c>
      <c r="AI427">
        <v>91.609507116307995</v>
      </c>
      <c r="AJ427">
        <v>96.726932965512006</v>
      </c>
      <c r="AK427">
        <v>39.915669687053999</v>
      </c>
      <c r="AL427">
        <v>80.406923676126496</v>
      </c>
      <c r="AM427">
        <v>89.714964849453295</v>
      </c>
      <c r="AN427">
        <v>1.0000000191651699</v>
      </c>
    </row>
    <row r="428" spans="1:40" x14ac:dyDescent="0.25">
      <c r="A428" t="str">
        <f>"20190303162751925"</f>
        <v>20190303162751925</v>
      </c>
      <c r="B428" t="str">
        <f>"1551601671912524"</f>
        <v>1551601671912524</v>
      </c>
      <c r="C428" t="s">
        <v>40</v>
      </c>
      <c r="D428">
        <v>4.7715290000000001</v>
      </c>
      <c r="E428">
        <v>0.47774810000000001</v>
      </c>
      <c r="F428" t="s">
        <v>41</v>
      </c>
      <c r="G428">
        <v>-341.73829999999998</v>
      </c>
      <c r="H428" s="1">
        <v>-4.557815E-6</v>
      </c>
      <c r="I428">
        <v>372.51429999999999</v>
      </c>
      <c r="J428">
        <v>-381.19349999999997</v>
      </c>
      <c r="K428">
        <v>1.1211249999999999</v>
      </c>
      <c r="L428">
        <v>367.88920000000002</v>
      </c>
      <c r="M428">
        <v>0.99993560000000004</v>
      </c>
      <c r="N428">
        <v>-1.13495E-2</v>
      </c>
      <c r="O428">
        <v>-5.0696479999999999E-4</v>
      </c>
      <c r="P428">
        <v>0.987923</v>
      </c>
      <c r="Q428">
        <v>0.154832</v>
      </c>
      <c r="R428">
        <v>-5.9426979999999997E-3</v>
      </c>
      <c r="S428">
        <v>3.0524900000000001</v>
      </c>
      <c r="T428">
        <v>-8.6144570000000004E-2</v>
      </c>
      <c r="U428">
        <v>0.3553772</v>
      </c>
      <c r="V428">
        <v>5.4232799999999999E-3</v>
      </c>
      <c r="W428">
        <v>0.16603499999999999</v>
      </c>
      <c r="X428">
        <v>0.98610500000000001</v>
      </c>
      <c r="Y428">
        <v>-0.1160804</v>
      </c>
      <c r="Z428">
        <v>2.301792E-3</v>
      </c>
      <c r="AA428">
        <v>0.99323709999999998</v>
      </c>
      <c r="AB428">
        <v>28</v>
      </c>
      <c r="AC428">
        <v>39.455199999999898</v>
      </c>
      <c r="AD428">
        <v>-1.121129557815</v>
      </c>
      <c r="AE428">
        <v>4.6250999999999696</v>
      </c>
      <c r="AF428">
        <v>-4.6414062929176199</v>
      </c>
      <c r="AG428">
        <v>-1.121129557815</v>
      </c>
      <c r="AH428">
        <v>39.421451544638401</v>
      </c>
      <c r="AI428">
        <v>91.617859856636997</v>
      </c>
      <c r="AJ428">
        <v>96.714981083800794</v>
      </c>
      <c r="AK428">
        <v>39.7095759955658</v>
      </c>
      <c r="AL428">
        <v>80.442635510274997</v>
      </c>
      <c r="AM428">
        <v>89.684893675304806</v>
      </c>
      <c r="AN428">
        <v>1.0000000521079699</v>
      </c>
    </row>
    <row r="429" spans="1:40" x14ac:dyDescent="0.25">
      <c r="A429" t="str">
        <f>"20190303162751946"</f>
        <v>20190303162751946</v>
      </c>
      <c r="B429" t="str">
        <f>"1551601671932044"</f>
        <v>1551601671932044</v>
      </c>
      <c r="C429" t="s">
        <v>40</v>
      </c>
      <c r="D429">
        <v>4.7276309999999997</v>
      </c>
      <c r="E429">
        <v>0.48112630000000001</v>
      </c>
      <c r="F429" t="s">
        <v>42</v>
      </c>
      <c r="G429">
        <v>-310.61829999999998</v>
      </c>
      <c r="H429">
        <v>-0.05</v>
      </c>
      <c r="I429">
        <v>371.69529999999997</v>
      </c>
      <c r="J429">
        <v>-380.92770000000002</v>
      </c>
      <c r="K429">
        <v>1.121119</v>
      </c>
      <c r="L429">
        <v>367.88920000000002</v>
      </c>
      <c r="M429">
        <v>0.99993560000000004</v>
      </c>
      <c r="N429">
        <v>-1.135251E-2</v>
      </c>
      <c r="O429">
        <v>-4.3081249999999999E-4</v>
      </c>
      <c r="P429">
        <v>0.98801329999999998</v>
      </c>
      <c r="Q429">
        <v>0.15422060000000001</v>
      </c>
      <c r="R429">
        <v>-6.7848810000000004E-3</v>
      </c>
      <c r="S429">
        <v>3.0456240000000001</v>
      </c>
      <c r="T429">
        <v>-5.0539140000000003E-2</v>
      </c>
      <c r="U429">
        <v>0.16424559999999999</v>
      </c>
      <c r="V429">
        <v>6.3409219999999997E-3</v>
      </c>
      <c r="W429">
        <v>0.16542789999999999</v>
      </c>
      <c r="X429">
        <v>0.98620149999999995</v>
      </c>
      <c r="Y429">
        <v>-5.4267790000000003E-2</v>
      </c>
      <c r="Z429">
        <v>7.6046550000000005E-4</v>
      </c>
      <c r="AA429">
        <v>0.99852620000000003</v>
      </c>
      <c r="AB429">
        <v>28</v>
      </c>
      <c r="AC429">
        <v>70.309399999999997</v>
      </c>
      <c r="AD429">
        <v>-1.171119</v>
      </c>
      <c r="AE429">
        <v>3.8060999999999501</v>
      </c>
      <c r="AF429">
        <v>-3.8353307829326999</v>
      </c>
      <c r="AG429">
        <v>-1.171119</v>
      </c>
      <c r="AH429">
        <v>70.288309566638105</v>
      </c>
      <c r="AI429">
        <v>90.953136101833493</v>
      </c>
      <c r="AJ429">
        <v>93.123286974304904</v>
      </c>
      <c r="AK429">
        <v>70.402611767335898</v>
      </c>
      <c r="AL429">
        <v>80.477907036592597</v>
      </c>
      <c r="AM429">
        <v>89.631613759940805</v>
      </c>
      <c r="AN429">
        <v>0.99999999799623496</v>
      </c>
    </row>
    <row r="430" spans="1:40" x14ac:dyDescent="0.25">
      <c r="A430" t="str">
        <f>"20190303162751957"</f>
        <v>20190303162751957</v>
      </c>
      <c r="B430" t="str">
        <f>"1551601671952072"</f>
        <v>1551601671952072</v>
      </c>
      <c r="C430" t="s">
        <v>40</v>
      </c>
      <c r="D430">
        <v>4.8146639999999996</v>
      </c>
      <c r="E430">
        <v>0.48174939999999999</v>
      </c>
      <c r="F430" t="s">
        <v>41</v>
      </c>
      <c r="G430">
        <v>-248.8681</v>
      </c>
      <c r="H430" s="1">
        <v>-1.612992E-6</v>
      </c>
      <c r="I430">
        <v>373.74090000000001</v>
      </c>
      <c r="J430">
        <v>-380.7731</v>
      </c>
      <c r="K430">
        <v>1.1211180000000001</v>
      </c>
      <c r="L430">
        <v>367.88920000000002</v>
      </c>
      <c r="M430">
        <v>0.99993560000000004</v>
      </c>
      <c r="N430">
        <v>-1.135417E-2</v>
      </c>
      <c r="O430">
        <v>-3.8683519999999999E-4</v>
      </c>
      <c r="P430">
        <v>0.98803790000000002</v>
      </c>
      <c r="Q430">
        <v>0.1540454</v>
      </c>
      <c r="R430">
        <v>-7.2066049999999996E-3</v>
      </c>
      <c r="S430">
        <v>3.0413209999999999</v>
      </c>
      <c r="T430">
        <v>-2.58193E-2</v>
      </c>
      <c r="U430">
        <v>0.13476560000000001</v>
      </c>
      <c r="V430">
        <v>6.8058429999999998E-3</v>
      </c>
      <c r="W430">
        <v>0.16525479999999901</v>
      </c>
      <c r="X430">
        <v>0.98622739999999998</v>
      </c>
      <c r="Y430">
        <v>-4.4650830000000002E-2</v>
      </c>
      <c r="Z430">
        <v>4.4195729999999998E-4</v>
      </c>
      <c r="AA430">
        <v>0.99900259999999996</v>
      </c>
      <c r="AB430">
        <v>28</v>
      </c>
      <c r="AC430">
        <v>131.905</v>
      </c>
      <c r="AD430">
        <v>-1.121119612992</v>
      </c>
      <c r="AE430">
        <v>5.8516999999999904</v>
      </c>
      <c r="AF430">
        <v>-5.90230279318338</v>
      </c>
      <c r="AG430">
        <v>-1.121119612992</v>
      </c>
      <c r="AH430">
        <v>131.893217009415</v>
      </c>
      <c r="AI430">
        <v>90.486527345234805</v>
      </c>
      <c r="AJ430">
        <v>92.562311933416893</v>
      </c>
      <c r="AK430">
        <v>132.02997682549901</v>
      </c>
      <c r="AL430">
        <v>80.487963140393802</v>
      </c>
      <c r="AM430">
        <v>89.604614625316998</v>
      </c>
      <c r="AN430">
        <v>0.99999997646636996</v>
      </c>
    </row>
    <row r="431" spans="1:40" x14ac:dyDescent="0.25">
      <c r="A431" t="str">
        <f>"20190303162751970"</f>
        <v>20190303162751970</v>
      </c>
      <c r="B431" t="str">
        <f>"1551601671961832"</f>
        <v>1551601671961832</v>
      </c>
      <c r="C431" t="s">
        <v>40</v>
      </c>
      <c r="D431">
        <v>4.6695669999999998</v>
      </c>
      <c r="E431">
        <v>0.48187079999999999</v>
      </c>
      <c r="F431" t="s">
        <v>41</v>
      </c>
      <c r="G431">
        <v>-224.5446</v>
      </c>
      <c r="H431" s="1">
        <v>-3.5915599999999998E-6</v>
      </c>
      <c r="I431">
        <v>374.47629999999998</v>
      </c>
      <c r="J431">
        <v>-380.62090000000001</v>
      </c>
      <c r="K431">
        <v>1.121116</v>
      </c>
      <c r="L431">
        <v>367.88909999999998</v>
      </c>
      <c r="M431">
        <v>0.99993549999999998</v>
      </c>
      <c r="N431">
        <v>-1.135574E-2</v>
      </c>
      <c r="O431">
        <v>-3.4297750000000001E-4</v>
      </c>
      <c r="P431">
        <v>0.98800659999999896</v>
      </c>
      <c r="Q431">
        <v>0.15420619999999999</v>
      </c>
      <c r="R431">
        <v>-7.9624139999999993E-3</v>
      </c>
      <c r="S431">
        <v>3.0406490000000002</v>
      </c>
      <c r="T431">
        <v>-2.182019E-2</v>
      </c>
      <c r="U431">
        <v>0.12820429999999999</v>
      </c>
      <c r="V431">
        <v>7.605232E-3</v>
      </c>
      <c r="W431">
        <v>0.16541710000000001</v>
      </c>
      <c r="X431">
        <v>0.98619440000000003</v>
      </c>
      <c r="Y431">
        <v>-4.2465910000000003E-2</v>
      </c>
      <c r="Z431">
        <v>3.9210729999999999E-4</v>
      </c>
      <c r="AA431">
        <v>0.99909780000000004</v>
      </c>
      <c r="AB431">
        <v>28</v>
      </c>
      <c r="AC431">
        <v>156.0763</v>
      </c>
      <c r="AD431">
        <v>-1.1211195915600001</v>
      </c>
      <c r="AE431">
        <v>6.5871999999999904</v>
      </c>
      <c r="AF431">
        <v>-6.6403917020844503</v>
      </c>
      <c r="AG431">
        <v>-1.1211195915600001</v>
      </c>
      <c r="AH431">
        <v>156.065993091054</v>
      </c>
      <c r="AI431">
        <v>90.411212277325006</v>
      </c>
      <c r="AJ431">
        <v>92.436386451285202</v>
      </c>
      <c r="AK431">
        <v>156.21122210197501</v>
      </c>
      <c r="AL431">
        <v>80.478534740245394</v>
      </c>
      <c r="AM431">
        <v>89.558161090637</v>
      </c>
      <c r="AN431">
        <v>1.00000002555877</v>
      </c>
    </row>
    <row r="432" spans="1:40" x14ac:dyDescent="0.25">
      <c r="A432" t="str">
        <f>"20190303162751984"</f>
        <v>20190303162751984</v>
      </c>
      <c r="B432" t="str">
        <f>"1551601671971591"</f>
        <v>1551601671971591</v>
      </c>
      <c r="C432" t="s">
        <v>40</v>
      </c>
      <c r="D432">
        <v>4.6818679999999997</v>
      </c>
      <c r="E432">
        <v>0.48214790000000002</v>
      </c>
      <c r="F432" t="s">
        <v>46</v>
      </c>
      <c r="G432">
        <v>-202.6866</v>
      </c>
      <c r="H432" s="1">
        <v>-2.754445E-6</v>
      </c>
      <c r="I432">
        <v>375.22059999999999</v>
      </c>
      <c r="J432">
        <v>-380.4588</v>
      </c>
      <c r="K432">
        <v>1.1211169999999999</v>
      </c>
      <c r="L432">
        <v>367.88920000000002</v>
      </c>
      <c r="M432">
        <v>0.99993549999999998</v>
      </c>
      <c r="N432">
        <v>-1.1357290000000001E-2</v>
      </c>
      <c r="O432">
        <v>-2.9649780000000001E-4</v>
      </c>
      <c r="P432">
        <v>0.98807219999999996</v>
      </c>
      <c r="Q432">
        <v>0.1537567</v>
      </c>
      <c r="R432">
        <v>-8.4966350000000006E-3</v>
      </c>
      <c r="S432">
        <v>3.0404049999999998</v>
      </c>
      <c r="T432">
        <v>-1.915681E-2</v>
      </c>
      <c r="U432">
        <v>0.12527469999999999</v>
      </c>
      <c r="V432">
        <v>8.1854179999999999E-3</v>
      </c>
      <c r="W432">
        <v>0.16496939999999999</v>
      </c>
      <c r="X432">
        <v>0.98626469999999999</v>
      </c>
      <c r="Y432">
        <v>-4.1462300000000001E-2</v>
      </c>
      <c r="Z432">
        <v>3.6463000000000001E-4</v>
      </c>
      <c r="AA432">
        <v>0.99914000000000003</v>
      </c>
      <c r="AB432">
        <v>28</v>
      </c>
      <c r="AC432">
        <v>177.7722</v>
      </c>
      <c r="AD432">
        <v>-1.121119754445</v>
      </c>
      <c r="AE432">
        <v>7.3313999999999702</v>
      </c>
      <c r="AF432">
        <v>-7.38381897166198</v>
      </c>
      <c r="AG432">
        <v>-1.121119754445</v>
      </c>
      <c r="AH432">
        <v>177.76296033452101</v>
      </c>
      <c r="AI432">
        <v>90.361038304541296</v>
      </c>
      <c r="AJ432">
        <v>92.378552896634304</v>
      </c>
      <c r="AK432">
        <v>177.91977899885799</v>
      </c>
      <c r="AL432">
        <v>80.504542962662597</v>
      </c>
      <c r="AM432">
        <v>89.524489584441795</v>
      </c>
      <c r="AN432">
        <v>0.999999981235142</v>
      </c>
    </row>
    <row r="433" spans="1:40" x14ac:dyDescent="0.25">
      <c r="A433" t="str">
        <f>"20190303162752001"</f>
        <v>20190303162752001</v>
      </c>
      <c r="B433" t="str">
        <f>"1551601671992088"</f>
        <v>1551601671992088</v>
      </c>
      <c r="C433" t="s">
        <v>40</v>
      </c>
      <c r="D433">
        <v>4.6879809999999997</v>
      </c>
      <c r="E433">
        <v>0.48181629999999998</v>
      </c>
      <c r="F433" t="s">
        <v>41</v>
      </c>
      <c r="G433">
        <v>-230.67949999999999</v>
      </c>
      <c r="H433" s="1">
        <v>-4.8009549999999997E-6</v>
      </c>
      <c r="I433">
        <v>373.8793</v>
      </c>
      <c r="J433">
        <v>-380.23570000000001</v>
      </c>
      <c r="K433">
        <v>1.121113</v>
      </c>
      <c r="L433">
        <v>367.88909999999998</v>
      </c>
      <c r="M433">
        <v>0.99993560000000004</v>
      </c>
      <c r="N433">
        <v>-1.135654E-2</v>
      </c>
      <c r="O433">
        <v>-2.334297E-4</v>
      </c>
      <c r="P433">
        <v>0.98813189999999995</v>
      </c>
      <c r="Q433">
        <v>0.1533032</v>
      </c>
      <c r="R433">
        <v>-9.6886379999999994E-3</v>
      </c>
      <c r="S433">
        <v>3.0408019999999998</v>
      </c>
      <c r="T433">
        <v>-2.2760869999999999E-2</v>
      </c>
      <c r="U433">
        <v>0.1216125</v>
      </c>
      <c r="V433">
        <v>9.4396640000000004E-3</v>
      </c>
      <c r="W433">
        <v>0.164516</v>
      </c>
      <c r="X433">
        <v>0.98632929999999996</v>
      </c>
      <c r="Y433">
        <v>-4.019205E-2</v>
      </c>
      <c r="Z433">
        <v>3.7778399999999999E-4</v>
      </c>
      <c r="AA433">
        <v>0.99919190000000002</v>
      </c>
      <c r="AB433">
        <v>28</v>
      </c>
      <c r="AC433">
        <v>149.55619999999999</v>
      </c>
      <c r="AD433">
        <v>-1.121117800955</v>
      </c>
      <c r="AE433">
        <v>5.9902000000000104</v>
      </c>
      <c r="AF433">
        <v>-6.0247749263042696</v>
      </c>
      <c r="AG433">
        <v>-1.121117800955</v>
      </c>
      <c r="AH433">
        <v>149.54640732180201</v>
      </c>
      <c r="AI433">
        <v>90.429178167047297</v>
      </c>
      <c r="AJ433">
        <v>92.307027021092196</v>
      </c>
      <c r="AK433">
        <v>149.67191707496201</v>
      </c>
      <c r="AL433">
        <v>80.530881436729203</v>
      </c>
      <c r="AM433">
        <v>89.451667516025495</v>
      </c>
      <c r="AN433">
        <v>1.0000000547754599</v>
      </c>
    </row>
    <row r="434" spans="1:40" x14ac:dyDescent="0.25">
      <c r="A434" t="str">
        <f>"20190303162752014"</f>
        <v>20190303162752014</v>
      </c>
      <c r="B434" t="str">
        <f>"1551601672001848"</f>
        <v>1551601672001848</v>
      </c>
      <c r="C434" t="s">
        <v>40</v>
      </c>
      <c r="D434">
        <v>4.6825289999999997</v>
      </c>
      <c r="E434">
        <v>0.482122</v>
      </c>
      <c r="F434" t="s">
        <v>41</v>
      </c>
      <c r="G434">
        <v>-247.81460000000001</v>
      </c>
      <c r="H434" s="1">
        <v>-1.9544240000000001E-6</v>
      </c>
      <c r="I434">
        <v>373.15260000000001</v>
      </c>
      <c r="J434">
        <v>-380.08589999999998</v>
      </c>
      <c r="K434">
        <v>1.1211139999999999</v>
      </c>
      <c r="L434">
        <v>367.88909999999998</v>
      </c>
      <c r="M434">
        <v>0.99993549999999998</v>
      </c>
      <c r="N434">
        <v>-1.135413E-2</v>
      </c>
      <c r="O434">
        <v>-1.9050100000000001E-4</v>
      </c>
      <c r="P434">
        <v>0.98818839999999997</v>
      </c>
      <c r="Q434">
        <v>0.15292120000000001</v>
      </c>
      <c r="R434">
        <v>-9.9496519999999998E-3</v>
      </c>
      <c r="S434">
        <v>3.0411990000000002</v>
      </c>
      <c r="T434">
        <v>-2.5747659999999999E-2</v>
      </c>
      <c r="U434">
        <v>0.1208801</v>
      </c>
      <c r="V434">
        <v>9.7430769999999993E-3</v>
      </c>
      <c r="W434">
        <v>0.16413259999999999</v>
      </c>
      <c r="X434">
        <v>0.98639019999999999</v>
      </c>
      <c r="Y434">
        <v>-3.9903180000000003E-2</v>
      </c>
      <c r="Z434">
        <v>3.9493530000000001E-4</v>
      </c>
      <c r="AA434">
        <v>0.99920339999999996</v>
      </c>
      <c r="AB434">
        <v>28</v>
      </c>
      <c r="AC434">
        <v>132.271299999999</v>
      </c>
      <c r="AD434">
        <v>-1.1211159544239999</v>
      </c>
      <c r="AE434">
        <v>5.2635000000000201</v>
      </c>
      <c r="AF434">
        <v>-5.2883200289821897</v>
      </c>
      <c r="AG434">
        <v>-1.1211159544239999</v>
      </c>
      <c r="AH434">
        <v>132.26080816205399</v>
      </c>
      <c r="AI434">
        <v>90.485271434827098</v>
      </c>
      <c r="AJ434">
        <v>92.289696450178795</v>
      </c>
      <c r="AK434">
        <v>132.37123783281601</v>
      </c>
      <c r="AL434">
        <v>80.553151152399096</v>
      </c>
      <c r="AM434">
        <v>89.434078889064807</v>
      </c>
      <c r="AN434">
        <v>1.0000000322941101</v>
      </c>
    </row>
    <row r="435" spans="1:40" x14ac:dyDescent="0.25">
      <c r="A435" t="str">
        <f>"20190303162752027"</f>
        <v>20190303162752027</v>
      </c>
      <c r="B435" t="str">
        <f>"1551601672022343"</f>
        <v>1551601672022343</v>
      </c>
      <c r="C435" t="s">
        <v>40</v>
      </c>
      <c r="D435">
        <v>4.655519</v>
      </c>
      <c r="E435">
        <v>0.48250890000000002</v>
      </c>
      <c r="F435" t="s">
        <v>41</v>
      </c>
      <c r="G435">
        <v>-245.3116</v>
      </c>
      <c r="H435" s="1">
        <v>-3.1255770000000002E-6</v>
      </c>
      <c r="I435">
        <v>373.10719999999998</v>
      </c>
      <c r="J435">
        <v>-379.91559999999998</v>
      </c>
      <c r="K435">
        <v>1.121111</v>
      </c>
      <c r="L435">
        <v>367.88920000000002</v>
      </c>
      <c r="M435">
        <v>0.99993560000000004</v>
      </c>
      <c r="N435">
        <v>-1.135066E-2</v>
      </c>
      <c r="O435">
        <v>-1.4208290000000001E-4</v>
      </c>
      <c r="P435">
        <v>0.9882225</v>
      </c>
      <c r="Q435">
        <v>0.1526797</v>
      </c>
      <c r="R435">
        <v>-1.025449E-2</v>
      </c>
      <c r="S435">
        <v>3.0409549999999999</v>
      </c>
      <c r="T435">
        <v>-2.529609E-2</v>
      </c>
      <c r="U435">
        <v>0.1177368</v>
      </c>
      <c r="V435">
        <v>1.0095700000000001E-2</v>
      </c>
      <c r="W435">
        <v>0.16388810000000001</v>
      </c>
      <c r="X435">
        <v>0.98642730000000001</v>
      </c>
      <c r="Y435">
        <v>-3.8826880000000001E-2</v>
      </c>
      <c r="Z435">
        <v>3.8144999999999997E-4</v>
      </c>
      <c r="AA435">
        <v>0.99924590000000002</v>
      </c>
      <c r="AB435">
        <v>28</v>
      </c>
      <c r="AC435">
        <v>134.60399999999899</v>
      </c>
      <c r="AD435">
        <v>-1.1211141255769901</v>
      </c>
      <c r="AE435">
        <v>5.21799999999996</v>
      </c>
      <c r="AF435">
        <v>-5.2367633663086997</v>
      </c>
      <c r="AG435">
        <v>-1.1211141255769901</v>
      </c>
      <c r="AH435">
        <v>134.59393417551701</v>
      </c>
      <c r="AI435">
        <v>90.476879295020893</v>
      </c>
      <c r="AJ435">
        <v>92.228132892787897</v>
      </c>
      <c r="AK435">
        <v>134.70043691198899</v>
      </c>
      <c r="AL435">
        <v>80.567352206596098</v>
      </c>
      <c r="AM435">
        <v>89.413620440356297</v>
      </c>
      <c r="AN435">
        <v>1.0000000253326899</v>
      </c>
    </row>
    <row r="436" spans="1:40" x14ac:dyDescent="0.25">
      <c r="A436" t="str">
        <f>"20190303162752039"</f>
        <v>20190303162752039</v>
      </c>
      <c r="B436" t="str">
        <f>"1551601672032104"</f>
        <v>1551601672032104</v>
      </c>
      <c r="C436" t="s">
        <v>40</v>
      </c>
      <c r="D436">
        <v>4.6851989999999999</v>
      </c>
      <c r="E436">
        <v>0.4826994</v>
      </c>
      <c r="F436" t="s">
        <v>41</v>
      </c>
      <c r="G436">
        <v>-271.22519999999997</v>
      </c>
      <c r="H436" s="1">
        <v>-4.2748010000000004E-6</v>
      </c>
      <c r="I436">
        <v>371.95979999999997</v>
      </c>
      <c r="J436">
        <v>-379.75900000000001</v>
      </c>
      <c r="K436">
        <v>1.121111</v>
      </c>
      <c r="L436">
        <v>367.88920000000002</v>
      </c>
      <c r="M436">
        <v>0.99993569999999998</v>
      </c>
      <c r="N436">
        <v>-1.134658E-2</v>
      </c>
      <c r="O436" s="1">
        <v>-9.7952990000000001E-5</v>
      </c>
      <c r="P436">
        <v>0.98823890000000003</v>
      </c>
      <c r="Q436">
        <v>0.15256120000000001</v>
      </c>
      <c r="R436">
        <v>-1.04482E-2</v>
      </c>
      <c r="S436">
        <v>3.041779</v>
      </c>
      <c r="T436">
        <v>-3.1375170000000001E-2</v>
      </c>
      <c r="U436">
        <v>0.1139221</v>
      </c>
      <c r="V436">
        <v>1.033311E-2</v>
      </c>
      <c r="W436">
        <v>0.16376579999999999</v>
      </c>
      <c r="X436">
        <v>0.98644509999999996</v>
      </c>
      <c r="Y436">
        <v>-3.751993E-2</v>
      </c>
      <c r="Z436">
        <v>4.0628499999999999E-4</v>
      </c>
      <c r="AA436">
        <v>0.99929579999999996</v>
      </c>
      <c r="AB436">
        <v>28</v>
      </c>
      <c r="AC436">
        <v>108.5338</v>
      </c>
      <c r="AD436">
        <v>-1.121115274801</v>
      </c>
      <c r="AE436">
        <v>4.07059999999995</v>
      </c>
      <c r="AF436">
        <v>-4.08079705874502</v>
      </c>
      <c r="AG436">
        <v>-1.121115274801</v>
      </c>
      <c r="AH436">
        <v>108.521837548778</v>
      </c>
      <c r="AI436">
        <v>90.591471062784294</v>
      </c>
      <c r="AJ436">
        <v>92.153505156178198</v>
      </c>
      <c r="AK436">
        <v>108.60432325215</v>
      </c>
      <c r="AL436">
        <v>80.574454952469395</v>
      </c>
      <c r="AM436">
        <v>89.399842992637602</v>
      </c>
      <c r="AN436">
        <v>0.99999997286296005</v>
      </c>
    </row>
    <row r="437" spans="1:40" x14ac:dyDescent="0.25">
      <c r="A437" t="str">
        <f>"20190303162752058"</f>
        <v>20190303162752058</v>
      </c>
      <c r="B437" t="str">
        <f>"1551601672052130"</f>
        <v>1551601672052130</v>
      </c>
      <c r="C437" t="s">
        <v>40</v>
      </c>
      <c r="D437">
        <v>4.7188829999999999</v>
      </c>
      <c r="E437">
        <v>0.48320659999999999</v>
      </c>
      <c r="F437" t="s">
        <v>41</v>
      </c>
      <c r="G437">
        <v>-279.36759999999998</v>
      </c>
      <c r="H437" s="1">
        <v>-7.7804479999999999E-7</v>
      </c>
      <c r="I437">
        <v>371.5872</v>
      </c>
      <c r="J437">
        <v>-379.52940000000001</v>
      </c>
      <c r="K437">
        <v>1.121097</v>
      </c>
      <c r="L437">
        <v>367.88920000000002</v>
      </c>
      <c r="M437">
        <v>0.99993580000000004</v>
      </c>
      <c r="N437">
        <v>-1.134017E-2</v>
      </c>
      <c r="O437" s="1">
        <v>-3.2711050000000003E-5</v>
      </c>
      <c r="P437">
        <v>0.98827050000000005</v>
      </c>
      <c r="Q437">
        <v>0.15232479999999901</v>
      </c>
      <c r="R437">
        <v>-1.090232E-2</v>
      </c>
      <c r="S437">
        <v>3.0421140000000002</v>
      </c>
      <c r="T437">
        <v>-3.3972500000000003E-2</v>
      </c>
      <c r="U437">
        <v>0.11206049999999999</v>
      </c>
      <c r="V437">
        <v>1.085185E-2</v>
      </c>
      <c r="W437">
        <v>0.16352349999999999</v>
      </c>
      <c r="X437">
        <v>0.98647980000000002</v>
      </c>
      <c r="Y437">
        <v>-3.6839509999999999E-2</v>
      </c>
      <c r="Z437">
        <v>4.145927E-4</v>
      </c>
      <c r="AA437">
        <v>0.99932109999999996</v>
      </c>
      <c r="AB437">
        <v>28</v>
      </c>
      <c r="AC437">
        <v>100.1618</v>
      </c>
      <c r="AD437">
        <v>-1.1210977780447999</v>
      </c>
      <c r="AE437">
        <v>3.6979999999999702</v>
      </c>
      <c r="AF437">
        <v>-3.7008135981616501</v>
      </c>
      <c r="AG437">
        <v>-1.1210977780447999</v>
      </c>
      <c r="AH437">
        <v>100.149149338142</v>
      </c>
      <c r="AI437">
        <v>90.640920889189402</v>
      </c>
      <c r="AJ437">
        <v>92.116289199907797</v>
      </c>
      <c r="AK437">
        <v>100.223774597995</v>
      </c>
      <c r="AL437">
        <v>80.588528128110894</v>
      </c>
      <c r="AM437">
        <v>89.369738613784193</v>
      </c>
      <c r="AN437">
        <v>1.0000000467543499</v>
      </c>
    </row>
    <row r="438" spans="1:40" x14ac:dyDescent="0.25">
      <c r="A438" t="str">
        <f>"20190303162752071"</f>
        <v>20190303162752071</v>
      </c>
      <c r="B438" t="str">
        <f>"1551601672061889"</f>
        <v>1551601672061889</v>
      </c>
      <c r="C438" t="s">
        <v>40</v>
      </c>
      <c r="D438">
        <v>4.6698360000000001</v>
      </c>
      <c r="E438">
        <v>0.48320659999999999</v>
      </c>
      <c r="F438" t="s">
        <v>42</v>
      </c>
      <c r="G438">
        <v>-286.59210000000002</v>
      </c>
      <c r="H438">
        <v>-0.05</v>
      </c>
      <c r="I438">
        <v>371.13869999999997</v>
      </c>
      <c r="J438">
        <v>-379.36329999999998</v>
      </c>
      <c r="K438">
        <v>1.121092</v>
      </c>
      <c r="L438">
        <v>367.88929999999999</v>
      </c>
      <c r="M438">
        <v>0.99993580000000004</v>
      </c>
      <c r="N438">
        <v>-1.1334139999999999E-2</v>
      </c>
      <c r="O438" s="1">
        <v>1.476522E-5</v>
      </c>
      <c r="P438">
        <v>0.98827180000000003</v>
      </c>
      <c r="Q438">
        <v>0.15231339999999999</v>
      </c>
      <c r="R438">
        <v>-1.093733E-2</v>
      </c>
      <c r="S438">
        <v>3.042694</v>
      </c>
      <c r="T438">
        <v>-3.8340810000000003E-2</v>
      </c>
      <c r="U438">
        <v>0.1063843</v>
      </c>
      <c r="V438">
        <v>1.093358E-2</v>
      </c>
      <c r="W438">
        <v>0.16350609999999999</v>
      </c>
      <c r="X438">
        <v>0.98648170000000002</v>
      </c>
      <c r="Y438">
        <v>-3.4922469999999997E-2</v>
      </c>
      <c r="Z438">
        <v>4.179233E-4</v>
      </c>
      <c r="AA438">
        <v>0.99938990000000005</v>
      </c>
      <c r="AB438">
        <v>28</v>
      </c>
      <c r="AC438">
        <v>92.771199999999894</v>
      </c>
      <c r="AD438">
        <v>-1.171092</v>
      </c>
      <c r="AE438">
        <v>3.2493999999999699</v>
      </c>
      <c r="AF438">
        <v>-3.2475132630743802</v>
      </c>
      <c r="AG438">
        <v>-1.171092</v>
      </c>
      <c r="AH438">
        <v>92.7564852134294</v>
      </c>
      <c r="AI438">
        <v>90.722903462255999</v>
      </c>
      <c r="AJ438">
        <v>92.005173360309698</v>
      </c>
      <c r="AK438">
        <v>92.820705384173095</v>
      </c>
      <c r="AL438">
        <v>80.589537910494997</v>
      </c>
      <c r="AM438">
        <v>89.364993451480501</v>
      </c>
      <c r="AN438">
        <v>0.99999996617185705</v>
      </c>
    </row>
    <row r="439" spans="1:40" x14ac:dyDescent="0.25">
      <c r="A439" t="str">
        <f>"20190303162752084"</f>
        <v>20190303162752084</v>
      </c>
      <c r="B439" t="str">
        <f>"1551601672082386"</f>
        <v>1551601672082386</v>
      </c>
      <c r="C439" t="s">
        <v>40</v>
      </c>
      <c r="D439">
        <v>4.7127339999999904</v>
      </c>
      <c r="E439">
        <v>0.49827250000000001</v>
      </c>
      <c r="F439" t="s">
        <v>42</v>
      </c>
      <c r="G439">
        <v>-286.54160000000002</v>
      </c>
      <c r="H439">
        <v>-0.05</v>
      </c>
      <c r="I439">
        <v>371.14019999999999</v>
      </c>
      <c r="J439">
        <v>-379.21190000000001</v>
      </c>
      <c r="K439">
        <v>1.1210960000000001</v>
      </c>
      <c r="L439">
        <v>367.88929999999999</v>
      </c>
      <c r="M439">
        <v>0.99993589999999999</v>
      </c>
      <c r="N439">
        <v>-1.132786E-2</v>
      </c>
      <c r="O439" s="1">
        <v>5.7951039999999997E-5</v>
      </c>
      <c r="P439">
        <v>0.9883364</v>
      </c>
      <c r="Q439">
        <v>0.15188589999999999</v>
      </c>
      <c r="R439">
        <v>-1.1056450000000001E-2</v>
      </c>
      <c r="S439">
        <v>3.042694</v>
      </c>
      <c r="T439">
        <v>-3.8388369999999998E-2</v>
      </c>
      <c r="U439">
        <v>0.10656740000000001</v>
      </c>
      <c r="V439">
        <v>1.10954E-2</v>
      </c>
      <c r="W439">
        <v>0.1630733</v>
      </c>
      <c r="X439">
        <v>0.98655159999999997</v>
      </c>
      <c r="Y439">
        <v>-3.4939369999999997E-2</v>
      </c>
      <c r="Z439">
        <v>4.1823279999999999E-4</v>
      </c>
      <c r="AA439">
        <v>0.99938939999999998</v>
      </c>
      <c r="AB439">
        <v>28</v>
      </c>
      <c r="AC439">
        <v>92.670299999999997</v>
      </c>
      <c r="AD439">
        <v>-1.1710959999999999</v>
      </c>
      <c r="AE439">
        <v>3.2509000000000001</v>
      </c>
      <c r="AF439">
        <v>-3.2450117198782502</v>
      </c>
      <c r="AG439">
        <v>-1.1710959999999999</v>
      </c>
      <c r="AH439">
        <v>92.655709356066893</v>
      </c>
      <c r="AI439">
        <v>90.723691826997594</v>
      </c>
      <c r="AJ439">
        <v>92.005807489517096</v>
      </c>
      <c r="AK439">
        <v>92.719911794496994</v>
      </c>
      <c r="AL439">
        <v>80.614673527299402</v>
      </c>
      <c r="AM439">
        <v>89.355641620168697</v>
      </c>
      <c r="AN439">
        <v>1.0000000342683</v>
      </c>
    </row>
    <row r="440" spans="1:40" x14ac:dyDescent="0.25">
      <c r="A440" t="str">
        <f>"20190303162752101"</f>
        <v>20190303162752101</v>
      </c>
      <c r="B440" t="str">
        <f>"1551601672092146"</f>
        <v>1551601672092146</v>
      </c>
      <c r="C440" t="s">
        <v>40</v>
      </c>
      <c r="D440">
        <v>4.6464480000000004</v>
      </c>
      <c r="E440">
        <v>0.52847749999999905</v>
      </c>
      <c r="F440" t="s">
        <v>44</v>
      </c>
      <c r="G440">
        <v>-378.24880000000002</v>
      </c>
      <c r="H440">
        <v>1.03546</v>
      </c>
      <c r="I440">
        <v>367.8854</v>
      </c>
      <c r="J440">
        <v>-378.98540000000003</v>
      </c>
      <c r="K440">
        <v>1.1210910000000001</v>
      </c>
      <c r="L440">
        <v>367.88940000000002</v>
      </c>
      <c r="M440">
        <v>0.99993589999999999</v>
      </c>
      <c r="N440">
        <v>-1.1315789999999999E-2</v>
      </c>
      <c r="O440">
        <v>1.225687E-4</v>
      </c>
      <c r="P440">
        <v>0.98836860000000004</v>
      </c>
      <c r="Q440">
        <v>0.1516605</v>
      </c>
      <c r="R440">
        <v>-1.125671E-2</v>
      </c>
      <c r="S440">
        <v>3.0773619999999999</v>
      </c>
      <c r="T440">
        <v>-0.27389409999999997</v>
      </c>
      <c r="U440">
        <v>-1.1749269999999999E-2</v>
      </c>
      <c r="V440">
        <v>1.135971E-2</v>
      </c>
      <c r="W440">
        <v>0.16283619999999999</v>
      </c>
      <c r="X440">
        <v>0.98658769999999996</v>
      </c>
      <c r="Y440">
        <v>3.9226599999999997E-3</v>
      </c>
      <c r="Z440">
        <v>-2.05966E-4</v>
      </c>
      <c r="AA440">
        <v>0.99999229999999995</v>
      </c>
      <c r="AB440">
        <v>28</v>
      </c>
      <c r="AC440">
        <v>0.73660000000000903</v>
      </c>
      <c r="AD440">
        <v>-8.5630999999999999E-2</v>
      </c>
      <c r="AE440">
        <v>-4.0000000000190898E-3</v>
      </c>
      <c r="AF440">
        <v>4.0357504928820601E-3</v>
      </c>
      <c r="AG440">
        <v>-8.5630999999999999E-2</v>
      </c>
      <c r="AH440">
        <v>0.72677778660681103</v>
      </c>
      <c r="AI440">
        <v>96.719666198790307</v>
      </c>
      <c r="AJ440">
        <v>89.681843476736006</v>
      </c>
      <c r="AK440">
        <v>0.73181616991436904</v>
      </c>
      <c r="AL440">
        <v>80.628441887952803</v>
      </c>
      <c r="AM440">
        <v>89.340317460937896</v>
      </c>
      <c r="AN440">
        <v>0.99999998041650595</v>
      </c>
    </row>
    <row r="441" spans="1:40" x14ac:dyDescent="0.25">
      <c r="A441" t="str">
        <f>"20190303162752117"</f>
        <v>20190303162752117</v>
      </c>
      <c r="B441" t="str">
        <f>"1551601672111665"</f>
        <v>1551601672111665</v>
      </c>
      <c r="C441" t="s">
        <v>40</v>
      </c>
      <c r="D441">
        <v>4.6796709999999999</v>
      </c>
      <c r="E441">
        <v>0.52990569999999904</v>
      </c>
      <c r="F441" t="s">
        <v>44</v>
      </c>
      <c r="G441">
        <v>-378.28719999999998</v>
      </c>
      <c r="H441">
        <v>0.9597405</v>
      </c>
      <c r="I441">
        <v>367.83370000000002</v>
      </c>
      <c r="J441">
        <v>-378.80270000000002</v>
      </c>
      <c r="K441">
        <v>1.121094</v>
      </c>
      <c r="L441">
        <v>367.8895</v>
      </c>
      <c r="M441">
        <v>0.99993620000000005</v>
      </c>
      <c r="N441">
        <v>-1.1305020000000001E-2</v>
      </c>
      <c r="O441">
        <v>1.7436470000000001E-4</v>
      </c>
      <c r="P441">
        <v>0.98836469999999998</v>
      </c>
      <c r="Q441">
        <v>0.15169549999999901</v>
      </c>
      <c r="R441">
        <v>-1.113371E-2</v>
      </c>
      <c r="S441">
        <v>3.1439819999999998</v>
      </c>
      <c r="T441">
        <v>-0.72667040000000005</v>
      </c>
      <c r="U441">
        <v>-0.24926760000000001</v>
      </c>
      <c r="V441">
        <v>1.128792E-2</v>
      </c>
      <c r="W441">
        <v>0.16286010000000001</v>
      </c>
      <c r="X441">
        <v>0.98658460000000003</v>
      </c>
      <c r="Y441">
        <v>7.7084139999999995E-2</v>
      </c>
      <c r="Z441">
        <v>-9.2592130000000005E-3</v>
      </c>
      <c r="AA441">
        <v>0.99698160000000002</v>
      </c>
      <c r="AB441">
        <v>28</v>
      </c>
      <c r="AC441">
        <v>0.51550000000003104</v>
      </c>
      <c r="AD441">
        <v>-0.16135349999999901</v>
      </c>
      <c r="AE441">
        <v>-5.57999999999765E-2</v>
      </c>
      <c r="AF441">
        <v>5.0955520080412701E-2</v>
      </c>
      <c r="AG441">
        <v>-0.16135349999999901</v>
      </c>
      <c r="AH441">
        <v>0.469978997073561</v>
      </c>
      <c r="AI441">
        <v>108.845819855966</v>
      </c>
      <c r="AJ441">
        <v>83.812113983881304</v>
      </c>
      <c r="AK441">
        <v>0.49951143598438802</v>
      </c>
      <c r="AL441">
        <v>80.627054187902004</v>
      </c>
      <c r="AM441">
        <v>89.344484034554796</v>
      </c>
      <c r="AN441">
        <v>1.0000000011335399</v>
      </c>
    </row>
    <row r="442" spans="1:40" x14ac:dyDescent="0.25">
      <c r="A442" t="str">
        <f>"20190303162752138"</f>
        <v>20190303162752138</v>
      </c>
      <c r="B442" t="str">
        <f>"1551601672132162"</f>
        <v>1551601672132162</v>
      </c>
      <c r="C442" t="s">
        <v>40</v>
      </c>
      <c r="D442">
        <v>4.7216829999999996</v>
      </c>
      <c r="E442">
        <v>0.53007249999999995</v>
      </c>
      <c r="F442" t="s">
        <v>44</v>
      </c>
      <c r="G442">
        <v>-378.05720000000002</v>
      </c>
      <c r="H442">
        <v>0.92162820000000001</v>
      </c>
      <c r="I442">
        <v>367.82819999999998</v>
      </c>
      <c r="J442">
        <v>-378.55250000000001</v>
      </c>
      <c r="K442">
        <v>1.1210929999999999</v>
      </c>
      <c r="L442">
        <v>367.88959999999997</v>
      </c>
      <c r="M442">
        <v>0.9999363</v>
      </c>
      <c r="N442">
        <v>-1.1290369999999999E-2</v>
      </c>
      <c r="O442">
        <v>2.4561309999999997E-4</v>
      </c>
      <c r="P442">
        <v>0.98820220000000003</v>
      </c>
      <c r="Q442">
        <v>0.1527599</v>
      </c>
      <c r="R442">
        <v>-1.100543E-2</v>
      </c>
      <c r="S442">
        <v>3.1622309999999998</v>
      </c>
      <c r="T442">
        <v>-0.84615269999999998</v>
      </c>
      <c r="U442">
        <v>-0.25952150000000002</v>
      </c>
      <c r="V442">
        <v>1.122978E-2</v>
      </c>
      <c r="W442">
        <v>0.16390869999999999</v>
      </c>
      <c r="X442">
        <v>0.98641160000000006</v>
      </c>
      <c r="Y442">
        <v>7.9143519999999995E-2</v>
      </c>
      <c r="Z442">
        <v>-1.090634E-2</v>
      </c>
      <c r="AA442">
        <v>0.99680360000000001</v>
      </c>
      <c r="AB442">
        <v>28</v>
      </c>
      <c r="AC442">
        <v>0.49529999999998597</v>
      </c>
      <c r="AD442">
        <v>-0.1994648</v>
      </c>
      <c r="AE442">
        <v>-6.1399999999991899E-2</v>
      </c>
      <c r="AF442">
        <v>5.3048492174622298E-2</v>
      </c>
      <c r="AG442">
        <v>-0.1994648</v>
      </c>
      <c r="AH442">
        <v>0.427071021045837</v>
      </c>
      <c r="AI442">
        <v>114.867299103403</v>
      </c>
      <c r="AJ442">
        <v>82.919290948865296</v>
      </c>
      <c r="AK442">
        <v>0.47433111428428898</v>
      </c>
      <c r="AL442">
        <v>80.566155561833298</v>
      </c>
      <c r="AM442">
        <v>89.347745703753603</v>
      </c>
      <c r="AN442">
        <v>1.0000000072545401</v>
      </c>
    </row>
    <row r="443" spans="1:40" x14ac:dyDescent="0.25">
      <c r="A443" t="str">
        <f>"20190303162752159"</f>
        <v>20190303162752159</v>
      </c>
      <c r="B443" t="str">
        <f>"1551601672152658"</f>
        <v>1551601672152658</v>
      </c>
      <c r="C443" t="s">
        <v>40</v>
      </c>
      <c r="D443">
        <v>4.7294799999999997</v>
      </c>
      <c r="E443">
        <v>0.52965180000000001</v>
      </c>
      <c r="F443" t="s">
        <v>44</v>
      </c>
      <c r="G443">
        <v>-377.81139999999999</v>
      </c>
      <c r="H443">
        <v>0.91518940000000004</v>
      </c>
      <c r="I443">
        <v>367.82830000000001</v>
      </c>
      <c r="J443">
        <v>-378.2792</v>
      </c>
      <c r="K443">
        <v>1.121097</v>
      </c>
      <c r="L443">
        <v>367.8897</v>
      </c>
      <c r="M443">
        <v>0.99993659999999995</v>
      </c>
      <c r="N443">
        <v>-1.127272E-2</v>
      </c>
      <c r="O443">
        <v>3.2307780000000001E-4</v>
      </c>
      <c r="P443">
        <v>0.98808149999999995</v>
      </c>
      <c r="Q443">
        <v>0.1535619</v>
      </c>
      <c r="R443">
        <v>-1.066951E-2</v>
      </c>
      <c r="S443">
        <v>3.1690369999999999</v>
      </c>
      <c r="T443">
        <v>-0.88056369999999895</v>
      </c>
      <c r="U443">
        <v>-0.26031490000000002</v>
      </c>
      <c r="V443">
        <v>1.097034E-2</v>
      </c>
      <c r="W443">
        <v>0.164691899999999</v>
      </c>
      <c r="X443">
        <v>0.9862841</v>
      </c>
      <c r="Y443">
        <v>7.9076069999999998E-2</v>
      </c>
      <c r="Z443">
        <v>-1.130428E-2</v>
      </c>
      <c r="AA443">
        <v>0.99680449999999998</v>
      </c>
      <c r="AB443">
        <v>28</v>
      </c>
      <c r="AC443">
        <v>0.46780000000001098</v>
      </c>
      <c r="AD443">
        <v>-0.2059076</v>
      </c>
      <c r="AE443">
        <v>-6.1399999999991899E-2</v>
      </c>
      <c r="AF443">
        <v>5.1703614083242498E-2</v>
      </c>
      <c r="AG443">
        <v>-0.2059076</v>
      </c>
      <c r="AH443">
        <v>0.39294029073540998</v>
      </c>
      <c r="AI443">
        <v>117.453648430616</v>
      </c>
      <c r="AJ443">
        <v>82.504007019650999</v>
      </c>
      <c r="AK443">
        <v>0.44662431139634301</v>
      </c>
      <c r="AL443">
        <v>80.520663673736905</v>
      </c>
      <c r="AM443">
        <v>89.362731019997298</v>
      </c>
      <c r="AN443">
        <v>1.0000000480990601</v>
      </c>
    </row>
    <row r="444" spans="1:40" x14ac:dyDescent="0.25">
      <c r="A444" t="str">
        <f>"20190303162752171"</f>
        <v>20190303162752171</v>
      </c>
      <c r="B444" t="str">
        <f>"1551601672162417"</f>
        <v>1551601672162417</v>
      </c>
      <c r="C444" t="s">
        <v>40</v>
      </c>
      <c r="D444">
        <v>4.7450669999999997</v>
      </c>
      <c r="E444">
        <v>0.52944559999999996</v>
      </c>
      <c r="F444" t="s">
        <v>44</v>
      </c>
      <c r="G444">
        <v>-377.5598</v>
      </c>
      <c r="H444">
        <v>0.92099560000000003</v>
      </c>
      <c r="I444">
        <v>367.83150000000001</v>
      </c>
      <c r="J444">
        <v>-378.1302</v>
      </c>
      <c r="K444">
        <v>1.121095</v>
      </c>
      <c r="L444">
        <v>367.88990000000001</v>
      </c>
      <c r="M444">
        <v>0.99993659999999995</v>
      </c>
      <c r="N444">
        <v>-1.1261709999999999E-2</v>
      </c>
      <c r="O444">
        <v>3.653986E-4</v>
      </c>
      <c r="P444">
        <v>0.98797939999999995</v>
      </c>
      <c r="Q444">
        <v>0.15421070000000001</v>
      </c>
      <c r="R444">
        <v>-1.0768959999999999E-2</v>
      </c>
      <c r="S444">
        <v>3.1705019999999999</v>
      </c>
      <c r="T444">
        <v>-0.88174819999999998</v>
      </c>
      <c r="U444">
        <v>-0.25646970000000002</v>
      </c>
      <c r="V444">
        <v>1.111143E-2</v>
      </c>
      <c r="W444">
        <v>0.1653287</v>
      </c>
      <c r="X444">
        <v>0.98617600000000005</v>
      </c>
      <c r="Y444">
        <v>7.7918150000000005E-2</v>
      </c>
      <c r="Z444">
        <v>-1.116021E-2</v>
      </c>
      <c r="AA444">
        <v>0.99689729999999999</v>
      </c>
      <c r="AB444">
        <v>28</v>
      </c>
      <c r="AC444">
        <v>0.57040000000000601</v>
      </c>
      <c r="AD444">
        <v>-0.20009940000000001</v>
      </c>
      <c r="AE444">
        <v>-5.8400000000005899E-2</v>
      </c>
      <c r="AF444">
        <v>5.2245561560714401E-2</v>
      </c>
      <c r="AG444">
        <v>-0.20009940000000001</v>
      </c>
      <c r="AH444">
        <v>0.50845501265267601</v>
      </c>
      <c r="AI444">
        <v>111.37948331625201</v>
      </c>
      <c r="AJ444">
        <v>84.133244631745697</v>
      </c>
      <c r="AK444">
        <v>0.54890424344760502</v>
      </c>
      <c r="AL444">
        <v>80.483670854510294</v>
      </c>
      <c r="AM444">
        <v>89.354465019317402</v>
      </c>
      <c r="AN444">
        <v>1.00000007294816</v>
      </c>
    </row>
    <row r="445" spans="1:40" x14ac:dyDescent="0.25">
      <c r="A445" t="str">
        <f>"20190303162752182"</f>
        <v>20190303162752182</v>
      </c>
      <c r="B445" t="str">
        <f>"1551601672172177"</f>
        <v>1551601672172177</v>
      </c>
      <c r="C445" t="s">
        <v>40</v>
      </c>
      <c r="D445">
        <v>4.7486030000000001</v>
      </c>
      <c r="E445">
        <v>0.52926569999999995</v>
      </c>
      <c r="F445" t="s">
        <v>44</v>
      </c>
      <c r="G445">
        <v>-377.32139999999998</v>
      </c>
      <c r="H445">
        <v>0.89729829999999999</v>
      </c>
      <c r="I445">
        <v>367.82479999999998</v>
      </c>
      <c r="J445">
        <v>-377.98</v>
      </c>
      <c r="K445">
        <v>1.1210910000000001</v>
      </c>
      <c r="L445">
        <v>367.89</v>
      </c>
      <c r="M445">
        <v>0.99993659999999995</v>
      </c>
      <c r="N445">
        <v>-1.1250069999999999E-2</v>
      </c>
      <c r="O445">
        <v>4.0813980000000002E-4</v>
      </c>
      <c r="P445">
        <v>0.98796589999999995</v>
      </c>
      <c r="Q445">
        <v>0.15430669999999999</v>
      </c>
      <c r="R445">
        <v>-1.062711E-2</v>
      </c>
      <c r="S445">
        <v>3.1707459999999998</v>
      </c>
      <c r="T445">
        <v>-0.87738039999999995</v>
      </c>
      <c r="U445">
        <v>-0.25466919999999998</v>
      </c>
      <c r="V445">
        <v>1.101188E-2</v>
      </c>
      <c r="W445">
        <v>0.1654129</v>
      </c>
      <c r="X445">
        <v>0.98616289999999995</v>
      </c>
      <c r="Y445">
        <v>7.7438999999999994E-2</v>
      </c>
      <c r="Z445">
        <v>-1.105133E-2</v>
      </c>
      <c r="AA445">
        <v>0.99693580000000004</v>
      </c>
      <c r="AB445">
        <v>28</v>
      </c>
      <c r="AC445">
        <v>0.65860000000003505</v>
      </c>
      <c r="AD445">
        <v>-0.22379270000000001</v>
      </c>
      <c r="AE445">
        <v>-6.5200000000004296E-2</v>
      </c>
      <c r="AF445">
        <v>5.8750997900960701E-2</v>
      </c>
      <c r="AG445">
        <v>-0.22379270000000001</v>
      </c>
      <c r="AH445">
        <v>0.59099652238143996</v>
      </c>
      <c r="AI445">
        <v>110.647049172783</v>
      </c>
      <c r="AJ445">
        <v>84.322875399142703</v>
      </c>
      <c r="AK445">
        <v>0.63467451642129502</v>
      </c>
      <c r="AL445">
        <v>80.478778278809401</v>
      </c>
      <c r="AM445">
        <v>89.360239543488902</v>
      </c>
      <c r="AN445">
        <v>0.99999997716197697</v>
      </c>
    </row>
    <row r="446" spans="1:40" x14ac:dyDescent="0.25">
      <c r="A446" t="str">
        <f>"20190303162752194"</f>
        <v>20190303162752194</v>
      </c>
      <c r="B446" t="str">
        <f>"1551601672191698"</f>
        <v>1551601672191698</v>
      </c>
      <c r="C446" t="s">
        <v>40</v>
      </c>
      <c r="D446">
        <v>4.7686919999999997</v>
      </c>
      <c r="E446">
        <v>0.52917650000000005</v>
      </c>
      <c r="F446" t="s">
        <v>44</v>
      </c>
      <c r="G446">
        <v>-377.30450000000002</v>
      </c>
      <c r="H446">
        <v>0.93375229999999998</v>
      </c>
      <c r="I446">
        <v>367.83600000000001</v>
      </c>
      <c r="J446">
        <v>-377.84429999999998</v>
      </c>
      <c r="K446">
        <v>1.1210899999999999</v>
      </c>
      <c r="L446">
        <v>367.89</v>
      </c>
      <c r="M446">
        <v>0.99993670000000001</v>
      </c>
      <c r="N446">
        <v>-1.123913E-2</v>
      </c>
      <c r="O446">
        <v>4.4664519999999998E-4</v>
      </c>
      <c r="P446">
        <v>0.9879327</v>
      </c>
      <c r="Q446">
        <v>0.15452479999999999</v>
      </c>
      <c r="R446">
        <v>-1.055384E-2</v>
      </c>
      <c r="S446">
        <v>3.171173</v>
      </c>
      <c r="T446">
        <v>-0.87952009999999903</v>
      </c>
      <c r="U446">
        <v>-0.2528687</v>
      </c>
      <c r="V446">
        <v>1.097631E-2</v>
      </c>
      <c r="W446">
        <v>0.16561979999999901</v>
      </c>
      <c r="X446">
        <v>0.98612860000000002</v>
      </c>
      <c r="Y446">
        <v>7.6910060000000002E-2</v>
      </c>
      <c r="Z446">
        <v>-1.100985E-2</v>
      </c>
      <c r="AA446">
        <v>0.99697729999999996</v>
      </c>
      <c r="AB446">
        <v>28</v>
      </c>
      <c r="AC446">
        <v>0.53979999999995698</v>
      </c>
      <c r="AD446">
        <v>-0.187337699999999</v>
      </c>
      <c r="AE446">
        <v>-5.3999999999973597E-2</v>
      </c>
      <c r="AF446">
        <v>4.8461994061303297E-2</v>
      </c>
      <c r="AG446">
        <v>-0.187337699999999</v>
      </c>
      <c r="AH446">
        <v>0.48226545104691698</v>
      </c>
      <c r="AI446">
        <v>111.131863331375</v>
      </c>
      <c r="AJ446">
        <v>84.261712533199301</v>
      </c>
      <c r="AK446">
        <v>0.51963828186842997</v>
      </c>
      <c r="AL446">
        <v>80.466758269988802</v>
      </c>
      <c r="AM446">
        <v>89.362283714639901</v>
      </c>
      <c r="AN446">
        <v>1.0000000066356001</v>
      </c>
    </row>
    <row r="447" spans="1:40" x14ac:dyDescent="0.25">
      <c r="A447" t="str">
        <f>"20190303162752206"</f>
        <v>20190303162752206</v>
      </c>
      <c r="B447" t="str">
        <f>"1551601672202434"</f>
        <v>1551601672202434</v>
      </c>
      <c r="C447" t="s">
        <v>40</v>
      </c>
      <c r="D447">
        <v>4.7834120000000002</v>
      </c>
      <c r="E447">
        <v>0.52906809999999904</v>
      </c>
      <c r="F447" t="s">
        <v>44</v>
      </c>
      <c r="G447">
        <v>-377.06880000000001</v>
      </c>
      <c r="H447">
        <v>0.90503860000000003</v>
      </c>
      <c r="I447">
        <v>367.82819999999998</v>
      </c>
      <c r="J447">
        <v>-377.69749999999999</v>
      </c>
      <c r="K447">
        <v>1.1210899999999999</v>
      </c>
      <c r="L447">
        <v>367.89019999999999</v>
      </c>
      <c r="M447">
        <v>0.99993690000000002</v>
      </c>
      <c r="N447">
        <v>-1.12274E-2</v>
      </c>
      <c r="O447">
        <v>4.8813449999999999E-4</v>
      </c>
      <c r="P447">
        <v>0.98788370000000003</v>
      </c>
      <c r="Q447">
        <v>0.1548407</v>
      </c>
      <c r="R447">
        <v>-1.049926E-2</v>
      </c>
      <c r="S447">
        <v>3.1722410000000001</v>
      </c>
      <c r="T447">
        <v>-0.88386609999999999</v>
      </c>
      <c r="U447">
        <v>-0.25161739999999999</v>
      </c>
      <c r="V447">
        <v>1.0962899999999999E-2</v>
      </c>
      <c r="W447">
        <v>0.16592309999999999</v>
      </c>
      <c r="X447">
        <v>0.98607769999999995</v>
      </c>
      <c r="Y447">
        <v>7.652109E-2</v>
      </c>
      <c r="Z447">
        <v>-1.1012070000000001E-2</v>
      </c>
      <c r="AA447">
        <v>0.99700710000000003</v>
      </c>
      <c r="AB447">
        <v>28</v>
      </c>
      <c r="AC447">
        <v>0.62869999999998005</v>
      </c>
      <c r="AD447">
        <v>-0.21605139999999901</v>
      </c>
      <c r="AE447">
        <v>-6.2000000000011803E-2</v>
      </c>
      <c r="AF447">
        <v>5.5782751118254599E-2</v>
      </c>
      <c r="AG447">
        <v>-0.21605139999999901</v>
      </c>
      <c r="AH447">
        <v>0.56284170664413302</v>
      </c>
      <c r="AI447">
        <v>110.906192971858</v>
      </c>
      <c r="AJ447">
        <v>84.339949097521</v>
      </c>
      <c r="AK447">
        <v>0.60545908986682295</v>
      </c>
      <c r="AL447">
        <v>80.449136060200999</v>
      </c>
      <c r="AM447">
        <v>89.363029887332203</v>
      </c>
      <c r="AN447">
        <v>0.999999945363653</v>
      </c>
    </row>
    <row r="448" spans="1:40" x14ac:dyDescent="0.25">
      <c r="A448" t="str">
        <f>"20190303162752218"</f>
        <v>20190303162752218</v>
      </c>
      <c r="B448" t="str">
        <f>"1551601672212194"</f>
        <v>1551601672212194</v>
      </c>
      <c r="C448" t="s">
        <v>40</v>
      </c>
      <c r="D448">
        <v>4.8144140000000002</v>
      </c>
      <c r="E448">
        <v>0.52899229999999997</v>
      </c>
      <c r="F448" t="s">
        <v>44</v>
      </c>
      <c r="G448">
        <v>-376.83019999999999</v>
      </c>
      <c r="H448">
        <v>0.87898399999999999</v>
      </c>
      <c r="I448">
        <v>367.82130000000001</v>
      </c>
      <c r="J448">
        <v>-377.54300000000001</v>
      </c>
      <c r="K448">
        <v>1.1210869999999999</v>
      </c>
      <c r="L448">
        <v>367.89030000000002</v>
      </c>
      <c r="M448">
        <v>0.99993690000000002</v>
      </c>
      <c r="N448">
        <v>-1.121541E-2</v>
      </c>
      <c r="O448">
        <v>5.3254419999999999E-4</v>
      </c>
      <c r="P448">
        <v>0.98787639999999999</v>
      </c>
      <c r="Q448">
        <v>0.15489530000000001</v>
      </c>
      <c r="R448">
        <v>-1.036774E-2</v>
      </c>
      <c r="S448">
        <v>3.173035</v>
      </c>
      <c r="T448">
        <v>-0.88576919999999904</v>
      </c>
      <c r="U448">
        <v>-0.25051879999999999</v>
      </c>
      <c r="V448">
        <v>1.0875259999999999E-2</v>
      </c>
      <c r="W448">
        <v>0.16596629999999901</v>
      </c>
      <c r="X448">
        <v>0.98607149999999999</v>
      </c>
      <c r="Y448">
        <v>7.6202599999999995E-2</v>
      </c>
      <c r="Z448">
        <v>-1.0997440000000001E-2</v>
      </c>
      <c r="AA448">
        <v>0.99703169999999997</v>
      </c>
      <c r="AB448">
        <v>28</v>
      </c>
      <c r="AC448">
        <v>0.71280000000001498</v>
      </c>
      <c r="AD448">
        <v>-0.24210300000000001</v>
      </c>
      <c r="AE448">
        <v>-6.9000000000016798E-2</v>
      </c>
      <c r="AF448">
        <v>6.2263424563026602E-2</v>
      </c>
      <c r="AG448">
        <v>-0.24210300000000001</v>
      </c>
      <c r="AH448">
        <v>0.63965585349926501</v>
      </c>
      <c r="AI448">
        <v>110.641845053859</v>
      </c>
      <c r="AJ448">
        <v>84.440404062868893</v>
      </c>
      <c r="AK448">
        <v>0.68676794302237898</v>
      </c>
      <c r="AL448">
        <v>80.446627028621606</v>
      </c>
      <c r="AM448">
        <v>89.368117588968104</v>
      </c>
      <c r="AN448">
        <v>1.000000043564</v>
      </c>
    </row>
    <row r="449" spans="1:40" x14ac:dyDescent="0.25">
      <c r="A449" t="str">
        <f>"20190303162752229"</f>
        <v>20190303162752229</v>
      </c>
      <c r="B449" t="str">
        <f>"1551601672221954"</f>
        <v>1551601672221954</v>
      </c>
      <c r="C449" t="s">
        <v>40</v>
      </c>
      <c r="D449">
        <v>4.8202429999999996</v>
      </c>
      <c r="E449">
        <v>0.52924259999999901</v>
      </c>
      <c r="F449" t="s">
        <v>44</v>
      </c>
      <c r="G449">
        <v>-376.81380000000001</v>
      </c>
      <c r="H449">
        <v>0.91741200000000001</v>
      </c>
      <c r="I449">
        <v>367.83260000000001</v>
      </c>
      <c r="J449">
        <v>-377.40179999999998</v>
      </c>
      <c r="K449">
        <v>1.121086</v>
      </c>
      <c r="L449">
        <v>367.8904</v>
      </c>
      <c r="M449">
        <v>0.99993710000000002</v>
      </c>
      <c r="N449">
        <v>-1.120488E-2</v>
      </c>
      <c r="O449">
        <v>5.7253730000000002E-4</v>
      </c>
      <c r="P449">
        <v>0.9879076</v>
      </c>
      <c r="Q449">
        <v>0.15470519999999999</v>
      </c>
      <c r="R449">
        <v>-1.0226280000000001E-2</v>
      </c>
      <c r="S449">
        <v>3.1732179999999999</v>
      </c>
      <c r="T449">
        <v>-0.88634460000000004</v>
      </c>
      <c r="U449">
        <v>-0.24948119999999999</v>
      </c>
      <c r="V449">
        <v>1.0773400000000001E-2</v>
      </c>
      <c r="W449">
        <v>0.16576649999999901</v>
      </c>
      <c r="X449">
        <v>0.98610620000000004</v>
      </c>
      <c r="Y449">
        <v>7.5920280000000007E-2</v>
      </c>
      <c r="Z449">
        <v>-1.0973460000000001E-2</v>
      </c>
      <c r="AA449">
        <v>0.99705350000000004</v>
      </c>
      <c r="AB449">
        <v>28</v>
      </c>
      <c r="AC449">
        <v>0.587999999999965</v>
      </c>
      <c r="AD449">
        <v>-0.20367399999999899</v>
      </c>
      <c r="AE449">
        <v>-5.7799999999986001E-2</v>
      </c>
      <c r="AF449">
        <v>5.1961837915615497E-2</v>
      </c>
      <c r="AG449">
        <v>-0.20367399999999899</v>
      </c>
      <c r="AH449">
        <v>0.52551753303189896</v>
      </c>
      <c r="AI449">
        <v>111.09100952097801</v>
      </c>
      <c r="AJ449">
        <v>84.353094019975401</v>
      </c>
      <c r="AK449">
        <v>0.56599629716059296</v>
      </c>
      <c r="AL449">
        <v>80.458235278508099</v>
      </c>
      <c r="AM449">
        <v>89.374057486231905</v>
      </c>
      <c r="AN449">
        <v>1.00000001817412</v>
      </c>
    </row>
    <row r="450" spans="1:40" x14ac:dyDescent="0.25">
      <c r="A450" t="str">
        <f>"20190303162752248"</f>
        <v>20190303162752248</v>
      </c>
      <c r="B450" t="str">
        <f>"1551601672242450"</f>
        <v>1551601672242450</v>
      </c>
      <c r="C450" t="s">
        <v>40</v>
      </c>
      <c r="D450">
        <v>4.752478</v>
      </c>
      <c r="E450">
        <v>0.52999370000000001</v>
      </c>
      <c r="F450" t="s">
        <v>44</v>
      </c>
      <c r="G450">
        <v>-376.57659999999998</v>
      </c>
      <c r="H450">
        <v>0.88942169999999898</v>
      </c>
      <c r="I450">
        <v>367.8252</v>
      </c>
      <c r="J450">
        <v>-377.16910000000001</v>
      </c>
      <c r="K450">
        <v>1.1210830000000001</v>
      </c>
      <c r="L450">
        <v>367.89060000000001</v>
      </c>
      <c r="M450">
        <v>0.99993730000000003</v>
      </c>
      <c r="N450">
        <v>-1.118851E-2</v>
      </c>
      <c r="O450">
        <v>6.3819449999999998E-4</v>
      </c>
      <c r="P450">
        <v>0.98789579999999999</v>
      </c>
      <c r="Q450">
        <v>0.1547897</v>
      </c>
      <c r="R450">
        <v>-1.011315E-2</v>
      </c>
      <c r="S450">
        <v>3.173645</v>
      </c>
      <c r="T450">
        <v>-0.89089680000000004</v>
      </c>
      <c r="U450">
        <v>-0.250946</v>
      </c>
      <c r="V450">
        <v>1.0724819999999999E-2</v>
      </c>
      <c r="W450">
        <v>0.16583419999999999</v>
      </c>
      <c r="X450">
        <v>0.98609530000000001</v>
      </c>
      <c r="Y450">
        <v>7.6382809999999995E-2</v>
      </c>
      <c r="Z450">
        <v>-1.11071E-2</v>
      </c>
      <c r="AA450">
        <v>0.99701669999999998</v>
      </c>
      <c r="AB450">
        <v>28</v>
      </c>
      <c r="AC450">
        <v>0.592500000000029</v>
      </c>
      <c r="AD450">
        <v>-0.23166129999999999</v>
      </c>
      <c r="AE450">
        <v>-6.5400000000010894E-2</v>
      </c>
      <c r="AF450">
        <v>5.7147065919873799E-2</v>
      </c>
      <c r="AG450">
        <v>-0.23166129999999999</v>
      </c>
      <c r="AH450">
        <v>0.51471878084689804</v>
      </c>
      <c r="AI450">
        <v>114.100159128296</v>
      </c>
      <c r="AJ450">
        <v>83.664636491467903</v>
      </c>
      <c r="AK450">
        <v>0.56733426515367302</v>
      </c>
      <c r="AL450">
        <v>80.454301470674693</v>
      </c>
      <c r="AM450">
        <v>89.376872909889698</v>
      </c>
      <c r="AN450">
        <v>0.99999997216787995</v>
      </c>
    </row>
    <row r="451" spans="1:40" x14ac:dyDescent="0.25">
      <c r="A451" t="str">
        <f>"20190303162752260"</f>
        <v>20190303162752260</v>
      </c>
      <c r="B451" t="str">
        <f>"1551601672252210"</f>
        <v>1551601672252210</v>
      </c>
      <c r="C451" t="s">
        <v>40</v>
      </c>
      <c r="D451">
        <v>4.7349809999999897</v>
      </c>
      <c r="E451">
        <v>0.53054840000000003</v>
      </c>
      <c r="F451" t="s">
        <v>44</v>
      </c>
      <c r="G451">
        <v>-376.32990000000001</v>
      </c>
      <c r="H451">
        <v>0.8820829</v>
      </c>
      <c r="I451">
        <v>367.82249999999999</v>
      </c>
      <c r="J451">
        <v>-377.00740000000002</v>
      </c>
      <c r="K451">
        <v>1.1210830000000001</v>
      </c>
      <c r="L451">
        <v>367.89069999999998</v>
      </c>
      <c r="M451">
        <v>0.99993739999999998</v>
      </c>
      <c r="N451">
        <v>-1.1177980000000001E-2</v>
      </c>
      <c r="O451">
        <v>6.8408830000000001E-4</v>
      </c>
      <c r="P451">
        <v>0.98793229999999999</v>
      </c>
      <c r="Q451">
        <v>0.15457190000000001</v>
      </c>
      <c r="R451">
        <v>-9.8651060000000002E-3</v>
      </c>
      <c r="S451">
        <v>3.1758730000000002</v>
      </c>
      <c r="T451">
        <v>-0.90452719999999998</v>
      </c>
      <c r="U451">
        <v>-0.25634770000000001</v>
      </c>
      <c r="V451">
        <v>1.052238E-2</v>
      </c>
      <c r="W451">
        <v>0.16560659999999999</v>
      </c>
      <c r="X451">
        <v>0.98613580000000001</v>
      </c>
      <c r="Y451">
        <v>7.7907569999999995E-2</v>
      </c>
      <c r="Z451">
        <v>-1.148973E-2</v>
      </c>
      <c r="AA451">
        <v>0.99689439999999996</v>
      </c>
      <c r="AB451">
        <v>28</v>
      </c>
      <c r="AC451">
        <v>0.67750000000000898</v>
      </c>
      <c r="AD451">
        <v>-0.23900009999999999</v>
      </c>
      <c r="AE451">
        <v>-6.8199999999990199E-2</v>
      </c>
      <c r="AF451">
        <v>6.1132200666704897E-2</v>
      </c>
      <c r="AG451">
        <v>-0.23900009999999999</v>
      </c>
      <c r="AH451">
        <v>0.60314744168140999</v>
      </c>
      <c r="AI451">
        <v>111.516097329087</v>
      </c>
      <c r="AJ451">
        <v>84.212532082724493</v>
      </c>
      <c r="AK451">
        <v>0.65164793421386202</v>
      </c>
      <c r="AL451">
        <v>80.4675254974551</v>
      </c>
      <c r="AM451">
        <v>89.388659163103</v>
      </c>
      <c r="AN451">
        <v>1.0000000412430301</v>
      </c>
    </row>
    <row r="452" spans="1:40" x14ac:dyDescent="0.25">
      <c r="A452" t="str">
        <f>"20190303162752272"</f>
        <v>20190303162752272</v>
      </c>
      <c r="B452" t="str">
        <f>"1551601672261969"</f>
        <v>1551601672261969</v>
      </c>
      <c r="C452" t="s">
        <v>40</v>
      </c>
      <c r="D452">
        <v>4.7357110000000002</v>
      </c>
      <c r="E452">
        <v>0.53096869999999996</v>
      </c>
      <c r="F452" t="s">
        <v>44</v>
      </c>
      <c r="G452">
        <v>-376.31259999999997</v>
      </c>
      <c r="H452">
        <v>0.92197910000000005</v>
      </c>
      <c r="I452">
        <v>367.83359999999999</v>
      </c>
      <c r="J452">
        <v>-376.8623</v>
      </c>
      <c r="K452">
        <v>1.1210819999999999</v>
      </c>
      <c r="L452">
        <v>367.89089999999999</v>
      </c>
      <c r="M452">
        <v>0.99993750000000003</v>
      </c>
      <c r="N452">
        <v>-1.116934E-2</v>
      </c>
      <c r="O452">
        <v>7.2526310000000001E-4</v>
      </c>
      <c r="P452">
        <v>0.98792199999999997</v>
      </c>
      <c r="Q452">
        <v>0.154645899999999</v>
      </c>
      <c r="R452">
        <v>-9.7440110000000003E-3</v>
      </c>
      <c r="S452">
        <v>3.1764830000000002</v>
      </c>
      <c r="T452">
        <v>-0.91023759999999998</v>
      </c>
      <c r="U452">
        <v>-0.25949100000000003</v>
      </c>
      <c r="V452">
        <v>1.0441850000000001E-2</v>
      </c>
      <c r="W452">
        <v>0.1656715</v>
      </c>
      <c r="X452">
        <v>0.98612569999999999</v>
      </c>
      <c r="Y452">
        <v>7.883532E-2</v>
      </c>
      <c r="Z452">
        <v>-1.170063E-2</v>
      </c>
      <c r="AA452">
        <v>0.99681900000000001</v>
      </c>
      <c r="AB452">
        <v>28</v>
      </c>
      <c r="AC452">
        <v>0.54970000000002905</v>
      </c>
      <c r="AD452">
        <v>-0.1991029</v>
      </c>
      <c r="AE452">
        <v>-5.7299999999997901E-2</v>
      </c>
      <c r="AF452">
        <v>5.1070694495259097E-2</v>
      </c>
      <c r="AG452">
        <v>-0.1991029</v>
      </c>
      <c r="AH452">
        <v>0.486517673053943</v>
      </c>
      <c r="AI452">
        <v>112.146547697738</v>
      </c>
      <c r="AJ452">
        <v>84.007498348648994</v>
      </c>
      <c r="AK452">
        <v>0.52815682028963895</v>
      </c>
      <c r="AL452">
        <v>80.463754395945799</v>
      </c>
      <c r="AM452">
        <v>89.393331319782106</v>
      </c>
      <c r="AN452">
        <v>0.99999998717208105</v>
      </c>
    </row>
    <row r="453" spans="1:40" x14ac:dyDescent="0.25">
      <c r="A453" t="str">
        <f>"20190303162752286"</f>
        <v>20190303162752286</v>
      </c>
      <c r="B453" t="str">
        <f>"1551601672282466"</f>
        <v>1551601672282466</v>
      </c>
      <c r="C453" t="s">
        <v>40</v>
      </c>
      <c r="D453">
        <v>4.7733600000000003</v>
      </c>
      <c r="E453">
        <v>0.5317094</v>
      </c>
      <c r="F453" t="s">
        <v>44</v>
      </c>
      <c r="G453">
        <v>-376.07510000000002</v>
      </c>
      <c r="H453">
        <v>0.89457549999999997</v>
      </c>
      <c r="I453">
        <v>367.82580000000002</v>
      </c>
      <c r="J453">
        <v>-376.69810000000001</v>
      </c>
      <c r="K453">
        <v>1.121084</v>
      </c>
      <c r="L453">
        <v>367.89109999999999</v>
      </c>
      <c r="M453">
        <v>0.99993750000000003</v>
      </c>
      <c r="N453">
        <v>-1.115999E-2</v>
      </c>
      <c r="O453">
        <v>7.7198519999999995E-4</v>
      </c>
      <c r="P453">
        <v>0.98788149999999997</v>
      </c>
      <c r="Q453">
        <v>0.1549247</v>
      </c>
      <c r="R453">
        <v>-9.4425659999999995E-3</v>
      </c>
      <c r="S453">
        <v>3.1771850000000001</v>
      </c>
      <c r="T453">
        <v>-0.91414980000000001</v>
      </c>
      <c r="U453">
        <v>-0.26257320000000001</v>
      </c>
      <c r="V453">
        <v>1.018616E-2</v>
      </c>
      <c r="W453">
        <v>0.16594100000000001</v>
      </c>
      <c r="X453">
        <v>0.98608309999999999</v>
      </c>
      <c r="Y453">
        <v>7.9758469999999998E-2</v>
      </c>
      <c r="Z453">
        <v>-1.189191E-2</v>
      </c>
      <c r="AA453">
        <v>0.9967433</v>
      </c>
      <c r="AB453">
        <v>28</v>
      </c>
      <c r="AC453">
        <v>0.62299999999999001</v>
      </c>
      <c r="AD453">
        <v>-0.2265085</v>
      </c>
      <c r="AE453">
        <v>-6.5299999999979194E-2</v>
      </c>
      <c r="AF453">
        <v>5.8174532705345998E-2</v>
      </c>
      <c r="AG453">
        <v>-0.2265085</v>
      </c>
      <c r="AH453">
        <v>0.55091612830374803</v>
      </c>
      <c r="AI453">
        <v>112.238451415518</v>
      </c>
      <c r="AJ453">
        <v>83.9721339373353</v>
      </c>
      <c r="AK453">
        <v>0.59849724916070202</v>
      </c>
      <c r="AL453">
        <v>80.448096832598594</v>
      </c>
      <c r="AM453">
        <v>89.408160204953603</v>
      </c>
      <c r="AN453">
        <v>1.00000002672107</v>
      </c>
    </row>
    <row r="454" spans="1:40" x14ac:dyDescent="0.25">
      <c r="A454" t="str">
        <f>"20190303162752303"</f>
        <v>20190303162752303</v>
      </c>
      <c r="B454" t="str">
        <f>"1551601672292226"</f>
        <v>1551601672292226</v>
      </c>
      <c r="C454" t="s">
        <v>40</v>
      </c>
      <c r="D454">
        <v>4.7579609999999999</v>
      </c>
      <c r="E454">
        <v>0.53201390000000004</v>
      </c>
      <c r="F454" t="s">
        <v>44</v>
      </c>
      <c r="G454">
        <v>-375.83449999999999</v>
      </c>
      <c r="H454">
        <v>0.87115810000000005</v>
      </c>
      <c r="I454">
        <v>367.81819999999999</v>
      </c>
      <c r="J454">
        <v>-376.47910000000002</v>
      </c>
      <c r="K454">
        <v>1.1210869999999999</v>
      </c>
      <c r="L454">
        <v>367.8913</v>
      </c>
      <c r="M454">
        <v>0.99993770000000004</v>
      </c>
      <c r="N454">
        <v>-1.1148740000000001E-2</v>
      </c>
      <c r="O454">
        <v>8.3391610000000001E-4</v>
      </c>
      <c r="P454">
        <v>0.98787440000000004</v>
      </c>
      <c r="Q454">
        <v>0.15496879999999999</v>
      </c>
      <c r="R454">
        <v>-9.4442080000000008E-3</v>
      </c>
      <c r="S454">
        <v>3.1785580000000002</v>
      </c>
      <c r="T454">
        <v>-0.91992549999999995</v>
      </c>
      <c r="U454">
        <v>-0.26742549999999998</v>
      </c>
      <c r="V454">
        <v>1.024915E-2</v>
      </c>
      <c r="W454">
        <v>0.16597390000000001</v>
      </c>
      <c r="X454">
        <v>0.98607690000000003</v>
      </c>
      <c r="Y454">
        <v>8.1194890000000006E-2</v>
      </c>
      <c r="Z454">
        <v>-1.218402E-2</v>
      </c>
      <c r="AA454">
        <v>0.99662379999999995</v>
      </c>
      <c r="AB454">
        <v>28</v>
      </c>
      <c r="AC454">
        <v>0.64460000000002504</v>
      </c>
      <c r="AD454">
        <v>-0.24992890000000001</v>
      </c>
      <c r="AE454">
        <v>-7.3100000000010795E-2</v>
      </c>
      <c r="AF454">
        <v>6.4120551413766297E-2</v>
      </c>
      <c r="AG454">
        <v>-0.24992890000000001</v>
      </c>
      <c r="AH454">
        <v>0.56123790064938295</v>
      </c>
      <c r="AI454">
        <v>113.866470374933</v>
      </c>
      <c r="AJ454">
        <v>83.482306704680795</v>
      </c>
      <c r="AK454">
        <v>0.61770857311044503</v>
      </c>
      <c r="AL454">
        <v>80.446185196774394</v>
      </c>
      <c r="AM454">
        <v>89.404496856958502</v>
      </c>
      <c r="AN454">
        <v>1.0000000166352701</v>
      </c>
    </row>
    <row r="455" spans="1:40" x14ac:dyDescent="0.25">
      <c r="A455" t="str">
        <f>"20190303162752318"</f>
        <v>20190303162752318</v>
      </c>
      <c r="B455" t="str">
        <f>"1551601672311746"</f>
        <v>1551601672311746</v>
      </c>
      <c r="C455" t="s">
        <v>40</v>
      </c>
      <c r="D455">
        <v>4.8044570000000002</v>
      </c>
      <c r="E455">
        <v>0.53229839999999995</v>
      </c>
      <c r="F455" t="s">
        <v>44</v>
      </c>
      <c r="G455">
        <v>-375.58789999999999</v>
      </c>
      <c r="H455">
        <v>0.86246089999999997</v>
      </c>
      <c r="I455">
        <v>367.81580000000002</v>
      </c>
      <c r="J455">
        <v>-376.28769999999997</v>
      </c>
      <c r="K455">
        <v>1.1210770000000001</v>
      </c>
      <c r="L455">
        <v>367.89150000000001</v>
      </c>
      <c r="M455">
        <v>0.99993779999999999</v>
      </c>
      <c r="N455">
        <v>-1.114016E-2</v>
      </c>
      <c r="O455">
        <v>8.8820320000000002E-4</v>
      </c>
      <c r="P455">
        <v>0.98790029999999995</v>
      </c>
      <c r="Q455">
        <v>0.1548052</v>
      </c>
      <c r="R455">
        <v>-9.4295439999999998E-3</v>
      </c>
      <c r="S455">
        <v>3.178925</v>
      </c>
      <c r="T455">
        <v>-0.92246709999999998</v>
      </c>
      <c r="U455">
        <v>-0.26858520000000002</v>
      </c>
      <c r="V455">
        <v>1.0288210000000001E-2</v>
      </c>
      <c r="W455">
        <v>0.165801799999999</v>
      </c>
      <c r="X455">
        <v>0.98610540000000002</v>
      </c>
      <c r="Y455">
        <v>8.1565040000000005E-2</v>
      </c>
      <c r="Z455">
        <v>-1.228285E-2</v>
      </c>
      <c r="AA455">
        <v>0.99659229999999999</v>
      </c>
      <c r="AB455">
        <v>28</v>
      </c>
      <c r="AC455">
        <v>0.69979999999998199</v>
      </c>
      <c r="AD455">
        <v>-0.25861610000000002</v>
      </c>
      <c r="AE455">
        <v>-7.5699999999983406E-2</v>
      </c>
      <c r="AF455">
        <v>6.7244099427294798E-2</v>
      </c>
      <c r="AG455">
        <v>-0.25861610000000002</v>
      </c>
      <c r="AH455">
        <v>0.61650826497284705</v>
      </c>
      <c r="AI455">
        <v>112.63672155978099</v>
      </c>
      <c r="AJ455">
        <v>83.775213140161199</v>
      </c>
      <c r="AK455">
        <v>0.67192744910952096</v>
      </c>
      <c r="AL455">
        <v>80.4561839124854</v>
      </c>
      <c r="AM455">
        <v>89.402244805733105</v>
      </c>
      <c r="AN455">
        <v>0.99999997202870095</v>
      </c>
    </row>
    <row r="456" spans="1:40" x14ac:dyDescent="0.25">
      <c r="A456" t="str">
        <f>"20190303162752338"</f>
        <v>20190303162752338</v>
      </c>
      <c r="B456" t="str">
        <f>"1551601672332242"</f>
        <v>1551601672332242</v>
      </c>
      <c r="C456" t="s">
        <v>40</v>
      </c>
      <c r="D456">
        <v>4.7757560000000003</v>
      </c>
      <c r="E456">
        <v>0.53270930000000005</v>
      </c>
      <c r="F456" t="s">
        <v>44</v>
      </c>
      <c r="G456">
        <v>-375.56810000000002</v>
      </c>
      <c r="H456">
        <v>0.91072209999999998</v>
      </c>
      <c r="I456">
        <v>367.83</v>
      </c>
      <c r="J456">
        <v>-376.0514</v>
      </c>
      <c r="K456">
        <v>1.1210719999999901</v>
      </c>
      <c r="L456">
        <v>367.89179999999999</v>
      </c>
      <c r="M456">
        <v>0.99993770000000004</v>
      </c>
      <c r="N456">
        <v>-1.113076E-2</v>
      </c>
      <c r="O456">
        <v>9.5530940000000003E-4</v>
      </c>
      <c r="P456">
        <v>0.9879677</v>
      </c>
      <c r="Q456">
        <v>0.15436140000000001</v>
      </c>
      <c r="R456">
        <v>-9.6108760000000008E-3</v>
      </c>
      <c r="S456">
        <v>3.1798099999999998</v>
      </c>
      <c r="T456">
        <v>-0.92952950000000001</v>
      </c>
      <c r="U456">
        <v>-0.27050780000000002</v>
      </c>
      <c r="V456">
        <v>1.053608E-2</v>
      </c>
      <c r="W456">
        <v>0.16534989999999999</v>
      </c>
      <c r="X456">
        <v>0.98617869999999996</v>
      </c>
      <c r="Y456">
        <v>8.2130190000000006E-2</v>
      </c>
      <c r="Z456">
        <v>-1.246854E-2</v>
      </c>
      <c r="AA456">
        <v>0.99654359999999997</v>
      </c>
      <c r="AB456">
        <v>28</v>
      </c>
      <c r="AC456">
        <v>0.48329999999998502</v>
      </c>
      <c r="AD456">
        <v>-0.21034989999999901</v>
      </c>
      <c r="AE456">
        <v>-6.1800000000005101E-2</v>
      </c>
      <c r="AF456">
        <v>5.2480251507879098E-2</v>
      </c>
      <c r="AG456">
        <v>-0.21034989999999901</v>
      </c>
      <c r="AH456">
        <v>0.40732255764883402</v>
      </c>
      <c r="AI456">
        <v>117.120944837837</v>
      </c>
      <c r="AJ456">
        <v>82.658343563945706</v>
      </c>
      <c r="AK456">
        <v>0.46142488359203998</v>
      </c>
      <c r="AL456">
        <v>80.482438660667</v>
      </c>
      <c r="AM456">
        <v>89.387889892606594</v>
      </c>
      <c r="AN456">
        <v>1.00000001337273</v>
      </c>
    </row>
    <row r="457" spans="1:40" x14ac:dyDescent="0.25">
      <c r="A457" t="str">
        <f>"20190303162752360"</f>
        <v>20190303162752360</v>
      </c>
      <c r="B457" t="str">
        <f>"1551601672351762"</f>
        <v>1551601672351762</v>
      </c>
      <c r="C457" t="s">
        <v>40</v>
      </c>
      <c r="D457">
        <v>4.7770250000000001</v>
      </c>
      <c r="E457">
        <v>0.53312409999999999</v>
      </c>
      <c r="F457" t="s">
        <v>44</v>
      </c>
      <c r="G457">
        <v>-375.32</v>
      </c>
      <c r="H457">
        <v>0.90605570000000002</v>
      </c>
      <c r="I457">
        <v>367.82819999999998</v>
      </c>
      <c r="J457">
        <v>-375.7679</v>
      </c>
      <c r="K457">
        <v>1.121073</v>
      </c>
      <c r="L457">
        <v>367.89210000000003</v>
      </c>
      <c r="M457">
        <v>0.99993779999999999</v>
      </c>
      <c r="N457">
        <v>-1.1121199999999999E-2</v>
      </c>
      <c r="O457">
        <v>1.0360619999999999E-3</v>
      </c>
      <c r="P457">
        <v>0.98802509999999999</v>
      </c>
      <c r="Q457">
        <v>0.15396360000000001</v>
      </c>
      <c r="R457">
        <v>-1.0097190000000001E-2</v>
      </c>
      <c r="S457">
        <v>3.1799010000000001</v>
      </c>
      <c r="T457">
        <v>-0.93488349999999998</v>
      </c>
      <c r="U457">
        <v>-0.27493289999999998</v>
      </c>
      <c r="V457">
        <v>1.110213E-2</v>
      </c>
      <c r="W457">
        <v>0.16494310000000001</v>
      </c>
      <c r="X457">
        <v>0.98624060000000002</v>
      </c>
      <c r="Y457">
        <v>8.3483429999999997E-2</v>
      </c>
      <c r="Z457">
        <v>-1.2758159999999999E-2</v>
      </c>
      <c r="AA457">
        <v>0.99642750000000002</v>
      </c>
      <c r="AB457">
        <v>28</v>
      </c>
      <c r="AC457">
        <v>0.44790000000000402</v>
      </c>
      <c r="AD457">
        <v>-0.21501729999999999</v>
      </c>
      <c r="AE457">
        <v>-6.3900000000046406E-2</v>
      </c>
      <c r="AF457">
        <v>5.2505336212537203E-2</v>
      </c>
      <c r="AG457">
        <v>-0.21501729999999999</v>
      </c>
      <c r="AH457">
        <v>0.36532276096752703</v>
      </c>
      <c r="AI457">
        <v>120.224298672868</v>
      </c>
      <c r="AJ457">
        <v>81.821277639567697</v>
      </c>
      <c r="AK457">
        <v>0.42714162675981199</v>
      </c>
      <c r="AL457">
        <v>80.506070973237499</v>
      </c>
      <c r="AM457">
        <v>89.355047515322397</v>
      </c>
      <c r="AN457">
        <v>1.00000000230825</v>
      </c>
    </row>
    <row r="458" spans="1:40" x14ac:dyDescent="0.25">
      <c r="A458" t="str">
        <f>"20190303162752374"</f>
        <v>20190303162752374</v>
      </c>
      <c r="B458" t="str">
        <f>"1551601672362499"</f>
        <v>1551601672362499</v>
      </c>
      <c r="C458" t="s">
        <v>40</v>
      </c>
      <c r="D458">
        <v>4.8241120000000004</v>
      </c>
      <c r="E458">
        <v>0.53329859999999996</v>
      </c>
      <c r="F458" t="s">
        <v>44</v>
      </c>
      <c r="G458">
        <v>-375.06610000000001</v>
      </c>
      <c r="H458">
        <v>0.91383230000000004</v>
      </c>
      <c r="I458">
        <v>367.83019999999999</v>
      </c>
      <c r="J458">
        <v>-375.6087</v>
      </c>
      <c r="K458">
        <v>1.1210739999999999</v>
      </c>
      <c r="L458">
        <v>367.89229999999998</v>
      </c>
      <c r="M458">
        <v>0.99993770000000004</v>
      </c>
      <c r="N458">
        <v>-1.111672E-2</v>
      </c>
      <c r="O458">
        <v>1.081268E-3</v>
      </c>
      <c r="P458">
        <v>0.98802389999999995</v>
      </c>
      <c r="Q458">
        <v>0.15394140000000001</v>
      </c>
      <c r="R458">
        <v>-1.052962E-2</v>
      </c>
      <c r="S458">
        <v>3.17984</v>
      </c>
      <c r="T458">
        <v>-0.93899869999999996</v>
      </c>
      <c r="U458">
        <v>-0.27978520000000001</v>
      </c>
      <c r="V458">
        <v>1.15792E-2</v>
      </c>
      <c r="W458">
        <v>0.1649167</v>
      </c>
      <c r="X458">
        <v>0.98623959999999999</v>
      </c>
      <c r="Y458">
        <v>8.4942210000000004E-2</v>
      </c>
      <c r="Z458">
        <v>-1.304082E-2</v>
      </c>
      <c r="AA458">
        <v>0.99630050000000003</v>
      </c>
      <c r="AB458">
        <v>28</v>
      </c>
      <c r="AC458">
        <v>0.54259999999999298</v>
      </c>
      <c r="AD458">
        <v>-0.207241699999999</v>
      </c>
      <c r="AE458">
        <v>-6.2099999999986701E-2</v>
      </c>
      <c r="AF458">
        <v>5.47963722033405E-2</v>
      </c>
      <c r="AG458">
        <v>-0.207241699999999</v>
      </c>
      <c r="AH458">
        <v>0.47424440087185099</v>
      </c>
      <c r="AI458">
        <v>113.465919894923</v>
      </c>
      <c r="AJ458">
        <v>83.409010383429404</v>
      </c>
      <c r="AK458">
        <v>0.52044165511980101</v>
      </c>
      <c r="AL458">
        <v>80.507605253839401</v>
      </c>
      <c r="AM458">
        <v>89.327335052614302</v>
      </c>
      <c r="AN458">
        <v>1.0000000722098401</v>
      </c>
    </row>
    <row r="459" spans="1:40" x14ac:dyDescent="0.25">
      <c r="A459" t="str">
        <f>"20190303162752387"</f>
        <v>20190303162752387</v>
      </c>
      <c r="B459" t="str">
        <f>"1551601672382019"</f>
        <v>1551601672382019</v>
      </c>
      <c r="C459" t="s">
        <v>40</v>
      </c>
      <c r="D459">
        <v>4.8142550000000002</v>
      </c>
      <c r="E459">
        <v>0.53338769999999902</v>
      </c>
      <c r="F459" t="s">
        <v>44</v>
      </c>
      <c r="G459">
        <v>-374.82600000000002</v>
      </c>
      <c r="H459">
        <v>0.88958110000000001</v>
      </c>
      <c r="I459">
        <v>367.82240000000002</v>
      </c>
      <c r="J459">
        <v>-375.42680000000001</v>
      </c>
      <c r="K459">
        <v>1.1210709999999999</v>
      </c>
      <c r="L459">
        <v>367.89260000000002</v>
      </c>
      <c r="M459">
        <v>0.99993770000000004</v>
      </c>
      <c r="N459">
        <v>-1.11121E-2</v>
      </c>
      <c r="O459">
        <v>1.1326730000000001E-3</v>
      </c>
      <c r="P459">
        <v>0.98800410000000005</v>
      </c>
      <c r="Q459">
        <v>0.1540482</v>
      </c>
      <c r="R459">
        <v>-1.08162E-2</v>
      </c>
      <c r="S459">
        <v>3.179932</v>
      </c>
      <c r="T459">
        <v>-0.94059420000000005</v>
      </c>
      <c r="U459">
        <v>-0.28259279999999998</v>
      </c>
      <c r="V459">
        <v>1.191655E-2</v>
      </c>
      <c r="W459">
        <v>0.16501879999999999</v>
      </c>
      <c r="X459">
        <v>0.9862185</v>
      </c>
      <c r="Y459">
        <v>8.5811490000000004E-2</v>
      </c>
      <c r="Z459">
        <v>-1.320524E-2</v>
      </c>
      <c r="AA459">
        <v>0.99622390000000005</v>
      </c>
      <c r="AB459">
        <v>28</v>
      </c>
      <c r="AC459">
        <v>0.60080000000004896</v>
      </c>
      <c r="AD459">
        <v>-0.231489899999999</v>
      </c>
      <c r="AE459">
        <v>-7.0199999999999804E-2</v>
      </c>
      <c r="AF459">
        <v>6.1825609575819201E-2</v>
      </c>
      <c r="AG459">
        <v>-0.231489899999999</v>
      </c>
      <c r="AH459">
        <v>0.52397884501297498</v>
      </c>
      <c r="AI459">
        <v>113.689407362186</v>
      </c>
      <c r="AJ459">
        <v>83.2706380056661</v>
      </c>
      <c r="AK459">
        <v>0.57616300629471395</v>
      </c>
      <c r="AL459">
        <v>80.501674062581003</v>
      </c>
      <c r="AM459">
        <v>89.307724610646105</v>
      </c>
      <c r="AN459">
        <v>1.0000000691297899</v>
      </c>
    </row>
    <row r="460" spans="1:40" x14ac:dyDescent="0.25">
      <c r="A460" t="str">
        <f>"20190303162752404"</f>
        <v>20190303162752404</v>
      </c>
      <c r="B460" t="str">
        <f>"1551601672391778"</f>
        <v>1551601672391778</v>
      </c>
      <c r="C460" t="s">
        <v>40</v>
      </c>
      <c r="D460">
        <v>4.8360219999999998</v>
      </c>
      <c r="E460">
        <v>0.5334255</v>
      </c>
      <c r="F460" t="s">
        <v>44</v>
      </c>
      <c r="G460">
        <v>-374.5829</v>
      </c>
      <c r="H460">
        <v>0.87048999999999999</v>
      </c>
      <c r="I460">
        <v>367.81720000000001</v>
      </c>
      <c r="J460">
        <v>-375.21690000000001</v>
      </c>
      <c r="K460">
        <v>1.121073</v>
      </c>
      <c r="L460">
        <v>367.8929</v>
      </c>
      <c r="M460">
        <v>0.99993759999999998</v>
      </c>
      <c r="N460">
        <v>-1.1107529999999999E-2</v>
      </c>
      <c r="O460">
        <v>1.192362E-3</v>
      </c>
      <c r="P460">
        <v>0.98798799999999998</v>
      </c>
      <c r="Q460">
        <v>0.1541043</v>
      </c>
      <c r="R460">
        <v>-1.147571E-2</v>
      </c>
      <c r="S460">
        <v>3.1806030000000001</v>
      </c>
      <c r="T460">
        <v>-0.94456969999999996</v>
      </c>
      <c r="U460">
        <v>-0.28414919999999999</v>
      </c>
      <c r="V460">
        <v>1.26347E-2</v>
      </c>
      <c r="W460">
        <v>0.16506999999999999</v>
      </c>
      <c r="X460">
        <v>0.98620090000000005</v>
      </c>
      <c r="Y460">
        <v>8.6283200000000004E-2</v>
      </c>
      <c r="Z460">
        <v>-1.334167E-2</v>
      </c>
      <c r="AA460">
        <v>0.99618130000000005</v>
      </c>
      <c r="AB460">
        <v>28</v>
      </c>
      <c r="AC460">
        <v>0.634000000000014</v>
      </c>
      <c r="AD460">
        <v>-0.250583</v>
      </c>
      <c r="AE460">
        <v>-7.5699999999983406E-2</v>
      </c>
      <c r="AF460">
        <v>6.6251846361215699E-2</v>
      </c>
      <c r="AG460">
        <v>-0.250583</v>
      </c>
      <c r="AH460">
        <v>0.54930532118455</v>
      </c>
      <c r="AI460">
        <v>114.365743853439</v>
      </c>
      <c r="AJ460">
        <v>83.122761266699001</v>
      </c>
      <c r="AK460">
        <v>0.60738577767093904</v>
      </c>
      <c r="AL460">
        <v>80.498698853990206</v>
      </c>
      <c r="AM460">
        <v>89.265996022806405</v>
      </c>
      <c r="AN460">
        <v>0.99999997785244898</v>
      </c>
    </row>
    <row r="461" spans="1:40" x14ac:dyDescent="0.25">
      <c r="A461" t="str">
        <f>"20190303162752418"</f>
        <v>20190303162752418</v>
      </c>
      <c r="B461" t="str">
        <f>"1551601672412275"</f>
        <v>1551601672412275</v>
      </c>
      <c r="C461" t="s">
        <v>40</v>
      </c>
      <c r="D461">
        <v>4.8220460000000003</v>
      </c>
      <c r="E461">
        <v>0.53357719999999997</v>
      </c>
      <c r="F461" t="s">
        <v>44</v>
      </c>
      <c r="G461">
        <v>-374.33659999999998</v>
      </c>
      <c r="H461">
        <v>0.85922809999999905</v>
      </c>
      <c r="I461">
        <v>367.81330000000003</v>
      </c>
      <c r="J461">
        <v>-375.0419</v>
      </c>
      <c r="K461">
        <v>1.1210719999999901</v>
      </c>
      <c r="L461">
        <v>367.8931</v>
      </c>
      <c r="M461">
        <v>0.99993770000000004</v>
      </c>
      <c r="N461">
        <v>-1.110442E-2</v>
      </c>
      <c r="O461">
        <v>1.2419099999999999E-3</v>
      </c>
      <c r="P461">
        <v>0.98796019999999896</v>
      </c>
      <c r="Q461">
        <v>0.15429809999999999</v>
      </c>
      <c r="R461">
        <v>-1.127707E-2</v>
      </c>
      <c r="S461">
        <v>3.1807249999999998</v>
      </c>
      <c r="T461">
        <v>-0.94607110000000005</v>
      </c>
      <c r="U461">
        <v>-0.28656009999999998</v>
      </c>
      <c r="V461">
        <v>1.248497E-2</v>
      </c>
      <c r="W461">
        <v>0.1652605</v>
      </c>
      <c r="X461">
        <v>0.98617089999999996</v>
      </c>
      <c r="Y461">
        <v>8.7031510000000006E-2</v>
      </c>
      <c r="Z461">
        <v>-1.348715E-2</v>
      </c>
      <c r="AA461">
        <v>0.99611430000000001</v>
      </c>
      <c r="AB461">
        <v>28</v>
      </c>
      <c r="AC461">
        <v>0.70530000000002202</v>
      </c>
      <c r="AD461">
        <v>-0.26184389999999902</v>
      </c>
      <c r="AE461">
        <v>-7.9799999999977403E-2</v>
      </c>
      <c r="AF461">
        <v>7.1012163435352896E-2</v>
      </c>
      <c r="AG461">
        <v>-0.26184389999999902</v>
      </c>
      <c r="AH461">
        <v>0.62072806213622</v>
      </c>
      <c r="AI461">
        <v>112.738553189616</v>
      </c>
      <c r="AJ461">
        <v>83.473655113898204</v>
      </c>
      <c r="AK461">
        <v>0.67742769536413705</v>
      </c>
      <c r="AL461">
        <v>80.487631993792405</v>
      </c>
      <c r="AM461">
        <v>89.274671484663997</v>
      </c>
      <c r="AN461">
        <v>0.99999997567148002</v>
      </c>
    </row>
    <row r="462" spans="1:40" x14ac:dyDescent="0.25">
      <c r="A462" t="str">
        <f>"20190303162752429"</f>
        <v>20190303162752429</v>
      </c>
      <c r="B462" t="str">
        <f>"1551601672422034"</f>
        <v>1551601672422034</v>
      </c>
      <c r="C462" t="s">
        <v>40</v>
      </c>
      <c r="D462">
        <v>4.8055560000000002</v>
      </c>
      <c r="E462">
        <v>0.53371299999999999</v>
      </c>
      <c r="F462" t="s">
        <v>44</v>
      </c>
      <c r="G462">
        <v>-374.31810000000002</v>
      </c>
      <c r="H462">
        <v>0.90522309999999995</v>
      </c>
      <c r="I462">
        <v>367.82740000000001</v>
      </c>
      <c r="J462">
        <v>-374.89370000000002</v>
      </c>
      <c r="K462">
        <v>1.12107</v>
      </c>
      <c r="L462">
        <v>367.89339999999999</v>
      </c>
      <c r="M462">
        <v>0.99993770000000004</v>
      </c>
      <c r="N462">
        <v>-1.110101E-2</v>
      </c>
      <c r="O462">
        <v>1.284009E-3</v>
      </c>
      <c r="P462">
        <v>0.98793410000000004</v>
      </c>
      <c r="Q462">
        <v>0.1544806</v>
      </c>
      <c r="R462">
        <v>-1.107088E-2</v>
      </c>
      <c r="S462">
        <v>3.1814879999999999</v>
      </c>
      <c r="T462">
        <v>-0.94872559999999995</v>
      </c>
      <c r="U462">
        <v>-0.28753659999999998</v>
      </c>
      <c r="V462">
        <v>1.2320380000000001E-2</v>
      </c>
      <c r="W462">
        <v>0.1654397</v>
      </c>
      <c r="X462">
        <v>0.98614290000000004</v>
      </c>
      <c r="Y462">
        <v>8.7321389999999999E-2</v>
      </c>
      <c r="Z462">
        <v>-1.3574559999999999E-2</v>
      </c>
      <c r="AA462">
        <v>0.99608770000000002</v>
      </c>
      <c r="AB462">
        <v>28</v>
      </c>
      <c r="AC462">
        <v>0.57560000000000799</v>
      </c>
      <c r="AD462">
        <v>-0.21584690000000001</v>
      </c>
      <c r="AE462">
        <v>-6.5999999999973996E-2</v>
      </c>
      <c r="AF462">
        <v>5.8604929456161102E-2</v>
      </c>
      <c r="AG462">
        <v>-0.21584690000000001</v>
      </c>
      <c r="AH462">
        <v>0.50537120974948802</v>
      </c>
      <c r="AI462">
        <v>112.989691877882</v>
      </c>
      <c r="AJ462">
        <v>83.385290381483998</v>
      </c>
      <c r="AK462">
        <v>0.55265222485739895</v>
      </c>
      <c r="AL462">
        <v>80.477221064570699</v>
      </c>
      <c r="AM462">
        <v>89.284212205233601</v>
      </c>
      <c r="AN462">
        <v>0.99999995265992103</v>
      </c>
    </row>
    <row r="463" spans="1:40" x14ac:dyDescent="0.25">
      <c r="A463" t="str">
        <f>"20190303162752449"</f>
        <v>20190303162752449</v>
      </c>
      <c r="B463" t="str">
        <f>"1551601672441554"</f>
        <v>1551601672441554</v>
      </c>
      <c r="C463" t="s">
        <v>40</v>
      </c>
      <c r="D463">
        <v>4.8407070000000001</v>
      </c>
      <c r="E463">
        <v>0.53393359999999901</v>
      </c>
      <c r="F463" t="s">
        <v>44</v>
      </c>
      <c r="G463">
        <v>-374.07819999999998</v>
      </c>
      <c r="H463">
        <v>0.87794490000000003</v>
      </c>
      <c r="I463">
        <v>367.81920000000002</v>
      </c>
      <c r="J463">
        <v>-374.65</v>
      </c>
      <c r="K463">
        <v>1.121076</v>
      </c>
      <c r="L463">
        <v>367.8938</v>
      </c>
      <c r="M463">
        <v>0.99993750000000003</v>
      </c>
      <c r="N463">
        <v>-1.10927E-2</v>
      </c>
      <c r="O463">
        <v>1.353312E-3</v>
      </c>
      <c r="P463">
        <v>0.987904</v>
      </c>
      <c r="Q463">
        <v>0.15473919999999999</v>
      </c>
      <c r="R463">
        <v>-1.00742E-2</v>
      </c>
      <c r="S463">
        <v>3.181702</v>
      </c>
      <c r="T463">
        <v>-0.94865869999999997</v>
      </c>
      <c r="U463">
        <v>-0.28872680000000001</v>
      </c>
      <c r="V463">
        <v>1.1392299999999999E-2</v>
      </c>
      <c r="W463">
        <v>0.16568939999999999</v>
      </c>
      <c r="X463">
        <v>0.98611219999999999</v>
      </c>
      <c r="Y463">
        <v>8.7734010000000001E-2</v>
      </c>
      <c r="Z463">
        <v>-1.365414E-2</v>
      </c>
      <c r="AA463">
        <v>0.9960504</v>
      </c>
      <c r="AB463">
        <v>28</v>
      </c>
      <c r="AC463">
        <v>0.57179999999999598</v>
      </c>
      <c r="AD463">
        <v>-0.24313109999999999</v>
      </c>
      <c r="AE463">
        <v>-7.4599999999975297E-2</v>
      </c>
      <c r="AF463">
        <v>6.3996953104184004E-2</v>
      </c>
      <c r="AG463">
        <v>-0.24313109999999999</v>
      </c>
      <c r="AH463">
        <v>0.48540688415340999</v>
      </c>
      <c r="AI463">
        <v>116.40824768852001</v>
      </c>
      <c r="AJ463">
        <v>82.489334670699293</v>
      </c>
      <c r="AK463">
        <v>0.54665179500057604</v>
      </c>
      <c r="AL463">
        <v>80.462714709769202</v>
      </c>
      <c r="AM463">
        <v>89.338106077396205</v>
      </c>
      <c r="AN463">
        <v>1.0000000163802401</v>
      </c>
    </row>
    <row r="464" spans="1:40" x14ac:dyDescent="0.25">
      <c r="A464" t="str">
        <f>"20190303162752461"</f>
        <v>20190303162752461</v>
      </c>
      <c r="B464" t="str">
        <f>"1551601672452290"</f>
        <v>1551601672452290</v>
      </c>
      <c r="C464" t="s">
        <v>40</v>
      </c>
      <c r="D464">
        <v>4.872433</v>
      </c>
      <c r="E464">
        <v>0.53391480000000002</v>
      </c>
      <c r="F464" t="s">
        <v>44</v>
      </c>
      <c r="G464">
        <v>-373.8279</v>
      </c>
      <c r="H464">
        <v>0.87595449999999997</v>
      </c>
      <c r="I464">
        <v>367.81920000000002</v>
      </c>
      <c r="J464">
        <v>-374.49790000000002</v>
      </c>
      <c r="K464">
        <v>1.121076</v>
      </c>
      <c r="L464">
        <v>367.89400000000001</v>
      </c>
      <c r="M464">
        <v>0.99993759999999998</v>
      </c>
      <c r="N464">
        <v>-1.108513E-2</v>
      </c>
      <c r="O464">
        <v>1.3968019999999999E-3</v>
      </c>
      <c r="P464">
        <v>0.98785529999999999</v>
      </c>
      <c r="Q464">
        <v>0.15507170000000001</v>
      </c>
      <c r="R464">
        <v>-9.7282040000000007E-3</v>
      </c>
      <c r="S464">
        <v>3.1824650000000001</v>
      </c>
      <c r="T464">
        <v>-0.94891380000000003</v>
      </c>
      <c r="U464">
        <v>-0.28753659999999998</v>
      </c>
      <c r="V464">
        <v>1.1089170000000001E-2</v>
      </c>
      <c r="W464">
        <v>0.16601379999999999</v>
      </c>
      <c r="X464">
        <v>0.98606110000000002</v>
      </c>
      <c r="Y464">
        <v>8.7399320000000003E-2</v>
      </c>
      <c r="Z464">
        <v>-1.361594E-2</v>
      </c>
      <c r="AA464">
        <v>0.99608030000000003</v>
      </c>
      <c r="AB464">
        <v>28</v>
      </c>
      <c r="AC464">
        <v>0.67000000000001503</v>
      </c>
      <c r="AD464">
        <v>-0.24512149999999999</v>
      </c>
      <c r="AE464">
        <v>-7.4799999999981895E-2</v>
      </c>
      <c r="AF464">
        <v>6.6892595733793303E-2</v>
      </c>
      <c r="AG464">
        <v>-0.24512149999999999</v>
      </c>
      <c r="AH464">
        <v>0.59167502334627997</v>
      </c>
      <c r="AI464">
        <v>112.37507828586401</v>
      </c>
      <c r="AJ464">
        <v>83.549739285538195</v>
      </c>
      <c r="AK464">
        <v>0.64392429863927003</v>
      </c>
      <c r="AL464">
        <v>80.443866987199797</v>
      </c>
      <c r="AM464">
        <v>89.355683074421194</v>
      </c>
      <c r="AN464">
        <v>1.0000000222074601</v>
      </c>
    </row>
    <row r="465" spans="1:40" x14ac:dyDescent="0.25">
      <c r="A465" t="str">
        <f>"20190303162752473"</f>
        <v>20190303162752473</v>
      </c>
      <c r="B465" t="str">
        <f>"1551601672462050"</f>
        <v>1551601672462050</v>
      </c>
      <c r="C465" t="s">
        <v>40</v>
      </c>
      <c r="D465">
        <v>4.8404319999999998</v>
      </c>
      <c r="E465">
        <v>0.53391869999999997</v>
      </c>
      <c r="F465" t="s">
        <v>44</v>
      </c>
      <c r="G465">
        <v>-373.81110000000001</v>
      </c>
      <c r="H465">
        <v>0.91615999999999997</v>
      </c>
      <c r="I465">
        <v>367.83210000000003</v>
      </c>
      <c r="J465">
        <v>-374.35309999999998</v>
      </c>
      <c r="K465">
        <v>1.1210770000000001</v>
      </c>
      <c r="L465">
        <v>367.89429999999999</v>
      </c>
      <c r="M465">
        <v>0.99993770000000004</v>
      </c>
      <c r="N465">
        <v>-1.107411E-2</v>
      </c>
      <c r="O465">
        <v>1.437811E-3</v>
      </c>
      <c r="P465">
        <v>0.98782829999999999</v>
      </c>
      <c r="Q465">
        <v>0.15526199999999901</v>
      </c>
      <c r="R465">
        <v>-9.4599999999999997E-3</v>
      </c>
      <c r="S465">
        <v>3.1831969999999998</v>
      </c>
      <c r="T465">
        <v>-0.94985960000000003</v>
      </c>
      <c r="U465">
        <v>-0.28591919999999998</v>
      </c>
      <c r="V465">
        <v>1.086121E-2</v>
      </c>
      <c r="W465">
        <v>0.16619300000000001</v>
      </c>
      <c r="X465">
        <v>0.98603339999999995</v>
      </c>
      <c r="Y465">
        <v>8.6931010000000003E-2</v>
      </c>
      <c r="Z465">
        <v>-1.356601E-2</v>
      </c>
      <c r="AA465">
        <v>0.9961219</v>
      </c>
      <c r="AB465">
        <v>28</v>
      </c>
      <c r="AC465">
        <v>0.54199999999997295</v>
      </c>
      <c r="AD465">
        <v>-0.20491699999999999</v>
      </c>
      <c r="AE465">
        <v>-6.2199999999961599E-2</v>
      </c>
      <c r="AF465">
        <v>5.5192539936822903E-2</v>
      </c>
      <c r="AG465">
        <v>-0.20491699999999999</v>
      </c>
      <c r="AH465">
        <v>0.47490842811585698</v>
      </c>
      <c r="AI465">
        <v>113.200101923274</v>
      </c>
      <c r="AJ465">
        <v>83.370981547920394</v>
      </c>
      <c r="AK465">
        <v>0.52016844238107396</v>
      </c>
      <c r="AL465">
        <v>80.433454463397197</v>
      </c>
      <c r="AM465">
        <v>89.368909484199506</v>
      </c>
      <c r="AN465">
        <v>0.99999997252361095</v>
      </c>
    </row>
    <row r="466" spans="1:40" x14ac:dyDescent="0.25">
      <c r="A466" t="str">
        <f>"20190303162752486"</f>
        <v>20190303162752486</v>
      </c>
      <c r="B466" t="str">
        <f>"1551601672482546"</f>
        <v>1551601672482546</v>
      </c>
      <c r="C466" t="s">
        <v>40</v>
      </c>
      <c r="D466">
        <v>4.8785210000000001</v>
      </c>
      <c r="E466">
        <v>0.53391</v>
      </c>
      <c r="F466" t="s">
        <v>44</v>
      </c>
      <c r="G466">
        <v>-373.572</v>
      </c>
      <c r="H466">
        <v>0.88767269999999898</v>
      </c>
      <c r="I466">
        <v>367.82420000000002</v>
      </c>
      <c r="J466">
        <v>-374.19439999999997</v>
      </c>
      <c r="K466">
        <v>1.1210770000000001</v>
      </c>
      <c r="L466">
        <v>367.89460000000003</v>
      </c>
      <c r="M466">
        <v>0.99993770000000004</v>
      </c>
      <c r="N466">
        <v>-1.1059879999999999E-2</v>
      </c>
      <c r="O466">
        <v>1.4828910000000001E-3</v>
      </c>
      <c r="P466">
        <v>0.98781249999999998</v>
      </c>
      <c r="Q466">
        <v>0.15537909999999999</v>
      </c>
      <c r="R466">
        <v>-9.1498619999999999E-3</v>
      </c>
      <c r="S466">
        <v>3.1837460000000002</v>
      </c>
      <c r="T466">
        <v>-0.95135800000000004</v>
      </c>
      <c r="U466">
        <v>-0.284912099999999</v>
      </c>
      <c r="V466">
        <v>1.059564E-2</v>
      </c>
      <c r="W466">
        <v>0.16629549999999901</v>
      </c>
      <c r="X466">
        <v>0.98601899999999998</v>
      </c>
      <c r="Y466">
        <v>8.6648249999999996E-2</v>
      </c>
      <c r="Z466">
        <v>-1.3553020000000001E-2</v>
      </c>
      <c r="AA466">
        <v>0.9961468</v>
      </c>
      <c r="AB466">
        <v>28</v>
      </c>
      <c r="AC466">
        <v>0.62240000000002704</v>
      </c>
      <c r="AD466">
        <v>-0.23340430000000001</v>
      </c>
      <c r="AE466">
        <v>-7.0400000000006402E-2</v>
      </c>
      <c r="AF466">
        <v>6.26269477506044E-2</v>
      </c>
      <c r="AG466">
        <v>-0.23340430000000001</v>
      </c>
      <c r="AH466">
        <v>0.54642217878024602</v>
      </c>
      <c r="AI466">
        <v>112.995004519514</v>
      </c>
      <c r="AJ466">
        <v>83.4617028328841</v>
      </c>
      <c r="AK466">
        <v>0.59747543824495197</v>
      </c>
      <c r="AL466">
        <v>80.427498693772904</v>
      </c>
      <c r="AM466">
        <v>89.384330233645301</v>
      </c>
      <c r="AN466">
        <v>0.99999996463412899</v>
      </c>
    </row>
    <row r="467" spans="1:40" x14ac:dyDescent="0.25">
      <c r="A467" t="str">
        <f>"20190303162752504"</f>
        <v>20190303162752504</v>
      </c>
      <c r="B467" t="str">
        <f>"1551601672492306"</f>
        <v>1551601672492306</v>
      </c>
      <c r="C467" t="s">
        <v>40</v>
      </c>
      <c r="D467">
        <v>4.8821490000000001</v>
      </c>
      <c r="E467">
        <v>0.53389969999999998</v>
      </c>
      <c r="F467" t="s">
        <v>44</v>
      </c>
      <c r="G467">
        <v>-373.33049999999997</v>
      </c>
      <c r="H467">
        <v>0.86229249999999902</v>
      </c>
      <c r="I467">
        <v>367.8175</v>
      </c>
      <c r="J467">
        <v>-373.96370000000002</v>
      </c>
      <c r="K467">
        <v>1.1210719999999901</v>
      </c>
      <c r="L467">
        <v>367.89490000000001</v>
      </c>
      <c r="M467">
        <v>0.99993810000000005</v>
      </c>
      <c r="N467">
        <v>-1.1030089999999999E-2</v>
      </c>
      <c r="O467">
        <v>1.54855799999999E-3</v>
      </c>
      <c r="P467">
        <v>0.98780129999999999</v>
      </c>
      <c r="Q467">
        <v>0.1554577</v>
      </c>
      <c r="R467">
        <v>-9.0561570000000004E-3</v>
      </c>
      <c r="S467">
        <v>3.1844480000000002</v>
      </c>
      <c r="T467">
        <v>-0.95392259999999995</v>
      </c>
      <c r="U467">
        <v>-0.28247070000000002</v>
      </c>
      <c r="V467">
        <v>1.0566549999999999E-2</v>
      </c>
      <c r="W467">
        <v>0.16634489999999999</v>
      </c>
      <c r="X467">
        <v>0.98601099999999997</v>
      </c>
      <c r="Y467">
        <v>8.5946690000000006E-2</v>
      </c>
      <c r="Z467">
        <v>-1.3495129999999999E-2</v>
      </c>
      <c r="AA467">
        <v>0.99620830000000005</v>
      </c>
      <c r="AB467">
        <v>28</v>
      </c>
      <c r="AC467">
        <v>0.63320000000004395</v>
      </c>
      <c r="AD467">
        <v>-0.258779499999999</v>
      </c>
      <c r="AE467">
        <v>-7.7400000000011404E-2</v>
      </c>
      <c r="AF467">
        <v>6.7304555859935097E-2</v>
      </c>
      <c r="AG467">
        <v>-0.258779499999999</v>
      </c>
      <c r="AH467">
        <v>0.54361886883065602</v>
      </c>
      <c r="AI467">
        <v>115.287179857921</v>
      </c>
      <c r="AJ467">
        <v>82.942219518389507</v>
      </c>
      <c r="AK467">
        <v>0.60582027649169601</v>
      </c>
      <c r="AL467">
        <v>80.424628498927007</v>
      </c>
      <c r="AM467">
        <v>89.386015425118501</v>
      </c>
      <c r="AN467">
        <v>0.99999998492795605</v>
      </c>
    </row>
    <row r="468" spans="1:40" x14ac:dyDescent="0.25">
      <c r="A468" t="str">
        <f>"20190303162752516"</f>
        <v>20190303162752516</v>
      </c>
      <c r="B468" t="str">
        <f>"1551601672502066"</f>
        <v>1551601672502066</v>
      </c>
      <c r="C468" t="s">
        <v>40</v>
      </c>
      <c r="D468">
        <v>4.8960839999999903</v>
      </c>
      <c r="E468">
        <v>0.53388760000000002</v>
      </c>
      <c r="F468" t="s">
        <v>44</v>
      </c>
      <c r="G468">
        <v>-373.08109999999999</v>
      </c>
      <c r="H468">
        <v>0.85627160000000002</v>
      </c>
      <c r="I468">
        <v>367.81689999999998</v>
      </c>
      <c r="J468">
        <v>-373.79910000000001</v>
      </c>
      <c r="K468">
        <v>1.1210629999999999</v>
      </c>
      <c r="L468">
        <v>367.89530000000002</v>
      </c>
      <c r="M468">
        <v>0.9999382</v>
      </c>
      <c r="N468">
        <v>-1.1001500000000001E-2</v>
      </c>
      <c r="O468">
        <v>1.5952049999999999E-3</v>
      </c>
      <c r="P468">
        <v>0.98781479999999999</v>
      </c>
      <c r="Q468">
        <v>0.15537570000000001</v>
      </c>
      <c r="R468">
        <v>-8.9564710000000006E-3</v>
      </c>
      <c r="S468">
        <v>3.1848450000000001</v>
      </c>
      <c r="T468">
        <v>-0.9555051</v>
      </c>
      <c r="U468">
        <v>-0.2814026</v>
      </c>
      <c r="V468">
        <v>1.051326E-2</v>
      </c>
      <c r="W468">
        <v>0.16623479999999999</v>
      </c>
      <c r="X468">
        <v>0.98603019999999997</v>
      </c>
      <c r="Y468">
        <v>8.5650760000000006E-2</v>
      </c>
      <c r="Z468">
        <v>-1.3481419999999999E-2</v>
      </c>
      <c r="AA468">
        <v>0.99623399999999995</v>
      </c>
      <c r="AB468">
        <v>28</v>
      </c>
      <c r="AC468">
        <v>0.71800000000001696</v>
      </c>
      <c r="AD468">
        <v>-0.26479139999999901</v>
      </c>
      <c r="AE468">
        <v>-7.8400000000044601E-2</v>
      </c>
      <c r="AF468">
        <v>7.0120824223174102E-2</v>
      </c>
      <c r="AG468">
        <v>-0.26479139999999901</v>
      </c>
      <c r="AH468">
        <v>0.63282055215893496</v>
      </c>
      <c r="AI468">
        <v>112.581698614895</v>
      </c>
      <c r="AJ468">
        <v>83.677031594540793</v>
      </c>
      <c r="AK468">
        <v>0.68956019805266899</v>
      </c>
      <c r="AL468">
        <v>80.431026428165495</v>
      </c>
      <c r="AM468">
        <v>89.389123576230503</v>
      </c>
      <c r="AN468">
        <v>1.0000000463394501</v>
      </c>
    </row>
    <row r="469" spans="1:40" x14ac:dyDescent="0.25">
      <c r="A469" t="str">
        <f>"20190303162752533"</f>
        <v>20190303162752533</v>
      </c>
      <c r="B469" t="str">
        <f>"1551601672521586"</f>
        <v>1551601672521586</v>
      </c>
      <c r="C469" t="s">
        <v>40</v>
      </c>
      <c r="D469">
        <v>4.9065589999999997</v>
      </c>
      <c r="E469">
        <v>0.53397099999999997</v>
      </c>
      <c r="F469" t="s">
        <v>44</v>
      </c>
      <c r="G469">
        <v>-373.06369999999998</v>
      </c>
      <c r="H469">
        <v>0.90003670000000002</v>
      </c>
      <c r="I469">
        <v>367.83019999999999</v>
      </c>
      <c r="J469">
        <v>-373.60430000000002</v>
      </c>
      <c r="K469">
        <v>1.121057</v>
      </c>
      <c r="L469">
        <v>367.8956</v>
      </c>
      <c r="M469">
        <v>0.99993849999999995</v>
      </c>
      <c r="N469">
        <v>-1.096449E-2</v>
      </c>
      <c r="O469">
        <v>1.6503010000000001E-3</v>
      </c>
      <c r="P469">
        <v>0.98780469999999998</v>
      </c>
      <c r="Q469">
        <v>0.15543470000000001</v>
      </c>
      <c r="R469">
        <v>-9.0463290000000005E-3</v>
      </c>
      <c r="S469">
        <v>3.185028</v>
      </c>
      <c r="T469">
        <v>-0.95713499999999996</v>
      </c>
      <c r="U469">
        <v>-0.28149410000000002</v>
      </c>
      <c r="V469">
        <v>1.065747E-2</v>
      </c>
      <c r="W469">
        <v>0.166257399999999</v>
      </c>
      <c r="X469">
        <v>0.98602480000000003</v>
      </c>
      <c r="Y469">
        <v>8.571194E-2</v>
      </c>
      <c r="Z469">
        <v>-1.352532E-2</v>
      </c>
      <c r="AA469">
        <v>0.99622820000000001</v>
      </c>
      <c r="AB469">
        <v>28</v>
      </c>
      <c r="AC469">
        <v>0.54060000000004005</v>
      </c>
      <c r="AD469">
        <v>-0.221020299999999</v>
      </c>
      <c r="AE469">
        <v>-6.5400000000010894E-2</v>
      </c>
      <c r="AF469">
        <v>5.6915748089136999E-2</v>
      </c>
      <c r="AG469">
        <v>-0.221020299999999</v>
      </c>
      <c r="AH469">
        <v>0.464044135172136</v>
      </c>
      <c r="AI469">
        <v>115.302393506337</v>
      </c>
      <c r="AJ469">
        <v>83.007505993840596</v>
      </c>
      <c r="AK469">
        <v>0.51713280188003097</v>
      </c>
      <c r="AL469">
        <v>80.429712875260606</v>
      </c>
      <c r="AM469">
        <v>89.380741463848906</v>
      </c>
      <c r="AN469">
        <v>1.0000000054683</v>
      </c>
    </row>
    <row r="470" spans="1:40" x14ac:dyDescent="0.25">
      <c r="A470" t="str">
        <f>"20190303162752551"</f>
        <v>20190303162752551</v>
      </c>
      <c r="B470" t="str">
        <f>"1551601672542082"</f>
        <v>1551601672542082</v>
      </c>
      <c r="C470" t="s">
        <v>40</v>
      </c>
      <c r="D470">
        <v>4.9323969999999999</v>
      </c>
      <c r="E470">
        <v>0.53395049999999999</v>
      </c>
      <c r="F470" t="s">
        <v>44</v>
      </c>
      <c r="G470">
        <v>-372.81799999999998</v>
      </c>
      <c r="H470">
        <v>0.88432310000000003</v>
      </c>
      <c r="I470">
        <v>367.8254</v>
      </c>
      <c r="J470">
        <v>-373.36279999999999</v>
      </c>
      <c r="K470">
        <v>1.1210450000000001</v>
      </c>
      <c r="L470">
        <v>367.89609999999999</v>
      </c>
      <c r="M470">
        <v>0.99993909999999997</v>
      </c>
      <c r="N470">
        <v>-1.0912669999999999E-2</v>
      </c>
      <c r="O470">
        <v>1.7190040000000001E-3</v>
      </c>
      <c r="P470">
        <v>0.98779689999999998</v>
      </c>
      <c r="Q470">
        <v>0.1554712</v>
      </c>
      <c r="R470">
        <v>-9.2832999999999995E-3</v>
      </c>
      <c r="S470">
        <v>3.1853940000000001</v>
      </c>
      <c r="T470">
        <v>-0.95902609999999999</v>
      </c>
      <c r="U470">
        <v>-0.2828369</v>
      </c>
      <c r="V470">
        <v>1.0962370000000001E-2</v>
      </c>
      <c r="W470">
        <v>0.1662428</v>
      </c>
      <c r="X470">
        <v>0.98602389999999995</v>
      </c>
      <c r="Y470">
        <v>8.6150740000000003E-2</v>
      </c>
      <c r="Z470">
        <v>-1.363265E-2</v>
      </c>
      <c r="AA470">
        <v>0.99618879999999999</v>
      </c>
      <c r="AB470">
        <v>28</v>
      </c>
      <c r="AC470">
        <v>0.54479999999995199</v>
      </c>
      <c r="AD470">
        <v>-0.23672190000000001</v>
      </c>
      <c r="AE470">
        <v>-7.0699999999987995E-2</v>
      </c>
      <c r="AF470">
        <v>6.04183789166369E-2</v>
      </c>
      <c r="AG470">
        <v>-0.23672190000000001</v>
      </c>
      <c r="AH470">
        <v>0.45938253790296801</v>
      </c>
      <c r="AI470">
        <v>117.062703561772</v>
      </c>
      <c r="AJ470">
        <v>82.507414830089004</v>
      </c>
      <c r="AK470">
        <v>0.52030755768170001</v>
      </c>
      <c r="AL470">
        <v>80.430561018327097</v>
      </c>
      <c r="AM470">
        <v>89.363025928849694</v>
      </c>
      <c r="AN470">
        <v>0.99999998673953305</v>
      </c>
    </row>
    <row r="471" spans="1:40" x14ac:dyDescent="0.25">
      <c r="A471" t="str">
        <f>"20190303162752571"</f>
        <v>20190303162752571</v>
      </c>
      <c r="B471" t="str">
        <f>"1551601672561602"</f>
        <v>1551601672561602</v>
      </c>
      <c r="C471" t="s">
        <v>40</v>
      </c>
      <c r="D471">
        <v>4.9592869999999998</v>
      </c>
      <c r="E471">
        <v>0.53390930000000003</v>
      </c>
      <c r="F471" t="s">
        <v>44</v>
      </c>
      <c r="G471">
        <v>-372.56709999999998</v>
      </c>
      <c r="H471">
        <v>0.88079430000000003</v>
      </c>
      <c r="I471">
        <v>367.82530000000003</v>
      </c>
      <c r="J471">
        <v>-373.11950000000002</v>
      </c>
      <c r="K471">
        <v>1.1210279999999999</v>
      </c>
      <c r="L471">
        <v>367.89659999999998</v>
      </c>
      <c r="M471">
        <v>0.99993960000000004</v>
      </c>
      <c r="N471">
        <v>-1.0853089999999999E-2</v>
      </c>
      <c r="O471">
        <v>1.7883440000000001E-3</v>
      </c>
      <c r="P471">
        <v>0.98782999999999999</v>
      </c>
      <c r="Q471">
        <v>0.1552384</v>
      </c>
      <c r="R471">
        <v>-9.666661E-3</v>
      </c>
      <c r="S471">
        <v>3.1857600000000001</v>
      </c>
      <c r="T471">
        <v>-0.96193079999999997</v>
      </c>
      <c r="U471">
        <v>-0.28353879999999998</v>
      </c>
      <c r="V471">
        <v>1.1414209999999999E-2</v>
      </c>
      <c r="W471">
        <v>0.1659513</v>
      </c>
      <c r="X471">
        <v>0.9860679</v>
      </c>
      <c r="Y471">
        <v>8.6391869999999996E-2</v>
      </c>
      <c r="Z471">
        <v>-1.37234E-2</v>
      </c>
      <c r="AA471">
        <v>0.99616669999999996</v>
      </c>
      <c r="AB471">
        <v>28</v>
      </c>
      <c r="AC471">
        <v>0.55240000000003397</v>
      </c>
      <c r="AD471">
        <v>-0.24023369999999999</v>
      </c>
      <c r="AE471">
        <v>-7.1299999999951E-2</v>
      </c>
      <c r="AF471">
        <v>6.09493663330231E-2</v>
      </c>
      <c r="AG471">
        <v>-0.24023369999999999</v>
      </c>
      <c r="AH471">
        <v>0.465646932072589</v>
      </c>
      <c r="AI471">
        <v>117.09203043725201</v>
      </c>
      <c r="AJ471">
        <v>82.542846265016294</v>
      </c>
      <c r="AK471">
        <v>0.52749798219585797</v>
      </c>
      <c r="AL471">
        <v>80.447498234902994</v>
      </c>
      <c r="AM471">
        <v>89.336803426778005</v>
      </c>
      <c r="AN471">
        <v>1.0000000107860101</v>
      </c>
    </row>
    <row r="472" spans="1:40" x14ac:dyDescent="0.25">
      <c r="A472" t="str">
        <f>"20190303162752584"</f>
        <v>20190303162752584</v>
      </c>
      <c r="B472" t="str">
        <f>"1551601672572338"</f>
        <v>1551601672572338</v>
      </c>
      <c r="C472" t="s">
        <v>40</v>
      </c>
      <c r="D472">
        <v>4.9771199999999904</v>
      </c>
      <c r="E472">
        <v>0.53389019999999898</v>
      </c>
      <c r="F472" t="s">
        <v>44</v>
      </c>
      <c r="G472">
        <v>-372.3159</v>
      </c>
      <c r="H472">
        <v>0.87745479999999998</v>
      </c>
      <c r="I472">
        <v>367.82470000000001</v>
      </c>
      <c r="J472">
        <v>-372.95699999999999</v>
      </c>
      <c r="K472">
        <v>1.121014</v>
      </c>
      <c r="L472">
        <v>367.89690000000002</v>
      </c>
      <c r="M472">
        <v>0.99993989999999999</v>
      </c>
      <c r="N472">
        <v>-1.0809930000000001E-2</v>
      </c>
      <c r="O472">
        <v>1.8347680000000001E-3</v>
      </c>
      <c r="P472">
        <v>0.98787820000000004</v>
      </c>
      <c r="Q472">
        <v>0.15492320000000001</v>
      </c>
      <c r="R472">
        <v>-9.7770370000000006E-3</v>
      </c>
      <c r="S472">
        <v>3.1859440000000001</v>
      </c>
      <c r="T472">
        <v>-0.96565129999999999</v>
      </c>
      <c r="U472">
        <v>-0.2846069</v>
      </c>
      <c r="V472">
        <v>1.157063E-2</v>
      </c>
      <c r="W472">
        <v>0.16559389999999999</v>
      </c>
      <c r="X472">
        <v>0.98612610000000001</v>
      </c>
      <c r="Y472">
        <v>8.6718340000000005E-2</v>
      </c>
      <c r="Z472">
        <v>-1.383319E-2</v>
      </c>
      <c r="AA472">
        <v>0.99613680000000004</v>
      </c>
      <c r="AB472">
        <v>28</v>
      </c>
      <c r="AC472">
        <v>0.64109999999999401</v>
      </c>
      <c r="AD472">
        <v>-0.243559199999999</v>
      </c>
      <c r="AE472">
        <v>-7.2200000000009298E-2</v>
      </c>
      <c r="AF472">
        <v>6.4222984750467393E-2</v>
      </c>
      <c r="AG472">
        <v>-0.243559199999999</v>
      </c>
      <c r="AH472">
        <v>0.56100981757456803</v>
      </c>
      <c r="AI472">
        <v>113.331849734255</v>
      </c>
      <c r="AJ472">
        <v>83.469353321695706</v>
      </c>
      <c r="AK472">
        <v>0.61496153626869099</v>
      </c>
      <c r="AL472">
        <v>80.468262484114305</v>
      </c>
      <c r="AM472">
        <v>89.3277555026295</v>
      </c>
      <c r="AN472">
        <v>0.99999995214850701</v>
      </c>
    </row>
    <row r="473" spans="1:40" x14ac:dyDescent="0.25">
      <c r="A473" t="str">
        <f>"20190303162752605"</f>
        <v>20190303162752605</v>
      </c>
      <c r="B473" t="str">
        <f>"1551601672601618"</f>
        <v>1551601672601618</v>
      </c>
      <c r="C473" t="s">
        <v>40</v>
      </c>
      <c r="D473">
        <v>4.9764169999999996</v>
      </c>
      <c r="E473">
        <v>0.53387799999999996</v>
      </c>
      <c r="F473" t="s">
        <v>44</v>
      </c>
      <c r="G473">
        <v>-372.07299999999998</v>
      </c>
      <c r="H473">
        <v>0.85234619999999905</v>
      </c>
      <c r="I473">
        <v>367.81799999999998</v>
      </c>
      <c r="J473">
        <v>-372.68860000000001</v>
      </c>
      <c r="K473">
        <v>1.1209990000000001</v>
      </c>
      <c r="L473">
        <v>367.89749999999998</v>
      </c>
      <c r="M473">
        <v>0.99994070000000002</v>
      </c>
      <c r="N473">
        <v>-1.0731040000000001E-2</v>
      </c>
      <c r="O473">
        <v>1.9104739999999999E-3</v>
      </c>
      <c r="P473">
        <v>0.98786790000000002</v>
      </c>
      <c r="Q473">
        <v>0.15499939999999901</v>
      </c>
      <c r="R473">
        <v>-9.6288350000000005E-3</v>
      </c>
      <c r="S473">
        <v>3.185791</v>
      </c>
      <c r="T473">
        <v>-0.96819730000000004</v>
      </c>
      <c r="U473">
        <v>-0.28430179999999999</v>
      </c>
      <c r="V473">
        <v>1.1496869999999999E-2</v>
      </c>
      <c r="W473">
        <v>0.1655925</v>
      </c>
      <c r="X473">
        <v>0.98612730000000004</v>
      </c>
      <c r="Y473">
        <v>8.6681670000000002E-2</v>
      </c>
      <c r="Z473">
        <v>-1.388032E-2</v>
      </c>
      <c r="AA473">
        <v>0.99613929999999995</v>
      </c>
      <c r="AB473">
        <v>28</v>
      </c>
      <c r="AC473">
        <v>0.61559999999997195</v>
      </c>
      <c r="AD473">
        <v>-0.26865280000000002</v>
      </c>
      <c r="AE473">
        <v>-7.9499999999938994E-2</v>
      </c>
      <c r="AF473">
        <v>6.7947546595171202E-2</v>
      </c>
      <c r="AG473">
        <v>-0.26865280000000002</v>
      </c>
      <c r="AH473">
        <v>0.51834631558036803</v>
      </c>
      <c r="AI473">
        <v>117.19826251451001</v>
      </c>
      <c r="AJ473">
        <v>82.531950575789494</v>
      </c>
      <c r="AK473">
        <v>0.58777044746387697</v>
      </c>
      <c r="AL473">
        <v>80.468344790814797</v>
      </c>
      <c r="AM473">
        <v>89.332041323813499</v>
      </c>
      <c r="AN473">
        <v>1.0000000529406601</v>
      </c>
    </row>
    <row r="474" spans="1:40" x14ac:dyDescent="0.25">
      <c r="A474" t="str">
        <f>"20190303162752618"</f>
        <v>20190303162752618</v>
      </c>
      <c r="B474" t="str">
        <f>"1551601672612354"</f>
        <v>1551601672612354</v>
      </c>
      <c r="C474" t="s">
        <v>40</v>
      </c>
      <c r="D474">
        <v>5.0029009999999996</v>
      </c>
      <c r="E474">
        <v>0.53387249999999997</v>
      </c>
      <c r="F474" t="s">
        <v>44</v>
      </c>
      <c r="G474">
        <v>-371.81849999999997</v>
      </c>
      <c r="H474">
        <v>0.85554129999999995</v>
      </c>
      <c r="I474">
        <v>367.81979999999999</v>
      </c>
      <c r="J474">
        <v>-372.5249</v>
      </c>
      <c r="K474">
        <v>1.1209830000000001</v>
      </c>
      <c r="L474">
        <v>367.89789999999999</v>
      </c>
      <c r="M474">
        <v>0.99994110000000003</v>
      </c>
      <c r="N474">
        <v>-1.0679599999999999E-2</v>
      </c>
      <c r="O474">
        <v>1.9570590000000001E-3</v>
      </c>
      <c r="P474">
        <v>0.98780760000000001</v>
      </c>
      <c r="Q474">
        <v>0.15540019999999999</v>
      </c>
      <c r="R474">
        <v>-9.3340230000000003E-3</v>
      </c>
      <c r="S474">
        <v>3.1866150000000002</v>
      </c>
      <c r="T474">
        <v>-0.9722191</v>
      </c>
      <c r="U474">
        <v>-0.28387449999999997</v>
      </c>
      <c r="V474">
        <v>1.124792E-2</v>
      </c>
      <c r="W474">
        <v>0.165941899999999</v>
      </c>
      <c r="X474">
        <v>0.98607140000000004</v>
      </c>
      <c r="Y474">
        <v>8.654684E-2</v>
      </c>
      <c r="Z474">
        <v>-1.392088E-2</v>
      </c>
      <c r="AA474">
        <v>0.99615050000000005</v>
      </c>
      <c r="AB474">
        <v>28</v>
      </c>
      <c r="AC474">
        <v>0.70640000000003</v>
      </c>
      <c r="AD474">
        <v>-0.2654417</v>
      </c>
      <c r="AE474">
        <v>-7.8100000000006206E-2</v>
      </c>
      <c r="AF474">
        <v>6.9752263365770506E-2</v>
      </c>
      <c r="AG474">
        <v>-0.2654417</v>
      </c>
      <c r="AH474">
        <v>0.619788093527747</v>
      </c>
      <c r="AI474">
        <v>113.05418758795101</v>
      </c>
      <c r="AJ474">
        <v>83.578830384396099</v>
      </c>
      <c r="AK474">
        <v>0.677836230384816</v>
      </c>
      <c r="AL474">
        <v>80.448044456258401</v>
      </c>
      <c r="AM474">
        <v>89.346466802274193</v>
      </c>
      <c r="AN474">
        <v>1.0000000178889401</v>
      </c>
    </row>
    <row r="475" spans="1:40" x14ac:dyDescent="0.25">
      <c r="A475" t="str">
        <f>"20190303162752629"</f>
        <v>20190303162752629</v>
      </c>
      <c r="B475" t="str">
        <f>"1551601672622115"</f>
        <v>1551601672622115</v>
      </c>
      <c r="C475" t="s">
        <v>40</v>
      </c>
      <c r="D475">
        <v>5.0358000000000001</v>
      </c>
      <c r="E475">
        <v>0.53388019999999903</v>
      </c>
      <c r="F475" t="s">
        <v>44</v>
      </c>
      <c r="G475">
        <v>-371.80079999999998</v>
      </c>
      <c r="H475">
        <v>0.90010069999999998</v>
      </c>
      <c r="I475">
        <v>367.83339999999998</v>
      </c>
      <c r="J475">
        <v>-372.37790000000001</v>
      </c>
      <c r="K475">
        <v>1.120978</v>
      </c>
      <c r="L475">
        <v>367.89819999999997</v>
      </c>
      <c r="M475">
        <v>0.99994159999999999</v>
      </c>
      <c r="N475">
        <v>-1.0633E-2</v>
      </c>
      <c r="O475">
        <v>1.9985519999999998E-3</v>
      </c>
      <c r="P475">
        <v>0.98780849999999998</v>
      </c>
      <c r="Q475">
        <v>0.15539520000000001</v>
      </c>
      <c r="R475">
        <v>-9.350845E-3</v>
      </c>
      <c r="S475">
        <v>3.1873170000000002</v>
      </c>
      <c r="T475">
        <v>-0.97216919999999996</v>
      </c>
      <c r="U475">
        <v>-0.28289789999999998</v>
      </c>
      <c r="V475">
        <v>1.1305620000000001E-2</v>
      </c>
      <c r="W475">
        <v>0.1658906</v>
      </c>
      <c r="X475">
        <v>0.98607929999999999</v>
      </c>
      <c r="Y475">
        <v>8.6279339999999996E-2</v>
      </c>
      <c r="Z475">
        <v>-1.3886219999999999E-2</v>
      </c>
      <c r="AA475">
        <v>0.99617420000000001</v>
      </c>
      <c r="AB475">
        <v>28</v>
      </c>
      <c r="AC475">
        <v>0.57710000000002903</v>
      </c>
      <c r="AD475">
        <v>-0.2208773</v>
      </c>
      <c r="AE475">
        <v>-6.4799999999991004E-2</v>
      </c>
      <c r="AF475">
        <v>5.7618073930876798E-2</v>
      </c>
      <c r="AG475">
        <v>-0.2208773</v>
      </c>
      <c r="AH475">
        <v>0.50405152949417797</v>
      </c>
      <c r="AI475">
        <v>113.526797307043</v>
      </c>
      <c r="AJ475">
        <v>83.4788310520984</v>
      </c>
      <c r="AK475">
        <v>0.55333043336167098</v>
      </c>
      <c r="AL475">
        <v>80.451024358284201</v>
      </c>
      <c r="AM475">
        <v>89.343119838484995</v>
      </c>
      <c r="AN475">
        <v>0.999999947050215</v>
      </c>
    </row>
    <row r="476" spans="1:40" x14ac:dyDescent="0.25">
      <c r="A476" t="str">
        <f>"20190303162752653"</f>
        <v>20190303162752653</v>
      </c>
      <c r="B476" t="str">
        <f>"1551601672641635"</f>
        <v>1551601672641635</v>
      </c>
      <c r="C476" t="s">
        <v>40</v>
      </c>
      <c r="D476">
        <v>5.0387130000000004</v>
      </c>
      <c r="E476">
        <v>0.53387769999999901</v>
      </c>
      <c r="F476" t="s">
        <v>44</v>
      </c>
      <c r="G476">
        <v>-371.55889999999999</v>
      </c>
      <c r="H476">
        <v>0.87092909999999901</v>
      </c>
      <c r="I476">
        <v>367.82549999999998</v>
      </c>
      <c r="J476">
        <v>-372.08539999999999</v>
      </c>
      <c r="K476">
        <v>1.120967</v>
      </c>
      <c r="L476">
        <v>367.89890000000003</v>
      </c>
      <c r="M476">
        <v>0.99994229999999995</v>
      </c>
      <c r="N476">
        <v>-1.053946E-2</v>
      </c>
      <c r="O476">
        <v>2.0818920000000001E-3</v>
      </c>
      <c r="P476">
        <v>0.98774450000000003</v>
      </c>
      <c r="Q476">
        <v>0.15581909999999999</v>
      </c>
      <c r="R476">
        <v>-9.0158200000000008E-3</v>
      </c>
      <c r="S476">
        <v>3.1874389999999999</v>
      </c>
      <c r="T476">
        <v>-0.97319279999999997</v>
      </c>
      <c r="U476">
        <v>-0.28280640000000001</v>
      </c>
      <c r="V476">
        <v>1.1052940000000001E-2</v>
      </c>
      <c r="W476">
        <v>0.16622219999999999</v>
      </c>
      <c r="X476">
        <v>0.98602639999999997</v>
      </c>
      <c r="Y476">
        <v>8.6318370000000005E-2</v>
      </c>
      <c r="Z476">
        <v>-1.392535E-2</v>
      </c>
      <c r="AA476">
        <v>0.99617029999999995</v>
      </c>
      <c r="AB476">
        <v>28</v>
      </c>
      <c r="AC476">
        <v>0.52649999999999797</v>
      </c>
      <c r="AD476">
        <v>-0.25003789999999998</v>
      </c>
      <c r="AE476">
        <v>-7.3400000000049204E-2</v>
      </c>
      <c r="AF476">
        <v>6.1000524773287997E-2</v>
      </c>
      <c r="AG476">
        <v>-0.25003789999999998</v>
      </c>
      <c r="AH476">
        <v>0.43099464262142401</v>
      </c>
      <c r="AI476">
        <v>119.873780386604</v>
      </c>
      <c r="AJ476">
        <v>81.9441888449076</v>
      </c>
      <c r="AK476">
        <v>0.50199242765941698</v>
      </c>
      <c r="AL476">
        <v>80.431758328517901</v>
      </c>
      <c r="AM476">
        <v>89.357765380249205</v>
      </c>
      <c r="AN476">
        <v>1.0000000243762199</v>
      </c>
    </row>
    <row r="477" spans="1:40" x14ac:dyDescent="0.25">
      <c r="A477" t="str">
        <f>"20190303162752667"</f>
        <v>20190303162752667</v>
      </c>
      <c r="B477" t="str">
        <f>"1551601672662131"</f>
        <v>1551601672662131</v>
      </c>
      <c r="C477" t="s">
        <v>40</v>
      </c>
      <c r="D477">
        <v>5.0793089999999896</v>
      </c>
      <c r="E477">
        <v>0.53387039999999997</v>
      </c>
      <c r="F477" t="s">
        <v>44</v>
      </c>
      <c r="G477">
        <v>-371.30079999999998</v>
      </c>
      <c r="H477">
        <v>0.88135490000000005</v>
      </c>
      <c r="I477">
        <v>367.82929999999999</v>
      </c>
      <c r="J477">
        <v>-371.91340000000002</v>
      </c>
      <c r="K477">
        <v>1.1209610000000001</v>
      </c>
      <c r="L477">
        <v>367.89929999999998</v>
      </c>
      <c r="M477">
        <v>0.99994300000000003</v>
      </c>
      <c r="N477">
        <v>-1.04846E-2</v>
      </c>
      <c r="O477">
        <v>2.1306939999999998E-3</v>
      </c>
      <c r="P477">
        <v>0.98776019999999998</v>
      </c>
      <c r="Q477">
        <v>0.155703799999999</v>
      </c>
      <c r="R477">
        <v>-9.3062619999999992E-3</v>
      </c>
      <c r="S477">
        <v>3.1882320000000002</v>
      </c>
      <c r="T477">
        <v>-0.97378790000000004</v>
      </c>
      <c r="U477">
        <v>-0.28131099999999998</v>
      </c>
      <c r="V477">
        <v>1.13916E-2</v>
      </c>
      <c r="W477">
        <v>0.16605239999999999</v>
      </c>
      <c r="X477">
        <v>0.98605109999999996</v>
      </c>
      <c r="Y477">
        <v>8.5896860000000005E-2</v>
      </c>
      <c r="Z477">
        <v>-1.3876940000000001E-2</v>
      </c>
      <c r="AA477">
        <v>0.99620739999999997</v>
      </c>
      <c r="AB477">
        <v>28</v>
      </c>
      <c r="AC477">
        <v>0.612600000000043</v>
      </c>
      <c r="AD477">
        <v>-0.23960609999999999</v>
      </c>
      <c r="AE477">
        <v>-6.9999999999993096E-2</v>
      </c>
      <c r="AF477">
        <v>6.19500513842976E-2</v>
      </c>
      <c r="AG477">
        <v>-0.23960609999999999</v>
      </c>
      <c r="AH477">
        <v>0.53209707005810403</v>
      </c>
      <c r="AI477">
        <v>114.09820233658699</v>
      </c>
      <c r="AJ477">
        <v>83.359166822853993</v>
      </c>
      <c r="AK477">
        <v>0.58683573850622495</v>
      </c>
      <c r="AL477">
        <v>80.441623737105104</v>
      </c>
      <c r="AM477">
        <v>89.338105736209798</v>
      </c>
      <c r="AN477">
        <v>0.99999996995376395</v>
      </c>
    </row>
    <row r="478" spans="1:40" x14ac:dyDescent="0.25">
      <c r="A478" t="str">
        <f>"20190303162752684"</f>
        <v>20190303162752684</v>
      </c>
      <c r="B478" t="str">
        <f>"1551601672671890"</f>
        <v>1551601672671890</v>
      </c>
      <c r="C478" t="s">
        <v>40</v>
      </c>
      <c r="D478">
        <v>5.0740210000000001</v>
      </c>
      <c r="E478">
        <v>0.53386899999999904</v>
      </c>
      <c r="F478" t="s">
        <v>44</v>
      </c>
      <c r="G478">
        <v>-371.05579999999998</v>
      </c>
      <c r="H478">
        <v>0.85827469999999995</v>
      </c>
      <c r="I478">
        <v>367.82319999999999</v>
      </c>
      <c r="J478">
        <v>-371.69260000000003</v>
      </c>
      <c r="K478">
        <v>1.120957</v>
      </c>
      <c r="L478">
        <v>367.89980000000003</v>
      </c>
      <c r="M478">
        <v>0.99994349999999999</v>
      </c>
      <c r="N478">
        <v>-1.041563E-2</v>
      </c>
      <c r="O478">
        <v>2.1935169999999999E-3</v>
      </c>
      <c r="P478">
        <v>0.98767459999999996</v>
      </c>
      <c r="Q478">
        <v>0.15623239999999999</v>
      </c>
      <c r="R478">
        <v>-9.5297820000000005E-3</v>
      </c>
      <c r="S478">
        <v>3.188507</v>
      </c>
      <c r="T478">
        <v>-0.97668779999999999</v>
      </c>
      <c r="U478">
        <v>-0.28192139999999999</v>
      </c>
      <c r="V478">
        <v>1.1676819999999999E-2</v>
      </c>
      <c r="W478">
        <v>0.166512299999999</v>
      </c>
      <c r="X478">
        <v>0.98597029999999997</v>
      </c>
      <c r="Y478">
        <v>8.6106550000000004E-2</v>
      </c>
      <c r="Z478">
        <v>-1.396176E-2</v>
      </c>
      <c r="AA478">
        <v>0.99618810000000002</v>
      </c>
      <c r="AB478">
        <v>28</v>
      </c>
      <c r="AC478">
        <v>0.63680000000004999</v>
      </c>
      <c r="AD478">
        <v>-0.26268229999999998</v>
      </c>
      <c r="AE478">
        <v>-7.6600000000041704E-2</v>
      </c>
      <c r="AF478">
        <v>6.6793328324281101E-2</v>
      </c>
      <c r="AG478">
        <v>-0.26268229999999998</v>
      </c>
      <c r="AH478">
        <v>0.54518528618716799</v>
      </c>
      <c r="AI478">
        <v>115.55928194940699</v>
      </c>
      <c r="AJ478">
        <v>83.015220678724106</v>
      </c>
      <c r="AK478">
        <v>0.60884344105599797</v>
      </c>
      <c r="AL478">
        <v>80.414902286732399</v>
      </c>
      <c r="AM478">
        <v>89.321479330407598</v>
      </c>
      <c r="AN478">
        <v>1.00000006332934</v>
      </c>
    </row>
    <row r="479" spans="1:40" x14ac:dyDescent="0.25">
      <c r="A479" t="str">
        <f>"20190303162752707"</f>
        <v>20190303162752707</v>
      </c>
      <c r="B479" t="str">
        <f>"1551601672702146"</f>
        <v>1551601672702146</v>
      </c>
      <c r="C479" t="s">
        <v>40</v>
      </c>
      <c r="D479">
        <v>5.1275940000000002</v>
      </c>
      <c r="E479">
        <v>0.53388419999999903</v>
      </c>
      <c r="F479" t="s">
        <v>44</v>
      </c>
      <c r="G479">
        <v>-370.80470000000003</v>
      </c>
      <c r="H479">
        <v>0.84922330000000001</v>
      </c>
      <c r="I479">
        <v>367.82119999999998</v>
      </c>
      <c r="J479">
        <v>-371.40449999999998</v>
      </c>
      <c r="K479">
        <v>1.1209499999999999</v>
      </c>
      <c r="L479">
        <v>367.90050000000002</v>
      </c>
      <c r="M479">
        <v>0.9999441</v>
      </c>
      <c r="N479">
        <v>-1.033162E-2</v>
      </c>
      <c r="O479">
        <v>2.2753109999999999E-3</v>
      </c>
      <c r="P479">
        <v>0.98757490000000003</v>
      </c>
      <c r="Q479">
        <v>0.1568486</v>
      </c>
      <c r="R479">
        <v>-9.7193220000000007E-3</v>
      </c>
      <c r="S479">
        <v>3.189117</v>
      </c>
      <c r="T479">
        <v>-0.97610759999999996</v>
      </c>
      <c r="U479">
        <v>-0.28176879999999999</v>
      </c>
      <c r="V479">
        <v>1.194683E-2</v>
      </c>
      <c r="W479">
        <v>0.16704449999999901</v>
      </c>
      <c r="X479">
        <v>0.985877</v>
      </c>
      <c r="Y479">
        <v>8.6126899999999895E-2</v>
      </c>
      <c r="Z479">
        <v>-1.397485E-2</v>
      </c>
      <c r="AA479">
        <v>0.99618609999999996</v>
      </c>
      <c r="AB479">
        <v>28</v>
      </c>
      <c r="AC479">
        <v>0.59979999999995903</v>
      </c>
      <c r="AD479">
        <v>-0.27172669999999899</v>
      </c>
      <c r="AE479">
        <v>-7.9300000000046098E-2</v>
      </c>
      <c r="AF479">
        <v>6.7124884337275897E-2</v>
      </c>
      <c r="AG479">
        <v>-0.27172669999999899</v>
      </c>
      <c r="AH479">
        <v>0.49897092106044599</v>
      </c>
      <c r="AI479">
        <v>118.35628748305</v>
      </c>
      <c r="AJ479">
        <v>82.3381896638341</v>
      </c>
      <c r="AK479">
        <v>0.57211286443681098</v>
      </c>
      <c r="AL479">
        <v>80.383975970207104</v>
      </c>
      <c r="AM479">
        <v>89.305725323567302</v>
      </c>
      <c r="AN479">
        <v>1.00000002542814</v>
      </c>
    </row>
    <row r="480" spans="1:40" x14ac:dyDescent="0.25">
      <c r="A480" t="str">
        <f>"20190303162752730"</f>
        <v>20190303162752730</v>
      </c>
      <c r="B480" t="str">
        <f>"1551601672721666"</f>
        <v>1551601672721666</v>
      </c>
      <c r="C480" t="s">
        <v>40</v>
      </c>
      <c r="D480">
        <v>5.160698</v>
      </c>
      <c r="E480">
        <v>0.53387869999999904</v>
      </c>
      <c r="F480" t="s">
        <v>44</v>
      </c>
      <c r="G480">
        <v>-370.54629999999997</v>
      </c>
      <c r="H480">
        <v>0.85802630000000002</v>
      </c>
      <c r="I480">
        <v>367.82420000000002</v>
      </c>
      <c r="J480">
        <v>-371.10469999999998</v>
      </c>
      <c r="K480">
        <v>1.120946</v>
      </c>
      <c r="L480">
        <v>367.90129999999999</v>
      </c>
      <c r="M480">
        <v>0.99994459999999996</v>
      </c>
      <c r="N480">
        <v>-1.0251359999999999E-2</v>
      </c>
      <c r="O480">
        <v>2.3600650000000002E-3</v>
      </c>
      <c r="P480">
        <v>0.98749350000000002</v>
      </c>
      <c r="Q480">
        <v>0.157358</v>
      </c>
      <c r="R480">
        <v>-9.7546040000000001E-3</v>
      </c>
      <c r="S480">
        <v>3.1902159999999999</v>
      </c>
      <c r="T480">
        <v>-0.9773461</v>
      </c>
      <c r="U480">
        <v>-0.28305049999999998</v>
      </c>
      <c r="V480">
        <v>1.2065319999999999E-2</v>
      </c>
      <c r="W480">
        <v>0.16747409999999999</v>
      </c>
      <c r="X480">
        <v>0.98580270000000003</v>
      </c>
      <c r="Y480">
        <v>8.6548650000000005E-2</v>
      </c>
      <c r="Z480">
        <v>-1.407301E-2</v>
      </c>
      <c r="AA480">
        <v>0.99614820000000004</v>
      </c>
      <c r="AB480">
        <v>28</v>
      </c>
      <c r="AC480">
        <v>0.558400000000006</v>
      </c>
      <c r="AD480">
        <v>-0.26291969999999898</v>
      </c>
      <c r="AE480">
        <v>-7.7099999999972996E-2</v>
      </c>
      <c r="AF480">
        <v>6.4406293073658999E-2</v>
      </c>
      <c r="AG480">
        <v>-0.26291969999999898</v>
      </c>
      <c r="AH480">
        <v>0.45847617313396699</v>
      </c>
      <c r="AI480">
        <v>119.591730870612</v>
      </c>
      <c r="AJ480">
        <v>82.003471977146006</v>
      </c>
      <c r="AK480">
        <v>0.53242402328139504</v>
      </c>
      <c r="AL480">
        <v>80.359010291873602</v>
      </c>
      <c r="AM480">
        <v>89.298787272351504</v>
      </c>
      <c r="AN480">
        <v>1.00000005472239</v>
      </c>
    </row>
    <row r="481" spans="1:40" x14ac:dyDescent="0.25">
      <c r="A481" t="str">
        <f>"20190303162752751"</f>
        <v>20190303162752751</v>
      </c>
      <c r="B481" t="str">
        <f>"1551601672742163"</f>
        <v>1551601672742163</v>
      </c>
      <c r="C481" t="s">
        <v>40</v>
      </c>
      <c r="D481">
        <v>5.1820060000000003</v>
      </c>
      <c r="E481">
        <v>0.53387810000000002</v>
      </c>
      <c r="F481" t="s">
        <v>44</v>
      </c>
      <c r="G481">
        <v>-370.28620000000001</v>
      </c>
      <c r="H481">
        <v>0.87027389999999905</v>
      </c>
      <c r="I481">
        <v>367.82819999999998</v>
      </c>
      <c r="J481">
        <v>-370.82229999999998</v>
      </c>
      <c r="K481">
        <v>1.1209370000000001</v>
      </c>
      <c r="L481">
        <v>367.90199999999999</v>
      </c>
      <c r="M481">
        <v>0.99994530000000004</v>
      </c>
      <c r="N481">
        <v>-1.017784E-2</v>
      </c>
      <c r="O481">
        <v>2.4399510000000001E-3</v>
      </c>
      <c r="P481">
        <v>0.98739189999999999</v>
      </c>
      <c r="Q481">
        <v>0.1579951</v>
      </c>
      <c r="R481">
        <v>-9.7386039999999997E-3</v>
      </c>
      <c r="S481">
        <v>3.190887</v>
      </c>
      <c r="T481">
        <v>-0.97723009999999999</v>
      </c>
      <c r="U481">
        <v>-0.28338619999999998</v>
      </c>
      <c r="V481">
        <v>1.2127840000000001E-2</v>
      </c>
      <c r="W481">
        <v>0.16803779999999999</v>
      </c>
      <c r="X481">
        <v>0.98570599999999997</v>
      </c>
      <c r="Y481">
        <v>8.6706530000000004E-2</v>
      </c>
      <c r="Z481">
        <v>-1.411306E-2</v>
      </c>
      <c r="AA481">
        <v>0.99613390000000002</v>
      </c>
      <c r="AB481">
        <v>29</v>
      </c>
      <c r="AC481">
        <v>0.53609999999997604</v>
      </c>
      <c r="AD481">
        <v>-0.25066310000000003</v>
      </c>
      <c r="AE481">
        <v>-7.3800000000005597E-2</v>
      </c>
      <c r="AF481">
        <v>6.1839919293642701E-2</v>
      </c>
      <c r="AG481">
        <v>-0.25066310000000003</v>
      </c>
      <c r="AH481">
        <v>0.441247106338647</v>
      </c>
      <c r="AI481">
        <v>119.36126362830601</v>
      </c>
      <c r="AJ481">
        <v>82.022070482114799</v>
      </c>
      <c r="AK481">
        <v>0.51122908189194805</v>
      </c>
      <c r="AL481">
        <v>80.326248357788899</v>
      </c>
      <c r="AM481">
        <v>89.295084958234995</v>
      </c>
      <c r="AN481">
        <v>1.0000000525839501</v>
      </c>
    </row>
    <row r="482" spans="1:40" x14ac:dyDescent="0.25">
      <c r="A482" t="str">
        <f>"20190303162752772"</f>
        <v>20190303162752772</v>
      </c>
      <c r="B482" t="str">
        <f>"1551601672761682"</f>
        <v>1551601672761682</v>
      </c>
      <c r="C482" t="s">
        <v>40</v>
      </c>
      <c r="D482">
        <v>5.1800519999999999</v>
      </c>
      <c r="E482">
        <v>0.53381659999999997</v>
      </c>
      <c r="F482" t="s">
        <v>44</v>
      </c>
      <c r="G482">
        <v>-370.02760000000001</v>
      </c>
      <c r="H482">
        <v>0.87764050000000005</v>
      </c>
      <c r="I482">
        <v>367.83159999999998</v>
      </c>
      <c r="J482">
        <v>-370.56259999999997</v>
      </c>
      <c r="K482">
        <v>1.120932</v>
      </c>
      <c r="L482">
        <v>367.90269999999998</v>
      </c>
      <c r="M482">
        <v>0.9999458</v>
      </c>
      <c r="N482">
        <v>-1.010231E-2</v>
      </c>
      <c r="O482">
        <v>2.5137029999999999E-3</v>
      </c>
      <c r="P482">
        <v>0.98727540000000003</v>
      </c>
      <c r="Q482">
        <v>0.15870689999999901</v>
      </c>
      <c r="R482">
        <v>-9.9610789999999994E-3</v>
      </c>
      <c r="S482">
        <v>3.1918950000000001</v>
      </c>
      <c r="T482">
        <v>-0.97717050000000005</v>
      </c>
      <c r="U482">
        <v>-0.28210449999999998</v>
      </c>
      <c r="V482">
        <v>1.242266E-2</v>
      </c>
      <c r="W482">
        <v>0.16867370000000001</v>
      </c>
      <c r="X482">
        <v>0.98559370000000002</v>
      </c>
      <c r="Y482">
        <v>8.6371820000000002E-2</v>
      </c>
      <c r="Z482">
        <v>-1.407476E-2</v>
      </c>
      <c r="AA482">
        <v>0.99616349999999998</v>
      </c>
      <c r="AB482">
        <v>29</v>
      </c>
      <c r="AC482">
        <v>0.53499999999996795</v>
      </c>
      <c r="AD482">
        <v>-0.24329149999999999</v>
      </c>
      <c r="AE482">
        <v>-7.1100000000001204E-2</v>
      </c>
      <c r="AF482">
        <v>6.02095532714726E-2</v>
      </c>
      <c r="AG482">
        <v>-0.24329149999999999</v>
      </c>
      <c r="AH482">
        <v>0.44449433611287698</v>
      </c>
      <c r="AI482">
        <v>118.475007747883</v>
      </c>
      <c r="AJ482">
        <v>82.285878284466193</v>
      </c>
      <c r="AK482">
        <v>0.51028537027219101</v>
      </c>
      <c r="AL482">
        <v>80.289286270561107</v>
      </c>
      <c r="AM482">
        <v>89.277868456438995</v>
      </c>
      <c r="AN482">
        <v>1.00000004051642</v>
      </c>
    </row>
    <row r="483" spans="1:40" x14ac:dyDescent="0.25">
      <c r="A483" t="str">
        <f>"20190303162752785"</f>
        <v>20190303162752785</v>
      </c>
      <c r="B483" t="str">
        <f>"1551601672782178"</f>
        <v>1551601672782178</v>
      </c>
      <c r="C483" t="s">
        <v>40</v>
      </c>
      <c r="D483">
        <v>5.2052430000000003</v>
      </c>
      <c r="E483">
        <v>0.53377589999999997</v>
      </c>
      <c r="F483" t="s">
        <v>44</v>
      </c>
      <c r="G483">
        <v>-369.77100000000002</v>
      </c>
      <c r="H483">
        <v>0.87874259999999904</v>
      </c>
      <c r="I483">
        <v>367.83269999999999</v>
      </c>
      <c r="J483">
        <v>-370.40679999999998</v>
      </c>
      <c r="K483">
        <v>1.1209290000000001</v>
      </c>
      <c r="L483">
        <v>367.90309999999999</v>
      </c>
      <c r="M483">
        <v>0.99994640000000001</v>
      </c>
      <c r="N483">
        <v>-1.0050369999999999E-2</v>
      </c>
      <c r="O483">
        <v>2.5577719999999998E-3</v>
      </c>
      <c r="P483">
        <v>0.98721979999999998</v>
      </c>
      <c r="Q483">
        <v>0.1590628</v>
      </c>
      <c r="R483">
        <v>-9.8105350000000004E-3</v>
      </c>
      <c r="S483">
        <v>3.1929020000000001</v>
      </c>
      <c r="T483">
        <v>-0.97695140000000003</v>
      </c>
      <c r="U483">
        <v>-0.28192139999999999</v>
      </c>
      <c r="V483">
        <v>1.2315390000000001E-2</v>
      </c>
      <c r="W483">
        <v>0.16897779999999901</v>
      </c>
      <c r="X483">
        <v>0.9855429</v>
      </c>
      <c r="Y483">
        <v>8.633623E-2</v>
      </c>
      <c r="Z483">
        <v>-1.407281E-2</v>
      </c>
      <c r="AA483">
        <v>0.99616660000000001</v>
      </c>
      <c r="AB483">
        <v>29</v>
      </c>
      <c r="AC483">
        <v>0.63580000000001702</v>
      </c>
      <c r="AD483">
        <v>-0.2421864</v>
      </c>
      <c r="AE483">
        <v>-7.0400000000006402E-2</v>
      </c>
      <c r="AF483">
        <v>6.2996228294588605E-2</v>
      </c>
      <c r="AG483">
        <v>-0.2421864</v>
      </c>
      <c r="AH483">
        <v>0.55593092308669201</v>
      </c>
      <c r="AI483">
        <v>113.40638056649099</v>
      </c>
      <c r="AJ483">
        <v>83.535011822112097</v>
      </c>
      <c r="AK483">
        <v>0.60965725483120803</v>
      </c>
      <c r="AL483">
        <v>80.271608353568396</v>
      </c>
      <c r="AM483">
        <v>89.284066532561496</v>
      </c>
      <c r="AN483">
        <v>0.99999998673205004</v>
      </c>
    </row>
    <row r="484" spans="1:40" x14ac:dyDescent="0.25">
      <c r="A484" t="str">
        <f>"20190303162752795"</f>
        <v>20190303162752795</v>
      </c>
      <c r="B484" t="str">
        <f>"1551601672791938"</f>
        <v>1551601672791938</v>
      </c>
      <c r="C484" t="s">
        <v>40</v>
      </c>
      <c r="D484">
        <v>5.1930500000000004</v>
      </c>
      <c r="E484">
        <v>0.53376250000000003</v>
      </c>
      <c r="F484" t="s">
        <v>44</v>
      </c>
      <c r="G484">
        <v>-369.52530000000002</v>
      </c>
      <c r="H484">
        <v>0.85101399999999905</v>
      </c>
      <c r="I484">
        <v>367.82549999999998</v>
      </c>
      <c r="J484">
        <v>-370.25709999999998</v>
      </c>
      <c r="K484">
        <v>1.1209199999999999</v>
      </c>
      <c r="L484">
        <v>367.90359999999998</v>
      </c>
      <c r="M484">
        <v>0.99994680000000002</v>
      </c>
      <c r="N484">
        <v>-9.9837150000000006E-3</v>
      </c>
      <c r="O484">
        <v>2.6005410000000001E-3</v>
      </c>
      <c r="P484">
        <v>0.98719409999999996</v>
      </c>
      <c r="Q484">
        <v>0.1592295</v>
      </c>
      <c r="R484">
        <v>-9.6987189999999997E-3</v>
      </c>
      <c r="S484">
        <v>3.1936040000000001</v>
      </c>
      <c r="T484">
        <v>-0.97787740000000001</v>
      </c>
      <c r="U484">
        <v>-0.28131099999999998</v>
      </c>
      <c r="V484">
        <v>1.224564E-2</v>
      </c>
      <c r="W484">
        <v>0.1690789</v>
      </c>
      <c r="X484">
        <v>0.98552640000000002</v>
      </c>
      <c r="Y484">
        <v>8.617155E-2</v>
      </c>
      <c r="Z484">
        <v>-1.406657E-2</v>
      </c>
      <c r="AA484">
        <v>0.99618099999999998</v>
      </c>
      <c r="AB484">
        <v>29</v>
      </c>
      <c r="AC484">
        <v>0.73179999999996403</v>
      </c>
      <c r="AD484">
        <v>-0.26990599999999998</v>
      </c>
      <c r="AE484">
        <v>-7.8100000000006206E-2</v>
      </c>
      <c r="AF484">
        <v>7.05182192026515E-2</v>
      </c>
      <c r="AG484">
        <v>-0.26990599999999998</v>
      </c>
      <c r="AH484">
        <v>0.64486076025226502</v>
      </c>
      <c r="AI484">
        <v>112.59067654583301</v>
      </c>
      <c r="AJ484">
        <v>83.759264490969798</v>
      </c>
      <c r="AK484">
        <v>0.70261473667198404</v>
      </c>
      <c r="AL484">
        <v>80.265730898473294</v>
      </c>
      <c r="AM484">
        <v>89.288108989985304</v>
      </c>
      <c r="AN484">
        <v>0.99999995761058802</v>
      </c>
    </row>
    <row r="485" spans="1:40" x14ac:dyDescent="0.25">
      <c r="A485" t="str">
        <f>"20190303162752807"</f>
        <v>20190303162752807</v>
      </c>
      <c r="B485" t="str">
        <f>"1551601672801699"</f>
        <v>1551601672801699</v>
      </c>
      <c r="C485" t="s">
        <v>40</v>
      </c>
      <c r="D485">
        <v>5.1934339999999999</v>
      </c>
      <c r="E485">
        <v>0.53373819999999905</v>
      </c>
      <c r="F485" t="s">
        <v>44</v>
      </c>
      <c r="G485">
        <v>-369.50920000000002</v>
      </c>
      <c r="H485">
        <v>0.89184379999999996</v>
      </c>
      <c r="I485">
        <v>367.83789999999999</v>
      </c>
      <c r="J485">
        <v>-370.11720000000003</v>
      </c>
      <c r="K485">
        <v>1.120906</v>
      </c>
      <c r="L485">
        <v>367.904</v>
      </c>
      <c r="M485">
        <v>0.99994749999999999</v>
      </c>
      <c r="N485">
        <v>-9.9134740000000002E-3</v>
      </c>
      <c r="O485">
        <v>2.6402859999999999E-3</v>
      </c>
      <c r="P485">
        <v>0.98712290000000003</v>
      </c>
      <c r="Q485">
        <v>0.15965879999999999</v>
      </c>
      <c r="R485">
        <v>-9.8884939999999994E-3</v>
      </c>
      <c r="S485">
        <v>3.1939389999999999</v>
      </c>
      <c r="T485">
        <v>-0.97821579999999997</v>
      </c>
      <c r="U485">
        <v>-0.28088380000000002</v>
      </c>
      <c r="V485">
        <v>1.24744E-2</v>
      </c>
      <c r="W485">
        <v>0.16943839999999999</v>
      </c>
      <c r="X485">
        <v>0.98546180000000005</v>
      </c>
      <c r="Y485">
        <v>8.6071670000000003E-2</v>
      </c>
      <c r="Z485">
        <v>-1.4062939999999999E-2</v>
      </c>
      <c r="AA485">
        <v>0.99618969999999996</v>
      </c>
      <c r="AB485">
        <v>29</v>
      </c>
      <c r="AC485">
        <v>0.60800000000000398</v>
      </c>
      <c r="AD485">
        <v>-0.22906219999999999</v>
      </c>
      <c r="AE485">
        <v>-6.6100000000005807E-2</v>
      </c>
      <c r="AF485">
        <v>5.9375876323636098E-2</v>
      </c>
      <c r="AG485">
        <v>-0.22906219999999999</v>
      </c>
      <c r="AH485">
        <v>0.53304731153712503</v>
      </c>
      <c r="AI485">
        <v>113.126393800784</v>
      </c>
      <c r="AJ485">
        <v>83.6440524470067</v>
      </c>
      <c r="AK485">
        <v>0.58321044443236503</v>
      </c>
      <c r="AL485">
        <v>80.2448316500207</v>
      </c>
      <c r="AM485">
        <v>89.274764074594501</v>
      </c>
      <c r="AN485">
        <v>0.99999997065457902</v>
      </c>
    </row>
    <row r="486" spans="1:40" x14ac:dyDescent="0.25">
      <c r="A486" t="str">
        <f>"20190303162752822"</f>
        <v>20190303162752822</v>
      </c>
      <c r="B486" t="str">
        <f>"1551601672812434"</f>
        <v>1551601672812434</v>
      </c>
      <c r="C486" t="s">
        <v>40</v>
      </c>
      <c r="D486">
        <v>5.228192</v>
      </c>
      <c r="E486">
        <v>0.53372159999999902</v>
      </c>
      <c r="F486" t="s">
        <v>44</v>
      </c>
      <c r="G486">
        <v>-369.2645</v>
      </c>
      <c r="H486">
        <v>0.85992119999999905</v>
      </c>
      <c r="I486">
        <v>367.82870000000003</v>
      </c>
      <c r="J486">
        <v>-369.92250000000001</v>
      </c>
      <c r="K486">
        <v>1.1208849999999999</v>
      </c>
      <c r="L486">
        <v>367.90460000000002</v>
      </c>
      <c r="M486">
        <v>0.99994850000000002</v>
      </c>
      <c r="N486">
        <v>-9.7949040000000001E-3</v>
      </c>
      <c r="O486">
        <v>2.695879E-3</v>
      </c>
      <c r="P486">
        <v>0.98709210000000003</v>
      </c>
      <c r="Q486">
        <v>0.1598453</v>
      </c>
      <c r="R486">
        <v>-9.9282710000000007E-3</v>
      </c>
      <c r="S486">
        <v>3.1944889999999999</v>
      </c>
      <c r="T486">
        <v>-0.97772289999999995</v>
      </c>
      <c r="U486">
        <v>-0.28134160000000002</v>
      </c>
      <c r="V486">
        <v>1.2569240000000001E-2</v>
      </c>
      <c r="W486">
        <v>0.16950750000000001</v>
      </c>
      <c r="X486">
        <v>0.98544880000000001</v>
      </c>
      <c r="Y486">
        <v>8.6249980000000004E-2</v>
      </c>
      <c r="Z486">
        <v>-1.40927E-2</v>
      </c>
      <c r="AA486">
        <v>0.99617389999999995</v>
      </c>
      <c r="AB486">
        <v>29</v>
      </c>
      <c r="AC486">
        <v>0.65800000000001502</v>
      </c>
      <c r="AD486">
        <v>-0.26096380000000002</v>
      </c>
      <c r="AE486">
        <v>-7.5899999999990003E-2</v>
      </c>
      <c r="AF486">
        <v>6.7236717617012595E-2</v>
      </c>
      <c r="AG486">
        <v>-0.26096380000000002</v>
      </c>
      <c r="AH486">
        <v>0.56940563416978296</v>
      </c>
      <c r="AI486">
        <v>114.472510678923</v>
      </c>
      <c r="AJ486">
        <v>83.265568319754294</v>
      </c>
      <c r="AK486">
        <v>0.62995686942094897</v>
      </c>
      <c r="AL486">
        <v>80.240815261024693</v>
      </c>
      <c r="AM486">
        <v>89.269241229003597</v>
      </c>
      <c r="AN486">
        <v>1.00000005788593</v>
      </c>
    </row>
    <row r="487" spans="1:40" x14ac:dyDescent="0.25">
      <c r="A487" t="str">
        <f>"20190303162752840"</f>
        <v>20190303162752840</v>
      </c>
      <c r="B487" t="str">
        <f>"1551601672831954"</f>
        <v>1551601672831954</v>
      </c>
      <c r="C487" t="s">
        <v>40</v>
      </c>
      <c r="D487">
        <v>5.2408609999999998</v>
      </c>
      <c r="E487">
        <v>0.53366429999999998</v>
      </c>
      <c r="F487" t="s">
        <v>44</v>
      </c>
      <c r="G487">
        <v>-369.24290000000002</v>
      </c>
      <c r="H487">
        <v>0.91279999999999994</v>
      </c>
      <c r="I487">
        <v>367.84449999999998</v>
      </c>
      <c r="J487">
        <v>-369.68720000000002</v>
      </c>
      <c r="K487">
        <v>1.120849</v>
      </c>
      <c r="L487">
        <v>367.90530000000001</v>
      </c>
      <c r="M487">
        <v>0.99995009999999995</v>
      </c>
      <c r="N487">
        <v>-9.6087819999999997E-3</v>
      </c>
      <c r="O487">
        <v>2.7631119999999999E-3</v>
      </c>
      <c r="P487">
        <v>0.98700699999999997</v>
      </c>
      <c r="Q487">
        <v>0.16037319999999999</v>
      </c>
      <c r="R487">
        <v>-9.8889470000000004E-3</v>
      </c>
      <c r="S487">
        <v>3.1948240000000001</v>
      </c>
      <c r="T487">
        <v>-0.97809489999999999</v>
      </c>
      <c r="U487">
        <v>-0.28149410000000002</v>
      </c>
      <c r="V487">
        <v>1.259563E-2</v>
      </c>
      <c r="W487">
        <v>0.169851</v>
      </c>
      <c r="X487">
        <v>0.98538919999999997</v>
      </c>
      <c r="Y487">
        <v>8.6347709999999994E-2</v>
      </c>
      <c r="Z487">
        <v>-1.412308E-2</v>
      </c>
      <c r="AA487">
        <v>0.99616499999999997</v>
      </c>
      <c r="AB487">
        <v>29</v>
      </c>
      <c r="AC487">
        <v>0.44429999999999797</v>
      </c>
      <c r="AD487">
        <v>-0.20804900000000001</v>
      </c>
      <c r="AE487">
        <v>-6.0800000000028803E-2</v>
      </c>
      <c r="AF487">
        <v>5.1041377364632302E-2</v>
      </c>
      <c r="AG487">
        <v>-0.20804900000000001</v>
      </c>
      <c r="AH487">
        <v>0.36546743419844302</v>
      </c>
      <c r="AI487">
        <v>119.41414482830901</v>
      </c>
      <c r="AJ487">
        <v>82.049466519110894</v>
      </c>
      <c r="AK487">
        <v>0.423622537247338</v>
      </c>
      <c r="AL487">
        <v>80.2208434469499</v>
      </c>
      <c r="AM487">
        <v>89.267662829699702</v>
      </c>
      <c r="AN487">
        <v>0.99999994378636603</v>
      </c>
    </row>
    <row r="488" spans="1:40" x14ac:dyDescent="0.25">
      <c r="A488" t="str">
        <f>"20190303162752853"</f>
        <v>20190303162752853</v>
      </c>
      <c r="B488" t="str">
        <f>"1551601672841714"</f>
        <v>1551601672841714</v>
      </c>
      <c r="C488" t="s">
        <v>40</v>
      </c>
      <c r="D488">
        <v>5.2491399999999997</v>
      </c>
      <c r="E488">
        <v>0.53364160000000005</v>
      </c>
      <c r="F488" t="s">
        <v>44</v>
      </c>
      <c r="G488">
        <v>-368.98759999999999</v>
      </c>
      <c r="H488">
        <v>0.90665580000000001</v>
      </c>
      <c r="I488">
        <v>367.84359999999998</v>
      </c>
      <c r="J488">
        <v>-369.51900000000001</v>
      </c>
      <c r="K488">
        <v>1.120816</v>
      </c>
      <c r="L488">
        <v>367.9058</v>
      </c>
      <c r="M488">
        <v>0.99995149999999999</v>
      </c>
      <c r="N488">
        <v>-9.4466080000000004E-3</v>
      </c>
      <c r="O488">
        <v>2.811203E-3</v>
      </c>
      <c r="P488">
        <v>0.98696209999999995</v>
      </c>
      <c r="Q488">
        <v>0.16065279999999901</v>
      </c>
      <c r="R488">
        <v>-9.8458420000000005E-3</v>
      </c>
      <c r="S488">
        <v>3.1956479999999998</v>
      </c>
      <c r="T488">
        <v>-0.97840090000000002</v>
      </c>
      <c r="U488">
        <v>-0.28094479999999999</v>
      </c>
      <c r="V488">
        <v>1.2599829999999999E-2</v>
      </c>
      <c r="W488">
        <v>0.16997029999999999</v>
      </c>
      <c r="X488">
        <v>0.98536860000000004</v>
      </c>
      <c r="Y488">
        <v>8.6209179999999996E-2</v>
      </c>
      <c r="Z488">
        <v>-1.4109719999999999E-2</v>
      </c>
      <c r="AA488">
        <v>0.99617710000000004</v>
      </c>
      <c r="AB488">
        <v>29</v>
      </c>
      <c r="AC488">
        <v>0.53140000000001897</v>
      </c>
      <c r="AD488">
        <v>-0.214160199999999</v>
      </c>
      <c r="AE488">
        <v>-6.22000000000184E-2</v>
      </c>
      <c r="AF488">
        <v>5.4897805199255502E-2</v>
      </c>
      <c r="AG488">
        <v>-0.214160199999999</v>
      </c>
      <c r="AH488">
        <v>0.45786288832927602</v>
      </c>
      <c r="AI488">
        <v>114.910741054426</v>
      </c>
      <c r="AJ488">
        <v>83.162869359785503</v>
      </c>
      <c r="AK488">
        <v>0.50844545901105498</v>
      </c>
      <c r="AL488">
        <v>80.213907444992003</v>
      </c>
      <c r="AM488">
        <v>89.267403345634705</v>
      </c>
      <c r="AN488">
        <v>0.99999996823203896</v>
      </c>
    </row>
    <row r="489" spans="1:40" x14ac:dyDescent="0.25">
      <c r="A489" t="str">
        <f>"20190303162752867"</f>
        <v>20190303162752867</v>
      </c>
      <c r="B489" t="str">
        <f>"1551601672862211"</f>
        <v>1551601672862211</v>
      </c>
      <c r="C489" t="s">
        <v>40</v>
      </c>
      <c r="D489">
        <v>5.2687299999999997</v>
      </c>
      <c r="E489">
        <v>0.53359569999999901</v>
      </c>
      <c r="F489" t="s">
        <v>44</v>
      </c>
      <c r="G489">
        <v>-368.73869999999999</v>
      </c>
      <c r="H489">
        <v>0.88198650000000001</v>
      </c>
      <c r="I489">
        <v>367.8372</v>
      </c>
      <c r="J489">
        <v>-369.34969999999998</v>
      </c>
      <c r="K489">
        <v>1.1207830000000001</v>
      </c>
      <c r="L489">
        <v>367.90629999999999</v>
      </c>
      <c r="M489">
        <v>0.99995310000000004</v>
      </c>
      <c r="N489">
        <v>-9.269022E-3</v>
      </c>
      <c r="O489">
        <v>2.8596490000000001E-3</v>
      </c>
      <c r="P489">
        <v>0.98689660000000001</v>
      </c>
      <c r="Q489">
        <v>0.16106799999999999</v>
      </c>
      <c r="R489">
        <v>-9.6269349999999997E-3</v>
      </c>
      <c r="S489">
        <v>3.1961059999999999</v>
      </c>
      <c r="T489">
        <v>-0.9782459</v>
      </c>
      <c r="U489">
        <v>-0.27993770000000001</v>
      </c>
      <c r="V489">
        <v>1.242853E-2</v>
      </c>
      <c r="W489">
        <v>0.17021</v>
      </c>
      <c r="X489">
        <v>0.98532940000000002</v>
      </c>
      <c r="Y489">
        <v>8.5948209999999997E-2</v>
      </c>
      <c r="Z489">
        <v>-1.4072400000000001E-2</v>
      </c>
      <c r="AA489">
        <v>0.99620019999999998</v>
      </c>
      <c r="AB489">
        <v>29</v>
      </c>
      <c r="AC489">
        <v>0.61099999999999</v>
      </c>
      <c r="AD489">
        <v>-0.23879649999999999</v>
      </c>
      <c r="AE489">
        <v>-6.9099999999991696E-2</v>
      </c>
      <c r="AF489">
        <v>6.1562314052606502E-2</v>
      </c>
      <c r="AG489">
        <v>-0.23879649999999999</v>
      </c>
      <c r="AH489">
        <v>0.53075267378109903</v>
      </c>
      <c r="AI489">
        <v>114.08101920887999</v>
      </c>
      <c r="AJ489">
        <v>83.383794280994096</v>
      </c>
      <c r="AK489">
        <v>0.58524532262081996</v>
      </c>
      <c r="AL489">
        <v>80.199970577358599</v>
      </c>
      <c r="AM489">
        <v>89.277333496356903</v>
      </c>
      <c r="AN489">
        <v>0.99999996948115899</v>
      </c>
    </row>
    <row r="490" spans="1:40" x14ac:dyDescent="0.25">
      <c r="A490" t="str">
        <f>"20190303162752884"</f>
        <v>20190303162752884</v>
      </c>
      <c r="B490" t="str">
        <f>"1551601672871971"</f>
        <v>1551601672871971</v>
      </c>
      <c r="C490" t="s">
        <v>40</v>
      </c>
      <c r="D490">
        <v>5.264043</v>
      </c>
      <c r="E490">
        <v>0.53357589999999999</v>
      </c>
      <c r="F490" t="s">
        <v>44</v>
      </c>
      <c r="G490">
        <v>-368.48860000000002</v>
      </c>
      <c r="H490">
        <v>0.85721049999999999</v>
      </c>
      <c r="I490">
        <v>367.83089999999999</v>
      </c>
      <c r="J490">
        <v>-369.12209999999999</v>
      </c>
      <c r="K490">
        <v>1.120733</v>
      </c>
      <c r="L490">
        <v>367.90699999999998</v>
      </c>
      <c r="M490">
        <v>0.99995529999999999</v>
      </c>
      <c r="N490">
        <v>-9.0027819999999904E-3</v>
      </c>
      <c r="O490">
        <v>2.9248080000000001E-3</v>
      </c>
      <c r="P490">
        <v>0.98681560000000001</v>
      </c>
      <c r="Q490">
        <v>0.16156139999999999</v>
      </c>
      <c r="R490">
        <v>-9.6482540000000002E-3</v>
      </c>
      <c r="S490">
        <v>3.196869</v>
      </c>
      <c r="T490">
        <v>-0.97843480000000005</v>
      </c>
      <c r="U490">
        <v>-0.27896120000000002</v>
      </c>
      <c r="V490">
        <v>1.2513969999999999E-2</v>
      </c>
      <c r="W490">
        <v>0.17044019999999999</v>
      </c>
      <c r="X490">
        <v>0.98528859999999996</v>
      </c>
      <c r="Y490">
        <v>8.5702719999999996E-2</v>
      </c>
      <c r="Z490">
        <v>-1.404208E-2</v>
      </c>
      <c r="AA490">
        <v>0.99622180000000005</v>
      </c>
      <c r="AB490">
        <v>29</v>
      </c>
      <c r="AC490">
        <v>0.63349999999996898</v>
      </c>
      <c r="AD490">
        <v>-0.26352249999999999</v>
      </c>
      <c r="AE490">
        <v>-7.6099999999996698E-2</v>
      </c>
      <c r="AF490">
        <v>6.65933373806646E-2</v>
      </c>
      <c r="AG490">
        <v>-0.26352249999999999</v>
      </c>
      <c r="AH490">
        <v>0.54099372852121297</v>
      </c>
      <c r="AI490">
        <v>115.801874830792</v>
      </c>
      <c r="AJ490">
        <v>82.982507780451002</v>
      </c>
      <c r="AK490">
        <v>0.605436202162564</v>
      </c>
      <c r="AL490">
        <v>80.186586235908806</v>
      </c>
      <c r="AM490">
        <v>89.272335926203496</v>
      </c>
      <c r="AN490">
        <v>1.00000004325557</v>
      </c>
    </row>
    <row r="491" spans="1:40" x14ac:dyDescent="0.25">
      <c r="A491" t="str">
        <f>"20190303162752896"</f>
        <v>20190303162752896</v>
      </c>
      <c r="B491" t="str">
        <f>"1551601672881730"</f>
        <v>1551601672881730</v>
      </c>
      <c r="C491" t="s">
        <v>40</v>
      </c>
      <c r="D491">
        <v>5.2811719999999998</v>
      </c>
      <c r="E491">
        <v>0.53355869999999905</v>
      </c>
      <c r="F491" t="s">
        <v>44</v>
      </c>
      <c r="G491">
        <v>-368.23110000000003</v>
      </c>
      <c r="H491">
        <v>0.84827339999999996</v>
      </c>
      <c r="I491">
        <v>367.82920000000001</v>
      </c>
      <c r="J491">
        <v>-368.95409999999998</v>
      </c>
      <c r="K491">
        <v>1.120698</v>
      </c>
      <c r="L491">
        <v>367.90750000000003</v>
      </c>
      <c r="M491">
        <v>0.99995699999999998</v>
      </c>
      <c r="N491">
        <v>-8.7945719999999901E-3</v>
      </c>
      <c r="O491">
        <v>2.9728720000000001E-3</v>
      </c>
      <c r="P491">
        <v>0.98676940000000002</v>
      </c>
      <c r="Q491">
        <v>0.16184560000000001</v>
      </c>
      <c r="R491">
        <v>-9.6117819999999993E-3</v>
      </c>
      <c r="S491">
        <v>3.1974490000000002</v>
      </c>
      <c r="T491">
        <v>-0.97769209999999995</v>
      </c>
      <c r="U491">
        <v>-0.27877809999999997</v>
      </c>
      <c r="V491">
        <v>1.2524749999999999E-2</v>
      </c>
      <c r="W491">
        <v>0.17051920000000001</v>
      </c>
      <c r="X491">
        <v>0.98527469999999995</v>
      </c>
      <c r="Y491">
        <v>8.5687070000000004E-2</v>
      </c>
      <c r="Z491">
        <v>-1.403278E-2</v>
      </c>
      <c r="AA491">
        <v>0.99622330000000003</v>
      </c>
      <c r="AB491">
        <v>29</v>
      </c>
      <c r="AC491">
        <v>0.72299999999995601</v>
      </c>
      <c r="AD491">
        <v>-0.27242459999999902</v>
      </c>
      <c r="AE491">
        <v>-7.8300000000012901E-2</v>
      </c>
      <c r="AF491">
        <v>7.0548954622262197E-2</v>
      </c>
      <c r="AG491">
        <v>-0.27242459999999902</v>
      </c>
      <c r="AH491">
        <v>0.63381978477026202</v>
      </c>
      <c r="AI491">
        <v>113.131005603153</v>
      </c>
      <c r="AJ491">
        <v>83.648688200102796</v>
      </c>
      <c r="AK491">
        <v>0.69348384065504698</v>
      </c>
      <c r="AL491">
        <v>80.181991706762005</v>
      </c>
      <c r="AM491">
        <v>89.271698883315594</v>
      </c>
      <c r="AN491">
        <v>0.99999995069564496</v>
      </c>
    </row>
    <row r="492" spans="1:40" x14ac:dyDescent="0.25">
      <c r="A492" t="str">
        <f>"20190303162752910"</f>
        <v>20190303162752910</v>
      </c>
      <c r="B492" t="str">
        <f>"1551601672902227"</f>
        <v>1551601672902227</v>
      </c>
      <c r="C492" t="s">
        <v>40</v>
      </c>
      <c r="D492">
        <v>5.3069269999999999</v>
      </c>
      <c r="E492">
        <v>0.53351440000000006</v>
      </c>
      <c r="F492" t="s">
        <v>44</v>
      </c>
      <c r="G492">
        <v>-368.2131</v>
      </c>
      <c r="H492">
        <v>0.89415849999999997</v>
      </c>
      <c r="I492">
        <v>367.84269999999998</v>
      </c>
      <c r="J492">
        <v>-368.78440000000001</v>
      </c>
      <c r="K492">
        <v>1.1206640000000001</v>
      </c>
      <c r="L492">
        <v>367.90809999999999</v>
      </c>
      <c r="M492">
        <v>0.99995860000000003</v>
      </c>
      <c r="N492">
        <v>-8.5842369999999998E-3</v>
      </c>
      <c r="O492">
        <v>3.021223E-3</v>
      </c>
      <c r="P492">
        <v>0.98672599999999999</v>
      </c>
      <c r="Q492">
        <v>0.16211489999999901</v>
      </c>
      <c r="R492">
        <v>-9.5215370000000001E-3</v>
      </c>
      <c r="S492">
        <v>3.197845</v>
      </c>
      <c r="T492">
        <v>-0.97755440000000005</v>
      </c>
      <c r="U492">
        <v>-0.27874759999999998</v>
      </c>
      <c r="V492">
        <v>1.248195E-2</v>
      </c>
      <c r="W492">
        <v>0.17058019999999999</v>
      </c>
      <c r="X492">
        <v>0.98526469999999999</v>
      </c>
      <c r="Y492">
        <v>8.5716399999999998E-2</v>
      </c>
      <c r="Z492">
        <v>-1.403921E-2</v>
      </c>
      <c r="AA492">
        <v>0.99622060000000001</v>
      </c>
      <c r="AB492">
        <v>29</v>
      </c>
      <c r="AC492">
        <v>0.57130000000000702</v>
      </c>
      <c r="AD492">
        <v>-0.226505499999999</v>
      </c>
      <c r="AE492">
        <v>-6.5400000000010894E-2</v>
      </c>
      <c r="AF492">
        <v>5.8109607770844202E-2</v>
      </c>
      <c r="AG492">
        <v>-0.226505499999999</v>
      </c>
      <c r="AH492">
        <v>0.49439098327139602</v>
      </c>
      <c r="AI492">
        <v>114.466401991014</v>
      </c>
      <c r="AJ492">
        <v>83.296340249417696</v>
      </c>
      <c r="AK492">
        <v>0.54690393341572296</v>
      </c>
      <c r="AL492">
        <v>80.178444852701602</v>
      </c>
      <c r="AM492">
        <v>89.274180025972896</v>
      </c>
      <c r="AN492">
        <v>0.99999996638696498</v>
      </c>
    </row>
    <row r="493" spans="1:40" x14ac:dyDescent="0.25">
      <c r="A493" t="str">
        <f>"20190303162752930"</f>
        <v>20190303162752930</v>
      </c>
      <c r="B493" t="str">
        <f>"1551601672921746"</f>
        <v>1551601672921746</v>
      </c>
      <c r="C493" t="s">
        <v>40</v>
      </c>
      <c r="D493">
        <v>5.2985319999999998</v>
      </c>
      <c r="E493">
        <v>0.5334873</v>
      </c>
      <c r="F493" t="s">
        <v>44</v>
      </c>
      <c r="G493">
        <v>-367.96109999999999</v>
      </c>
      <c r="H493">
        <v>0.86887320000000001</v>
      </c>
      <c r="I493">
        <v>367.8365</v>
      </c>
      <c r="J493">
        <v>-368.50839999999999</v>
      </c>
      <c r="K493">
        <v>1.120609</v>
      </c>
      <c r="L493">
        <v>367.90899999999999</v>
      </c>
      <c r="M493">
        <v>0.99996119999999999</v>
      </c>
      <c r="N493">
        <v>-8.2471999999999997E-3</v>
      </c>
      <c r="O493">
        <v>3.099578E-3</v>
      </c>
      <c r="P493">
        <v>0.98669799999999996</v>
      </c>
      <c r="Q493">
        <v>0.16228419999999999</v>
      </c>
      <c r="R493">
        <v>-9.5438550000000004E-3</v>
      </c>
      <c r="S493">
        <v>3.1983640000000002</v>
      </c>
      <c r="T493">
        <v>-0.9781417</v>
      </c>
      <c r="U493">
        <v>-0.27813719999999997</v>
      </c>
      <c r="V493">
        <v>1.258108E-2</v>
      </c>
      <c r="W493">
        <v>0.17041770000000001</v>
      </c>
      <c r="X493">
        <v>0.98529160000000005</v>
      </c>
      <c r="Y493">
        <v>8.5594699999999996E-2</v>
      </c>
      <c r="Z493">
        <v>-1.403533E-2</v>
      </c>
      <c r="AA493">
        <v>0.99623119999999998</v>
      </c>
      <c r="AB493">
        <v>29</v>
      </c>
      <c r="AC493">
        <v>0.547300000000007</v>
      </c>
      <c r="AD493">
        <v>-0.25173579999999901</v>
      </c>
      <c r="AE493">
        <v>-7.2499999999990905E-2</v>
      </c>
      <c r="AF493">
        <v>6.1424981024742899E-2</v>
      </c>
      <c r="AG493">
        <v>-0.25173579999999901</v>
      </c>
      <c r="AH493">
        <v>0.45290686364182098</v>
      </c>
      <c r="AI493">
        <v>118.845096018059</v>
      </c>
      <c r="AJ493">
        <v>82.276449885584796</v>
      </c>
      <c r="AK493">
        <v>0.52179360711817901</v>
      </c>
      <c r="AL493">
        <v>80.187894167462801</v>
      </c>
      <c r="AM493">
        <v>89.268436254756907</v>
      </c>
      <c r="AN493">
        <v>1.0000000065389001</v>
      </c>
    </row>
    <row r="494" spans="1:40" x14ac:dyDescent="0.25">
      <c r="A494" t="str">
        <f>"20190303162752952"</f>
        <v>20190303162752952</v>
      </c>
      <c r="B494" t="str">
        <f>"1551601672942241"</f>
        <v>1551601672942241</v>
      </c>
      <c r="C494" t="s">
        <v>40</v>
      </c>
      <c r="D494">
        <v>5.3420560000000004</v>
      </c>
      <c r="E494">
        <v>0.53345629999999999</v>
      </c>
      <c r="F494" t="s">
        <v>44</v>
      </c>
      <c r="G494">
        <v>-367.6968</v>
      </c>
      <c r="H494">
        <v>0.87218669999999998</v>
      </c>
      <c r="I494">
        <v>367.83839999999998</v>
      </c>
      <c r="J494">
        <v>-368.22609999999997</v>
      </c>
      <c r="K494">
        <v>1.1205590000000001</v>
      </c>
      <c r="L494">
        <v>367.91</v>
      </c>
      <c r="M494">
        <v>0.99996370000000001</v>
      </c>
      <c r="N494">
        <v>-7.921651E-3</v>
      </c>
      <c r="O494">
        <v>3.1797959999999999E-3</v>
      </c>
      <c r="P494">
        <v>0.98663469999999998</v>
      </c>
      <c r="Q494">
        <v>0.1626756</v>
      </c>
      <c r="R494">
        <v>-9.4339070000000001E-3</v>
      </c>
      <c r="S494">
        <v>3.1987920000000001</v>
      </c>
      <c r="T494">
        <v>-0.97909049999999997</v>
      </c>
      <c r="U494">
        <v>-0.27746579999999998</v>
      </c>
      <c r="V494">
        <v>1.255012E-2</v>
      </c>
      <c r="W494">
        <v>0.17048769999999999</v>
      </c>
      <c r="X494">
        <v>0.98527989999999999</v>
      </c>
      <c r="Y494">
        <v>8.5455870000000003E-2</v>
      </c>
      <c r="Z494">
        <v>-1.403517E-2</v>
      </c>
      <c r="AA494">
        <v>0.99624310000000005</v>
      </c>
      <c r="AB494">
        <v>29</v>
      </c>
      <c r="AC494">
        <v>0.52929999999997701</v>
      </c>
      <c r="AD494">
        <v>-0.24837229999999999</v>
      </c>
      <c r="AE494">
        <v>-7.1600000000046293E-2</v>
      </c>
      <c r="AF494">
        <v>6.02537479963932E-2</v>
      </c>
      <c r="AG494">
        <v>-0.24837229999999999</v>
      </c>
      <c r="AH494">
        <v>0.43500586552291498</v>
      </c>
      <c r="AI494">
        <v>119.49091649277401</v>
      </c>
      <c r="AJ494">
        <v>82.113996000050705</v>
      </c>
      <c r="AK494">
        <v>0.50452890560823505</v>
      </c>
      <c r="AL494">
        <v>80.183824044892106</v>
      </c>
      <c r="AM494">
        <v>89.270227654843595</v>
      </c>
      <c r="AN494">
        <v>1.00000002135365</v>
      </c>
    </row>
    <row r="495" spans="1:40" x14ac:dyDescent="0.25">
      <c r="A495" t="str">
        <f>"20190303162752973"</f>
        <v>20190303162752973</v>
      </c>
      <c r="B495" t="str">
        <f>"1551601672961762"</f>
        <v>1551601672961762</v>
      </c>
      <c r="C495" t="s">
        <v>40</v>
      </c>
      <c r="D495">
        <v>5.3450709999999999</v>
      </c>
      <c r="E495">
        <v>0.53342990000000001</v>
      </c>
      <c r="F495" t="s">
        <v>44</v>
      </c>
      <c r="G495">
        <v>-367.43090000000001</v>
      </c>
      <c r="H495">
        <v>0.87712259999999997</v>
      </c>
      <c r="I495">
        <v>367.84100000000001</v>
      </c>
      <c r="J495">
        <v>-367.95519999999999</v>
      </c>
      <c r="K495">
        <v>1.120525</v>
      </c>
      <c r="L495">
        <v>367.91090000000003</v>
      </c>
      <c r="M495">
        <v>0.99996549999999995</v>
      </c>
      <c r="N495">
        <v>-7.6360129999999997E-3</v>
      </c>
      <c r="O495">
        <v>3.2571900000000001E-3</v>
      </c>
      <c r="P495">
        <v>0.9865623</v>
      </c>
      <c r="Q495">
        <v>0.16310459999999999</v>
      </c>
      <c r="R495">
        <v>-9.5657099999999998E-3</v>
      </c>
      <c r="S495">
        <v>3.1995239999999998</v>
      </c>
      <c r="T495">
        <v>-0.97949699999999995</v>
      </c>
      <c r="U495">
        <v>-0.2767944</v>
      </c>
      <c r="V495">
        <v>1.2757930000000001E-2</v>
      </c>
      <c r="W495">
        <v>0.17063420000000001</v>
      </c>
      <c r="X495">
        <v>0.98525180000000001</v>
      </c>
      <c r="Y495">
        <v>8.5311199999999907E-2</v>
      </c>
      <c r="Z495">
        <v>-1.4026479999999999E-2</v>
      </c>
      <c r="AA495">
        <v>0.99625560000000002</v>
      </c>
      <c r="AB495">
        <v>29</v>
      </c>
      <c r="AC495">
        <v>0.524299999999982</v>
      </c>
      <c r="AD495">
        <v>-0.24340239999999899</v>
      </c>
      <c r="AE495">
        <v>-6.9900000000018198E-2</v>
      </c>
      <c r="AF495">
        <v>5.90938640990177E-2</v>
      </c>
      <c r="AG495">
        <v>-0.24340239999999899</v>
      </c>
      <c r="AH495">
        <v>0.432487195001998</v>
      </c>
      <c r="AI495">
        <v>119.144718509207</v>
      </c>
      <c r="AJ495">
        <v>82.219443425148796</v>
      </c>
      <c r="AK495">
        <v>0.49978193939018001</v>
      </c>
      <c r="AL495">
        <v>80.175304704419901</v>
      </c>
      <c r="AM495">
        <v>89.258123970731603</v>
      </c>
      <c r="AN495">
        <v>0.99999995219538096</v>
      </c>
    </row>
    <row r="496" spans="1:40" x14ac:dyDescent="0.25">
      <c r="A496" t="str">
        <f>"20190303162752986"</f>
        <v>20190303162752986</v>
      </c>
      <c r="B496" t="str">
        <f>"1551601672982259"</f>
        <v>1551601672982259</v>
      </c>
      <c r="C496" t="s">
        <v>40</v>
      </c>
      <c r="D496">
        <v>5.3523839999999998</v>
      </c>
      <c r="E496">
        <v>0.53340129999999997</v>
      </c>
      <c r="F496" t="s">
        <v>44</v>
      </c>
      <c r="G496">
        <v>-367.1653</v>
      </c>
      <c r="H496">
        <v>0.87870590000000004</v>
      </c>
      <c r="I496">
        <v>367.84219999999999</v>
      </c>
      <c r="J496">
        <v>-367.78379999999999</v>
      </c>
      <c r="K496">
        <v>1.1205130000000001</v>
      </c>
      <c r="L496">
        <v>367.91149999999999</v>
      </c>
      <c r="M496">
        <v>0.99996669999999999</v>
      </c>
      <c r="N496">
        <v>-7.4684349999999998E-3</v>
      </c>
      <c r="O496">
        <v>3.30562E-3</v>
      </c>
      <c r="P496">
        <v>0.98654229999999998</v>
      </c>
      <c r="Q496">
        <v>0.16322130000000001</v>
      </c>
      <c r="R496">
        <v>-9.6583180000000008E-3</v>
      </c>
      <c r="S496">
        <v>3.2000730000000002</v>
      </c>
      <c r="T496">
        <v>-0.97966399999999998</v>
      </c>
      <c r="U496">
        <v>-0.27685549999999998</v>
      </c>
      <c r="V496">
        <v>1.2897809999999999E-2</v>
      </c>
      <c r="W496">
        <v>0.1705863</v>
      </c>
      <c r="X496">
        <v>0.98525830000000003</v>
      </c>
      <c r="Y496">
        <v>8.5361259999999994E-2</v>
      </c>
      <c r="Z496">
        <v>-1.404146E-2</v>
      </c>
      <c r="AA496">
        <v>0.99625109999999995</v>
      </c>
      <c r="AB496">
        <v>30</v>
      </c>
      <c r="AC496">
        <v>0.61849999999998295</v>
      </c>
      <c r="AD496">
        <v>-0.241807099999999</v>
      </c>
      <c r="AE496">
        <v>-6.9299999999998294E-2</v>
      </c>
      <c r="AF496">
        <v>6.1987094651438097E-2</v>
      </c>
      <c r="AG496">
        <v>-0.241807099999999</v>
      </c>
      <c r="AH496">
        <v>0.537178998719408</v>
      </c>
      <c r="AI496">
        <v>114.09300554863199</v>
      </c>
      <c r="AJ496">
        <v>83.417539313420406</v>
      </c>
      <c r="AK496">
        <v>0.59234647815186803</v>
      </c>
      <c r="AL496">
        <v>80.1780902696472</v>
      </c>
      <c r="AM496">
        <v>89.249995793974506</v>
      </c>
      <c r="AN496">
        <v>0.99999997848468702</v>
      </c>
    </row>
    <row r="497" spans="1:40" x14ac:dyDescent="0.25">
      <c r="A497" t="str">
        <f>"20190303162752998"</f>
        <v>20190303162752998</v>
      </c>
      <c r="B497" t="str">
        <f>"1551601672992018"</f>
        <v>1551601672992018</v>
      </c>
      <c r="C497" t="s">
        <v>40</v>
      </c>
      <c r="D497">
        <v>5.3514710000000001</v>
      </c>
      <c r="E497">
        <v>0.5333871</v>
      </c>
      <c r="F497" t="s">
        <v>44</v>
      </c>
      <c r="G497">
        <v>-366.90949999999998</v>
      </c>
      <c r="H497">
        <v>0.85256849999999995</v>
      </c>
      <c r="I497">
        <v>367.83580000000001</v>
      </c>
      <c r="J497">
        <v>-367.61059999999998</v>
      </c>
      <c r="K497">
        <v>1.120501</v>
      </c>
      <c r="L497">
        <v>367.91210000000001</v>
      </c>
      <c r="M497">
        <v>0.99996770000000001</v>
      </c>
      <c r="N497">
        <v>-7.3144949999999999E-3</v>
      </c>
      <c r="O497">
        <v>3.3542870000000001E-3</v>
      </c>
      <c r="P497">
        <v>0.98649439999999999</v>
      </c>
      <c r="Q497">
        <v>0.16351969999999999</v>
      </c>
      <c r="R497">
        <v>-9.5019660000000006E-3</v>
      </c>
      <c r="S497">
        <v>3.2004700000000001</v>
      </c>
      <c r="T497">
        <v>-0.98089970000000004</v>
      </c>
      <c r="U497">
        <v>-0.27664179999999999</v>
      </c>
      <c r="V497">
        <v>1.278931E-2</v>
      </c>
      <c r="W497">
        <v>0.17073250000000001</v>
      </c>
      <c r="X497">
        <v>0.98523439999999995</v>
      </c>
      <c r="Y497">
        <v>8.532547E-2</v>
      </c>
      <c r="Z497">
        <v>-1.4058940000000001E-2</v>
      </c>
      <c r="AA497">
        <v>0.99625399999999997</v>
      </c>
      <c r="AB497">
        <v>30</v>
      </c>
      <c r="AC497">
        <v>0.70109999999999595</v>
      </c>
      <c r="AD497">
        <v>-0.26793249999999902</v>
      </c>
      <c r="AE497">
        <v>-7.6300000000003296E-2</v>
      </c>
      <c r="AF497">
        <v>6.8730915993655398E-2</v>
      </c>
      <c r="AG497">
        <v>-0.26793249999999902</v>
      </c>
      <c r="AH497">
        <v>0.61244211393270198</v>
      </c>
      <c r="AI497">
        <v>113.497139973733</v>
      </c>
      <c r="AJ497">
        <v>83.596810138412806</v>
      </c>
      <c r="AK497">
        <v>0.67200975163157695</v>
      </c>
      <c r="AL497">
        <v>80.169589006486504</v>
      </c>
      <c r="AM497">
        <v>89.256286289677206</v>
      </c>
      <c r="AN497">
        <v>0.99999998797494305</v>
      </c>
    </row>
    <row r="498" spans="1:40" x14ac:dyDescent="0.25">
      <c r="A498" t="str">
        <f>"20190303162753011"</f>
        <v>20190303162753011</v>
      </c>
      <c r="B498" t="str">
        <f>"1551601673001779"</f>
        <v>1551601673001779</v>
      </c>
      <c r="C498" t="s">
        <v>40</v>
      </c>
      <c r="D498">
        <v>5.3361029999999996</v>
      </c>
      <c r="E498">
        <v>0.53337469999999998</v>
      </c>
      <c r="F498" t="s">
        <v>44</v>
      </c>
      <c r="G498">
        <v>-366.89089999999999</v>
      </c>
      <c r="H498">
        <v>0.90002819999999994</v>
      </c>
      <c r="I498">
        <v>367.84989999999999</v>
      </c>
      <c r="J498">
        <v>-367.44830000000002</v>
      </c>
      <c r="K498">
        <v>1.120492</v>
      </c>
      <c r="L498">
        <v>367.91269999999997</v>
      </c>
      <c r="M498">
        <v>0.99996839999999998</v>
      </c>
      <c r="N498">
        <v>-7.181921E-3</v>
      </c>
      <c r="O498">
        <v>3.4002419999999999E-3</v>
      </c>
      <c r="P498">
        <v>0.98647720000000005</v>
      </c>
      <c r="Q498">
        <v>0.16362750000000001</v>
      </c>
      <c r="R498">
        <v>-9.425671E-3</v>
      </c>
      <c r="S498">
        <v>3.2009280000000002</v>
      </c>
      <c r="T498">
        <v>-0.98057649999999996</v>
      </c>
      <c r="U498">
        <v>-0.27621459999999998</v>
      </c>
      <c r="V498">
        <v>1.275798E-2</v>
      </c>
      <c r="W498">
        <v>0.17070940000000001</v>
      </c>
      <c r="X498">
        <v>0.98523879999999997</v>
      </c>
      <c r="Y498">
        <v>8.5234619999999997E-2</v>
      </c>
      <c r="Z498">
        <v>-1.4046929999999999E-2</v>
      </c>
      <c r="AA498">
        <v>0.99626190000000003</v>
      </c>
      <c r="AB498">
        <v>30</v>
      </c>
      <c r="AC498">
        <v>0.55740000000002898</v>
      </c>
      <c r="AD498">
        <v>-0.22046379999999999</v>
      </c>
      <c r="AE498">
        <v>-6.2799999999981496E-2</v>
      </c>
      <c r="AF498">
        <v>5.60383668867089E-2</v>
      </c>
      <c r="AG498">
        <v>-0.22046379999999999</v>
      </c>
      <c r="AH498">
        <v>0.48262845555164402</v>
      </c>
      <c r="AI498">
        <v>114.40615990732201</v>
      </c>
      <c r="AJ498">
        <v>83.376999175190804</v>
      </c>
      <c r="AK498">
        <v>0.53354925900232897</v>
      </c>
      <c r="AL498">
        <v>80.170932171267694</v>
      </c>
      <c r="AM498">
        <v>89.258111275718804</v>
      </c>
      <c r="AN498">
        <v>0.99999997916373995</v>
      </c>
    </row>
    <row r="499" spans="1:40" x14ac:dyDescent="0.25">
      <c r="A499" t="str">
        <f>"20190303162753024"</f>
        <v>20190303162753024</v>
      </c>
      <c r="B499" t="str">
        <f>"1551601673012515"</f>
        <v>1551601673012515</v>
      </c>
      <c r="C499" t="s">
        <v>40</v>
      </c>
      <c r="D499">
        <v>5.3435030000000001</v>
      </c>
      <c r="E499">
        <v>0.53337889999999999</v>
      </c>
      <c r="F499" t="s">
        <v>44</v>
      </c>
      <c r="G499">
        <v>-366.63529999999997</v>
      </c>
      <c r="H499">
        <v>0.87132169999999898</v>
      </c>
      <c r="I499">
        <v>367.84219999999999</v>
      </c>
      <c r="J499">
        <v>-367.27850000000001</v>
      </c>
      <c r="K499">
        <v>1.120484</v>
      </c>
      <c r="L499">
        <v>367.91329999999999</v>
      </c>
      <c r="M499">
        <v>0.9999692</v>
      </c>
      <c r="N499">
        <v>-7.0510490000000002E-3</v>
      </c>
      <c r="O499">
        <v>3.4483280000000001E-3</v>
      </c>
      <c r="P499">
        <v>0.98644069999999995</v>
      </c>
      <c r="Q499">
        <v>0.1638511</v>
      </c>
      <c r="R499">
        <v>-9.3499259999999997E-3</v>
      </c>
      <c r="S499">
        <v>3.2012019999999999</v>
      </c>
      <c r="T499">
        <v>-0.98116179999999997</v>
      </c>
      <c r="U499">
        <v>-0.27624510000000002</v>
      </c>
      <c r="V499">
        <v>1.27294E-2</v>
      </c>
      <c r="W499">
        <v>0.17080390000000001</v>
      </c>
      <c r="X499">
        <v>0.98522279999999995</v>
      </c>
      <c r="Y499">
        <v>8.5278030000000005E-2</v>
      </c>
      <c r="Z499">
        <v>-1.4069079999999999E-2</v>
      </c>
      <c r="AA499">
        <v>0.99625779999999997</v>
      </c>
      <c r="AB499">
        <v>30</v>
      </c>
      <c r="AC499">
        <v>0.64320000000003497</v>
      </c>
      <c r="AD499">
        <v>-0.2491623</v>
      </c>
      <c r="AE499">
        <v>-7.1100000000001204E-2</v>
      </c>
      <c r="AF499">
        <v>6.3851535621903793E-2</v>
      </c>
      <c r="AG499">
        <v>-0.2491623</v>
      </c>
      <c r="AH499">
        <v>0.55993935928968597</v>
      </c>
      <c r="AI499">
        <v>113.85097031399501</v>
      </c>
      <c r="AJ499">
        <v>83.494494399580702</v>
      </c>
      <c r="AK499">
        <v>0.61619068187072501</v>
      </c>
      <c r="AL499">
        <v>80.165437099265006</v>
      </c>
      <c r="AM499">
        <v>89.259761024952496</v>
      </c>
      <c r="AN499">
        <v>0.999999987759704</v>
      </c>
    </row>
    <row r="500" spans="1:40" x14ac:dyDescent="0.25">
      <c r="A500" t="str">
        <f>"20190303162753040"</f>
        <v>20190303162753040</v>
      </c>
      <c r="B500" t="str">
        <f>"1551601673032035"</f>
        <v>1551601673032035</v>
      </c>
      <c r="C500" t="s">
        <v>40</v>
      </c>
      <c r="D500">
        <v>5.3612109999999999</v>
      </c>
      <c r="E500">
        <v>0.53336879999999998</v>
      </c>
      <c r="F500" t="s">
        <v>44</v>
      </c>
      <c r="G500">
        <v>-366.37779999999998</v>
      </c>
      <c r="H500">
        <v>0.84450829999999999</v>
      </c>
      <c r="I500">
        <v>367.83539999999999</v>
      </c>
      <c r="J500">
        <v>-367.05079999999998</v>
      </c>
      <c r="K500">
        <v>1.1204769999999999</v>
      </c>
      <c r="L500">
        <v>367.91419999999999</v>
      </c>
      <c r="M500">
        <v>0.99997000000000003</v>
      </c>
      <c r="N500">
        <v>-6.9020790000000002E-3</v>
      </c>
      <c r="O500">
        <v>3.5127969999999998E-3</v>
      </c>
      <c r="P500">
        <v>0.98644109999999996</v>
      </c>
      <c r="Q500">
        <v>0.1638609</v>
      </c>
      <c r="R500">
        <v>-9.1501250000000003E-3</v>
      </c>
      <c r="S500">
        <v>3.2015690000000001</v>
      </c>
      <c r="T500">
        <v>-0.98098799999999997</v>
      </c>
      <c r="U500">
        <v>-0.27642820000000001</v>
      </c>
      <c r="V500">
        <v>1.2592870000000001E-2</v>
      </c>
      <c r="W500">
        <v>0.17066709999999999</v>
      </c>
      <c r="X500">
        <v>0.98524829999999997</v>
      </c>
      <c r="Y500">
        <v>8.5385399999999903E-2</v>
      </c>
      <c r="Z500">
        <v>-1.409447E-2</v>
      </c>
      <c r="AA500">
        <v>0.99624829999999998</v>
      </c>
      <c r="AB500">
        <v>30</v>
      </c>
      <c r="AC500">
        <v>0.67300000000000104</v>
      </c>
      <c r="AD500">
        <v>-0.27596869999999901</v>
      </c>
      <c r="AE500">
        <v>-7.8800000000000994E-2</v>
      </c>
      <c r="AF500">
        <v>6.9616222765564506E-2</v>
      </c>
      <c r="AG500">
        <v>-0.27596869999999901</v>
      </c>
      <c r="AH500">
        <v>0.57700878737059702</v>
      </c>
      <c r="AI500">
        <v>115.399828572424</v>
      </c>
      <c r="AJ500">
        <v>83.120504816545207</v>
      </c>
      <c r="AK500">
        <v>0.64338501890759103</v>
      </c>
      <c r="AL500">
        <v>80.173392343851106</v>
      </c>
      <c r="AM500">
        <v>89.267718587673997</v>
      </c>
      <c r="AN500">
        <v>1.0000000260250601</v>
      </c>
    </row>
    <row r="501" spans="1:40" x14ac:dyDescent="0.25">
      <c r="A501" t="str">
        <f>"20190303162753053"</f>
        <v>20190303162753053</v>
      </c>
      <c r="B501" t="str">
        <f>"1551601673041795"</f>
        <v>1551601673041795</v>
      </c>
      <c r="C501" t="s">
        <v>40</v>
      </c>
      <c r="D501">
        <v>5.362908</v>
      </c>
      <c r="E501">
        <v>0.53336619999999901</v>
      </c>
      <c r="F501" t="s">
        <v>44</v>
      </c>
      <c r="G501">
        <v>-366.35329999999999</v>
      </c>
      <c r="H501">
        <v>0.90650140000000001</v>
      </c>
      <c r="I501">
        <v>367.85379999999998</v>
      </c>
      <c r="J501">
        <v>-366.88400000000001</v>
      </c>
      <c r="K501">
        <v>1.1204700000000001</v>
      </c>
      <c r="L501">
        <v>367.91480000000001</v>
      </c>
      <c r="M501">
        <v>0.99997060000000004</v>
      </c>
      <c r="N501">
        <v>-6.8073939999999996E-3</v>
      </c>
      <c r="O501">
        <v>3.5598489999999999E-3</v>
      </c>
      <c r="P501">
        <v>0.98643519999999896</v>
      </c>
      <c r="Q501">
        <v>0.16390339999999901</v>
      </c>
      <c r="R501">
        <v>-9.0294769999999993E-3</v>
      </c>
      <c r="S501">
        <v>3.2018430000000002</v>
      </c>
      <c r="T501">
        <v>-0.98226360000000001</v>
      </c>
      <c r="U501">
        <v>-0.27624510000000002</v>
      </c>
      <c r="V501">
        <v>1.251858E-2</v>
      </c>
      <c r="W501">
        <v>0.17061599999999999</v>
      </c>
      <c r="X501">
        <v>0.98525810000000003</v>
      </c>
      <c r="Y501">
        <v>8.5358970000000006E-2</v>
      </c>
      <c r="Z501">
        <v>-1.4116470000000001E-2</v>
      </c>
      <c r="AA501">
        <v>0.99625030000000003</v>
      </c>
      <c r="AB501">
        <v>30</v>
      </c>
      <c r="AC501">
        <v>0.53070000000002404</v>
      </c>
      <c r="AD501">
        <v>-0.21396859999999901</v>
      </c>
      <c r="AE501">
        <v>-6.1000000000035401E-2</v>
      </c>
      <c r="AF501">
        <v>5.4194175097216198E-2</v>
      </c>
      <c r="AG501">
        <v>-0.21396859999999901</v>
      </c>
      <c r="AH501">
        <v>0.45713809771923503</v>
      </c>
      <c r="AI501">
        <v>114.929302314598</v>
      </c>
      <c r="AJ501">
        <v>83.239084043352193</v>
      </c>
      <c r="AK501">
        <v>0.50763649473495198</v>
      </c>
      <c r="AL501">
        <v>80.176363768147795</v>
      </c>
      <c r="AM501">
        <v>89.272045360419497</v>
      </c>
      <c r="AN501">
        <v>1.0000000289584099</v>
      </c>
    </row>
    <row r="502" spans="1:40" x14ac:dyDescent="0.25">
      <c r="A502" t="str">
        <f>"20190303162753074"</f>
        <v>20190303162753074</v>
      </c>
      <c r="B502" t="str">
        <f>"1551601673062290"</f>
        <v>1551601673062290</v>
      </c>
      <c r="C502" t="s">
        <v>40</v>
      </c>
      <c r="D502">
        <v>5.4090389999999999</v>
      </c>
      <c r="E502">
        <v>0.53336240000000001</v>
      </c>
      <c r="F502" t="s">
        <v>44</v>
      </c>
      <c r="G502">
        <v>-366.09570000000002</v>
      </c>
      <c r="H502">
        <v>0.87850669999999897</v>
      </c>
      <c r="I502">
        <v>367.84660000000002</v>
      </c>
      <c r="J502">
        <v>-366.6078</v>
      </c>
      <c r="K502">
        <v>1.1204639999999999</v>
      </c>
      <c r="L502">
        <v>367.91579999999999</v>
      </c>
      <c r="M502">
        <v>0.99997119999999995</v>
      </c>
      <c r="N502">
        <v>-6.6712159999999998E-3</v>
      </c>
      <c r="O502">
        <v>3.637731E-3</v>
      </c>
      <c r="P502">
        <v>0.98643460000000005</v>
      </c>
      <c r="Q502">
        <v>0.1639197</v>
      </c>
      <c r="R502">
        <v>-8.7815549999999999E-3</v>
      </c>
      <c r="S502">
        <v>3.202026</v>
      </c>
      <c r="T502">
        <v>-0.9828403</v>
      </c>
      <c r="U502">
        <v>-0.2758179</v>
      </c>
      <c r="V502">
        <v>1.234728E-2</v>
      </c>
      <c r="W502">
        <v>0.17049800000000001</v>
      </c>
      <c r="X502">
        <v>0.98528059999999995</v>
      </c>
      <c r="Y502">
        <v>8.5296590000000005E-2</v>
      </c>
      <c r="Z502">
        <v>-1.4131350000000001E-2</v>
      </c>
      <c r="AA502">
        <v>0.99625540000000001</v>
      </c>
      <c r="AB502">
        <v>30</v>
      </c>
      <c r="AC502">
        <v>0.51209999999997502</v>
      </c>
      <c r="AD502">
        <v>-0.24195729999999999</v>
      </c>
      <c r="AE502">
        <v>-6.9199999999966594E-2</v>
      </c>
      <c r="AF502">
        <v>5.8284486613994102E-2</v>
      </c>
      <c r="AG502">
        <v>-0.24195729999999999</v>
      </c>
      <c r="AH502">
        <v>0.41980834127322803</v>
      </c>
      <c r="AI502">
        <v>119.721014825068</v>
      </c>
      <c r="AJ502">
        <v>82.095813527532002</v>
      </c>
      <c r="AK502">
        <v>0.48803633041580602</v>
      </c>
      <c r="AL502">
        <v>80.183224343211194</v>
      </c>
      <c r="AM502">
        <v>89.282021789122396</v>
      </c>
      <c r="AN502">
        <v>0.99999994203187703</v>
      </c>
    </row>
    <row r="503" spans="1:40" x14ac:dyDescent="0.25">
      <c r="A503" t="str">
        <f>"20190303162753087"</f>
        <v>20190303162753087</v>
      </c>
      <c r="B503" t="str">
        <f>"1551601673081811"</f>
        <v>1551601673081811</v>
      </c>
      <c r="C503" t="s">
        <v>40</v>
      </c>
      <c r="D503">
        <v>5.3842670000000004</v>
      </c>
      <c r="E503">
        <v>0.53335330000000003</v>
      </c>
      <c r="F503" t="s">
        <v>44</v>
      </c>
      <c r="G503">
        <v>-365.8254</v>
      </c>
      <c r="H503">
        <v>0.87998330000000002</v>
      </c>
      <c r="I503">
        <v>367.84859999999998</v>
      </c>
      <c r="J503">
        <v>-366.4314</v>
      </c>
      <c r="K503">
        <v>1.120463</v>
      </c>
      <c r="L503">
        <v>367.91649999999998</v>
      </c>
      <c r="M503">
        <v>0.99997139999999995</v>
      </c>
      <c r="N503">
        <v>-6.5977459999999998E-3</v>
      </c>
      <c r="O503">
        <v>3.6876249999999999E-3</v>
      </c>
      <c r="P503">
        <v>0.98646330000000004</v>
      </c>
      <c r="Q503">
        <v>0.1637557</v>
      </c>
      <c r="R503">
        <v>-8.6353160000000005E-3</v>
      </c>
      <c r="S503">
        <v>3.2023320000000002</v>
      </c>
      <c r="T503">
        <v>-0.98416040000000005</v>
      </c>
      <c r="U503">
        <v>-0.27499390000000001</v>
      </c>
      <c r="V503">
        <v>1.225006E-2</v>
      </c>
      <c r="W503">
        <v>0.17026169999999999</v>
      </c>
      <c r="X503">
        <v>0.9853227</v>
      </c>
      <c r="Y503">
        <v>8.50823E-2</v>
      </c>
      <c r="Z503">
        <v>-1.412689E-2</v>
      </c>
      <c r="AA503">
        <v>0.99627379999999999</v>
      </c>
      <c r="AB503">
        <v>30</v>
      </c>
      <c r="AC503">
        <v>0.60599999999999399</v>
      </c>
      <c r="AD503">
        <v>-0.24047969999999999</v>
      </c>
      <c r="AE503">
        <v>-6.7900000000008703E-2</v>
      </c>
      <c r="AF503">
        <v>6.0694869477827998E-2</v>
      </c>
      <c r="AG503">
        <v>-0.24047969999999999</v>
      </c>
      <c r="AH503">
        <v>0.52421781512294796</v>
      </c>
      <c r="AI503">
        <v>114.498555508857</v>
      </c>
      <c r="AJ503">
        <v>83.395599731612705</v>
      </c>
      <c r="AK503">
        <v>0.57992988454234495</v>
      </c>
      <c r="AL503">
        <v>80.196964480313795</v>
      </c>
      <c r="AM503">
        <v>89.287704852851405</v>
      </c>
      <c r="AN503">
        <v>0.99999996679609104</v>
      </c>
    </row>
    <row r="504" spans="1:40" x14ac:dyDescent="0.25">
      <c r="A504" t="str">
        <f>"20190303162753099"</f>
        <v>20190303162753099</v>
      </c>
      <c r="B504" t="str">
        <f>"1551601673091570"</f>
        <v>1551601673091570</v>
      </c>
      <c r="C504" t="s">
        <v>40</v>
      </c>
      <c r="D504">
        <v>5.3923110000000003</v>
      </c>
      <c r="E504">
        <v>0.53334479999999995</v>
      </c>
      <c r="F504" t="s">
        <v>44</v>
      </c>
      <c r="G504">
        <v>-365.565</v>
      </c>
      <c r="H504">
        <v>0.85363500000000003</v>
      </c>
      <c r="I504">
        <v>367.84199999999998</v>
      </c>
      <c r="J504">
        <v>-366.25259999999997</v>
      </c>
      <c r="K504">
        <v>1.1204620000000001</v>
      </c>
      <c r="L504">
        <v>367.91719999999998</v>
      </c>
      <c r="M504">
        <v>0.99997179999999997</v>
      </c>
      <c r="N504">
        <v>-6.5365550000000003E-3</v>
      </c>
      <c r="O504">
        <v>3.7376549999999999E-3</v>
      </c>
      <c r="P504">
        <v>0.98642859999999999</v>
      </c>
      <c r="Q504">
        <v>0.16397339999999999</v>
      </c>
      <c r="R504">
        <v>-8.4719870000000003E-3</v>
      </c>
      <c r="S504">
        <v>3.2024840000000001</v>
      </c>
      <c r="T504">
        <v>-0.98619559999999995</v>
      </c>
      <c r="U504">
        <v>-0.27441409999999899</v>
      </c>
      <c r="V504">
        <v>1.213579E-2</v>
      </c>
      <c r="W504">
        <v>0.17041909999999999</v>
      </c>
      <c r="X504">
        <v>0.98529699999999998</v>
      </c>
      <c r="Y504">
        <v>8.4938020000000003E-2</v>
      </c>
      <c r="Z504">
        <v>-1.4143889999999999E-2</v>
      </c>
      <c r="AA504">
        <v>0.99628589999999995</v>
      </c>
      <c r="AB504">
        <v>30</v>
      </c>
      <c r="AC504">
        <v>0.68759999999997401</v>
      </c>
      <c r="AD504">
        <v>-0.26682699999999998</v>
      </c>
      <c r="AE504">
        <v>-7.5199999999995201E-2</v>
      </c>
      <c r="AF504">
        <v>6.76959003551766E-2</v>
      </c>
      <c r="AG504">
        <v>-0.26682699999999998</v>
      </c>
      <c r="AH504">
        <v>0.59828497955957705</v>
      </c>
      <c r="AI504">
        <v>113.900939599344</v>
      </c>
      <c r="AJ504">
        <v>83.544443392784402</v>
      </c>
      <c r="AK504">
        <v>0.65857748186565102</v>
      </c>
      <c r="AL504">
        <v>80.187813318348901</v>
      </c>
      <c r="AM504">
        <v>89.294330146698996</v>
      </c>
      <c r="AN504">
        <v>1.0000000626263601</v>
      </c>
    </row>
    <row r="505" spans="1:40" x14ac:dyDescent="0.25">
      <c r="A505" t="str">
        <f>"20190303162753113"</f>
        <v>20190303162753113</v>
      </c>
      <c r="B505" t="str">
        <f>"1551601673102307"</f>
        <v>1551601673102307</v>
      </c>
      <c r="C505" t="s">
        <v>40</v>
      </c>
      <c r="D505">
        <v>5.3913520000000004</v>
      </c>
      <c r="E505">
        <v>0.53333619999999904</v>
      </c>
      <c r="F505" t="s">
        <v>44</v>
      </c>
      <c r="G505">
        <v>-365.54570000000001</v>
      </c>
      <c r="H505">
        <v>0.90273570000000003</v>
      </c>
      <c r="I505">
        <v>367.85649999999998</v>
      </c>
      <c r="J505">
        <v>-366.08339999999998</v>
      </c>
      <c r="K505">
        <v>1.120463</v>
      </c>
      <c r="L505">
        <v>367.91789999999997</v>
      </c>
      <c r="M505">
        <v>0.99997190000000002</v>
      </c>
      <c r="N505">
        <v>-6.4901749999999999E-3</v>
      </c>
      <c r="O505">
        <v>3.7852519999999998E-3</v>
      </c>
      <c r="P505">
        <v>0.98642730000000001</v>
      </c>
      <c r="Q505">
        <v>0.16398779999999999</v>
      </c>
      <c r="R505">
        <v>-8.3306159999999903E-3</v>
      </c>
      <c r="S505">
        <v>3.2028810000000001</v>
      </c>
      <c r="T505">
        <v>-0.98634540000000004</v>
      </c>
      <c r="U505">
        <v>-0.27374270000000001</v>
      </c>
      <c r="V505">
        <v>1.2041319999999999E-2</v>
      </c>
      <c r="W505">
        <v>0.1703876</v>
      </c>
      <c r="X505">
        <v>0.9853035</v>
      </c>
      <c r="Y505">
        <v>8.4773500000000002E-2</v>
      </c>
      <c r="Z505">
        <v>-1.413127E-2</v>
      </c>
      <c r="AA505">
        <v>0.99629999999999996</v>
      </c>
      <c r="AB505">
        <v>30</v>
      </c>
      <c r="AC505">
        <v>0.53769999999997198</v>
      </c>
      <c r="AD505">
        <v>-0.21772730000000001</v>
      </c>
      <c r="AE505">
        <v>-6.1399999999991899E-2</v>
      </c>
      <c r="AF505">
        <v>5.4598095232566202E-2</v>
      </c>
      <c r="AG505">
        <v>-0.21772730000000001</v>
      </c>
      <c r="AH505">
        <v>0.46259205405885201</v>
      </c>
      <c r="AI505">
        <v>115.05249868158199</v>
      </c>
      <c r="AJ505">
        <v>83.268723712373401</v>
      </c>
      <c r="AK505">
        <v>0.514176562716254</v>
      </c>
      <c r="AL505">
        <v>80.189643880776401</v>
      </c>
      <c r="AM505">
        <v>89.299827441743204</v>
      </c>
      <c r="AN505">
        <v>0.99999995736667502</v>
      </c>
    </row>
    <row r="506" spans="1:40" x14ac:dyDescent="0.25">
      <c r="A506" t="str">
        <f>"20190303162753132"</f>
        <v>20190303162753132</v>
      </c>
      <c r="B506" t="str">
        <f>"1551601673121826"</f>
        <v>1551601673121826</v>
      </c>
      <c r="C506" t="s">
        <v>40</v>
      </c>
      <c r="D506">
        <v>5.3985310000000002</v>
      </c>
      <c r="E506">
        <v>0.53330559999999905</v>
      </c>
      <c r="F506" t="s">
        <v>44</v>
      </c>
      <c r="G506">
        <v>-365.28530000000001</v>
      </c>
      <c r="H506">
        <v>0.87454639999999995</v>
      </c>
      <c r="I506">
        <v>367.84989999999999</v>
      </c>
      <c r="J506">
        <v>-365.815</v>
      </c>
      <c r="K506">
        <v>1.1204670000000001</v>
      </c>
      <c r="L506">
        <v>367.91899999999998</v>
      </c>
      <c r="M506">
        <v>0.99997199999999997</v>
      </c>
      <c r="N506">
        <v>-6.4327990000000003E-3</v>
      </c>
      <c r="O506">
        <v>3.860956E-3</v>
      </c>
      <c r="P506">
        <v>0.98639359999999998</v>
      </c>
      <c r="Q506">
        <v>0.16418239999999901</v>
      </c>
      <c r="R506">
        <v>-8.5021119999999992E-3</v>
      </c>
      <c r="S506">
        <v>3.203033</v>
      </c>
      <c r="T506">
        <v>-0.98693160000000002</v>
      </c>
      <c r="U506">
        <v>-0.27331539999999999</v>
      </c>
      <c r="V506">
        <v>1.2287080000000001E-2</v>
      </c>
      <c r="W506">
        <v>0.1705257</v>
      </c>
      <c r="X506">
        <v>0.98527659999999995</v>
      </c>
      <c r="Y506">
        <v>8.4708850000000002E-2</v>
      </c>
      <c r="Z506">
        <v>-1.414867E-2</v>
      </c>
      <c r="AA506">
        <v>0.99630529999999995</v>
      </c>
      <c r="AB506">
        <v>30</v>
      </c>
      <c r="AC506">
        <v>0.52969999999999096</v>
      </c>
      <c r="AD506">
        <v>-0.24592059999999999</v>
      </c>
      <c r="AE506">
        <v>-6.9100000000048498E-2</v>
      </c>
      <c r="AF506">
        <v>5.8703404856307102E-2</v>
      </c>
      <c r="AG506">
        <v>-0.24592059999999999</v>
      </c>
      <c r="AH506">
        <v>0.43684646384357401</v>
      </c>
      <c r="AI506">
        <v>119.158465268171</v>
      </c>
      <c r="AJ506">
        <v>82.346445608725006</v>
      </c>
      <c r="AK506">
        <v>0.50473543982835101</v>
      </c>
      <c r="AL506">
        <v>80.181614064887697</v>
      </c>
      <c r="AM506">
        <v>89.285519076434596</v>
      </c>
      <c r="AN506">
        <v>0.99999998260148804</v>
      </c>
    </row>
    <row r="507" spans="1:40" x14ac:dyDescent="0.25">
      <c r="A507" t="str">
        <f>"20190303162753154"</f>
        <v>20190303162753154</v>
      </c>
      <c r="B507" t="str">
        <f>"1551601673142323"</f>
        <v>1551601673142323</v>
      </c>
      <c r="C507" t="s">
        <v>40</v>
      </c>
      <c r="D507">
        <v>5.4026680000000002</v>
      </c>
      <c r="E507">
        <v>0.53327720000000001</v>
      </c>
      <c r="F507" t="s">
        <v>44</v>
      </c>
      <c r="G507">
        <v>-365.01330000000002</v>
      </c>
      <c r="H507">
        <v>0.87323729999999999</v>
      </c>
      <c r="I507">
        <v>367.85050000000001</v>
      </c>
      <c r="J507">
        <v>-365.52480000000003</v>
      </c>
      <c r="K507">
        <v>1.120474</v>
      </c>
      <c r="L507">
        <v>367.92020000000002</v>
      </c>
      <c r="M507">
        <v>0.99997199999999997</v>
      </c>
      <c r="N507">
        <v>-6.3914569999999997E-3</v>
      </c>
      <c r="O507">
        <v>3.9428650000000003E-3</v>
      </c>
      <c r="P507">
        <v>0.98641590000000001</v>
      </c>
      <c r="Q507">
        <v>0.1640411</v>
      </c>
      <c r="R507">
        <v>-8.6389680000000003E-3</v>
      </c>
      <c r="S507">
        <v>3.2034910000000001</v>
      </c>
      <c r="T507">
        <v>-0.98793920000000002</v>
      </c>
      <c r="U507">
        <v>-0.2735901</v>
      </c>
      <c r="V507">
        <v>1.250477E-2</v>
      </c>
      <c r="W507">
        <v>0.17034389999999999</v>
      </c>
      <c r="X507">
        <v>0.98530530000000005</v>
      </c>
      <c r="Y507">
        <v>8.4846539999999998E-2</v>
      </c>
      <c r="Z507">
        <v>-1.420397E-2</v>
      </c>
      <c r="AA507">
        <v>0.99629279999999998</v>
      </c>
      <c r="AB507">
        <v>30</v>
      </c>
      <c r="AC507">
        <v>0.51150000000001195</v>
      </c>
      <c r="AD507">
        <v>-0.2472367</v>
      </c>
      <c r="AE507">
        <v>-6.97000000000116E-2</v>
      </c>
      <c r="AF507">
        <v>5.8335598230105999E-2</v>
      </c>
      <c r="AG507">
        <v>-0.2472367</v>
      </c>
      <c r="AH507">
        <v>0.41583859177138999</v>
      </c>
      <c r="AI507">
        <v>120.488911399979</v>
      </c>
      <c r="AJ507">
        <v>82.014417890285102</v>
      </c>
      <c r="AK507">
        <v>0.48728919776059798</v>
      </c>
      <c r="AL507">
        <v>80.192185016691099</v>
      </c>
      <c r="AM507">
        <v>89.272883154462306</v>
      </c>
      <c r="AN507">
        <v>0.99999997387402595</v>
      </c>
    </row>
    <row r="508" spans="1:40" x14ac:dyDescent="0.25">
      <c r="A508" t="str">
        <f>"20190303162753175"</f>
        <v>20190303162753175</v>
      </c>
      <c r="B508" t="str">
        <f>"1551601673171602"</f>
        <v>1551601673171602</v>
      </c>
      <c r="C508" t="s">
        <v>40</v>
      </c>
      <c r="D508">
        <v>5.4177119999999999</v>
      </c>
      <c r="E508">
        <v>0.53323609999999999</v>
      </c>
      <c r="F508" t="s">
        <v>44</v>
      </c>
      <c r="G508">
        <v>-364.73840000000001</v>
      </c>
      <c r="H508">
        <v>0.87744690000000003</v>
      </c>
      <c r="I508">
        <v>367.8528</v>
      </c>
      <c r="J508">
        <v>-365.23700000000002</v>
      </c>
      <c r="K508">
        <v>1.1204799999999999</v>
      </c>
      <c r="L508">
        <v>367.92140000000001</v>
      </c>
      <c r="M508">
        <v>0.99997159999999996</v>
      </c>
      <c r="N508">
        <v>-6.3662110000000001E-3</v>
      </c>
      <c r="O508">
        <v>4.0238920000000003E-3</v>
      </c>
      <c r="P508">
        <v>0.98637280000000005</v>
      </c>
      <c r="Q508">
        <v>0.164297</v>
      </c>
      <c r="R508">
        <v>-8.6652229999999997E-3</v>
      </c>
      <c r="S508">
        <v>3.2035520000000002</v>
      </c>
      <c r="T508">
        <v>-0.98991870000000004</v>
      </c>
      <c r="U508">
        <v>-0.27389530000000001</v>
      </c>
      <c r="V508">
        <v>1.261048E-2</v>
      </c>
      <c r="W508">
        <v>0.17057459999999999</v>
      </c>
      <c r="X508">
        <v>0.98526409999999998</v>
      </c>
      <c r="Y508">
        <v>8.4993529999999998E-2</v>
      </c>
      <c r="Z508">
        <v>-1.4275960000000001E-2</v>
      </c>
      <c r="AA508">
        <v>0.99627920000000003</v>
      </c>
      <c r="AB508">
        <v>30</v>
      </c>
      <c r="AC508">
        <v>0.49859999999995303</v>
      </c>
      <c r="AD508">
        <v>-0.243033099999999</v>
      </c>
      <c r="AE508">
        <v>-6.8600000000003505E-2</v>
      </c>
      <c r="AF508">
        <v>5.7255292109984403E-2</v>
      </c>
      <c r="AG508">
        <v>-0.243033099999999</v>
      </c>
      <c r="AH508">
        <v>0.404095036937481</v>
      </c>
      <c r="AI508">
        <v>120.77287093711</v>
      </c>
      <c r="AJ508">
        <v>81.935573018234905</v>
      </c>
      <c r="AK508">
        <v>0.47501163674978902</v>
      </c>
      <c r="AL508">
        <v>80.178771137741407</v>
      </c>
      <c r="AM508">
        <v>89.266706427725097</v>
      </c>
      <c r="AN508">
        <v>1.0000000325598899</v>
      </c>
    </row>
    <row r="509" spans="1:40" x14ac:dyDescent="0.25">
      <c r="A509" t="str">
        <f>"20190303162753188"</f>
        <v>20190303162753188</v>
      </c>
      <c r="B509" t="str">
        <f>"1551601673182339"</f>
        <v>1551601673182339</v>
      </c>
      <c r="C509" t="s">
        <v>40</v>
      </c>
      <c r="D509">
        <v>5.4126099999999999</v>
      </c>
      <c r="E509">
        <v>0.53322209999999903</v>
      </c>
      <c r="F509" t="s">
        <v>44</v>
      </c>
      <c r="G509">
        <v>-364.46289999999999</v>
      </c>
      <c r="H509">
        <v>0.88093999999999995</v>
      </c>
      <c r="I509">
        <v>367.85509999999999</v>
      </c>
      <c r="J509">
        <v>-365.05090000000001</v>
      </c>
      <c r="K509">
        <v>1.1204829999999999</v>
      </c>
      <c r="L509">
        <v>367.92219999999998</v>
      </c>
      <c r="M509">
        <v>0.99997159999999996</v>
      </c>
      <c r="N509">
        <v>-6.3561470000000004E-3</v>
      </c>
      <c r="O509">
        <v>4.0760800000000002E-3</v>
      </c>
      <c r="P509">
        <v>0.98631029999999997</v>
      </c>
      <c r="Q509">
        <v>0.1646611</v>
      </c>
      <c r="R509">
        <v>-8.8878150000000003E-3</v>
      </c>
      <c r="S509">
        <v>3.2041930000000001</v>
      </c>
      <c r="T509">
        <v>-0.99152039999999997</v>
      </c>
      <c r="U509">
        <v>-0.27291870000000001</v>
      </c>
      <c r="V509">
        <v>1.288392E-2</v>
      </c>
      <c r="W509">
        <v>0.17092839999999901</v>
      </c>
      <c r="X509">
        <v>0.98519920000000005</v>
      </c>
      <c r="Y509">
        <v>8.4725960000000003E-2</v>
      </c>
      <c r="Z509">
        <v>-1.4268919999999999E-2</v>
      </c>
      <c r="AA509">
        <v>0.99630209999999997</v>
      </c>
      <c r="AB509">
        <v>31</v>
      </c>
      <c r="AC509">
        <v>0.58800000000002195</v>
      </c>
      <c r="AD509">
        <v>-0.23954299999999901</v>
      </c>
      <c r="AE509">
        <v>-6.7099999999982105E-2</v>
      </c>
      <c r="AF509">
        <v>5.9713385334653798E-2</v>
      </c>
      <c r="AG509">
        <v>-0.23954299999999901</v>
      </c>
      <c r="AH509">
        <v>0.50498924605572504</v>
      </c>
      <c r="AI509">
        <v>115.223754468745</v>
      </c>
      <c r="AJ509">
        <v>83.256269462687101</v>
      </c>
      <c r="AK509">
        <v>0.56210379456916504</v>
      </c>
      <c r="AL509">
        <v>80.158197315427103</v>
      </c>
      <c r="AM509">
        <v>89.250758464066394</v>
      </c>
      <c r="AN509">
        <v>0.99999998850088301</v>
      </c>
    </row>
    <row r="510" spans="1:40" x14ac:dyDescent="0.25">
      <c r="A510" t="str">
        <f>"20190303162753198"</f>
        <v>20190303162753198</v>
      </c>
      <c r="B510" t="str">
        <f>"1551601673192098"</f>
        <v>1551601673192098</v>
      </c>
      <c r="C510" t="s">
        <v>40</v>
      </c>
      <c r="D510">
        <v>5.4502179999999996</v>
      </c>
      <c r="E510">
        <v>0.53321109999999905</v>
      </c>
      <c r="F510" t="s">
        <v>44</v>
      </c>
      <c r="G510">
        <v>-364.19740000000002</v>
      </c>
      <c r="H510">
        <v>0.85653189999999901</v>
      </c>
      <c r="I510">
        <v>367.8494</v>
      </c>
      <c r="J510">
        <v>-364.89400000000001</v>
      </c>
      <c r="K510">
        <v>1.120487</v>
      </c>
      <c r="L510">
        <v>367.92290000000003</v>
      </c>
      <c r="M510">
        <v>0.99997139999999995</v>
      </c>
      <c r="N510">
        <v>-6.3513689999999999E-3</v>
      </c>
      <c r="O510">
        <v>4.1202039999999997E-3</v>
      </c>
      <c r="P510">
        <v>0.98628899999999997</v>
      </c>
      <c r="Q510">
        <v>0.1647875</v>
      </c>
      <c r="R510">
        <v>-8.8953790000000001E-3</v>
      </c>
      <c r="S510">
        <v>3.2046510000000001</v>
      </c>
      <c r="T510">
        <v>-0.99103520000000001</v>
      </c>
      <c r="U510">
        <v>-0.27307130000000002</v>
      </c>
      <c r="V510">
        <v>1.2934799999999899E-2</v>
      </c>
      <c r="W510">
        <v>0.17105010000000001</v>
      </c>
      <c r="X510">
        <v>0.98517750000000004</v>
      </c>
      <c r="Y510">
        <v>8.480451E-2</v>
      </c>
      <c r="Z510">
        <v>-1.428538E-2</v>
      </c>
      <c r="AA510">
        <v>0.99629520000000005</v>
      </c>
      <c r="AB510">
        <v>31</v>
      </c>
      <c r="AC510">
        <v>0.69659999999998901</v>
      </c>
      <c r="AD510">
        <v>-0.2639551</v>
      </c>
      <c r="AE510">
        <v>-7.3500000000024102E-2</v>
      </c>
      <c r="AF510">
        <v>6.6873592274158303E-2</v>
      </c>
      <c r="AG510">
        <v>-0.2639551</v>
      </c>
      <c r="AH510">
        <v>0.60971271858644704</v>
      </c>
      <c r="AI510">
        <v>113.28397268533401</v>
      </c>
      <c r="AJ510">
        <v>83.740789615233496</v>
      </c>
      <c r="AK510">
        <v>0.66775292688668697</v>
      </c>
      <c r="AL510">
        <v>80.151121065137005</v>
      </c>
      <c r="AM510">
        <v>89.247783400708201</v>
      </c>
      <c r="AN510">
        <v>1.0000000761336401</v>
      </c>
    </row>
    <row r="511" spans="1:40" x14ac:dyDescent="0.25">
      <c r="A511" t="str">
        <f>"20190303162753210"</f>
        <v>20190303162753210</v>
      </c>
      <c r="B511" t="str">
        <f>"1551601673201858"</f>
        <v>1551601673201858</v>
      </c>
      <c r="C511" t="s">
        <v>40</v>
      </c>
      <c r="D511">
        <v>5.4492409999999998</v>
      </c>
      <c r="E511">
        <v>0.53320000000000001</v>
      </c>
      <c r="F511" t="s">
        <v>44</v>
      </c>
      <c r="G511">
        <v>-364.18049999999999</v>
      </c>
      <c r="H511">
        <v>0.89974069999999995</v>
      </c>
      <c r="I511">
        <v>367.86219999999997</v>
      </c>
      <c r="J511">
        <v>-364.7414</v>
      </c>
      <c r="K511">
        <v>1.1204879999999999</v>
      </c>
      <c r="L511">
        <v>367.92360000000002</v>
      </c>
      <c r="M511">
        <v>0.99997119999999995</v>
      </c>
      <c r="N511">
        <v>-6.349464E-3</v>
      </c>
      <c r="O511">
        <v>4.1630670000000003E-3</v>
      </c>
      <c r="P511">
        <v>0.98617679999999996</v>
      </c>
      <c r="Q511">
        <v>0.1654515</v>
      </c>
      <c r="R511">
        <v>-8.9981950000000005E-3</v>
      </c>
      <c r="S511">
        <v>3.2049259999999999</v>
      </c>
      <c r="T511">
        <v>-0.99146630000000002</v>
      </c>
      <c r="U511">
        <v>-0.27239989999999997</v>
      </c>
      <c r="V511">
        <v>1.307914E-2</v>
      </c>
      <c r="W511">
        <v>0.17171149999999999</v>
      </c>
      <c r="X511">
        <v>0.98506050000000001</v>
      </c>
      <c r="Y511">
        <v>8.4635909999999995E-2</v>
      </c>
      <c r="Z511">
        <v>-1.4276799999999999E-2</v>
      </c>
      <c r="AA511">
        <v>0.99630960000000002</v>
      </c>
      <c r="AB511">
        <v>31</v>
      </c>
      <c r="AC511">
        <v>0.56090000000000295</v>
      </c>
      <c r="AD511">
        <v>-0.22074730000000001</v>
      </c>
      <c r="AE511">
        <v>-6.14000000000487E-2</v>
      </c>
      <c r="AF511">
        <v>5.5274549098838603E-2</v>
      </c>
      <c r="AG511">
        <v>-0.22074730000000001</v>
      </c>
      <c r="AH511">
        <v>0.486221093175292</v>
      </c>
      <c r="AI511">
        <v>114.28015729969199</v>
      </c>
      <c r="AJ511">
        <v>83.514349213440497</v>
      </c>
      <c r="AK511">
        <v>0.53683852105074004</v>
      </c>
      <c r="AL511">
        <v>80.112656249038096</v>
      </c>
      <c r="AM511">
        <v>89.239300033060204</v>
      </c>
      <c r="AN511">
        <v>1.00000004589781</v>
      </c>
    </row>
    <row r="512" spans="1:40" x14ac:dyDescent="0.25">
      <c r="A512" t="str">
        <f>"20190303162753223"</f>
        <v>20190303162753223</v>
      </c>
      <c r="B512" t="str">
        <f>"1551601673212595"</f>
        <v>1551601673212595</v>
      </c>
      <c r="C512" t="s">
        <v>40</v>
      </c>
      <c r="D512">
        <v>5.4597110000000004</v>
      </c>
      <c r="E512">
        <v>0.53318980000000005</v>
      </c>
      <c r="F512" t="s">
        <v>44</v>
      </c>
      <c r="G512">
        <v>-363.9178</v>
      </c>
      <c r="H512">
        <v>0.86615509999999996</v>
      </c>
      <c r="I512">
        <v>367.85340000000002</v>
      </c>
      <c r="J512">
        <v>-364.56360000000001</v>
      </c>
      <c r="K512">
        <v>1.120482</v>
      </c>
      <c r="L512">
        <v>367.92430000000002</v>
      </c>
      <c r="M512">
        <v>0.99997100000000005</v>
      </c>
      <c r="N512">
        <v>-6.3490109999999999E-3</v>
      </c>
      <c r="O512">
        <v>4.2130780000000003E-3</v>
      </c>
      <c r="P512">
        <v>0.98616159999999997</v>
      </c>
      <c r="Q512">
        <v>0.16554250000000001</v>
      </c>
      <c r="R512">
        <v>-9.0150630000000002E-3</v>
      </c>
      <c r="S512">
        <v>3.2056580000000001</v>
      </c>
      <c r="T512">
        <v>-0.9899656</v>
      </c>
      <c r="U512">
        <v>-0.27255249999999998</v>
      </c>
      <c r="V512">
        <v>1.3145209999999999E-2</v>
      </c>
      <c r="W512">
        <v>0.17180219999999999</v>
      </c>
      <c r="X512">
        <v>0.98504380000000002</v>
      </c>
      <c r="Y512">
        <v>8.4721539999999998E-2</v>
      </c>
      <c r="Z512">
        <v>-1.428133E-2</v>
      </c>
      <c r="AA512">
        <v>0.99630229999999997</v>
      </c>
      <c r="AB512">
        <v>31</v>
      </c>
      <c r="AC512">
        <v>0.64580000000000803</v>
      </c>
      <c r="AD512">
        <v>-0.25432689999999902</v>
      </c>
      <c r="AE512">
        <v>-7.0899999999994606E-2</v>
      </c>
      <c r="AF512">
        <v>6.3837480658768195E-2</v>
      </c>
      <c r="AG512">
        <v>-0.25432689999999902</v>
      </c>
      <c r="AH512">
        <v>0.55972127908535396</v>
      </c>
      <c r="AI512">
        <v>114.297014077919</v>
      </c>
      <c r="AJ512">
        <v>83.493401702465903</v>
      </c>
      <c r="AK512">
        <v>0.61809813643256795</v>
      </c>
      <c r="AL512">
        <v>80.107381073524806</v>
      </c>
      <c r="AM512">
        <v>89.235444809861704</v>
      </c>
      <c r="AN512">
        <v>1.0000000401946101</v>
      </c>
    </row>
    <row r="513" spans="1:40" x14ac:dyDescent="0.25">
      <c r="A513" t="str">
        <f>"20190303162753240"</f>
        <v>20190303162753240</v>
      </c>
      <c r="B513" t="str">
        <f>"1551601673232115"</f>
        <v>1551601673232115</v>
      </c>
      <c r="C513" t="s">
        <v>40</v>
      </c>
      <c r="D513">
        <v>5.5934039999999996</v>
      </c>
      <c r="E513">
        <v>0.53304249999999997</v>
      </c>
      <c r="F513" t="s">
        <v>44</v>
      </c>
      <c r="G513">
        <v>-363.65179999999998</v>
      </c>
      <c r="H513">
        <v>0.838813699999999</v>
      </c>
      <c r="I513">
        <v>367.84679999999997</v>
      </c>
      <c r="J513">
        <v>-364.31330000000003</v>
      </c>
      <c r="K513">
        <v>1.120482</v>
      </c>
      <c r="L513">
        <v>367.92540000000002</v>
      </c>
      <c r="M513">
        <v>0.99997069999999999</v>
      </c>
      <c r="N513">
        <v>-6.3538010000000001E-3</v>
      </c>
      <c r="O513">
        <v>4.2838729999999997E-3</v>
      </c>
      <c r="P513">
        <v>0.98608370000000001</v>
      </c>
      <c r="Q513">
        <v>0.16599739999999999</v>
      </c>
      <c r="R513">
        <v>-9.1572509999999999E-3</v>
      </c>
      <c r="S513">
        <v>3.2058719999999998</v>
      </c>
      <c r="T513">
        <v>-0.99036429999999998</v>
      </c>
      <c r="U513">
        <v>-0.2723083</v>
      </c>
      <c r="V513">
        <v>1.3356979999999999E-2</v>
      </c>
      <c r="W513">
        <v>0.1722611</v>
      </c>
      <c r="X513">
        <v>0.98496070000000002</v>
      </c>
      <c r="Y513">
        <v>8.4705890000000006E-2</v>
      </c>
      <c r="Z513">
        <v>-1.4304559999999999E-2</v>
      </c>
      <c r="AA513">
        <v>0.9963033</v>
      </c>
      <c r="AB513">
        <v>31</v>
      </c>
      <c r="AC513">
        <v>0.66150000000004605</v>
      </c>
      <c r="AD513">
        <v>-0.28166829999999998</v>
      </c>
      <c r="AE513">
        <v>-7.8600000000051296E-2</v>
      </c>
      <c r="AF513">
        <v>6.9082332297135396E-2</v>
      </c>
      <c r="AG513">
        <v>-0.28166829999999998</v>
      </c>
      <c r="AH513">
        <v>0.56088092148928703</v>
      </c>
      <c r="AI513">
        <v>116.492710160645</v>
      </c>
      <c r="AJ513">
        <v>82.978382916161706</v>
      </c>
      <c r="AK513">
        <v>0.63142442774347396</v>
      </c>
      <c r="AL513">
        <v>80.080689093162704</v>
      </c>
      <c r="AM513">
        <v>89.2230637489034</v>
      </c>
      <c r="AN513">
        <v>0.99999993801620801</v>
      </c>
    </row>
    <row r="514" spans="1:40" x14ac:dyDescent="0.25">
      <c r="A514" t="str">
        <f>"20190303162753254"</f>
        <v>20190303162753254</v>
      </c>
      <c r="B514" t="str">
        <f>"1551601673241875"</f>
        <v>1551601673241875</v>
      </c>
      <c r="C514" t="s">
        <v>40</v>
      </c>
      <c r="D514">
        <v>5.4567860000000001</v>
      </c>
      <c r="E514">
        <v>0.53285380000000004</v>
      </c>
      <c r="F514" t="s">
        <v>44</v>
      </c>
      <c r="G514">
        <v>-363.62430000000001</v>
      </c>
      <c r="H514">
        <v>0.90826180000000001</v>
      </c>
      <c r="I514">
        <v>367.86709999999999</v>
      </c>
      <c r="J514">
        <v>-364.13850000000002</v>
      </c>
      <c r="K514">
        <v>1.1204860000000001</v>
      </c>
      <c r="L514">
        <v>367.92630000000003</v>
      </c>
      <c r="M514">
        <v>0.99997040000000004</v>
      </c>
      <c r="N514">
        <v>-6.359689E-3</v>
      </c>
      <c r="O514">
        <v>4.3329709999999997E-3</v>
      </c>
      <c r="P514">
        <v>0.98607429999999996</v>
      </c>
      <c r="Q514">
        <v>0.16602739999999999</v>
      </c>
      <c r="R514">
        <v>-9.6064440000000004E-3</v>
      </c>
      <c r="S514">
        <v>3.2060849999999999</v>
      </c>
      <c r="T514">
        <v>-0.98764969999999996</v>
      </c>
      <c r="U514">
        <v>-0.27117920000000001</v>
      </c>
      <c r="V514">
        <v>1.3854480000000001E-2</v>
      </c>
      <c r="W514">
        <v>0.172296799999999</v>
      </c>
      <c r="X514">
        <v>0.98494760000000003</v>
      </c>
      <c r="Y514">
        <v>8.4434029999999993E-2</v>
      </c>
      <c r="Z514">
        <v>-1.423994E-2</v>
      </c>
      <c r="AA514">
        <v>0.99632730000000003</v>
      </c>
      <c r="AB514">
        <v>31</v>
      </c>
      <c r="AC514">
        <v>0.51420000000001598</v>
      </c>
      <c r="AD514">
        <v>-0.2122242</v>
      </c>
      <c r="AE514">
        <v>-5.9200000000032497E-2</v>
      </c>
      <c r="AF514">
        <v>5.2586854703036499E-2</v>
      </c>
      <c r="AG514">
        <v>-0.2122242</v>
      </c>
      <c r="AH514">
        <v>0.43997258736620998</v>
      </c>
      <c r="AI514">
        <v>115.59203651247201</v>
      </c>
      <c r="AJ514">
        <v>83.1841687953373</v>
      </c>
      <c r="AK514">
        <v>0.49130475876681201</v>
      </c>
      <c r="AL514">
        <v>80.078612749646993</v>
      </c>
      <c r="AM514">
        <v>89.194118667783599</v>
      </c>
      <c r="AN514">
        <v>0.99999995432603395</v>
      </c>
    </row>
    <row r="515" spans="1:40" x14ac:dyDescent="0.25">
      <c r="A515" t="str">
        <f>"20190303162753267"</f>
        <v>20190303162753267</v>
      </c>
      <c r="B515" t="str">
        <f>"1551601673261902"</f>
        <v>1551601673261902</v>
      </c>
      <c r="C515" t="s">
        <v>40</v>
      </c>
      <c r="D515">
        <v>5.0587780000000002</v>
      </c>
      <c r="E515">
        <v>0.49271120000000002</v>
      </c>
      <c r="F515" t="s">
        <v>44</v>
      </c>
      <c r="G515">
        <v>-363.358</v>
      </c>
      <c r="H515">
        <v>0.88088729999999904</v>
      </c>
      <c r="I515">
        <v>367.86</v>
      </c>
      <c r="J515">
        <v>-363.95800000000003</v>
      </c>
      <c r="K515">
        <v>1.120485</v>
      </c>
      <c r="L515">
        <v>367.9271</v>
      </c>
      <c r="M515">
        <v>0.99997020000000003</v>
      </c>
      <c r="N515">
        <v>-6.3669369999999996E-3</v>
      </c>
      <c r="O515">
        <v>4.3835559999999898E-3</v>
      </c>
      <c r="P515">
        <v>0.98604740000000002</v>
      </c>
      <c r="Q515">
        <v>0.1661629</v>
      </c>
      <c r="R515">
        <v>-1.0015619999999999E-2</v>
      </c>
      <c r="S515">
        <v>3.2053530000000001</v>
      </c>
      <c r="T515">
        <v>-0.98391030000000002</v>
      </c>
      <c r="U515">
        <v>-0.27081300000000003</v>
      </c>
      <c r="V515">
        <v>1.4313340000000001E-2</v>
      </c>
      <c r="W515">
        <v>0.1724396</v>
      </c>
      <c r="X515">
        <v>0.98491609999999996</v>
      </c>
      <c r="Y515">
        <v>8.4417629999999994E-2</v>
      </c>
      <c r="Z515">
        <v>-1.4204960000000001E-2</v>
      </c>
      <c r="AA515">
        <v>0.99632920000000003</v>
      </c>
      <c r="AB515">
        <v>31</v>
      </c>
      <c r="AC515">
        <v>0.60000000000002196</v>
      </c>
      <c r="AD515">
        <v>-0.2395977</v>
      </c>
      <c r="AE515">
        <v>-6.7099999999982105E-2</v>
      </c>
      <c r="AF515">
        <v>6.0241800773146503E-2</v>
      </c>
      <c r="AG515">
        <v>-0.2395977</v>
      </c>
      <c r="AH515">
        <v>0.51810197604346397</v>
      </c>
      <c r="AI515">
        <v>114.672064344304</v>
      </c>
      <c r="AJ515">
        <v>83.367770719350801</v>
      </c>
      <c r="AK515">
        <v>0.57399110619052596</v>
      </c>
      <c r="AL515">
        <v>80.070307105490897</v>
      </c>
      <c r="AM515">
        <v>89.167404973054104</v>
      </c>
      <c r="AN515">
        <v>1.0000000056946601</v>
      </c>
    </row>
    <row r="516" spans="1:40" x14ac:dyDescent="0.25">
      <c r="A516" t="str">
        <f>"20190303162753280"</f>
        <v>20190303162753280</v>
      </c>
      <c r="B516" t="str">
        <f>"1551601673271663"</f>
        <v>1551601673271663</v>
      </c>
      <c r="C516" t="s">
        <v>40</v>
      </c>
      <c r="D516">
        <v>5.7250540000000001</v>
      </c>
      <c r="E516">
        <v>0.49112800000000001</v>
      </c>
      <c r="F516" t="s">
        <v>42</v>
      </c>
      <c r="G516">
        <v>-285.99119999999999</v>
      </c>
      <c r="H516">
        <v>-0.05</v>
      </c>
      <c r="I516">
        <v>368.82400000000001</v>
      </c>
      <c r="J516">
        <v>-363.77289999999999</v>
      </c>
      <c r="K516">
        <v>1.120484</v>
      </c>
      <c r="L516">
        <v>367.92790000000002</v>
      </c>
      <c r="M516">
        <v>0.99996989999999997</v>
      </c>
      <c r="N516">
        <v>-6.376184E-3</v>
      </c>
      <c r="O516">
        <v>4.4355030000000004E-3</v>
      </c>
      <c r="P516">
        <v>0.98603960000000002</v>
      </c>
      <c r="Q516">
        <v>0.16619819999999999</v>
      </c>
      <c r="R516">
        <v>-1.020223E-2</v>
      </c>
      <c r="S516">
        <v>3.0505070000000001</v>
      </c>
      <c r="T516">
        <v>-4.5796040000000003E-2</v>
      </c>
      <c r="U516">
        <v>3.5095210000000002E-2</v>
      </c>
      <c r="V516">
        <v>1.4550769999999999E-2</v>
      </c>
      <c r="W516">
        <v>0.17248369999999999</v>
      </c>
      <c r="X516">
        <v>0.98490489999999997</v>
      </c>
      <c r="Y516">
        <v>-7.0675740000000001E-3</v>
      </c>
      <c r="Z516" s="1">
        <v>3.7279810000000002E-5</v>
      </c>
      <c r="AA516">
        <v>0.99997499999999995</v>
      </c>
      <c r="AB516">
        <v>31</v>
      </c>
      <c r="AC516">
        <v>77.781700000000001</v>
      </c>
      <c r="AD516">
        <v>-1.1704840000000001</v>
      </c>
      <c r="AE516">
        <v>0.89609999999998902</v>
      </c>
      <c r="AF516">
        <v>-0.55095848116879897</v>
      </c>
      <c r="AG516">
        <v>-1.1704840000000001</v>
      </c>
      <c r="AH516">
        <v>77.767301352168602</v>
      </c>
      <c r="AI516">
        <v>90.862278180783207</v>
      </c>
      <c r="AJ516">
        <v>90.405916972388795</v>
      </c>
      <c r="AK516">
        <v>77.778060837496</v>
      </c>
      <c r="AL516">
        <v>80.067741937248996</v>
      </c>
      <c r="AM516">
        <v>89.1535862375801</v>
      </c>
      <c r="AN516">
        <v>1.0000000068586401</v>
      </c>
    </row>
    <row r="517" spans="1:40" x14ac:dyDescent="0.25">
      <c r="A517" t="str">
        <f>"20190303162753298"</f>
        <v>20190303162753298</v>
      </c>
      <c r="B517" t="str">
        <f>"1551601673292159"</f>
        <v>1551601673292159</v>
      </c>
      <c r="C517" t="s">
        <v>40</v>
      </c>
      <c r="D517">
        <v>5.7698419999999997</v>
      </c>
      <c r="E517">
        <v>0.49086669999999999</v>
      </c>
      <c r="F517" t="s">
        <v>43</v>
      </c>
      <c r="G517">
        <v>-158.19499999999999</v>
      </c>
      <c r="H517">
        <v>1.440572</v>
      </c>
      <c r="I517">
        <v>371.07909999999998</v>
      </c>
      <c r="J517">
        <v>-363.5274</v>
      </c>
      <c r="K517">
        <v>1.1204809999999901</v>
      </c>
      <c r="L517">
        <v>367.92910000000001</v>
      </c>
      <c r="M517">
        <v>0.99996960000000001</v>
      </c>
      <c r="N517">
        <v>-6.390738E-3</v>
      </c>
      <c r="O517">
        <v>4.5043030000000003E-3</v>
      </c>
      <c r="P517">
        <v>0.9860854</v>
      </c>
      <c r="Q517">
        <v>0.1659157</v>
      </c>
      <c r="R517">
        <v>-1.0393799999999899E-2</v>
      </c>
      <c r="S517">
        <v>3.0421450000000001</v>
      </c>
      <c r="T517">
        <v>4.7379730000000004E-3</v>
      </c>
      <c r="U517">
        <v>4.6630860000000003E-2</v>
      </c>
      <c r="V517">
        <v>1.48102999999999E-2</v>
      </c>
      <c r="W517">
        <v>0.17221600000000001</v>
      </c>
      <c r="X517">
        <v>0.98494789999999999</v>
      </c>
      <c r="Y517">
        <v>-1.082265E-2</v>
      </c>
      <c r="Z517" s="1">
        <v>6.1956689999999995E-5</v>
      </c>
      <c r="AA517">
        <v>0.99994139999999998</v>
      </c>
      <c r="AB517">
        <v>31</v>
      </c>
      <c r="AC517">
        <v>205.33240000000001</v>
      </c>
      <c r="AD517">
        <v>0.32009100000000001</v>
      </c>
      <c r="AE517">
        <v>3.1499999999999702</v>
      </c>
      <c r="AF517">
        <v>-2.2250645583444402</v>
      </c>
      <c r="AG517">
        <v>0.32009100000000001</v>
      </c>
      <c r="AH517">
        <v>205.34400688045699</v>
      </c>
      <c r="AI517">
        <v>89.910692441429703</v>
      </c>
      <c r="AJ517">
        <v>90.620820743843296</v>
      </c>
      <c r="AK517">
        <v>205.35631115760299</v>
      </c>
      <c r="AL517">
        <v>80.083313264841294</v>
      </c>
      <c r="AM517">
        <v>89.138529318975699</v>
      </c>
      <c r="AN517">
        <v>1.0000000306782399</v>
      </c>
    </row>
    <row r="518" spans="1:40" x14ac:dyDescent="0.25">
      <c r="A518" t="str">
        <f>"20190303162753312"</f>
        <v>20190303162753312</v>
      </c>
      <c r="B518" t="str">
        <f>"1551601673301919"</f>
        <v>1551601673301919</v>
      </c>
      <c r="C518" t="s">
        <v>40</v>
      </c>
      <c r="D518">
        <v>5.7125859999999999</v>
      </c>
      <c r="E518">
        <v>0.4904558</v>
      </c>
      <c r="F518" t="s">
        <v>43</v>
      </c>
      <c r="G518">
        <v>-158.19499999999999</v>
      </c>
      <c r="H518">
        <v>3.865993</v>
      </c>
      <c r="I518">
        <v>371.1345</v>
      </c>
      <c r="J518">
        <v>-363.32369999999997</v>
      </c>
      <c r="K518">
        <v>1.1204769999999999</v>
      </c>
      <c r="L518">
        <v>367.93</v>
      </c>
      <c r="M518">
        <v>0.9999692</v>
      </c>
      <c r="N518">
        <v>-6.4055350000000004E-3</v>
      </c>
      <c r="O518">
        <v>4.5612409999999997E-3</v>
      </c>
      <c r="P518">
        <v>0.98612900000000003</v>
      </c>
      <c r="Q518">
        <v>0.16565579999999999</v>
      </c>
      <c r="R518">
        <v>-1.0393100000000001E-2</v>
      </c>
      <c r="S518">
        <v>3.0359500000000001</v>
      </c>
      <c r="T518">
        <v>4.059517E-2</v>
      </c>
      <c r="U518">
        <v>4.73938E-2</v>
      </c>
      <c r="V518">
        <v>1.486584E-2</v>
      </c>
      <c r="W518">
        <v>0.17197079999999901</v>
      </c>
      <c r="X518">
        <v>0.98498989999999997</v>
      </c>
      <c r="Y518">
        <v>-1.10484E-2</v>
      </c>
      <c r="Z518" s="1">
        <v>5.172737E-5</v>
      </c>
      <c r="AA518">
        <v>0.99993900000000002</v>
      </c>
      <c r="AB518">
        <v>31</v>
      </c>
      <c r="AC518">
        <v>205.12870000000001</v>
      </c>
      <c r="AD518">
        <v>2.7455159999999998</v>
      </c>
      <c r="AE518">
        <v>3.2044999999999901</v>
      </c>
      <c r="AF518">
        <v>-2.26839987776615</v>
      </c>
      <c r="AG518">
        <v>2.7455159999999998</v>
      </c>
      <c r="AH518">
        <v>205.10444919305399</v>
      </c>
      <c r="AI518">
        <v>89.233134788778401</v>
      </c>
      <c r="AJ518">
        <v>90.633650030251601</v>
      </c>
      <c r="AK518">
        <v>205.13536646540899</v>
      </c>
      <c r="AL518">
        <v>80.097574920029004</v>
      </c>
      <c r="AM518">
        <v>89.135336078818</v>
      </c>
      <c r="AN518">
        <v>1.0000000261767701</v>
      </c>
    </row>
    <row r="519" spans="1:40" x14ac:dyDescent="0.25">
      <c r="A519" t="str">
        <f>"20190303162753333"</f>
        <v>20190303162753333</v>
      </c>
      <c r="B519" t="str">
        <f>"1551601673322414"</f>
        <v>1551601673322414</v>
      </c>
      <c r="C519" t="s">
        <v>40</v>
      </c>
      <c r="D519">
        <v>5.7010009999999998</v>
      </c>
      <c r="E519">
        <v>0.48986210000000002</v>
      </c>
      <c r="F519" t="s">
        <v>43</v>
      </c>
      <c r="G519">
        <v>-158.19499999999999</v>
      </c>
      <c r="H519">
        <v>3.354921</v>
      </c>
      <c r="I519">
        <v>371.37630000000001</v>
      </c>
      <c r="J519">
        <v>-363.0419</v>
      </c>
      <c r="K519">
        <v>1.1204769999999999</v>
      </c>
      <c r="L519">
        <v>367.9314</v>
      </c>
      <c r="M519">
        <v>0.99996859999999999</v>
      </c>
      <c r="N519">
        <v>-6.4300989999999999E-3</v>
      </c>
      <c r="O519">
        <v>4.6399049999999997E-3</v>
      </c>
      <c r="P519">
        <v>0.98615569999999997</v>
      </c>
      <c r="Q519">
        <v>0.165518</v>
      </c>
      <c r="R519">
        <v>-1.0022680000000001E-2</v>
      </c>
      <c r="S519">
        <v>3.03714</v>
      </c>
      <c r="T519">
        <v>3.3084509999999998E-2</v>
      </c>
      <c r="U519">
        <v>5.1025389999999997E-2</v>
      </c>
      <c r="V519">
        <v>1.4572949999999999E-2</v>
      </c>
      <c r="W519">
        <v>0.1718576</v>
      </c>
      <c r="X519">
        <v>0.98501399999999995</v>
      </c>
      <c r="Y519">
        <v>-1.215898E-2</v>
      </c>
      <c r="Z519" s="1">
        <v>5.3246659999999997E-5</v>
      </c>
      <c r="AA519">
        <v>0.99992610000000004</v>
      </c>
      <c r="AB519">
        <v>31</v>
      </c>
      <c r="AC519">
        <v>204.84690000000001</v>
      </c>
      <c r="AD519">
        <v>2.2344439999999999</v>
      </c>
      <c r="AE519">
        <v>3.4449000000000098</v>
      </c>
      <c r="AF519">
        <v>-2.4940764813338601</v>
      </c>
      <c r="AG519">
        <v>2.2344439999999999</v>
      </c>
      <c r="AH519">
        <v>204.836314308509</v>
      </c>
      <c r="AI519">
        <v>89.375063715307604</v>
      </c>
      <c r="AJ519">
        <v>90.697596007092997</v>
      </c>
      <c r="AK519">
        <v>204.86368349948799</v>
      </c>
      <c r="AL519">
        <v>80.104158490852598</v>
      </c>
      <c r="AM519">
        <v>89.152390099855793</v>
      </c>
      <c r="AN519">
        <v>0.999999992872731</v>
      </c>
    </row>
    <row r="520" spans="1:40" x14ac:dyDescent="0.25">
      <c r="A520" t="str">
        <f>"20190303162753353"</f>
        <v>20190303162753353</v>
      </c>
      <c r="B520" t="str">
        <f>"1551601673341935"</f>
        <v>1551601673341935</v>
      </c>
      <c r="C520" t="s">
        <v>40</v>
      </c>
      <c r="D520">
        <v>5.7656519999999896</v>
      </c>
      <c r="E520">
        <v>0.48979600000000001</v>
      </c>
      <c r="F520" t="s">
        <v>43</v>
      </c>
      <c r="G520">
        <v>-158.19499999999999</v>
      </c>
      <c r="H520">
        <v>2.5149509999999999</v>
      </c>
      <c r="I520">
        <v>371.7552</v>
      </c>
      <c r="J520">
        <v>-362.74669999999998</v>
      </c>
      <c r="K520">
        <v>1.1204769999999999</v>
      </c>
      <c r="L520">
        <v>367.93290000000002</v>
      </c>
      <c r="M520">
        <v>0.99996810000000003</v>
      </c>
      <c r="N520">
        <v>-6.4615489999999996E-3</v>
      </c>
      <c r="O520">
        <v>4.7227160000000001E-3</v>
      </c>
      <c r="P520">
        <v>0.98617880000000002</v>
      </c>
      <c r="Q520">
        <v>0.1654253</v>
      </c>
      <c r="R520">
        <v>-9.2914020000000007E-3</v>
      </c>
      <c r="S520">
        <v>3.039215</v>
      </c>
      <c r="T520">
        <v>2.0690440000000001E-2</v>
      </c>
      <c r="U520">
        <v>5.673218E-2</v>
      </c>
      <c r="V520">
        <v>1.392329E-2</v>
      </c>
      <c r="W520">
        <v>0.17179559999999999</v>
      </c>
      <c r="X520">
        <v>0.98503419999999997</v>
      </c>
      <c r="Y520">
        <v>-1.394167E-2</v>
      </c>
      <c r="Z520" s="1">
        <v>6.0256529999999997E-5</v>
      </c>
      <c r="AA520">
        <v>0.99990279999999998</v>
      </c>
      <c r="AB520">
        <v>31</v>
      </c>
      <c r="AC520">
        <v>204.55170000000001</v>
      </c>
      <c r="AD520">
        <v>1.394474</v>
      </c>
      <c r="AE520">
        <v>3.8222999999999798</v>
      </c>
      <c r="AF520">
        <v>-2.8560650538560801</v>
      </c>
      <c r="AG520">
        <v>1.394474</v>
      </c>
      <c r="AH520">
        <v>204.55796732984999</v>
      </c>
      <c r="AI520">
        <v>89.609458130073705</v>
      </c>
      <c r="AJ520">
        <v>90.799919179696303</v>
      </c>
      <c r="AK520">
        <v>204.58265728904999</v>
      </c>
      <c r="AL520">
        <v>80.107764338172998</v>
      </c>
      <c r="AM520">
        <v>89.190187881603805</v>
      </c>
      <c r="AN520">
        <v>0.99999998067671103</v>
      </c>
    </row>
    <row r="521" spans="1:40" x14ac:dyDescent="0.25">
      <c r="A521" t="str">
        <f>"20190303162753378"</f>
        <v>20190303162753378</v>
      </c>
      <c r="B521" t="str">
        <f>"1551601673372191"</f>
        <v>1551601673372191</v>
      </c>
      <c r="C521" t="s">
        <v>40</v>
      </c>
      <c r="D521">
        <v>5.6993589999999896</v>
      </c>
      <c r="E521">
        <v>0.48975819999999998</v>
      </c>
      <c r="F521" t="s">
        <v>43</v>
      </c>
      <c r="G521">
        <v>-158.19499999999999</v>
      </c>
      <c r="H521">
        <v>1.962823</v>
      </c>
      <c r="I521">
        <v>371.9323</v>
      </c>
      <c r="J521">
        <v>-362.4237</v>
      </c>
      <c r="K521">
        <v>1.1204750000000001</v>
      </c>
      <c r="L521">
        <v>367.93450000000001</v>
      </c>
      <c r="M521">
        <v>0.99996739999999995</v>
      </c>
      <c r="N521">
        <v>-6.5076020000000004E-3</v>
      </c>
      <c r="O521">
        <v>4.8134079999999999E-3</v>
      </c>
      <c r="P521">
        <v>0.98613399999999996</v>
      </c>
      <c r="Q521">
        <v>0.16573660000000001</v>
      </c>
      <c r="R521">
        <v>-8.4513499999999998E-3</v>
      </c>
      <c r="S521">
        <v>3.0404969999999998</v>
      </c>
      <c r="T521">
        <v>1.25221E-2</v>
      </c>
      <c r="U521">
        <v>5.9448239999999999E-2</v>
      </c>
      <c r="V521">
        <v>1.317232E-2</v>
      </c>
      <c r="W521">
        <v>0.1721521</v>
      </c>
      <c r="X521">
        <v>0.98498229999999998</v>
      </c>
      <c r="Y521">
        <v>-1.4735939999999999E-2</v>
      </c>
      <c r="Z521" s="1">
        <v>6.8753900000000006E-5</v>
      </c>
      <c r="AA521">
        <v>0.99989139999999999</v>
      </c>
      <c r="AB521">
        <v>31</v>
      </c>
      <c r="AC521">
        <v>204.2287</v>
      </c>
      <c r="AD521">
        <v>0.84234799999999899</v>
      </c>
      <c r="AE521">
        <v>3.9977999999999798</v>
      </c>
      <c r="AF521">
        <v>-3.01464570307285</v>
      </c>
      <c r="AG521">
        <v>0.84234799999999899</v>
      </c>
      <c r="AH521">
        <v>204.24210426771899</v>
      </c>
      <c r="AI521">
        <v>89.7637242554853</v>
      </c>
      <c r="AJ521">
        <v>90.845633344041204</v>
      </c>
      <c r="AK521">
        <v>204.266088214794</v>
      </c>
      <c r="AL521">
        <v>80.087029601897996</v>
      </c>
      <c r="AM521">
        <v>89.233820388820305</v>
      </c>
      <c r="AN521">
        <v>0.99999999343094104</v>
      </c>
    </row>
    <row r="522" spans="1:40" x14ac:dyDescent="0.25">
      <c r="A522" t="str">
        <f>"20190303162753388"</f>
        <v>20190303162753388</v>
      </c>
      <c r="B522" t="str">
        <f>"1551601673381952"</f>
        <v>1551601673381952</v>
      </c>
      <c r="C522" t="s">
        <v>40</v>
      </c>
      <c r="D522">
        <v>5.7615499999999997</v>
      </c>
      <c r="E522">
        <v>0.48988540000000003</v>
      </c>
      <c r="F522" t="s">
        <v>43</v>
      </c>
      <c r="G522">
        <v>-158.19499999999999</v>
      </c>
      <c r="H522">
        <v>1.35327999999999</v>
      </c>
      <c r="I522">
        <v>372.12830000000002</v>
      </c>
      <c r="J522">
        <v>-362.24799999999999</v>
      </c>
      <c r="K522">
        <v>1.120479</v>
      </c>
      <c r="L522">
        <v>367.93529999999998</v>
      </c>
      <c r="M522">
        <v>0.99996689999999999</v>
      </c>
      <c r="N522">
        <v>-6.5418859999999898E-3</v>
      </c>
      <c r="O522">
        <v>4.8625930000000001E-3</v>
      </c>
      <c r="P522">
        <v>0.98612460000000002</v>
      </c>
      <c r="Q522">
        <v>0.1658058</v>
      </c>
      <c r="R522">
        <v>-8.16992699999999E-3</v>
      </c>
      <c r="S522">
        <v>3.0421450000000001</v>
      </c>
      <c r="T522">
        <v>3.4691100000000001E-3</v>
      </c>
      <c r="U522">
        <v>6.2469480000000001E-2</v>
      </c>
      <c r="V522">
        <v>1.293917E-2</v>
      </c>
      <c r="W522">
        <v>0.17225499999999999</v>
      </c>
      <c r="X522">
        <v>0.98496740000000005</v>
      </c>
      <c r="Y522">
        <v>-1.5668640000000001E-2</v>
      </c>
      <c r="Z522" s="1">
        <v>7.9676489999999994E-5</v>
      </c>
      <c r="AA522">
        <v>0.99987720000000002</v>
      </c>
      <c r="AB522">
        <v>31</v>
      </c>
      <c r="AC522">
        <v>204.053</v>
      </c>
      <c r="AD522">
        <v>0.23280099999999901</v>
      </c>
      <c r="AE522">
        <v>4.1930000000000396</v>
      </c>
      <c r="AF522">
        <v>-3.2006984601652699</v>
      </c>
      <c r="AG522">
        <v>0.23280099999999901</v>
      </c>
      <c r="AH522">
        <v>204.07071126197201</v>
      </c>
      <c r="AI522">
        <v>89.934645846082404</v>
      </c>
      <c r="AJ522">
        <v>90.898568329050704</v>
      </c>
      <c r="AK522">
        <v>204.09594278648899</v>
      </c>
      <c r="AL522">
        <v>80.081044453098698</v>
      </c>
      <c r="AM522">
        <v>89.247368806365401</v>
      </c>
      <c r="AN522">
        <v>0.99999999310402399</v>
      </c>
    </row>
    <row r="523" spans="1:40" x14ac:dyDescent="0.25">
      <c r="A523" t="str">
        <f>"20190303162753401"</f>
        <v>20190303162753401</v>
      </c>
      <c r="B523" t="str">
        <f>"1551601673391713"</f>
        <v>1551601673391713</v>
      </c>
      <c r="C523" t="s">
        <v>40</v>
      </c>
      <c r="D523">
        <v>5.7581790000000002</v>
      </c>
      <c r="E523">
        <v>0.48998000000000003</v>
      </c>
      <c r="F523" t="s">
        <v>43</v>
      </c>
      <c r="G523">
        <v>-158.19499999999999</v>
      </c>
      <c r="H523">
        <v>1.162868</v>
      </c>
      <c r="I523">
        <v>372.11669999999998</v>
      </c>
      <c r="J523">
        <v>-362.05900000000003</v>
      </c>
      <c r="K523">
        <v>1.120485</v>
      </c>
      <c r="L523">
        <v>367.93630000000002</v>
      </c>
      <c r="M523">
        <v>0.99996620000000003</v>
      </c>
      <c r="N523">
        <v>-6.5864069999999999E-3</v>
      </c>
      <c r="O523">
        <v>4.9153820000000003E-3</v>
      </c>
      <c r="P523">
        <v>0.98610229999999999</v>
      </c>
      <c r="Q523">
        <v>0.16596029999999901</v>
      </c>
      <c r="R523">
        <v>-7.7115250000000003E-3</v>
      </c>
      <c r="S523">
        <v>3.0426030000000002</v>
      </c>
      <c r="T523">
        <v>6.3335900000000001E-4</v>
      </c>
      <c r="U523">
        <v>6.2347409999999999E-2</v>
      </c>
      <c r="V523">
        <v>1.253255E-2</v>
      </c>
      <c r="W523">
        <v>0.1724532</v>
      </c>
      <c r="X523">
        <v>0.98493799999999998</v>
      </c>
      <c r="Y523">
        <v>-1.5572600000000001E-2</v>
      </c>
      <c r="Z523" s="1">
        <v>8.3064219999999896E-5</v>
      </c>
      <c r="AA523">
        <v>0.99987879999999996</v>
      </c>
      <c r="AB523">
        <v>32</v>
      </c>
      <c r="AC523">
        <v>203.864</v>
      </c>
      <c r="AD523">
        <v>4.2382999999999997E-2</v>
      </c>
      <c r="AE523">
        <v>4.1803999999999597</v>
      </c>
      <c r="AF523">
        <v>-3.1782581582664799</v>
      </c>
      <c r="AG523">
        <v>4.2382999999999997E-2</v>
      </c>
      <c r="AH523">
        <v>203.882077001884</v>
      </c>
      <c r="AI523">
        <v>89.988090802185596</v>
      </c>
      <c r="AJ523">
        <v>90.893094836300094</v>
      </c>
      <c r="AK523">
        <v>203.90685237098199</v>
      </c>
      <c r="AL523">
        <v>80.0695161493786</v>
      </c>
      <c r="AM523">
        <v>89.270996273263705</v>
      </c>
      <c r="AN523">
        <v>1.0000000174218699</v>
      </c>
    </row>
    <row r="524" spans="1:40" x14ac:dyDescent="0.25">
      <c r="A524" t="str">
        <f>"20190303162753421"</f>
        <v>20190303162753421</v>
      </c>
      <c r="B524" t="str">
        <f>"1551601673412207"</f>
        <v>1551601673412207</v>
      </c>
      <c r="C524" t="s">
        <v>40</v>
      </c>
      <c r="D524">
        <v>5.7014630000000004</v>
      </c>
      <c r="E524">
        <v>0.48971039999999999</v>
      </c>
      <c r="F524" t="s">
        <v>43</v>
      </c>
      <c r="G524">
        <v>-158.19499999999999</v>
      </c>
      <c r="H524">
        <v>1.0371939999999999</v>
      </c>
      <c r="I524">
        <v>372.18079999999998</v>
      </c>
      <c r="J524">
        <v>-361.78500000000003</v>
      </c>
      <c r="K524">
        <v>1.120503</v>
      </c>
      <c r="L524">
        <v>367.93770000000001</v>
      </c>
      <c r="M524">
        <v>0.99996529999999995</v>
      </c>
      <c r="N524">
        <v>-6.6787210000000003E-3</v>
      </c>
      <c r="O524">
        <v>4.992153E-3</v>
      </c>
      <c r="P524">
        <v>0.98623059999999996</v>
      </c>
      <c r="Q524">
        <v>0.1652091</v>
      </c>
      <c r="R524">
        <v>-7.4409760000000002E-3</v>
      </c>
      <c r="S524">
        <v>3.042999</v>
      </c>
      <c r="T524">
        <v>-1.2419219999999999E-3</v>
      </c>
      <c r="U524">
        <v>6.3354489999999999E-2</v>
      </c>
      <c r="V524">
        <v>1.2338109999999999E-2</v>
      </c>
      <c r="W524">
        <v>0.17179369999999999</v>
      </c>
      <c r="X524">
        <v>0.98505569999999998</v>
      </c>
      <c r="Y524">
        <v>-1.5823879999999999E-2</v>
      </c>
      <c r="Z524" s="1">
        <v>8.7378019999999896E-5</v>
      </c>
      <c r="AA524">
        <v>0.99987479999999995</v>
      </c>
      <c r="AB524">
        <v>32</v>
      </c>
      <c r="AC524">
        <v>203.59</v>
      </c>
      <c r="AD524">
        <v>-8.3308999999999994E-2</v>
      </c>
      <c r="AE524">
        <v>4.2430999999999699</v>
      </c>
      <c r="AF524">
        <v>-3.22667155258095</v>
      </c>
      <c r="AG524">
        <v>-8.3308999999999994E-2</v>
      </c>
      <c r="AH524">
        <v>203.60861157506599</v>
      </c>
      <c r="AI524">
        <v>90.023440337448207</v>
      </c>
      <c r="AJ524">
        <v>90.907914386416607</v>
      </c>
      <c r="AK524">
        <v>203.63419422391701</v>
      </c>
      <c r="AL524">
        <v>80.107875218076799</v>
      </c>
      <c r="AM524">
        <v>89.282391172734606</v>
      </c>
      <c r="AN524">
        <v>1.00000001821027</v>
      </c>
    </row>
    <row r="525" spans="1:40" x14ac:dyDescent="0.25">
      <c r="A525" t="str">
        <f>"20190303162753434"</f>
        <v>20190303162753434</v>
      </c>
      <c r="B525" t="str">
        <f>"1551601673421967"</f>
        <v>1551601673421967</v>
      </c>
      <c r="C525" t="s">
        <v>40</v>
      </c>
      <c r="D525">
        <v>5.7005369999999997</v>
      </c>
      <c r="E525">
        <v>0.48961090000000002</v>
      </c>
      <c r="F525" t="s">
        <v>43</v>
      </c>
      <c r="G525">
        <v>-158.19499999999999</v>
      </c>
      <c r="H525">
        <v>0.65545699999999996</v>
      </c>
      <c r="I525">
        <v>372.37369999999999</v>
      </c>
      <c r="J525">
        <v>-361.60660000000001</v>
      </c>
      <c r="K525">
        <v>1.1205179999999999</v>
      </c>
      <c r="L525">
        <v>367.93869999999998</v>
      </c>
      <c r="M525">
        <v>0.99996450000000003</v>
      </c>
      <c r="N525">
        <v>-6.7580779999999998E-3</v>
      </c>
      <c r="O525">
        <v>5.041663E-3</v>
      </c>
      <c r="P525">
        <v>0.98628380000000004</v>
      </c>
      <c r="Q525">
        <v>0.16488729999999999</v>
      </c>
      <c r="R525">
        <v>-7.5356619999999899E-3</v>
      </c>
      <c r="S525">
        <v>3.0435490000000001</v>
      </c>
      <c r="T525">
        <v>-6.9508549999999997E-3</v>
      </c>
      <c r="U525">
        <v>6.6314699999999893E-2</v>
      </c>
      <c r="V525">
        <v>1.2481870000000001E-2</v>
      </c>
      <c r="W525">
        <v>0.17155090000000001</v>
      </c>
      <c r="X525">
        <v>0.98509619999999998</v>
      </c>
      <c r="Y525">
        <v>-1.6742460000000001E-2</v>
      </c>
      <c r="Z525" s="1">
        <v>9.8253399999999997E-5</v>
      </c>
      <c r="AA525">
        <v>0.99985979999999997</v>
      </c>
      <c r="AB525">
        <v>32</v>
      </c>
      <c r="AC525">
        <v>203.41159999999999</v>
      </c>
      <c r="AD525">
        <v>-0.465061</v>
      </c>
      <c r="AE525">
        <v>4.4349999999999996</v>
      </c>
      <c r="AF525">
        <v>-3.40936970851318</v>
      </c>
      <c r="AG525">
        <v>-0.465061</v>
      </c>
      <c r="AH525">
        <v>203.43031209156899</v>
      </c>
      <c r="AI525">
        <v>90.130964970243795</v>
      </c>
      <c r="AJ525">
        <v>90.960152924461497</v>
      </c>
      <c r="AK525">
        <v>203.45941109031099</v>
      </c>
      <c r="AL525">
        <v>80.121996248809296</v>
      </c>
      <c r="AM525">
        <v>89.274060540533995</v>
      </c>
      <c r="AN525">
        <v>1.00000001581197</v>
      </c>
    </row>
    <row r="526" spans="1:40" x14ac:dyDescent="0.25">
      <c r="A526" t="str">
        <f>"20190303162753448"</f>
        <v>20190303162753448</v>
      </c>
      <c r="B526" t="str">
        <f>"1551601673442463"</f>
        <v>1551601673442463</v>
      </c>
      <c r="C526" t="s">
        <v>40</v>
      </c>
      <c r="D526">
        <v>5.7552969999999997</v>
      </c>
      <c r="E526">
        <v>0.4895274</v>
      </c>
      <c r="F526" t="s">
        <v>43</v>
      </c>
      <c r="G526">
        <v>-158.19499999999999</v>
      </c>
      <c r="H526">
        <v>0.4954054</v>
      </c>
      <c r="I526">
        <v>372.399</v>
      </c>
      <c r="J526">
        <v>-361.41489999999999</v>
      </c>
      <c r="K526">
        <v>1.120533</v>
      </c>
      <c r="L526">
        <v>367.93970000000002</v>
      </c>
      <c r="M526">
        <v>0.99996350000000001</v>
      </c>
      <c r="N526">
        <v>-6.8535860000000001E-3</v>
      </c>
      <c r="O526">
        <v>5.0951089999999996E-3</v>
      </c>
      <c r="P526">
        <v>0.9863229</v>
      </c>
      <c r="Q526">
        <v>0.16465560000000001</v>
      </c>
      <c r="R526">
        <v>-7.4695309999999997E-3</v>
      </c>
      <c r="S526">
        <v>3.043793</v>
      </c>
      <c r="T526">
        <v>-9.352684E-3</v>
      </c>
      <c r="U526">
        <v>6.674194E-2</v>
      </c>
      <c r="V526">
        <v>1.24686E-2</v>
      </c>
      <c r="W526">
        <v>0.17141319999999999</v>
      </c>
      <c r="X526">
        <v>0.98512029999999995</v>
      </c>
      <c r="Y526">
        <v>-1.6827450000000001E-2</v>
      </c>
      <c r="Z526">
        <v>1.0278510000000001E-4</v>
      </c>
      <c r="AA526">
        <v>0.99985840000000004</v>
      </c>
      <c r="AB526">
        <v>32</v>
      </c>
      <c r="AC526">
        <v>203.2199</v>
      </c>
      <c r="AD526">
        <v>-0.62512760000000001</v>
      </c>
      <c r="AE526">
        <v>4.4592999999999803</v>
      </c>
      <c r="AF526">
        <v>-3.4237578384196401</v>
      </c>
      <c r="AG526">
        <v>-0.62512760000000001</v>
      </c>
      <c r="AH526">
        <v>203.23806099453699</v>
      </c>
      <c r="AI526">
        <v>90.176207049379499</v>
      </c>
      <c r="AJ526">
        <v>90.965116079782803</v>
      </c>
      <c r="AK526">
        <v>203.26785859813501</v>
      </c>
      <c r="AL526">
        <v>80.130004127833601</v>
      </c>
      <c r="AM526">
        <v>89.274849973410198</v>
      </c>
      <c r="AN526">
        <v>0.99999997829614495</v>
      </c>
    </row>
    <row r="527" spans="1:40" x14ac:dyDescent="0.25">
      <c r="A527" t="str">
        <f>"20190303162753464"</f>
        <v>20190303162753464</v>
      </c>
      <c r="B527" t="str">
        <f>"1551601673452223"</f>
        <v>1551601673452223</v>
      </c>
      <c r="C527" t="s">
        <v>40</v>
      </c>
      <c r="D527">
        <v>5.6920960000000003</v>
      </c>
      <c r="E527">
        <v>0.4895523</v>
      </c>
      <c r="F527" t="s">
        <v>43</v>
      </c>
      <c r="G527">
        <v>-158.19499999999999</v>
      </c>
      <c r="H527">
        <v>0.29550910000000002</v>
      </c>
      <c r="I527">
        <v>372.42989999999998</v>
      </c>
      <c r="J527">
        <v>-361.17809999999997</v>
      </c>
      <c r="K527">
        <v>1.120555</v>
      </c>
      <c r="L527">
        <v>367.9409</v>
      </c>
      <c r="M527">
        <v>0.99996220000000002</v>
      </c>
      <c r="N527">
        <v>-6.9911010000000004E-3</v>
      </c>
      <c r="O527">
        <v>5.1607470000000003E-3</v>
      </c>
      <c r="P527">
        <v>0.98631380000000002</v>
      </c>
      <c r="Q527">
        <v>0.1646985</v>
      </c>
      <c r="R527">
        <v>-7.7218019999999998E-3</v>
      </c>
      <c r="S527">
        <v>3.0441590000000001</v>
      </c>
      <c r="T527">
        <v>-1.235723E-2</v>
      </c>
      <c r="U527">
        <v>6.7260739999999999E-2</v>
      </c>
      <c r="V527">
        <v>1.278522E-2</v>
      </c>
      <c r="W527">
        <v>0.17159170000000001</v>
      </c>
      <c r="X527">
        <v>0.98508519999999999</v>
      </c>
      <c r="Y527">
        <v>-1.6929360000000001E-2</v>
      </c>
      <c r="Z527">
        <v>1.0867259999999999E-4</v>
      </c>
      <c r="AA527">
        <v>0.99985670000000004</v>
      </c>
      <c r="AB527">
        <v>32</v>
      </c>
      <c r="AC527">
        <v>202.98310000000001</v>
      </c>
      <c r="AD527">
        <v>-0.8250459</v>
      </c>
      <c r="AE527">
        <v>4.4889999999999697</v>
      </c>
      <c r="AF527">
        <v>-3.44131332008874</v>
      </c>
      <c r="AG527">
        <v>-0.8250459</v>
      </c>
      <c r="AH527">
        <v>203.000211826217</v>
      </c>
      <c r="AI527">
        <v>90.232830283281899</v>
      </c>
      <c r="AJ527">
        <v>90.971200191961501</v>
      </c>
      <c r="AK527">
        <v>203.03105511126401</v>
      </c>
      <c r="AL527">
        <v>80.119623360721604</v>
      </c>
      <c r="AM527">
        <v>89.256411507920703</v>
      </c>
      <c r="AN527">
        <v>1.0000000123091799</v>
      </c>
    </row>
    <row r="528" spans="1:40" x14ac:dyDescent="0.25">
      <c r="A528" t="str">
        <f>"20190303162753477"</f>
        <v>20190303162753477</v>
      </c>
      <c r="B528" t="str">
        <f>"1551601673471743"</f>
        <v>1551601673471743</v>
      </c>
      <c r="C528" t="s">
        <v>40</v>
      </c>
      <c r="D528">
        <v>5.6377730000000001</v>
      </c>
      <c r="E528">
        <v>0.48956909999999998</v>
      </c>
      <c r="F528" t="s">
        <v>43</v>
      </c>
      <c r="G528">
        <v>-158.19499999999999</v>
      </c>
      <c r="H528">
        <v>0.22430249999999999</v>
      </c>
      <c r="I528">
        <v>372.35430000000002</v>
      </c>
      <c r="J528">
        <v>-360.98379999999997</v>
      </c>
      <c r="K528">
        <v>1.1205750000000001</v>
      </c>
      <c r="L528">
        <v>367.94200000000001</v>
      </c>
      <c r="M528">
        <v>0.99996110000000005</v>
      </c>
      <c r="N528">
        <v>-7.1188279999999998E-3</v>
      </c>
      <c r="O528">
        <v>5.2149620000000001E-3</v>
      </c>
      <c r="P528">
        <v>0.98630090000000004</v>
      </c>
      <c r="Q528">
        <v>0.16476950000000001</v>
      </c>
      <c r="R528">
        <v>-7.8391940000000007E-3</v>
      </c>
      <c r="S528">
        <v>3.044403</v>
      </c>
      <c r="T528">
        <v>-1.344097E-2</v>
      </c>
      <c r="U528">
        <v>6.6192630000000002E-2</v>
      </c>
      <c r="V528">
        <v>1.2955980000000001E-2</v>
      </c>
      <c r="W528">
        <v>0.17178860000000001</v>
      </c>
      <c r="X528">
        <v>0.9850487</v>
      </c>
      <c r="Y528">
        <v>-1.6522709999999999E-2</v>
      </c>
      <c r="Z528">
        <v>1.093893E-4</v>
      </c>
      <c r="AA528">
        <v>0.99986350000000002</v>
      </c>
      <c r="AB528">
        <v>32</v>
      </c>
      <c r="AC528">
        <v>202.78880000000001</v>
      </c>
      <c r="AD528">
        <v>-0.89627250000000003</v>
      </c>
      <c r="AE528">
        <v>4.4123000000000703</v>
      </c>
      <c r="AF528">
        <v>-3.3546118562384999</v>
      </c>
      <c r="AG528">
        <v>-0.89627250000000003</v>
      </c>
      <c r="AH528">
        <v>202.80509316653499</v>
      </c>
      <c r="AI528">
        <v>90.253175464132994</v>
      </c>
      <c r="AJ528">
        <v>90.947646686798606</v>
      </c>
      <c r="AK528">
        <v>202.83481589556399</v>
      </c>
      <c r="AL528">
        <v>80.108172263175106</v>
      </c>
      <c r="AM528">
        <v>89.246453324923095</v>
      </c>
      <c r="AN528">
        <v>1.0000000609397</v>
      </c>
    </row>
    <row r="529" spans="1:40" x14ac:dyDescent="0.25">
      <c r="A529" t="str">
        <f>"20190303162753489"</f>
        <v>20190303162753489</v>
      </c>
      <c r="B529" t="str">
        <f>"1551601673482478"</f>
        <v>1551601673482478</v>
      </c>
      <c r="C529" t="s">
        <v>40</v>
      </c>
      <c r="D529">
        <v>5.3988740000000002</v>
      </c>
      <c r="E529">
        <v>0.48953730000000001</v>
      </c>
      <c r="F529" t="s">
        <v>43</v>
      </c>
      <c r="G529">
        <v>-158.19499999999999</v>
      </c>
      <c r="H529">
        <v>0.1405962</v>
      </c>
      <c r="I529">
        <v>372.33249999999998</v>
      </c>
      <c r="J529">
        <v>-360.82369999999997</v>
      </c>
      <c r="K529">
        <v>1.120592</v>
      </c>
      <c r="L529">
        <v>367.94290000000001</v>
      </c>
      <c r="M529">
        <v>0.99996010000000002</v>
      </c>
      <c r="N529">
        <v>-7.227781E-3</v>
      </c>
      <c r="O529">
        <v>5.2596400000000003E-3</v>
      </c>
      <c r="P529">
        <v>0.98634120000000003</v>
      </c>
      <c r="Q529">
        <v>0.16451660000000001</v>
      </c>
      <c r="R529">
        <v>-8.0873309999999997E-3</v>
      </c>
      <c r="S529">
        <v>3.0446469999999999</v>
      </c>
      <c r="T529">
        <v>-1.471198E-2</v>
      </c>
      <c r="U529">
        <v>6.5917970000000006E-2</v>
      </c>
      <c r="V529">
        <v>1.324842E-2</v>
      </c>
      <c r="W529">
        <v>0.17164299999999999</v>
      </c>
      <c r="X529">
        <v>0.98507009999999995</v>
      </c>
      <c r="Y529">
        <v>-1.6386069999999999E-2</v>
      </c>
      <c r="Z529">
        <v>1.114115E-4</v>
      </c>
      <c r="AA529">
        <v>0.99986569999999997</v>
      </c>
      <c r="AB529">
        <v>32</v>
      </c>
      <c r="AC529">
        <v>202.62870000000001</v>
      </c>
      <c r="AD529">
        <v>-0.97999579999999997</v>
      </c>
      <c r="AE529">
        <v>4.3895999999999704</v>
      </c>
      <c r="AF529">
        <v>-3.3236797744781699</v>
      </c>
      <c r="AG529">
        <v>-0.97999579999999997</v>
      </c>
      <c r="AH529">
        <v>202.64424760755</v>
      </c>
      <c r="AI529">
        <v>90.277045292385793</v>
      </c>
      <c r="AJ529">
        <v>90.939655343635096</v>
      </c>
      <c r="AK529">
        <v>202.673871842034</v>
      </c>
      <c r="AL529">
        <v>80.116639410161596</v>
      </c>
      <c r="AM529">
        <v>89.229463173784396</v>
      </c>
      <c r="AN529">
        <v>0.99999997099775195</v>
      </c>
    </row>
    <row r="530" spans="1:40" x14ac:dyDescent="0.25">
      <c r="A530" t="str">
        <f>"20190303162753501"</f>
        <v>20190303162753501</v>
      </c>
      <c r="B530" t="str">
        <f>"1551601673492240"</f>
        <v>1551601673492240</v>
      </c>
      <c r="C530" t="s">
        <v>40</v>
      </c>
      <c r="D530">
        <v>5.6347310000000004</v>
      </c>
      <c r="E530">
        <v>0.4895523</v>
      </c>
      <c r="F530" t="s">
        <v>42</v>
      </c>
      <c r="G530">
        <v>-149.98249999999999</v>
      </c>
      <c r="H530">
        <v>-0.05</v>
      </c>
      <c r="I530">
        <v>372.47980000000001</v>
      </c>
      <c r="J530">
        <v>-360.6447</v>
      </c>
      <c r="K530">
        <v>1.1206100000000001</v>
      </c>
      <c r="L530">
        <v>367.94389999999999</v>
      </c>
      <c r="M530">
        <v>0.99995900000000004</v>
      </c>
      <c r="N530">
        <v>-7.3533280000000001E-3</v>
      </c>
      <c r="O530">
        <v>5.3093180000000004E-3</v>
      </c>
      <c r="P530">
        <v>0.98635949999999994</v>
      </c>
      <c r="Q530">
        <v>0.16440489999999999</v>
      </c>
      <c r="R530">
        <v>-8.1341299999999998E-3</v>
      </c>
      <c r="S530">
        <v>3.0449220000000001</v>
      </c>
      <c r="T530">
        <v>-1.6905429999999999E-2</v>
      </c>
      <c r="U530">
        <v>6.5521239999999994E-2</v>
      </c>
      <c r="V530">
        <v>1.3344150000000001E-2</v>
      </c>
      <c r="W530">
        <v>0.1716551</v>
      </c>
      <c r="X530">
        <v>0.98506669999999996</v>
      </c>
      <c r="Y530">
        <v>-1.6204110000000001E-2</v>
      </c>
      <c r="Z530">
        <v>1.1412769999999999E-4</v>
      </c>
      <c r="AA530">
        <v>0.99986870000000005</v>
      </c>
      <c r="AB530">
        <v>32</v>
      </c>
      <c r="AC530">
        <v>210.66220000000001</v>
      </c>
      <c r="AD530">
        <v>-1.1706099999999999</v>
      </c>
      <c r="AE530">
        <v>4.5359000000000202</v>
      </c>
      <c r="AF530">
        <v>-3.4172278926227002</v>
      </c>
      <c r="AG530">
        <v>-1.1706099999999999</v>
      </c>
      <c r="AH530">
        <v>210.676811544391</v>
      </c>
      <c r="AI530">
        <v>90.318314581855802</v>
      </c>
      <c r="AJ530">
        <v>90.929269654254298</v>
      </c>
      <c r="AK530">
        <v>210.70777559633001</v>
      </c>
      <c r="AL530">
        <v>80.115935692391801</v>
      </c>
      <c r="AM530">
        <v>89.223893454139798</v>
      </c>
      <c r="AN530">
        <v>0.99999997157206</v>
      </c>
    </row>
    <row r="531" spans="1:40" x14ac:dyDescent="0.25">
      <c r="A531" t="str">
        <f>"20190303162753514"</f>
        <v>20190303162753514</v>
      </c>
      <c r="B531" t="str">
        <f>"1551601673502000"</f>
        <v>1551601673502000</v>
      </c>
      <c r="C531" t="s">
        <v>40</v>
      </c>
      <c r="D531">
        <v>5.6913720000000003</v>
      </c>
      <c r="E531">
        <v>0.48969439999999997</v>
      </c>
      <c r="F531" t="s">
        <v>46</v>
      </c>
      <c r="G531">
        <v>-187.43979999999999</v>
      </c>
      <c r="H531" s="1">
        <v>-9.1416390000000007E-6</v>
      </c>
      <c r="I531">
        <v>371.64609999999999</v>
      </c>
      <c r="J531">
        <v>-360.47309999999999</v>
      </c>
      <c r="K531">
        <v>1.120625</v>
      </c>
      <c r="L531">
        <v>367.94479999999999</v>
      </c>
      <c r="M531">
        <v>0.99995789999999996</v>
      </c>
      <c r="N531">
        <v>-7.4745640000000004E-3</v>
      </c>
      <c r="O531">
        <v>5.3569200000000003E-3</v>
      </c>
      <c r="P531">
        <v>0.98637260000000004</v>
      </c>
      <c r="Q531">
        <v>0.16432749999999999</v>
      </c>
      <c r="R531">
        <v>-8.1083259999999904E-3</v>
      </c>
      <c r="S531">
        <v>3.0453190000000001</v>
      </c>
      <c r="T531">
        <v>-1.9702910000000001E-2</v>
      </c>
      <c r="U531">
        <v>6.5093990000000004E-2</v>
      </c>
      <c r="V531">
        <v>1.3365180000000001E-2</v>
      </c>
      <c r="W531">
        <v>0.17169699999999999</v>
      </c>
      <c r="X531">
        <v>0.98505909999999997</v>
      </c>
      <c r="Y531">
        <v>-1.6013349999999999E-2</v>
      </c>
      <c r="Z531">
        <v>1.170349E-4</v>
      </c>
      <c r="AA531">
        <v>0.99987179999999998</v>
      </c>
      <c r="AB531">
        <v>32</v>
      </c>
      <c r="AC531">
        <v>173.0333</v>
      </c>
      <c r="AD531">
        <v>-1.120634141639</v>
      </c>
      <c r="AE531">
        <v>3.7012999999999998</v>
      </c>
      <c r="AF531">
        <v>-2.7741793133238799</v>
      </c>
      <c r="AG531">
        <v>-1.120634141639</v>
      </c>
      <c r="AH531">
        <v>173.043390442684</v>
      </c>
      <c r="AI531">
        <v>90.370996313230606</v>
      </c>
      <c r="AJ531">
        <v>90.918469931360903</v>
      </c>
      <c r="AK531">
        <v>173.06925454176201</v>
      </c>
      <c r="AL531">
        <v>80.113498696176094</v>
      </c>
      <c r="AM531">
        <v>89.222664485737795</v>
      </c>
      <c r="AN531">
        <v>0.99999995916911999</v>
      </c>
    </row>
    <row r="532" spans="1:40" x14ac:dyDescent="0.25">
      <c r="A532" t="str">
        <f>"20190303162753546"</f>
        <v>20190303162753546</v>
      </c>
      <c r="B532" t="str">
        <f>"1551601673532256"</f>
        <v>1551601673532256</v>
      </c>
      <c r="C532" t="s">
        <v>40</v>
      </c>
      <c r="D532">
        <v>5.5710129999999998</v>
      </c>
      <c r="E532">
        <v>0.4897994</v>
      </c>
      <c r="F532" t="s">
        <v>46</v>
      </c>
      <c r="G532">
        <v>-208.87219999999999</v>
      </c>
      <c r="H532" s="1">
        <v>-6.2334939999999898E-6</v>
      </c>
      <c r="I532">
        <v>371.12709999999998</v>
      </c>
      <c r="J532">
        <v>-360.00670000000002</v>
      </c>
      <c r="K532">
        <v>1.120663</v>
      </c>
      <c r="L532">
        <v>367.94749999999999</v>
      </c>
      <c r="M532">
        <v>0.99995460000000003</v>
      </c>
      <c r="N532">
        <v>-7.7957959999999998E-3</v>
      </c>
      <c r="O532">
        <v>5.4865469999999996E-3</v>
      </c>
      <c r="P532">
        <v>0.98645819999999995</v>
      </c>
      <c r="Q532">
        <v>0.16383110000000001</v>
      </c>
      <c r="R532">
        <v>-7.7261789999999997E-3</v>
      </c>
      <c r="S532">
        <v>3.0457459999999998</v>
      </c>
      <c r="T532">
        <v>-2.2514099999999999E-2</v>
      </c>
      <c r="U532">
        <v>6.3934329999999998E-2</v>
      </c>
      <c r="V532">
        <v>1.311115E-2</v>
      </c>
      <c r="W532">
        <v>0.171518</v>
      </c>
      <c r="X532">
        <v>0.98509369999999996</v>
      </c>
      <c r="Y532">
        <v>-1.550004E-2</v>
      </c>
      <c r="Z532">
        <v>1.199258E-4</v>
      </c>
      <c r="AA532">
        <v>0.99987979999999999</v>
      </c>
      <c r="AB532">
        <v>32</v>
      </c>
      <c r="AC532">
        <v>151.1345</v>
      </c>
      <c r="AD532">
        <v>-1.120669233494</v>
      </c>
      <c r="AE532">
        <v>3.17959999999999</v>
      </c>
      <c r="AF532">
        <v>-2.35019127371906</v>
      </c>
      <c r="AG532">
        <v>-1.120669233494</v>
      </c>
      <c r="AH532">
        <v>151.14136414422501</v>
      </c>
      <c r="AI532">
        <v>90.424772398974696</v>
      </c>
      <c r="AJ532">
        <v>90.890855991051197</v>
      </c>
      <c r="AK532">
        <v>151.163789493156</v>
      </c>
      <c r="AL532">
        <v>80.123909104981607</v>
      </c>
      <c r="AM532">
        <v>89.237464206080602</v>
      </c>
      <c r="AN532">
        <v>0.999999962179005</v>
      </c>
    </row>
    <row r="533" spans="1:40" x14ac:dyDescent="0.25">
      <c r="A533" t="str">
        <f>"20190303162753567"</f>
        <v>20190303162753567</v>
      </c>
      <c r="B533" t="str">
        <f>"1551601673561534"</f>
        <v>1551601673561534</v>
      </c>
      <c r="C533" t="s">
        <v>40</v>
      </c>
      <c r="D533">
        <v>5.3877620000000004</v>
      </c>
      <c r="E533">
        <v>0.48983209999999999</v>
      </c>
      <c r="F533" t="s">
        <v>41</v>
      </c>
      <c r="G533">
        <v>-241.94560000000001</v>
      </c>
      <c r="H533" s="1">
        <v>-4.011229E-6</v>
      </c>
      <c r="I533">
        <v>370.45580000000001</v>
      </c>
      <c r="J533">
        <v>-359.71379999999999</v>
      </c>
      <c r="K533">
        <v>1.1206799999999999</v>
      </c>
      <c r="L533">
        <v>367.94920000000002</v>
      </c>
      <c r="M533">
        <v>0.99995270000000003</v>
      </c>
      <c r="N533">
        <v>-7.9805480000000005E-3</v>
      </c>
      <c r="O533">
        <v>5.5678439999999997E-3</v>
      </c>
      <c r="P533">
        <v>0.98648100000000005</v>
      </c>
      <c r="Q533">
        <v>0.16369600000000001</v>
      </c>
      <c r="R533">
        <v>-7.682436E-3</v>
      </c>
      <c r="S533">
        <v>3.0465089999999999</v>
      </c>
      <c r="T533">
        <v>-2.8918269999999999E-2</v>
      </c>
      <c r="U533">
        <v>6.4727779999999999E-2</v>
      </c>
      <c r="V533">
        <v>1.3147809999999999E-2</v>
      </c>
      <c r="W533">
        <v>0.17156540000000001</v>
      </c>
      <c r="X533">
        <v>0.98508499999999999</v>
      </c>
      <c r="Y533">
        <v>-1.5673360000000001E-2</v>
      </c>
      <c r="Z533">
        <v>1.28517E-4</v>
      </c>
      <c r="AA533">
        <v>0.99987720000000002</v>
      </c>
      <c r="AB533">
        <v>32</v>
      </c>
      <c r="AC533">
        <v>117.768199999999</v>
      </c>
      <c r="AD533">
        <v>-1.120684011229</v>
      </c>
      <c r="AE533">
        <v>2.5065999999999899</v>
      </c>
      <c r="AF533">
        <v>-1.85065781674781</v>
      </c>
      <c r="AG533">
        <v>-1.120684011229</v>
      </c>
      <c r="AH533">
        <v>117.769671461437</v>
      </c>
      <c r="AI533">
        <v>90.545136956028799</v>
      </c>
      <c r="AJ533">
        <v>90.900284039499496</v>
      </c>
      <c r="AK533">
        <v>117.789542758016</v>
      </c>
      <c r="AL533">
        <v>80.121152842561301</v>
      </c>
      <c r="AM533">
        <v>89.2353255850593</v>
      </c>
      <c r="AN533">
        <v>1.0000000043049699</v>
      </c>
    </row>
    <row r="534" spans="1:40" x14ac:dyDescent="0.25">
      <c r="A534" t="str">
        <f>"20190303162753588"</f>
        <v>20190303162753588</v>
      </c>
      <c r="B534" t="str">
        <f>"1551601673582031"</f>
        <v>1551601673582031</v>
      </c>
      <c r="C534" t="s">
        <v>40</v>
      </c>
      <c r="D534">
        <v>5.3259109999999996</v>
      </c>
      <c r="E534">
        <v>0.48988619999999999</v>
      </c>
      <c r="F534" t="s">
        <v>41</v>
      </c>
      <c r="G534">
        <v>-258.98899999999998</v>
      </c>
      <c r="H534" s="1">
        <v>-5.3984829999999998E-7</v>
      </c>
      <c r="I534">
        <v>370.08159999999998</v>
      </c>
      <c r="J534">
        <v>-359.3963</v>
      </c>
      <c r="K534">
        <v>1.120687</v>
      </c>
      <c r="L534">
        <v>367.95100000000002</v>
      </c>
      <c r="M534">
        <v>0.99995080000000003</v>
      </c>
      <c r="N534">
        <v>-8.1586719999999901E-3</v>
      </c>
      <c r="O534">
        <v>5.6567780000000003E-3</v>
      </c>
      <c r="P534">
        <v>0.98654640000000005</v>
      </c>
      <c r="Q534">
        <v>0.16330349999999999</v>
      </c>
      <c r="R534">
        <v>-7.645186E-3</v>
      </c>
      <c r="S534">
        <v>3.0472410000000001</v>
      </c>
      <c r="T534">
        <v>-3.3904080000000003E-2</v>
      </c>
      <c r="U534">
        <v>6.4514160000000001E-2</v>
      </c>
      <c r="V534">
        <v>1.319861E-2</v>
      </c>
      <c r="W534">
        <v>0.1713489</v>
      </c>
      <c r="X534">
        <v>0.98512200000000005</v>
      </c>
      <c r="Y534">
        <v>-1.5508920000000001E-2</v>
      </c>
      <c r="Z534">
        <v>1.3276250000000001E-4</v>
      </c>
      <c r="AA534">
        <v>0.99987969999999904</v>
      </c>
      <c r="AB534">
        <v>32</v>
      </c>
      <c r="AC534">
        <v>100.407299999999</v>
      </c>
      <c r="AD534">
        <v>-1.1206875398483001</v>
      </c>
      <c r="AE534">
        <v>2.13060000000001</v>
      </c>
      <c r="AF534">
        <v>-1.56237069746838</v>
      </c>
      <c r="AG534">
        <v>-1.1206875398483001</v>
      </c>
      <c r="AH534">
        <v>100.405243565389</v>
      </c>
      <c r="AI534">
        <v>90.639411112365394</v>
      </c>
      <c r="AJ534">
        <v>90.891487534126895</v>
      </c>
      <c r="AK534">
        <v>100.423651985891</v>
      </c>
      <c r="AL534">
        <v>80.133743807114698</v>
      </c>
      <c r="AM534">
        <v>89.232400246233198</v>
      </c>
      <c r="AN534">
        <v>1.0000000018605699</v>
      </c>
    </row>
    <row r="535" spans="1:40" x14ac:dyDescent="0.25">
      <c r="A535" t="str">
        <f>"20190303162753601"</f>
        <v>20190303162753601</v>
      </c>
      <c r="B535" t="str">
        <f>"1551601673591791"</f>
        <v>1551601673591791</v>
      </c>
      <c r="C535" t="s">
        <v>40</v>
      </c>
      <c r="D535">
        <v>5.3248150000000001</v>
      </c>
      <c r="E535">
        <v>0.48993759999999997</v>
      </c>
      <c r="F535" t="s">
        <v>41</v>
      </c>
      <c r="G535">
        <v>-266.64659999999998</v>
      </c>
      <c r="H535" s="1">
        <v>-1.502223E-6</v>
      </c>
      <c r="I535">
        <v>369.92189999999999</v>
      </c>
      <c r="J535">
        <v>-359.20819999999998</v>
      </c>
      <c r="K535">
        <v>1.120692</v>
      </c>
      <c r="L535">
        <v>367.95209999999997</v>
      </c>
      <c r="M535">
        <v>0.99994959999999999</v>
      </c>
      <c r="N535">
        <v>-8.2552559999999903E-3</v>
      </c>
      <c r="O535">
        <v>5.7093150000000004E-3</v>
      </c>
      <c r="P535">
        <v>0.98652470000000003</v>
      </c>
      <c r="Q535">
        <v>0.16344330000000001</v>
      </c>
      <c r="R535">
        <v>-7.4432680000000003E-3</v>
      </c>
      <c r="S535">
        <v>3.047485</v>
      </c>
      <c r="T535">
        <v>-3.6822559999999997E-2</v>
      </c>
      <c r="U535">
        <v>6.4758300000000005E-2</v>
      </c>
      <c r="V535">
        <v>1.304843E-2</v>
      </c>
      <c r="W535">
        <v>0.17158329999999999</v>
      </c>
      <c r="X535">
        <v>0.98508320000000005</v>
      </c>
      <c r="Y535">
        <v>-1.553452E-2</v>
      </c>
      <c r="Z535">
        <v>1.3612429999999999E-4</v>
      </c>
      <c r="AA535">
        <v>0.99987930000000003</v>
      </c>
      <c r="AB535">
        <v>32</v>
      </c>
      <c r="AC535">
        <v>92.561599999999999</v>
      </c>
      <c r="AD535">
        <v>-1.120693502223</v>
      </c>
      <c r="AE535">
        <v>1.96980000000002</v>
      </c>
      <c r="AF535">
        <v>-1.4410753849997699</v>
      </c>
      <c r="AG535">
        <v>-1.120693502223</v>
      </c>
      <c r="AH535">
        <v>92.557775753664302</v>
      </c>
      <c r="AI535">
        <v>90.6936217902023</v>
      </c>
      <c r="AJ535">
        <v>90.891992770263499</v>
      </c>
      <c r="AK535">
        <v>92.575777094533706</v>
      </c>
      <c r="AL535">
        <v>80.1201117742946</v>
      </c>
      <c r="AM535">
        <v>89.241103444031296</v>
      </c>
      <c r="AN535">
        <v>1.0000000006432901</v>
      </c>
    </row>
    <row r="536" spans="1:40" x14ac:dyDescent="0.25">
      <c r="A536" t="str">
        <f>"20190303162753614"</f>
        <v>20190303162753614</v>
      </c>
      <c r="B536" t="str">
        <f>"1551601673601551"</f>
        <v>1551601673601551</v>
      </c>
      <c r="C536" t="s">
        <v>40</v>
      </c>
      <c r="D536">
        <v>5.2068510000000003</v>
      </c>
      <c r="E536">
        <v>0.48992599999999997</v>
      </c>
      <c r="F536" t="s">
        <v>41</v>
      </c>
      <c r="G536">
        <v>-266.43740000000003</v>
      </c>
      <c r="H536" s="1">
        <v>-1.5918960000000001E-6</v>
      </c>
      <c r="I536">
        <v>369.92149999999998</v>
      </c>
      <c r="J536">
        <v>-359.04250000000002</v>
      </c>
      <c r="K536">
        <v>1.1206940000000001</v>
      </c>
      <c r="L536">
        <v>367.95310000000001</v>
      </c>
      <c r="M536">
        <v>0.99994870000000002</v>
      </c>
      <c r="N536">
        <v>-8.3319859999999996E-3</v>
      </c>
      <c r="O536">
        <v>5.7557299999999997E-3</v>
      </c>
      <c r="P536">
        <v>0.98651219999999995</v>
      </c>
      <c r="Q536">
        <v>0.1635152</v>
      </c>
      <c r="R536">
        <v>-7.521125E-3</v>
      </c>
      <c r="S536">
        <v>3.047577</v>
      </c>
      <c r="T536">
        <v>-3.6815399999999998E-2</v>
      </c>
      <c r="U536">
        <v>6.4697270000000001E-2</v>
      </c>
      <c r="V536">
        <v>1.317188E-2</v>
      </c>
      <c r="W536">
        <v>0.17173069999999999</v>
      </c>
      <c r="X536">
        <v>0.98505589999999998</v>
      </c>
      <c r="Y536">
        <v>-1.5467450000000001E-2</v>
      </c>
      <c r="Z536">
        <v>1.362945E-4</v>
      </c>
      <c r="AA536">
        <v>0.9998804</v>
      </c>
      <c r="AB536">
        <v>32</v>
      </c>
      <c r="AC536">
        <v>92.605099999999993</v>
      </c>
      <c r="AD536">
        <v>-1.120695591896</v>
      </c>
      <c r="AE536">
        <v>1.96839999999997</v>
      </c>
      <c r="AF536">
        <v>-1.43512883794996</v>
      </c>
      <c r="AG536">
        <v>-1.120695591896</v>
      </c>
      <c r="AH536">
        <v>92.601340076902602</v>
      </c>
      <c r="AI536">
        <v>90.693297570329506</v>
      </c>
      <c r="AJ536">
        <v>90.887894744450193</v>
      </c>
      <c r="AK536">
        <v>92.619240643774305</v>
      </c>
      <c r="AL536">
        <v>80.111539413299894</v>
      </c>
      <c r="AM536">
        <v>89.233903216336898</v>
      </c>
      <c r="AN536">
        <v>1.0000000289350099</v>
      </c>
    </row>
    <row r="537" spans="1:40" x14ac:dyDescent="0.25">
      <c r="A537" t="str">
        <f>"20190303162753632"</f>
        <v>20190303162753632</v>
      </c>
      <c r="B537" t="str">
        <f>"1551601673622047"</f>
        <v>1551601673622047</v>
      </c>
      <c r="C537" t="s">
        <v>40</v>
      </c>
      <c r="D537">
        <v>5.1515579999999996</v>
      </c>
      <c r="E537">
        <v>0.48988939999999997</v>
      </c>
      <c r="F537" t="s">
        <v>41</v>
      </c>
      <c r="G537">
        <v>-267.1712</v>
      </c>
      <c r="H537" s="1">
        <v>-1.274192E-6</v>
      </c>
      <c r="I537">
        <v>369.91059999999999</v>
      </c>
      <c r="J537">
        <v>-358.76850000000002</v>
      </c>
      <c r="K537">
        <v>1.120698</v>
      </c>
      <c r="L537">
        <v>367.9547</v>
      </c>
      <c r="M537">
        <v>0.99994740000000004</v>
      </c>
      <c r="N537">
        <v>-8.4504719999999901E-3</v>
      </c>
      <c r="O537">
        <v>5.8320689999999996E-3</v>
      </c>
      <c r="P537">
        <v>0.98652910000000005</v>
      </c>
      <c r="Q537">
        <v>0.16340879999999999</v>
      </c>
      <c r="R537">
        <v>-7.6095719999999898E-3</v>
      </c>
      <c r="S537">
        <v>3.0476990000000002</v>
      </c>
      <c r="T537">
        <v>-3.7177439999999999E-2</v>
      </c>
      <c r="U537">
        <v>6.4941410000000005E-2</v>
      </c>
      <c r="V537">
        <v>1.333605E-2</v>
      </c>
      <c r="W537">
        <v>0.17174110000000001</v>
      </c>
      <c r="X537">
        <v>0.98505189999999998</v>
      </c>
      <c r="Y537">
        <v>-1.5470279999999999E-2</v>
      </c>
      <c r="Z537">
        <v>1.378703E-4</v>
      </c>
      <c r="AA537">
        <v>0.99988030000000006</v>
      </c>
      <c r="AB537">
        <v>32</v>
      </c>
      <c r="AC537">
        <v>91.597300000000004</v>
      </c>
      <c r="AD537">
        <v>-1.1206992741920001</v>
      </c>
      <c r="AE537">
        <v>1.95589999999998</v>
      </c>
      <c r="AF537">
        <v>-1.4214332589245799</v>
      </c>
      <c r="AG537">
        <v>-1.1206992741920001</v>
      </c>
      <c r="AH537">
        <v>91.593444468136596</v>
      </c>
      <c r="AI537">
        <v>90.700927944452303</v>
      </c>
      <c r="AJ537">
        <v>90.889098449201697</v>
      </c>
      <c r="AK537">
        <v>91.611328496591398</v>
      </c>
      <c r="AL537">
        <v>80.1109347679444</v>
      </c>
      <c r="AM537">
        <v>89.224352846931694</v>
      </c>
      <c r="AN537">
        <v>1.0000000506762099</v>
      </c>
    </row>
    <row r="538" spans="1:40" x14ac:dyDescent="0.25">
      <c r="A538" t="str">
        <f>"20190303162753647"</f>
        <v>20190303162753647</v>
      </c>
      <c r="B538" t="str">
        <f>"1551601673631806"</f>
        <v>1551601673631806</v>
      </c>
      <c r="C538" t="s">
        <v>40</v>
      </c>
      <c r="D538">
        <v>5.211754</v>
      </c>
      <c r="E538">
        <v>0.48991509999999999</v>
      </c>
      <c r="F538" t="s">
        <v>41</v>
      </c>
      <c r="G538">
        <v>-269.62029999999999</v>
      </c>
      <c r="H538" s="1">
        <v>-2.0590510000000001E-7</v>
      </c>
      <c r="I538">
        <v>369.84440000000001</v>
      </c>
      <c r="J538">
        <v>-358.565</v>
      </c>
      <c r="K538">
        <v>1.1207</v>
      </c>
      <c r="L538">
        <v>367.95600000000002</v>
      </c>
      <c r="M538">
        <v>0.99994629999999995</v>
      </c>
      <c r="N538">
        <v>-8.53111199999999E-3</v>
      </c>
      <c r="O538">
        <v>5.8887130000000003E-3</v>
      </c>
      <c r="P538">
        <v>0.98656469999999996</v>
      </c>
      <c r="Q538">
        <v>0.1631947</v>
      </c>
      <c r="R538">
        <v>-7.5905929999999996E-3</v>
      </c>
      <c r="S538">
        <v>3.0478209999999999</v>
      </c>
      <c r="T538">
        <v>-3.83147E-2</v>
      </c>
      <c r="U538">
        <v>6.4605709999999997E-2</v>
      </c>
      <c r="V538">
        <v>1.337294E-2</v>
      </c>
      <c r="W538">
        <v>0.1716068</v>
      </c>
      <c r="X538">
        <v>0.98507480000000003</v>
      </c>
      <c r="Y538">
        <v>-1.5302629999999999E-2</v>
      </c>
      <c r="Z538">
        <v>1.3767609999999999E-4</v>
      </c>
      <c r="AA538">
        <v>0.99988290000000002</v>
      </c>
      <c r="AB538">
        <v>32</v>
      </c>
      <c r="AC538">
        <v>88.944699999999997</v>
      </c>
      <c r="AD538">
        <v>-1.1207002059051001</v>
      </c>
      <c r="AE538">
        <v>1.88840000000004</v>
      </c>
      <c r="AF538">
        <v>-1.3643618915059501</v>
      </c>
      <c r="AG538">
        <v>-1.1207002059051001</v>
      </c>
      <c r="AH538">
        <v>88.940164656749104</v>
      </c>
      <c r="AI538">
        <v>90.721838568843793</v>
      </c>
      <c r="AJ538">
        <v>90.878861056648802</v>
      </c>
      <c r="AK538">
        <v>88.957688490046493</v>
      </c>
      <c r="AL538">
        <v>80.118745498973595</v>
      </c>
      <c r="AM538">
        <v>89.222225604648898</v>
      </c>
      <c r="AN538">
        <v>1.00000004546276</v>
      </c>
    </row>
    <row r="539" spans="1:40" x14ac:dyDescent="0.25">
      <c r="A539" t="str">
        <f>"20190303162753660"</f>
        <v>20190303162753660</v>
      </c>
      <c r="B539" t="str">
        <f>"1551601673652304"</f>
        <v>1551601673652304</v>
      </c>
      <c r="C539" t="s">
        <v>40</v>
      </c>
      <c r="D539">
        <v>5.1572719999999999</v>
      </c>
      <c r="E539">
        <v>0.49000100000000002</v>
      </c>
      <c r="F539" t="s">
        <v>41</v>
      </c>
      <c r="G539">
        <v>-272.09629999999999</v>
      </c>
      <c r="H539" s="1">
        <v>-3.4156680000000001E-6</v>
      </c>
      <c r="I539">
        <v>369.77659999999997</v>
      </c>
      <c r="J539">
        <v>-358.36590000000001</v>
      </c>
      <c r="K539">
        <v>1.120703</v>
      </c>
      <c r="L539">
        <v>367.9572</v>
      </c>
      <c r="M539">
        <v>0.99994539999999998</v>
      </c>
      <c r="N539">
        <v>-8.6034960000000004E-3</v>
      </c>
      <c r="O539">
        <v>5.9435419999999996E-3</v>
      </c>
      <c r="P539">
        <v>0.98658970000000001</v>
      </c>
      <c r="Q539">
        <v>0.16305049999999999</v>
      </c>
      <c r="R539">
        <v>-7.4367080000000002E-3</v>
      </c>
      <c r="S539">
        <v>3.0479129999999999</v>
      </c>
      <c r="T539">
        <v>-3.9503339999999998E-2</v>
      </c>
      <c r="U539">
        <v>6.4178470000000001E-2</v>
      </c>
      <c r="V539">
        <v>1.327329E-2</v>
      </c>
      <c r="W539">
        <v>0.1715344</v>
      </c>
      <c r="X539">
        <v>0.98508870000000004</v>
      </c>
      <c r="Y539">
        <v>-1.5107000000000001E-2</v>
      </c>
      <c r="Z539">
        <v>1.3699489999999999E-4</v>
      </c>
      <c r="AA539">
        <v>0.99988589999999999</v>
      </c>
      <c r="AB539">
        <v>32</v>
      </c>
      <c r="AC539">
        <v>86.269599999999997</v>
      </c>
      <c r="AD539">
        <v>-1.120706415668</v>
      </c>
      <c r="AE539">
        <v>1.8193999999999699</v>
      </c>
      <c r="AF539">
        <v>-1.30638156469323</v>
      </c>
      <c r="AG539">
        <v>-1.120706415668</v>
      </c>
      <c r="AH539">
        <v>86.264338735300001</v>
      </c>
      <c r="AI539">
        <v>90.744233084384106</v>
      </c>
      <c r="AJ539">
        <v>90.867617255996905</v>
      </c>
      <c r="AK539">
        <v>86.281508755359994</v>
      </c>
      <c r="AL539">
        <v>80.122955583592699</v>
      </c>
      <c r="AM539">
        <v>89.228031467578006</v>
      </c>
      <c r="AN539">
        <v>0.99999998873923701</v>
      </c>
    </row>
    <row r="540" spans="1:40" x14ac:dyDescent="0.25">
      <c r="A540" t="str">
        <f>"20190303162753677"</f>
        <v>20190303162753677</v>
      </c>
      <c r="B540" t="str">
        <f>"1551601673671823"</f>
        <v>1551601673671823</v>
      </c>
      <c r="C540" t="s">
        <v>40</v>
      </c>
      <c r="D540">
        <v>4.8509890000000002</v>
      </c>
      <c r="E540">
        <v>0.4900892</v>
      </c>
      <c r="F540" t="s">
        <v>41</v>
      </c>
      <c r="G540">
        <v>-273.81439999999998</v>
      </c>
      <c r="H540" s="1">
        <v>-2.6677310000000001E-6</v>
      </c>
      <c r="I540">
        <v>369.73579999999998</v>
      </c>
      <c r="J540">
        <v>-358.11950000000002</v>
      </c>
      <c r="K540">
        <v>1.1206969999999901</v>
      </c>
      <c r="L540">
        <v>367.9588</v>
      </c>
      <c r="M540">
        <v>0.99994430000000001</v>
      </c>
      <c r="N540">
        <v>-8.6850759999999999E-3</v>
      </c>
      <c r="O540">
        <v>6.0110800000000002E-3</v>
      </c>
      <c r="P540">
        <v>0.98658060000000003</v>
      </c>
      <c r="Q540">
        <v>0.1631099</v>
      </c>
      <c r="R540">
        <v>-7.3611969999999999E-3</v>
      </c>
      <c r="S540">
        <v>3.0479430000000001</v>
      </c>
      <c r="T540">
        <v>-4.0399549999999999E-2</v>
      </c>
      <c r="U540">
        <v>6.4117430000000003E-2</v>
      </c>
      <c r="V540">
        <v>1.326428E-2</v>
      </c>
      <c r="W540">
        <v>0.17167389999999999</v>
      </c>
      <c r="X540">
        <v>0.98506450000000001</v>
      </c>
      <c r="Y540">
        <v>-1.501917E-2</v>
      </c>
      <c r="Z540">
        <v>1.3729740000000001E-4</v>
      </c>
      <c r="AA540">
        <v>0.99988719999999998</v>
      </c>
      <c r="AB540">
        <v>32</v>
      </c>
      <c r="AC540">
        <v>84.305099999999996</v>
      </c>
      <c r="AD540">
        <v>-1.1206996677309999</v>
      </c>
      <c r="AE540">
        <v>1.7769999999999799</v>
      </c>
      <c r="AF540">
        <v>-1.26995980101577</v>
      </c>
      <c r="AG540">
        <v>-1.1206996677309999</v>
      </c>
      <c r="AH540">
        <v>84.299368603874399</v>
      </c>
      <c r="AI540">
        <v>90.761575036558398</v>
      </c>
      <c r="AJ540">
        <v>90.863088705684305</v>
      </c>
      <c r="AK540">
        <v>84.316382231766397</v>
      </c>
      <c r="AL540">
        <v>80.114842276265705</v>
      </c>
      <c r="AM540">
        <v>89.228536472019002</v>
      </c>
      <c r="AN540">
        <v>0.99999996911268796</v>
      </c>
    </row>
    <row r="541" spans="1:40" x14ac:dyDescent="0.25">
      <c r="A541" t="str">
        <f>"20190303162753701"</f>
        <v>20190303162753701</v>
      </c>
      <c r="B541" t="str">
        <f>"1551601673692318"</f>
        <v>1551601673692318</v>
      </c>
      <c r="C541" t="s">
        <v>40</v>
      </c>
      <c r="D541">
        <v>4.8033169999999998</v>
      </c>
      <c r="E541">
        <v>0.49026720000000001</v>
      </c>
      <c r="F541" t="s">
        <v>41</v>
      </c>
      <c r="G541">
        <v>-274.75659999999999</v>
      </c>
      <c r="H541" s="1">
        <v>-2.2557120000000002E-6</v>
      </c>
      <c r="I541">
        <v>369.70639999999997</v>
      </c>
      <c r="J541">
        <v>-357.78519999999997</v>
      </c>
      <c r="K541">
        <v>1.1206969999999901</v>
      </c>
      <c r="L541">
        <v>367.96089999999998</v>
      </c>
      <c r="M541">
        <v>0.99994280000000002</v>
      </c>
      <c r="N541">
        <v>-8.7847649999999999E-3</v>
      </c>
      <c r="O541">
        <v>6.1012330000000002E-3</v>
      </c>
      <c r="P541">
        <v>0.98663719999999999</v>
      </c>
      <c r="Q541">
        <v>0.1627701</v>
      </c>
      <c r="R541">
        <v>-7.2798019999999897E-3</v>
      </c>
      <c r="S541">
        <v>3.0480960000000001</v>
      </c>
      <c r="T541">
        <v>-4.0977359999999997E-2</v>
      </c>
      <c r="U541">
        <v>6.3903810000000005E-2</v>
      </c>
      <c r="V541">
        <v>1.3272870000000001E-2</v>
      </c>
      <c r="W541">
        <v>0.17143249999999999</v>
      </c>
      <c r="X541">
        <v>0.9851065</v>
      </c>
      <c r="Y541">
        <v>-1.485788E-2</v>
      </c>
      <c r="Z541">
        <v>1.3671620000000001E-4</v>
      </c>
      <c r="AA541">
        <v>0.99988960000000005</v>
      </c>
      <c r="AB541">
        <v>32</v>
      </c>
      <c r="AC541">
        <v>83.028599999999898</v>
      </c>
      <c r="AD541">
        <v>-1.1206992557119999</v>
      </c>
      <c r="AE541">
        <v>1.7454999999999901</v>
      </c>
      <c r="AF541">
        <v>-1.2386455587369201</v>
      </c>
      <c r="AG541">
        <v>-1.1206992557119999</v>
      </c>
      <c r="AH541">
        <v>83.022585467735297</v>
      </c>
      <c r="AI541">
        <v>90.773287095039706</v>
      </c>
      <c r="AJ541">
        <v>90.854754131125404</v>
      </c>
      <c r="AK541">
        <v>83.039387686743893</v>
      </c>
      <c r="AL541">
        <v>80.128882357102796</v>
      </c>
      <c r="AM541">
        <v>89.228069838288704</v>
      </c>
      <c r="AN541">
        <v>1.0000000437382599</v>
      </c>
    </row>
    <row r="542" spans="1:40" x14ac:dyDescent="0.25">
      <c r="A542" t="str">
        <f>"20190303162753715"</f>
        <v>20190303162753715</v>
      </c>
      <c r="B542" t="str">
        <f>"1551601673702079"</f>
        <v>1551601673702079</v>
      </c>
      <c r="C542" t="s">
        <v>40</v>
      </c>
      <c r="D542">
        <v>5.0918970000000003</v>
      </c>
      <c r="E542">
        <v>0.49031200000000003</v>
      </c>
      <c r="F542" t="s">
        <v>41</v>
      </c>
      <c r="G542">
        <v>-277.32459999999998</v>
      </c>
      <c r="H542" s="1">
        <v>-1.130483E-6</v>
      </c>
      <c r="I542">
        <v>369.61790000000002</v>
      </c>
      <c r="J542">
        <v>-357.58690000000001</v>
      </c>
      <c r="K542">
        <v>1.1206989999999999</v>
      </c>
      <c r="L542">
        <v>367.96210000000002</v>
      </c>
      <c r="M542">
        <v>0.99994209999999994</v>
      </c>
      <c r="N542">
        <v>-8.8373800000000006E-3</v>
      </c>
      <c r="O542">
        <v>6.1526080000000004E-3</v>
      </c>
      <c r="P542">
        <v>0.98667070000000001</v>
      </c>
      <c r="Q542">
        <v>0.1625741</v>
      </c>
      <c r="R542">
        <v>-7.1384169999999898E-3</v>
      </c>
      <c r="S542">
        <v>3.0480649999999998</v>
      </c>
      <c r="T542">
        <v>-4.2455079999999999E-2</v>
      </c>
      <c r="U542">
        <v>6.2774659999999996E-2</v>
      </c>
      <c r="V542">
        <v>1.3182920000000001E-2</v>
      </c>
      <c r="W542">
        <v>0.17128869999999999</v>
      </c>
      <c r="X542">
        <v>0.98513269999999997</v>
      </c>
      <c r="Y542">
        <v>-1.443641E-2</v>
      </c>
      <c r="Z542">
        <v>1.3301320000000001E-4</v>
      </c>
      <c r="AA542">
        <v>0.9998958</v>
      </c>
      <c r="AB542">
        <v>32</v>
      </c>
      <c r="AC542">
        <v>80.262299999999996</v>
      </c>
      <c r="AD542">
        <v>-1.120700130483</v>
      </c>
      <c r="AE542">
        <v>1.6557999999999899</v>
      </c>
      <c r="AF542">
        <v>-1.1617005484059799</v>
      </c>
      <c r="AG542">
        <v>-1.120700130483</v>
      </c>
      <c r="AH542">
        <v>80.255328317226301</v>
      </c>
      <c r="AI542">
        <v>90.799952988205007</v>
      </c>
      <c r="AJ542">
        <v>90.829301825951802</v>
      </c>
      <c r="AK542">
        <v>80.271559348578904</v>
      </c>
      <c r="AL542">
        <v>80.137244976833301</v>
      </c>
      <c r="AM542">
        <v>89.233320956681297</v>
      </c>
      <c r="AN542">
        <v>1.0000000223683501</v>
      </c>
    </row>
    <row r="543" spans="1:40" x14ac:dyDescent="0.25">
      <c r="A543" t="str">
        <f>"20190303162753733"</f>
        <v>20190303162753733</v>
      </c>
      <c r="B543" t="str">
        <f>"1551601673721599"</f>
        <v>1551601673721599</v>
      </c>
      <c r="C543" t="s">
        <v>40</v>
      </c>
      <c r="D543">
        <v>5.0614610000000004</v>
      </c>
      <c r="E543">
        <v>0.4904425</v>
      </c>
      <c r="F543" t="s">
        <v>41</v>
      </c>
      <c r="G543">
        <v>-278.9649</v>
      </c>
      <c r="H543" s="1">
        <v>-4.3316240000000002E-7</v>
      </c>
      <c r="I543">
        <v>369.57810000000001</v>
      </c>
      <c r="J543">
        <v>-357.32150000000001</v>
      </c>
      <c r="K543">
        <v>1.1206989999999999</v>
      </c>
      <c r="L543">
        <v>367.96379999999999</v>
      </c>
      <c r="M543">
        <v>0.99994110000000003</v>
      </c>
      <c r="N543">
        <v>-8.9014780000000009E-3</v>
      </c>
      <c r="O543">
        <v>6.2200170000000004E-3</v>
      </c>
      <c r="P543">
        <v>0.98671920000000002</v>
      </c>
      <c r="Q543">
        <v>0.1622827</v>
      </c>
      <c r="R543">
        <v>-7.0548669999999898E-3</v>
      </c>
      <c r="S543">
        <v>3.0481259999999999</v>
      </c>
      <c r="T543">
        <v>-4.3448809999999997E-2</v>
      </c>
      <c r="U543">
        <v>6.2652589999999994E-2</v>
      </c>
      <c r="V543">
        <v>1.316701E-2</v>
      </c>
      <c r="W543">
        <v>0.171061299999999</v>
      </c>
      <c r="X543">
        <v>0.98517239999999995</v>
      </c>
      <c r="Y543">
        <v>-1.4328499999999999E-2</v>
      </c>
      <c r="Z543">
        <v>1.3260750000000001E-4</v>
      </c>
      <c r="AA543">
        <v>0.99989740000000005</v>
      </c>
      <c r="AB543">
        <v>32</v>
      </c>
      <c r="AC543">
        <v>78.3566</v>
      </c>
      <c r="AD543">
        <v>-1.1206994331623901</v>
      </c>
      <c r="AE543">
        <v>1.6143000000000101</v>
      </c>
      <c r="AF543">
        <v>-1.12663973567001</v>
      </c>
      <c r="AG543">
        <v>-1.1206994331623901</v>
      </c>
      <c r="AH543">
        <v>78.349104951833297</v>
      </c>
      <c r="AI543">
        <v>90.819413733118296</v>
      </c>
      <c r="AJ543">
        <v>90.823841615165705</v>
      </c>
      <c r="AK543">
        <v>78.365218886103193</v>
      </c>
      <c r="AL543">
        <v>80.150468976903298</v>
      </c>
      <c r="AM543">
        <v>89.234276978567806</v>
      </c>
      <c r="AN543">
        <v>0.99999999811589502</v>
      </c>
    </row>
    <row r="544" spans="1:40" x14ac:dyDescent="0.25">
      <c r="A544" t="str">
        <f>"20190303162753745"</f>
        <v>20190303162753745</v>
      </c>
      <c r="B544" t="str">
        <f>"1551601673732335"</f>
        <v>1551601673732335</v>
      </c>
      <c r="C544" t="s">
        <v>40</v>
      </c>
      <c r="D544">
        <v>4.9163509999999997</v>
      </c>
      <c r="E544">
        <v>0.49158049999999998</v>
      </c>
      <c r="F544" t="s">
        <v>42</v>
      </c>
      <c r="G544">
        <v>-278.62290000000002</v>
      </c>
      <c r="H544">
        <v>-0.05</v>
      </c>
      <c r="I544">
        <v>369.56639999999999</v>
      </c>
      <c r="J544">
        <v>-357.14510000000001</v>
      </c>
      <c r="K544">
        <v>1.120698</v>
      </c>
      <c r="L544">
        <v>367.9649</v>
      </c>
      <c r="M544">
        <v>0.99994050000000001</v>
      </c>
      <c r="N544">
        <v>-8.9457600000000005E-3</v>
      </c>
      <c r="O544">
        <v>6.2638529999999998E-3</v>
      </c>
      <c r="P544">
        <v>0.98673180000000005</v>
      </c>
      <c r="Q544">
        <v>0.1622014</v>
      </c>
      <c r="R544">
        <v>-7.1807889999999999E-3</v>
      </c>
      <c r="S544">
        <v>3.0482480000000001</v>
      </c>
      <c r="T544">
        <v>-4.5344950000000002E-2</v>
      </c>
      <c r="U544">
        <v>6.2072750000000003E-2</v>
      </c>
      <c r="V544">
        <v>1.3336809999999999E-2</v>
      </c>
      <c r="W544">
        <v>0.17102329999999999</v>
      </c>
      <c r="X544">
        <v>0.98517670000000002</v>
      </c>
      <c r="Y544">
        <v>-1.4093609999999999E-2</v>
      </c>
      <c r="Z544">
        <v>1.307297E-4</v>
      </c>
      <c r="AA544">
        <v>0.99990069999999998</v>
      </c>
      <c r="AB544">
        <v>32</v>
      </c>
      <c r="AC544">
        <v>78.522199999999998</v>
      </c>
      <c r="AD544">
        <v>-1.170698</v>
      </c>
      <c r="AE544">
        <v>1.6014999999999799</v>
      </c>
      <c r="AF544">
        <v>-1.10935095815456</v>
      </c>
      <c r="AG544">
        <v>-1.170698</v>
      </c>
      <c r="AH544">
        <v>78.513246533389307</v>
      </c>
      <c r="AI544">
        <v>90.854179312726401</v>
      </c>
      <c r="AJ544">
        <v>90.809505419644907</v>
      </c>
      <c r="AK544">
        <v>78.529810101440603</v>
      </c>
      <c r="AL544">
        <v>80.152678649788001</v>
      </c>
      <c r="AM544">
        <v>89.2244069003074</v>
      </c>
      <c r="AN544">
        <v>0.99999998493337705</v>
      </c>
    </row>
    <row r="545" spans="1:40" x14ac:dyDescent="0.25">
      <c r="A545" t="str">
        <f>"20190303162753760"</f>
        <v>20190303162753760</v>
      </c>
      <c r="B545" t="str">
        <f>"1551601673751855"</f>
        <v>1551601673751855</v>
      </c>
      <c r="C545" t="s">
        <v>40</v>
      </c>
      <c r="D545">
        <v>4.8495549999999996</v>
      </c>
      <c r="E545">
        <v>0.53717469999999901</v>
      </c>
      <c r="F545" t="s">
        <v>42</v>
      </c>
      <c r="G545">
        <v>-293.2681</v>
      </c>
      <c r="H545">
        <v>-0.05</v>
      </c>
      <c r="I545">
        <v>369.06810000000002</v>
      </c>
      <c r="J545">
        <v>-356.9221</v>
      </c>
      <c r="K545">
        <v>1.1207100000000001</v>
      </c>
      <c r="L545">
        <v>367.96640000000002</v>
      </c>
      <c r="M545">
        <v>0.99993920000000003</v>
      </c>
      <c r="N545">
        <v>-9.0402220000000005E-3</v>
      </c>
      <c r="O545">
        <v>6.3181899999999996E-3</v>
      </c>
      <c r="P545">
        <v>0.98677870000000001</v>
      </c>
      <c r="Q545">
        <v>0.1619149</v>
      </c>
      <c r="R545">
        <v>-7.1747909999999998E-3</v>
      </c>
      <c r="S545">
        <v>3.0498660000000002</v>
      </c>
      <c r="T545">
        <v>-5.5896040000000001E-2</v>
      </c>
      <c r="U545">
        <v>5.2673339999999999E-2</v>
      </c>
      <c r="V545">
        <v>1.338549E-2</v>
      </c>
      <c r="W545">
        <v>0.17083019999999999</v>
      </c>
      <c r="X545">
        <v>0.98520960000000002</v>
      </c>
      <c r="Y545">
        <v>-1.0947810000000001E-2</v>
      </c>
      <c r="Z545" s="1">
        <v>9.1140670000000004E-5</v>
      </c>
      <c r="AA545">
        <v>0.99994000000000005</v>
      </c>
      <c r="AB545">
        <v>32</v>
      </c>
      <c r="AC545">
        <v>63.654000000000003</v>
      </c>
      <c r="AD545">
        <v>-1.1707099999999999</v>
      </c>
      <c r="AE545">
        <v>1.1016999999999899</v>
      </c>
      <c r="AF545">
        <v>-0.69924706210836896</v>
      </c>
      <c r="AG545">
        <v>-1.1707099999999999</v>
      </c>
      <c r="AH545">
        <v>63.638170765608599</v>
      </c>
      <c r="AI545">
        <v>91.053850676121598</v>
      </c>
      <c r="AJ545">
        <v>90.629532445474496</v>
      </c>
      <c r="AK545">
        <v>63.652779096837001</v>
      </c>
      <c r="AL545">
        <v>80.163908284265901</v>
      </c>
      <c r="AM545">
        <v>89.221602287197001</v>
      </c>
      <c r="AN545">
        <v>1.0000000422533599</v>
      </c>
    </row>
    <row r="546" spans="1:40" x14ac:dyDescent="0.25">
      <c r="A546" t="str">
        <f>"20190303162753780"</f>
        <v>20190303162753780</v>
      </c>
      <c r="B546" t="str">
        <f>"1551601673772351"</f>
        <v>1551601673772351</v>
      </c>
      <c r="C546" t="s">
        <v>40</v>
      </c>
      <c r="D546">
        <v>4.7787040000000003</v>
      </c>
      <c r="E546">
        <v>0.53584759999999998</v>
      </c>
      <c r="F546" t="s">
        <v>44</v>
      </c>
      <c r="G546">
        <v>-356.2045</v>
      </c>
      <c r="H546">
        <v>0.93075439999999998</v>
      </c>
      <c r="I546">
        <v>367.89819999999997</v>
      </c>
      <c r="J546">
        <v>-356.6456</v>
      </c>
      <c r="K546">
        <v>1.120743</v>
      </c>
      <c r="L546">
        <v>367.96820000000002</v>
      </c>
      <c r="M546">
        <v>0.99993690000000002</v>
      </c>
      <c r="N546">
        <v>-9.2485099999999997E-3</v>
      </c>
      <c r="O546">
        <v>6.3841039999999998E-3</v>
      </c>
      <c r="P546">
        <v>0.98686859999999998</v>
      </c>
      <c r="Q546">
        <v>0.1613455</v>
      </c>
      <c r="R546">
        <v>-7.6427559999999997E-3</v>
      </c>
      <c r="S546">
        <v>3.175964</v>
      </c>
      <c r="T546">
        <v>-0.84077440000000003</v>
      </c>
      <c r="U546">
        <v>-0.30108639999999998</v>
      </c>
      <c r="V546">
        <v>1.391978E-2</v>
      </c>
      <c r="W546">
        <v>0.17046700000000001</v>
      </c>
      <c r="X546">
        <v>0.9852651</v>
      </c>
      <c r="Y546">
        <v>9.7092830000000005E-2</v>
      </c>
      <c r="Z546">
        <v>-1.466513E-2</v>
      </c>
      <c r="AA546">
        <v>0.99516729999999998</v>
      </c>
      <c r="AB546">
        <v>32</v>
      </c>
      <c r="AC546">
        <v>0.44110000000000499</v>
      </c>
      <c r="AD546">
        <v>-0.18998860000000001</v>
      </c>
      <c r="AE546">
        <v>-7.0000000000049994E-2</v>
      </c>
      <c r="AF546">
        <v>6.1657302992802698E-2</v>
      </c>
      <c r="AG546">
        <v>-0.18998860000000001</v>
      </c>
      <c r="AH546">
        <v>0.37312409212181002</v>
      </c>
      <c r="AI546">
        <v>116.673611836921</v>
      </c>
      <c r="AJ546">
        <v>80.616888374598105</v>
      </c>
      <c r="AK546">
        <v>0.42322438406125801</v>
      </c>
      <c r="AL546">
        <v>80.185027850128506</v>
      </c>
      <c r="AM546">
        <v>89.190581713445098</v>
      </c>
      <c r="AN546">
        <v>1.00000003782112</v>
      </c>
    </row>
    <row r="547" spans="1:40" x14ac:dyDescent="0.25">
      <c r="A547" t="str">
        <f>"20190303162753792"</f>
        <v>20190303162753792</v>
      </c>
      <c r="B547" t="str">
        <f>"1551601673782111"</f>
        <v>1551601673782111</v>
      </c>
      <c r="C547" t="s">
        <v>40</v>
      </c>
      <c r="D547">
        <v>4.7623670000000002</v>
      </c>
      <c r="E547">
        <v>0.53600969999999903</v>
      </c>
      <c r="F547" t="s">
        <v>44</v>
      </c>
      <c r="G547">
        <v>-355.9289</v>
      </c>
      <c r="H547">
        <v>0.89914689999999997</v>
      </c>
      <c r="I547">
        <v>367.90320000000003</v>
      </c>
      <c r="J547">
        <v>-356.44920000000002</v>
      </c>
      <c r="K547">
        <v>1.1207670000000001</v>
      </c>
      <c r="L547">
        <v>367.96949999999998</v>
      </c>
      <c r="M547">
        <v>0.99993540000000003</v>
      </c>
      <c r="N547">
        <v>-9.3844889999999993E-3</v>
      </c>
      <c r="O547">
        <v>6.4261630000000004E-3</v>
      </c>
      <c r="P547">
        <v>0.98692829999999998</v>
      </c>
      <c r="Q547">
        <v>0.16097349999999999</v>
      </c>
      <c r="R547">
        <v>-7.7584119999999897E-3</v>
      </c>
      <c r="S547">
        <v>3.1994020000000001</v>
      </c>
      <c r="T547">
        <v>-0.98923289999999997</v>
      </c>
      <c r="U547">
        <v>-0.28897089999999998</v>
      </c>
      <c r="V547">
        <v>1.4076989999999999E-2</v>
      </c>
      <c r="W547">
        <v>0.17022970000000001</v>
      </c>
      <c r="X547">
        <v>0.98530390000000001</v>
      </c>
      <c r="Y547">
        <v>9.1687400000000002E-2</v>
      </c>
      <c r="Z547">
        <v>-1.6145119999999999E-2</v>
      </c>
      <c r="AA547">
        <v>0.99565700000000001</v>
      </c>
      <c r="AB547">
        <v>32</v>
      </c>
      <c r="AC547">
        <v>0.52030000000001997</v>
      </c>
      <c r="AD547">
        <v>-0.22162009999999999</v>
      </c>
      <c r="AE547">
        <v>-6.6299999999955603E-2</v>
      </c>
      <c r="AF547">
        <v>5.9092435557549797E-2</v>
      </c>
      <c r="AG547">
        <v>-0.22162009999999999</v>
      </c>
      <c r="AH547">
        <v>0.441110890792208</v>
      </c>
      <c r="AI547">
        <v>116.471706802144</v>
      </c>
      <c r="AJ547">
        <v>82.369925592582604</v>
      </c>
      <c r="AK547">
        <v>0.49717824031189101</v>
      </c>
      <c r="AL547">
        <v>80.198825870409294</v>
      </c>
      <c r="AM547">
        <v>89.181473609345005</v>
      </c>
      <c r="AN547">
        <v>1.00000004388237</v>
      </c>
    </row>
    <row r="548" spans="1:40" x14ac:dyDescent="0.25">
      <c r="A548" t="str">
        <f>"20190303162753811"</f>
        <v>20190303162753811</v>
      </c>
      <c r="B548" t="str">
        <f>"1551601673801631"</f>
        <v>1551601673801631</v>
      </c>
      <c r="C548" t="s">
        <v>40</v>
      </c>
      <c r="D548">
        <v>4.7542580000000001</v>
      </c>
      <c r="E548">
        <v>0.5363793</v>
      </c>
      <c r="F548" t="s">
        <v>44</v>
      </c>
      <c r="G548">
        <v>-355.65100000000001</v>
      </c>
      <c r="H548">
        <v>0.86787579999999998</v>
      </c>
      <c r="I548">
        <v>367.8972</v>
      </c>
      <c r="J548">
        <v>-356.19199999999898</v>
      </c>
      <c r="K548">
        <v>1.1207959999999999</v>
      </c>
      <c r="L548">
        <v>367.97120000000001</v>
      </c>
      <c r="M548">
        <v>0.99993350000000003</v>
      </c>
      <c r="N548">
        <v>-9.5490369999999998E-3</v>
      </c>
      <c r="O548">
        <v>6.4785140000000003E-3</v>
      </c>
      <c r="P548">
        <v>0.98700509999999997</v>
      </c>
      <c r="Q548">
        <v>0.16048099999999901</v>
      </c>
      <c r="R548">
        <v>-8.1789069999999992E-3</v>
      </c>
      <c r="S548">
        <v>3.2029420000000002</v>
      </c>
      <c r="T548">
        <v>-1.0147569999999999</v>
      </c>
      <c r="U548">
        <v>-0.28997800000000001</v>
      </c>
      <c r="V548">
        <v>1.454917E-2</v>
      </c>
      <c r="W548">
        <v>0.1699003</v>
      </c>
      <c r="X548">
        <v>0.98535379999999995</v>
      </c>
      <c r="Y548">
        <v>9.1720469999999998E-2</v>
      </c>
      <c r="Z548">
        <v>-1.6544159999999999E-2</v>
      </c>
      <c r="AA548">
        <v>0.99564739999999996</v>
      </c>
      <c r="AB548">
        <v>32</v>
      </c>
      <c r="AC548">
        <v>0.54099999999993997</v>
      </c>
      <c r="AD548">
        <v>-0.25292019999999898</v>
      </c>
      <c r="AE548">
        <v>-7.4000000000012195E-2</v>
      </c>
      <c r="AF548">
        <v>6.3812677356763103E-2</v>
      </c>
      <c r="AG548">
        <v>-0.25292019999999898</v>
      </c>
      <c r="AH548">
        <v>0.44502955159563301</v>
      </c>
      <c r="AI548">
        <v>119.360726502567</v>
      </c>
      <c r="AJ548">
        <v>81.839993906972694</v>
      </c>
      <c r="AK548">
        <v>0.51584104834036704</v>
      </c>
      <c r="AL548">
        <v>80.217977172613402</v>
      </c>
      <c r="AM548">
        <v>89.154064799860905</v>
      </c>
      <c r="AN548">
        <v>0.99999995073110803</v>
      </c>
    </row>
    <row r="549" spans="1:40" x14ac:dyDescent="0.25">
      <c r="A549" t="str">
        <f>"20190303162753825"</f>
        <v>20190303162753825</v>
      </c>
      <c r="B549" t="str">
        <f>"1551601673822127"</f>
        <v>1551601673822127</v>
      </c>
      <c r="C549" t="s">
        <v>40</v>
      </c>
      <c r="D549">
        <v>4.751017</v>
      </c>
      <c r="E549">
        <v>0.53644899999999995</v>
      </c>
      <c r="F549" t="s">
        <v>44</v>
      </c>
      <c r="G549">
        <v>-355.3655</v>
      </c>
      <c r="H549">
        <v>0.85594389999999998</v>
      </c>
      <c r="I549">
        <v>367.89519999999999</v>
      </c>
      <c r="J549">
        <v>-355.9862</v>
      </c>
      <c r="K549">
        <v>1.1208149999999999</v>
      </c>
      <c r="L549">
        <v>367.9726</v>
      </c>
      <c r="M549">
        <v>0.99993209999999999</v>
      </c>
      <c r="N549">
        <v>-9.6816509999999995E-3</v>
      </c>
      <c r="O549">
        <v>6.5210939999999998E-3</v>
      </c>
      <c r="P549">
        <v>0.98707529999999999</v>
      </c>
      <c r="Q549">
        <v>0.16004019999999999</v>
      </c>
      <c r="R549">
        <v>-8.3570290000000002E-3</v>
      </c>
      <c r="S549">
        <v>3.2040099999999998</v>
      </c>
      <c r="T549">
        <v>-1.026729</v>
      </c>
      <c r="U549">
        <v>-0.29376219999999997</v>
      </c>
      <c r="V549">
        <v>1.4769610000000001E-2</v>
      </c>
      <c r="W549">
        <v>0.16959060000000001</v>
      </c>
      <c r="X549">
        <v>0.9854039</v>
      </c>
      <c r="Y549">
        <v>9.2735159999999997E-2</v>
      </c>
      <c r="Z549">
        <v>-1.690171E-2</v>
      </c>
      <c r="AA549">
        <v>0.99554739999999997</v>
      </c>
      <c r="AB549">
        <v>32</v>
      </c>
      <c r="AC549">
        <v>0.62069999999999903</v>
      </c>
      <c r="AD549">
        <v>-0.26487109999999903</v>
      </c>
      <c r="AE549">
        <v>-7.7400000000011404E-2</v>
      </c>
      <c r="AF549">
        <v>6.9062575005128898E-2</v>
      </c>
      <c r="AG549">
        <v>-0.26487109999999903</v>
      </c>
      <c r="AH549">
        <v>0.52588550947703405</v>
      </c>
      <c r="AI549">
        <v>116.536578256948</v>
      </c>
      <c r="AJ549">
        <v>82.518374583613493</v>
      </c>
      <c r="AK549">
        <v>0.59285909621044797</v>
      </c>
      <c r="AL549">
        <v>80.235983262070604</v>
      </c>
      <c r="AM549">
        <v>89.141293273601804</v>
      </c>
      <c r="AN549">
        <v>0.99999997956155995</v>
      </c>
    </row>
    <row r="550" spans="1:40" x14ac:dyDescent="0.25">
      <c r="A550" t="str">
        <f>"20190303162753843"</f>
        <v>20190303162753843</v>
      </c>
      <c r="B550" t="str">
        <f>"1551601673831887"</f>
        <v>1551601673831887</v>
      </c>
      <c r="C550" t="s">
        <v>40</v>
      </c>
      <c r="D550">
        <v>4.7168799999999997</v>
      </c>
      <c r="E550">
        <v>0.53663319999999903</v>
      </c>
      <c r="F550" t="s">
        <v>44</v>
      </c>
      <c r="G550">
        <v>-355.0849</v>
      </c>
      <c r="H550">
        <v>0.83165140000000004</v>
      </c>
      <c r="I550">
        <v>367.88959999999997</v>
      </c>
      <c r="J550">
        <v>-355.71140000000003</v>
      </c>
      <c r="K550">
        <v>1.1208469999999999</v>
      </c>
      <c r="L550">
        <v>367.97449999999998</v>
      </c>
      <c r="M550">
        <v>0.99992959999999997</v>
      </c>
      <c r="N550">
        <v>-9.8795020000000001E-3</v>
      </c>
      <c r="O550">
        <v>6.582938E-3</v>
      </c>
      <c r="P550">
        <v>0.98717460000000001</v>
      </c>
      <c r="Q550">
        <v>0.15942300000000001</v>
      </c>
      <c r="R550">
        <v>-8.4193610000000002E-3</v>
      </c>
      <c r="S550">
        <v>3.20343</v>
      </c>
      <c r="T550">
        <v>-1.027741</v>
      </c>
      <c r="U550">
        <v>-0.29455569999999998</v>
      </c>
      <c r="V550">
        <v>1.489446E-2</v>
      </c>
      <c r="W550">
        <v>0.1691696</v>
      </c>
      <c r="X550">
        <v>0.98547439999999997</v>
      </c>
      <c r="Y550">
        <v>9.302589E-2</v>
      </c>
      <c r="Z550">
        <v>-1.6993680000000001E-2</v>
      </c>
      <c r="AA550">
        <v>0.99551869999999998</v>
      </c>
      <c r="AB550">
        <v>32</v>
      </c>
      <c r="AC550">
        <v>0.62650000000002104</v>
      </c>
      <c r="AD550">
        <v>-0.289195599999999</v>
      </c>
      <c r="AE550">
        <v>-8.4900000000004597E-2</v>
      </c>
      <c r="AF550">
        <v>7.3618808156342405E-2</v>
      </c>
      <c r="AG550">
        <v>-0.289195599999999</v>
      </c>
      <c r="AH550">
        <v>0.51762194634933101</v>
      </c>
      <c r="AI550">
        <v>118.94847491716401</v>
      </c>
      <c r="AJ550">
        <v>81.905392606592798</v>
      </c>
      <c r="AK550">
        <v>0.59748330798122695</v>
      </c>
      <c r="AL550">
        <v>80.260458592047698</v>
      </c>
      <c r="AM550">
        <v>89.134097522732603</v>
      </c>
      <c r="AN550">
        <v>0.99999999577910503</v>
      </c>
    </row>
    <row r="551" spans="1:40" x14ac:dyDescent="0.25">
      <c r="A551" t="str">
        <f>"20190303162753855"</f>
        <v>20190303162753855</v>
      </c>
      <c r="B551" t="str">
        <f>"1551601673852384"</f>
        <v>1551601673852384</v>
      </c>
      <c r="C551" t="s">
        <v>40</v>
      </c>
      <c r="D551">
        <v>4.7085339999999896</v>
      </c>
      <c r="E551">
        <v>0.53704110000000005</v>
      </c>
      <c r="F551" t="s">
        <v>44</v>
      </c>
      <c r="G551">
        <v>-354.79680000000002</v>
      </c>
      <c r="H551">
        <v>0.82655249999999902</v>
      </c>
      <c r="I551">
        <v>367.88979999999998</v>
      </c>
      <c r="J551">
        <v>-355.53339999999997</v>
      </c>
      <c r="K551">
        <v>1.1208659999999999</v>
      </c>
      <c r="L551">
        <v>367.97570000000002</v>
      </c>
      <c r="M551">
        <v>0.99992809999999999</v>
      </c>
      <c r="N551">
        <v>-1.001113E-2</v>
      </c>
      <c r="O551">
        <v>6.6235799999999996E-3</v>
      </c>
      <c r="P551">
        <v>0.98726820000000004</v>
      </c>
      <c r="Q551">
        <v>0.1588271</v>
      </c>
      <c r="R551">
        <v>-8.6953340000000007E-3</v>
      </c>
      <c r="S551">
        <v>3.2029109999999998</v>
      </c>
      <c r="T551">
        <v>-1.030619</v>
      </c>
      <c r="U551">
        <v>-0.29565429999999998</v>
      </c>
      <c r="V551">
        <v>1.521163E-2</v>
      </c>
      <c r="W551">
        <v>0.1687043</v>
      </c>
      <c r="X551">
        <v>0.98554929999999996</v>
      </c>
      <c r="Y551">
        <v>9.3369259999999996E-2</v>
      </c>
      <c r="Z551">
        <v>-1.711362E-2</v>
      </c>
      <c r="AA551">
        <v>0.99548449999999999</v>
      </c>
      <c r="AB551">
        <v>32</v>
      </c>
      <c r="AC551">
        <v>0.73659999999995296</v>
      </c>
      <c r="AD551">
        <v>-0.29431350000000001</v>
      </c>
      <c r="AE551">
        <v>-8.5900000000037793E-2</v>
      </c>
      <c r="AF551">
        <v>7.8425057533672696E-2</v>
      </c>
      <c r="AG551">
        <v>-0.29431350000000001</v>
      </c>
      <c r="AH551">
        <v>0.63586396712440696</v>
      </c>
      <c r="AI551">
        <v>114.67288129798899</v>
      </c>
      <c r="AJ551">
        <v>82.968863838973206</v>
      </c>
      <c r="AK551">
        <v>0.70504887108525904</v>
      </c>
      <c r="AL551">
        <v>80.287506922305596</v>
      </c>
      <c r="AM551">
        <v>89.115728662264999</v>
      </c>
      <c r="AN551">
        <v>0.99999997862811796</v>
      </c>
    </row>
    <row r="552" spans="1:40" x14ac:dyDescent="0.25">
      <c r="A552" t="str">
        <f>"20190303162753866"</f>
        <v>20190303162753866</v>
      </c>
      <c r="B552" t="str">
        <f>"1551601673861675"</f>
        <v>1551601673861675</v>
      </c>
      <c r="C552" t="s">
        <v>40</v>
      </c>
      <c r="D552">
        <v>4.724221</v>
      </c>
      <c r="E552">
        <v>0.5371051</v>
      </c>
      <c r="F552" t="s">
        <v>44</v>
      </c>
      <c r="G552">
        <v>-354.77690000000001</v>
      </c>
      <c r="H552">
        <v>0.87736270000000005</v>
      </c>
      <c r="I552">
        <v>367.90469999999999</v>
      </c>
      <c r="J552">
        <v>-355.37079999999997</v>
      </c>
      <c r="K552">
        <v>1.120884</v>
      </c>
      <c r="L552">
        <v>367.97680000000003</v>
      </c>
      <c r="M552">
        <v>0.9999266</v>
      </c>
      <c r="N552">
        <v>-1.0129040000000001E-2</v>
      </c>
      <c r="O552">
        <v>6.6598209999999998E-3</v>
      </c>
      <c r="P552">
        <v>0.98731349999999996</v>
      </c>
      <c r="Q552">
        <v>0.15853410000000001</v>
      </c>
      <c r="R552">
        <v>-8.904159E-3</v>
      </c>
      <c r="S552">
        <v>3.2018740000000001</v>
      </c>
      <c r="T552">
        <v>-1.0305690000000001</v>
      </c>
      <c r="U552">
        <v>-0.29962159999999999</v>
      </c>
      <c r="V552">
        <v>1.545667E-2</v>
      </c>
      <c r="W552">
        <v>0.16852800000000001</v>
      </c>
      <c r="X552">
        <v>0.98557570000000005</v>
      </c>
      <c r="Y552">
        <v>9.4589199999999998E-2</v>
      </c>
      <c r="Z552">
        <v>-1.7330479999999999E-2</v>
      </c>
      <c r="AA552">
        <v>0.99536550000000001</v>
      </c>
      <c r="AB552">
        <v>32</v>
      </c>
      <c r="AC552">
        <v>0.59389999999996201</v>
      </c>
      <c r="AD552">
        <v>-0.243521299999999</v>
      </c>
      <c r="AE552">
        <v>-7.21000000000344E-2</v>
      </c>
      <c r="AF552">
        <v>6.52437156783955E-2</v>
      </c>
      <c r="AG552">
        <v>-0.243521299999999</v>
      </c>
      <c r="AH552">
        <v>0.50906091767398198</v>
      </c>
      <c r="AI552">
        <v>115.383984308501</v>
      </c>
      <c r="AJ552">
        <v>82.696510983687702</v>
      </c>
      <c r="AK552">
        <v>0.56806899571468406</v>
      </c>
      <c r="AL552">
        <v>80.297755384143102</v>
      </c>
      <c r="AM552">
        <v>89.1015105571379</v>
      </c>
      <c r="AN552">
        <v>1.00000002793098</v>
      </c>
    </row>
    <row r="553" spans="1:40" x14ac:dyDescent="0.25">
      <c r="A553" t="str">
        <f>"20190303162753878"</f>
        <v>20190303162753878</v>
      </c>
      <c r="B553" t="str">
        <f>"1551601673872411"</f>
        <v>1551601673872411</v>
      </c>
      <c r="C553" t="s">
        <v>40</v>
      </c>
      <c r="D553">
        <v>4.7431449999999904</v>
      </c>
      <c r="E553">
        <v>0.53715469999999998</v>
      </c>
      <c r="F553" t="s">
        <v>44</v>
      </c>
      <c r="G553">
        <v>-354.50119999999998</v>
      </c>
      <c r="H553">
        <v>0.84100789999999903</v>
      </c>
      <c r="I553">
        <v>367.89499999999998</v>
      </c>
      <c r="J553">
        <v>-355.19990000000001</v>
      </c>
      <c r="K553">
        <v>1.1208990000000001</v>
      </c>
      <c r="L553">
        <v>367.97800000000001</v>
      </c>
      <c r="M553">
        <v>0.99992499999999995</v>
      </c>
      <c r="N553">
        <v>-1.0248439999999999E-2</v>
      </c>
      <c r="O553">
        <v>6.6958249999999999E-3</v>
      </c>
      <c r="P553">
        <v>0.98734909999999998</v>
      </c>
      <c r="Q553">
        <v>0.15829260000000001</v>
      </c>
      <c r="R553">
        <v>-9.2208710000000003E-3</v>
      </c>
      <c r="S553">
        <v>3.2012939999999999</v>
      </c>
      <c r="T553">
        <v>-1.030314</v>
      </c>
      <c r="U553">
        <v>-0.30044559999999998</v>
      </c>
      <c r="V553">
        <v>1.5808880000000001E-2</v>
      </c>
      <c r="W553">
        <v>0.16840439999999901</v>
      </c>
      <c r="X553">
        <v>0.9855912</v>
      </c>
      <c r="Y553">
        <v>9.4878249999999997E-2</v>
      </c>
      <c r="Z553">
        <v>-1.739197E-2</v>
      </c>
      <c r="AA553">
        <v>0.99533689999999997</v>
      </c>
      <c r="AB553">
        <v>32</v>
      </c>
      <c r="AC553">
        <v>0.69870000000002996</v>
      </c>
      <c r="AD553">
        <v>-0.279891099999999</v>
      </c>
      <c r="AE553">
        <v>-8.3000000000026802E-2</v>
      </c>
      <c r="AF553">
        <v>7.5698391186191399E-2</v>
      </c>
      <c r="AG553">
        <v>-0.279891099999999</v>
      </c>
      <c r="AH553">
        <v>0.60275048281672705</v>
      </c>
      <c r="AI553">
        <v>114.737283997224</v>
      </c>
      <c r="AJ553">
        <v>82.841799138090096</v>
      </c>
      <c r="AK553">
        <v>0.66886278026452195</v>
      </c>
      <c r="AL553">
        <v>80.304939436261805</v>
      </c>
      <c r="AM553">
        <v>89.081054665981398</v>
      </c>
      <c r="AN553">
        <v>0.999999988071827</v>
      </c>
    </row>
    <row r="554" spans="1:40" x14ac:dyDescent="0.25">
      <c r="A554" t="str">
        <f>"20190303162753890"</f>
        <v>20190303162753890</v>
      </c>
      <c r="B554" t="str">
        <f>"1551601673882171"</f>
        <v>1551601673882171</v>
      </c>
      <c r="C554" t="s">
        <v>40</v>
      </c>
      <c r="D554">
        <v>4.7247479999999999</v>
      </c>
      <c r="E554">
        <v>0.53725429999999996</v>
      </c>
      <c r="F554" t="s">
        <v>44</v>
      </c>
      <c r="G554">
        <v>-354.4819</v>
      </c>
      <c r="H554">
        <v>0.89008129999999996</v>
      </c>
      <c r="I554">
        <v>367.91019999999997</v>
      </c>
      <c r="J554">
        <v>-355.0274</v>
      </c>
      <c r="K554">
        <v>1.1209150000000001</v>
      </c>
      <c r="L554">
        <v>367.97919999999999</v>
      </c>
      <c r="M554">
        <v>0.99992360000000002</v>
      </c>
      <c r="N554">
        <v>-1.0362690000000001E-2</v>
      </c>
      <c r="O554">
        <v>6.7302459999999996E-3</v>
      </c>
      <c r="P554">
        <v>0.98737719999999995</v>
      </c>
      <c r="Q554">
        <v>0.15808820000000001</v>
      </c>
      <c r="R554">
        <v>-9.7261569999999992E-3</v>
      </c>
      <c r="S554">
        <v>3.2005919999999999</v>
      </c>
      <c r="T554">
        <v>-1.0289870000000001</v>
      </c>
      <c r="U554">
        <v>-0.30154419999999998</v>
      </c>
      <c r="V554">
        <v>1.63476E-2</v>
      </c>
      <c r="W554">
        <v>0.1683132</v>
      </c>
      <c r="X554">
        <v>0.98559799999999997</v>
      </c>
      <c r="Y554">
        <v>9.5259579999999996E-2</v>
      </c>
      <c r="Z554">
        <v>-1.7451370000000001E-2</v>
      </c>
      <c r="AA554">
        <v>0.9952995</v>
      </c>
      <c r="AB554">
        <v>32</v>
      </c>
      <c r="AC554">
        <v>0.54550000000000398</v>
      </c>
      <c r="AD554">
        <v>-0.230833699999999</v>
      </c>
      <c r="AE554">
        <v>-6.9000000000016798E-2</v>
      </c>
      <c r="AF554">
        <v>6.1781362907069398E-2</v>
      </c>
      <c r="AG554">
        <v>-0.230833699999999</v>
      </c>
      <c r="AH554">
        <v>0.46335882310559001</v>
      </c>
      <c r="AI554">
        <v>116.28037912112001</v>
      </c>
      <c r="AJ554">
        <v>82.405333973765906</v>
      </c>
      <c r="AK554">
        <v>0.52134684501600503</v>
      </c>
      <c r="AL554">
        <v>80.310240571542593</v>
      </c>
      <c r="AM554">
        <v>89.0497519220214</v>
      </c>
      <c r="AN554">
        <v>0.99999999746199997</v>
      </c>
    </row>
    <row r="555" spans="1:40" x14ac:dyDescent="0.25">
      <c r="A555" t="str">
        <f>"20190303162753901"</f>
        <v>20190303162753901</v>
      </c>
      <c r="B555" t="str">
        <f>"1551601673891931"</f>
        <v>1551601673891931</v>
      </c>
      <c r="C555" t="s">
        <v>40</v>
      </c>
      <c r="D555">
        <v>4.7171919999999998</v>
      </c>
      <c r="E555">
        <v>0.53733219999999904</v>
      </c>
      <c r="F555" t="s">
        <v>44</v>
      </c>
      <c r="G555">
        <v>-354.20499999999998</v>
      </c>
      <c r="H555">
        <v>0.85686390000000001</v>
      </c>
      <c r="I555">
        <v>367.90089999999998</v>
      </c>
      <c r="J555">
        <v>-354.86309999999997</v>
      </c>
      <c r="K555">
        <v>1.1209309999999999</v>
      </c>
      <c r="L555">
        <v>367.9803</v>
      </c>
      <c r="M555">
        <v>0.99992250000000005</v>
      </c>
      <c r="N555">
        <v>-1.0468160000000001E-2</v>
      </c>
      <c r="O555">
        <v>6.7619660000000003E-3</v>
      </c>
      <c r="P555">
        <v>0.98741100000000004</v>
      </c>
      <c r="Q555">
        <v>0.1578687</v>
      </c>
      <c r="R555">
        <v>-9.8759820000000002E-3</v>
      </c>
      <c r="S555">
        <v>3.1998899999999999</v>
      </c>
      <c r="T555">
        <v>-1.0275080000000001</v>
      </c>
      <c r="U555">
        <v>-0.30401610000000001</v>
      </c>
      <c r="V555">
        <v>1.6528399999999999E-2</v>
      </c>
      <c r="W555">
        <v>0.1681976</v>
      </c>
      <c r="X555">
        <v>0.98561469999999995</v>
      </c>
      <c r="Y555">
        <v>9.6042959999999997E-2</v>
      </c>
      <c r="Z555">
        <v>-1.7571739999999999E-2</v>
      </c>
      <c r="AA555">
        <v>0.9952221</v>
      </c>
      <c r="AB555">
        <v>32</v>
      </c>
      <c r="AC555">
        <v>0.65809999999999003</v>
      </c>
      <c r="AD555">
        <v>-0.264067099999999</v>
      </c>
      <c r="AE555">
        <v>-7.9400000000020995E-2</v>
      </c>
      <c r="AF555">
        <v>7.2364458881425606E-2</v>
      </c>
      <c r="AG555">
        <v>-0.264067099999999</v>
      </c>
      <c r="AH555">
        <v>0.56748921750967496</v>
      </c>
      <c r="AI555">
        <v>114.777462205083</v>
      </c>
      <c r="AJ555">
        <v>82.733039432834602</v>
      </c>
      <c r="AK555">
        <v>0.63008893039106295</v>
      </c>
      <c r="AL555">
        <v>80.316959573272698</v>
      </c>
      <c r="AM555">
        <v>89.039260672177406</v>
      </c>
      <c r="AN555">
        <v>0.99999997875420399</v>
      </c>
    </row>
    <row r="556" spans="1:40" x14ac:dyDescent="0.25">
      <c r="A556" t="str">
        <f>"20190303162753913"</f>
        <v>20190303162753913</v>
      </c>
      <c r="B556" t="str">
        <f>"1551601673901690"</f>
        <v>1551601673901690</v>
      </c>
      <c r="C556" t="s">
        <v>40</v>
      </c>
      <c r="D556">
        <v>4.701206</v>
      </c>
      <c r="E556">
        <v>0.53743359999999996</v>
      </c>
      <c r="F556" t="s">
        <v>44</v>
      </c>
      <c r="G556">
        <v>-354.18630000000002</v>
      </c>
      <c r="H556">
        <v>0.90395519999999996</v>
      </c>
      <c r="I556">
        <v>367.91559999999998</v>
      </c>
      <c r="J556">
        <v>-354.70209999999997</v>
      </c>
      <c r="K556">
        <v>1.1209309999999999</v>
      </c>
      <c r="L556">
        <v>367.98149999999998</v>
      </c>
      <c r="M556">
        <v>0.99992110000000001</v>
      </c>
      <c r="N556">
        <v>-1.056376E-2</v>
      </c>
      <c r="O556">
        <v>6.798396E-3</v>
      </c>
      <c r="P556">
        <v>0.98742450000000004</v>
      </c>
      <c r="Q556">
        <v>0.1577817</v>
      </c>
      <c r="R556">
        <v>-9.8972169999999998E-3</v>
      </c>
      <c r="S556">
        <v>3.1991879999999999</v>
      </c>
      <c r="T556">
        <v>-1.025687</v>
      </c>
      <c r="U556">
        <v>-0.30520629999999999</v>
      </c>
      <c r="V556">
        <v>1.6586529999999999E-2</v>
      </c>
      <c r="W556">
        <v>0.1682051</v>
      </c>
      <c r="X556">
        <v>0.9856125</v>
      </c>
      <c r="Y556">
        <v>9.6458349999999998E-2</v>
      </c>
      <c r="Z556">
        <v>-1.762824E-2</v>
      </c>
      <c r="AA556">
        <v>0.99518090000000003</v>
      </c>
      <c r="AB556">
        <v>32</v>
      </c>
      <c r="AC556">
        <v>0.51579999999995596</v>
      </c>
      <c r="AD556">
        <v>-0.216975799999999</v>
      </c>
      <c r="AE556">
        <v>-6.5899999999999098E-2</v>
      </c>
      <c r="AF556">
        <v>5.9113015679582097E-2</v>
      </c>
      <c r="AG556">
        <v>-0.216975799999999</v>
      </c>
      <c r="AH556">
        <v>0.43891907859324197</v>
      </c>
      <c r="AI556">
        <v>116.101067852385</v>
      </c>
      <c r="AJ556">
        <v>82.329637149366803</v>
      </c>
      <c r="AK556">
        <v>0.49317624026458901</v>
      </c>
      <c r="AL556">
        <v>80.316524188118507</v>
      </c>
      <c r="AM556">
        <v>89.0358802592648</v>
      </c>
      <c r="AN556">
        <v>1.0000000343998401</v>
      </c>
    </row>
    <row r="557" spans="1:40" x14ac:dyDescent="0.25">
      <c r="A557" t="str">
        <f>"20190303162753926"</f>
        <v>20190303162753926</v>
      </c>
      <c r="B557" t="str">
        <f>"1551601673922186"</f>
        <v>1551601673922186</v>
      </c>
      <c r="C557" t="s">
        <v>40</v>
      </c>
      <c r="D557">
        <v>4.6974710000000002</v>
      </c>
      <c r="E557">
        <v>0.53761519999999996</v>
      </c>
      <c r="F557" t="s">
        <v>44</v>
      </c>
      <c r="G557">
        <v>-353.91090000000003</v>
      </c>
      <c r="H557">
        <v>0.86753150000000001</v>
      </c>
      <c r="I557">
        <v>367.90589999999997</v>
      </c>
      <c r="J557">
        <v>-354.52710000000002</v>
      </c>
      <c r="K557">
        <v>1.120938</v>
      </c>
      <c r="L557">
        <v>367.9828</v>
      </c>
      <c r="M557">
        <v>0.99991980000000003</v>
      </c>
      <c r="N557">
        <v>-1.066521E-2</v>
      </c>
      <c r="O557">
        <v>6.8390129999999997E-3</v>
      </c>
      <c r="P557">
        <v>0.98742220000000003</v>
      </c>
      <c r="Q557">
        <v>0.15778909999999999</v>
      </c>
      <c r="R557">
        <v>-1.000321E-2</v>
      </c>
      <c r="S557">
        <v>3.1988829999999999</v>
      </c>
      <c r="T557">
        <v>-1.0245679999999999</v>
      </c>
      <c r="U557">
        <v>-0.30593870000000001</v>
      </c>
      <c r="V557">
        <v>1.6733629999999999E-2</v>
      </c>
      <c r="W557">
        <v>0.16831279999999901</v>
      </c>
      <c r="X557">
        <v>0.98559160000000001</v>
      </c>
      <c r="Y557">
        <v>9.6726699999999999E-2</v>
      </c>
      <c r="Z557">
        <v>-1.767167E-2</v>
      </c>
      <c r="AA557">
        <v>0.99515410000000004</v>
      </c>
      <c r="AB557">
        <v>32</v>
      </c>
      <c r="AC557">
        <v>0.61619999999999198</v>
      </c>
      <c r="AD557">
        <v>-0.25340649999999998</v>
      </c>
      <c r="AE557">
        <v>-7.69000000000232E-2</v>
      </c>
      <c r="AF557">
        <v>6.9533542026385703E-2</v>
      </c>
      <c r="AG557">
        <v>-0.25340649999999998</v>
      </c>
      <c r="AH557">
        <v>0.52777218151749605</v>
      </c>
      <c r="AI557">
        <v>115.45585280343199</v>
      </c>
      <c r="AJ557">
        <v>82.494556030194005</v>
      </c>
      <c r="AK557">
        <v>0.58957038875160805</v>
      </c>
      <c r="AL557">
        <v>80.310263919787999</v>
      </c>
      <c r="AM557">
        <v>89.027310839718893</v>
      </c>
      <c r="AN557">
        <v>1.0000000075036799</v>
      </c>
    </row>
    <row r="558" spans="1:40" x14ac:dyDescent="0.25">
      <c r="A558" t="str">
        <f>"20190303162753937"</f>
        <v>20190303162753937</v>
      </c>
      <c r="B558" t="str">
        <f>"1551601673931947"</f>
        <v>1551601673931947</v>
      </c>
      <c r="C558" t="s">
        <v>40</v>
      </c>
      <c r="D558">
        <v>4.7037940000000003</v>
      </c>
      <c r="E558">
        <v>0.53771099999999905</v>
      </c>
      <c r="F558" t="s">
        <v>44</v>
      </c>
      <c r="G558">
        <v>-353.63380000000001</v>
      </c>
      <c r="H558">
        <v>0.83543299999999998</v>
      </c>
      <c r="I558">
        <v>367.8963</v>
      </c>
      <c r="J558">
        <v>-354.34480000000002</v>
      </c>
      <c r="K558">
        <v>1.120943</v>
      </c>
      <c r="L558">
        <v>367.98399999999998</v>
      </c>
      <c r="M558">
        <v>0.99991850000000004</v>
      </c>
      <c r="N558">
        <v>-1.0763139999999999E-2</v>
      </c>
      <c r="O558">
        <v>6.8844650000000002E-3</v>
      </c>
      <c r="P558">
        <v>0.98746089999999997</v>
      </c>
      <c r="Q558">
        <v>0.15756879999999901</v>
      </c>
      <c r="R558">
        <v>-9.6636250000000003E-3</v>
      </c>
      <c r="S558">
        <v>3.1984249999999999</v>
      </c>
      <c r="T558">
        <v>-1.0222629999999999</v>
      </c>
      <c r="U558">
        <v>-0.30856319999999998</v>
      </c>
      <c r="V558">
        <v>1.6440550000000002E-2</v>
      </c>
      <c r="W558">
        <v>0.16818910000000001</v>
      </c>
      <c r="X558">
        <v>0.98561759999999998</v>
      </c>
      <c r="Y558">
        <v>9.756985E-2</v>
      </c>
      <c r="Z558">
        <v>-1.7790159999999999E-2</v>
      </c>
      <c r="AA558">
        <v>0.99506969999999995</v>
      </c>
      <c r="AB558">
        <v>32</v>
      </c>
      <c r="AC558">
        <v>0.71100000000001196</v>
      </c>
      <c r="AD558">
        <v>-0.28550999999999999</v>
      </c>
      <c r="AE558">
        <v>-8.7700000000040704E-2</v>
      </c>
      <c r="AF558">
        <v>7.9901864138207504E-2</v>
      </c>
      <c r="AG558">
        <v>-0.28550999999999999</v>
      </c>
      <c r="AH558">
        <v>0.61301175947512399</v>
      </c>
      <c r="AI558">
        <v>114.789521230483</v>
      </c>
      <c r="AJ558">
        <v>82.573756222626699</v>
      </c>
      <c r="AK558">
        <v>0.68094323203006302</v>
      </c>
      <c r="AL558">
        <v>80.317453434865897</v>
      </c>
      <c r="AM558">
        <v>89.044368953785195</v>
      </c>
      <c r="AN558">
        <v>0.99999995923643503</v>
      </c>
    </row>
    <row r="559" spans="1:40" x14ac:dyDescent="0.25">
      <c r="A559" t="str">
        <f>"20190303162753950"</f>
        <v>20190303162753950</v>
      </c>
      <c r="B559" t="str">
        <f>"1551601673941706"</f>
        <v>1551601673941706</v>
      </c>
      <c r="C559" t="s">
        <v>40</v>
      </c>
      <c r="D559">
        <v>4.711964</v>
      </c>
      <c r="E559">
        <v>0.53779900000000003</v>
      </c>
      <c r="F559" t="s">
        <v>44</v>
      </c>
      <c r="G559">
        <v>-353.61329999999998</v>
      </c>
      <c r="H559">
        <v>0.88733320000000004</v>
      </c>
      <c r="I559">
        <v>367.91329999999999</v>
      </c>
      <c r="J559">
        <v>-354.16820000000001</v>
      </c>
      <c r="K559">
        <v>1.1209480000000001</v>
      </c>
      <c r="L559">
        <v>367.9853</v>
      </c>
      <c r="M559">
        <v>0.99991719999999895</v>
      </c>
      <c r="N559">
        <v>-1.085303E-2</v>
      </c>
      <c r="O559">
        <v>6.9287749999999999E-3</v>
      </c>
      <c r="P559">
        <v>0.98744410000000005</v>
      </c>
      <c r="Q559">
        <v>0.15769240000000001</v>
      </c>
      <c r="R559">
        <v>-9.3712559999999997E-3</v>
      </c>
      <c r="S559">
        <v>3.1979980000000001</v>
      </c>
      <c r="T559">
        <v>-1.0213749999999999</v>
      </c>
      <c r="U559">
        <v>-0.30831910000000001</v>
      </c>
      <c r="V559">
        <v>1.619251E-2</v>
      </c>
      <c r="W559">
        <v>0.1684011</v>
      </c>
      <c r="X559">
        <v>0.98558559999999995</v>
      </c>
      <c r="Y559">
        <v>9.7556260000000006E-2</v>
      </c>
      <c r="Z559">
        <v>-1.7793090000000001E-2</v>
      </c>
      <c r="AA559">
        <v>0.99507089999999998</v>
      </c>
      <c r="AB559">
        <v>32</v>
      </c>
      <c r="AC559">
        <v>0.55490000000003104</v>
      </c>
      <c r="AD559">
        <v>-0.23361479999999901</v>
      </c>
      <c r="AE559">
        <v>-7.2000000000002701E-2</v>
      </c>
      <c r="AF559">
        <v>6.4585436702644397E-2</v>
      </c>
      <c r="AG559">
        <v>-0.23361479999999901</v>
      </c>
      <c r="AH559">
        <v>0.472096923497062</v>
      </c>
      <c r="AI559">
        <v>116.117710976583</v>
      </c>
      <c r="AJ559">
        <v>82.209982966231905</v>
      </c>
      <c r="AK559">
        <v>0.53068131546955899</v>
      </c>
      <c r="AL559">
        <v>80.3051318716238</v>
      </c>
      <c r="AM559">
        <v>89.058753474608594</v>
      </c>
      <c r="AN559">
        <v>1.0000000513943299</v>
      </c>
    </row>
    <row r="560" spans="1:40" x14ac:dyDescent="0.25">
      <c r="A560" t="str">
        <f>"20190303162753969"</f>
        <v>20190303162753969</v>
      </c>
      <c r="B560" t="str">
        <f>"1551601673961733"</f>
        <v>1551601673961733</v>
      </c>
      <c r="C560" t="s">
        <v>40</v>
      </c>
      <c r="D560">
        <v>4.715293</v>
      </c>
      <c r="E560">
        <v>0.53794629999999999</v>
      </c>
      <c r="F560" t="s">
        <v>44</v>
      </c>
      <c r="G560">
        <v>-353.33609999999999</v>
      </c>
      <c r="H560">
        <v>0.85559609999999997</v>
      </c>
      <c r="I560">
        <v>367.90519999999998</v>
      </c>
      <c r="J560">
        <v>-353.89870000000002</v>
      </c>
      <c r="K560">
        <v>1.120959</v>
      </c>
      <c r="L560">
        <v>367.9873</v>
      </c>
      <c r="M560">
        <v>0.99991540000000001</v>
      </c>
      <c r="N560">
        <v>-1.0980500000000001E-2</v>
      </c>
      <c r="O560">
        <v>6.99565E-3</v>
      </c>
      <c r="P560">
        <v>0.98740519999999998</v>
      </c>
      <c r="Q560">
        <v>0.15795219999999999</v>
      </c>
      <c r="R560">
        <v>-9.0933999999999997E-3</v>
      </c>
      <c r="S560">
        <v>3.1980900000000001</v>
      </c>
      <c r="T560">
        <v>-1.0198529999999999</v>
      </c>
      <c r="U560">
        <v>-0.30813600000000002</v>
      </c>
      <c r="V560">
        <v>1.598111E-2</v>
      </c>
      <c r="W560">
        <v>0.16878560000000001</v>
      </c>
      <c r="X560">
        <v>0.98552320000000004</v>
      </c>
      <c r="Y560">
        <v>9.7573409999999999E-2</v>
      </c>
      <c r="Z560">
        <v>-1.7796369999999999E-2</v>
      </c>
      <c r="AA560">
        <v>0.99506919999999999</v>
      </c>
      <c r="AB560">
        <v>32</v>
      </c>
      <c r="AC560">
        <v>0.56260000000003096</v>
      </c>
      <c r="AD560">
        <v>-0.26536290000000001</v>
      </c>
      <c r="AE560">
        <v>-8.2100000000025306E-2</v>
      </c>
      <c r="AF560">
        <v>7.0644966649678204E-2</v>
      </c>
      <c r="AG560">
        <v>-0.26536290000000001</v>
      </c>
      <c r="AH560">
        <v>0.46148403959274498</v>
      </c>
      <c r="AI560">
        <v>119.613871584124</v>
      </c>
      <c r="AJ560">
        <v>81.296604997518003</v>
      </c>
      <c r="AK560">
        <v>0.53700623721534402</v>
      </c>
      <c r="AL560">
        <v>80.282780980572397</v>
      </c>
      <c r="AM560">
        <v>89.070980866239907</v>
      </c>
      <c r="AN560">
        <v>0.99999997619121495</v>
      </c>
    </row>
    <row r="561" spans="1:40" x14ac:dyDescent="0.25">
      <c r="A561" t="str">
        <f>"20190303162753982"</f>
        <v>20190303162753982</v>
      </c>
      <c r="B561" t="str">
        <f>"1551601673972468"</f>
        <v>1551601673972468</v>
      </c>
      <c r="C561" t="s">
        <v>40</v>
      </c>
      <c r="D561">
        <v>4.7075259999999997</v>
      </c>
      <c r="E561">
        <v>0.53790289999999996</v>
      </c>
      <c r="F561" t="s">
        <v>44</v>
      </c>
      <c r="G561">
        <v>-353.04840000000002</v>
      </c>
      <c r="H561">
        <v>0.850653199999999</v>
      </c>
      <c r="I561">
        <v>367.9051</v>
      </c>
      <c r="J561">
        <v>-353.70519999999999</v>
      </c>
      <c r="K561">
        <v>1.1209659999999999</v>
      </c>
      <c r="L561">
        <v>367.98860000000002</v>
      </c>
      <c r="M561">
        <v>0.99991410000000003</v>
      </c>
      <c r="N561">
        <v>-1.10654E-2</v>
      </c>
      <c r="O561">
        <v>7.042212E-3</v>
      </c>
      <c r="P561">
        <v>0.9873982</v>
      </c>
      <c r="Q561">
        <v>0.1580104</v>
      </c>
      <c r="R561">
        <v>-8.8209669999999903E-3</v>
      </c>
      <c r="S561">
        <v>3.198029</v>
      </c>
      <c r="T561">
        <v>-1.016572</v>
      </c>
      <c r="U561">
        <v>-0.30825809999999998</v>
      </c>
      <c r="V561">
        <v>1.5754600000000001E-2</v>
      </c>
      <c r="W561">
        <v>0.16892760000000001</v>
      </c>
      <c r="X561">
        <v>0.98550249999999995</v>
      </c>
      <c r="Y561">
        <v>9.7682920000000006E-2</v>
      </c>
      <c r="Z561">
        <v>-1.777861E-2</v>
      </c>
      <c r="AA561">
        <v>0.99505880000000002</v>
      </c>
      <c r="AB561">
        <v>32</v>
      </c>
      <c r="AC561">
        <v>0.65679999999997496</v>
      </c>
      <c r="AD561">
        <v>-0.27031279999999902</v>
      </c>
      <c r="AE561">
        <v>-8.3500000000015007E-2</v>
      </c>
      <c r="AF561">
        <v>7.5533092163456703E-2</v>
      </c>
      <c r="AG561">
        <v>-0.27031279999999902</v>
      </c>
      <c r="AH561">
        <v>0.56244322952418102</v>
      </c>
      <c r="AI561">
        <v>115.46979046759201</v>
      </c>
      <c r="AJ561">
        <v>82.351248610213901</v>
      </c>
      <c r="AK561">
        <v>0.62858304486615302</v>
      </c>
      <c r="AL561">
        <v>80.274526285742297</v>
      </c>
      <c r="AM561">
        <v>89.0841269271843</v>
      </c>
      <c r="AN561">
        <v>0.99999995948458398</v>
      </c>
    </row>
    <row r="562" spans="1:40" x14ac:dyDescent="0.25">
      <c r="A562" t="str">
        <f>"20190303162753994"</f>
        <v>20190303162753994</v>
      </c>
      <c r="B562" t="str">
        <f>"1551601673991989"</f>
        <v>1551601673991989</v>
      </c>
      <c r="C562" t="s">
        <v>40</v>
      </c>
      <c r="D562">
        <v>4.7050340000000004</v>
      </c>
      <c r="E562">
        <v>0.53780539999999999</v>
      </c>
      <c r="F562" t="s">
        <v>44</v>
      </c>
      <c r="G562">
        <v>-353.02659999999997</v>
      </c>
      <c r="H562">
        <v>0.90538859999999999</v>
      </c>
      <c r="I562">
        <v>367.92320000000001</v>
      </c>
      <c r="J562">
        <v>-353.52820000000003</v>
      </c>
      <c r="K562">
        <v>1.1209720000000001</v>
      </c>
      <c r="L562">
        <v>367.98989999999998</v>
      </c>
      <c r="M562">
        <v>0.99991300000000005</v>
      </c>
      <c r="N562">
        <v>-1.1135569999999999E-2</v>
      </c>
      <c r="O562">
        <v>7.0829619999999999E-3</v>
      </c>
      <c r="P562">
        <v>0.98735649999999997</v>
      </c>
      <c r="Q562">
        <v>0.15828110000000001</v>
      </c>
      <c r="R562">
        <v>-8.6289100000000001E-3</v>
      </c>
      <c r="S562">
        <v>3.1980900000000001</v>
      </c>
      <c r="T562">
        <v>-1.015892</v>
      </c>
      <c r="U562">
        <v>-0.30694579999999999</v>
      </c>
      <c r="V562">
        <v>1.5602110000000001E-2</v>
      </c>
      <c r="W562">
        <v>0.16926729999999901</v>
      </c>
      <c r="X562">
        <v>0.98544670000000001</v>
      </c>
      <c r="Y562">
        <v>9.7338450000000007E-2</v>
      </c>
      <c r="Z562">
        <v>-1.77275E-2</v>
      </c>
      <c r="AA562">
        <v>0.99509349999999996</v>
      </c>
      <c r="AB562">
        <v>32</v>
      </c>
      <c r="AC562">
        <v>0.501600000000053</v>
      </c>
      <c r="AD562">
        <v>-0.21558339999999901</v>
      </c>
      <c r="AE562">
        <v>-6.6699999999968895E-2</v>
      </c>
      <c r="AF562">
        <v>5.9458904167674603E-2</v>
      </c>
      <c r="AG562">
        <v>-0.21558339999999901</v>
      </c>
      <c r="AH562">
        <v>0.42413051962624398</v>
      </c>
      <c r="AI562">
        <v>116.719429168758</v>
      </c>
      <c r="AJ562">
        <v>82.019706777393196</v>
      </c>
      <c r="AK562">
        <v>0.479477070691402</v>
      </c>
      <c r="AL562">
        <v>80.254779139074799</v>
      </c>
      <c r="AM562">
        <v>89.092938895795996</v>
      </c>
      <c r="AN562">
        <v>1.00000002161331</v>
      </c>
    </row>
    <row r="563" spans="1:40" x14ac:dyDescent="0.25">
      <c r="A563" t="str">
        <f>"20190303162754011"</f>
        <v>20190303162754011</v>
      </c>
      <c r="B563" t="str">
        <f>"1551601674001749"</f>
        <v>1551601674001749</v>
      </c>
      <c r="C563" t="s">
        <v>40</v>
      </c>
      <c r="D563">
        <v>4.7190570000000003</v>
      </c>
      <c r="E563">
        <v>0.53770109999999904</v>
      </c>
      <c r="F563" t="s">
        <v>44</v>
      </c>
      <c r="G563">
        <v>-352.74950000000001</v>
      </c>
      <c r="H563">
        <v>0.87399550000000004</v>
      </c>
      <c r="I563">
        <v>367.91539999999998</v>
      </c>
      <c r="J563">
        <v>-353.28410000000002</v>
      </c>
      <c r="K563">
        <v>1.1209750000000001</v>
      </c>
      <c r="L563">
        <v>367.99169999999998</v>
      </c>
      <c r="M563">
        <v>0.99991149999999995</v>
      </c>
      <c r="N563">
        <v>-1.1226420000000001E-2</v>
      </c>
      <c r="O563">
        <v>7.1387380000000004E-3</v>
      </c>
      <c r="P563">
        <v>0.98738380000000003</v>
      </c>
      <c r="Q563">
        <v>0.15812390000000001</v>
      </c>
      <c r="R563">
        <v>-8.3805159999999993E-3</v>
      </c>
      <c r="S563">
        <v>3.1983640000000002</v>
      </c>
      <c r="T563">
        <v>-1.014462</v>
      </c>
      <c r="U563">
        <v>-0.30560300000000001</v>
      </c>
      <c r="V563">
        <v>1.540858E-2</v>
      </c>
      <c r="W563">
        <v>0.16920009999999999</v>
      </c>
      <c r="X563">
        <v>0.98546120000000004</v>
      </c>
      <c r="Y563">
        <v>9.7000000000000003E-2</v>
      </c>
      <c r="Z563">
        <v>-1.7669509999999999E-2</v>
      </c>
      <c r="AA563">
        <v>0.99512750000000005</v>
      </c>
      <c r="AB563">
        <v>32</v>
      </c>
      <c r="AC563">
        <v>0.53460000000001096</v>
      </c>
      <c r="AD563">
        <v>-0.24697949999999999</v>
      </c>
      <c r="AE563">
        <v>-7.6300000000003296E-2</v>
      </c>
      <c r="AF563">
        <v>6.6255735427719606E-2</v>
      </c>
      <c r="AG563">
        <v>-0.24697949999999999</v>
      </c>
      <c r="AH563">
        <v>0.44165849656314898</v>
      </c>
      <c r="AI563">
        <v>118.94351698113699</v>
      </c>
      <c r="AJ563">
        <v>81.468351229189693</v>
      </c>
      <c r="AK563">
        <v>0.51034392666489004</v>
      </c>
      <c r="AL563">
        <v>80.258684936797295</v>
      </c>
      <c r="AM563">
        <v>89.104201498487299</v>
      </c>
      <c r="AN563">
        <v>0.99999993744153104</v>
      </c>
    </row>
    <row r="564" spans="1:40" x14ac:dyDescent="0.25">
      <c r="A564" t="str">
        <f>"20190303162754022"</f>
        <v>20190303162754022</v>
      </c>
      <c r="B564" t="str">
        <f>"1551601674012485"</f>
        <v>1551601674012485</v>
      </c>
      <c r="C564" t="s">
        <v>40</v>
      </c>
      <c r="D564">
        <v>4.6952189999999998</v>
      </c>
      <c r="E564">
        <v>0.53757659999999996</v>
      </c>
      <c r="F564" t="s">
        <v>44</v>
      </c>
      <c r="G564">
        <v>-352.46499999999997</v>
      </c>
      <c r="H564">
        <v>0.8613094</v>
      </c>
      <c r="I564">
        <v>367.91359999999997</v>
      </c>
      <c r="J564">
        <v>-353.12360000000001</v>
      </c>
      <c r="K564">
        <v>1.1209789999999999</v>
      </c>
      <c r="L564">
        <v>367.99290000000002</v>
      </c>
      <c r="M564">
        <v>0.99991079999999999</v>
      </c>
      <c r="N564">
        <v>-1.1282550000000001E-2</v>
      </c>
      <c r="O564">
        <v>7.1749099999999996E-3</v>
      </c>
      <c r="P564">
        <v>0.98741389999999996</v>
      </c>
      <c r="Q564">
        <v>0.15794430000000001</v>
      </c>
      <c r="R564">
        <v>-8.22688699999999E-3</v>
      </c>
      <c r="S564">
        <v>3.1981199999999999</v>
      </c>
      <c r="T564">
        <v>-1.0138959999999999</v>
      </c>
      <c r="U564">
        <v>-0.30444339999999998</v>
      </c>
      <c r="V564">
        <v>1.529051E-2</v>
      </c>
      <c r="W564">
        <v>0.16907559999999999</v>
      </c>
      <c r="X564">
        <v>0.98548449999999999</v>
      </c>
      <c r="Y564">
        <v>9.6702839999999998E-2</v>
      </c>
      <c r="Z564">
        <v>-1.7627449999999999E-2</v>
      </c>
      <c r="AA564">
        <v>0.99515719999999996</v>
      </c>
      <c r="AB564">
        <v>32</v>
      </c>
      <c r="AC564">
        <v>0.65860000000003505</v>
      </c>
      <c r="AD564">
        <v>-0.2596696</v>
      </c>
      <c r="AE564">
        <v>-7.9300000000046098E-2</v>
      </c>
      <c r="AF564">
        <v>7.2859321555224899E-2</v>
      </c>
      <c r="AG564">
        <v>-0.2596696</v>
      </c>
      <c r="AH564">
        <v>0.570582854672946</v>
      </c>
      <c r="AI564">
        <v>114.29583679927499</v>
      </c>
      <c r="AJ564">
        <v>82.723121971991304</v>
      </c>
      <c r="AK564">
        <v>0.63111138157093605</v>
      </c>
      <c r="AL564">
        <v>80.265923437920193</v>
      </c>
      <c r="AM564">
        <v>89.111085564762206</v>
      </c>
      <c r="AN564">
        <v>1.00000002897583</v>
      </c>
    </row>
    <row r="565" spans="1:40" x14ac:dyDescent="0.25">
      <c r="A565" t="str">
        <f>"20190303162754034"</f>
        <v>20190303162754034</v>
      </c>
      <c r="B565" t="str">
        <f>"1551601674032005"</f>
        <v>1551601674032005</v>
      </c>
      <c r="C565" t="s">
        <v>40</v>
      </c>
      <c r="D565">
        <v>4.6865350000000001</v>
      </c>
      <c r="E565">
        <v>0.53735459999999902</v>
      </c>
      <c r="F565" t="s">
        <v>44</v>
      </c>
      <c r="G565">
        <v>-352.44690000000003</v>
      </c>
      <c r="H565">
        <v>0.90647420000000001</v>
      </c>
      <c r="I565">
        <v>367.92860000000002</v>
      </c>
      <c r="J565">
        <v>-352.94889999999998</v>
      </c>
      <c r="K565">
        <v>1.1209819999999999</v>
      </c>
      <c r="L565">
        <v>367.99419999999998</v>
      </c>
      <c r="M565">
        <v>0.99990970000000001</v>
      </c>
      <c r="N565">
        <v>-1.1337409999999999E-2</v>
      </c>
      <c r="O565">
        <v>7.2154309999999996E-3</v>
      </c>
      <c r="P565">
        <v>0.98741619999999997</v>
      </c>
      <c r="Q565">
        <v>0.1579419</v>
      </c>
      <c r="R565">
        <v>-7.9727989999999992E-3</v>
      </c>
      <c r="S565">
        <v>3.1978759999999999</v>
      </c>
      <c r="T565">
        <v>-1.013755</v>
      </c>
      <c r="U565">
        <v>-0.3032532</v>
      </c>
      <c r="V565">
        <v>1.507641E-2</v>
      </c>
      <c r="W565">
        <v>0.16912729999999901</v>
      </c>
      <c r="X565">
        <v>0.98547890000000005</v>
      </c>
      <c r="Y565">
        <v>9.6396540000000003E-2</v>
      </c>
      <c r="Z565">
        <v>-1.759202E-2</v>
      </c>
      <c r="AA565">
        <v>0.9951875</v>
      </c>
      <c r="AB565">
        <v>32</v>
      </c>
      <c r="AC565">
        <v>0.50199999999995204</v>
      </c>
      <c r="AD565">
        <v>-0.214507799999999</v>
      </c>
      <c r="AE565">
        <v>-6.5599999999960801E-2</v>
      </c>
      <c r="AF565">
        <v>5.8685205717247703E-2</v>
      </c>
      <c r="AG565">
        <v>-0.214507799999999</v>
      </c>
      <c r="AH565">
        <v>0.42518262760227998</v>
      </c>
      <c r="AI565">
        <v>116.554483643655</v>
      </c>
      <c r="AJ565">
        <v>82.141486293094104</v>
      </c>
      <c r="AK565">
        <v>0.47983102905678598</v>
      </c>
      <c r="AL565">
        <v>80.262917698530003</v>
      </c>
      <c r="AM565">
        <v>89.123525341960502</v>
      </c>
      <c r="AN565">
        <v>1.0000000020444899</v>
      </c>
    </row>
    <row r="566" spans="1:40" x14ac:dyDescent="0.25">
      <c r="A566" t="str">
        <f>"20190303162754045"</f>
        <v>20190303162754045</v>
      </c>
      <c r="B566" t="str">
        <f>"1551601674041766"</f>
        <v>1551601674041766</v>
      </c>
      <c r="C566" t="s">
        <v>40</v>
      </c>
      <c r="D566">
        <v>4.675751</v>
      </c>
      <c r="E566">
        <v>0.53724729999999998</v>
      </c>
      <c r="F566" t="s">
        <v>44</v>
      </c>
      <c r="G566">
        <v>-352.1703</v>
      </c>
      <c r="H566">
        <v>0.87458740000000001</v>
      </c>
      <c r="I566">
        <v>367.92079999999999</v>
      </c>
      <c r="J566">
        <v>-352.78870000000001</v>
      </c>
      <c r="K566">
        <v>1.1209830000000001</v>
      </c>
      <c r="L566">
        <v>367.99540000000002</v>
      </c>
      <c r="M566">
        <v>0.99990900000000005</v>
      </c>
      <c r="N566">
        <v>-1.1386139999999999E-2</v>
      </c>
      <c r="O566">
        <v>7.2525869999999996E-3</v>
      </c>
      <c r="P566">
        <v>0.98742459999999999</v>
      </c>
      <c r="Q566">
        <v>0.15790009999999999</v>
      </c>
      <c r="R566">
        <v>-7.7693579999999996E-3</v>
      </c>
      <c r="S566">
        <v>3.1976619999999998</v>
      </c>
      <c r="T566">
        <v>-1.0118929999999999</v>
      </c>
      <c r="U566">
        <v>-0.3006897</v>
      </c>
      <c r="V566">
        <v>1.490962E-2</v>
      </c>
      <c r="W566">
        <v>0.1691338</v>
      </c>
      <c r="X566">
        <v>0.98548029999999998</v>
      </c>
      <c r="Y566">
        <v>9.5698980000000003E-2</v>
      </c>
      <c r="Z566">
        <v>-1.746518E-2</v>
      </c>
      <c r="AA566">
        <v>0.99525710000000001</v>
      </c>
      <c r="AB566">
        <v>32</v>
      </c>
      <c r="AC566">
        <v>0.61840000000000805</v>
      </c>
      <c r="AD566">
        <v>-0.24639559999999999</v>
      </c>
      <c r="AE566">
        <v>-7.4600000000032196E-2</v>
      </c>
      <c r="AF566">
        <v>6.8382926205757297E-2</v>
      </c>
      <c r="AG566">
        <v>-0.24639559999999999</v>
      </c>
      <c r="AH566">
        <v>0.53424520627220196</v>
      </c>
      <c r="AI566">
        <v>114.582714846485</v>
      </c>
      <c r="AJ566">
        <v>82.7058522502751</v>
      </c>
      <c r="AK566">
        <v>0.59228790019774102</v>
      </c>
      <c r="AL566">
        <v>80.262539619276893</v>
      </c>
      <c r="AM566">
        <v>89.133221505831401</v>
      </c>
      <c r="AN566">
        <v>0.99999998037953597</v>
      </c>
    </row>
    <row r="567" spans="1:40" x14ac:dyDescent="0.25">
      <c r="A567" t="str">
        <f>"20190303162754055"</f>
        <v>20190303162754055</v>
      </c>
      <c r="B567" t="str">
        <f>"1551601674052501"</f>
        <v>1551601674052501</v>
      </c>
      <c r="C567" t="s">
        <v>40</v>
      </c>
      <c r="D567">
        <v>4.6712889999999998</v>
      </c>
      <c r="E567">
        <v>0.53713730000000004</v>
      </c>
      <c r="F567" t="s">
        <v>44</v>
      </c>
      <c r="G567">
        <v>-351.89510000000001</v>
      </c>
      <c r="H567">
        <v>0.83849810000000002</v>
      </c>
      <c r="I567">
        <v>367.91129999999998</v>
      </c>
      <c r="J567">
        <v>-352.63720000000001</v>
      </c>
      <c r="K567">
        <v>1.1209849999999999</v>
      </c>
      <c r="L567">
        <v>367.99650000000003</v>
      </c>
      <c r="M567">
        <v>0.99990809999999997</v>
      </c>
      <c r="N567">
        <v>-1.1427980000000001E-2</v>
      </c>
      <c r="O567">
        <v>7.2886449999999998E-3</v>
      </c>
      <c r="P567">
        <v>0.98742439999999998</v>
      </c>
      <c r="Q567">
        <v>0.15789629999999999</v>
      </c>
      <c r="R567">
        <v>-7.8580869999999997E-3</v>
      </c>
      <c r="S567">
        <v>3.1975099999999999</v>
      </c>
      <c r="T567">
        <v>-1.01079599999999</v>
      </c>
      <c r="U567">
        <v>-0.29946899999999999</v>
      </c>
      <c r="V567">
        <v>1.50341E-2</v>
      </c>
      <c r="W567">
        <v>0.16917099999999999</v>
      </c>
      <c r="X567">
        <v>0.98547200000000001</v>
      </c>
      <c r="Y567">
        <v>9.5386209999999999E-2</v>
      </c>
      <c r="Z567">
        <v>-1.7411099999999999E-2</v>
      </c>
      <c r="AA567">
        <v>0.99528810000000001</v>
      </c>
      <c r="AB567">
        <v>32</v>
      </c>
      <c r="AC567">
        <v>0.74209999999999299</v>
      </c>
      <c r="AD567">
        <v>-0.28248689999999999</v>
      </c>
      <c r="AE567">
        <v>-8.5200000000043005E-2</v>
      </c>
      <c r="AF567">
        <v>7.9270100254581102E-2</v>
      </c>
      <c r="AG567">
        <v>-0.28248689999999999</v>
      </c>
      <c r="AH567">
        <v>0.64868667442203698</v>
      </c>
      <c r="AI567">
        <v>113.376877464806</v>
      </c>
      <c r="AJ567">
        <v>83.032946534315101</v>
      </c>
      <c r="AK567">
        <v>0.71195294720838298</v>
      </c>
      <c r="AL567">
        <v>80.260376824458902</v>
      </c>
      <c r="AM567">
        <v>89.125978554272706</v>
      </c>
      <c r="AN567">
        <v>0.99999995709390399</v>
      </c>
    </row>
    <row r="568" spans="1:40" x14ac:dyDescent="0.25">
      <c r="A568" t="str">
        <f>"20190303162754068"</f>
        <v>20190303162754068</v>
      </c>
      <c r="B568" t="str">
        <f>"1551601674061793"</f>
        <v>1551601674061793</v>
      </c>
      <c r="C568" t="s">
        <v>40</v>
      </c>
      <c r="D568">
        <v>4.6796949999999997</v>
      </c>
      <c r="E568">
        <v>0.53707369999999899</v>
      </c>
      <c r="F568" t="s">
        <v>44</v>
      </c>
      <c r="G568">
        <v>-351.87830000000002</v>
      </c>
      <c r="H568">
        <v>0.88111949999999895</v>
      </c>
      <c r="I568">
        <v>367.92520000000002</v>
      </c>
      <c r="J568">
        <v>-352.4468</v>
      </c>
      <c r="K568">
        <v>1.120987</v>
      </c>
      <c r="L568">
        <v>367.99799999999999</v>
      </c>
      <c r="M568">
        <v>0.99990730000000005</v>
      </c>
      <c r="N568">
        <v>-1.148281E-2</v>
      </c>
      <c r="O568">
        <v>7.3338680000000003E-3</v>
      </c>
      <c r="P568">
        <v>0.98739560000000004</v>
      </c>
      <c r="Q568">
        <v>0.1580897</v>
      </c>
      <c r="R568">
        <v>-7.6160179999999996E-3</v>
      </c>
      <c r="S568">
        <v>3.1974179999999999</v>
      </c>
      <c r="T568">
        <v>-1.01057</v>
      </c>
      <c r="U568">
        <v>-0.29888920000000002</v>
      </c>
      <c r="V568">
        <v>1.483631E-2</v>
      </c>
      <c r="W568">
        <v>0.16941819999999999</v>
      </c>
      <c r="X568">
        <v>0.98543259999999999</v>
      </c>
      <c r="Y568">
        <v>9.5260349999999994E-2</v>
      </c>
      <c r="Z568">
        <v>-1.7403660000000001E-2</v>
      </c>
      <c r="AA568">
        <v>0.99530019999999997</v>
      </c>
      <c r="AB568">
        <v>32</v>
      </c>
      <c r="AC568">
        <v>0.56849999999997103</v>
      </c>
      <c r="AD568">
        <v>-0.23986750000000001</v>
      </c>
      <c r="AE568">
        <v>-7.2800000000029202E-2</v>
      </c>
      <c r="AF568">
        <v>6.5495822058671702E-2</v>
      </c>
      <c r="AG568">
        <v>-0.23986750000000001</v>
      </c>
      <c r="AH568">
        <v>0.48329937117983002</v>
      </c>
      <c r="AI568">
        <v>116.18873725447401</v>
      </c>
      <c r="AJ568">
        <v>82.2823995052307</v>
      </c>
      <c r="AK568">
        <v>0.54351117968833995</v>
      </c>
      <c r="AL568">
        <v>80.246006546768697</v>
      </c>
      <c r="AM568">
        <v>89.137441031320193</v>
      </c>
      <c r="AN568">
        <v>1.0000000258641999</v>
      </c>
    </row>
    <row r="569" spans="1:40" x14ac:dyDescent="0.25">
      <c r="A569" t="str">
        <f>"20190303162754079"</f>
        <v>20190303162754079</v>
      </c>
      <c r="B569" t="str">
        <f>"1551601674072529"</f>
        <v>1551601674072529</v>
      </c>
      <c r="C569" t="s">
        <v>40</v>
      </c>
      <c r="D569">
        <v>4.6631530000000003</v>
      </c>
      <c r="E569">
        <v>0.53701309999999902</v>
      </c>
      <c r="F569" t="s">
        <v>44</v>
      </c>
      <c r="G569">
        <v>-351.59969999999998</v>
      </c>
      <c r="H569">
        <v>0.85373290000000002</v>
      </c>
      <c r="I569">
        <v>367.91910000000001</v>
      </c>
      <c r="J569">
        <v>-352.28910000000002</v>
      </c>
      <c r="K569">
        <v>1.120997</v>
      </c>
      <c r="L569">
        <v>367.99919999999997</v>
      </c>
      <c r="M569">
        <v>0.99990639999999997</v>
      </c>
      <c r="N569">
        <v>-1.153059E-2</v>
      </c>
      <c r="O569">
        <v>7.3713839999999999E-3</v>
      </c>
      <c r="P569">
        <v>0.98740220000000001</v>
      </c>
      <c r="Q569">
        <v>0.15804360000000001</v>
      </c>
      <c r="R569">
        <v>-7.6965150000000001E-3</v>
      </c>
      <c r="S569">
        <v>3.19754</v>
      </c>
      <c r="T569">
        <v>-1.0087870000000001</v>
      </c>
      <c r="U569">
        <v>-0.29791260000000003</v>
      </c>
      <c r="V569">
        <v>1.495397E-2</v>
      </c>
      <c r="W569">
        <v>0.1694196</v>
      </c>
      <c r="X569">
        <v>0.98543049999999999</v>
      </c>
      <c r="Y569">
        <v>9.5020099999999996E-2</v>
      </c>
      <c r="Z569">
        <v>-1.7349489999999999E-2</v>
      </c>
      <c r="AA569">
        <v>0.99532410000000004</v>
      </c>
      <c r="AB569">
        <v>32</v>
      </c>
      <c r="AC569">
        <v>0.68940000000003399</v>
      </c>
      <c r="AD569">
        <v>-0.26726409999999901</v>
      </c>
      <c r="AE569">
        <v>-8.0099999999958899E-2</v>
      </c>
      <c r="AF569">
        <v>7.4179790357135497E-2</v>
      </c>
      <c r="AG569">
        <v>-0.26726409999999901</v>
      </c>
      <c r="AH569">
        <v>0.59983986549989599</v>
      </c>
      <c r="AI569">
        <v>113.854565719484</v>
      </c>
      <c r="AJ569">
        <v>82.950253256790305</v>
      </c>
      <c r="AK569">
        <v>0.66086352954991501</v>
      </c>
      <c r="AL569">
        <v>80.245924371526101</v>
      </c>
      <c r="AM569">
        <v>89.130599663389503</v>
      </c>
      <c r="AN569">
        <v>0.99999994620658395</v>
      </c>
    </row>
    <row r="570" spans="1:40" x14ac:dyDescent="0.25">
      <c r="A570" t="str">
        <f>"20190303162754090"</f>
        <v>20190303162754090</v>
      </c>
      <c r="B570" t="str">
        <f>"1551601674082288"</f>
        <v>1551601674082288</v>
      </c>
      <c r="C570" t="s">
        <v>40</v>
      </c>
      <c r="D570">
        <v>4.6597749999999998</v>
      </c>
      <c r="E570">
        <v>0.53696089999999996</v>
      </c>
      <c r="F570" t="s">
        <v>44</v>
      </c>
      <c r="G570">
        <v>-351.5822</v>
      </c>
      <c r="H570">
        <v>0.89806209999999898</v>
      </c>
      <c r="I570">
        <v>367.93340000000001</v>
      </c>
      <c r="J570">
        <v>-352.13639999999998</v>
      </c>
      <c r="K570">
        <v>1.1209100000000001</v>
      </c>
      <c r="L570">
        <v>368.00029999999998</v>
      </c>
      <c r="M570">
        <v>0.99990950000000001</v>
      </c>
      <c r="N570">
        <v>-1.123884E-2</v>
      </c>
      <c r="O570">
        <v>7.4064059999999999E-3</v>
      </c>
      <c r="P570">
        <v>0.98731230000000003</v>
      </c>
      <c r="Q570">
        <v>0.1586052</v>
      </c>
      <c r="R570">
        <v>-7.6850690000000001E-3</v>
      </c>
      <c r="S570">
        <v>3.1973880000000001</v>
      </c>
      <c r="T570">
        <v>-1.0083089999999999</v>
      </c>
      <c r="U570">
        <v>-0.29757689999999998</v>
      </c>
      <c r="V570">
        <v>1.497685E-2</v>
      </c>
      <c r="W570">
        <v>0.16969219999999999</v>
      </c>
      <c r="X570">
        <v>0.98538329999999996</v>
      </c>
      <c r="Y570">
        <v>9.4964839999999995E-2</v>
      </c>
      <c r="Z570">
        <v>-1.7332110000000001E-2</v>
      </c>
      <c r="AA570">
        <v>0.99532969999999998</v>
      </c>
      <c r="AB570">
        <v>32</v>
      </c>
      <c r="AC570">
        <v>0.55419999999998004</v>
      </c>
      <c r="AD570">
        <v>-0.22284789999999999</v>
      </c>
      <c r="AE570">
        <v>-6.6899999999975507E-2</v>
      </c>
      <c r="AF570">
        <v>6.1242895051928599E-2</v>
      </c>
      <c r="AG570">
        <v>-0.22284789999999999</v>
      </c>
      <c r="AH570">
        <v>0.47757853280338702</v>
      </c>
      <c r="AI570">
        <v>114.83613547405101</v>
      </c>
      <c r="AJ570">
        <v>82.692484399363394</v>
      </c>
      <c r="AK570">
        <v>0.53055926504339501</v>
      </c>
      <c r="AL570">
        <v>80.230076581125999</v>
      </c>
      <c r="AM570">
        <v>89.129227959071997</v>
      </c>
      <c r="AN570">
        <v>0.99999999834782605</v>
      </c>
    </row>
    <row r="571" spans="1:40" x14ac:dyDescent="0.25">
      <c r="A571" t="str">
        <f>"20190303162754111"</f>
        <v>20190303162754111</v>
      </c>
      <c r="B571" t="str">
        <f>"1551601674101809"</f>
        <v>1551601674101809</v>
      </c>
      <c r="C571" t="s">
        <v>40</v>
      </c>
      <c r="D571">
        <v>4.6443070000000004</v>
      </c>
      <c r="E571">
        <v>0.5368773</v>
      </c>
      <c r="F571" t="s">
        <v>44</v>
      </c>
      <c r="G571">
        <v>-351.30470000000003</v>
      </c>
      <c r="H571">
        <v>0.85937540000000001</v>
      </c>
      <c r="I571">
        <v>367.92270000000002</v>
      </c>
      <c r="J571">
        <v>-351.82190000000003</v>
      </c>
      <c r="K571">
        <v>1.120636</v>
      </c>
      <c r="L571">
        <v>368.0027</v>
      </c>
      <c r="M571">
        <v>0.99992000000000003</v>
      </c>
      <c r="N571">
        <v>-1.020771E-2</v>
      </c>
      <c r="O571">
        <v>7.4771940000000004E-3</v>
      </c>
      <c r="P571">
        <v>0.98703129999999994</v>
      </c>
      <c r="Q571">
        <v>0.1603511</v>
      </c>
      <c r="R571">
        <v>-7.5475680000000002E-3</v>
      </c>
      <c r="S571">
        <v>3.1977229999999999</v>
      </c>
      <c r="T571">
        <v>-1.005495</v>
      </c>
      <c r="U571">
        <v>-0.29684450000000001</v>
      </c>
      <c r="V571">
        <v>1.490827E-2</v>
      </c>
      <c r="W571">
        <v>0.1704186</v>
      </c>
      <c r="X571">
        <v>0.985259</v>
      </c>
      <c r="Y571">
        <v>9.4844010000000006E-2</v>
      </c>
      <c r="Z571">
        <v>-1.7244599999999999E-2</v>
      </c>
      <c r="AA571">
        <v>0.99534279999999997</v>
      </c>
      <c r="AB571">
        <v>32</v>
      </c>
      <c r="AC571">
        <v>0.51720000000000199</v>
      </c>
      <c r="AD571">
        <v>-0.26126059999999901</v>
      </c>
      <c r="AE571">
        <v>-7.9999999999984001E-2</v>
      </c>
      <c r="AF571">
        <v>6.7134658985455203E-2</v>
      </c>
      <c r="AG571">
        <v>-0.26126059999999901</v>
      </c>
      <c r="AH571">
        <v>0.41353180026028702</v>
      </c>
      <c r="AI571">
        <v>121.948253472937</v>
      </c>
      <c r="AJ571">
        <v>80.778788089088295</v>
      </c>
      <c r="AK571">
        <v>0.49373344364744798</v>
      </c>
      <c r="AL571">
        <v>80.187842032658295</v>
      </c>
      <c r="AM571">
        <v>89.133105336163595</v>
      </c>
      <c r="AN571">
        <v>1.0000000264106701</v>
      </c>
    </row>
    <row r="572" spans="1:40" x14ac:dyDescent="0.25">
      <c r="A572" t="str">
        <f>"20190303162754123"</f>
        <v>20190303162754123</v>
      </c>
      <c r="B572" t="str">
        <f>"1551601674112545"</f>
        <v>1551601674112545</v>
      </c>
      <c r="C572" t="s">
        <v>40</v>
      </c>
      <c r="D572">
        <v>4.6367469999999997</v>
      </c>
      <c r="E572">
        <v>0.53685869999999902</v>
      </c>
      <c r="F572" t="s">
        <v>44</v>
      </c>
      <c r="G572">
        <v>-351.00670000000002</v>
      </c>
      <c r="H572">
        <v>0.8660738</v>
      </c>
      <c r="I572">
        <v>367.92720000000003</v>
      </c>
      <c r="J572">
        <v>-351.65570000000002</v>
      </c>
      <c r="K572">
        <v>1.1204769999999999</v>
      </c>
      <c r="L572">
        <v>368.00400000000002</v>
      </c>
      <c r="M572">
        <v>0.99992599999999998</v>
      </c>
      <c r="N572">
        <v>-9.5733629999999997E-3</v>
      </c>
      <c r="O572">
        <v>7.5145589999999996E-3</v>
      </c>
      <c r="P572">
        <v>0.98690069999999996</v>
      </c>
      <c r="Q572">
        <v>0.16114700000000001</v>
      </c>
      <c r="R572">
        <v>-7.6608290000000001E-3</v>
      </c>
      <c r="S572">
        <v>3.1994929999999999</v>
      </c>
      <c r="T572">
        <v>-0.99900480000000003</v>
      </c>
      <c r="U572">
        <v>-0.29605100000000001</v>
      </c>
      <c r="V572">
        <v>1.505867E-2</v>
      </c>
      <c r="W572">
        <v>0.1705882</v>
      </c>
      <c r="X572">
        <v>0.98522730000000003</v>
      </c>
      <c r="Y572">
        <v>9.4668489999999994E-2</v>
      </c>
      <c r="Z572">
        <v>-1.7089340000000001E-2</v>
      </c>
      <c r="AA572">
        <v>0.99536219999999997</v>
      </c>
      <c r="AB572">
        <v>33</v>
      </c>
      <c r="AC572">
        <v>0.64900000000000002</v>
      </c>
      <c r="AD572">
        <v>-0.254403199999999</v>
      </c>
      <c r="AE572">
        <v>-7.67999999999915E-2</v>
      </c>
      <c r="AF572">
        <v>7.0926997034470002E-2</v>
      </c>
      <c r="AG572">
        <v>-0.254403199999999</v>
      </c>
      <c r="AH572">
        <v>0.56307786033015605</v>
      </c>
      <c r="AI572">
        <v>114.145069431498</v>
      </c>
      <c r="AJ572">
        <v>82.820661074187896</v>
      </c>
      <c r="AK572">
        <v>0.62193914804629702</v>
      </c>
      <c r="AL572">
        <v>80.177979655457804</v>
      </c>
      <c r="AM572">
        <v>89.124332975734106</v>
      </c>
      <c r="AN572">
        <v>0.99999996509334799</v>
      </c>
    </row>
    <row r="573" spans="1:40" x14ac:dyDescent="0.25">
      <c r="A573" t="str">
        <f>"20190303162754134"</f>
        <v>20190303162754134</v>
      </c>
      <c r="B573" t="str">
        <f>"1551601674132065"</f>
        <v>1551601674132065</v>
      </c>
      <c r="C573" t="s">
        <v>40</v>
      </c>
      <c r="D573">
        <v>4.6613920000000002</v>
      </c>
      <c r="E573">
        <v>0.53683219999999898</v>
      </c>
      <c r="F573" t="s">
        <v>44</v>
      </c>
      <c r="G573">
        <v>-350.988</v>
      </c>
      <c r="H573">
        <v>0.91256890000000002</v>
      </c>
      <c r="I573">
        <v>367.94220000000001</v>
      </c>
      <c r="J573">
        <v>-351.48719999999997</v>
      </c>
      <c r="K573">
        <v>1.120339</v>
      </c>
      <c r="L573">
        <v>368.00529999999998</v>
      </c>
      <c r="M573">
        <v>0.99993180000000004</v>
      </c>
      <c r="N573">
        <v>-8.9229909999999999E-3</v>
      </c>
      <c r="O573">
        <v>7.5521519999999899E-3</v>
      </c>
      <c r="P573">
        <v>0.98676129999999995</v>
      </c>
      <c r="Q573">
        <v>0.1619979</v>
      </c>
      <c r="R573">
        <v>-7.684443E-3</v>
      </c>
      <c r="S573">
        <v>3.2001650000000001</v>
      </c>
      <c r="T573">
        <v>-0.99630890000000005</v>
      </c>
      <c r="U573">
        <v>-0.29620360000000001</v>
      </c>
      <c r="V573">
        <v>1.511934E-2</v>
      </c>
      <c r="W573">
        <v>0.17079730000000001</v>
      </c>
      <c r="X573">
        <v>0.98519020000000002</v>
      </c>
      <c r="Y573">
        <v>9.4763639999999996E-2</v>
      </c>
      <c r="Z573">
        <v>-1.7042020000000001E-2</v>
      </c>
      <c r="AA573">
        <v>0.99535390000000001</v>
      </c>
      <c r="AB573">
        <v>33</v>
      </c>
      <c r="AC573">
        <v>0.49919999999991599</v>
      </c>
      <c r="AD573">
        <v>-0.20777010000000001</v>
      </c>
      <c r="AE573">
        <v>-6.3099999999963005E-2</v>
      </c>
      <c r="AF573">
        <v>5.7127889394283898E-2</v>
      </c>
      <c r="AG573">
        <v>-0.20777010000000001</v>
      </c>
      <c r="AH573">
        <v>0.42606389410782303</v>
      </c>
      <c r="AI573">
        <v>115.795629724279</v>
      </c>
      <c r="AJ573">
        <v>82.363163032010505</v>
      </c>
      <c r="AK573">
        <v>0.47745413608322401</v>
      </c>
      <c r="AL573">
        <v>80.165821222653804</v>
      </c>
      <c r="AM573">
        <v>89.120772443049404</v>
      </c>
      <c r="AN573">
        <v>1.0000000211526801</v>
      </c>
    </row>
    <row r="574" spans="1:40" x14ac:dyDescent="0.25">
      <c r="A574" t="str">
        <f>"20190303162754145"</f>
        <v>20190303162754145</v>
      </c>
      <c r="B574" t="str">
        <f>"1551601674141825"</f>
        <v>1551601674141825</v>
      </c>
      <c r="C574" t="s">
        <v>40</v>
      </c>
      <c r="D574">
        <v>4.6670949999999998</v>
      </c>
      <c r="E574">
        <v>0.5368212</v>
      </c>
      <c r="F574" t="s">
        <v>44</v>
      </c>
      <c r="G574">
        <v>-350.70460000000003</v>
      </c>
      <c r="H574">
        <v>0.87761279999999997</v>
      </c>
      <c r="I574">
        <v>367.93270000000001</v>
      </c>
      <c r="J574">
        <v>-351.32240000000002</v>
      </c>
      <c r="K574">
        <v>1.120201</v>
      </c>
      <c r="L574">
        <v>368.00659999999999</v>
      </c>
      <c r="M574">
        <v>0.99993690000000002</v>
      </c>
      <c r="N574">
        <v>-8.2901290000000002E-3</v>
      </c>
      <c r="O574">
        <v>7.5889310000000001E-3</v>
      </c>
      <c r="P574">
        <v>0.9866279</v>
      </c>
      <c r="Q574">
        <v>0.162801</v>
      </c>
      <c r="R574">
        <v>-7.8436849999999995E-3</v>
      </c>
      <c r="S574">
        <v>3.200958</v>
      </c>
      <c r="T574">
        <v>-0.99287879999999995</v>
      </c>
      <c r="U574">
        <v>-0.29614259999999998</v>
      </c>
      <c r="V574">
        <v>1.5314909999999999E-2</v>
      </c>
      <c r="W574">
        <v>0.1709754</v>
      </c>
      <c r="X574">
        <v>0.98515629999999998</v>
      </c>
      <c r="Y574">
        <v>9.4798569999999999E-2</v>
      </c>
      <c r="Z574">
        <v>-1.6973350000000002E-2</v>
      </c>
      <c r="AA574">
        <v>0.99535180000000001</v>
      </c>
      <c r="AB574">
        <v>33</v>
      </c>
      <c r="AC574">
        <v>0.61779999999998803</v>
      </c>
      <c r="AD574">
        <v>-0.242588199999999</v>
      </c>
      <c r="AE574">
        <v>-7.3899999999980495E-2</v>
      </c>
      <c r="AF574">
        <v>6.8216805865373403E-2</v>
      </c>
      <c r="AG574">
        <v>-0.242588199999999</v>
      </c>
      <c r="AH574">
        <v>0.53577756991929304</v>
      </c>
      <c r="AI574">
        <v>114.18731923372501</v>
      </c>
      <c r="AJ574">
        <v>82.743971079938703</v>
      </c>
      <c r="AK574">
        <v>0.59208122061955104</v>
      </c>
      <c r="AL574">
        <v>80.155464639158495</v>
      </c>
      <c r="AM574">
        <v>89.109370735688103</v>
      </c>
      <c r="AN574">
        <v>1.0000000346515701</v>
      </c>
    </row>
    <row r="575" spans="1:40" x14ac:dyDescent="0.25">
      <c r="A575" t="str">
        <f>"20190303162754157"</f>
        <v>20190303162754157</v>
      </c>
      <c r="B575" t="str">
        <f>"1551601674152561"</f>
        <v>1551601674152561</v>
      </c>
      <c r="C575" t="s">
        <v>40</v>
      </c>
      <c r="D575">
        <v>4.6654080000000002</v>
      </c>
      <c r="E575">
        <v>0.53679309999999902</v>
      </c>
      <c r="F575" t="s">
        <v>44</v>
      </c>
      <c r="G575">
        <v>-350.41910000000001</v>
      </c>
      <c r="H575">
        <v>0.84084419999999904</v>
      </c>
      <c r="I575">
        <v>367.92309999999998</v>
      </c>
      <c r="J575">
        <v>-351.1352</v>
      </c>
      <c r="K575">
        <v>1.1200730000000001</v>
      </c>
      <c r="L575">
        <v>368.00810000000001</v>
      </c>
      <c r="M575">
        <v>0.9999422</v>
      </c>
      <c r="N575">
        <v>-7.5829239999999996E-3</v>
      </c>
      <c r="O575">
        <v>7.6299699999999998E-3</v>
      </c>
      <c r="P575">
        <v>0.98645819999999995</v>
      </c>
      <c r="Q575">
        <v>0.16382339999999901</v>
      </c>
      <c r="R575">
        <v>-7.8760810000000001E-3</v>
      </c>
      <c r="S575">
        <v>3.20166</v>
      </c>
      <c r="T575">
        <v>-0.99004020000000004</v>
      </c>
      <c r="U575">
        <v>-0.29663089999999998</v>
      </c>
      <c r="V575">
        <v>1.538744E-2</v>
      </c>
      <c r="W575">
        <v>0.17130000000000001</v>
      </c>
      <c r="X575">
        <v>0.98509869999999999</v>
      </c>
      <c r="Y575">
        <v>9.4996739999999996E-2</v>
      </c>
      <c r="Z575">
        <v>-1.6937859999999999E-2</v>
      </c>
      <c r="AA575">
        <v>0.99533349999999998</v>
      </c>
      <c r="AB575">
        <v>33</v>
      </c>
      <c r="AC575">
        <v>0.71609999999998297</v>
      </c>
      <c r="AD575">
        <v>-0.279228799999999</v>
      </c>
      <c r="AE575">
        <v>-8.5000000000036297E-2</v>
      </c>
      <c r="AF575">
        <v>7.8666769333086098E-2</v>
      </c>
      <c r="AG575">
        <v>-0.279228799999999</v>
      </c>
      <c r="AH575">
        <v>0.62214987165097602</v>
      </c>
      <c r="AI575">
        <v>114.00185204398301</v>
      </c>
      <c r="AJ575">
        <v>82.793567561466205</v>
      </c>
      <c r="AK575">
        <v>0.68646022910440396</v>
      </c>
      <c r="AL575">
        <v>80.136587160813093</v>
      </c>
      <c r="AM575">
        <v>89.105101167630295</v>
      </c>
      <c r="AN575">
        <v>0.99999995602572</v>
      </c>
    </row>
    <row r="576" spans="1:40" x14ac:dyDescent="0.25">
      <c r="A576" t="str">
        <f>"20190303162754172"</f>
        <v>20190303162754172</v>
      </c>
      <c r="B576" t="str">
        <f>"1551601674161851"</f>
        <v>1551601674161851</v>
      </c>
      <c r="C576" t="s">
        <v>40</v>
      </c>
      <c r="D576">
        <v>4.6760279999999996</v>
      </c>
      <c r="E576">
        <v>0.53677249999999999</v>
      </c>
      <c r="F576" t="s">
        <v>44</v>
      </c>
      <c r="G576">
        <v>-350.39870000000002</v>
      </c>
      <c r="H576">
        <v>0.89321839999999997</v>
      </c>
      <c r="I576">
        <v>367.93990000000002</v>
      </c>
      <c r="J576">
        <v>-350.92919999999998</v>
      </c>
      <c r="K576">
        <v>1.1199460000000001</v>
      </c>
      <c r="L576">
        <v>368.00959999999998</v>
      </c>
      <c r="M576">
        <v>0.99994729999999998</v>
      </c>
      <c r="N576">
        <v>-6.8189690000000002E-3</v>
      </c>
      <c r="O576">
        <v>7.6740009999999997E-3</v>
      </c>
      <c r="P576">
        <v>0.98625180000000001</v>
      </c>
      <c r="Q576">
        <v>0.16507049999999901</v>
      </c>
      <c r="R576">
        <v>-7.7069290000000004E-3</v>
      </c>
      <c r="S576">
        <v>3.2025450000000002</v>
      </c>
      <c r="T576">
        <v>-0.98627920000000002</v>
      </c>
      <c r="U576">
        <v>-0.29684450000000001</v>
      </c>
      <c r="V576">
        <v>1.526049E-2</v>
      </c>
      <c r="W576">
        <v>0.1717928</v>
      </c>
      <c r="X576">
        <v>0.98501490000000003</v>
      </c>
      <c r="Y576">
        <v>9.5121250000000004E-2</v>
      </c>
      <c r="Z576">
        <v>-1.6873550000000001E-2</v>
      </c>
      <c r="AA576">
        <v>0.9953227</v>
      </c>
      <c r="AB576">
        <v>33</v>
      </c>
      <c r="AC576">
        <v>0.53049999999996</v>
      </c>
      <c r="AD576">
        <v>-0.226727599999999</v>
      </c>
      <c r="AE576">
        <v>-6.9699999999954798E-2</v>
      </c>
      <c r="AF576">
        <v>6.25396041462013E-2</v>
      </c>
      <c r="AG576">
        <v>-0.226727599999999</v>
      </c>
      <c r="AH576">
        <v>0.449277967546729</v>
      </c>
      <c r="AI576">
        <v>116.557237164791</v>
      </c>
      <c r="AJ576">
        <v>82.075336136545403</v>
      </c>
      <c r="AK576">
        <v>0.50711665207469003</v>
      </c>
      <c r="AL576">
        <v>80.1079273900679</v>
      </c>
      <c r="AM576">
        <v>89.112407614362695</v>
      </c>
      <c r="AN576">
        <v>1.0000000009544401</v>
      </c>
    </row>
    <row r="577" spans="1:40" x14ac:dyDescent="0.25">
      <c r="A577" t="str">
        <f>"20190303162754186"</f>
        <v>20190303162754186</v>
      </c>
      <c r="B577" t="str">
        <f>"1551601674182347"</f>
        <v>1551601674182347</v>
      </c>
      <c r="C577" t="s">
        <v>40</v>
      </c>
      <c r="D577">
        <v>4.6333270000000004</v>
      </c>
      <c r="E577">
        <v>0.53671159999999996</v>
      </c>
      <c r="F577" t="s">
        <v>44</v>
      </c>
      <c r="G577">
        <v>-350.10629999999998</v>
      </c>
      <c r="H577">
        <v>0.8677473</v>
      </c>
      <c r="I577">
        <v>367.93329999999997</v>
      </c>
      <c r="J577">
        <v>-350.71980000000002</v>
      </c>
      <c r="K577">
        <v>1.1198349999999999</v>
      </c>
      <c r="L577">
        <v>368.01130000000001</v>
      </c>
      <c r="M577">
        <v>0.99995199999999995</v>
      </c>
      <c r="N577">
        <v>-6.0587509999999898E-3</v>
      </c>
      <c r="O577">
        <v>7.7172589999999998E-3</v>
      </c>
      <c r="P577">
        <v>0.98606689999999997</v>
      </c>
      <c r="Q577">
        <v>0.16617100000000001</v>
      </c>
      <c r="R577">
        <v>-7.731099E-3</v>
      </c>
      <c r="S577">
        <v>3.203827</v>
      </c>
      <c r="T577">
        <v>-0.98183730000000002</v>
      </c>
      <c r="U577">
        <v>-0.29647829999999997</v>
      </c>
      <c r="V577">
        <v>1.5326070000000001E-2</v>
      </c>
      <c r="W577">
        <v>0.1721432</v>
      </c>
      <c r="X577">
        <v>0.98495270000000001</v>
      </c>
      <c r="Y577">
        <v>9.5070520000000006E-2</v>
      </c>
      <c r="Z577">
        <v>-1.6769360000000001E-2</v>
      </c>
      <c r="AA577">
        <v>0.99532929999999997</v>
      </c>
      <c r="AB577">
        <v>34</v>
      </c>
      <c r="AC577">
        <v>0.61350000000004401</v>
      </c>
      <c r="AD577">
        <v>-0.25208770000000003</v>
      </c>
      <c r="AE577">
        <v>-7.8000000000031294E-2</v>
      </c>
      <c r="AF577">
        <v>7.0944590794349102E-2</v>
      </c>
      <c r="AG577">
        <v>-0.25208770000000003</v>
      </c>
      <c r="AH577">
        <v>0.52555656894391301</v>
      </c>
      <c r="AI577">
        <v>115.423945715123</v>
      </c>
      <c r="AJ577">
        <v>82.31214603107</v>
      </c>
      <c r="AK577">
        <v>0.58718910975457095</v>
      </c>
      <c r="AL577">
        <v>80.087547282953196</v>
      </c>
      <c r="AM577">
        <v>89.108537630572201</v>
      </c>
      <c r="AN577">
        <v>0.999999995482587</v>
      </c>
    </row>
    <row r="578" spans="1:40" x14ac:dyDescent="0.25">
      <c r="A578" t="str">
        <f>"20190303162754200"</f>
        <v>20190303162754200</v>
      </c>
      <c r="B578" t="str">
        <f>"1551601674192107"</f>
        <v>1551601674192107</v>
      </c>
      <c r="C578" t="s">
        <v>40</v>
      </c>
      <c r="D578">
        <v>4.6722219999999997</v>
      </c>
      <c r="E578">
        <v>0.53667500000000001</v>
      </c>
      <c r="F578" t="s">
        <v>44</v>
      </c>
      <c r="G578">
        <v>-349.81130000000002</v>
      </c>
      <c r="H578">
        <v>0.84241189999999999</v>
      </c>
      <c r="I578">
        <v>367.9271</v>
      </c>
      <c r="J578">
        <v>-350.47809999999998</v>
      </c>
      <c r="K578">
        <v>1.1197299999999999</v>
      </c>
      <c r="L578">
        <v>368.01319999999998</v>
      </c>
      <c r="M578">
        <v>0.99995630000000002</v>
      </c>
      <c r="N578">
        <v>-5.2262619999999997E-3</v>
      </c>
      <c r="O578">
        <v>7.7654309999999997E-3</v>
      </c>
      <c r="P578">
        <v>0.98583010000000004</v>
      </c>
      <c r="Q578">
        <v>0.16757720000000001</v>
      </c>
      <c r="R578">
        <v>-7.5733099999999998E-3</v>
      </c>
      <c r="S578">
        <v>3.204987</v>
      </c>
      <c r="T578">
        <v>-0.97867440000000006</v>
      </c>
      <c r="U578">
        <v>-0.29678339999999998</v>
      </c>
      <c r="V578">
        <v>1.5213620000000001E-2</v>
      </c>
      <c r="W578">
        <v>0.17272799999999999</v>
      </c>
      <c r="X578">
        <v>0.98485210000000001</v>
      </c>
      <c r="Y578">
        <v>9.5214160000000006E-2</v>
      </c>
      <c r="Z578">
        <v>-1.6714260000000002E-2</v>
      </c>
      <c r="AA578">
        <v>0.99531650000000005</v>
      </c>
      <c r="AB578">
        <v>34</v>
      </c>
      <c r="AC578">
        <v>0.66679999999996598</v>
      </c>
      <c r="AD578">
        <v>-0.27731809999999901</v>
      </c>
      <c r="AE578">
        <v>-8.6099999999987603E-2</v>
      </c>
      <c r="AF578">
        <v>7.8004470176917196E-2</v>
      </c>
      <c r="AG578">
        <v>-0.27731809999999901</v>
      </c>
      <c r="AH578">
        <v>0.56926205204631597</v>
      </c>
      <c r="AI578">
        <v>115.763981342281</v>
      </c>
      <c r="AJ578">
        <v>82.197503563326904</v>
      </c>
      <c r="AK578">
        <v>0.63800416131493598</v>
      </c>
      <c r="AL578">
        <v>80.053531598752002</v>
      </c>
      <c r="AM578">
        <v>89.114987020569103</v>
      </c>
      <c r="AN578">
        <v>1.0000000375459499</v>
      </c>
    </row>
    <row r="579" spans="1:40" x14ac:dyDescent="0.25">
      <c r="A579" t="str">
        <f>"20190303162754214"</f>
        <v>20190303162754214</v>
      </c>
      <c r="B579" t="str">
        <f>"1551601674201867"</f>
        <v>1551601674201867</v>
      </c>
      <c r="C579" t="s">
        <v>40</v>
      </c>
      <c r="D579">
        <v>4.6523830000000004</v>
      </c>
      <c r="E579">
        <v>0.53664889999999998</v>
      </c>
      <c r="F579" t="s">
        <v>44</v>
      </c>
      <c r="G579">
        <v>-349.7851</v>
      </c>
      <c r="H579">
        <v>0.90921160000000001</v>
      </c>
      <c r="I579">
        <v>367.94909999999999</v>
      </c>
      <c r="J579">
        <v>-350.291</v>
      </c>
      <c r="K579">
        <v>1.1196680000000001</v>
      </c>
      <c r="L579">
        <v>368.0147</v>
      </c>
      <c r="M579">
        <v>0.99995880000000004</v>
      </c>
      <c r="N579">
        <v>-4.6495900000000003E-3</v>
      </c>
      <c r="O579">
        <v>7.8017779999999997E-3</v>
      </c>
      <c r="P579">
        <v>0.98573350000000004</v>
      </c>
      <c r="Q579">
        <v>0.16815450000000001</v>
      </c>
      <c r="R579">
        <v>-7.3101160000000002E-3</v>
      </c>
      <c r="S579">
        <v>3.2063899999999999</v>
      </c>
      <c r="T579">
        <v>-0.97404939999999995</v>
      </c>
      <c r="U579">
        <v>-0.29617310000000002</v>
      </c>
      <c r="V579">
        <v>1.4984900000000001E-2</v>
      </c>
      <c r="W579">
        <v>0.1727369</v>
      </c>
      <c r="X579">
        <v>0.98485400000000001</v>
      </c>
      <c r="Y579">
        <v>9.5081280000000004E-2</v>
      </c>
      <c r="Z579">
        <v>-1.6599699999999998E-2</v>
      </c>
      <c r="AA579">
        <v>0.99533110000000002</v>
      </c>
      <c r="AB579">
        <v>34</v>
      </c>
      <c r="AC579">
        <v>0.50589999999999602</v>
      </c>
      <c r="AD579">
        <v>-0.21045639999999999</v>
      </c>
      <c r="AE579">
        <v>-6.5600000000017603E-2</v>
      </c>
      <c r="AF579">
        <v>5.9430107378391099E-2</v>
      </c>
      <c r="AG579">
        <v>-0.21045639999999999</v>
      </c>
      <c r="AH579">
        <v>0.43186964900906799</v>
      </c>
      <c r="AI579">
        <v>115.769626277198</v>
      </c>
      <c r="AJ579">
        <v>82.164669638317307</v>
      </c>
      <c r="AK579">
        <v>0.48408183987749698</v>
      </c>
      <c r="AL579">
        <v>80.053013432661501</v>
      </c>
      <c r="AM579">
        <v>89.128291827477199</v>
      </c>
      <c r="AN579">
        <v>0.99999999258281003</v>
      </c>
    </row>
    <row r="580" spans="1:40" x14ac:dyDescent="0.25">
      <c r="A580" t="str">
        <f>"20190303162754226"</f>
        <v>20190303162754226</v>
      </c>
      <c r="B580" t="str">
        <f>"1551601674222364"</f>
        <v>1551601674222364</v>
      </c>
      <c r="C580" t="s">
        <v>40</v>
      </c>
      <c r="D580">
        <v>4.6809620000000001</v>
      </c>
      <c r="E580">
        <v>0.53659429999999997</v>
      </c>
      <c r="F580" t="s">
        <v>44</v>
      </c>
      <c r="G580">
        <v>-349.49079999999998</v>
      </c>
      <c r="H580">
        <v>0.87713339999999995</v>
      </c>
      <c r="I580">
        <v>367.94099999999997</v>
      </c>
      <c r="J580">
        <v>-350.09930000000003</v>
      </c>
      <c r="K580">
        <v>1.1196200000000001</v>
      </c>
      <c r="L580">
        <v>368.01620000000003</v>
      </c>
      <c r="M580">
        <v>0.99996090000000004</v>
      </c>
      <c r="N580">
        <v>-4.1040690000000001E-3</v>
      </c>
      <c r="O580">
        <v>7.83825199999999E-3</v>
      </c>
      <c r="P580">
        <v>0.98561339999999997</v>
      </c>
      <c r="Q580">
        <v>0.16886770000000001</v>
      </c>
      <c r="R580">
        <v>-7.0771119999999896E-3</v>
      </c>
      <c r="S580">
        <v>3.2070919999999998</v>
      </c>
      <c r="T580">
        <v>-0.97197829999999996</v>
      </c>
      <c r="U580">
        <v>-0.29501339999999998</v>
      </c>
      <c r="V580">
        <v>1.4785899999999999E-2</v>
      </c>
      <c r="W580">
        <v>0.17291210000000001</v>
      </c>
      <c r="X580">
        <v>0.98482630000000004</v>
      </c>
      <c r="Y580">
        <v>9.4780550000000005E-2</v>
      </c>
      <c r="Z580">
        <v>-1.650623E-2</v>
      </c>
      <c r="AA580">
        <v>0.9953613</v>
      </c>
      <c r="AB580">
        <v>34</v>
      </c>
      <c r="AC580">
        <v>0.608500000000049</v>
      </c>
      <c r="AD580">
        <v>-0.2424866</v>
      </c>
      <c r="AE580">
        <v>-7.52000000000521E-2</v>
      </c>
      <c r="AF580">
        <v>6.9151191084170505E-2</v>
      </c>
      <c r="AG580">
        <v>-0.2424866</v>
      </c>
      <c r="AH580">
        <v>0.52567040902231899</v>
      </c>
      <c r="AI580">
        <v>114.57698419619</v>
      </c>
      <c r="AJ580">
        <v>82.505853189522298</v>
      </c>
      <c r="AK580">
        <v>0.58301888248118605</v>
      </c>
      <c r="AL580">
        <v>80.042822223616696</v>
      </c>
      <c r="AM580">
        <v>89.139842202675993</v>
      </c>
      <c r="AN580">
        <v>1.0000000291684501</v>
      </c>
    </row>
    <row r="581" spans="1:40" x14ac:dyDescent="0.25">
      <c r="A581" t="str">
        <f>"20190303162754237"</f>
        <v>20190303162754237</v>
      </c>
      <c r="B581" t="str">
        <f>"1551601674232123"</f>
        <v>1551601674232123</v>
      </c>
      <c r="C581" t="s">
        <v>40</v>
      </c>
      <c r="D581">
        <v>4.685416</v>
      </c>
      <c r="E581">
        <v>0.53657749999999904</v>
      </c>
      <c r="F581" t="s">
        <v>44</v>
      </c>
      <c r="G581">
        <v>-349.19389999999999</v>
      </c>
      <c r="H581">
        <v>0.84605959999999902</v>
      </c>
      <c r="I581">
        <v>367.93310000000002</v>
      </c>
      <c r="J581">
        <v>-349.91489999999999</v>
      </c>
      <c r="K581">
        <v>1.1196029999999999</v>
      </c>
      <c r="L581">
        <v>368.01769999999999</v>
      </c>
      <c r="M581">
        <v>0.99996240000000003</v>
      </c>
      <c r="N581">
        <v>-3.6885569999999999E-3</v>
      </c>
      <c r="O581">
        <v>7.8726170000000002E-3</v>
      </c>
      <c r="P581">
        <v>0.98549379999999998</v>
      </c>
      <c r="Q581">
        <v>0.16956070000000001</v>
      </c>
      <c r="R581">
        <v>-7.1541060000000004E-3</v>
      </c>
      <c r="S581">
        <v>3.2077939999999998</v>
      </c>
      <c r="T581">
        <v>-0.96928289999999995</v>
      </c>
      <c r="U581">
        <v>-0.29397579999999901</v>
      </c>
      <c r="V581">
        <v>1.4894799999999901E-2</v>
      </c>
      <c r="W581">
        <v>0.17319619999999999</v>
      </c>
      <c r="X581">
        <v>0.9847747</v>
      </c>
      <c r="Y581">
        <v>9.4517749999999998E-2</v>
      </c>
      <c r="Z581">
        <v>-1.641341E-2</v>
      </c>
      <c r="AA581">
        <v>0.99538789999999999</v>
      </c>
      <c r="AB581">
        <v>34</v>
      </c>
      <c r="AC581">
        <v>0.72100000000000297</v>
      </c>
      <c r="AD581">
        <v>-0.27354339999999999</v>
      </c>
      <c r="AE581">
        <v>-8.4599999999966202E-2</v>
      </c>
      <c r="AF581">
        <v>7.9049680108662507E-2</v>
      </c>
      <c r="AG581">
        <v>-0.27354339999999999</v>
      </c>
      <c r="AH581">
        <v>0.63075385352925994</v>
      </c>
      <c r="AI581">
        <v>113.28272984399101</v>
      </c>
      <c r="AJ581">
        <v>82.856609185669996</v>
      </c>
      <c r="AK581">
        <v>0.692044266901225</v>
      </c>
      <c r="AL581">
        <v>80.026294785838502</v>
      </c>
      <c r="AM581">
        <v>89.133462600119799</v>
      </c>
      <c r="AN581">
        <v>0.99999999426078401</v>
      </c>
    </row>
    <row r="582" spans="1:40" x14ac:dyDescent="0.25">
      <c r="A582" t="str">
        <f>"20190303162754249"</f>
        <v>20190303162754249</v>
      </c>
      <c r="B582" t="str">
        <f>"1551601674241883"</f>
        <v>1551601674241883</v>
      </c>
      <c r="C582" t="s">
        <v>40</v>
      </c>
      <c r="D582">
        <v>4.7792859999999999</v>
      </c>
      <c r="E582">
        <v>0.53652919999999904</v>
      </c>
      <c r="F582" t="s">
        <v>44</v>
      </c>
      <c r="G582">
        <v>-349.17450000000002</v>
      </c>
      <c r="H582">
        <v>0.89654179999999895</v>
      </c>
      <c r="I582">
        <v>367.94959999999998</v>
      </c>
      <c r="J582">
        <v>-349.73360000000002</v>
      </c>
      <c r="K582">
        <v>1.1196109999999999</v>
      </c>
      <c r="L582">
        <v>368.01909999999998</v>
      </c>
      <c r="M582">
        <v>0.99996300000000005</v>
      </c>
      <c r="N582">
        <v>-3.3911639999999999E-3</v>
      </c>
      <c r="O582">
        <v>7.9062239999999999E-3</v>
      </c>
      <c r="P582">
        <v>0.98540220000000001</v>
      </c>
      <c r="Q582">
        <v>0.17011309999999999</v>
      </c>
      <c r="R582">
        <v>-6.6314159999999898E-3</v>
      </c>
      <c r="S582">
        <v>3.2083439999999999</v>
      </c>
      <c r="T582">
        <v>-0.96660959999999996</v>
      </c>
      <c r="U582">
        <v>-0.29446409999999901</v>
      </c>
      <c r="V582">
        <v>1.4403269999999999E-2</v>
      </c>
      <c r="W582">
        <v>0.173455</v>
      </c>
      <c r="X582">
        <v>0.98473639999999996</v>
      </c>
      <c r="Y582">
        <v>9.4705919999999999E-2</v>
      </c>
      <c r="Z582">
        <v>-1.6393339999999999E-2</v>
      </c>
      <c r="AA582">
        <v>0.99537030000000004</v>
      </c>
      <c r="AB582">
        <v>34</v>
      </c>
      <c r="AC582">
        <v>0.55910000000000004</v>
      </c>
      <c r="AD582">
        <v>-0.2230692</v>
      </c>
      <c r="AE582">
        <v>-6.9500000000005002E-2</v>
      </c>
      <c r="AF582">
        <v>6.3900978909506204E-2</v>
      </c>
      <c r="AG582">
        <v>-0.2230692</v>
      </c>
      <c r="AH582">
        <v>0.48284180178824598</v>
      </c>
      <c r="AI582">
        <v>114.60772486926101</v>
      </c>
      <c r="AJ582">
        <v>82.461085914901204</v>
      </c>
      <c r="AK582">
        <v>0.53570459084121402</v>
      </c>
      <c r="AL582">
        <v>80.011238154047206</v>
      </c>
      <c r="AM582">
        <v>89.162021694354195</v>
      </c>
      <c r="AN582">
        <v>0.99999993434832402</v>
      </c>
    </row>
    <row r="583" spans="1:40" x14ac:dyDescent="0.25">
      <c r="A583" t="str">
        <f>"20190303162754260"</f>
        <v>20190303162754260</v>
      </c>
      <c r="B583" t="str">
        <f>"1551601674252620"</f>
        <v>1551601674252620</v>
      </c>
      <c r="C583" t="s">
        <v>40</v>
      </c>
      <c r="D583">
        <v>4.8196240000000001</v>
      </c>
      <c r="E583">
        <v>0.53652919999999904</v>
      </c>
      <c r="F583" t="s">
        <v>44</v>
      </c>
      <c r="G583">
        <v>-348.8777</v>
      </c>
      <c r="H583">
        <v>0.8621453</v>
      </c>
      <c r="I583">
        <v>367.9409</v>
      </c>
      <c r="J583">
        <v>-349.5609</v>
      </c>
      <c r="K583">
        <v>1.1196429999999999</v>
      </c>
      <c r="L583">
        <v>368.02050000000003</v>
      </c>
      <c r="M583">
        <v>0.99996350000000001</v>
      </c>
      <c r="N583">
        <v>-3.194236E-3</v>
      </c>
      <c r="O583">
        <v>7.9376050000000004E-3</v>
      </c>
      <c r="P583">
        <v>0.98536749999999995</v>
      </c>
      <c r="Q583">
        <v>0.170320899999999</v>
      </c>
      <c r="R583">
        <v>-6.491068E-3</v>
      </c>
      <c r="S583">
        <v>3.209076</v>
      </c>
      <c r="T583">
        <v>-0.96531679999999997</v>
      </c>
      <c r="U583">
        <v>-0.2928772</v>
      </c>
      <c r="V583">
        <v>1.429213E-2</v>
      </c>
      <c r="W583">
        <v>0.17346909999999999</v>
      </c>
      <c r="X583">
        <v>0.98473560000000004</v>
      </c>
      <c r="Y583">
        <v>9.426271E-2</v>
      </c>
      <c r="Z583">
        <v>-1.6304590000000001E-2</v>
      </c>
      <c r="AA583">
        <v>0.99541380000000002</v>
      </c>
      <c r="AB583">
        <v>35</v>
      </c>
      <c r="AC583">
        <v>0.68319999999999903</v>
      </c>
      <c r="AD583">
        <v>-0.257497699999999</v>
      </c>
      <c r="AE583">
        <v>-7.9600000000027593E-2</v>
      </c>
      <c r="AF583">
        <v>7.4569521518934298E-2</v>
      </c>
      <c r="AG583">
        <v>-0.257497699999999</v>
      </c>
      <c r="AH583">
        <v>0.598645993336964</v>
      </c>
      <c r="AI583">
        <v>113.11447833356</v>
      </c>
      <c r="AJ583">
        <v>82.899602152256904</v>
      </c>
      <c r="AK583">
        <v>0.65592888668151605</v>
      </c>
      <c r="AL583">
        <v>80.010418488183504</v>
      </c>
      <c r="AM583">
        <v>89.168486202299206</v>
      </c>
      <c r="AN583">
        <v>0.99999999777105297</v>
      </c>
    </row>
    <row r="584" spans="1:40" x14ac:dyDescent="0.25">
      <c r="A584" t="str">
        <f>"20190303162754272"</f>
        <v>20190303162754272</v>
      </c>
      <c r="B584" t="str">
        <f>"1551601674262378"</f>
        <v>1551601674262378</v>
      </c>
      <c r="C584" t="s">
        <v>40</v>
      </c>
      <c r="D584">
        <v>4.75413</v>
      </c>
      <c r="E584">
        <v>0.52431649999999996</v>
      </c>
      <c r="F584" t="s">
        <v>44</v>
      </c>
      <c r="G584">
        <v>-348.85950000000003</v>
      </c>
      <c r="H584">
        <v>0.90886089999999997</v>
      </c>
      <c r="I584">
        <v>367.9563</v>
      </c>
      <c r="J584">
        <v>-349.39080000000001</v>
      </c>
      <c r="K584">
        <v>1.119702</v>
      </c>
      <c r="L584">
        <v>368.02190000000002</v>
      </c>
      <c r="M584">
        <v>0.9999633</v>
      </c>
      <c r="N584">
        <v>-3.144184E-3</v>
      </c>
      <c r="O584">
        <v>7.9692830000000006E-3</v>
      </c>
      <c r="P584">
        <v>0.98532520000000001</v>
      </c>
      <c r="Q584">
        <v>0.17058760000000001</v>
      </c>
      <c r="R584">
        <v>-5.8898409999999998E-3</v>
      </c>
      <c r="S584">
        <v>3.20932</v>
      </c>
      <c r="T584">
        <v>-0.96442030000000001</v>
      </c>
      <c r="U584">
        <v>-0.29324339999999999</v>
      </c>
      <c r="V584">
        <v>1.372045E-2</v>
      </c>
      <c r="W584">
        <v>0.17368599999999901</v>
      </c>
      <c r="X584">
        <v>0.98470550000000001</v>
      </c>
      <c r="Y584">
        <v>9.4402020000000003E-2</v>
      </c>
      <c r="Z584">
        <v>-1.6316779999999999E-2</v>
      </c>
      <c r="AA584">
        <v>0.99540039999999996</v>
      </c>
      <c r="AB584">
        <v>35</v>
      </c>
      <c r="AC584">
        <v>0.531299999999987</v>
      </c>
      <c r="AD584">
        <v>-0.210841099999999</v>
      </c>
      <c r="AE584">
        <v>-6.5600000000017603E-2</v>
      </c>
      <c r="AF584">
        <v>6.0454485394221998E-2</v>
      </c>
      <c r="AG584">
        <v>-0.210841099999999</v>
      </c>
      <c r="AH584">
        <v>0.45948612489596402</v>
      </c>
      <c r="AI584">
        <v>114.46278452353999</v>
      </c>
      <c r="AJ584">
        <v>82.504659037686196</v>
      </c>
      <c r="AK584">
        <v>0.50915244595837805</v>
      </c>
      <c r="AL584">
        <v>79.997799497421497</v>
      </c>
      <c r="AM584">
        <v>89.201717660559794</v>
      </c>
      <c r="AN584">
        <v>0.99999999953722596</v>
      </c>
    </row>
    <row r="585" spans="1:40" x14ac:dyDescent="0.25">
      <c r="A585" t="str">
        <f>"20190303162754283"</f>
        <v>20190303162754283</v>
      </c>
      <c r="B585" t="str">
        <f>"1551601674272139"</f>
        <v>1551601674272139</v>
      </c>
      <c r="C585" t="s">
        <v>40</v>
      </c>
      <c r="D585">
        <v>4.7359980000000004</v>
      </c>
      <c r="E585">
        <v>0.52185689999999996</v>
      </c>
      <c r="F585" t="s">
        <v>44</v>
      </c>
      <c r="G585">
        <v>-348.5643</v>
      </c>
      <c r="H585">
        <v>0.86999289999999996</v>
      </c>
      <c r="I585">
        <v>367.97199999999998</v>
      </c>
      <c r="J585">
        <v>-349.20870000000002</v>
      </c>
      <c r="K585">
        <v>1.1197790000000001</v>
      </c>
      <c r="L585">
        <v>368.02339999999998</v>
      </c>
      <c r="M585">
        <v>0.99996309999999999</v>
      </c>
      <c r="N585">
        <v>-3.1369980000000002E-3</v>
      </c>
      <c r="O585">
        <v>8.0032190000000007E-3</v>
      </c>
      <c r="P585">
        <v>0.98532889999999995</v>
      </c>
      <c r="Q585">
        <v>0.1705787</v>
      </c>
      <c r="R585">
        <v>-5.4773819999999898E-3</v>
      </c>
      <c r="S585">
        <v>3.211487</v>
      </c>
      <c r="T585">
        <v>-0.9702134</v>
      </c>
      <c r="U585">
        <v>-0.1933899</v>
      </c>
      <c r="V585">
        <v>1.334072E-2</v>
      </c>
      <c r="W585">
        <v>0.17367009999999999</v>
      </c>
      <c r="X585">
        <v>0.98471359999999997</v>
      </c>
      <c r="Y585">
        <v>6.4832020000000004E-2</v>
      </c>
      <c r="Z585">
        <v>-1.201383E-2</v>
      </c>
      <c r="AA585">
        <v>0.99782389999999999</v>
      </c>
      <c r="AB585">
        <v>35</v>
      </c>
      <c r="AC585">
        <v>0.64440000000001796</v>
      </c>
      <c r="AD585">
        <v>-0.24978610000000001</v>
      </c>
      <c r="AE585">
        <v>-5.1400000000000903E-2</v>
      </c>
      <c r="AF585">
        <v>4.9208615825198199E-2</v>
      </c>
      <c r="AG585">
        <v>-0.24978610000000001</v>
      </c>
      <c r="AH585">
        <v>0.56031133593249005</v>
      </c>
      <c r="AI585">
        <v>113.945500639323</v>
      </c>
      <c r="AJ585">
        <v>84.980950078557399</v>
      </c>
      <c r="AK585">
        <v>0.61543754906496695</v>
      </c>
      <c r="AL585">
        <v>79.998725333910301</v>
      </c>
      <c r="AM585">
        <v>89.223814729490698</v>
      </c>
      <c r="AN585">
        <v>1.00000007623454</v>
      </c>
    </row>
    <row r="586" spans="1:40" x14ac:dyDescent="0.25">
      <c r="A586" t="str">
        <f>"20190303162754295"</f>
        <v>20190303162754295</v>
      </c>
      <c r="B586" t="str">
        <f>"1551601674292635"</f>
        <v>1551601674292635</v>
      </c>
      <c r="C586" t="s">
        <v>40</v>
      </c>
      <c r="D586">
        <v>4.8466589999999998</v>
      </c>
      <c r="E586">
        <v>0.52001989999999998</v>
      </c>
      <c r="F586" t="s">
        <v>44</v>
      </c>
      <c r="G586">
        <v>-348.26519999999999</v>
      </c>
      <c r="H586">
        <v>0.8380301</v>
      </c>
      <c r="I586">
        <v>367.97239999999999</v>
      </c>
      <c r="J586">
        <v>-349.01920000000001</v>
      </c>
      <c r="K586">
        <v>1.1198709999999901</v>
      </c>
      <c r="L586">
        <v>368.0249</v>
      </c>
      <c r="M586">
        <v>0.99996240000000003</v>
      </c>
      <c r="N586">
        <v>-3.255455E-3</v>
      </c>
      <c r="O586">
        <v>8.0401769999999904E-3</v>
      </c>
      <c r="P586">
        <v>0.98533669999999995</v>
      </c>
      <c r="Q586">
        <v>0.1705422</v>
      </c>
      <c r="R586">
        <v>-5.2052749999999997E-3</v>
      </c>
      <c r="S586">
        <v>3.209625</v>
      </c>
      <c r="T586">
        <v>-0.95846799999999999</v>
      </c>
      <c r="U586">
        <v>-0.17294309999999999</v>
      </c>
      <c r="V586">
        <v>1.3104060000000001E-2</v>
      </c>
      <c r="W586">
        <v>0.1737503</v>
      </c>
      <c r="X586">
        <v>0.98470250000000004</v>
      </c>
      <c r="Y586">
        <v>5.8896909999999997E-2</v>
      </c>
      <c r="Z586">
        <v>-1.102099E-2</v>
      </c>
      <c r="AA586">
        <v>0.99820319999999996</v>
      </c>
      <c r="AB586">
        <v>35</v>
      </c>
      <c r="AC586">
        <v>0.75400000000001899</v>
      </c>
      <c r="AD586">
        <v>-0.28184089999999901</v>
      </c>
      <c r="AE586">
        <v>-5.2500000000008998E-2</v>
      </c>
      <c r="AF586">
        <v>5.1411903509739398E-2</v>
      </c>
      <c r="AG586">
        <v>-0.28184089999999901</v>
      </c>
      <c r="AH586">
        <v>0.66156429156569496</v>
      </c>
      <c r="AI586">
        <v>113.01293640801499</v>
      </c>
      <c r="AJ586">
        <v>85.556325201541</v>
      </c>
      <c r="AK586">
        <v>0.72093327611515001</v>
      </c>
      <c r="AL586">
        <v>79.994057980723497</v>
      </c>
      <c r="AM586">
        <v>89.237573768463193</v>
      </c>
      <c r="AN586">
        <v>0.99999994832241001</v>
      </c>
    </row>
    <row r="587" spans="1:40" x14ac:dyDescent="0.25">
      <c r="A587" t="str">
        <f>"20190303162754313"</f>
        <v>20190303162754313</v>
      </c>
      <c r="B587" t="str">
        <f>"1551601674302396"</f>
        <v>1551601674302396</v>
      </c>
      <c r="C587" t="s">
        <v>40</v>
      </c>
      <c r="D587">
        <v>4.8070219999999999</v>
      </c>
      <c r="E587">
        <v>0.51964089999999996</v>
      </c>
      <c r="F587" t="s">
        <v>44</v>
      </c>
      <c r="G587">
        <v>-348.245</v>
      </c>
      <c r="H587">
        <v>0.88958740000000003</v>
      </c>
      <c r="I587">
        <v>367.98680000000002</v>
      </c>
      <c r="J587">
        <v>-348.75259999999997</v>
      </c>
      <c r="K587">
        <v>1.119998</v>
      </c>
      <c r="L587">
        <v>368.02710000000002</v>
      </c>
      <c r="M587">
        <v>0.9999614</v>
      </c>
      <c r="N587">
        <v>-3.467014E-3</v>
      </c>
      <c r="O587">
        <v>8.0939029999999995E-3</v>
      </c>
      <c r="P587">
        <v>0.98527290000000001</v>
      </c>
      <c r="Q587">
        <v>0.17092869999999999</v>
      </c>
      <c r="R587">
        <v>-4.6073379999999999E-3</v>
      </c>
      <c r="S587">
        <v>3.2090450000000001</v>
      </c>
      <c r="T587">
        <v>-0.95448670000000002</v>
      </c>
      <c r="U587">
        <v>-0.15756229999999999</v>
      </c>
      <c r="V587">
        <v>1.255739E-2</v>
      </c>
      <c r="W587">
        <v>0.17434530000000001</v>
      </c>
      <c r="X587">
        <v>0.98460449999999999</v>
      </c>
      <c r="Y587">
        <v>5.4402619999999999E-2</v>
      </c>
      <c r="Z587">
        <v>-1.033884E-2</v>
      </c>
      <c r="AA587">
        <v>0.99846550000000001</v>
      </c>
      <c r="AB587">
        <v>35</v>
      </c>
      <c r="AC587">
        <v>0.50759999999996797</v>
      </c>
      <c r="AD587">
        <v>-0.23041059999999999</v>
      </c>
      <c r="AE587">
        <v>-4.0300000000002001E-2</v>
      </c>
      <c r="AF587">
        <v>3.68599416662704E-2</v>
      </c>
      <c r="AG587">
        <v>-0.23041059999999999</v>
      </c>
      <c r="AH587">
        <v>0.42104621153365002</v>
      </c>
      <c r="AI587">
        <v>118.596944692191</v>
      </c>
      <c r="AJ587">
        <v>84.996870821556698</v>
      </c>
      <c r="AK587">
        <v>0.48138094284967298</v>
      </c>
      <c r="AL587">
        <v>79.959439090271303</v>
      </c>
      <c r="AM587">
        <v>89.269304129209502</v>
      </c>
      <c r="AN587">
        <v>0.999999996547976</v>
      </c>
    </row>
    <row r="588" spans="1:40" x14ac:dyDescent="0.25">
      <c r="A588" t="str">
        <f>"20190303162754325"</f>
        <v>20190303162754325</v>
      </c>
      <c r="B588" t="str">
        <f>"1551601674321915"</f>
        <v>1551601674321915</v>
      </c>
      <c r="C588" t="s">
        <v>40</v>
      </c>
      <c r="D588">
        <v>4.8330609999999998</v>
      </c>
      <c r="E588">
        <v>0.51953149999999904</v>
      </c>
      <c r="F588" t="s">
        <v>44</v>
      </c>
      <c r="G588">
        <v>-347.93810000000002</v>
      </c>
      <c r="H588">
        <v>0.8770753</v>
      </c>
      <c r="I588">
        <v>367.98880000000003</v>
      </c>
      <c r="J588">
        <v>-348.55309999999997</v>
      </c>
      <c r="K588">
        <v>1.1200840000000001</v>
      </c>
      <c r="L588">
        <v>368.02879999999999</v>
      </c>
      <c r="M588">
        <v>0.99996019999999997</v>
      </c>
      <c r="N588">
        <v>-3.6561950000000001E-3</v>
      </c>
      <c r="O588">
        <v>8.1358990000000003E-3</v>
      </c>
      <c r="P588">
        <v>0.98524069999999997</v>
      </c>
      <c r="Q588">
        <v>0.17111409999999999</v>
      </c>
      <c r="R588">
        <v>-4.5912419999999997E-3</v>
      </c>
      <c r="S588">
        <v>3.2102360000000001</v>
      </c>
      <c r="T588">
        <v>-0.95751750000000002</v>
      </c>
      <c r="U588">
        <v>-0.15063480000000001</v>
      </c>
      <c r="V588">
        <v>1.2582080000000001E-2</v>
      </c>
      <c r="W588">
        <v>0.1747167</v>
      </c>
      <c r="X588">
        <v>0.98453840000000004</v>
      </c>
      <c r="Y588">
        <v>5.2348859999999997E-2</v>
      </c>
      <c r="Z588">
        <v>-1.0079360000000001E-2</v>
      </c>
      <c r="AA588">
        <v>0.99857799999999997</v>
      </c>
      <c r="AB588">
        <v>35</v>
      </c>
      <c r="AC588">
        <v>0.61499999999995203</v>
      </c>
      <c r="AD588">
        <v>-0.24300869999999999</v>
      </c>
      <c r="AE588">
        <v>-3.9999999999963599E-2</v>
      </c>
      <c r="AF588">
        <v>3.8947007981924901E-2</v>
      </c>
      <c r="AG588">
        <v>-0.24300869999999999</v>
      </c>
      <c r="AH588">
        <v>0.53194945456917497</v>
      </c>
      <c r="AI588">
        <v>114.494349489333</v>
      </c>
      <c r="AJ588">
        <v>85.812525792538395</v>
      </c>
      <c r="AK588">
        <v>0.586123126930576</v>
      </c>
      <c r="AL588">
        <v>79.937828257994397</v>
      </c>
      <c r="AM588">
        <v>89.267818462415093</v>
      </c>
      <c r="AN588">
        <v>1.0000000475352799</v>
      </c>
    </row>
    <row r="589" spans="1:40" x14ac:dyDescent="0.25">
      <c r="A589" t="str">
        <f>"20190303162754340"</f>
        <v>20190303162754340</v>
      </c>
      <c r="B589" t="str">
        <f>"1551601674332651"</f>
        <v>1551601674332651</v>
      </c>
      <c r="C589" t="s">
        <v>40</v>
      </c>
      <c r="D589">
        <v>4.8662510000000001</v>
      </c>
      <c r="E589">
        <v>0.51951369999999997</v>
      </c>
      <c r="F589" t="s">
        <v>44</v>
      </c>
      <c r="G589">
        <v>-347.63749999999999</v>
      </c>
      <c r="H589">
        <v>0.84635039999999995</v>
      </c>
      <c r="I589">
        <v>367.98590000000002</v>
      </c>
      <c r="J589">
        <v>-348.31880000000001</v>
      </c>
      <c r="K589">
        <v>1.1201719999999999</v>
      </c>
      <c r="L589">
        <v>368.03070000000002</v>
      </c>
      <c r="M589">
        <v>0.99995889999999998</v>
      </c>
      <c r="N589">
        <v>-3.900864E-3</v>
      </c>
      <c r="O589">
        <v>8.1873080000000008E-3</v>
      </c>
      <c r="P589">
        <v>0.98530240000000002</v>
      </c>
      <c r="Q589">
        <v>0.17075270000000001</v>
      </c>
      <c r="R589">
        <v>-4.7668379999999998E-3</v>
      </c>
      <c r="S589">
        <v>3.2109380000000001</v>
      </c>
      <c r="T589">
        <v>-0.95986369999999999</v>
      </c>
      <c r="U589">
        <v>-0.1493835</v>
      </c>
      <c r="V589">
        <v>1.280888E-2</v>
      </c>
      <c r="W589">
        <v>0.17459649999999999</v>
      </c>
      <c r="X589">
        <v>0.98455669999999995</v>
      </c>
      <c r="Y589">
        <v>5.2001890000000002E-2</v>
      </c>
      <c r="Z589">
        <v>-1.0068880000000001E-2</v>
      </c>
      <c r="AA589">
        <v>0.99859629999999999</v>
      </c>
      <c r="AB589">
        <v>35</v>
      </c>
      <c r="AC589">
        <v>0.681300000000021</v>
      </c>
      <c r="AD589">
        <v>-0.273821599999999</v>
      </c>
      <c r="AE589">
        <v>-4.4800000000009201E-2</v>
      </c>
      <c r="AF589">
        <v>4.3396766398505003E-2</v>
      </c>
      <c r="AG589">
        <v>-0.273821599999999</v>
      </c>
      <c r="AH589">
        <v>0.58656867406172997</v>
      </c>
      <c r="AI589">
        <v>114.964189105668</v>
      </c>
      <c r="AJ589">
        <v>85.768731173191696</v>
      </c>
      <c r="AK589">
        <v>0.64878683506290602</v>
      </c>
      <c r="AL589">
        <v>79.944821732167199</v>
      </c>
      <c r="AM589">
        <v>89.254635752885505</v>
      </c>
      <c r="AN589">
        <v>0.99999995036699496</v>
      </c>
    </row>
    <row r="590" spans="1:40" x14ac:dyDescent="0.25">
      <c r="A590" t="str">
        <f>"20190303162754353"</f>
        <v>20190303162754353</v>
      </c>
      <c r="B590" t="str">
        <f>"1551601674342412"</f>
        <v>1551601674342412</v>
      </c>
      <c r="C590" t="s">
        <v>40</v>
      </c>
      <c r="D590">
        <v>4.8671819999999997</v>
      </c>
      <c r="E590">
        <v>0.51946809999999999</v>
      </c>
      <c r="F590" t="s">
        <v>44</v>
      </c>
      <c r="G590">
        <v>-347.6121</v>
      </c>
      <c r="H590">
        <v>0.90839519999999996</v>
      </c>
      <c r="I590">
        <v>367.99740000000003</v>
      </c>
      <c r="J590">
        <v>-348.11860000000001</v>
      </c>
      <c r="K590">
        <v>1.1202289999999999</v>
      </c>
      <c r="L590">
        <v>368.0324</v>
      </c>
      <c r="M590">
        <v>0.99995780000000001</v>
      </c>
      <c r="N590">
        <v>-4.1169880000000002E-3</v>
      </c>
      <c r="O590">
        <v>8.2320669999999992E-3</v>
      </c>
      <c r="P590">
        <v>0.98535079999999997</v>
      </c>
      <c r="Q590">
        <v>0.1704705</v>
      </c>
      <c r="R590">
        <v>-4.9095359999999999E-3</v>
      </c>
      <c r="S590">
        <v>3.2107239999999999</v>
      </c>
      <c r="T590">
        <v>-0.96216389999999996</v>
      </c>
      <c r="U590">
        <v>-0.14990229999999999</v>
      </c>
      <c r="V590">
        <v>1.299589E-2</v>
      </c>
      <c r="W590">
        <v>0.1745275</v>
      </c>
      <c r="X590">
        <v>0.98456659999999996</v>
      </c>
      <c r="Y590">
        <v>5.2186610000000001E-2</v>
      </c>
      <c r="Z590">
        <v>-1.0136859999999999E-2</v>
      </c>
      <c r="AA590">
        <v>0.99858590000000003</v>
      </c>
      <c r="AB590">
        <v>35</v>
      </c>
      <c r="AC590">
        <v>0.50650000000001605</v>
      </c>
      <c r="AD590">
        <v>-0.21183379999999999</v>
      </c>
      <c r="AE590">
        <v>-3.4999999999968098E-2</v>
      </c>
      <c r="AF590">
        <v>3.3360763154722202E-2</v>
      </c>
      <c r="AG590">
        <v>-0.21183379999999999</v>
      </c>
      <c r="AH590">
        <v>0.43113953986285802</v>
      </c>
      <c r="AI590">
        <v>116.098862729313</v>
      </c>
      <c r="AJ590">
        <v>85.575377380701596</v>
      </c>
      <c r="AK590">
        <v>0.481526533198185</v>
      </c>
      <c r="AL590">
        <v>79.948837958080105</v>
      </c>
      <c r="AM590">
        <v>89.243762272458</v>
      </c>
      <c r="AN590">
        <v>1.00000006562434</v>
      </c>
    </row>
    <row r="591" spans="1:40" x14ac:dyDescent="0.25">
      <c r="A591" t="str">
        <f>"20190303162754370"</f>
        <v>20190303162754370</v>
      </c>
      <c r="B591" t="str">
        <f>"1551601674361931"</f>
        <v>1551601674361931</v>
      </c>
      <c r="C591" t="s">
        <v>40</v>
      </c>
      <c r="D591">
        <v>4.8951079999999996</v>
      </c>
      <c r="E591">
        <v>0.51936499999999997</v>
      </c>
      <c r="F591" t="s">
        <v>44</v>
      </c>
      <c r="G591">
        <v>-347.31189999999998</v>
      </c>
      <c r="H591">
        <v>0.87757680000000005</v>
      </c>
      <c r="I591">
        <v>367.99459999999999</v>
      </c>
      <c r="J591">
        <v>-347.84679999999997</v>
      </c>
      <c r="K591">
        <v>1.120296</v>
      </c>
      <c r="L591">
        <v>368.03469999999999</v>
      </c>
      <c r="M591">
        <v>0.99995599999999996</v>
      </c>
      <c r="N591">
        <v>-4.413518E-3</v>
      </c>
      <c r="O591">
        <v>8.2937369999999903E-3</v>
      </c>
      <c r="P591">
        <v>0.98539299999999996</v>
      </c>
      <c r="Q591">
        <v>0.17021539999999999</v>
      </c>
      <c r="R591">
        <v>-5.2615960000000003E-3</v>
      </c>
      <c r="S591">
        <v>3.2109380000000001</v>
      </c>
      <c r="T591">
        <v>-0.96596599999999999</v>
      </c>
      <c r="U591">
        <v>-0.15048220000000001</v>
      </c>
      <c r="V591">
        <v>1.3409010000000001E-2</v>
      </c>
      <c r="W591">
        <v>0.17456450000000001</v>
      </c>
      <c r="X591">
        <v>0.98455440000000005</v>
      </c>
      <c r="Y591">
        <v>5.2391279999999998E-2</v>
      </c>
      <c r="Z591">
        <v>-1.022824E-2</v>
      </c>
      <c r="AA591">
        <v>0.99857430000000003</v>
      </c>
      <c r="AB591">
        <v>35</v>
      </c>
      <c r="AC591">
        <v>0.53489999999999305</v>
      </c>
      <c r="AD591">
        <v>-0.242719199999999</v>
      </c>
      <c r="AE591">
        <v>-4.0099999999995299E-2</v>
      </c>
      <c r="AF591">
        <v>3.6966086270918297E-2</v>
      </c>
      <c r="AG591">
        <v>-0.242719199999999</v>
      </c>
      <c r="AH591">
        <v>0.44370029424111801</v>
      </c>
      <c r="AI591">
        <v>118.596808474144</v>
      </c>
      <c r="AJ591">
        <v>85.237504562542199</v>
      </c>
      <c r="AK591">
        <v>0.50709866169462903</v>
      </c>
      <c r="AL591">
        <v>79.946683955753898</v>
      </c>
      <c r="AM591">
        <v>89.219715859566804</v>
      </c>
      <c r="AN591">
        <v>0.99999996638439403</v>
      </c>
    </row>
    <row r="592" spans="1:40" x14ac:dyDescent="0.25">
      <c r="A592" t="str">
        <f>"20190303162754393"</f>
        <v>20190303162754393</v>
      </c>
      <c r="B592" t="str">
        <f>"1551601674382426"</f>
        <v>1551601674382426</v>
      </c>
      <c r="C592" t="s">
        <v>40</v>
      </c>
      <c r="D592">
        <v>4.9101759999999999</v>
      </c>
      <c r="E592">
        <v>0.51937979999999995</v>
      </c>
      <c r="F592" t="s">
        <v>44</v>
      </c>
      <c r="G592">
        <v>-347.00279999999998</v>
      </c>
      <c r="H592">
        <v>0.86542929999999996</v>
      </c>
      <c r="I592">
        <v>367.99470000000002</v>
      </c>
      <c r="J592">
        <v>-347.49340000000001</v>
      </c>
      <c r="K592">
        <v>1.1203639999999999</v>
      </c>
      <c r="L592">
        <v>368.03769999999997</v>
      </c>
      <c r="M592">
        <v>0.99995350000000005</v>
      </c>
      <c r="N592">
        <v>-4.795578E-3</v>
      </c>
      <c r="O592">
        <v>8.3747749999999992E-3</v>
      </c>
      <c r="P592">
        <v>0.98553570000000001</v>
      </c>
      <c r="Q592">
        <v>0.169377799999999</v>
      </c>
      <c r="R592">
        <v>-5.5278590000000004E-3</v>
      </c>
      <c r="S592">
        <v>3.2112120000000002</v>
      </c>
      <c r="T592">
        <v>-0.9697095</v>
      </c>
      <c r="U592">
        <v>-0.151001</v>
      </c>
      <c r="V592">
        <v>1.375651E-2</v>
      </c>
      <c r="W592">
        <v>0.17410349999999999</v>
      </c>
      <c r="X592">
        <v>0.98463129999999999</v>
      </c>
      <c r="Y592">
        <v>5.2594340000000003E-2</v>
      </c>
      <c r="Z592">
        <v>-1.0326200000000001E-2</v>
      </c>
      <c r="AA592">
        <v>0.99856259999999997</v>
      </c>
      <c r="AB592">
        <v>35</v>
      </c>
      <c r="AC592">
        <v>0.49060000000002801</v>
      </c>
      <c r="AD592">
        <v>-0.25493470000000001</v>
      </c>
      <c r="AE592">
        <v>-4.2999999999949502E-2</v>
      </c>
      <c r="AF592">
        <v>3.7151795493600599E-2</v>
      </c>
      <c r="AG592">
        <v>-0.25493470000000001</v>
      </c>
      <c r="AH592">
        <v>0.38662139112619298</v>
      </c>
      <c r="AI592">
        <v>123.279598103225</v>
      </c>
      <c r="AJ592">
        <v>84.511102418648804</v>
      </c>
      <c r="AK592">
        <v>0.46459450841442501</v>
      </c>
      <c r="AL592">
        <v>79.973508761435497</v>
      </c>
      <c r="AM592">
        <v>89.199559585209997</v>
      </c>
      <c r="AN592">
        <v>1.00000003360965</v>
      </c>
    </row>
    <row r="593" spans="1:40" x14ac:dyDescent="0.25">
      <c r="A593" t="str">
        <f>"20190303162754407"</f>
        <v>20190303162754407</v>
      </c>
      <c r="B593" t="str">
        <f>"1551601674401948"</f>
        <v>1551601674401948</v>
      </c>
      <c r="C593" t="s">
        <v>40</v>
      </c>
      <c r="D593">
        <v>4.9351820000000002</v>
      </c>
      <c r="E593">
        <v>0.51939299999999999</v>
      </c>
      <c r="F593" t="s">
        <v>44</v>
      </c>
      <c r="G593">
        <v>-346.68450000000001</v>
      </c>
      <c r="H593">
        <v>0.87471849999999995</v>
      </c>
      <c r="I593">
        <v>367.99930000000001</v>
      </c>
      <c r="J593">
        <v>-347.26960000000003</v>
      </c>
      <c r="K593">
        <v>1.1203989999999999</v>
      </c>
      <c r="L593">
        <v>368.03960000000001</v>
      </c>
      <c r="M593">
        <v>0.99995179999999995</v>
      </c>
      <c r="N593">
        <v>-5.0303420000000001E-3</v>
      </c>
      <c r="O593">
        <v>8.4262460000000001E-3</v>
      </c>
      <c r="P593">
        <v>0.98560449999999999</v>
      </c>
      <c r="Q593">
        <v>0.16897100000000001</v>
      </c>
      <c r="R593">
        <v>-5.7067929999999999E-3</v>
      </c>
      <c r="S593">
        <v>3.2107239999999999</v>
      </c>
      <c r="T593">
        <v>-0.97491559999999999</v>
      </c>
      <c r="U593">
        <v>-0.15237429999999999</v>
      </c>
      <c r="V593">
        <v>1.398666E-2</v>
      </c>
      <c r="W593">
        <v>0.17392829999999901</v>
      </c>
      <c r="X593">
        <v>0.98465899999999995</v>
      </c>
      <c r="Y593">
        <v>5.3026169999999997E-2</v>
      </c>
      <c r="Z593">
        <v>-1.0464849999999999E-2</v>
      </c>
      <c r="AA593">
        <v>0.99853829999999999</v>
      </c>
      <c r="AB593">
        <v>35</v>
      </c>
      <c r="AC593">
        <v>0.58510000000001094</v>
      </c>
      <c r="AD593">
        <v>-0.2456805</v>
      </c>
      <c r="AE593">
        <v>-4.0300000000002001E-2</v>
      </c>
      <c r="AF593">
        <v>3.8476926729112799E-2</v>
      </c>
      <c r="AG593">
        <v>-0.2456805</v>
      </c>
      <c r="AH593">
        <v>0.497447873312093</v>
      </c>
      <c r="AI593">
        <v>116.216146464609</v>
      </c>
      <c r="AJ593">
        <v>85.5770547218236</v>
      </c>
      <c r="AK593">
        <v>0.55614186017013001</v>
      </c>
      <c r="AL593">
        <v>79.9837023031521</v>
      </c>
      <c r="AM593">
        <v>89.186192685870196</v>
      </c>
      <c r="AN593">
        <v>1.00000001323992</v>
      </c>
    </row>
    <row r="594" spans="1:40" x14ac:dyDescent="0.25">
      <c r="A594" t="str">
        <f>"20190303162754425"</f>
        <v>20190303162754425</v>
      </c>
      <c r="B594" t="str">
        <f>"1551601674422444"</f>
        <v>1551601674422444</v>
      </c>
      <c r="C594" t="s">
        <v>40</v>
      </c>
      <c r="D594">
        <v>4.9905229999999996</v>
      </c>
      <c r="E594">
        <v>0.51936040000000006</v>
      </c>
      <c r="F594" t="s">
        <v>44</v>
      </c>
      <c r="G594">
        <v>-346.3793</v>
      </c>
      <c r="H594">
        <v>0.84904939999999995</v>
      </c>
      <c r="I594">
        <v>367.99669999999998</v>
      </c>
      <c r="J594">
        <v>-346.99200000000002</v>
      </c>
      <c r="K594">
        <v>1.1204240000000001</v>
      </c>
      <c r="L594">
        <v>368.0421</v>
      </c>
      <c r="M594">
        <v>0.99995000000000001</v>
      </c>
      <c r="N594">
        <v>-5.3089340000000004E-3</v>
      </c>
      <c r="O594">
        <v>8.4893799999999995E-3</v>
      </c>
      <c r="P594">
        <v>0.98563900000000004</v>
      </c>
      <c r="Q594">
        <v>0.16878750000000001</v>
      </c>
      <c r="R594">
        <v>-5.1979249999999999E-3</v>
      </c>
      <c r="S594">
        <v>3.210693</v>
      </c>
      <c r="T594">
        <v>-0.97846979999999995</v>
      </c>
      <c r="U594">
        <v>-0.15359500000000001</v>
      </c>
      <c r="V594">
        <v>1.353978E-2</v>
      </c>
      <c r="W594">
        <v>0.17401939999999999</v>
      </c>
      <c r="X594">
        <v>0.98464910000000005</v>
      </c>
      <c r="Y594">
        <v>5.3425760000000003E-2</v>
      </c>
      <c r="Z594">
        <v>-1.058539E-2</v>
      </c>
      <c r="AA594">
        <v>0.99851570000000001</v>
      </c>
      <c r="AB594">
        <v>35</v>
      </c>
      <c r="AC594">
        <v>0.61269999999996105</v>
      </c>
      <c r="AD594">
        <v>-0.27137459999999902</v>
      </c>
      <c r="AE594">
        <v>-4.5400000000029202E-2</v>
      </c>
      <c r="AF594">
        <v>4.2339335242339599E-2</v>
      </c>
      <c r="AG594">
        <v>-0.27137459999999902</v>
      </c>
      <c r="AH594">
        <v>0.51233436635874496</v>
      </c>
      <c r="AI594">
        <v>117.828816541766</v>
      </c>
      <c r="AJ594">
        <v>85.275809096976303</v>
      </c>
      <c r="AK594">
        <v>0.58131170277755495</v>
      </c>
      <c r="AL594">
        <v>79.978401325039997</v>
      </c>
      <c r="AM594">
        <v>89.212182939999195</v>
      </c>
      <c r="AN594">
        <v>0.99999996367480803</v>
      </c>
    </row>
    <row r="595" spans="1:40" x14ac:dyDescent="0.25">
      <c r="A595" t="str">
        <f>"20190303162754438"</f>
        <v>20190303162754438</v>
      </c>
      <c r="B595" t="str">
        <f>"1551601674432203"</f>
        <v>1551601674432203</v>
      </c>
      <c r="C595" t="s">
        <v>40</v>
      </c>
      <c r="D595">
        <v>4.987349</v>
      </c>
      <c r="E595">
        <v>0.51932100000000003</v>
      </c>
      <c r="F595" t="s">
        <v>44</v>
      </c>
      <c r="G595">
        <v>-346.06779999999998</v>
      </c>
      <c r="H595">
        <v>0.83784319999999901</v>
      </c>
      <c r="I595">
        <v>367.99810000000002</v>
      </c>
      <c r="J595">
        <v>-346.78339999999997</v>
      </c>
      <c r="K595">
        <v>1.1204400000000001</v>
      </c>
      <c r="L595">
        <v>368.04379999999998</v>
      </c>
      <c r="M595">
        <v>0.99994859999999997</v>
      </c>
      <c r="N595">
        <v>-5.505261E-3</v>
      </c>
      <c r="O595">
        <v>8.5363669999999996E-3</v>
      </c>
      <c r="P595">
        <v>0.9856914</v>
      </c>
      <c r="Q595">
        <v>0.1684842</v>
      </c>
      <c r="R595">
        <v>-5.0598429999999996E-3</v>
      </c>
      <c r="S595">
        <v>3.2110289999999999</v>
      </c>
      <c r="T595">
        <v>-0.98191200000000001</v>
      </c>
      <c r="U595">
        <v>-0.15213009999999999</v>
      </c>
      <c r="V595">
        <v>1.344864E-2</v>
      </c>
      <c r="W595">
        <v>0.17390949999999999</v>
      </c>
      <c r="X595">
        <v>0.98466980000000004</v>
      </c>
      <c r="Y595">
        <v>5.3010359999999999E-2</v>
      </c>
      <c r="Z595">
        <v>-1.057404E-2</v>
      </c>
      <c r="AA595">
        <v>0.99853800000000004</v>
      </c>
      <c r="AB595">
        <v>35</v>
      </c>
      <c r="AC595">
        <v>0.71559999999999402</v>
      </c>
      <c r="AD595">
        <v>-0.28259679999999998</v>
      </c>
      <c r="AE595">
        <v>-4.5699999999953798E-2</v>
      </c>
      <c r="AF595">
        <v>4.4842181997666999E-2</v>
      </c>
      <c r="AG595">
        <v>-0.28259679999999998</v>
      </c>
      <c r="AH595">
        <v>0.61903548239599404</v>
      </c>
      <c r="AI595">
        <v>114.480648348367</v>
      </c>
      <c r="AJ595">
        <v>85.856799863273906</v>
      </c>
      <c r="AK595">
        <v>0.68196532252145503</v>
      </c>
      <c r="AL595">
        <v>79.984795975239294</v>
      </c>
      <c r="AM595">
        <v>89.217501740842295</v>
      </c>
      <c r="AN595">
        <v>0.99999999757006897</v>
      </c>
    </row>
    <row r="596" spans="1:40" x14ac:dyDescent="0.25">
      <c r="A596" t="str">
        <f>"20190303162754448"</f>
        <v>20190303162754448</v>
      </c>
      <c r="B596" t="str">
        <f>"1551601674441964"</f>
        <v>1551601674441964</v>
      </c>
      <c r="C596" t="s">
        <v>40</v>
      </c>
      <c r="D596">
        <v>4.9924179999999998</v>
      </c>
      <c r="E596">
        <v>0.51925399999999999</v>
      </c>
      <c r="F596" t="s">
        <v>44</v>
      </c>
      <c r="G596">
        <v>-346.0453</v>
      </c>
      <c r="H596">
        <v>0.89408339999999997</v>
      </c>
      <c r="I596">
        <v>368.00889999999998</v>
      </c>
      <c r="J596">
        <v>-346.60789999999997</v>
      </c>
      <c r="K596">
        <v>1.1204540000000001</v>
      </c>
      <c r="L596">
        <v>368.04539999999997</v>
      </c>
      <c r="M596">
        <v>0.99994720000000004</v>
      </c>
      <c r="N596">
        <v>-5.6632920000000003E-3</v>
      </c>
      <c r="O596">
        <v>8.5760490000000005E-3</v>
      </c>
      <c r="P596">
        <v>0.98571739999999997</v>
      </c>
      <c r="Q596">
        <v>0.16834189999999999</v>
      </c>
      <c r="R596">
        <v>-4.7270659999999898E-3</v>
      </c>
      <c r="S596">
        <v>3.21109</v>
      </c>
      <c r="T596">
        <v>-0.98474200000000001</v>
      </c>
      <c r="U596">
        <v>-0.1511536</v>
      </c>
      <c r="V596">
        <v>1.3154849999999999E-2</v>
      </c>
      <c r="W596">
        <v>0.1739232</v>
      </c>
      <c r="X596">
        <v>0.98467139999999997</v>
      </c>
      <c r="Y596">
        <v>5.2740160000000001E-2</v>
      </c>
      <c r="Z596">
        <v>-1.0576169999999999E-2</v>
      </c>
      <c r="AA596">
        <v>0.99855229999999995</v>
      </c>
      <c r="AB596">
        <v>35</v>
      </c>
      <c r="AC596">
        <v>0.56259999999997401</v>
      </c>
      <c r="AD596">
        <v>-0.22637060000000001</v>
      </c>
      <c r="AE596">
        <v>-3.6499999999989499E-2</v>
      </c>
      <c r="AF596">
        <v>3.5586411504372001E-2</v>
      </c>
      <c r="AG596">
        <v>-0.22637060000000001</v>
      </c>
      <c r="AH596">
        <v>0.48420344350251998</v>
      </c>
      <c r="AI596">
        <v>114.99746546377</v>
      </c>
      <c r="AJ596">
        <v>85.796618240649494</v>
      </c>
      <c r="AK596">
        <v>0.53568929047332703</v>
      </c>
      <c r="AL596">
        <v>79.9839993836639</v>
      </c>
      <c r="AM596">
        <v>89.234594861990303</v>
      </c>
      <c r="AN596">
        <v>1.0000000477773601</v>
      </c>
    </row>
    <row r="597" spans="1:40" x14ac:dyDescent="0.25">
      <c r="A597" t="str">
        <f>"20190303162754460"</f>
        <v>20190303162754460</v>
      </c>
      <c r="B597" t="str">
        <f>"1551601674451723"</f>
        <v>1551601674451723</v>
      </c>
      <c r="C597" t="s">
        <v>40</v>
      </c>
      <c r="D597">
        <v>4.9971100000000002</v>
      </c>
      <c r="E597">
        <v>0.51924910000000002</v>
      </c>
      <c r="F597" t="s">
        <v>44</v>
      </c>
      <c r="G597">
        <v>-345.74470000000002</v>
      </c>
      <c r="H597">
        <v>0.85528329999999997</v>
      </c>
      <c r="I597">
        <v>368.00490000000002</v>
      </c>
      <c r="J597">
        <v>-346.42759999999998</v>
      </c>
      <c r="K597">
        <v>1.120465</v>
      </c>
      <c r="L597">
        <v>368.04689999999999</v>
      </c>
      <c r="M597">
        <v>0.99994590000000005</v>
      </c>
      <c r="N597">
        <v>-5.8193840000000004E-3</v>
      </c>
      <c r="O597">
        <v>8.6167380000000005E-3</v>
      </c>
      <c r="P597">
        <v>0.98573180000000005</v>
      </c>
      <c r="Q597">
        <v>0.16826269999999999</v>
      </c>
      <c r="R597">
        <v>-4.5160490000000003E-3</v>
      </c>
      <c r="S597">
        <v>3.2112120000000002</v>
      </c>
      <c r="T597">
        <v>-0.98650570000000004</v>
      </c>
      <c r="U597">
        <v>-0.14935300000000001</v>
      </c>
      <c r="V597">
        <v>1.2984020000000001E-2</v>
      </c>
      <c r="W597">
        <v>0.17399729999999999</v>
      </c>
      <c r="X597">
        <v>0.98466050000000005</v>
      </c>
      <c r="Y597">
        <v>5.2231699999999999E-2</v>
      </c>
      <c r="Z597">
        <v>-1.0530930000000001E-2</v>
      </c>
      <c r="AA597">
        <v>0.99857940000000001</v>
      </c>
      <c r="AB597">
        <v>35</v>
      </c>
      <c r="AC597">
        <v>0.68289999999996098</v>
      </c>
      <c r="AD597">
        <v>-0.26518170000000002</v>
      </c>
      <c r="AE597">
        <v>-4.1999999999973101E-2</v>
      </c>
      <c r="AF597">
        <v>4.1629281442932597E-2</v>
      </c>
      <c r="AG597">
        <v>-0.26518170000000002</v>
      </c>
      <c r="AH597">
        <v>0.59337484417595499</v>
      </c>
      <c r="AI597">
        <v>114.02771430814499</v>
      </c>
      <c r="AJ597">
        <v>85.986886872716994</v>
      </c>
      <c r="AK597">
        <v>0.65126648676957399</v>
      </c>
      <c r="AL597">
        <v>79.9796872701544</v>
      </c>
      <c r="AM597">
        <v>89.244524956690199</v>
      </c>
      <c r="AN597">
        <v>0.99999997272144903</v>
      </c>
    </row>
    <row r="598" spans="1:40" x14ac:dyDescent="0.25">
      <c r="A598" t="str">
        <f>"20190303162754472"</f>
        <v>20190303162754472</v>
      </c>
      <c r="B598" t="str">
        <f>"1551601674462460"</f>
        <v>1551601674462460</v>
      </c>
      <c r="C598" t="s">
        <v>40</v>
      </c>
      <c r="D598">
        <v>5.0281310000000001</v>
      </c>
      <c r="E598">
        <v>0.51921470000000003</v>
      </c>
      <c r="F598" t="s">
        <v>44</v>
      </c>
      <c r="G598">
        <v>-345.7244</v>
      </c>
      <c r="H598">
        <v>0.90426039999999996</v>
      </c>
      <c r="I598">
        <v>368.01389999999998</v>
      </c>
      <c r="J598">
        <v>-346.24509999999998</v>
      </c>
      <c r="K598">
        <v>1.1204700000000001</v>
      </c>
      <c r="L598">
        <v>368.04860000000002</v>
      </c>
      <c r="M598">
        <v>0.99994470000000002</v>
      </c>
      <c r="N598">
        <v>-5.9665859999999899E-3</v>
      </c>
      <c r="O598">
        <v>8.6579180000000006E-3</v>
      </c>
      <c r="P598">
        <v>0.9857321</v>
      </c>
      <c r="Q598">
        <v>0.16827320000000001</v>
      </c>
      <c r="R598">
        <v>-4.0153189999999998E-3</v>
      </c>
      <c r="S598">
        <v>3.2113040000000002</v>
      </c>
      <c r="T598">
        <v>-0.98742529999999995</v>
      </c>
      <c r="U598">
        <v>-0.14901729999999899</v>
      </c>
      <c r="V598">
        <v>1.252377E-2</v>
      </c>
      <c r="W598">
        <v>0.17415320000000001</v>
      </c>
      <c r="X598">
        <v>0.98463889999999998</v>
      </c>
      <c r="Y598">
        <v>5.2162930000000003E-2</v>
      </c>
      <c r="Z598">
        <v>-1.054426E-2</v>
      </c>
      <c r="AA598">
        <v>0.99858290000000005</v>
      </c>
      <c r="AB598">
        <v>35</v>
      </c>
      <c r="AC598">
        <v>0.52069999999997596</v>
      </c>
      <c r="AD598">
        <v>-0.2162096</v>
      </c>
      <c r="AE598">
        <v>-3.4700000000043398E-2</v>
      </c>
      <c r="AF598">
        <v>3.3462954926161199E-2</v>
      </c>
      <c r="AG598">
        <v>-0.2162096</v>
      </c>
      <c r="AH598">
        <v>0.44414193687541698</v>
      </c>
      <c r="AI598">
        <v>115.89319339734899</v>
      </c>
      <c r="AJ598">
        <v>85.691308625767306</v>
      </c>
      <c r="AK598">
        <v>0.49510445420739002</v>
      </c>
      <c r="AL598">
        <v>79.9706163656803</v>
      </c>
      <c r="AM598">
        <v>89.271285672804197</v>
      </c>
      <c r="AN598">
        <v>0.99999997263923102</v>
      </c>
    </row>
    <row r="599" spans="1:40" x14ac:dyDescent="0.25">
      <c r="A599" t="str">
        <f>"20190303162754483"</f>
        <v>20190303162754483</v>
      </c>
      <c r="B599" t="str">
        <f>"1551601674472220"</f>
        <v>1551601674472220</v>
      </c>
      <c r="C599" t="s">
        <v>40</v>
      </c>
      <c r="D599">
        <v>5.024184</v>
      </c>
      <c r="E599">
        <v>0.51918069999999905</v>
      </c>
      <c r="F599" t="s">
        <v>44</v>
      </c>
      <c r="G599">
        <v>-345.42290000000003</v>
      </c>
      <c r="H599">
        <v>0.86747479999999999</v>
      </c>
      <c r="I599">
        <v>368.01100000000002</v>
      </c>
      <c r="J599">
        <v>-346.05840000000001</v>
      </c>
      <c r="K599">
        <v>1.120474</v>
      </c>
      <c r="L599">
        <v>368.05020000000002</v>
      </c>
      <c r="M599">
        <v>0.99994360000000004</v>
      </c>
      <c r="N599">
        <v>-6.113154E-3</v>
      </c>
      <c r="O599">
        <v>8.6996269999999997E-3</v>
      </c>
      <c r="P599">
        <v>0.98575330000000005</v>
      </c>
      <c r="Q599">
        <v>0.168154</v>
      </c>
      <c r="R599">
        <v>-3.8559570000000001E-3</v>
      </c>
      <c r="S599">
        <v>3.2115480000000001</v>
      </c>
      <c r="T599">
        <v>-0.98812869999999997</v>
      </c>
      <c r="U599">
        <v>-0.1470032</v>
      </c>
      <c r="V599">
        <v>1.2405360000000001E-2</v>
      </c>
      <c r="W599">
        <v>0.17417859999999999</v>
      </c>
      <c r="X599">
        <v>0.98463590000000001</v>
      </c>
      <c r="Y599">
        <v>5.1596509999999998E-2</v>
      </c>
      <c r="Z599">
        <v>-1.047881E-2</v>
      </c>
      <c r="AA599">
        <v>0.99861310000000003</v>
      </c>
      <c r="AB599">
        <v>35</v>
      </c>
      <c r="AC599">
        <v>0.63549999999997897</v>
      </c>
      <c r="AD599">
        <v>-0.25299919999999998</v>
      </c>
      <c r="AE599">
        <v>-3.9200000000050701E-2</v>
      </c>
      <c r="AF599">
        <v>3.86281825687999E-2</v>
      </c>
      <c r="AG599">
        <v>-0.25299919999999998</v>
      </c>
      <c r="AH599">
        <v>0.54852729423130597</v>
      </c>
      <c r="AI599">
        <v>114.706881246854</v>
      </c>
      <c r="AJ599">
        <v>85.971788315544302</v>
      </c>
      <c r="AK599">
        <v>0.60529573284959404</v>
      </c>
      <c r="AL599">
        <v>79.969138403999906</v>
      </c>
      <c r="AM599">
        <v>89.278172604612806</v>
      </c>
      <c r="AN599">
        <v>0.99999996661174895</v>
      </c>
    </row>
    <row r="600" spans="1:40" x14ac:dyDescent="0.25">
      <c r="A600" t="str">
        <f>"20190303162754494"</f>
        <v>20190303162754494</v>
      </c>
      <c r="B600" t="str">
        <f>"1551601674481980"</f>
        <v>1551601674481980</v>
      </c>
      <c r="C600" t="s">
        <v>40</v>
      </c>
      <c r="D600">
        <v>5.0400539999999996</v>
      </c>
      <c r="E600">
        <v>0.51913450000000005</v>
      </c>
      <c r="F600" t="s">
        <v>44</v>
      </c>
      <c r="G600">
        <v>-345.11939999999998</v>
      </c>
      <c r="H600">
        <v>0.83107759999999997</v>
      </c>
      <c r="I600">
        <v>368.00720000000001</v>
      </c>
      <c r="J600">
        <v>-345.88920000000002</v>
      </c>
      <c r="K600">
        <v>1.120479</v>
      </c>
      <c r="L600">
        <v>368.05169999999998</v>
      </c>
      <c r="M600">
        <v>0.99994249999999996</v>
      </c>
      <c r="N600">
        <v>-6.2341339999999997E-3</v>
      </c>
      <c r="O600">
        <v>8.7375270000000001E-3</v>
      </c>
      <c r="P600">
        <v>0.98575550000000001</v>
      </c>
      <c r="Q600">
        <v>0.1681473</v>
      </c>
      <c r="R600">
        <v>-3.6208479999999999E-3</v>
      </c>
      <c r="S600">
        <v>3.2116389999999999</v>
      </c>
      <c r="T600">
        <v>-0.98983480000000001</v>
      </c>
      <c r="U600">
        <v>-0.14654539999999999</v>
      </c>
      <c r="V600">
        <v>1.220747E-2</v>
      </c>
      <c r="W600">
        <v>0.1742908</v>
      </c>
      <c r="X600">
        <v>0.98461849999999995</v>
      </c>
      <c r="Y600">
        <v>5.1484620000000002E-2</v>
      </c>
      <c r="Z600">
        <v>-1.0491830000000001E-2</v>
      </c>
      <c r="AA600">
        <v>0.99861869999999997</v>
      </c>
      <c r="AB600">
        <v>35</v>
      </c>
      <c r="AC600">
        <v>0.76980000000003201</v>
      </c>
      <c r="AD600">
        <v>-0.28940139999999998</v>
      </c>
      <c r="AE600">
        <v>-4.4499999999970799E-2</v>
      </c>
      <c r="AF600">
        <v>4.4899856086949901E-2</v>
      </c>
      <c r="AG600">
        <v>-0.28940139999999998</v>
      </c>
      <c r="AH600">
        <v>0.67438584732089502</v>
      </c>
      <c r="AI600">
        <v>113.17989707971201</v>
      </c>
      <c r="AJ600">
        <v>86.190932602113506</v>
      </c>
      <c r="AK600">
        <v>0.735231554318305</v>
      </c>
      <c r="AL600">
        <v>79.962609769615398</v>
      </c>
      <c r="AM600">
        <v>89.289673437020696</v>
      </c>
      <c r="AN600">
        <v>0.99999994791534397</v>
      </c>
    </row>
    <row r="601" spans="1:40" x14ac:dyDescent="0.25">
      <c r="A601" t="str">
        <f>"20190303162754507"</f>
        <v>20190303162754507</v>
      </c>
      <c r="B601" t="str">
        <f>"1551601674502476"</f>
        <v>1551601674502476</v>
      </c>
      <c r="C601" t="s">
        <v>40</v>
      </c>
      <c r="D601">
        <v>5.1237779999999997</v>
      </c>
      <c r="E601">
        <v>0.51920080000000002</v>
      </c>
      <c r="F601" t="s">
        <v>44</v>
      </c>
      <c r="G601">
        <v>-345.10120000000001</v>
      </c>
      <c r="H601">
        <v>0.87739129999999999</v>
      </c>
      <c r="I601">
        <v>368.01589999999999</v>
      </c>
      <c r="J601">
        <v>-345.70280000000002</v>
      </c>
      <c r="K601">
        <v>1.120482</v>
      </c>
      <c r="L601">
        <v>368.05340000000001</v>
      </c>
      <c r="M601">
        <v>0.99994119999999997</v>
      </c>
      <c r="N601">
        <v>-6.3639319999999897E-3</v>
      </c>
      <c r="O601">
        <v>8.7794469999999993E-3</v>
      </c>
      <c r="P601">
        <v>0.98575259999999998</v>
      </c>
      <c r="Q601">
        <v>0.16816539999999999</v>
      </c>
      <c r="R601">
        <v>-3.490473E-3</v>
      </c>
      <c r="S601">
        <v>3.2118530000000001</v>
      </c>
      <c r="T601">
        <v>-0.99082349999999997</v>
      </c>
      <c r="U601">
        <v>-0.1452637</v>
      </c>
      <c r="V601">
        <v>1.211834E-2</v>
      </c>
      <c r="W601">
        <v>0.17443639999999999</v>
      </c>
      <c r="X601">
        <v>0.98459390000000002</v>
      </c>
      <c r="Y601">
        <v>5.1134600000000002E-2</v>
      </c>
      <c r="Z601">
        <v>-1.0461979999999999E-2</v>
      </c>
      <c r="AA601">
        <v>0.998637</v>
      </c>
      <c r="AB601">
        <v>35</v>
      </c>
      <c r="AC601">
        <v>0.60160000000001901</v>
      </c>
      <c r="AD601">
        <v>-0.24309069999999899</v>
      </c>
      <c r="AE601">
        <v>-3.7500000000022703E-2</v>
      </c>
      <c r="AF601">
        <v>3.6795780540150702E-2</v>
      </c>
      <c r="AG601">
        <v>-0.24309069999999899</v>
      </c>
      <c r="AH601">
        <v>0.51713835771767103</v>
      </c>
      <c r="AI601">
        <v>115.12110884626399</v>
      </c>
      <c r="AJ601">
        <v>85.930110651310002</v>
      </c>
      <c r="AK601">
        <v>0.57260728157697904</v>
      </c>
      <c r="AL601">
        <v>79.954138555015007</v>
      </c>
      <c r="AM601">
        <v>89.294841579334502</v>
      </c>
      <c r="AN601">
        <v>1.0000000298632601</v>
      </c>
    </row>
    <row r="602" spans="1:40" x14ac:dyDescent="0.25">
      <c r="A602" t="str">
        <f>"20190303162754519"</f>
        <v>20190303162754519</v>
      </c>
      <c r="B602" t="str">
        <f>"1551601674512236"</f>
        <v>1551601674512236</v>
      </c>
      <c r="C602" t="s">
        <v>40</v>
      </c>
      <c r="D602">
        <v>5.1822920000000003</v>
      </c>
      <c r="E602">
        <v>0.51920080000000002</v>
      </c>
      <c r="F602" t="s">
        <v>44</v>
      </c>
      <c r="G602">
        <v>-344.79739999999998</v>
      </c>
      <c r="H602">
        <v>0.84076479999999998</v>
      </c>
      <c r="I602">
        <v>368.01249999999999</v>
      </c>
      <c r="J602">
        <v>-345.49119999999999</v>
      </c>
      <c r="K602">
        <v>1.1204860000000001</v>
      </c>
      <c r="L602">
        <v>368.05529999999999</v>
      </c>
      <c r="M602">
        <v>0.99993989999999999</v>
      </c>
      <c r="N602">
        <v>-6.500268E-3</v>
      </c>
      <c r="O602">
        <v>8.8269980000000008E-3</v>
      </c>
      <c r="P602">
        <v>0.9856644</v>
      </c>
      <c r="Q602">
        <v>0.16868810000000001</v>
      </c>
      <c r="R602">
        <v>-3.2187919999999998E-3</v>
      </c>
      <c r="S602">
        <v>3.212189</v>
      </c>
      <c r="T602">
        <v>-0.99239949999999999</v>
      </c>
      <c r="U602">
        <v>-0.1451721</v>
      </c>
      <c r="V602">
        <v>1.1892379999999999E-2</v>
      </c>
      <c r="W602">
        <v>0.1750932</v>
      </c>
      <c r="X602">
        <v>0.98448000000000002</v>
      </c>
      <c r="Y602">
        <v>5.1137799999999997E-2</v>
      </c>
      <c r="Z602">
        <v>-1.049364E-2</v>
      </c>
      <c r="AA602">
        <v>0.99863650000000004</v>
      </c>
      <c r="AB602">
        <v>36</v>
      </c>
      <c r="AC602">
        <v>0.69380000000000996</v>
      </c>
      <c r="AD602">
        <v>-0.2797212</v>
      </c>
      <c r="AE602">
        <v>-4.2799999999999699E-2</v>
      </c>
      <c r="AF602">
        <v>4.2104559310392503E-2</v>
      </c>
      <c r="AG602">
        <v>-0.2797212</v>
      </c>
      <c r="AH602">
        <v>0.59676055818288698</v>
      </c>
      <c r="AI602">
        <v>115.059397701957</v>
      </c>
      <c r="AJ602">
        <v>85.964172898878005</v>
      </c>
      <c r="AK602">
        <v>0.66040889413068404</v>
      </c>
      <c r="AL602">
        <v>79.915917816419096</v>
      </c>
      <c r="AM602">
        <v>89.307908700931307</v>
      </c>
      <c r="AN602">
        <v>0.99999996389415102</v>
      </c>
    </row>
    <row r="603" spans="1:40" x14ac:dyDescent="0.25">
      <c r="A603" t="str">
        <f>"20190303162754537"</f>
        <v>20190303162754537</v>
      </c>
      <c r="B603" t="str">
        <f>"1551601674531756"</f>
        <v>1551601674531756</v>
      </c>
      <c r="C603" t="s">
        <v>40</v>
      </c>
      <c r="D603">
        <v>5.124905</v>
      </c>
      <c r="E603">
        <v>0.53096809999999905</v>
      </c>
      <c r="F603" t="s">
        <v>44</v>
      </c>
      <c r="G603">
        <v>-344.77359999999999</v>
      </c>
      <c r="H603">
        <v>0.8992426</v>
      </c>
      <c r="I603">
        <v>368.0231</v>
      </c>
      <c r="J603">
        <v>-345.21460000000002</v>
      </c>
      <c r="K603">
        <v>1.1204879999999999</v>
      </c>
      <c r="L603">
        <v>368.05779999999999</v>
      </c>
      <c r="M603">
        <v>0.99993840000000001</v>
      </c>
      <c r="N603">
        <v>-6.6640579999999996E-3</v>
      </c>
      <c r="O603">
        <v>8.8890540000000004E-3</v>
      </c>
      <c r="P603">
        <v>0.9855564</v>
      </c>
      <c r="Q603">
        <v>0.1693202</v>
      </c>
      <c r="R603">
        <v>-3.0432079999999999E-3</v>
      </c>
      <c r="S603">
        <v>3.2126769999999998</v>
      </c>
      <c r="T603">
        <v>-0.99049480000000001</v>
      </c>
      <c r="U603">
        <v>-0.14379879999999901</v>
      </c>
      <c r="V603">
        <v>1.177691E-2</v>
      </c>
      <c r="W603">
        <v>0.1758856</v>
      </c>
      <c r="X603">
        <v>0.9843402</v>
      </c>
      <c r="Y603">
        <v>5.0791019999999999E-2</v>
      </c>
      <c r="Z603">
        <v>-1.0440929999999999E-2</v>
      </c>
      <c r="AA603">
        <v>0.99865470000000001</v>
      </c>
      <c r="AB603">
        <v>36</v>
      </c>
      <c r="AC603">
        <v>0.44100000000002998</v>
      </c>
      <c r="AD603">
        <v>-0.22124539999999901</v>
      </c>
      <c r="AE603">
        <v>-3.4699999999986603E-2</v>
      </c>
      <c r="AF603">
        <v>3.0891462450329501E-2</v>
      </c>
      <c r="AG603">
        <v>-0.22124539999999901</v>
      </c>
      <c r="AH603">
        <v>0.35249857805426998</v>
      </c>
      <c r="AI603">
        <v>122.015792533655</v>
      </c>
      <c r="AJ603">
        <v>84.991639077629699</v>
      </c>
      <c r="AK603">
        <v>0.41732368373213902</v>
      </c>
      <c r="AL603">
        <v>79.869801689054199</v>
      </c>
      <c r="AM603">
        <v>89.314530641701097</v>
      </c>
      <c r="AN603">
        <v>1.0000000346162701</v>
      </c>
    </row>
    <row r="604" spans="1:40" x14ac:dyDescent="0.25">
      <c r="A604" t="str">
        <f>"20190303162754549"</f>
        <v>20190303162754549</v>
      </c>
      <c r="B604" t="str">
        <f>"1551601674542492"</f>
        <v>1551601674542492</v>
      </c>
      <c r="C604" t="s">
        <v>40</v>
      </c>
      <c r="D604">
        <v>5.0437669999999999</v>
      </c>
      <c r="E604">
        <v>0.53241939999999999</v>
      </c>
      <c r="F604" t="s">
        <v>44</v>
      </c>
      <c r="G604">
        <v>-344.4615</v>
      </c>
      <c r="H604">
        <v>0.88444730000000005</v>
      </c>
      <c r="I604">
        <v>368.00189999999998</v>
      </c>
      <c r="J604">
        <v>-345.0204</v>
      </c>
      <c r="K604">
        <v>1.1204860000000001</v>
      </c>
      <c r="L604">
        <v>368.05950000000001</v>
      </c>
      <c r="M604">
        <v>0.99993730000000003</v>
      </c>
      <c r="N604">
        <v>-6.7706550000000004E-3</v>
      </c>
      <c r="O604">
        <v>8.9325120000000001E-3</v>
      </c>
      <c r="P604">
        <v>0.98553749999999996</v>
      </c>
      <c r="Q604">
        <v>0.16943079999999999</v>
      </c>
      <c r="R604">
        <v>-3.028298E-3</v>
      </c>
      <c r="S604">
        <v>3.2164609999999998</v>
      </c>
      <c r="T604">
        <v>-1.0081340000000001</v>
      </c>
      <c r="U604">
        <v>-0.23760990000000001</v>
      </c>
      <c r="V604">
        <v>1.1804459999999999E-2</v>
      </c>
      <c r="W604">
        <v>0.17610100000000001</v>
      </c>
      <c r="X604">
        <v>0.98430130000000005</v>
      </c>
      <c r="Y604">
        <v>7.8345940000000003E-2</v>
      </c>
      <c r="Z604">
        <v>-1.491894E-2</v>
      </c>
      <c r="AA604">
        <v>0.9968146</v>
      </c>
      <c r="AB604">
        <v>36</v>
      </c>
      <c r="AC604">
        <v>0.55889999999999396</v>
      </c>
      <c r="AD604">
        <v>-0.23603869999999999</v>
      </c>
      <c r="AE604">
        <v>-5.7600000000036199E-2</v>
      </c>
      <c r="AF604">
        <v>5.3200979247901702E-2</v>
      </c>
      <c r="AG604">
        <v>-0.23603869999999999</v>
      </c>
      <c r="AH604">
        <v>0.47460256315009502</v>
      </c>
      <c r="AI604">
        <v>116.30061750685</v>
      </c>
      <c r="AJ604">
        <v>83.604080796958399</v>
      </c>
      <c r="AK604">
        <v>0.532721507956329</v>
      </c>
      <c r="AL604">
        <v>79.857263913046395</v>
      </c>
      <c r="AM604">
        <v>89.312900110000498</v>
      </c>
      <c r="AN604">
        <v>0.99999997832929</v>
      </c>
    </row>
    <row r="605" spans="1:40" x14ac:dyDescent="0.25">
      <c r="A605" t="str">
        <f>"20190303162754561"</f>
        <v>20190303162754561</v>
      </c>
      <c r="B605" t="str">
        <f>"1551601674552252"</f>
        <v>1551601674552252</v>
      </c>
      <c r="C605" t="s">
        <v>40</v>
      </c>
      <c r="D605">
        <v>5.0735700000000001</v>
      </c>
      <c r="E605">
        <v>0.53280509999999903</v>
      </c>
      <c r="F605" t="s">
        <v>44</v>
      </c>
      <c r="G605">
        <v>-344.15570000000002</v>
      </c>
      <c r="H605">
        <v>0.84939399999999998</v>
      </c>
      <c r="I605">
        <v>367.9923</v>
      </c>
      <c r="J605">
        <v>-344.83780000000002</v>
      </c>
      <c r="K605">
        <v>1.120485</v>
      </c>
      <c r="L605">
        <v>368.06119999999999</v>
      </c>
      <c r="M605">
        <v>0.9999363</v>
      </c>
      <c r="N605">
        <v>-6.865108E-3</v>
      </c>
      <c r="O605">
        <v>8.9733250000000007E-3</v>
      </c>
      <c r="P605">
        <v>0.98547660000000004</v>
      </c>
      <c r="Q605">
        <v>0.16978789999999999</v>
      </c>
      <c r="R605">
        <v>-2.856445E-3</v>
      </c>
      <c r="S605">
        <v>3.2166139999999999</v>
      </c>
      <c r="T605">
        <v>-1.0084059999999999</v>
      </c>
      <c r="U605">
        <v>-0.2497559</v>
      </c>
      <c r="V605">
        <v>1.167205E-2</v>
      </c>
      <c r="W605">
        <v>0.1765507</v>
      </c>
      <c r="X605">
        <v>0.98422240000000005</v>
      </c>
      <c r="Y605">
        <v>8.1946099999999994E-2</v>
      </c>
      <c r="Z605">
        <v>-1.5498339999999999E-2</v>
      </c>
      <c r="AA605">
        <v>0.99651619999999996</v>
      </c>
      <c r="AB605">
        <v>36</v>
      </c>
      <c r="AC605">
        <v>0.68209999999999105</v>
      </c>
      <c r="AD605">
        <v>-0.27109099999999903</v>
      </c>
      <c r="AE605">
        <v>-6.8899999999985001E-2</v>
      </c>
      <c r="AF605">
        <v>6.4874332187520201E-2</v>
      </c>
      <c r="AG605">
        <v>-0.27109099999999903</v>
      </c>
      <c r="AH605">
        <v>0.58930984879338499</v>
      </c>
      <c r="AI605">
        <v>114.572345979934</v>
      </c>
      <c r="AJ605">
        <v>83.717874509807899</v>
      </c>
      <c r="AK605">
        <v>0.65190881812003398</v>
      </c>
      <c r="AL605">
        <v>79.8310887046825</v>
      </c>
      <c r="AM605">
        <v>89.320552088067998</v>
      </c>
      <c r="AN605">
        <v>1.00000005954172</v>
      </c>
    </row>
    <row r="606" spans="1:40" x14ac:dyDescent="0.25">
      <c r="A606" t="str">
        <f>"20190303162754574"</f>
        <v>20190303162754574</v>
      </c>
      <c r="B606" t="str">
        <f>"1551601674571772"</f>
        <v>1551601674571772</v>
      </c>
      <c r="C606" t="s">
        <v>40</v>
      </c>
      <c r="D606">
        <v>5.0502789999999997</v>
      </c>
      <c r="E606">
        <v>0.53310950000000001</v>
      </c>
      <c r="F606" t="s">
        <v>44</v>
      </c>
      <c r="G606">
        <v>-344.13630000000001</v>
      </c>
      <c r="H606">
        <v>0.89899110000000004</v>
      </c>
      <c r="I606">
        <v>368.0061</v>
      </c>
      <c r="J606">
        <v>-344.62090000000001</v>
      </c>
      <c r="K606">
        <v>1.1204829999999999</v>
      </c>
      <c r="L606">
        <v>368.06310000000002</v>
      </c>
      <c r="M606">
        <v>0.99993509999999997</v>
      </c>
      <c r="N606">
        <v>-6.9676540000000002E-3</v>
      </c>
      <c r="O606">
        <v>9.0219710000000002E-3</v>
      </c>
      <c r="P606">
        <v>0.98540689999999997</v>
      </c>
      <c r="Q606">
        <v>0.17019229999999999</v>
      </c>
      <c r="R606">
        <v>-2.807613E-3</v>
      </c>
      <c r="S606">
        <v>3.2185670000000002</v>
      </c>
      <c r="T606">
        <v>-1.016197</v>
      </c>
      <c r="U606">
        <v>-0.25225829999999999</v>
      </c>
      <c r="V606">
        <v>1.167032E-2</v>
      </c>
      <c r="W606">
        <v>0.17705570000000001</v>
      </c>
      <c r="X606">
        <v>0.9841316</v>
      </c>
      <c r="Y606">
        <v>8.2620490000000005E-2</v>
      </c>
      <c r="Z606">
        <v>-1.5725949999999999E-2</v>
      </c>
      <c r="AA606">
        <v>0.99645700000000004</v>
      </c>
      <c r="AB606">
        <v>36</v>
      </c>
      <c r="AC606">
        <v>0.48459999999999998</v>
      </c>
      <c r="AD606">
        <v>-0.22149189999999899</v>
      </c>
      <c r="AE606">
        <v>-5.7000000000016302E-2</v>
      </c>
      <c r="AF606">
        <v>5.0884803672132398E-2</v>
      </c>
      <c r="AG606">
        <v>-0.22149189999999899</v>
      </c>
      <c r="AH606">
        <v>0.40136338584199199</v>
      </c>
      <c r="AI606">
        <v>118.699231650066</v>
      </c>
      <c r="AJ606">
        <v>82.774594800363303</v>
      </c>
      <c r="AK606">
        <v>0.46123799984921998</v>
      </c>
      <c r="AL606">
        <v>79.801690207447294</v>
      </c>
      <c r="AM606">
        <v>89.320590111106398</v>
      </c>
      <c r="AN606">
        <v>0.99999996169497496</v>
      </c>
    </row>
    <row r="607" spans="1:40" x14ac:dyDescent="0.25">
      <c r="A607" t="str">
        <f>"20190303162754593"</f>
        <v>20190303162754593</v>
      </c>
      <c r="B607" t="str">
        <f>"1551601674582507"</f>
        <v>1551601674582507</v>
      </c>
      <c r="C607" t="s">
        <v>40</v>
      </c>
      <c r="D607">
        <v>5.0587970000000002</v>
      </c>
      <c r="E607">
        <v>0.53312109999999902</v>
      </c>
      <c r="F607" t="s">
        <v>44</v>
      </c>
      <c r="G607">
        <v>-343.82810000000001</v>
      </c>
      <c r="H607">
        <v>0.86895540000000004</v>
      </c>
      <c r="I607">
        <v>368.00040000000001</v>
      </c>
      <c r="J607">
        <v>-344.32159999999999</v>
      </c>
      <c r="K607">
        <v>1.1204809999999901</v>
      </c>
      <c r="L607">
        <v>368.0659</v>
      </c>
      <c r="M607">
        <v>0.99993359999999998</v>
      </c>
      <c r="N607">
        <v>-7.0983419999999997E-3</v>
      </c>
      <c r="O607">
        <v>9.0891710000000001E-3</v>
      </c>
      <c r="P607">
        <v>0.98532549999999997</v>
      </c>
      <c r="Q607">
        <v>0.1706664</v>
      </c>
      <c r="R607">
        <v>-2.609353E-3</v>
      </c>
      <c r="S607">
        <v>3.2201840000000002</v>
      </c>
      <c r="T607">
        <v>-1.0216350000000001</v>
      </c>
      <c r="U607">
        <v>-0.25436399999999998</v>
      </c>
      <c r="V607">
        <v>1.153733E-2</v>
      </c>
      <c r="W607">
        <v>0.17765729999999999</v>
      </c>
      <c r="X607">
        <v>0.98402480000000003</v>
      </c>
      <c r="Y607">
        <v>8.3219360000000006E-2</v>
      </c>
      <c r="Z607">
        <v>-1.591675E-2</v>
      </c>
      <c r="AA607">
        <v>0.99640410000000001</v>
      </c>
      <c r="AB607">
        <v>36</v>
      </c>
      <c r="AC607">
        <v>0.49349999999998301</v>
      </c>
      <c r="AD607">
        <v>-0.25152559999999902</v>
      </c>
      <c r="AE607">
        <v>-6.5499999999985903E-2</v>
      </c>
      <c r="AF607">
        <v>5.57511169291387E-2</v>
      </c>
      <c r="AG607">
        <v>-0.25152559999999902</v>
      </c>
      <c r="AH607">
        <v>0.39265081803290403</v>
      </c>
      <c r="AI607">
        <v>122.383781358871</v>
      </c>
      <c r="AJ607">
        <v>81.918789849077598</v>
      </c>
      <c r="AK607">
        <v>0.46962536068244398</v>
      </c>
      <c r="AL607">
        <v>79.766666379427704</v>
      </c>
      <c r="AM607">
        <v>89.328258771595898</v>
      </c>
      <c r="AN607">
        <v>1.00000001662092</v>
      </c>
    </row>
    <row r="608" spans="1:40" x14ac:dyDescent="0.25">
      <c r="A608" t="str">
        <f>"20190303162754614"</f>
        <v>20190303162754614</v>
      </c>
      <c r="B608" t="str">
        <f>"1551601674611788"</f>
        <v>1551601674611788</v>
      </c>
      <c r="C608" t="s">
        <v>40</v>
      </c>
      <c r="D608">
        <v>5.0884330000000002</v>
      </c>
      <c r="E608">
        <v>0.53325559999999905</v>
      </c>
      <c r="F608" t="s">
        <v>44</v>
      </c>
      <c r="G608">
        <v>-343.50990000000002</v>
      </c>
      <c r="H608">
        <v>0.86271189999999998</v>
      </c>
      <c r="I608">
        <v>368.00209999999998</v>
      </c>
      <c r="J608">
        <v>-343.9744</v>
      </c>
      <c r="K608">
        <v>1.1204809999999901</v>
      </c>
      <c r="L608">
        <v>368.06920000000002</v>
      </c>
      <c r="M608">
        <v>0.99993189999999998</v>
      </c>
      <c r="N608">
        <v>-7.2336299999999996E-3</v>
      </c>
      <c r="O608">
        <v>9.1670720000000001E-3</v>
      </c>
      <c r="P608">
        <v>0.98527819999999999</v>
      </c>
      <c r="Q608">
        <v>0.17093989999999901</v>
      </c>
      <c r="R608">
        <v>-2.6091170000000002E-3</v>
      </c>
      <c r="S608">
        <v>3.2211609999999999</v>
      </c>
      <c r="T608">
        <v>-1.0229950000000001</v>
      </c>
      <c r="U608">
        <v>-0.2523804</v>
      </c>
      <c r="V608">
        <v>1.161323E-2</v>
      </c>
      <c r="W608">
        <v>0.1780641</v>
      </c>
      <c r="X608">
        <v>0.9839504</v>
      </c>
      <c r="Y608">
        <v>8.267613E-2</v>
      </c>
      <c r="Z608">
        <v>-1.5874530000000001E-2</v>
      </c>
      <c r="AA608">
        <v>0.99644999999999995</v>
      </c>
      <c r="AB608">
        <v>36</v>
      </c>
      <c r="AC608">
        <v>0.46449999999998598</v>
      </c>
      <c r="AD608">
        <v>-0.25776909999999897</v>
      </c>
      <c r="AE608">
        <v>-6.7100000000039003E-2</v>
      </c>
      <c r="AF608">
        <v>5.48186763211857E-2</v>
      </c>
      <c r="AG608">
        <v>-0.25776909999999897</v>
      </c>
      <c r="AH608">
        <v>0.35636386343528498</v>
      </c>
      <c r="AI608">
        <v>125.56181264840799</v>
      </c>
      <c r="AJ608">
        <v>81.254863891467394</v>
      </c>
      <c r="AK608">
        <v>0.44322138864334998</v>
      </c>
      <c r="AL608">
        <v>79.742981050941594</v>
      </c>
      <c r="AM608">
        <v>89.323788911251896</v>
      </c>
      <c r="AN608">
        <v>1.00000004024</v>
      </c>
    </row>
    <row r="609" spans="1:40" x14ac:dyDescent="0.25">
      <c r="A609" t="str">
        <f>"20190303162754626"</f>
        <v>20190303162754626</v>
      </c>
      <c r="B609" t="str">
        <f>"1551601674622524"</f>
        <v>1551601674622524</v>
      </c>
      <c r="C609" t="s">
        <v>40</v>
      </c>
      <c r="D609">
        <v>5.08108</v>
      </c>
      <c r="E609">
        <v>0.53322780000000003</v>
      </c>
      <c r="F609" t="s">
        <v>44</v>
      </c>
      <c r="G609">
        <v>-343.18619999999999</v>
      </c>
      <c r="H609">
        <v>0.86916079999999996</v>
      </c>
      <c r="I609">
        <v>368.0068</v>
      </c>
      <c r="J609">
        <v>-343.79090000000002</v>
      </c>
      <c r="K609">
        <v>1.120479</v>
      </c>
      <c r="L609">
        <v>368.07089999999999</v>
      </c>
      <c r="M609">
        <v>0.99993100000000001</v>
      </c>
      <c r="N609">
        <v>-7.29947699999999E-3</v>
      </c>
      <c r="O609">
        <v>9.2079620000000001E-3</v>
      </c>
      <c r="P609">
        <v>0.98526760000000002</v>
      </c>
      <c r="Q609">
        <v>0.17099900000000001</v>
      </c>
      <c r="R609">
        <v>-2.6500120000000002E-3</v>
      </c>
      <c r="S609">
        <v>3.2224119999999998</v>
      </c>
      <c r="T609">
        <v>-1.0275270000000001</v>
      </c>
      <c r="U609">
        <v>-0.2533569</v>
      </c>
      <c r="V609">
        <v>1.169457E-2</v>
      </c>
      <c r="W609">
        <v>0.17818800000000001</v>
      </c>
      <c r="X609">
        <v>0.983927</v>
      </c>
      <c r="Y609">
        <v>8.2935389999999998E-2</v>
      </c>
      <c r="Z609">
        <v>-1.5990509999999999E-2</v>
      </c>
      <c r="AA609">
        <v>0.99642660000000005</v>
      </c>
      <c r="AB609">
        <v>36</v>
      </c>
      <c r="AC609">
        <v>0.60470000000003599</v>
      </c>
      <c r="AD609">
        <v>-0.25131819999999899</v>
      </c>
      <c r="AE609">
        <v>-6.4099999999996202E-2</v>
      </c>
      <c r="AF609">
        <v>5.9501918899857301E-2</v>
      </c>
      <c r="AG609">
        <v>-0.25131819999999899</v>
      </c>
      <c r="AH609">
        <v>0.51595368997290703</v>
      </c>
      <c r="AI609">
        <v>115.82175257534</v>
      </c>
      <c r="AJ609">
        <v>83.421474463057606</v>
      </c>
      <c r="AK609">
        <v>0.57698312471047497</v>
      </c>
      <c r="AL609">
        <v>79.735766663804796</v>
      </c>
      <c r="AM609">
        <v>89.319036925721704</v>
      </c>
      <c r="AN609">
        <v>1.0000000338202399</v>
      </c>
    </row>
    <row r="610" spans="1:40" x14ac:dyDescent="0.25">
      <c r="A610" t="str">
        <f>"20190303162754640"</f>
        <v>20190303162754640</v>
      </c>
      <c r="B610" t="str">
        <f>"1551601674632283"</f>
        <v>1551601674632283</v>
      </c>
      <c r="C610" t="s">
        <v>40</v>
      </c>
      <c r="D610">
        <v>5.0909040000000001</v>
      </c>
      <c r="E610">
        <v>0.53331359999999906</v>
      </c>
      <c r="F610" t="s">
        <v>44</v>
      </c>
      <c r="G610">
        <v>-342.87990000000002</v>
      </c>
      <c r="H610">
        <v>0.82950579999999996</v>
      </c>
      <c r="I610">
        <v>367.9991</v>
      </c>
      <c r="J610">
        <v>-343.55739999999997</v>
      </c>
      <c r="K610">
        <v>1.120476</v>
      </c>
      <c r="L610">
        <v>368.07310000000001</v>
      </c>
      <c r="M610">
        <v>0.99992999999999999</v>
      </c>
      <c r="N610">
        <v>-7.3760650000000002E-3</v>
      </c>
      <c r="O610">
        <v>9.2591779999999999E-3</v>
      </c>
      <c r="P610">
        <v>0.98523749999999999</v>
      </c>
      <c r="Q610">
        <v>0.1711712</v>
      </c>
      <c r="R610">
        <v>-2.7507859999999999E-3</v>
      </c>
      <c r="S610">
        <v>3.2228699999999999</v>
      </c>
      <c r="T610">
        <v>-1.029291</v>
      </c>
      <c r="U610">
        <v>-0.25341799999999998</v>
      </c>
      <c r="V610">
        <v>1.184549E-2</v>
      </c>
      <c r="W610">
        <v>0.17843529999999999</v>
      </c>
      <c r="X610">
        <v>0.98388030000000004</v>
      </c>
      <c r="Y610">
        <v>8.297475E-2</v>
      </c>
      <c r="Z610">
        <v>-1.603858E-2</v>
      </c>
      <c r="AA610">
        <v>0.99642260000000005</v>
      </c>
      <c r="AB610">
        <v>36</v>
      </c>
      <c r="AC610">
        <v>0.67749999999995203</v>
      </c>
      <c r="AD610">
        <v>-0.29097020000000001</v>
      </c>
      <c r="AE610">
        <v>-7.4000000000012195E-2</v>
      </c>
      <c r="AF610">
        <v>6.7894583138356598E-2</v>
      </c>
      <c r="AG610">
        <v>-0.29097020000000001</v>
      </c>
      <c r="AH610">
        <v>0.57244343909852402</v>
      </c>
      <c r="AI610">
        <v>116.782693042509</v>
      </c>
      <c r="AJ610">
        <v>83.236039539294893</v>
      </c>
      <c r="AK610">
        <v>0.64572813371767901</v>
      </c>
      <c r="AL610">
        <v>79.721365859735101</v>
      </c>
      <c r="AM610">
        <v>89.3102171132916</v>
      </c>
      <c r="AN610">
        <v>0.99999995832375899</v>
      </c>
    </row>
    <row r="611" spans="1:40" x14ac:dyDescent="0.25">
      <c r="A611" t="str">
        <f>"20190303162754652"</f>
        <v>20190303162754652</v>
      </c>
      <c r="B611" t="str">
        <f>"1551601674642044"</f>
        <v>1551601674642044</v>
      </c>
      <c r="C611" t="s">
        <v>40</v>
      </c>
      <c r="D611">
        <v>5.059958</v>
      </c>
      <c r="E611">
        <v>0.53330610000000001</v>
      </c>
      <c r="F611" t="s">
        <v>44</v>
      </c>
      <c r="G611">
        <v>-342.85419999999999</v>
      </c>
      <c r="H611">
        <v>0.89567160000000001</v>
      </c>
      <c r="I611">
        <v>368.01729999999998</v>
      </c>
      <c r="J611">
        <v>-343.36270000000002</v>
      </c>
      <c r="K611">
        <v>1.1204700000000001</v>
      </c>
      <c r="L611">
        <v>368.07490000000001</v>
      </c>
      <c r="M611">
        <v>0.99992919999999996</v>
      </c>
      <c r="N611">
        <v>-7.434558E-3</v>
      </c>
      <c r="O611">
        <v>9.3009189999999995E-3</v>
      </c>
      <c r="P611">
        <v>0.98524750000000005</v>
      </c>
      <c r="Q611">
        <v>0.1711152</v>
      </c>
      <c r="R611">
        <v>-2.7222919999999999E-3</v>
      </c>
      <c r="S611">
        <v>3.2232669999999999</v>
      </c>
      <c r="T611">
        <v>-1.030383</v>
      </c>
      <c r="U611">
        <v>-0.25469969999999997</v>
      </c>
      <c r="V611">
        <v>1.1858540000000001E-2</v>
      </c>
      <c r="W611">
        <v>0.1784367</v>
      </c>
      <c r="X611">
        <v>0.98387990000000003</v>
      </c>
      <c r="Y611">
        <v>8.3369609999999997E-2</v>
      </c>
      <c r="Z611">
        <v>-1.6130140000000001E-2</v>
      </c>
      <c r="AA611">
        <v>0.9963881</v>
      </c>
      <c r="AB611">
        <v>36</v>
      </c>
      <c r="AC611">
        <v>0.50850000000002604</v>
      </c>
      <c r="AD611">
        <v>-0.22479840000000001</v>
      </c>
      <c r="AE611">
        <v>-5.7600000000036199E-2</v>
      </c>
      <c r="AF611">
        <v>5.2245801318330801E-2</v>
      </c>
      <c r="AG611">
        <v>-0.22479840000000001</v>
      </c>
      <c r="AH611">
        <v>0.425783108121356</v>
      </c>
      <c r="AI611">
        <v>117.656077698676</v>
      </c>
      <c r="AJ611">
        <v>83.004479570406801</v>
      </c>
      <c r="AK611">
        <v>0.48430899182178799</v>
      </c>
      <c r="AL611">
        <v>79.721284450867401</v>
      </c>
      <c r="AM611">
        <v>89.309456982584607</v>
      </c>
      <c r="AN611">
        <v>0.99999996925091506</v>
      </c>
    </row>
    <row r="612" spans="1:40" x14ac:dyDescent="0.25">
      <c r="A612" t="str">
        <f>"20190303162754667"</f>
        <v>20190303162754667</v>
      </c>
      <c r="B612" t="str">
        <f>"1551601674662540"</f>
        <v>1551601674662540</v>
      </c>
      <c r="C612" t="s">
        <v>40</v>
      </c>
      <c r="D612">
        <v>5.0530839999999904</v>
      </c>
      <c r="E612">
        <v>0.53322179999999997</v>
      </c>
      <c r="F612" t="s">
        <v>44</v>
      </c>
      <c r="G612">
        <v>-342.54590000000002</v>
      </c>
      <c r="H612">
        <v>0.85928850000000001</v>
      </c>
      <c r="I612">
        <v>368.0102</v>
      </c>
      <c r="J612">
        <v>-343.12569999999999</v>
      </c>
      <c r="K612">
        <v>1.120465</v>
      </c>
      <c r="L612">
        <v>368.07709999999997</v>
      </c>
      <c r="M612">
        <v>0.99992829999999999</v>
      </c>
      <c r="N612">
        <v>-7.5017199999999999E-3</v>
      </c>
      <c r="O612">
        <v>9.3509679999999994E-3</v>
      </c>
      <c r="P612">
        <v>0.98522100000000001</v>
      </c>
      <c r="Q612">
        <v>0.171266</v>
      </c>
      <c r="R612">
        <v>-2.8025060000000002E-3</v>
      </c>
      <c r="S612">
        <v>3.2231749999999999</v>
      </c>
      <c r="T612">
        <v>-1.0306390000000001</v>
      </c>
      <c r="U612">
        <v>-0.25421139999999998</v>
      </c>
      <c r="V612">
        <v>1.1988270000000001E-2</v>
      </c>
      <c r="W612">
        <v>0.17865339999999999</v>
      </c>
      <c r="X612">
        <v>0.98383900000000002</v>
      </c>
      <c r="Y612">
        <v>8.3271020000000001E-2</v>
      </c>
      <c r="Z612">
        <v>-1.613618E-2</v>
      </c>
      <c r="AA612">
        <v>0.99639630000000001</v>
      </c>
      <c r="AB612">
        <v>36</v>
      </c>
      <c r="AC612">
        <v>0.579799999999977</v>
      </c>
      <c r="AD612">
        <v>-0.26117649999999998</v>
      </c>
      <c r="AE612">
        <v>-6.6899999999975507E-2</v>
      </c>
      <c r="AF612">
        <v>6.0253319200374099E-2</v>
      </c>
      <c r="AG612">
        <v>-0.26117649999999998</v>
      </c>
      <c r="AH612">
        <v>0.482524541717676</v>
      </c>
      <c r="AI612">
        <v>118.240231093565</v>
      </c>
      <c r="AJ612">
        <v>82.882261545113295</v>
      </c>
      <c r="AK612">
        <v>0.55197242683558501</v>
      </c>
      <c r="AL612">
        <v>79.708665669433699</v>
      </c>
      <c r="AM612">
        <v>89.301874308621393</v>
      </c>
      <c r="AN612">
        <v>0.99999996693507598</v>
      </c>
    </row>
    <row r="613" spans="1:40" x14ac:dyDescent="0.25">
      <c r="A613" t="str">
        <f>"20190303162754681"</f>
        <v>20190303162754681</v>
      </c>
      <c r="B613" t="str">
        <f>"1551601674672300"</f>
        <v>1551601674672300</v>
      </c>
      <c r="C613" t="s">
        <v>40</v>
      </c>
      <c r="D613">
        <v>5.0757849999999998</v>
      </c>
      <c r="E613">
        <v>0.53316889999999995</v>
      </c>
      <c r="F613" t="s">
        <v>44</v>
      </c>
      <c r="G613">
        <v>-342.23239999999998</v>
      </c>
      <c r="H613">
        <v>0.83479119999999996</v>
      </c>
      <c r="I613">
        <v>368.00659999999999</v>
      </c>
      <c r="J613">
        <v>-342.89690000000002</v>
      </c>
      <c r="K613">
        <v>1.1204559999999999</v>
      </c>
      <c r="L613">
        <v>368.07929999999999</v>
      </c>
      <c r="M613">
        <v>0.99992729999999996</v>
      </c>
      <c r="N613">
        <v>-7.5612140000000001E-3</v>
      </c>
      <c r="O613">
        <v>9.3980599999999997E-3</v>
      </c>
      <c r="P613">
        <v>0.9851993</v>
      </c>
      <c r="Q613">
        <v>0.17138039999999999</v>
      </c>
      <c r="R613">
        <v>-3.3422019999999998E-3</v>
      </c>
      <c r="S613">
        <v>3.2234500000000001</v>
      </c>
      <c r="T613">
        <v>-1.030756</v>
      </c>
      <c r="U613">
        <v>-0.25369259999999999</v>
      </c>
      <c r="V613">
        <v>1.2574780000000001E-2</v>
      </c>
      <c r="W613">
        <v>0.17882609999999999</v>
      </c>
      <c r="X613">
        <v>0.98380040000000002</v>
      </c>
      <c r="Y613">
        <v>8.3154629999999993E-2</v>
      </c>
      <c r="Z613">
        <v>-1.613444E-2</v>
      </c>
      <c r="AA613">
        <v>0.99640600000000001</v>
      </c>
      <c r="AB613">
        <v>36</v>
      </c>
      <c r="AC613">
        <v>0.66450000000003195</v>
      </c>
      <c r="AD613">
        <v>-0.285664799999999</v>
      </c>
      <c r="AE613">
        <v>-7.2699999999997503E-2</v>
      </c>
      <c r="AF613">
        <v>6.67515874430476E-2</v>
      </c>
      <c r="AG613">
        <v>-0.285664799999999</v>
      </c>
      <c r="AH613">
        <v>0.56128391038348402</v>
      </c>
      <c r="AI613">
        <v>116.811459552899</v>
      </c>
      <c r="AJ613">
        <v>83.217862472411994</v>
      </c>
      <c r="AK613">
        <v>0.63332438800395296</v>
      </c>
      <c r="AL613">
        <v>79.698609736294898</v>
      </c>
      <c r="AM613">
        <v>89.267694351614907</v>
      </c>
      <c r="AN613">
        <v>1.0000000630867001</v>
      </c>
    </row>
    <row r="614" spans="1:40" x14ac:dyDescent="0.25">
      <c r="A614" t="str">
        <f>"20190303162754705"</f>
        <v>20190303162754705</v>
      </c>
      <c r="B614" t="str">
        <f>"1551601674702556"</f>
        <v>1551601674702556</v>
      </c>
      <c r="C614" t="s">
        <v>40</v>
      </c>
      <c r="D614">
        <v>5.0894570000000003</v>
      </c>
      <c r="E614">
        <v>0.53316529999999995</v>
      </c>
      <c r="F614" t="s">
        <v>44</v>
      </c>
      <c r="G614">
        <v>-342.20690000000002</v>
      </c>
      <c r="H614">
        <v>0.89995599999999998</v>
      </c>
      <c r="I614">
        <v>368.02460000000002</v>
      </c>
      <c r="J614">
        <v>-342.52260000000001</v>
      </c>
      <c r="K614">
        <v>1.1204499999999999</v>
      </c>
      <c r="L614">
        <v>368.0829</v>
      </c>
      <c r="M614">
        <v>0.99992599999999998</v>
      </c>
      <c r="N614">
        <v>-7.6486439999999996E-3</v>
      </c>
      <c r="O614">
        <v>9.4726910000000001E-3</v>
      </c>
      <c r="P614">
        <v>0.9851723</v>
      </c>
      <c r="Q614">
        <v>0.1715255</v>
      </c>
      <c r="R614">
        <v>-3.8737899999999998E-3</v>
      </c>
      <c r="S614">
        <v>3.2234189999999998</v>
      </c>
      <c r="T614">
        <v>-1.0301709999999999</v>
      </c>
      <c r="U614">
        <v>-0.2544556</v>
      </c>
      <c r="V614">
        <v>1.318043E-2</v>
      </c>
      <c r="W614">
        <v>0.17905689999999999</v>
      </c>
      <c r="X614">
        <v>0.98375040000000002</v>
      </c>
      <c r="Y614">
        <v>8.3449780000000001E-2</v>
      </c>
      <c r="Z614">
        <v>-1.6198580000000001E-2</v>
      </c>
      <c r="AA614">
        <v>0.9963803</v>
      </c>
      <c r="AB614">
        <v>36</v>
      </c>
      <c r="AC614">
        <v>0.31569999999999199</v>
      </c>
      <c r="AD614">
        <v>-0.220494</v>
      </c>
      <c r="AE614">
        <v>-5.8299999999974199E-2</v>
      </c>
      <c r="AF614">
        <v>4.1643899784972099E-2</v>
      </c>
      <c r="AG614">
        <v>-0.220494</v>
      </c>
      <c r="AH614">
        <v>0.21412659034487</v>
      </c>
      <c r="AI614">
        <v>135.30767928138201</v>
      </c>
      <c r="AJ614">
        <v>78.994351684357099</v>
      </c>
      <c r="AK614">
        <v>0.31016449686903302</v>
      </c>
      <c r="AL614">
        <v>79.685167996926197</v>
      </c>
      <c r="AM614">
        <v>89.232388796659706</v>
      </c>
      <c r="AN614">
        <v>0.99999997333637702</v>
      </c>
    </row>
    <row r="615" spans="1:40" x14ac:dyDescent="0.25">
      <c r="A615" t="str">
        <f>"20190303162754718"</f>
        <v>20190303162754718</v>
      </c>
      <c r="B615" t="str">
        <f>"1551601674712316"</f>
        <v>1551601674712316</v>
      </c>
      <c r="C615" t="s">
        <v>40</v>
      </c>
      <c r="D615">
        <v>5.0955000000000004</v>
      </c>
      <c r="E615">
        <v>0.53320100000000004</v>
      </c>
      <c r="F615" t="s">
        <v>44</v>
      </c>
      <c r="G615">
        <v>-341.58940000000001</v>
      </c>
      <c r="H615">
        <v>0.82257340000000001</v>
      </c>
      <c r="I615">
        <v>368.0086</v>
      </c>
      <c r="J615">
        <v>-342.30180000000001</v>
      </c>
      <c r="K615">
        <v>1.120452</v>
      </c>
      <c r="L615">
        <v>368.08499999999998</v>
      </c>
      <c r="M615">
        <v>0.99992510000000001</v>
      </c>
      <c r="N615">
        <v>-7.6944350000000003E-3</v>
      </c>
      <c r="O615">
        <v>9.5156600000000004E-3</v>
      </c>
      <c r="P615">
        <v>0.98521890000000001</v>
      </c>
      <c r="Q615">
        <v>0.171256399999999</v>
      </c>
      <c r="R615">
        <v>-3.8578309999999999E-3</v>
      </c>
      <c r="S615">
        <v>3.223236</v>
      </c>
      <c r="T615">
        <v>-1.0288630000000001</v>
      </c>
      <c r="U615">
        <v>-0.25570680000000001</v>
      </c>
      <c r="V615">
        <v>1.320785E-2</v>
      </c>
      <c r="W615">
        <v>0.17883360000000001</v>
      </c>
      <c r="X615">
        <v>0.98379070000000002</v>
      </c>
      <c r="Y615">
        <v>8.3868810000000002E-2</v>
      </c>
      <c r="Z615">
        <v>-1.6261299999999999E-2</v>
      </c>
      <c r="AA615">
        <v>0.99634409999999896</v>
      </c>
      <c r="AB615">
        <v>36</v>
      </c>
      <c r="AC615">
        <v>0.71240000000000203</v>
      </c>
      <c r="AD615">
        <v>-0.29787859999999899</v>
      </c>
      <c r="AE615">
        <v>-7.6399999999978194E-2</v>
      </c>
      <c r="AF615">
        <v>7.0917711174036197E-2</v>
      </c>
      <c r="AG615">
        <v>-0.29787859999999899</v>
      </c>
      <c r="AH615">
        <v>0.60676294664260599</v>
      </c>
      <c r="AI615">
        <v>115.994396109001</v>
      </c>
      <c r="AJ615">
        <v>83.333585411054699</v>
      </c>
      <c r="AK615">
        <v>0.67964862650824298</v>
      </c>
      <c r="AL615">
        <v>79.698172555774605</v>
      </c>
      <c r="AM615">
        <v>89.230823589028404</v>
      </c>
      <c r="AN615">
        <v>1.0000000225985299</v>
      </c>
    </row>
    <row r="616" spans="1:40" x14ac:dyDescent="0.25">
      <c r="A616" t="str">
        <f>"20190303162754729"</f>
        <v>20190303162754729</v>
      </c>
      <c r="B616" t="str">
        <f>"1551601674722076"</f>
        <v>1551601674722076</v>
      </c>
      <c r="C616" t="s">
        <v>40</v>
      </c>
      <c r="D616">
        <v>5.0881910000000001</v>
      </c>
      <c r="E616">
        <v>0.53321399999999997</v>
      </c>
      <c r="F616" t="s">
        <v>44</v>
      </c>
      <c r="G616">
        <v>-341.5652</v>
      </c>
      <c r="H616">
        <v>0.88495840000000003</v>
      </c>
      <c r="I616">
        <v>368.02629999999999</v>
      </c>
      <c r="J616">
        <v>-342.10890000000001</v>
      </c>
      <c r="K616">
        <v>1.1204510000000001</v>
      </c>
      <c r="L616">
        <v>368.08690000000001</v>
      </c>
      <c r="M616">
        <v>0.99992460000000005</v>
      </c>
      <c r="N616">
        <v>-7.7320339999999996E-3</v>
      </c>
      <c r="O616">
        <v>9.5524019999999998E-3</v>
      </c>
      <c r="P616">
        <v>0.98520580000000002</v>
      </c>
      <c r="Q616">
        <v>0.17132790000000001</v>
      </c>
      <c r="R616">
        <v>-4.0824219999999996E-3</v>
      </c>
      <c r="S616">
        <v>3.2231139999999998</v>
      </c>
      <c r="T616">
        <v>-1.0304930000000001</v>
      </c>
      <c r="U616">
        <v>-0.25552370000000002</v>
      </c>
      <c r="V616">
        <v>1.3468829999999999E-2</v>
      </c>
      <c r="W616">
        <v>0.1789415</v>
      </c>
      <c r="X616">
        <v>0.98376750000000002</v>
      </c>
      <c r="Y616">
        <v>8.3836820000000006E-2</v>
      </c>
      <c r="Z616">
        <v>-1.6293430000000001E-2</v>
      </c>
      <c r="AA616">
        <v>0.99634630000000002</v>
      </c>
      <c r="AB616">
        <v>36</v>
      </c>
      <c r="AC616">
        <v>0.54370000000000096</v>
      </c>
      <c r="AD616">
        <v>-0.2354926</v>
      </c>
      <c r="AE616">
        <v>-6.0600000000022101E-2</v>
      </c>
      <c r="AF616">
        <v>5.5505836072597098E-2</v>
      </c>
      <c r="AG616">
        <v>-0.2354926</v>
      </c>
      <c r="AH616">
        <v>0.45819337237221303</v>
      </c>
      <c r="AI616">
        <v>117.031984058216</v>
      </c>
      <c r="AJ616">
        <v>83.092809468296295</v>
      </c>
      <c r="AK616">
        <v>0.51814942726852398</v>
      </c>
      <c r="AL616">
        <v>79.691888560523196</v>
      </c>
      <c r="AM616">
        <v>89.215608462619102</v>
      </c>
      <c r="AN616">
        <v>0.99999998193003403</v>
      </c>
    </row>
    <row r="617" spans="1:40" x14ac:dyDescent="0.25">
      <c r="A617" t="str">
        <f>"20190303162754741"</f>
        <v>20190303162754741</v>
      </c>
      <c r="B617" t="str">
        <f>"1551601674731836"</f>
        <v>1551601674731836</v>
      </c>
      <c r="C617" t="s">
        <v>40</v>
      </c>
      <c r="D617">
        <v>5.0788200000000003</v>
      </c>
      <c r="E617">
        <v>0.53326090000000004</v>
      </c>
      <c r="F617" t="s">
        <v>44</v>
      </c>
      <c r="G617">
        <v>-341.255</v>
      </c>
      <c r="H617">
        <v>0.84753020000000001</v>
      </c>
      <c r="I617">
        <v>368.0188</v>
      </c>
      <c r="J617">
        <v>-341.90989999999999</v>
      </c>
      <c r="K617">
        <v>1.1204499999999999</v>
      </c>
      <c r="L617">
        <v>368.08879999999999</v>
      </c>
      <c r="M617">
        <v>0.99992389999999998</v>
      </c>
      <c r="N617">
        <v>-7.769008E-3</v>
      </c>
      <c r="O617">
        <v>9.5899820000000004E-3</v>
      </c>
      <c r="P617">
        <v>0.98521599999999998</v>
      </c>
      <c r="Q617">
        <v>0.1712688</v>
      </c>
      <c r="R617">
        <v>-4.0951159999999898E-3</v>
      </c>
      <c r="S617">
        <v>3.2231139999999998</v>
      </c>
      <c r="T617">
        <v>-1.0300290000000001</v>
      </c>
      <c r="U617">
        <v>-0.25601200000000002</v>
      </c>
      <c r="V617">
        <v>1.3519099999999999E-2</v>
      </c>
      <c r="W617">
        <v>0.17891899999999999</v>
      </c>
      <c r="X617">
        <v>0.9837709</v>
      </c>
      <c r="Y617">
        <v>8.4017110000000006E-2</v>
      </c>
      <c r="Z617">
        <v>-1.6327919999999999E-2</v>
      </c>
      <c r="AA617">
        <v>0.99633059999999996</v>
      </c>
      <c r="AB617">
        <v>36</v>
      </c>
      <c r="AC617">
        <v>0.65489999999999704</v>
      </c>
      <c r="AD617">
        <v>-0.27291979999999899</v>
      </c>
      <c r="AE617">
        <v>-6.9999999999993096E-2</v>
      </c>
      <c r="AF617">
        <v>6.5099454770287293E-2</v>
      </c>
      <c r="AG617">
        <v>-0.27291979999999899</v>
      </c>
      <c r="AH617">
        <v>0.55832975867924395</v>
      </c>
      <c r="AI617">
        <v>115.89775726854501</v>
      </c>
      <c r="AJ617">
        <v>83.349525150509194</v>
      </c>
      <c r="AK617">
        <v>0.62486420578414603</v>
      </c>
      <c r="AL617">
        <v>79.693198832636</v>
      </c>
      <c r="AM617">
        <v>89.212683949976096</v>
      </c>
      <c r="AN617">
        <v>0.999999979156309</v>
      </c>
    </row>
    <row r="618" spans="1:40" x14ac:dyDescent="0.25">
      <c r="A618" t="str">
        <f>"20190303162754755"</f>
        <v>20190303162754755</v>
      </c>
      <c r="B618" t="str">
        <f>"1551601674742571"</f>
        <v>1551601674742571</v>
      </c>
      <c r="C618" t="s">
        <v>40</v>
      </c>
      <c r="D618">
        <v>5.1077019999999997</v>
      </c>
      <c r="E618">
        <v>0.5331709</v>
      </c>
      <c r="F618" t="s">
        <v>44</v>
      </c>
      <c r="G618">
        <v>-341.23259999999999</v>
      </c>
      <c r="H618">
        <v>0.90407170000000003</v>
      </c>
      <c r="I618">
        <v>368.03469999999999</v>
      </c>
      <c r="J618">
        <v>-341.69670000000002</v>
      </c>
      <c r="K618">
        <v>1.1204459999999901</v>
      </c>
      <c r="L618">
        <v>368.09089999999998</v>
      </c>
      <c r="M618">
        <v>0.99992329999999996</v>
      </c>
      <c r="N618">
        <v>-7.8026340000000001E-3</v>
      </c>
      <c r="O618">
        <v>9.6284649999999992E-3</v>
      </c>
      <c r="P618">
        <v>0.9852149</v>
      </c>
      <c r="Q618">
        <v>0.17127290000000001</v>
      </c>
      <c r="R618">
        <v>-4.1283559999999997E-3</v>
      </c>
      <c r="S618">
        <v>3.2229920000000001</v>
      </c>
      <c r="T618">
        <v>-1.0297210000000001</v>
      </c>
      <c r="U618">
        <v>-0.25610349999999998</v>
      </c>
      <c r="V618">
        <v>1.3590710000000001E-2</v>
      </c>
      <c r="W618">
        <v>0.17895610000000001</v>
      </c>
      <c r="X618">
        <v>0.98376319999999995</v>
      </c>
      <c r="Y618">
        <v>8.4083389999999994E-2</v>
      </c>
      <c r="Z618">
        <v>-1.634729E-2</v>
      </c>
      <c r="AA618">
        <v>0.9963246</v>
      </c>
      <c r="AB618">
        <v>36</v>
      </c>
      <c r="AC618">
        <v>0.46410000000002999</v>
      </c>
      <c r="AD618">
        <v>-0.21637429999999899</v>
      </c>
      <c r="AE618">
        <v>-5.61999999999898E-2</v>
      </c>
      <c r="AF618">
        <v>4.99629006848408E-2</v>
      </c>
      <c r="AG618">
        <v>-0.21637429999999899</v>
      </c>
      <c r="AH618">
        <v>0.38175637134746698</v>
      </c>
      <c r="AI618">
        <v>119.335712078656</v>
      </c>
      <c r="AJ618">
        <v>82.543713741903105</v>
      </c>
      <c r="AK618">
        <v>0.44164698143394798</v>
      </c>
      <c r="AL618">
        <v>79.691038645806998</v>
      </c>
      <c r="AM618">
        <v>89.208507910925107</v>
      </c>
      <c r="AN618">
        <v>1.0000000133998701</v>
      </c>
    </row>
    <row r="619" spans="1:40" x14ac:dyDescent="0.25">
      <c r="A619" t="str">
        <f>"20190303162754772"</f>
        <v>20190303162754772</v>
      </c>
      <c r="B619" t="str">
        <f>"1551601674762092"</f>
        <v>1551601674762092</v>
      </c>
      <c r="C619" t="s">
        <v>40</v>
      </c>
      <c r="D619">
        <v>5.1570010000000002</v>
      </c>
      <c r="E619">
        <v>0.53291169999999899</v>
      </c>
      <c r="F619" t="s">
        <v>44</v>
      </c>
      <c r="G619">
        <v>-340.92</v>
      </c>
      <c r="H619">
        <v>0.87243400000000004</v>
      </c>
      <c r="I619">
        <v>368.02910000000003</v>
      </c>
      <c r="J619">
        <v>-341.42790000000002</v>
      </c>
      <c r="K619">
        <v>1.120447</v>
      </c>
      <c r="L619">
        <v>368.09350000000001</v>
      </c>
      <c r="M619">
        <v>0.99992259999999999</v>
      </c>
      <c r="N619">
        <v>-7.8406969999999902E-3</v>
      </c>
      <c r="O619">
        <v>9.6754489999999992E-3</v>
      </c>
      <c r="P619">
        <v>0.98520059999999998</v>
      </c>
      <c r="Q619">
        <v>0.1713517</v>
      </c>
      <c r="R619">
        <v>-4.3545980000000003E-3</v>
      </c>
      <c r="S619">
        <v>3.222839</v>
      </c>
      <c r="T619">
        <v>-1.0290299999999999</v>
      </c>
      <c r="U619">
        <v>-0.25549319999999998</v>
      </c>
      <c r="V619">
        <v>1.386361E-2</v>
      </c>
      <c r="W619">
        <v>0.17907239999999999</v>
      </c>
      <c r="X619">
        <v>0.98373820000000001</v>
      </c>
      <c r="Y619">
        <v>8.3955879999999997E-2</v>
      </c>
      <c r="Z619">
        <v>-1.633302E-2</v>
      </c>
      <c r="AA619">
        <v>0.99633559999999999</v>
      </c>
      <c r="AB619">
        <v>36</v>
      </c>
      <c r="AC619">
        <v>0.50790000000000601</v>
      </c>
      <c r="AD619">
        <v>-0.24801300000000001</v>
      </c>
      <c r="AE619">
        <v>-6.4399999999977794E-2</v>
      </c>
      <c r="AF619">
        <v>5.6137308166511399E-2</v>
      </c>
      <c r="AG619">
        <v>-0.24801300000000001</v>
      </c>
      <c r="AH619">
        <v>0.41083958187142</v>
      </c>
      <c r="AI619">
        <v>120.884310782979</v>
      </c>
      <c r="AJ619">
        <v>82.219263457658201</v>
      </c>
      <c r="AK619">
        <v>0.48316768059283999</v>
      </c>
      <c r="AL619">
        <v>79.684265445683096</v>
      </c>
      <c r="AM619">
        <v>89.192596402234201</v>
      </c>
      <c r="AN619">
        <v>0.99999998513161503</v>
      </c>
    </row>
    <row r="620" spans="1:40" x14ac:dyDescent="0.25">
      <c r="A620" t="str">
        <f>"20190303162754787"</f>
        <v>20190303162754787</v>
      </c>
      <c r="B620" t="str">
        <f>"1551601674771852"</f>
        <v>1551601674771852</v>
      </c>
      <c r="C620" t="s">
        <v>40</v>
      </c>
      <c r="D620">
        <v>5.1477469999999999</v>
      </c>
      <c r="E620">
        <v>0.53291169999999899</v>
      </c>
      <c r="F620" t="s">
        <v>44</v>
      </c>
      <c r="G620">
        <v>-340.6001</v>
      </c>
      <c r="H620">
        <v>0.85675780000000001</v>
      </c>
      <c r="I620">
        <v>368.02800000000002</v>
      </c>
      <c r="J620">
        <v>-341.19240000000002</v>
      </c>
      <c r="K620">
        <v>1.120444</v>
      </c>
      <c r="L620">
        <v>368.0958</v>
      </c>
      <c r="M620">
        <v>0.99992190000000003</v>
      </c>
      <c r="N620">
        <v>-7.8701489999999999E-3</v>
      </c>
      <c r="O620">
        <v>9.7155520000000006E-3</v>
      </c>
      <c r="P620">
        <v>0.98521749999999997</v>
      </c>
      <c r="Q620">
        <v>0.1712484</v>
      </c>
      <c r="R620">
        <v>-4.5490729999999998E-3</v>
      </c>
      <c r="S620">
        <v>3.222534</v>
      </c>
      <c r="T620">
        <v>-1.026543</v>
      </c>
      <c r="U620">
        <v>-0.25363160000000001</v>
      </c>
      <c r="V620">
        <v>1.409853E-2</v>
      </c>
      <c r="W620">
        <v>0.1789983</v>
      </c>
      <c r="X620">
        <v>0.98374839999999997</v>
      </c>
      <c r="Y620">
        <v>8.3474339999999994E-2</v>
      </c>
      <c r="Z620">
        <v>-1.6234200000000001E-2</v>
      </c>
      <c r="AA620">
        <v>0.99637770000000003</v>
      </c>
      <c r="AB620">
        <v>36</v>
      </c>
      <c r="AC620">
        <v>0.59230000000002203</v>
      </c>
      <c r="AD620">
        <v>-0.26368619999999898</v>
      </c>
      <c r="AE620">
        <v>-6.7799999999976907E-2</v>
      </c>
      <c r="AF620">
        <v>6.15168887944154E-2</v>
      </c>
      <c r="AG620">
        <v>-0.26368619999999898</v>
      </c>
      <c r="AH620">
        <v>0.49481262182798602</v>
      </c>
      <c r="AI620">
        <v>117.87122469859899</v>
      </c>
      <c r="AJ620">
        <v>82.913145194033703</v>
      </c>
      <c r="AK620">
        <v>0.56405165578842997</v>
      </c>
      <c r="AL620">
        <v>79.688581330587098</v>
      </c>
      <c r="AM620">
        <v>89.178925252254302</v>
      </c>
      <c r="AN620">
        <v>1.0000000372268001</v>
      </c>
    </row>
    <row r="621" spans="1:40" x14ac:dyDescent="0.25">
      <c r="A621" t="str">
        <f>"20190303162754801"</f>
        <v>20190303162754801</v>
      </c>
      <c r="B621" t="str">
        <f>"1551601674792347"</f>
        <v>1551601674792347</v>
      </c>
      <c r="C621" t="s">
        <v>40</v>
      </c>
      <c r="D621">
        <v>5.0533239999999999</v>
      </c>
      <c r="E621">
        <v>0.51971499999999904</v>
      </c>
      <c r="F621" t="s">
        <v>44</v>
      </c>
      <c r="G621">
        <v>-340.28359999999998</v>
      </c>
      <c r="H621">
        <v>0.83079829999999999</v>
      </c>
      <c r="I621">
        <v>368.02409999999998</v>
      </c>
      <c r="J621">
        <v>-340.94569999999999</v>
      </c>
      <c r="K621">
        <v>1.120441</v>
      </c>
      <c r="L621">
        <v>368.09820000000002</v>
      </c>
      <c r="M621">
        <v>0.99992130000000001</v>
      </c>
      <c r="N621">
        <v>-7.8975739999999992E-3</v>
      </c>
      <c r="O621">
        <v>9.7560200000000007E-3</v>
      </c>
      <c r="P621">
        <v>0.9851915</v>
      </c>
      <c r="Q621">
        <v>0.171392299999999</v>
      </c>
      <c r="R621">
        <v>-4.7162810000000001E-3</v>
      </c>
      <c r="S621">
        <v>3.2223510000000002</v>
      </c>
      <c r="T621">
        <v>-1.026985</v>
      </c>
      <c r="U621">
        <v>-0.25405879999999997</v>
      </c>
      <c r="V621">
        <v>1.430622E-2</v>
      </c>
      <c r="W621">
        <v>0.17916899999999999</v>
      </c>
      <c r="X621">
        <v>0.98371430000000004</v>
      </c>
      <c r="Y621">
        <v>8.3635669999999995E-2</v>
      </c>
      <c r="Z621">
        <v>-1.628044E-2</v>
      </c>
      <c r="AA621">
        <v>0.99636340000000001</v>
      </c>
      <c r="AB621">
        <v>36</v>
      </c>
      <c r="AC621">
        <v>0.66210000000000901</v>
      </c>
      <c r="AD621">
        <v>-0.28964269999999998</v>
      </c>
      <c r="AE621">
        <v>-7.4100000000044006E-2</v>
      </c>
      <c r="AF621">
        <v>6.7750909551400104E-2</v>
      </c>
      <c r="AG621">
        <v>-0.28964269999999998</v>
      </c>
      <c r="AH621">
        <v>0.55621787371631004</v>
      </c>
      <c r="AI621">
        <v>117.335142606768</v>
      </c>
      <c r="AJ621">
        <v>83.055217334308296</v>
      </c>
      <c r="AK621">
        <v>0.63076255631562705</v>
      </c>
      <c r="AL621">
        <v>79.678639961137407</v>
      </c>
      <c r="AM621">
        <v>89.166802550233299</v>
      </c>
      <c r="AN621">
        <v>1.00000001125808</v>
      </c>
    </row>
    <row r="622" spans="1:40" x14ac:dyDescent="0.25">
      <c r="A622" t="str">
        <f>"20190303162754818"</f>
        <v>20190303162754818</v>
      </c>
      <c r="B622" t="str">
        <f>"1551601674812844"</f>
        <v>1551601674812844</v>
      </c>
      <c r="C622" t="s">
        <v>40</v>
      </c>
      <c r="D622">
        <v>5.3060650000000003</v>
      </c>
      <c r="E622">
        <v>0.49981680000000001</v>
      </c>
      <c r="F622" t="s">
        <v>44</v>
      </c>
      <c r="G622">
        <v>-340.22910000000002</v>
      </c>
      <c r="H622">
        <v>0.9583739</v>
      </c>
      <c r="I622">
        <v>368.06349999999998</v>
      </c>
      <c r="J622">
        <v>-340.67399999999998</v>
      </c>
      <c r="K622">
        <v>1.1204419999999999</v>
      </c>
      <c r="L622">
        <v>368.10090000000002</v>
      </c>
      <c r="M622">
        <v>0.9999207</v>
      </c>
      <c r="N622">
        <v>-7.9244380000000007E-3</v>
      </c>
      <c r="O622">
        <v>9.7997080000000007E-3</v>
      </c>
      <c r="P622">
        <v>0.98521789999999998</v>
      </c>
      <c r="Q622">
        <v>0.17124029999999901</v>
      </c>
      <c r="R622">
        <v>-4.7604279999999997E-3</v>
      </c>
      <c r="S622">
        <v>3.1690369999999999</v>
      </c>
      <c r="T622">
        <v>-0.71674629999999995</v>
      </c>
      <c r="U622">
        <v>-0.153228799999999</v>
      </c>
      <c r="V622">
        <v>1.4394260000000001E-2</v>
      </c>
      <c r="W622">
        <v>0.17904329999999999</v>
      </c>
      <c r="X622">
        <v>0.9837359</v>
      </c>
      <c r="Y622">
        <v>5.6379650000000003E-2</v>
      </c>
      <c r="Z622">
        <v>-8.6300519999999992E-3</v>
      </c>
      <c r="AA622">
        <v>0.99837209999999998</v>
      </c>
      <c r="AB622">
        <v>36</v>
      </c>
      <c r="AC622">
        <v>0.444900000000018</v>
      </c>
      <c r="AD622">
        <v>-0.16206809999999899</v>
      </c>
      <c r="AE622">
        <v>-3.7400000000047798E-2</v>
      </c>
      <c r="AF622">
        <v>3.6896437543912197E-2</v>
      </c>
      <c r="AG622">
        <v>-0.16206809999999899</v>
      </c>
      <c r="AH622">
        <v>0.39275882368251502</v>
      </c>
      <c r="AI622">
        <v>112.334399278823</v>
      </c>
      <c r="AJ622">
        <v>84.633286383368599</v>
      </c>
      <c r="AK622">
        <v>0.426482015707011</v>
      </c>
      <c r="AL622">
        <v>79.685960395440304</v>
      </c>
      <c r="AM622">
        <v>89.161694215039205</v>
      </c>
      <c r="AN622">
        <v>1.00000000947232</v>
      </c>
    </row>
    <row r="623" spans="1:40" x14ac:dyDescent="0.25">
      <c r="A623" t="str">
        <f>"20190303162754839"</f>
        <v>20190303162754839</v>
      </c>
      <c r="B623" t="str">
        <f>"1551601674832364"</f>
        <v>1551601674832364</v>
      </c>
      <c r="C623" t="s">
        <v>40</v>
      </c>
      <c r="D623">
        <v>5.3547859999999998</v>
      </c>
      <c r="E623">
        <v>0.49759239999999999</v>
      </c>
      <c r="F623" t="s">
        <v>42</v>
      </c>
      <c r="G623">
        <v>-300.89389999999997</v>
      </c>
      <c r="H623">
        <v>-0.05</v>
      </c>
      <c r="I623">
        <v>368.0478</v>
      </c>
      <c r="J623">
        <v>-340.32990000000001</v>
      </c>
      <c r="K623">
        <v>1.120439</v>
      </c>
      <c r="L623">
        <v>368.1044</v>
      </c>
      <c r="M623">
        <v>0.99992000000000003</v>
      </c>
      <c r="N623">
        <v>-7.9524390000000004E-3</v>
      </c>
      <c r="O623">
        <v>9.8541180000000003E-3</v>
      </c>
      <c r="P623">
        <v>0.98533099999999996</v>
      </c>
      <c r="Q623">
        <v>0.17058019999999999</v>
      </c>
      <c r="R623">
        <v>-5.050372E-3</v>
      </c>
      <c r="S623">
        <v>3.060638</v>
      </c>
      <c r="T623">
        <v>-9.0052489999999999E-2</v>
      </c>
      <c r="U623">
        <v>-4.0893550000000002E-3</v>
      </c>
      <c r="V623">
        <v>1.473962E-2</v>
      </c>
      <c r="W623">
        <v>0.17841179999999901</v>
      </c>
      <c r="X623">
        <v>0.98384550000000004</v>
      </c>
      <c r="Y623">
        <v>1.1182050000000001E-2</v>
      </c>
      <c r="Z623">
        <v>-4.2045869999999999E-4</v>
      </c>
      <c r="AA623">
        <v>0.99993739999999998</v>
      </c>
      <c r="AB623">
        <v>37</v>
      </c>
      <c r="AC623">
        <v>39.436</v>
      </c>
      <c r="AD623">
        <v>-1.170439</v>
      </c>
      <c r="AE623">
        <v>-5.6600000000003002E-2</v>
      </c>
      <c r="AF623">
        <v>0.44482463758908802</v>
      </c>
      <c r="AG623">
        <v>-1.170439</v>
      </c>
      <c r="AH623">
        <v>39.398822211152101</v>
      </c>
      <c r="AI623">
        <v>91.701503335271298</v>
      </c>
      <c r="AJ623">
        <v>89.353140777381796</v>
      </c>
      <c r="AK623">
        <v>39.418713678111096</v>
      </c>
      <c r="AL623">
        <v>79.7227346735678</v>
      </c>
      <c r="AM623">
        <v>89.141679417923001</v>
      </c>
      <c r="AN623">
        <v>0.999999997323617</v>
      </c>
    </row>
    <row r="624" spans="1:40" x14ac:dyDescent="0.25">
      <c r="A624" t="str">
        <f>"20190303162754850"</f>
        <v>20190303162754850</v>
      </c>
      <c r="B624" t="str">
        <f>"1551601674842124"</f>
        <v>1551601674842124</v>
      </c>
      <c r="C624" t="s">
        <v>40</v>
      </c>
      <c r="D624">
        <v>5.2854729999999996</v>
      </c>
      <c r="E624">
        <v>0.49760260000000001</v>
      </c>
      <c r="F624" t="s">
        <v>42</v>
      </c>
      <c r="G624">
        <v>-278.47649999999999</v>
      </c>
      <c r="H624">
        <v>-0.05</v>
      </c>
      <c r="I624">
        <v>368.35579999999999</v>
      </c>
      <c r="J624">
        <v>-340.1354</v>
      </c>
      <c r="K624">
        <v>1.1204379999999901</v>
      </c>
      <c r="L624">
        <v>368.10629999999998</v>
      </c>
      <c r="M624">
        <v>0.99991940000000001</v>
      </c>
      <c r="N624">
        <v>-7.9649999999999999E-3</v>
      </c>
      <c r="O624">
        <v>9.8845779999999998E-3</v>
      </c>
      <c r="P624">
        <v>0.98538669999999995</v>
      </c>
      <c r="Q624">
        <v>0.17024900000000001</v>
      </c>
      <c r="R624">
        <v>-5.3270130000000002E-3</v>
      </c>
      <c r="S624">
        <v>3.0547490000000002</v>
      </c>
      <c r="T624">
        <v>-5.7804349999999997E-2</v>
      </c>
      <c r="U624">
        <v>1.242065E-2</v>
      </c>
      <c r="V624">
        <v>1.504723E-2</v>
      </c>
      <c r="W624">
        <v>0.1780928</v>
      </c>
      <c r="X624">
        <v>0.98389859999999896</v>
      </c>
      <c r="Y624">
        <v>5.8169550000000004E-3</v>
      </c>
      <c r="Z624">
        <v>-1.864949E-4</v>
      </c>
      <c r="AA624">
        <v>0.99998310000000001</v>
      </c>
      <c r="AB624">
        <v>37</v>
      </c>
      <c r="AC624">
        <v>61.658900000000003</v>
      </c>
      <c r="AD624">
        <v>-1.1704380000000001</v>
      </c>
      <c r="AE624">
        <v>0.24950000000001099</v>
      </c>
      <c r="AF624">
        <v>0.35987407164422802</v>
      </c>
      <c r="AG624">
        <v>-1.1704380000000001</v>
      </c>
      <c r="AH624">
        <v>61.636144591022202</v>
      </c>
      <c r="AI624">
        <v>91.087867458149702</v>
      </c>
      <c r="AJ624">
        <v>89.665471756909696</v>
      </c>
      <c r="AK624">
        <v>61.648306988145897</v>
      </c>
      <c r="AL624">
        <v>79.741309117764104</v>
      </c>
      <c r="AM624">
        <v>89.123816655345607</v>
      </c>
      <c r="AN624">
        <v>0.999999959812235</v>
      </c>
    </row>
    <row r="625" spans="1:40" x14ac:dyDescent="0.25">
      <c r="A625" t="str">
        <f>"20190303162754862"</f>
        <v>20190303162754862</v>
      </c>
      <c r="B625" t="str">
        <f>"1551601674852860"</f>
        <v>1551601674852860</v>
      </c>
      <c r="C625" t="s">
        <v>40</v>
      </c>
      <c r="D625">
        <v>5.278403</v>
      </c>
      <c r="E625">
        <v>0.49748100000000001</v>
      </c>
      <c r="F625" t="s">
        <v>41</v>
      </c>
      <c r="G625">
        <v>-279.74970000000002</v>
      </c>
      <c r="H625" s="1">
        <v>-4.1395389999999998E-7</v>
      </c>
      <c r="I625">
        <v>368.32830000000001</v>
      </c>
      <c r="J625">
        <v>-339.93880000000001</v>
      </c>
      <c r="K625">
        <v>1.1204320000000001</v>
      </c>
      <c r="L625">
        <v>368.10820000000001</v>
      </c>
      <c r="M625">
        <v>0.99991909999999895</v>
      </c>
      <c r="N625">
        <v>-7.9764689999999999E-3</v>
      </c>
      <c r="O625">
        <v>9.9150420000000006E-3</v>
      </c>
      <c r="P625">
        <v>0.98541780000000001</v>
      </c>
      <c r="Q625">
        <v>0.1700728</v>
      </c>
      <c r="R625">
        <v>-5.210498E-3</v>
      </c>
      <c r="S625">
        <v>3.0543520000000002</v>
      </c>
      <c r="T625">
        <v>-5.6672449999999999E-2</v>
      </c>
      <c r="U625">
        <v>1.1230469999999999E-2</v>
      </c>
      <c r="V625">
        <v>1.4961439999999999E-2</v>
      </c>
      <c r="W625">
        <v>0.17792849999999999</v>
      </c>
      <c r="X625">
        <v>0.98392970000000002</v>
      </c>
      <c r="Y625">
        <v>6.236531E-3</v>
      </c>
      <c r="Z625">
        <v>-1.8759460000000001E-4</v>
      </c>
      <c r="AA625">
        <v>0.99998050000000005</v>
      </c>
      <c r="AB625">
        <v>37</v>
      </c>
      <c r="AC625">
        <v>60.189100000000003</v>
      </c>
      <c r="AD625">
        <v>-1.1204324139538999</v>
      </c>
      <c r="AE625">
        <v>0.22010000000000199</v>
      </c>
      <c r="AF625">
        <v>0.37657672660265601</v>
      </c>
      <c r="AG625">
        <v>-1.1204324139538999</v>
      </c>
      <c r="AH625">
        <v>60.167474266696097</v>
      </c>
      <c r="AI625">
        <v>91.066811819075198</v>
      </c>
      <c r="AJ625">
        <v>89.641401344606393</v>
      </c>
      <c r="AK625">
        <v>60.179083895144103</v>
      </c>
      <c r="AL625">
        <v>79.750876282418602</v>
      </c>
      <c r="AM625">
        <v>89.1288388710514</v>
      </c>
      <c r="AN625">
        <v>1.0000000251706</v>
      </c>
    </row>
    <row r="626" spans="1:40" x14ac:dyDescent="0.25">
      <c r="A626" t="str">
        <f>"20190303162754876"</f>
        <v>20190303162754876</v>
      </c>
      <c r="B626" t="str">
        <f>"1551601674862621"</f>
        <v>1551601674862621</v>
      </c>
      <c r="C626" t="s">
        <v>40</v>
      </c>
      <c r="D626">
        <v>5.3426269999999896</v>
      </c>
      <c r="E626">
        <v>0.49736770000000002</v>
      </c>
      <c r="F626" t="s">
        <v>42</v>
      </c>
      <c r="G626">
        <v>-278.67419999999998</v>
      </c>
      <c r="H626">
        <v>-0.05</v>
      </c>
      <c r="I626">
        <v>368.35550000000001</v>
      </c>
      <c r="J626">
        <v>-339.73439999999999</v>
      </c>
      <c r="K626">
        <v>1.1204289999999999</v>
      </c>
      <c r="L626">
        <v>368.1103</v>
      </c>
      <c r="M626">
        <v>0.9999188</v>
      </c>
      <c r="N626">
        <v>-7.9861540000000005E-3</v>
      </c>
      <c r="O626">
        <v>9.9460509999999992E-3</v>
      </c>
      <c r="P626">
        <v>0.98541210000000001</v>
      </c>
      <c r="Q626">
        <v>0.1701078</v>
      </c>
      <c r="R626">
        <v>-5.1726849999999998E-3</v>
      </c>
      <c r="S626">
        <v>3.054535</v>
      </c>
      <c r="T626">
        <v>-5.8355450000000003E-2</v>
      </c>
      <c r="U626">
        <v>1.2329100000000001E-2</v>
      </c>
      <c r="V626">
        <v>1.4954399999999901E-2</v>
      </c>
      <c r="W626">
        <v>0.1779731</v>
      </c>
      <c r="X626">
        <v>0.98392170000000001</v>
      </c>
      <c r="Y626">
        <v>5.9080490000000003E-3</v>
      </c>
      <c r="Z626">
        <v>-1.9058909999999999E-4</v>
      </c>
      <c r="AA626">
        <v>0.9999825</v>
      </c>
      <c r="AB626">
        <v>37</v>
      </c>
      <c r="AC626">
        <v>61.060200000000002</v>
      </c>
      <c r="AD626">
        <v>-1.1704289999999999</v>
      </c>
      <c r="AE626">
        <v>0.24520000000001099</v>
      </c>
      <c r="AF626">
        <v>0.36200625655205099</v>
      </c>
      <c r="AG626">
        <v>-1.1704289999999999</v>
      </c>
      <c r="AH626">
        <v>61.037191938413599</v>
      </c>
      <c r="AI626">
        <v>91.0985309624282</v>
      </c>
      <c r="AJ626">
        <v>89.660187718243407</v>
      </c>
      <c r="AK626">
        <v>61.049486093664697</v>
      </c>
      <c r="AL626">
        <v>79.748279027999601</v>
      </c>
      <c r="AM626">
        <v>89.129241647891007</v>
      </c>
      <c r="AN626">
        <v>0.999999985066929</v>
      </c>
    </row>
    <row r="627" spans="1:40" x14ac:dyDescent="0.25">
      <c r="A627" t="str">
        <f>"20190303162754888"</f>
        <v>20190303162754888</v>
      </c>
      <c r="B627" t="str">
        <f>"1551601674882140"</f>
        <v>1551601674882140</v>
      </c>
      <c r="C627" t="s">
        <v>40</v>
      </c>
      <c r="D627">
        <v>5.3382769999999997</v>
      </c>
      <c r="E627">
        <v>0.49751230000000002</v>
      </c>
      <c r="F627" t="s">
        <v>42</v>
      </c>
      <c r="G627">
        <v>-278.87619999999998</v>
      </c>
      <c r="H627">
        <v>-0.05</v>
      </c>
      <c r="I627">
        <v>368.37119999999999</v>
      </c>
      <c r="J627">
        <v>-339.51729999999998</v>
      </c>
      <c r="K627">
        <v>1.1204229999999999</v>
      </c>
      <c r="L627">
        <v>368.11250000000001</v>
      </c>
      <c r="M627">
        <v>0.99991830000000004</v>
      </c>
      <c r="N627">
        <v>-7.9958589999999993E-3</v>
      </c>
      <c r="O627">
        <v>9.9788489999999997E-3</v>
      </c>
      <c r="P627">
        <v>0.98540850000000002</v>
      </c>
      <c r="Q627">
        <v>0.17012659999999999</v>
      </c>
      <c r="R627">
        <v>-5.2149270000000003E-3</v>
      </c>
      <c r="S627">
        <v>3.0546570000000002</v>
      </c>
      <c r="T627">
        <v>-5.874741E-2</v>
      </c>
      <c r="U627">
        <v>1.3092039999999999E-2</v>
      </c>
      <c r="V627">
        <v>1.502909E-2</v>
      </c>
      <c r="W627">
        <v>0.1780013</v>
      </c>
      <c r="X627">
        <v>0.98391550000000005</v>
      </c>
      <c r="Y627">
        <v>5.6912819999999998E-3</v>
      </c>
      <c r="Z627">
        <v>-1.8958359999999999E-4</v>
      </c>
      <c r="AA627">
        <v>0.99998379999999998</v>
      </c>
      <c r="AB627">
        <v>37</v>
      </c>
      <c r="AC627">
        <v>60.641100000000002</v>
      </c>
      <c r="AD627">
        <v>-1.170423</v>
      </c>
      <c r="AE627">
        <v>0.258699999999976</v>
      </c>
      <c r="AF627">
        <v>0.34633155724061898</v>
      </c>
      <c r="AG627">
        <v>-1.170423</v>
      </c>
      <c r="AH627">
        <v>60.6180809619364</v>
      </c>
      <c r="AI627">
        <v>91.106120012655197</v>
      </c>
      <c r="AJ627">
        <v>89.672653434071094</v>
      </c>
      <c r="AK627">
        <v>60.630368422551598</v>
      </c>
      <c r="AL627">
        <v>79.746637470376399</v>
      </c>
      <c r="AM627">
        <v>89.124887791937695</v>
      </c>
      <c r="AN627">
        <v>1.00000002374408</v>
      </c>
    </row>
    <row r="628" spans="1:40" x14ac:dyDescent="0.25">
      <c r="A628" t="str">
        <f>"20190303162754904"</f>
        <v>20190303162754904</v>
      </c>
      <c r="B628" t="str">
        <f>"1551601674891900"</f>
        <v>1551601674891900</v>
      </c>
      <c r="C628" t="s">
        <v>40</v>
      </c>
      <c r="D628">
        <v>5.3370059999999997</v>
      </c>
      <c r="E628">
        <v>0.49739909999999998</v>
      </c>
      <c r="F628" t="s">
        <v>42</v>
      </c>
      <c r="G628">
        <v>-279.99689999999998</v>
      </c>
      <c r="H628">
        <v>-0.05</v>
      </c>
      <c r="I628">
        <v>368.34559999999999</v>
      </c>
      <c r="J628">
        <v>-339.24939999999998</v>
      </c>
      <c r="K628">
        <v>1.1204209999999999</v>
      </c>
      <c r="L628">
        <v>368.11520000000002</v>
      </c>
      <c r="M628">
        <v>0.99991779999999997</v>
      </c>
      <c r="N628">
        <v>-8.0068099999999996E-3</v>
      </c>
      <c r="O628">
        <v>1.0018549999999999E-2</v>
      </c>
      <c r="P628">
        <v>0.98539299999999996</v>
      </c>
      <c r="Q628">
        <v>0.17023179999999999</v>
      </c>
      <c r="R628">
        <v>-4.6959799999999998E-3</v>
      </c>
      <c r="S628">
        <v>3.0548709999999999</v>
      </c>
      <c r="T628">
        <v>-6.007171E-2</v>
      </c>
      <c r="U628">
        <v>1.196289E-2</v>
      </c>
      <c r="V628">
        <v>1.454948E-2</v>
      </c>
      <c r="W628">
        <v>0.1781172</v>
      </c>
      <c r="X628">
        <v>0.98390169999999999</v>
      </c>
      <c r="Y628">
        <v>6.1006799999999998E-3</v>
      </c>
      <c r="Z628">
        <v>-2.011735E-4</v>
      </c>
      <c r="AA628">
        <v>0.99998129999999996</v>
      </c>
      <c r="AB628">
        <v>37</v>
      </c>
      <c r="AC628">
        <v>59.252499999999998</v>
      </c>
      <c r="AD628">
        <v>-1.1704209999999999</v>
      </c>
      <c r="AE628">
        <v>0.23039999999997399</v>
      </c>
      <c r="AF628">
        <v>0.36311302186439498</v>
      </c>
      <c r="AG628">
        <v>-1.1704209999999999</v>
      </c>
      <c r="AH628">
        <v>59.228724630688902</v>
      </c>
      <c r="AI628">
        <v>91.132055389237806</v>
      </c>
      <c r="AJ628">
        <v>89.648741668471501</v>
      </c>
      <c r="AK628">
        <v>59.241400707291398</v>
      </c>
      <c r="AL628">
        <v>79.739888696126201</v>
      </c>
      <c r="AM628">
        <v>89.152798452408106</v>
      </c>
      <c r="AN628">
        <v>0.99999998978350002</v>
      </c>
    </row>
    <row r="629" spans="1:40" x14ac:dyDescent="0.25">
      <c r="A629" t="str">
        <f>"20190303162754916"</f>
        <v>20190303162754916</v>
      </c>
      <c r="B629" t="str">
        <f>"1551601674901659"</f>
        <v>1551601674901659</v>
      </c>
      <c r="C629" t="s">
        <v>40</v>
      </c>
      <c r="D629">
        <v>5.3330209999999996</v>
      </c>
      <c r="E629">
        <v>0.49727919999999998</v>
      </c>
      <c r="F629" t="s">
        <v>42</v>
      </c>
      <c r="G629">
        <v>-280.22129999999999</v>
      </c>
      <c r="H629">
        <v>-0.05</v>
      </c>
      <c r="I629">
        <v>368.39819999999997</v>
      </c>
      <c r="J629">
        <v>-339.05399999999997</v>
      </c>
      <c r="K629">
        <v>1.1204240000000001</v>
      </c>
      <c r="L629">
        <v>368.11720000000003</v>
      </c>
      <c r="M629">
        <v>0.99991739999999996</v>
      </c>
      <c r="N629">
        <v>-8.0141239999999992E-3</v>
      </c>
      <c r="O629">
        <v>1.004707E-2</v>
      </c>
      <c r="P629">
        <v>0.98543159999999996</v>
      </c>
      <c r="Q629">
        <v>0.17001810000000001</v>
      </c>
      <c r="R629">
        <v>-4.303711E-3</v>
      </c>
      <c r="S629">
        <v>3.0549930000000001</v>
      </c>
      <c r="T629">
        <v>-6.0575009999999999E-2</v>
      </c>
      <c r="U629">
        <v>1.464844E-2</v>
      </c>
      <c r="V629">
        <v>1.4185720000000001E-2</v>
      </c>
      <c r="W629">
        <v>0.1779107</v>
      </c>
      <c r="X629">
        <v>0.98394440000000005</v>
      </c>
      <c r="Y629">
        <v>5.2505109999999898E-3</v>
      </c>
      <c r="Z629">
        <v>-1.9176609999999999E-4</v>
      </c>
      <c r="AA629">
        <v>0.99998620000000005</v>
      </c>
      <c r="AB629">
        <v>37</v>
      </c>
      <c r="AC629">
        <v>58.832700000000003</v>
      </c>
      <c r="AD629">
        <v>-1.1704239999999999</v>
      </c>
      <c r="AE629">
        <v>0.28099999999994901</v>
      </c>
      <c r="AF629">
        <v>0.310006738524081</v>
      </c>
      <c r="AG629">
        <v>-1.1704239999999999</v>
      </c>
      <c r="AH629">
        <v>58.809278919630799</v>
      </c>
      <c r="AI629">
        <v>91.140135935115694</v>
      </c>
      <c r="AJ629">
        <v>89.697974307023699</v>
      </c>
      <c r="AK629">
        <v>58.8217415890132</v>
      </c>
      <c r="AL629">
        <v>79.751912598982898</v>
      </c>
      <c r="AM629">
        <v>89.174012699669603</v>
      </c>
      <c r="AN629">
        <v>1.0000000170588801</v>
      </c>
    </row>
    <row r="630" spans="1:40" x14ac:dyDescent="0.25">
      <c r="A630" t="str">
        <f>"20190303162754928"</f>
        <v>20190303162754928</v>
      </c>
      <c r="B630" t="str">
        <f>"1551601674922156"</f>
        <v>1551601674922156</v>
      </c>
      <c r="C630" t="s">
        <v>40</v>
      </c>
      <c r="D630">
        <v>5.3387830000000003</v>
      </c>
      <c r="E630">
        <v>0.49730340000000001</v>
      </c>
      <c r="F630" t="s">
        <v>42</v>
      </c>
      <c r="G630">
        <v>-281.90449999999998</v>
      </c>
      <c r="H630">
        <v>-0.05</v>
      </c>
      <c r="I630">
        <v>368.4357</v>
      </c>
      <c r="J630">
        <v>-338.8623</v>
      </c>
      <c r="K630">
        <v>1.1204240000000001</v>
      </c>
      <c r="L630">
        <v>368.1191</v>
      </c>
      <c r="M630">
        <v>0.99991719999999895</v>
      </c>
      <c r="N630">
        <v>-8.0210850000000007E-3</v>
      </c>
      <c r="O630">
        <v>1.007506E-2</v>
      </c>
      <c r="P630">
        <v>0.98543760000000002</v>
      </c>
      <c r="Q630">
        <v>0.16999239999999999</v>
      </c>
      <c r="R630">
        <v>-3.9371859999999996E-3</v>
      </c>
      <c r="S630">
        <v>3.0552670000000002</v>
      </c>
      <c r="T630">
        <v>-6.2572000000000003E-2</v>
      </c>
      <c r="U630">
        <v>1.7028809999999998E-2</v>
      </c>
      <c r="V630">
        <v>1.3847180000000001E-2</v>
      </c>
      <c r="W630">
        <v>0.17789240000000001</v>
      </c>
      <c r="X630">
        <v>0.98395250000000001</v>
      </c>
      <c r="Y630">
        <v>4.4999080000000004E-3</v>
      </c>
      <c r="Z630">
        <v>-1.896244E-4</v>
      </c>
      <c r="AA630">
        <v>0.99998989999999999</v>
      </c>
      <c r="AB630">
        <v>37</v>
      </c>
      <c r="AC630">
        <v>56.957799999999999</v>
      </c>
      <c r="AD630">
        <v>-1.1704239999999999</v>
      </c>
      <c r="AE630">
        <v>0.316599999999993</v>
      </c>
      <c r="AF630">
        <v>0.25717911827053602</v>
      </c>
      <c r="AG630">
        <v>-1.1704239999999999</v>
      </c>
      <c r="AH630">
        <v>56.934058567293903</v>
      </c>
      <c r="AI630">
        <v>91.177682196032904</v>
      </c>
      <c r="AJ630">
        <v>89.741188697845104</v>
      </c>
      <c r="AK630">
        <v>56.946668545075497</v>
      </c>
      <c r="AL630">
        <v>79.752977789980207</v>
      </c>
      <c r="AM630">
        <v>89.193728760481093</v>
      </c>
      <c r="AN630">
        <v>0.99999998631398102</v>
      </c>
    </row>
    <row r="631" spans="1:40" x14ac:dyDescent="0.25">
      <c r="A631" t="str">
        <f>"20190303162754941"</f>
        <v>20190303162754941</v>
      </c>
      <c r="B631" t="str">
        <f>"1551601674931916"</f>
        <v>1551601674931916</v>
      </c>
      <c r="C631" t="s">
        <v>40</v>
      </c>
      <c r="D631">
        <v>5.336201</v>
      </c>
      <c r="E631">
        <v>0.49722889999999997</v>
      </c>
      <c r="F631" t="s">
        <v>42</v>
      </c>
      <c r="G631">
        <v>-283.64940000000001</v>
      </c>
      <c r="H631">
        <v>-0.05</v>
      </c>
      <c r="I631">
        <v>368.44499999999999</v>
      </c>
      <c r="J631">
        <v>-338.64060000000001</v>
      </c>
      <c r="K631">
        <v>1.1204240000000001</v>
      </c>
      <c r="L631">
        <v>368.12139999999999</v>
      </c>
      <c r="M631">
        <v>0.99991680000000005</v>
      </c>
      <c r="N631">
        <v>-8.0287869999999904E-3</v>
      </c>
      <c r="O631">
        <v>1.0107390000000001E-2</v>
      </c>
      <c r="P631">
        <v>0.98544030000000005</v>
      </c>
      <c r="Q631">
        <v>0.16998869999999999</v>
      </c>
      <c r="R631">
        <v>-3.3846190000000002E-3</v>
      </c>
      <c r="S631">
        <v>3.0555729999999999</v>
      </c>
      <c r="T631">
        <v>-6.4773200000000003E-2</v>
      </c>
      <c r="U631">
        <v>1.8035889999999999E-2</v>
      </c>
      <c r="V631">
        <v>1.332645E-2</v>
      </c>
      <c r="W631">
        <v>0.17789569999999999</v>
      </c>
      <c r="X631">
        <v>0.98395909999999998</v>
      </c>
      <c r="Y631">
        <v>4.203142E-3</v>
      </c>
      <c r="Z631">
        <v>-1.9450399999999999E-4</v>
      </c>
      <c r="AA631">
        <v>0.99999110000000002</v>
      </c>
      <c r="AB631">
        <v>37</v>
      </c>
      <c r="AC631">
        <v>54.9911999999999</v>
      </c>
      <c r="AD631">
        <v>-1.1704239999999999</v>
      </c>
      <c r="AE631">
        <v>0.323599999999998</v>
      </c>
      <c r="AF631">
        <v>0.23214672853960999</v>
      </c>
      <c r="AG631">
        <v>-1.1704239999999999</v>
      </c>
      <c r="AH631">
        <v>54.966762485344098</v>
      </c>
      <c r="AI631">
        <v>91.219821255610498</v>
      </c>
      <c r="AJ631">
        <v>89.758018335290203</v>
      </c>
      <c r="AK631">
        <v>54.979712281564197</v>
      </c>
      <c r="AL631">
        <v>79.752785712338294</v>
      </c>
      <c r="AM631">
        <v>89.224050410636707</v>
      </c>
      <c r="AN631">
        <v>0.99999999241045101</v>
      </c>
    </row>
    <row r="632" spans="1:40" x14ac:dyDescent="0.25">
      <c r="A632" t="str">
        <f>"20190303162754954"</f>
        <v>20190303162754954</v>
      </c>
      <c r="B632" t="str">
        <f>"1551601674941676"</f>
        <v>1551601674941676</v>
      </c>
      <c r="C632" t="s">
        <v>40</v>
      </c>
      <c r="D632">
        <v>5.3351800000000003</v>
      </c>
      <c r="E632">
        <v>0.49721359999999998</v>
      </c>
      <c r="F632" t="s">
        <v>42</v>
      </c>
      <c r="G632">
        <v>-284.10539999999997</v>
      </c>
      <c r="H632">
        <v>-0.05</v>
      </c>
      <c r="I632">
        <v>368.4819</v>
      </c>
      <c r="J632">
        <v>-338.44119999999998</v>
      </c>
      <c r="K632">
        <v>1.1204149999999999</v>
      </c>
      <c r="L632">
        <v>368.1234</v>
      </c>
      <c r="M632">
        <v>0.99991649999999999</v>
      </c>
      <c r="N632">
        <v>-8.0336499999999998E-3</v>
      </c>
      <c r="O632">
        <v>1.013621E-2</v>
      </c>
      <c r="P632">
        <v>0.9854657</v>
      </c>
      <c r="Q632">
        <v>0.16985049999999999</v>
      </c>
      <c r="R632">
        <v>-2.9074550000000002E-3</v>
      </c>
      <c r="S632">
        <v>3.0556950000000001</v>
      </c>
      <c r="T632">
        <v>-6.5580730000000004E-2</v>
      </c>
      <c r="U632">
        <v>2.0202640000000001E-2</v>
      </c>
      <c r="V632">
        <v>1.2878239999999999E-2</v>
      </c>
      <c r="W632">
        <v>0.1777629</v>
      </c>
      <c r="X632">
        <v>0.98398909999999995</v>
      </c>
      <c r="Y632">
        <v>3.5233019999999999E-3</v>
      </c>
      <c r="Z632">
        <v>-1.880409E-4</v>
      </c>
      <c r="AA632">
        <v>0.99999380000000004</v>
      </c>
      <c r="AB632">
        <v>37</v>
      </c>
      <c r="AC632">
        <v>54.335799999999999</v>
      </c>
      <c r="AD632">
        <v>-1.170415</v>
      </c>
      <c r="AE632">
        <v>0.35849999999999199</v>
      </c>
      <c r="AF632">
        <v>0.19220601409434199</v>
      </c>
      <c r="AG632">
        <v>-1.170415</v>
      </c>
      <c r="AH632">
        <v>54.311443580033597</v>
      </c>
      <c r="AI632">
        <v>91.234528812599706</v>
      </c>
      <c r="AJ632">
        <v>89.797233387582807</v>
      </c>
      <c r="AK632">
        <v>54.324393399017801</v>
      </c>
      <c r="AL632">
        <v>79.760518151173599</v>
      </c>
      <c r="AM632">
        <v>89.250167838247407</v>
      </c>
      <c r="AN632">
        <v>1.0000000233003501</v>
      </c>
    </row>
    <row r="633" spans="1:40" x14ac:dyDescent="0.25">
      <c r="A633" t="str">
        <f>"20190303162754967"</f>
        <v>20190303162754967</v>
      </c>
      <c r="B633" t="str">
        <f>"1551601674952412"</f>
        <v>1551601674952412</v>
      </c>
      <c r="C633" t="s">
        <v>40</v>
      </c>
      <c r="D633">
        <v>5.2751939999999999</v>
      </c>
      <c r="E633">
        <v>0.4971682</v>
      </c>
      <c r="F633" t="s">
        <v>42</v>
      </c>
      <c r="G633">
        <v>-284.50439999999998</v>
      </c>
      <c r="H633">
        <v>-0.05</v>
      </c>
      <c r="I633">
        <v>368.50639999999999</v>
      </c>
      <c r="J633">
        <v>-338.22980000000001</v>
      </c>
      <c r="K633">
        <v>1.1204179999999999</v>
      </c>
      <c r="L633">
        <v>368.12560000000002</v>
      </c>
      <c r="M633">
        <v>0.99991609999999997</v>
      </c>
      <c r="N633">
        <v>-8.0379079999999999E-3</v>
      </c>
      <c r="O633">
        <v>1.0166710000000001E-2</v>
      </c>
      <c r="P633">
        <v>0.98548329999999995</v>
      </c>
      <c r="Q633">
        <v>0.1697526</v>
      </c>
      <c r="R633">
        <v>-2.629251E-3</v>
      </c>
      <c r="S633">
        <v>3.0556950000000001</v>
      </c>
      <c r="T633">
        <v>-6.6307779999999997E-2</v>
      </c>
      <c r="U633">
        <v>2.1697999999999999E-2</v>
      </c>
      <c r="V633">
        <v>1.263046E-2</v>
      </c>
      <c r="W633">
        <v>0.17766899999999999</v>
      </c>
      <c r="X633">
        <v>0.98400929999999998</v>
      </c>
      <c r="Y633">
        <v>3.0645490000000002E-3</v>
      </c>
      <c r="Z633">
        <v>-1.8443060000000001E-4</v>
      </c>
      <c r="AA633">
        <v>0.99999530000000003</v>
      </c>
      <c r="AB633">
        <v>37</v>
      </c>
      <c r="AC633">
        <v>53.7254</v>
      </c>
      <c r="AD633">
        <v>-1.170418</v>
      </c>
      <c r="AE633">
        <v>0.380799999999965</v>
      </c>
      <c r="AF633">
        <v>0.16536936118131401</v>
      </c>
      <c r="AG633">
        <v>-1.170418</v>
      </c>
      <c r="AH633">
        <v>53.701009853294003</v>
      </c>
      <c r="AI633">
        <v>91.248562711470498</v>
      </c>
      <c r="AJ633">
        <v>89.823561297409697</v>
      </c>
      <c r="AK633">
        <v>53.714017579994099</v>
      </c>
      <c r="AL633">
        <v>79.765985550796998</v>
      </c>
      <c r="AM633">
        <v>89.264608259034901</v>
      </c>
      <c r="AN633">
        <v>1.0000000522836401</v>
      </c>
    </row>
    <row r="634" spans="1:40" x14ac:dyDescent="0.25">
      <c r="A634" t="str">
        <f>"20190303162754984"</f>
        <v>20190303162754984</v>
      </c>
      <c r="B634" t="str">
        <f>"1551601674971932"</f>
        <v>1551601674971932</v>
      </c>
      <c r="C634" t="s">
        <v>40</v>
      </c>
      <c r="D634">
        <v>5.3382589999999999</v>
      </c>
      <c r="E634">
        <v>0.4972104</v>
      </c>
      <c r="F634" t="s">
        <v>42</v>
      </c>
      <c r="G634">
        <v>-285.00839999999999</v>
      </c>
      <c r="H634">
        <v>-0.05</v>
      </c>
      <c r="I634">
        <v>368.52629999999999</v>
      </c>
      <c r="J634">
        <v>-337.9375</v>
      </c>
      <c r="K634">
        <v>1.1204179999999999</v>
      </c>
      <c r="L634">
        <v>368.12860000000001</v>
      </c>
      <c r="M634">
        <v>0.99991560000000002</v>
      </c>
      <c r="N634">
        <v>-8.0413989999999994E-3</v>
      </c>
      <c r="O634">
        <v>1.0209299999999999E-2</v>
      </c>
      <c r="P634">
        <v>0.98549279999999995</v>
      </c>
      <c r="Q634">
        <v>0.1696994</v>
      </c>
      <c r="R634">
        <v>-2.4981700000000001E-3</v>
      </c>
      <c r="S634">
        <v>3.0557859999999999</v>
      </c>
      <c r="T634">
        <v>-6.7201259999999999E-2</v>
      </c>
      <c r="U634">
        <v>2.3010249999999999E-2</v>
      </c>
      <c r="V634">
        <v>1.2541750000000001E-2</v>
      </c>
      <c r="W634">
        <v>0.17761930000000001</v>
      </c>
      <c r="X634">
        <v>0.98401930000000004</v>
      </c>
      <c r="Y634">
        <v>2.678012E-3</v>
      </c>
      <c r="Z634">
        <v>-1.8260180000000001E-4</v>
      </c>
      <c r="AA634">
        <v>0.99999640000000001</v>
      </c>
      <c r="AB634">
        <v>37</v>
      </c>
      <c r="AC634">
        <v>52.929099999999998</v>
      </c>
      <c r="AD634">
        <v>-1.170418</v>
      </c>
      <c r="AE634">
        <v>0.39769999999998601</v>
      </c>
      <c r="AF634">
        <v>0.14263749015028801</v>
      </c>
      <c r="AG634">
        <v>-1.170418</v>
      </c>
      <c r="AH634">
        <v>52.904533814902798</v>
      </c>
      <c r="AI634">
        <v>91.267355099738793</v>
      </c>
      <c r="AJ634">
        <v>89.845523515767397</v>
      </c>
      <c r="AK634">
        <v>52.917671168717497</v>
      </c>
      <c r="AL634">
        <v>79.7688780858022</v>
      </c>
      <c r="AM634">
        <v>89.269780139634094</v>
      </c>
      <c r="AN634">
        <v>0.99999994699901995</v>
      </c>
    </row>
    <row r="635" spans="1:40" x14ac:dyDescent="0.25">
      <c r="A635" t="str">
        <f>"20190303162754998"</f>
        <v>20190303162754998</v>
      </c>
      <c r="B635" t="str">
        <f>"1551601674992427"</f>
        <v>1551601674992427</v>
      </c>
      <c r="C635" t="s">
        <v>40</v>
      </c>
      <c r="D635">
        <v>5.3360810000000001</v>
      </c>
      <c r="E635">
        <v>0.49741439999999998</v>
      </c>
      <c r="F635" t="s">
        <v>42</v>
      </c>
      <c r="G635">
        <v>-285.63279999999997</v>
      </c>
      <c r="H635">
        <v>-0.05</v>
      </c>
      <c r="I635">
        <v>368.51819999999998</v>
      </c>
      <c r="J635">
        <v>-337.69150000000002</v>
      </c>
      <c r="K635">
        <v>1.1204149999999999</v>
      </c>
      <c r="L635">
        <v>368.13119999999998</v>
      </c>
      <c r="M635">
        <v>0.9999152</v>
      </c>
      <c r="N635">
        <v>-8.0432379999999994E-3</v>
      </c>
      <c r="O635">
        <v>1.024332E-2</v>
      </c>
      <c r="P635">
        <v>0.98553369999999996</v>
      </c>
      <c r="Q635">
        <v>0.16946149999999999</v>
      </c>
      <c r="R635">
        <v>-2.495766E-3</v>
      </c>
      <c r="S635">
        <v>3.0560299999999998</v>
      </c>
      <c r="T635">
        <v>-6.8384529999999999E-2</v>
      </c>
      <c r="U635">
        <v>2.2766109999999999E-2</v>
      </c>
      <c r="V635">
        <v>1.2573590000000001E-2</v>
      </c>
      <c r="W635">
        <v>0.17738380000000001</v>
      </c>
      <c r="X635">
        <v>0.98406139999999998</v>
      </c>
      <c r="Y635">
        <v>2.7923959999999999E-3</v>
      </c>
      <c r="Z635">
        <v>-1.892625E-4</v>
      </c>
      <c r="AA635">
        <v>0.99999610000000005</v>
      </c>
      <c r="AB635">
        <v>37</v>
      </c>
      <c r="AC635">
        <v>52.058700000000002</v>
      </c>
      <c r="AD635">
        <v>-1.170415</v>
      </c>
      <c r="AE635">
        <v>0.38700000000000001</v>
      </c>
      <c r="AF635">
        <v>0.146217566566855</v>
      </c>
      <c r="AG635">
        <v>-1.170415</v>
      </c>
      <c r="AH635">
        <v>52.033633049506498</v>
      </c>
      <c r="AI635">
        <v>91.288556360718403</v>
      </c>
      <c r="AJ635">
        <v>89.838995916431301</v>
      </c>
      <c r="AK635">
        <v>52.047000097793301</v>
      </c>
      <c r="AL635">
        <v>79.782589236067395</v>
      </c>
      <c r="AM635">
        <v>89.267957832953698</v>
      </c>
      <c r="AN635">
        <v>0.99999997331894297</v>
      </c>
    </row>
    <row r="636" spans="1:40" x14ac:dyDescent="0.25">
      <c r="A636" t="str">
        <f>"20190303162755011"</f>
        <v>20190303162755011</v>
      </c>
      <c r="B636" t="str">
        <f>"1551601675002188"</f>
        <v>1551601675002188</v>
      </c>
      <c r="C636" t="s">
        <v>40</v>
      </c>
      <c r="D636">
        <v>5.275156</v>
      </c>
      <c r="E636">
        <v>0.49740879999999998</v>
      </c>
      <c r="F636" t="s">
        <v>42</v>
      </c>
      <c r="G636">
        <v>-284.36709999999999</v>
      </c>
      <c r="H636">
        <v>-0.05</v>
      </c>
      <c r="I636">
        <v>368.505</v>
      </c>
      <c r="J636">
        <v>-337.47949999999997</v>
      </c>
      <c r="K636">
        <v>1.1204130000000001</v>
      </c>
      <c r="L636">
        <v>368.13330000000002</v>
      </c>
      <c r="M636">
        <v>0.99991490000000005</v>
      </c>
      <c r="N636">
        <v>-8.0447590000000003E-3</v>
      </c>
      <c r="O636">
        <v>1.027198E-2</v>
      </c>
      <c r="P636">
        <v>0.98555760000000003</v>
      </c>
      <c r="Q636">
        <v>0.16932349999999999</v>
      </c>
      <c r="R636">
        <v>-2.3805829999999999E-3</v>
      </c>
      <c r="S636">
        <v>3.0556030000000001</v>
      </c>
      <c r="T636">
        <v>-6.7067269999999998E-2</v>
      </c>
      <c r="U636">
        <v>2.1423339999999999E-2</v>
      </c>
      <c r="V636">
        <v>1.24875E-2</v>
      </c>
      <c r="W636">
        <v>0.17724719999999999</v>
      </c>
      <c r="X636">
        <v>0.98408720000000005</v>
      </c>
      <c r="Y636">
        <v>3.2593700000000001E-3</v>
      </c>
      <c r="Z636">
        <v>-1.9167079999999999E-4</v>
      </c>
      <c r="AA636">
        <v>0.99999470000000001</v>
      </c>
      <c r="AB636">
        <v>37</v>
      </c>
      <c r="AC636">
        <v>53.112399999999901</v>
      </c>
      <c r="AD636">
        <v>-1.1704129999999999</v>
      </c>
      <c r="AE636">
        <v>0.37169999999997499</v>
      </c>
      <c r="AF636">
        <v>0.173822360877494</v>
      </c>
      <c r="AG636">
        <v>-1.1704129999999999</v>
      </c>
      <c r="AH636">
        <v>53.087637369956198</v>
      </c>
      <c r="AI636">
        <v>91.262977735169599</v>
      </c>
      <c r="AJ636">
        <v>89.812399787095103</v>
      </c>
      <c r="AK636">
        <v>53.100822237774103</v>
      </c>
      <c r="AL636">
        <v>79.790542775572504</v>
      </c>
      <c r="AM636">
        <v>89.272988564659997</v>
      </c>
      <c r="AN636">
        <v>1.00000006238396</v>
      </c>
    </row>
    <row r="637" spans="1:40" x14ac:dyDescent="0.25">
      <c r="A637" t="str">
        <f>"20190303162755029"</f>
        <v>20190303162755029</v>
      </c>
      <c r="B637" t="str">
        <f>"1551601675021708"</f>
        <v>1551601675021708</v>
      </c>
      <c r="C637" t="s">
        <v>40</v>
      </c>
      <c r="D637">
        <v>5.2740039999999997</v>
      </c>
      <c r="E637">
        <v>0.49751790000000001</v>
      </c>
      <c r="F637" t="s">
        <v>42</v>
      </c>
      <c r="G637">
        <v>-284.56909999999999</v>
      </c>
      <c r="H637">
        <v>-0.05</v>
      </c>
      <c r="I637">
        <v>368.5043</v>
      </c>
      <c r="J637">
        <v>-337.19029999999998</v>
      </c>
      <c r="K637">
        <v>1.120411</v>
      </c>
      <c r="L637">
        <v>368.13630000000001</v>
      </c>
      <c r="M637">
        <v>0.99991450000000004</v>
      </c>
      <c r="N637">
        <v>-8.0468789999999998E-3</v>
      </c>
      <c r="O637">
        <v>1.0309860000000001E-2</v>
      </c>
      <c r="P637">
        <v>0.98570360000000001</v>
      </c>
      <c r="Q637">
        <v>0.168469799999999</v>
      </c>
      <c r="R637">
        <v>-2.5678540000000001E-3</v>
      </c>
      <c r="S637">
        <v>3.055634</v>
      </c>
      <c r="T637">
        <v>-6.7592620000000006E-2</v>
      </c>
      <c r="U637">
        <v>2.1423339999999999E-2</v>
      </c>
      <c r="V637">
        <v>1.271417E-2</v>
      </c>
      <c r="W637">
        <v>0.17639679999999999</v>
      </c>
      <c r="X637">
        <v>0.98423700000000003</v>
      </c>
      <c r="Y637">
        <v>3.2972729999999999E-3</v>
      </c>
      <c r="Z637">
        <v>-1.9480020000000001E-4</v>
      </c>
      <c r="AA637">
        <v>0.99999450000000001</v>
      </c>
      <c r="AB637">
        <v>37</v>
      </c>
      <c r="AC637">
        <v>52.621199999999902</v>
      </c>
      <c r="AD637">
        <v>-1.1704110000000001</v>
      </c>
      <c r="AE637">
        <v>0.367999999999995</v>
      </c>
      <c r="AF637">
        <v>0.17446800814736499</v>
      </c>
      <c r="AG637">
        <v>-1.1704110000000001</v>
      </c>
      <c r="AH637">
        <v>52.596178398924302</v>
      </c>
      <c r="AI637">
        <v>91.274772772022303</v>
      </c>
      <c r="AJ637">
        <v>89.809943532640801</v>
      </c>
      <c r="AK637">
        <v>52.609488527890697</v>
      </c>
      <c r="AL637">
        <v>79.8400462729808</v>
      </c>
      <c r="AM637">
        <v>89.259906135021595</v>
      </c>
      <c r="AN637">
        <v>0.99999997666901397</v>
      </c>
    </row>
    <row r="638" spans="1:40" x14ac:dyDescent="0.25">
      <c r="A638" t="str">
        <f>"20190303162755042"</f>
        <v>20190303162755042</v>
      </c>
      <c r="B638" t="str">
        <f>"1551601675032443"</f>
        <v>1551601675032443</v>
      </c>
      <c r="C638" t="s">
        <v>40</v>
      </c>
      <c r="D638">
        <v>5.0590400000000004</v>
      </c>
      <c r="E638">
        <v>0.49759389999999998</v>
      </c>
      <c r="F638" t="s">
        <v>42</v>
      </c>
      <c r="G638">
        <v>-286.39139999999998</v>
      </c>
      <c r="H638">
        <v>-0.05</v>
      </c>
      <c r="I638">
        <v>368.47320000000002</v>
      </c>
      <c r="J638">
        <v>-336.95389999999998</v>
      </c>
      <c r="K638">
        <v>1.1204080000000001</v>
      </c>
      <c r="L638">
        <v>368.1388</v>
      </c>
      <c r="M638">
        <v>0.99991419999999998</v>
      </c>
      <c r="N638">
        <v>-8.0487530000000005E-3</v>
      </c>
      <c r="O638">
        <v>1.03397E-2</v>
      </c>
      <c r="P638">
        <v>0.98575330000000005</v>
      </c>
      <c r="Q638">
        <v>0.1681801</v>
      </c>
      <c r="R638">
        <v>-2.4739240000000002E-3</v>
      </c>
      <c r="S638">
        <v>3.055634</v>
      </c>
      <c r="T638">
        <v>-7.0402149999999997E-2</v>
      </c>
      <c r="U638">
        <v>2.0263670000000001E-2</v>
      </c>
      <c r="V638">
        <v>1.265088E-2</v>
      </c>
      <c r="W638">
        <v>0.1761095</v>
      </c>
      <c r="X638">
        <v>0.98428930000000003</v>
      </c>
      <c r="Y638">
        <v>3.706244E-3</v>
      </c>
      <c r="Z638">
        <v>-2.1258010000000001E-4</v>
      </c>
      <c r="AA638">
        <v>0.99999309999999997</v>
      </c>
      <c r="AB638">
        <v>37</v>
      </c>
      <c r="AC638">
        <v>50.5625</v>
      </c>
      <c r="AD638">
        <v>-1.1704079999999999</v>
      </c>
      <c r="AE638">
        <v>0.33440000000001602</v>
      </c>
      <c r="AF638">
        <v>0.18833495829969499</v>
      </c>
      <c r="AG638">
        <v>-1.1704079999999999</v>
      </c>
      <c r="AH638">
        <v>50.536177636342302</v>
      </c>
      <c r="AI638">
        <v>91.3267126754141</v>
      </c>
      <c r="AJ638">
        <v>89.786474783130402</v>
      </c>
      <c r="AK638">
        <v>50.550079871696802</v>
      </c>
      <c r="AL638">
        <v>79.856769526435997</v>
      </c>
      <c r="AM638">
        <v>89.263628973978101</v>
      </c>
      <c r="AN638">
        <v>1.00000001342475</v>
      </c>
    </row>
    <row r="639" spans="1:40" x14ac:dyDescent="0.25">
      <c r="A639" t="str">
        <f>"20190303162755054"</f>
        <v>20190303162755054</v>
      </c>
      <c r="B639" t="str">
        <f>"1551601675042205"</f>
        <v>1551601675042205</v>
      </c>
      <c r="C639" t="s">
        <v>40</v>
      </c>
      <c r="D639">
        <v>4.9955439999999998</v>
      </c>
      <c r="E639">
        <v>0.49760310000000002</v>
      </c>
      <c r="F639" t="s">
        <v>42</v>
      </c>
      <c r="G639">
        <v>-286.91000000000003</v>
      </c>
      <c r="H639">
        <v>-0.05</v>
      </c>
      <c r="I639">
        <v>368.46370000000002</v>
      </c>
      <c r="J639">
        <v>-336.75479999999999</v>
      </c>
      <c r="K639">
        <v>1.120406</v>
      </c>
      <c r="L639">
        <v>368.14089999999999</v>
      </c>
      <c r="M639">
        <v>0.99991379999999996</v>
      </c>
      <c r="N639">
        <v>-8.0505890000000004E-3</v>
      </c>
      <c r="O639">
        <v>1.0362629999999999E-2</v>
      </c>
      <c r="P639">
        <v>0.98581609999999997</v>
      </c>
      <c r="Q639">
        <v>0.16781009999999999</v>
      </c>
      <c r="R639">
        <v>-2.5126459999999999E-3</v>
      </c>
      <c r="S639">
        <v>3.055634</v>
      </c>
      <c r="T639">
        <v>-7.1463940000000004E-2</v>
      </c>
      <c r="U639">
        <v>1.9836429999999999E-2</v>
      </c>
      <c r="V639">
        <v>1.27137E-2</v>
      </c>
      <c r="W639">
        <v>0.17574200000000001</v>
      </c>
      <c r="X639">
        <v>0.98435410000000001</v>
      </c>
      <c r="Y639">
        <v>3.868832E-3</v>
      </c>
      <c r="Z639">
        <v>-2.1970710000000001E-4</v>
      </c>
      <c r="AA639">
        <v>0.99999249999999995</v>
      </c>
      <c r="AB639">
        <v>37</v>
      </c>
      <c r="AC639">
        <v>49.8447999999999</v>
      </c>
      <c r="AD639">
        <v>-1.1704060000000001</v>
      </c>
      <c r="AE639">
        <v>0.32280000000002901</v>
      </c>
      <c r="AF639">
        <v>0.193650576981305</v>
      </c>
      <c r="AG639">
        <v>-1.1704060000000001</v>
      </c>
      <c r="AH639">
        <v>49.818002268224902</v>
      </c>
      <c r="AI639">
        <v>91.345828435130002</v>
      </c>
      <c r="AJ639">
        <v>89.777283223474697</v>
      </c>
      <c r="AK639">
        <v>49.832125187951398</v>
      </c>
      <c r="AL639">
        <v>79.878158596572604</v>
      </c>
      <c r="AM639">
        <v>89.260021520204901</v>
      </c>
      <c r="AN639">
        <v>0.99999994145924798</v>
      </c>
    </row>
    <row r="640" spans="1:40" x14ac:dyDescent="0.25">
      <c r="A640" t="str">
        <f>"20190303162755068"</f>
        <v>20190303162755068</v>
      </c>
      <c r="B640" t="str">
        <f>"1551601675061726"</f>
        <v>1551601675061726</v>
      </c>
      <c r="C640" t="s">
        <v>40</v>
      </c>
      <c r="D640">
        <v>4.9844580000000001</v>
      </c>
      <c r="E640">
        <v>0.4977721</v>
      </c>
      <c r="F640" t="s">
        <v>42</v>
      </c>
      <c r="G640">
        <v>-287.238</v>
      </c>
      <c r="H640">
        <v>-0.05</v>
      </c>
      <c r="I640">
        <v>368.45940000000002</v>
      </c>
      <c r="J640">
        <v>-336.54129999999998</v>
      </c>
      <c r="K640">
        <v>1.120404</v>
      </c>
      <c r="L640">
        <v>368.14319999999998</v>
      </c>
      <c r="M640">
        <v>0.99991370000000002</v>
      </c>
      <c r="N640">
        <v>-8.0526690000000001E-3</v>
      </c>
      <c r="O640">
        <v>1.0385419999999999E-2</v>
      </c>
      <c r="P640">
        <v>0.98577749999999997</v>
      </c>
      <c r="Q640">
        <v>0.16804129999999901</v>
      </c>
      <c r="R640">
        <v>-2.271623E-3</v>
      </c>
      <c r="S640">
        <v>3.055542</v>
      </c>
      <c r="T640">
        <v>-7.2222469999999997E-2</v>
      </c>
      <c r="U640">
        <v>1.9653319999999998E-2</v>
      </c>
      <c r="V640">
        <v>1.249567E-2</v>
      </c>
      <c r="W640">
        <v>0.17597479999999999</v>
      </c>
      <c r="X640">
        <v>0.9843153</v>
      </c>
      <c r="Y640">
        <v>3.951258E-3</v>
      </c>
      <c r="Z640">
        <v>-2.2441090000000001E-4</v>
      </c>
      <c r="AA640">
        <v>0.9999922</v>
      </c>
      <c r="AB640">
        <v>37</v>
      </c>
      <c r="AC640">
        <v>49.303299999999901</v>
      </c>
      <c r="AD640">
        <v>-1.170404</v>
      </c>
      <c r="AE640">
        <v>0.31620000000003701</v>
      </c>
      <c r="AF640">
        <v>0.195758793830761</v>
      </c>
      <c r="AG640">
        <v>-1.170404</v>
      </c>
      <c r="AH640">
        <v>49.276157265000997</v>
      </c>
      <c r="AI640">
        <v>91.360618969988494</v>
      </c>
      <c r="AJ640">
        <v>89.772382947315805</v>
      </c>
      <c r="AK640">
        <v>49.290443717151597</v>
      </c>
      <c r="AL640">
        <v>79.864608968161306</v>
      </c>
      <c r="AM640">
        <v>89.272681531308294</v>
      </c>
      <c r="AN640">
        <v>0.99999994090893696</v>
      </c>
    </row>
    <row r="641" spans="1:40" x14ac:dyDescent="0.25">
      <c r="A641" t="str">
        <f>"20190303162755083"</f>
        <v>20190303162755083</v>
      </c>
      <c r="B641" t="str">
        <f>"1551601675072460"</f>
        <v>1551601675072460</v>
      </c>
      <c r="C641" t="s">
        <v>40</v>
      </c>
      <c r="D641">
        <v>4.9420120000000001</v>
      </c>
      <c r="E641">
        <v>0.49780550000000001</v>
      </c>
      <c r="F641" t="s">
        <v>42</v>
      </c>
      <c r="G641">
        <v>-285.85669999999999</v>
      </c>
      <c r="H641">
        <v>-0.05</v>
      </c>
      <c r="I641">
        <v>368.45699999999999</v>
      </c>
      <c r="J641">
        <v>-336.28190000000001</v>
      </c>
      <c r="K641">
        <v>1.120401</v>
      </c>
      <c r="L641">
        <v>368.14589999999998</v>
      </c>
      <c r="M641">
        <v>0.99991350000000001</v>
      </c>
      <c r="N641">
        <v>-8.0554349999999997E-3</v>
      </c>
      <c r="O641">
        <v>1.040987E-2</v>
      </c>
      <c r="P641">
        <v>0.98574459999999997</v>
      </c>
      <c r="Q641">
        <v>0.16823829999999901</v>
      </c>
      <c r="R641">
        <v>-1.8485719999999999E-3</v>
      </c>
      <c r="S641">
        <v>3.0554199999999998</v>
      </c>
      <c r="T641">
        <v>-7.0555450000000006E-2</v>
      </c>
      <c r="U641">
        <v>1.8920900000000001E-2</v>
      </c>
      <c r="V641">
        <v>1.2098370000000001E-2</v>
      </c>
      <c r="W641">
        <v>0.17617379999999999</v>
      </c>
      <c r="X641">
        <v>0.98428470000000001</v>
      </c>
      <c r="Y641">
        <v>4.2151990000000002E-3</v>
      </c>
      <c r="Z641">
        <v>-2.221356E-4</v>
      </c>
      <c r="AA641">
        <v>0.99999110000000002</v>
      </c>
      <c r="AB641">
        <v>37</v>
      </c>
      <c r="AC641">
        <v>50.425199999999997</v>
      </c>
      <c r="AD641">
        <v>-1.170401</v>
      </c>
      <c r="AE641">
        <v>0.31110000000000998</v>
      </c>
      <c r="AF641">
        <v>0.21373845364087801</v>
      </c>
      <c r="AG641">
        <v>-1.170401</v>
      </c>
      <c r="AH641">
        <v>50.3985558263605</v>
      </c>
      <c r="AI641">
        <v>91.330323511463405</v>
      </c>
      <c r="AJ641">
        <v>89.757012126766796</v>
      </c>
      <c r="AK641">
        <v>50.412597155970303</v>
      </c>
      <c r="AL641">
        <v>79.853026492063407</v>
      </c>
      <c r="AM641">
        <v>89.295782374851797</v>
      </c>
      <c r="AN641">
        <v>0.99999997450859301</v>
      </c>
    </row>
    <row r="642" spans="1:40" x14ac:dyDescent="0.25">
      <c r="A642" t="str">
        <f>"20190303162755094"</f>
        <v>20190303162755094</v>
      </c>
      <c r="B642" t="str">
        <f>"1551601675082220"</f>
        <v>1551601675082220</v>
      </c>
      <c r="C642" t="s">
        <v>40</v>
      </c>
      <c r="D642">
        <v>5.0389350000000004</v>
      </c>
      <c r="E642">
        <v>0.49783129999999998</v>
      </c>
      <c r="F642" t="s">
        <v>42</v>
      </c>
      <c r="G642">
        <v>-285.11799999999999</v>
      </c>
      <c r="H642">
        <v>-0.05</v>
      </c>
      <c r="I642">
        <v>368.47239999999999</v>
      </c>
      <c r="J642">
        <v>-336.0883</v>
      </c>
      <c r="K642">
        <v>1.1203970000000001</v>
      </c>
      <c r="L642">
        <v>368.14789999999999</v>
      </c>
      <c r="M642">
        <v>0.99991319999999995</v>
      </c>
      <c r="N642">
        <v>-8.0578530000000002E-3</v>
      </c>
      <c r="O642">
        <v>1.0423709999999999E-2</v>
      </c>
      <c r="P642">
        <v>0.98573339999999998</v>
      </c>
      <c r="Q642">
        <v>0.1683084</v>
      </c>
      <c r="R642">
        <v>-1.333632E-3</v>
      </c>
      <c r="S642">
        <v>3.0553279999999998</v>
      </c>
      <c r="T642">
        <v>-6.9892170000000003E-2</v>
      </c>
      <c r="U642">
        <v>1.9500730000000001E-2</v>
      </c>
      <c r="V642">
        <v>1.159835E-2</v>
      </c>
      <c r="W642">
        <v>0.17624609999999999</v>
      </c>
      <c r="X642">
        <v>0.98427779999999998</v>
      </c>
      <c r="Y642">
        <v>4.0392099999999997E-3</v>
      </c>
      <c r="Z642">
        <v>-2.1689079999999999E-4</v>
      </c>
      <c r="AA642">
        <v>0.99999179999999999</v>
      </c>
      <c r="AB642">
        <v>37</v>
      </c>
      <c r="AC642">
        <v>50.970300000000002</v>
      </c>
      <c r="AD642">
        <v>-1.1703969999999999</v>
      </c>
      <c r="AE642">
        <v>0.32450000000000001</v>
      </c>
      <c r="AF642">
        <v>0.20672551282583501</v>
      </c>
      <c r="AG642">
        <v>-1.1703969999999999</v>
      </c>
      <c r="AH642">
        <v>50.944053174255203</v>
      </c>
      <c r="AI642">
        <v>91.316080249733005</v>
      </c>
      <c r="AJ642">
        <v>89.767501137958803</v>
      </c>
      <c r="AK642">
        <v>50.957915169251301</v>
      </c>
      <c r="AL642">
        <v>79.8488184040623</v>
      </c>
      <c r="AM642">
        <v>89.324879877283493</v>
      </c>
      <c r="AN642">
        <v>0.99999999853038601</v>
      </c>
    </row>
    <row r="643" spans="1:40" x14ac:dyDescent="0.25">
      <c r="A643" t="str">
        <f>"20190303162755107"</f>
        <v>20190303162755107</v>
      </c>
      <c r="B643" t="str">
        <f>"1551601675101741"</f>
        <v>1551601675101741</v>
      </c>
      <c r="C643" t="s">
        <v>40</v>
      </c>
      <c r="D643">
        <v>4.9454219999999998</v>
      </c>
      <c r="E643">
        <v>0.49792370000000002</v>
      </c>
      <c r="F643" t="s">
        <v>42</v>
      </c>
      <c r="G643">
        <v>-284.68259999999998</v>
      </c>
      <c r="H643">
        <v>-0.05</v>
      </c>
      <c r="I643">
        <v>368.49849999999998</v>
      </c>
      <c r="J643">
        <v>-335.87490000000003</v>
      </c>
      <c r="K643">
        <v>1.120393</v>
      </c>
      <c r="L643">
        <v>368.15010000000001</v>
      </c>
      <c r="M643">
        <v>0.99991300000000005</v>
      </c>
      <c r="N643">
        <v>-8.0606500000000008E-3</v>
      </c>
      <c r="O643">
        <v>1.0437429999999999E-2</v>
      </c>
      <c r="P643">
        <v>0.98575659999999998</v>
      </c>
      <c r="Q643">
        <v>0.1681744</v>
      </c>
      <c r="R643">
        <v>-1.2025969999999999E-3</v>
      </c>
      <c r="S643">
        <v>3.0553279999999998</v>
      </c>
      <c r="T643">
        <v>-6.9563269999999996E-2</v>
      </c>
      <c r="U643">
        <v>2.0843509999999999E-2</v>
      </c>
      <c r="V643">
        <v>1.1482910000000001E-2</v>
      </c>
      <c r="W643">
        <v>0.17611470000000001</v>
      </c>
      <c r="X643">
        <v>0.98430269999999997</v>
      </c>
      <c r="Y643">
        <v>3.6136390000000001E-3</v>
      </c>
      <c r="Z643">
        <v>-2.091699E-4</v>
      </c>
      <c r="AA643">
        <v>0.99999340000000003</v>
      </c>
      <c r="AB643">
        <v>38</v>
      </c>
      <c r="AC643">
        <v>51.192300000000003</v>
      </c>
      <c r="AD643">
        <v>-1.170393</v>
      </c>
      <c r="AE643">
        <v>0.34839999999996901</v>
      </c>
      <c r="AF643">
        <v>0.18585526460482699</v>
      </c>
      <c r="AG643">
        <v>-1.170393</v>
      </c>
      <c r="AH643">
        <v>51.1664042761346</v>
      </c>
      <c r="AI643">
        <v>91.310360695139593</v>
      </c>
      <c r="AJ643">
        <v>89.791881497640603</v>
      </c>
      <c r="AK643">
        <v>51.180125913314001</v>
      </c>
      <c r="AL643">
        <v>79.856466976394103</v>
      </c>
      <c r="AM643">
        <v>89.331615736684398</v>
      </c>
      <c r="AN643">
        <v>1.0000000250027199</v>
      </c>
    </row>
    <row r="644" spans="1:40" x14ac:dyDescent="0.25">
      <c r="A644" t="str">
        <f>"20190303162755119"</f>
        <v>20190303162755119</v>
      </c>
      <c r="B644" t="str">
        <f>"1551601675112477"</f>
        <v>1551601675112477</v>
      </c>
      <c r="C644" t="s">
        <v>40</v>
      </c>
      <c r="D644">
        <v>4.8590150000000003</v>
      </c>
      <c r="E644">
        <v>0.4979885</v>
      </c>
      <c r="F644" t="s">
        <v>42</v>
      </c>
      <c r="G644">
        <v>-284.50959999999998</v>
      </c>
      <c r="H644">
        <v>-0.05</v>
      </c>
      <c r="I644">
        <v>368.4939</v>
      </c>
      <c r="J644">
        <v>-335.66809999999998</v>
      </c>
      <c r="K644">
        <v>1.1203829999999999</v>
      </c>
      <c r="L644">
        <v>368.15230000000003</v>
      </c>
      <c r="M644">
        <v>0.99991300000000005</v>
      </c>
      <c r="N644">
        <v>-8.0636059999999992E-3</v>
      </c>
      <c r="O644">
        <v>1.04481E-2</v>
      </c>
      <c r="P644">
        <v>0.98579919999999999</v>
      </c>
      <c r="Q644">
        <v>0.16792509999999999</v>
      </c>
      <c r="R644">
        <v>-1.1808179999999999E-3</v>
      </c>
      <c r="S644">
        <v>3.055237</v>
      </c>
      <c r="T644">
        <v>-6.96156E-2</v>
      </c>
      <c r="U644">
        <v>2.0446780000000001E-2</v>
      </c>
      <c r="V644">
        <v>1.147396E-2</v>
      </c>
      <c r="W644">
        <v>0.17586869999999999</v>
      </c>
      <c r="X644">
        <v>0.98434670000000002</v>
      </c>
      <c r="Y644">
        <v>3.7538990000000002E-3</v>
      </c>
      <c r="Z644">
        <v>-2.11683E-4</v>
      </c>
      <c r="AA644">
        <v>0.99999289999999996</v>
      </c>
      <c r="AB644">
        <v>38</v>
      </c>
      <c r="AC644">
        <v>51.158499999999997</v>
      </c>
      <c r="AD644">
        <v>-1.170383</v>
      </c>
      <c r="AE644">
        <v>0.34159999999997098</v>
      </c>
      <c r="AF644">
        <v>0.19284417038689999</v>
      </c>
      <c r="AG644">
        <v>-1.170383</v>
      </c>
      <c r="AH644">
        <v>51.132515881728303</v>
      </c>
      <c r="AI644">
        <v>91.311216967477705</v>
      </c>
      <c r="AJ644">
        <v>89.783912360081999</v>
      </c>
      <c r="AK644">
        <v>51.146272255521602</v>
      </c>
      <c r="AL644">
        <v>79.8707843375811</v>
      </c>
      <c r="AM644">
        <v>89.332166491562404</v>
      </c>
      <c r="AN644">
        <v>0.99999993859932901</v>
      </c>
    </row>
    <row r="645" spans="1:40" x14ac:dyDescent="0.25">
      <c r="A645" t="str">
        <f>"20190303162755131"</f>
        <v>20190303162755131</v>
      </c>
      <c r="B645" t="str">
        <f>"1551601675122236"</f>
        <v>1551601675122236</v>
      </c>
      <c r="C645" t="s">
        <v>40</v>
      </c>
      <c r="D645">
        <v>4.7878369999999997</v>
      </c>
      <c r="E645">
        <v>0.49803510000000001</v>
      </c>
      <c r="F645" t="s">
        <v>42</v>
      </c>
      <c r="G645">
        <v>-284.53030000000001</v>
      </c>
      <c r="H645">
        <v>-0.05</v>
      </c>
      <c r="I645">
        <v>368.48829999999998</v>
      </c>
      <c r="J645">
        <v>-335.47899999999998</v>
      </c>
      <c r="K645">
        <v>1.120379</v>
      </c>
      <c r="L645">
        <v>368.15429999999998</v>
      </c>
      <c r="M645">
        <v>0.99991300000000005</v>
      </c>
      <c r="N645">
        <v>-8.0665549999999996E-3</v>
      </c>
      <c r="O645">
        <v>1.0455799999999999E-2</v>
      </c>
      <c r="P645">
        <v>0.98584260000000001</v>
      </c>
      <c r="Q645">
        <v>0.1676726</v>
      </c>
      <c r="R645">
        <v>-8.7299380000000002E-4</v>
      </c>
      <c r="S645">
        <v>3.055145</v>
      </c>
      <c r="T645">
        <v>-6.9922689999999996E-2</v>
      </c>
      <c r="U645">
        <v>2.0080569999999999E-2</v>
      </c>
      <c r="V645">
        <v>1.117569E-2</v>
      </c>
      <c r="W645">
        <v>0.17561949999999901</v>
      </c>
      <c r="X645">
        <v>0.98439469999999996</v>
      </c>
      <c r="Y645">
        <v>3.8811890000000002E-3</v>
      </c>
      <c r="Z645">
        <v>-2.1498869999999999E-4</v>
      </c>
      <c r="AA645">
        <v>0.9999924</v>
      </c>
      <c r="AB645">
        <v>38</v>
      </c>
      <c r="AC645">
        <v>50.948700000000002</v>
      </c>
      <c r="AD645">
        <v>-1.1703790000000001</v>
      </c>
      <c r="AE645">
        <v>0.33400000000000302</v>
      </c>
      <c r="AF645">
        <v>0.19864008404560901</v>
      </c>
      <c r="AG645">
        <v>-1.1703790000000001</v>
      </c>
      <c r="AH645">
        <v>50.9225364911292</v>
      </c>
      <c r="AI645">
        <v>91.316616727994202</v>
      </c>
      <c r="AJ645">
        <v>89.776500121256703</v>
      </c>
      <c r="AK645">
        <v>50.9363717551321</v>
      </c>
      <c r="AL645">
        <v>79.885288968355198</v>
      </c>
      <c r="AM645">
        <v>89.349557283707497</v>
      </c>
      <c r="AN645">
        <v>1.00000001510765</v>
      </c>
    </row>
    <row r="646" spans="1:40" x14ac:dyDescent="0.25">
      <c r="A646" t="str">
        <f>"20190303162755141"</f>
        <v>20190303162755141</v>
      </c>
      <c r="B646" t="str">
        <f>"1551601675131996"</f>
        <v>1551601675131996</v>
      </c>
      <c r="C646" t="s">
        <v>40</v>
      </c>
      <c r="D646">
        <v>4.7754890000000003</v>
      </c>
      <c r="E646">
        <v>0.49807380000000001</v>
      </c>
      <c r="F646" t="s">
        <v>42</v>
      </c>
      <c r="G646">
        <v>-284.84480000000002</v>
      </c>
      <c r="H646">
        <v>-0.05</v>
      </c>
      <c r="I646">
        <v>368.49369999999999</v>
      </c>
      <c r="J646">
        <v>-335.28149999999999</v>
      </c>
      <c r="K646">
        <v>1.1203730000000001</v>
      </c>
      <c r="L646">
        <v>368.15629999999999</v>
      </c>
      <c r="M646">
        <v>0.99991280000000005</v>
      </c>
      <c r="N646">
        <v>-8.0697540000000002E-3</v>
      </c>
      <c r="O646">
        <v>1.046308E-2</v>
      </c>
      <c r="P646">
        <v>0.98581799999999997</v>
      </c>
      <c r="Q646">
        <v>0.1678172</v>
      </c>
      <c r="R646">
        <v>-5.082954E-4</v>
      </c>
      <c r="S646">
        <v>3.0551149999999998</v>
      </c>
      <c r="T646">
        <v>-7.0617079999999999E-2</v>
      </c>
      <c r="U646">
        <v>2.0477289999999999E-2</v>
      </c>
      <c r="V646">
        <v>1.081971E-2</v>
      </c>
      <c r="W646">
        <v>0.1757668</v>
      </c>
      <c r="X646">
        <v>0.98437240000000004</v>
      </c>
      <c r="Y646">
        <v>3.7585409999999998E-3</v>
      </c>
      <c r="Z646">
        <v>-2.15978E-4</v>
      </c>
      <c r="AA646">
        <v>0.99999289999999996</v>
      </c>
      <c r="AB646">
        <v>38</v>
      </c>
      <c r="AC646">
        <v>50.436699999999902</v>
      </c>
      <c r="AD646">
        <v>-1.1703729999999899</v>
      </c>
      <c r="AE646">
        <v>0.33740000000000198</v>
      </c>
      <c r="AF646">
        <v>0.19025638581945301</v>
      </c>
      <c r="AG646">
        <v>-1.1703729999999899</v>
      </c>
      <c r="AH646">
        <v>50.410326454666603</v>
      </c>
      <c r="AI646">
        <v>91.329983677451295</v>
      </c>
      <c r="AJ646">
        <v>89.7837578737998</v>
      </c>
      <c r="AK646">
        <v>50.424269788639798</v>
      </c>
      <c r="AL646">
        <v>79.876716078453597</v>
      </c>
      <c r="AM646">
        <v>89.370259918410198</v>
      </c>
      <c r="AN646">
        <v>1.00000002799424</v>
      </c>
    </row>
    <row r="647" spans="1:40" x14ac:dyDescent="0.25">
      <c r="A647" t="str">
        <f>"20190303162755154"</f>
        <v>20190303162755154</v>
      </c>
      <c r="B647" t="str">
        <f>"1551601675141756"</f>
        <v>1551601675141756</v>
      </c>
      <c r="C647" t="s">
        <v>40</v>
      </c>
      <c r="D647">
        <v>4.7616579999999997</v>
      </c>
      <c r="E647">
        <v>0.4981102</v>
      </c>
      <c r="F647" t="s">
        <v>42</v>
      </c>
      <c r="G647">
        <v>-284.0333</v>
      </c>
      <c r="H647">
        <v>-0.05</v>
      </c>
      <c r="I647">
        <v>368.51260000000002</v>
      </c>
      <c r="J647">
        <v>-335.08319999999998</v>
      </c>
      <c r="K647">
        <v>1.1203730000000001</v>
      </c>
      <c r="L647">
        <v>368.15839999999997</v>
      </c>
      <c r="M647">
        <v>0.99991269999999999</v>
      </c>
      <c r="N647">
        <v>-8.0733030000000004E-3</v>
      </c>
      <c r="O647">
        <v>1.046793E-2</v>
      </c>
      <c r="P647">
        <v>0.98580990000000002</v>
      </c>
      <c r="Q647">
        <v>0.167866299999999</v>
      </c>
      <c r="R647">
        <v>-1.687538E-4</v>
      </c>
      <c r="S647">
        <v>3.0550540000000002</v>
      </c>
      <c r="T647">
        <v>-6.976926E-2</v>
      </c>
      <c r="U647">
        <v>2.1240229999999999E-2</v>
      </c>
      <c r="V647">
        <v>1.048606E-2</v>
      </c>
      <c r="W647">
        <v>0.17581939999999999</v>
      </c>
      <c r="X647">
        <v>0.98436659999999998</v>
      </c>
      <c r="Y647">
        <v>3.513693E-3</v>
      </c>
      <c r="Z647">
        <v>-2.088165E-4</v>
      </c>
      <c r="AA647">
        <v>0.99999380000000004</v>
      </c>
      <c r="AB647">
        <v>38</v>
      </c>
      <c r="AC647">
        <v>51.049899999999901</v>
      </c>
      <c r="AD647">
        <v>-1.1703729999999899</v>
      </c>
      <c r="AE647">
        <v>0.35420000000004798</v>
      </c>
      <c r="AF647">
        <v>0.18012888812723901</v>
      </c>
      <c r="AG647">
        <v>-1.1703729999999899</v>
      </c>
      <c r="AH647">
        <v>51.023993508681997</v>
      </c>
      <c r="AI647">
        <v>91.313994737142806</v>
      </c>
      <c r="AJ647">
        <v>89.797730803219196</v>
      </c>
      <c r="AK647">
        <v>51.037732443256999</v>
      </c>
      <c r="AL647">
        <v>79.873654471689804</v>
      </c>
      <c r="AM647">
        <v>89.389674276654901</v>
      </c>
      <c r="AN647">
        <v>1.00000001103312</v>
      </c>
    </row>
    <row r="648" spans="1:40" x14ac:dyDescent="0.25">
      <c r="A648" t="str">
        <f>"20190303162755167"</f>
        <v>20190303162755167</v>
      </c>
      <c r="B648" t="str">
        <f>"1551601675162253"</f>
        <v>1551601675162253</v>
      </c>
      <c r="C648" t="s">
        <v>40</v>
      </c>
      <c r="D648">
        <v>4.7249610000000004</v>
      </c>
      <c r="E648">
        <v>0.49817679999999998</v>
      </c>
      <c r="F648" t="s">
        <v>42</v>
      </c>
      <c r="G648">
        <v>-283.66379999999998</v>
      </c>
      <c r="H648">
        <v>-0.05</v>
      </c>
      <c r="I648">
        <v>368.5292</v>
      </c>
      <c r="J648">
        <v>-334.87479999999999</v>
      </c>
      <c r="K648">
        <v>1.1203700000000001</v>
      </c>
      <c r="L648">
        <v>368.16059999999999</v>
      </c>
      <c r="M648">
        <v>0.99991260000000004</v>
      </c>
      <c r="N648">
        <v>-8.0771430000000002E-3</v>
      </c>
      <c r="O648">
        <v>1.0472240000000001E-2</v>
      </c>
      <c r="P648">
        <v>0.98580699999999999</v>
      </c>
      <c r="Q648">
        <v>0.16788349999999999</v>
      </c>
      <c r="R648" s="1">
        <v>-4.8340300000000002E-5</v>
      </c>
      <c r="S648">
        <v>3.0549930000000001</v>
      </c>
      <c r="T648">
        <v>-6.9535730000000004E-2</v>
      </c>
      <c r="U648">
        <v>2.2033690000000002E-2</v>
      </c>
      <c r="V648">
        <v>1.037106E-2</v>
      </c>
      <c r="W648">
        <v>0.17584050000000001</v>
      </c>
      <c r="X648">
        <v>0.98436400000000002</v>
      </c>
      <c r="Y648">
        <v>3.2582599999999998E-3</v>
      </c>
      <c r="Z648">
        <v>-2.039791E-4</v>
      </c>
      <c r="AA648">
        <v>0.99999470000000001</v>
      </c>
      <c r="AB648">
        <v>38</v>
      </c>
      <c r="AC648">
        <v>51.210999999999999</v>
      </c>
      <c r="AD648">
        <v>-1.1703699999999999</v>
      </c>
      <c r="AE648">
        <v>0.36860000000001403</v>
      </c>
      <c r="AF648">
        <v>0.16764400419832601</v>
      </c>
      <c r="AG648">
        <v>-1.1703699999999999</v>
      </c>
      <c r="AH648">
        <v>51.185319137958899</v>
      </c>
      <c r="AI648">
        <v>91.309852520285304</v>
      </c>
      <c r="AJ648">
        <v>89.812343466498803</v>
      </c>
      <c r="AK648">
        <v>51.198972311011701</v>
      </c>
      <c r="AL648">
        <v>79.872425900431196</v>
      </c>
      <c r="AM648">
        <v>89.396365590497496</v>
      </c>
      <c r="AN648">
        <v>0.99999996241088596</v>
      </c>
    </row>
    <row r="649" spans="1:40" x14ac:dyDescent="0.25">
      <c r="A649" t="str">
        <f>"20190303162755184"</f>
        <v>20190303162755184</v>
      </c>
      <c r="B649" t="str">
        <f>"1551601675172012"</f>
        <v>1551601675172012</v>
      </c>
      <c r="C649" t="s">
        <v>40</v>
      </c>
      <c r="D649">
        <v>4.8898419999999998</v>
      </c>
      <c r="E649">
        <v>0.49817679999999998</v>
      </c>
      <c r="F649" t="s">
        <v>42</v>
      </c>
      <c r="G649">
        <v>-284.99349999999998</v>
      </c>
      <c r="H649">
        <v>-0.05</v>
      </c>
      <c r="I649">
        <v>368.51679999999999</v>
      </c>
      <c r="J649">
        <v>-334.57299999999998</v>
      </c>
      <c r="K649">
        <v>1.120371</v>
      </c>
      <c r="L649">
        <v>368.16379999999998</v>
      </c>
      <c r="M649">
        <v>0.99991249999999998</v>
      </c>
      <c r="N649">
        <v>-8.0830729999999996E-3</v>
      </c>
      <c r="O649">
        <v>1.047623E-2</v>
      </c>
      <c r="P649">
        <v>0.98582919999999996</v>
      </c>
      <c r="Q649">
        <v>0.16775129999999999</v>
      </c>
      <c r="R649">
        <v>8.0186690000000002E-4</v>
      </c>
      <c r="S649">
        <v>3.0553889999999999</v>
      </c>
      <c r="T649">
        <v>-7.1689009999999997E-2</v>
      </c>
      <c r="U649">
        <v>2.182007E-2</v>
      </c>
      <c r="V649">
        <v>9.5264189999999995E-3</v>
      </c>
      <c r="W649">
        <v>0.1757138</v>
      </c>
      <c r="X649">
        <v>0.98439520000000003</v>
      </c>
      <c r="Y649">
        <v>3.3329079999999999E-3</v>
      </c>
      <c r="Z649">
        <v>-2.136552E-4</v>
      </c>
      <c r="AA649">
        <v>0.99999439999999995</v>
      </c>
      <c r="AB649">
        <v>38</v>
      </c>
      <c r="AC649">
        <v>49.579500000000003</v>
      </c>
      <c r="AD649">
        <v>-1.1703709999999901</v>
      </c>
      <c r="AE649">
        <v>0.35300000000000797</v>
      </c>
      <c r="AF649">
        <v>0.16634987009183799</v>
      </c>
      <c r="AG649">
        <v>-1.1703709999999901</v>
      </c>
      <c r="AH649">
        <v>49.552865794737102</v>
      </c>
      <c r="AI649">
        <v>91.352988876410095</v>
      </c>
      <c r="AJ649">
        <v>89.807657750521201</v>
      </c>
      <c r="AK649">
        <v>49.566964291029002</v>
      </c>
      <c r="AL649">
        <v>79.8798004866659</v>
      </c>
      <c r="AM649">
        <v>89.445541217345607</v>
      </c>
      <c r="AN649">
        <v>1.00000000097622</v>
      </c>
    </row>
    <row r="650" spans="1:40" x14ac:dyDescent="0.25">
      <c r="A650" t="str">
        <f>"20190303162755200"</f>
        <v>20190303162755200</v>
      </c>
      <c r="B650" t="str">
        <f>"1551601675192508"</f>
        <v>1551601675192508</v>
      </c>
      <c r="C650" t="s">
        <v>40</v>
      </c>
      <c r="D650">
        <v>4.8943260000000004</v>
      </c>
      <c r="E650">
        <v>0.47675200000000001</v>
      </c>
      <c r="F650" t="s">
        <v>42</v>
      </c>
      <c r="G650">
        <v>-284.97770000000003</v>
      </c>
      <c r="H650">
        <v>-0.05</v>
      </c>
      <c r="I650">
        <v>368.56099999999998</v>
      </c>
      <c r="J650">
        <v>-334.30540000000002</v>
      </c>
      <c r="K650">
        <v>1.1203700000000001</v>
      </c>
      <c r="L650">
        <v>368.16660000000002</v>
      </c>
      <c r="M650">
        <v>0.99991240000000003</v>
      </c>
      <c r="N650">
        <v>-8.0886889999999996E-3</v>
      </c>
      <c r="O650">
        <v>1.0478039999999999E-2</v>
      </c>
      <c r="P650">
        <v>0.98574349999999999</v>
      </c>
      <c r="Q650">
        <v>0.16825300000000001</v>
      </c>
      <c r="R650">
        <v>9.246813E-4</v>
      </c>
      <c r="S650">
        <v>3.0552980000000001</v>
      </c>
      <c r="T650">
        <v>-7.2100159999999996E-2</v>
      </c>
      <c r="U650">
        <v>2.44751E-2</v>
      </c>
      <c r="V650">
        <v>9.4053360000000003E-3</v>
      </c>
      <c r="W650">
        <v>0.1762203</v>
      </c>
      <c r="X650">
        <v>0.98430580000000001</v>
      </c>
      <c r="Y650">
        <v>2.4658509999999998E-3</v>
      </c>
      <c r="Z650">
        <v>-2.0153820000000001E-4</v>
      </c>
      <c r="AA650">
        <v>0.99999700000000002</v>
      </c>
      <c r="AB650">
        <v>38</v>
      </c>
      <c r="AC650">
        <v>49.327699999999901</v>
      </c>
      <c r="AD650">
        <v>-1.1703699999999999</v>
      </c>
      <c r="AE650">
        <v>0.394399999999961</v>
      </c>
      <c r="AF650">
        <v>0.122427253829531</v>
      </c>
      <c r="AG650">
        <v>-1.1703699999999999</v>
      </c>
      <c r="AH650">
        <v>49.301372493699198</v>
      </c>
      <c r="AI650">
        <v>91.359890386639194</v>
      </c>
      <c r="AJ650">
        <v>89.857720988916896</v>
      </c>
      <c r="AK650">
        <v>49.315414265033397</v>
      </c>
      <c r="AL650">
        <v>79.850319961867797</v>
      </c>
      <c r="AM650">
        <v>89.452538369853102</v>
      </c>
      <c r="AN650">
        <v>0.99999998119550104</v>
      </c>
    </row>
    <row r="651" spans="1:40" x14ac:dyDescent="0.25">
      <c r="A651" t="str">
        <f>"20190303162755213"</f>
        <v>20190303162755213</v>
      </c>
      <c r="B651" t="str">
        <f>"1551601675202268"</f>
        <v>1551601675202268</v>
      </c>
      <c r="C651" t="s">
        <v>40</v>
      </c>
      <c r="D651">
        <v>4.7145359999999998</v>
      </c>
      <c r="E651">
        <v>0.4756899</v>
      </c>
      <c r="F651" t="s">
        <v>41</v>
      </c>
      <c r="G651">
        <v>-254.2047</v>
      </c>
      <c r="H651" s="1">
        <v>-3.4488260000000002E-6</v>
      </c>
      <c r="I651">
        <v>373.30079999999998</v>
      </c>
      <c r="J651">
        <v>-334.08929999999998</v>
      </c>
      <c r="K651">
        <v>1.1203700000000001</v>
      </c>
      <c r="L651">
        <v>368.16879999999998</v>
      </c>
      <c r="M651">
        <v>0.99991240000000003</v>
      </c>
      <c r="N651">
        <v>-8.0933910000000001E-3</v>
      </c>
      <c r="O651">
        <v>1.0478660000000001E-2</v>
      </c>
      <c r="P651">
        <v>0.98571869999999995</v>
      </c>
      <c r="Q651">
        <v>0.16839789999999999</v>
      </c>
      <c r="R651">
        <v>9.4361420000000002E-4</v>
      </c>
      <c r="S651">
        <v>3.0504760000000002</v>
      </c>
      <c r="T651">
        <v>-4.2667150000000001E-2</v>
      </c>
      <c r="U651">
        <v>0.19552610000000001</v>
      </c>
      <c r="V651">
        <v>9.3874990000000005E-3</v>
      </c>
      <c r="W651">
        <v>0.17637</v>
      </c>
      <c r="X651">
        <v>0.98427920000000002</v>
      </c>
      <c r="Y651">
        <v>-5.3496559999999999E-2</v>
      </c>
      <c r="Z651">
        <v>5.2878919999999995E-4</v>
      </c>
      <c r="AA651">
        <v>0.99856789999999995</v>
      </c>
      <c r="AB651">
        <v>38</v>
      </c>
      <c r="AC651">
        <v>79.884599999999907</v>
      </c>
      <c r="AD651">
        <v>-1.120373448826</v>
      </c>
      <c r="AE651">
        <v>5.1319999999999997</v>
      </c>
      <c r="AF651">
        <v>-4.2937661856704201</v>
      </c>
      <c r="AG651">
        <v>-1.120373448826</v>
      </c>
      <c r="AH651">
        <v>79.9183369274093</v>
      </c>
      <c r="AI651">
        <v>90.802019127133605</v>
      </c>
      <c r="AJ651">
        <v>93.075369000195195</v>
      </c>
      <c r="AK651">
        <v>80.041440778917504</v>
      </c>
      <c r="AL651">
        <v>79.841606731609701</v>
      </c>
      <c r="AM651">
        <v>89.453561788914996</v>
      </c>
      <c r="AN651">
        <v>1.0000000227950501</v>
      </c>
    </row>
    <row r="652" spans="1:40" x14ac:dyDescent="0.25">
      <c r="A652" t="str">
        <f>"20190303162755231"</f>
        <v>20190303162755231</v>
      </c>
      <c r="B652" t="str">
        <f>"1551601675221788"</f>
        <v>1551601675221788</v>
      </c>
      <c r="C652" t="s">
        <v>40</v>
      </c>
      <c r="D652">
        <v>4.6504219999999998</v>
      </c>
      <c r="E652">
        <v>0.47566750000000002</v>
      </c>
      <c r="F652" t="s">
        <v>41</v>
      </c>
      <c r="G652">
        <v>-255.12119999999999</v>
      </c>
      <c r="H652" s="1">
        <v>-3.0971649999999998E-6</v>
      </c>
      <c r="I652">
        <v>373.45679999999999</v>
      </c>
      <c r="J652">
        <v>-333.78050000000002</v>
      </c>
      <c r="K652">
        <v>1.1203609999999999</v>
      </c>
      <c r="L652">
        <v>368.1721</v>
      </c>
      <c r="M652">
        <v>0.99991229999999998</v>
      </c>
      <c r="N652">
        <v>-8.1003250000000002E-3</v>
      </c>
      <c r="O652">
        <v>1.047909E-2</v>
      </c>
      <c r="P652">
        <v>0.98574649999999997</v>
      </c>
      <c r="Q652">
        <v>0.1682371</v>
      </c>
      <c r="R652">
        <v>4.9942360000000002E-4</v>
      </c>
      <c r="S652">
        <v>3.050659</v>
      </c>
      <c r="T652">
        <v>-4.3281670000000001E-2</v>
      </c>
      <c r="U652">
        <v>0.20428470000000001</v>
      </c>
      <c r="V652">
        <v>9.8330129999999998E-3</v>
      </c>
      <c r="W652">
        <v>0.1762156</v>
      </c>
      <c r="X652">
        <v>0.98430249999999997</v>
      </c>
      <c r="Y652">
        <v>-5.6346100000000003E-2</v>
      </c>
      <c r="Z652">
        <v>5.6404239999999998E-4</v>
      </c>
      <c r="AA652">
        <v>0.9984111</v>
      </c>
      <c r="AB652">
        <v>38</v>
      </c>
      <c r="AC652">
        <v>78.659300000000002</v>
      </c>
      <c r="AD652">
        <v>-1.120364097165</v>
      </c>
      <c r="AE652">
        <v>5.2846999999999804</v>
      </c>
      <c r="AF652">
        <v>-4.4592043246179003</v>
      </c>
      <c r="AG652">
        <v>-1.120364097165</v>
      </c>
      <c r="AH652">
        <v>78.694468396774198</v>
      </c>
      <c r="AI652">
        <v>90.814352142782695</v>
      </c>
      <c r="AJ652">
        <v>93.243184230051796</v>
      </c>
      <c r="AK652">
        <v>78.828669119615398</v>
      </c>
      <c r="AL652">
        <v>79.850593917448705</v>
      </c>
      <c r="AM652">
        <v>89.427644037851493</v>
      </c>
      <c r="AN652">
        <v>1.0000000186671301</v>
      </c>
    </row>
    <row r="653" spans="1:40" x14ac:dyDescent="0.25">
      <c r="A653" t="str">
        <f>"20190303162755243"</f>
        <v>20190303162755243</v>
      </c>
      <c r="B653" t="str">
        <f>"1551601675232524"</f>
        <v>1551601675232524</v>
      </c>
      <c r="C653" t="s">
        <v>40</v>
      </c>
      <c r="D653">
        <v>4.657038</v>
      </c>
      <c r="E653">
        <v>0.47558339999999999</v>
      </c>
      <c r="F653" t="s">
        <v>41</v>
      </c>
      <c r="G653">
        <v>-262.59870000000001</v>
      </c>
      <c r="H653" s="1">
        <v>-3.9788870000000004E-6</v>
      </c>
      <c r="I653">
        <v>372.92660000000001</v>
      </c>
      <c r="J653">
        <v>-333.57580000000002</v>
      </c>
      <c r="K653">
        <v>1.12036</v>
      </c>
      <c r="L653">
        <v>368.17419999999998</v>
      </c>
      <c r="M653">
        <v>0.99991220000000003</v>
      </c>
      <c r="N653">
        <v>-8.1050480000000001E-3</v>
      </c>
      <c r="O653">
        <v>1.047906E-2</v>
      </c>
      <c r="P653">
        <v>0.98579039999999996</v>
      </c>
      <c r="Q653">
        <v>0.16797999999999999</v>
      </c>
      <c r="R653">
        <v>2.7418789999999999E-4</v>
      </c>
      <c r="S653">
        <v>3.0515140000000001</v>
      </c>
      <c r="T653">
        <v>-4.8029179999999998E-2</v>
      </c>
      <c r="U653">
        <v>0.20382690000000001</v>
      </c>
      <c r="V653">
        <v>1.0059169999999999E-2</v>
      </c>
      <c r="W653">
        <v>0.17596349999999999</v>
      </c>
      <c r="X653">
        <v>0.98434529999999998</v>
      </c>
      <c r="Y653">
        <v>-5.6176860000000002E-2</v>
      </c>
      <c r="Z653">
        <v>5.8963570000000005E-4</v>
      </c>
      <c r="AA653">
        <v>0.99842070000000005</v>
      </c>
      <c r="AB653">
        <v>38</v>
      </c>
      <c r="AC653">
        <v>70.977099999999993</v>
      </c>
      <c r="AD653">
        <v>-1.1203639788869999</v>
      </c>
      <c r="AE653">
        <v>4.7524000000000202</v>
      </c>
      <c r="AF653">
        <v>-4.0073472672950397</v>
      </c>
      <c r="AG653">
        <v>-1.1203639788869999</v>
      </c>
      <c r="AH653">
        <v>71.005392055240193</v>
      </c>
      <c r="AI653">
        <v>90.902534822926597</v>
      </c>
      <c r="AJ653">
        <v>93.230188135943493</v>
      </c>
      <c r="AK653">
        <v>71.127208215170697</v>
      </c>
      <c r="AL653">
        <v>79.865267329270495</v>
      </c>
      <c r="AM653">
        <v>89.414506347721598</v>
      </c>
      <c r="AN653">
        <v>1.00000000493271</v>
      </c>
    </row>
    <row r="654" spans="1:40" x14ac:dyDescent="0.25">
      <c r="A654" t="str">
        <f>"20190303162755254"</f>
        <v>20190303162755254</v>
      </c>
      <c r="B654" t="str">
        <f>"1551601675242286"</f>
        <v>1551601675242286</v>
      </c>
      <c r="C654" t="s">
        <v>40</v>
      </c>
      <c r="D654">
        <v>4.6671269999999998</v>
      </c>
      <c r="E654">
        <v>0.47568009999999999</v>
      </c>
      <c r="F654" t="s">
        <v>41</v>
      </c>
      <c r="G654">
        <v>-264.2808</v>
      </c>
      <c r="H654" s="1">
        <v>-3.2807140000000002E-6</v>
      </c>
      <c r="I654">
        <v>372.79149999999998</v>
      </c>
      <c r="J654">
        <v>-333.38780000000003</v>
      </c>
      <c r="K654">
        <v>1.12036</v>
      </c>
      <c r="L654">
        <v>368.17619999999999</v>
      </c>
      <c r="M654">
        <v>0.99991220000000003</v>
      </c>
      <c r="N654">
        <v>-8.1096009999999993E-3</v>
      </c>
      <c r="O654">
        <v>1.047904E-2</v>
      </c>
      <c r="P654">
        <v>0.98581960000000002</v>
      </c>
      <c r="Q654">
        <v>0.1678085</v>
      </c>
      <c r="R654" s="1">
        <v>-7.1202400000000001E-5</v>
      </c>
      <c r="S654">
        <v>3.0516049999999999</v>
      </c>
      <c r="T654">
        <v>-4.9338340000000001E-2</v>
      </c>
      <c r="U654">
        <v>0.20333860000000001</v>
      </c>
      <c r="V654">
        <v>1.040515E-2</v>
      </c>
      <c r="W654">
        <v>0.17579690000000001</v>
      </c>
      <c r="X654">
        <v>0.98437149999999995</v>
      </c>
      <c r="Y654">
        <v>-5.6015429999999998E-2</v>
      </c>
      <c r="Z654">
        <v>5.9539130000000001E-4</v>
      </c>
      <c r="AA654">
        <v>0.99842969999999998</v>
      </c>
      <c r="AB654">
        <v>38</v>
      </c>
      <c r="AC654">
        <v>69.106999999999999</v>
      </c>
      <c r="AD654">
        <v>-1.120363280714</v>
      </c>
      <c r="AE654">
        <v>4.6152999999999897</v>
      </c>
      <c r="AF654">
        <v>-3.8898299141045398</v>
      </c>
      <c r="AG654">
        <v>-1.120363280714</v>
      </c>
      <c r="AH654">
        <v>69.133481205202202</v>
      </c>
      <c r="AI654">
        <v>90.926976698719201</v>
      </c>
      <c r="AJ654">
        <v>93.220380202171498</v>
      </c>
      <c r="AK654">
        <v>69.251889607370799</v>
      </c>
      <c r="AL654">
        <v>79.874964254651303</v>
      </c>
      <c r="AM654">
        <v>89.394386186682993</v>
      </c>
      <c r="AN654">
        <v>1.0000000336041901</v>
      </c>
    </row>
    <row r="655" spans="1:40" x14ac:dyDescent="0.25">
      <c r="A655" t="str">
        <f>"20190303162755265"</f>
        <v>20190303162755265</v>
      </c>
      <c r="B655" t="str">
        <f>"1551601675252044"</f>
        <v>1551601675252044</v>
      </c>
      <c r="C655" t="s">
        <v>40</v>
      </c>
      <c r="D655">
        <v>4.6589660000000004</v>
      </c>
      <c r="E655">
        <v>0.47570519999999999</v>
      </c>
      <c r="F655" t="s">
        <v>41</v>
      </c>
      <c r="G655">
        <v>-267.23450000000003</v>
      </c>
      <c r="H655" s="1">
        <v>-1.9482080000000001E-6</v>
      </c>
      <c r="I655">
        <v>372.54590000000002</v>
      </c>
      <c r="J655">
        <v>-333.19540000000001</v>
      </c>
      <c r="K655">
        <v>1.1203590000000001</v>
      </c>
      <c r="L655">
        <v>368.1782</v>
      </c>
      <c r="M655">
        <v>0.99991220000000003</v>
      </c>
      <c r="N655">
        <v>-8.114296E-3</v>
      </c>
      <c r="O655">
        <v>1.047901E-2</v>
      </c>
      <c r="P655">
        <v>0.98581390000000002</v>
      </c>
      <c r="Q655">
        <v>0.1678414</v>
      </c>
      <c r="R655">
        <v>-5.7835319999999897E-4</v>
      </c>
      <c r="S655">
        <v>3.051971</v>
      </c>
      <c r="T655">
        <v>-5.1687719999999999E-2</v>
      </c>
      <c r="U655">
        <v>0.2015991</v>
      </c>
      <c r="V655">
        <v>1.0912460000000001E-2</v>
      </c>
      <c r="W655">
        <v>0.1758344</v>
      </c>
      <c r="X655">
        <v>0.98435930000000005</v>
      </c>
      <c r="Y655">
        <v>-5.5440240000000002E-2</v>
      </c>
      <c r="Z655">
        <v>6.0181739999999996E-4</v>
      </c>
      <c r="AA655">
        <v>0.99846179999999995</v>
      </c>
      <c r="AB655">
        <v>38</v>
      </c>
      <c r="AC655">
        <v>65.960899999999896</v>
      </c>
      <c r="AD655">
        <v>-1.1203609482079999</v>
      </c>
      <c r="AE655">
        <v>4.3677000000000099</v>
      </c>
      <c r="AF655">
        <v>-3.67517685089607</v>
      </c>
      <c r="AG655">
        <v>-1.1203609482079999</v>
      </c>
      <c r="AH655">
        <v>65.984095592232904</v>
      </c>
      <c r="AI655">
        <v>90.971241255341695</v>
      </c>
      <c r="AJ655">
        <v>93.187961816325299</v>
      </c>
      <c r="AK655">
        <v>66.095862235578394</v>
      </c>
      <c r="AL655">
        <v>79.872781574434896</v>
      </c>
      <c r="AM655">
        <v>89.364853574403099</v>
      </c>
      <c r="AN655">
        <v>1.0000000247515499</v>
      </c>
    </row>
    <row r="656" spans="1:40" x14ac:dyDescent="0.25">
      <c r="A656" t="str">
        <f>"20190303162755285"</f>
        <v>20190303162755285</v>
      </c>
      <c r="B656" t="str">
        <f>"1551601675272540"</f>
        <v>1551601675272540</v>
      </c>
      <c r="C656" t="s">
        <v>40</v>
      </c>
      <c r="D656">
        <v>4.6563189999999999</v>
      </c>
      <c r="E656">
        <v>0.47672870000000001</v>
      </c>
      <c r="F656" t="s">
        <v>41</v>
      </c>
      <c r="G656">
        <v>-269.10340000000002</v>
      </c>
      <c r="H656" s="1">
        <v>-1.1014289999999999E-6</v>
      </c>
      <c r="I656">
        <v>372.3766</v>
      </c>
      <c r="J656">
        <v>-332.86180000000002</v>
      </c>
      <c r="K656">
        <v>1.120355</v>
      </c>
      <c r="L656">
        <v>368.1816</v>
      </c>
      <c r="M656">
        <v>0.99991209999999997</v>
      </c>
      <c r="N656">
        <v>-8.1227369999999997E-3</v>
      </c>
      <c r="O656">
        <v>1.047932E-2</v>
      </c>
      <c r="P656">
        <v>0.98584150000000004</v>
      </c>
      <c r="Q656">
        <v>0.1676752</v>
      </c>
      <c r="R656">
        <v>-1.4012899999999999E-3</v>
      </c>
      <c r="S656">
        <v>3.052368</v>
      </c>
      <c r="T656">
        <v>-5.3356889999999997E-2</v>
      </c>
      <c r="U656">
        <v>0.1999512</v>
      </c>
      <c r="V656">
        <v>1.173662E-2</v>
      </c>
      <c r="W656">
        <v>0.17567669999999999</v>
      </c>
      <c r="X656">
        <v>0.98437799999999998</v>
      </c>
      <c r="Y656">
        <v>-5.4894169999999999E-2</v>
      </c>
      <c r="Z656">
        <v>6.0453169999999997E-4</v>
      </c>
      <c r="AA656">
        <v>0.99849200000000005</v>
      </c>
      <c r="AB656">
        <v>38</v>
      </c>
      <c r="AC656">
        <v>63.758400000000002</v>
      </c>
      <c r="AD656">
        <v>-1.120356101429</v>
      </c>
      <c r="AE656">
        <v>4.1949999999999896</v>
      </c>
      <c r="AF656">
        <v>-3.5255190329474302</v>
      </c>
      <c r="AG656">
        <v>-1.120356101429</v>
      </c>
      <c r="AH656">
        <v>63.779252682534</v>
      </c>
      <c r="AI656">
        <v>91.004829258784497</v>
      </c>
      <c r="AJ656">
        <v>93.163912908650303</v>
      </c>
      <c r="AK656">
        <v>63.886442654042099</v>
      </c>
      <c r="AL656">
        <v>79.881960239559206</v>
      </c>
      <c r="AM656">
        <v>89.316901708494498</v>
      </c>
      <c r="AN656">
        <v>1.0000000490279499</v>
      </c>
    </row>
    <row r="657" spans="1:40" x14ac:dyDescent="0.25">
      <c r="A657" t="str">
        <f>"20190303162755297"</f>
        <v>20190303162755297</v>
      </c>
      <c r="B657" t="str">
        <f>"1551601675292060"</f>
        <v>1551601675292060</v>
      </c>
      <c r="C657" t="s">
        <v>40</v>
      </c>
      <c r="D657">
        <v>4.6396959999999998</v>
      </c>
      <c r="E657">
        <v>0.47773330000000003</v>
      </c>
      <c r="F657" t="s">
        <v>41</v>
      </c>
      <c r="G657">
        <v>-269.06180000000001</v>
      </c>
      <c r="H657" s="1">
        <v>-1.0561670000000001E-6</v>
      </c>
      <c r="I657">
        <v>372.1395</v>
      </c>
      <c r="J657">
        <v>-332.63600000000002</v>
      </c>
      <c r="K657">
        <v>1.1203510000000001</v>
      </c>
      <c r="L657">
        <v>368.1841</v>
      </c>
      <c r="M657">
        <v>0.99991209999999997</v>
      </c>
      <c r="N657">
        <v>-8.1286499999999994E-3</v>
      </c>
      <c r="O657">
        <v>1.047994E-2</v>
      </c>
      <c r="P657">
        <v>0.98579070000000002</v>
      </c>
      <c r="Q657">
        <v>0.16796900000000001</v>
      </c>
      <c r="R657">
        <v>-1.7816030000000001E-3</v>
      </c>
      <c r="S657">
        <v>3.05246</v>
      </c>
      <c r="T657">
        <v>-5.3602459999999998E-2</v>
      </c>
      <c r="U657">
        <v>0.18936159999999999</v>
      </c>
      <c r="V657">
        <v>1.2117380000000001E-2</v>
      </c>
      <c r="W657">
        <v>0.17597570000000001</v>
      </c>
      <c r="X657">
        <v>0.98431990000000003</v>
      </c>
      <c r="Y657">
        <v>-5.1442019999999998E-2</v>
      </c>
      <c r="Z657">
        <v>5.617962E-4</v>
      </c>
      <c r="AA657">
        <v>0.9986758</v>
      </c>
      <c r="AB657">
        <v>38</v>
      </c>
      <c r="AC657">
        <v>63.574199999999898</v>
      </c>
      <c r="AD657">
        <v>-1.120352056167</v>
      </c>
      <c r="AE657">
        <v>3.9553999999999898</v>
      </c>
      <c r="AF657">
        <v>-3.2878898401685799</v>
      </c>
      <c r="AG657">
        <v>-1.120352056167</v>
      </c>
      <c r="AH657">
        <v>63.592489039103398</v>
      </c>
      <c r="AI657">
        <v>91.007968187146901</v>
      </c>
      <c r="AJ657">
        <v>92.959698937882095</v>
      </c>
      <c r="AK657">
        <v>63.687283428635297</v>
      </c>
      <c r="AL657">
        <v>79.864556899991399</v>
      </c>
      <c r="AM657">
        <v>89.294701179576606</v>
      </c>
      <c r="AN657">
        <v>0.99999997171228105</v>
      </c>
    </row>
    <row r="658" spans="1:40" x14ac:dyDescent="0.25">
      <c r="A658" t="str">
        <f>"20190303162755309"</f>
        <v>20190303162755309</v>
      </c>
      <c r="B658" t="str">
        <f>"1551601675301820"</f>
        <v>1551601675301820</v>
      </c>
      <c r="C658" t="s">
        <v>40</v>
      </c>
      <c r="D658">
        <v>4.6213050000000004</v>
      </c>
      <c r="E658">
        <v>0.47812769999999999</v>
      </c>
      <c r="F658" t="s">
        <v>41</v>
      </c>
      <c r="G658">
        <v>-265.79809999999998</v>
      </c>
      <c r="H658" s="1">
        <v>-2.4523830000000002E-6</v>
      </c>
      <c r="I658">
        <v>372.12479999999999</v>
      </c>
      <c r="J658">
        <v>-332.44690000000003</v>
      </c>
      <c r="K658">
        <v>1.1203479999999999</v>
      </c>
      <c r="L658">
        <v>368.18599999999998</v>
      </c>
      <c r="M658">
        <v>0.99991209999999997</v>
      </c>
      <c r="N658">
        <v>-8.133642E-3</v>
      </c>
      <c r="O658">
        <v>1.048027E-2</v>
      </c>
      <c r="P658">
        <v>0.98581419999999997</v>
      </c>
      <c r="Q658">
        <v>0.16783020000000001</v>
      </c>
      <c r="R658">
        <v>-2.0028960000000001E-3</v>
      </c>
      <c r="S658">
        <v>3.0522770000000001</v>
      </c>
      <c r="T658">
        <v>-5.116296E-2</v>
      </c>
      <c r="U658">
        <v>0.17996219999999999</v>
      </c>
      <c r="V658">
        <v>1.233925E-2</v>
      </c>
      <c r="W658">
        <v>0.175842</v>
      </c>
      <c r="X658">
        <v>0.98434109999999997</v>
      </c>
      <c r="Y658">
        <v>-4.8382399999999999E-2</v>
      </c>
      <c r="Z658">
        <v>5.117581E-4</v>
      </c>
      <c r="AA658">
        <v>0.99882879999999996</v>
      </c>
      <c r="AB658">
        <v>38</v>
      </c>
      <c r="AC658">
        <v>66.648799999999994</v>
      </c>
      <c r="AD658">
        <v>-1.1203504523829999</v>
      </c>
      <c r="AE658">
        <v>3.9388000000000098</v>
      </c>
      <c r="AF658">
        <v>-3.2391511180094099</v>
      </c>
      <c r="AG658">
        <v>-1.1203504523829999</v>
      </c>
      <c r="AH658">
        <v>66.667647900364798</v>
      </c>
      <c r="AI658">
        <v>90.961631334988496</v>
      </c>
      <c r="AJ658">
        <v>92.781616915963696</v>
      </c>
      <c r="AK658">
        <v>66.755693103048998</v>
      </c>
      <c r="AL658">
        <v>79.872339325037004</v>
      </c>
      <c r="AM658">
        <v>89.281803920499797</v>
      </c>
      <c r="AN658">
        <v>1.0000000336018799</v>
      </c>
    </row>
    <row r="659" spans="1:40" x14ac:dyDescent="0.25">
      <c r="A659" t="str">
        <f>"20190303162755330"</f>
        <v>20190303162755330</v>
      </c>
      <c r="B659" t="str">
        <f>"1551601675322316"</f>
        <v>1551601675322316</v>
      </c>
      <c r="C659" t="s">
        <v>40</v>
      </c>
      <c r="D659">
        <v>4.6145009999999997</v>
      </c>
      <c r="E659">
        <v>0.47872219999999999</v>
      </c>
      <c r="F659" t="s">
        <v>41</v>
      </c>
      <c r="G659">
        <v>-265.72579999999999</v>
      </c>
      <c r="H659" s="1">
        <v>-2.4597299999999999E-6</v>
      </c>
      <c r="I659">
        <v>372.03579999999999</v>
      </c>
      <c r="J659">
        <v>-332.09070000000003</v>
      </c>
      <c r="K659">
        <v>1.1203449999999999</v>
      </c>
      <c r="L659">
        <v>368.18979999999999</v>
      </c>
      <c r="M659">
        <v>0.99991200000000002</v>
      </c>
      <c r="N659">
        <v>-8.1432429999999997E-3</v>
      </c>
      <c r="O659">
        <v>1.048105E-2</v>
      </c>
      <c r="P659">
        <v>0.98581189999999996</v>
      </c>
      <c r="Q659">
        <v>0.16784660000000001</v>
      </c>
      <c r="R659">
        <v>-1.6871220000000001E-3</v>
      </c>
      <c r="S659">
        <v>3.0522459999999998</v>
      </c>
      <c r="T659">
        <v>-5.1251890000000001E-2</v>
      </c>
      <c r="U659">
        <v>0.17611689999999999</v>
      </c>
      <c r="V659">
        <v>1.20248E-2</v>
      </c>
      <c r="W659">
        <v>0.17586779999999999</v>
      </c>
      <c r="X659">
        <v>0.9843404</v>
      </c>
      <c r="Y659">
        <v>-4.7128349999999999E-2</v>
      </c>
      <c r="Z659">
        <v>4.9685970000000002E-4</v>
      </c>
      <c r="AA659">
        <v>0.99888869999999996</v>
      </c>
      <c r="AB659">
        <v>38</v>
      </c>
      <c r="AC659">
        <v>66.364900000000006</v>
      </c>
      <c r="AD659">
        <v>-1.1203474597299901</v>
      </c>
      <c r="AE659">
        <v>3.8460000000000001</v>
      </c>
      <c r="AF659">
        <v>-3.14929738326828</v>
      </c>
      <c r="AG659">
        <v>-1.1203474597299901</v>
      </c>
      <c r="AH659">
        <v>66.382710898855805</v>
      </c>
      <c r="AI659">
        <v>90.965808585673003</v>
      </c>
      <c r="AJ659">
        <v>92.716162920316194</v>
      </c>
      <c r="AK659">
        <v>66.466815469976098</v>
      </c>
      <c r="AL659">
        <v>79.8708378705889</v>
      </c>
      <c r="AM659">
        <v>89.300103886652195</v>
      </c>
      <c r="AN659">
        <v>1.0000000509820099</v>
      </c>
    </row>
    <row r="660" spans="1:40" x14ac:dyDescent="0.25">
      <c r="A660" t="str">
        <f>"20190303162755339"</f>
        <v>20190303162755339</v>
      </c>
      <c r="B660" t="str">
        <f>"1551601675332077"</f>
        <v>1551601675332077</v>
      </c>
      <c r="C660" t="s">
        <v>40</v>
      </c>
      <c r="D660">
        <v>4.5806639999999996</v>
      </c>
      <c r="E660">
        <v>0.47895520000000003</v>
      </c>
      <c r="F660" t="s">
        <v>41</v>
      </c>
      <c r="G660">
        <v>-262.2063</v>
      </c>
      <c r="H660" s="1">
        <v>-3.9704479999999998E-6</v>
      </c>
      <c r="I660">
        <v>372.12630000000001</v>
      </c>
      <c r="J660">
        <v>-331.9126</v>
      </c>
      <c r="K660">
        <v>1.1203449999999999</v>
      </c>
      <c r="L660">
        <v>368.19159999999999</v>
      </c>
      <c r="M660">
        <v>0.99991189999999996</v>
      </c>
      <c r="N660">
        <v>-8.1481750000000006E-3</v>
      </c>
      <c r="O660">
        <v>1.0481509999999999E-2</v>
      </c>
      <c r="P660">
        <v>0.98577930000000002</v>
      </c>
      <c r="Q660">
        <v>0.1680391</v>
      </c>
      <c r="R660">
        <v>-1.4463270000000001E-3</v>
      </c>
      <c r="S660">
        <v>3.051758</v>
      </c>
      <c r="T660">
        <v>-4.8924090000000003E-2</v>
      </c>
      <c r="U660">
        <v>0.17190549999999999</v>
      </c>
      <c r="V660">
        <v>1.178448E-2</v>
      </c>
      <c r="W660">
        <v>0.1760649</v>
      </c>
      <c r="X660">
        <v>0.98430799999999996</v>
      </c>
      <c r="Y660">
        <v>-4.5763959999999999E-2</v>
      </c>
      <c r="Z660">
        <v>4.7060100000000002E-4</v>
      </c>
      <c r="AA660">
        <v>0.99895219999999996</v>
      </c>
      <c r="AB660">
        <v>38</v>
      </c>
      <c r="AC660">
        <v>69.706299999999999</v>
      </c>
      <c r="AD660">
        <v>-1.1203489704480001</v>
      </c>
      <c r="AE660">
        <v>3.9347000000000198</v>
      </c>
      <c r="AF660">
        <v>-3.20300754796531</v>
      </c>
      <c r="AG660">
        <v>-1.1203489704480001</v>
      </c>
      <c r="AH660">
        <v>69.725759028497393</v>
      </c>
      <c r="AI660">
        <v>90.919576070552694</v>
      </c>
      <c r="AJ660">
        <v>92.630159802363295</v>
      </c>
      <c r="AK660">
        <v>69.808279675608603</v>
      </c>
      <c r="AL660">
        <v>79.859365147990104</v>
      </c>
      <c r="AM660">
        <v>89.314067639330503</v>
      </c>
      <c r="AN660">
        <v>0.99999998092243902</v>
      </c>
    </row>
    <row r="661" spans="1:40" x14ac:dyDescent="0.25">
      <c r="A661" t="str">
        <f>"20190303162755351"</f>
        <v>20190303162755351</v>
      </c>
      <c r="B661" t="str">
        <f>"1551601675341836"</f>
        <v>1551601675341836</v>
      </c>
      <c r="C661" t="s">
        <v>40</v>
      </c>
      <c r="D661">
        <v>4.6476800000000003</v>
      </c>
      <c r="E661">
        <v>0.47905110000000001</v>
      </c>
      <c r="F661" t="s">
        <v>41</v>
      </c>
      <c r="G661">
        <v>-259.68540000000002</v>
      </c>
      <c r="H661" s="1">
        <v>-8.1214810000000002E-7</v>
      </c>
      <c r="I661">
        <v>372.2278</v>
      </c>
      <c r="J661">
        <v>-331.72399999999999</v>
      </c>
      <c r="K661">
        <v>1.1203430000000001</v>
      </c>
      <c r="L661">
        <v>368.1936</v>
      </c>
      <c r="M661">
        <v>0.99991180000000002</v>
      </c>
      <c r="N661">
        <v>-8.1534799999999994E-3</v>
      </c>
      <c r="O661">
        <v>1.048202E-2</v>
      </c>
      <c r="P661">
        <v>0.98569399999999996</v>
      </c>
      <c r="Q661">
        <v>0.16854040000000001</v>
      </c>
      <c r="R661">
        <v>-1.2794449999999999E-3</v>
      </c>
      <c r="S661">
        <v>3.0516049999999999</v>
      </c>
      <c r="T661">
        <v>-4.7334670000000002E-2</v>
      </c>
      <c r="U661">
        <v>0.17053219999999999</v>
      </c>
      <c r="V661">
        <v>1.161741E-2</v>
      </c>
      <c r="W661">
        <v>0.176570899999999</v>
      </c>
      <c r="X661">
        <v>0.98421939999999997</v>
      </c>
      <c r="Y661">
        <v>-4.5318629999999999E-2</v>
      </c>
      <c r="Z661">
        <v>4.5906350000000001E-4</v>
      </c>
      <c r="AA661">
        <v>0.99897250000000004</v>
      </c>
      <c r="AB661">
        <v>38</v>
      </c>
      <c r="AC661">
        <v>72.038599999999903</v>
      </c>
      <c r="AD661">
        <v>-1.1203438121481</v>
      </c>
      <c r="AE661">
        <v>4.0341999999999896</v>
      </c>
      <c r="AF661">
        <v>-3.2780528269283402</v>
      </c>
      <c r="AG661">
        <v>-1.1203438121481</v>
      </c>
      <c r="AH661">
        <v>72.0595558989463</v>
      </c>
      <c r="AI661">
        <v>90.889812595865607</v>
      </c>
      <c r="AJ661">
        <v>92.604639894702501</v>
      </c>
      <c r="AK661">
        <v>72.142777857155707</v>
      </c>
      <c r="AL661">
        <v>79.829912626872101</v>
      </c>
      <c r="AM661">
        <v>89.323730408942595</v>
      </c>
      <c r="AN661">
        <v>1.00000003713913</v>
      </c>
    </row>
    <row r="662" spans="1:40" x14ac:dyDescent="0.25">
      <c r="A662" t="str">
        <f>"20190303162755362"</f>
        <v>20190303162755362</v>
      </c>
      <c r="B662" t="str">
        <f>"1551601675352572"</f>
        <v>1551601675352572</v>
      </c>
      <c r="C662" t="s">
        <v>40</v>
      </c>
      <c r="D662">
        <v>4.6094249999999999</v>
      </c>
      <c r="E662">
        <v>0.4792188</v>
      </c>
      <c r="F662" t="s">
        <v>41</v>
      </c>
      <c r="G662">
        <v>-255.15379999999999</v>
      </c>
      <c r="H662" s="1">
        <v>-2.8203310000000001E-6</v>
      </c>
      <c r="I662">
        <v>372.46899999999999</v>
      </c>
      <c r="J662">
        <v>-331.53550000000001</v>
      </c>
      <c r="K662">
        <v>1.1203449999999999</v>
      </c>
      <c r="L662">
        <v>368.19560000000001</v>
      </c>
      <c r="M662">
        <v>0.99991180000000002</v>
      </c>
      <c r="N662">
        <v>-8.158808E-3</v>
      </c>
      <c r="O662">
        <v>1.0482470000000001E-2</v>
      </c>
      <c r="P662">
        <v>0.98563769999999995</v>
      </c>
      <c r="Q662">
        <v>0.16886970000000001</v>
      </c>
      <c r="R662">
        <v>-1.152316E-3</v>
      </c>
      <c r="S662">
        <v>3.0514220000000001</v>
      </c>
      <c r="T662">
        <v>-4.4647220000000001E-2</v>
      </c>
      <c r="U662">
        <v>0.17037959999999999</v>
      </c>
      <c r="V662">
        <v>1.1490480000000001E-2</v>
      </c>
      <c r="W662">
        <v>0.1769046</v>
      </c>
      <c r="X662">
        <v>0.98416099999999995</v>
      </c>
      <c r="Y662">
        <v>-4.5272420000000001E-2</v>
      </c>
      <c r="Z662">
        <v>4.4800560000000001E-4</v>
      </c>
      <c r="AA662">
        <v>0.99897460000000005</v>
      </c>
      <c r="AB662">
        <v>38</v>
      </c>
      <c r="AC662">
        <v>76.381699999999995</v>
      </c>
      <c r="AD662">
        <v>-1.120347820331</v>
      </c>
      <c r="AE662">
        <v>4.2733999999999801</v>
      </c>
      <c r="AF662">
        <v>-3.47172509982272</v>
      </c>
      <c r="AG662">
        <v>-1.120347820331</v>
      </c>
      <c r="AH662">
        <v>76.405913489561001</v>
      </c>
      <c r="AI662">
        <v>90.839207998265707</v>
      </c>
      <c r="AJ662">
        <v>92.601611084967104</v>
      </c>
      <c r="AK662">
        <v>76.492951770614297</v>
      </c>
      <c r="AL662">
        <v>79.810487582430696</v>
      </c>
      <c r="AM662">
        <v>89.331078861691196</v>
      </c>
      <c r="AN662">
        <v>1.0000000712763899</v>
      </c>
    </row>
    <row r="663" spans="1:40" x14ac:dyDescent="0.25">
      <c r="A663" t="str">
        <f>"20190303162755374"</f>
        <v>20190303162755374</v>
      </c>
      <c r="B663" t="str">
        <f>"1551601675362334"</f>
        <v>1551601675362334</v>
      </c>
      <c r="C663" t="s">
        <v>40</v>
      </c>
      <c r="D663">
        <v>4.6222110000000001</v>
      </c>
      <c r="E663">
        <v>0.4793442</v>
      </c>
      <c r="F663" t="s">
        <v>41</v>
      </c>
      <c r="G663">
        <v>-252.5795</v>
      </c>
      <c r="H663" s="1">
        <v>-3.9251510000000003E-6</v>
      </c>
      <c r="I663">
        <v>372.58690000000001</v>
      </c>
      <c r="J663">
        <v>-331.34109999999998</v>
      </c>
      <c r="K663">
        <v>1.1203459999999901</v>
      </c>
      <c r="L663">
        <v>368.19760000000002</v>
      </c>
      <c r="M663">
        <v>0.99991180000000002</v>
      </c>
      <c r="N663">
        <v>-8.1643970000000003E-3</v>
      </c>
      <c r="O663">
        <v>1.04828E-2</v>
      </c>
      <c r="P663">
        <v>0.98559269999999999</v>
      </c>
      <c r="Q663">
        <v>0.16913230000000001</v>
      </c>
      <c r="R663">
        <v>-1.1931520000000001E-3</v>
      </c>
      <c r="S663">
        <v>3.0513309999999998</v>
      </c>
      <c r="T663">
        <v>-4.3296929999999997E-2</v>
      </c>
      <c r="U663">
        <v>0.16970829999999901</v>
      </c>
      <c r="V663">
        <v>1.153123E-2</v>
      </c>
      <c r="W663">
        <v>0.17717260000000001</v>
      </c>
      <c r="X663">
        <v>0.98411230000000005</v>
      </c>
      <c r="Y663">
        <v>-4.505501E-2</v>
      </c>
      <c r="Z663">
        <v>4.403907E-4</v>
      </c>
      <c r="AA663">
        <v>0.99898439999999999</v>
      </c>
      <c r="AB663">
        <v>38</v>
      </c>
      <c r="AC663">
        <v>78.761599999999902</v>
      </c>
      <c r="AD663">
        <v>-1.1203499251509901</v>
      </c>
      <c r="AE663">
        <v>4.3892999999999898</v>
      </c>
      <c r="AF663">
        <v>-3.56267062027423</v>
      </c>
      <c r="AG663">
        <v>-1.1203499251509901</v>
      </c>
      <c r="AH663">
        <v>78.787393398591405</v>
      </c>
      <c r="AI663">
        <v>90.813854601365705</v>
      </c>
      <c r="AJ663">
        <v>92.5890821342485</v>
      </c>
      <c r="AK663">
        <v>78.8758591994265</v>
      </c>
      <c r="AL663">
        <v>79.794885744289502</v>
      </c>
      <c r="AM663">
        <v>89.328673590334105</v>
      </c>
      <c r="AN663">
        <v>1.00000005923367</v>
      </c>
    </row>
    <row r="664" spans="1:40" x14ac:dyDescent="0.25">
      <c r="A664" t="str">
        <f>"20190303162755385"</f>
        <v>20190303162755385</v>
      </c>
      <c r="B664" t="str">
        <f>"1551601675372092"</f>
        <v>1551601675372092</v>
      </c>
      <c r="C664" t="s">
        <v>40</v>
      </c>
      <c r="D664">
        <v>4.626474</v>
      </c>
      <c r="E664">
        <v>0.47948629999999998</v>
      </c>
      <c r="F664" t="s">
        <v>41</v>
      </c>
      <c r="G664">
        <v>-253.67529999999999</v>
      </c>
      <c r="H664" s="1">
        <v>-3.458898E-6</v>
      </c>
      <c r="I664">
        <v>372.48500000000001</v>
      </c>
      <c r="J664">
        <v>-331.15</v>
      </c>
      <c r="K664">
        <v>1.120352</v>
      </c>
      <c r="L664">
        <v>368.19959999999998</v>
      </c>
      <c r="M664">
        <v>0.99991169999999996</v>
      </c>
      <c r="N664">
        <v>-8.1699319999999995E-3</v>
      </c>
      <c r="O664">
        <v>1.0483070000000001E-2</v>
      </c>
      <c r="P664">
        <v>0.98558860000000004</v>
      </c>
      <c r="Q664">
        <v>0.16915539999999901</v>
      </c>
      <c r="R664">
        <v>-1.2985150000000001E-3</v>
      </c>
      <c r="S664">
        <v>3.0515750000000001</v>
      </c>
      <c r="T664">
        <v>-4.4019700000000002E-2</v>
      </c>
      <c r="U664">
        <v>0.168457</v>
      </c>
      <c r="V664">
        <v>1.1637059999999999E-2</v>
      </c>
      <c r="W664">
        <v>0.17720069999999999</v>
      </c>
      <c r="X664">
        <v>0.98410589999999998</v>
      </c>
      <c r="Y664">
        <v>-4.464183E-2</v>
      </c>
      <c r="Z664">
        <v>4.3874270000000002E-4</v>
      </c>
      <c r="AA664">
        <v>0.99900290000000003</v>
      </c>
      <c r="AB664">
        <v>38</v>
      </c>
      <c r="AC664">
        <v>77.474699999999899</v>
      </c>
      <c r="AD664">
        <v>-1.120355458898</v>
      </c>
      <c r="AE664">
        <v>4.2854000000000303</v>
      </c>
      <c r="AF664">
        <v>-3.4722408227365702</v>
      </c>
      <c r="AG664">
        <v>-1.120355458898</v>
      </c>
      <c r="AH664">
        <v>77.499211151104703</v>
      </c>
      <c r="AI664">
        <v>90.827400042682299</v>
      </c>
      <c r="AJ664">
        <v>92.565339490321605</v>
      </c>
      <c r="AK664">
        <v>77.585046121845295</v>
      </c>
      <c r="AL664">
        <v>79.7932488850835</v>
      </c>
      <c r="AM664">
        <v>89.322508533945594</v>
      </c>
      <c r="AN664">
        <v>0.99999996583037098</v>
      </c>
    </row>
    <row r="665" spans="1:40" x14ac:dyDescent="0.25">
      <c r="A665" t="str">
        <f>"20190303162755397"</f>
        <v>20190303162755397</v>
      </c>
      <c r="B665" t="str">
        <f>"1551601675392588"</f>
        <v>1551601675392588</v>
      </c>
      <c r="C665" t="s">
        <v>40</v>
      </c>
      <c r="D665">
        <v>4.731668</v>
      </c>
      <c r="E665">
        <v>0.49659950000000003</v>
      </c>
      <c r="F665" t="s">
        <v>41</v>
      </c>
      <c r="G665">
        <v>-256.23090000000002</v>
      </c>
      <c r="H665" s="1">
        <v>-2.3144560000000001E-6</v>
      </c>
      <c r="I665">
        <v>372.30430000000001</v>
      </c>
      <c r="J665">
        <v>-330.9264</v>
      </c>
      <c r="K665">
        <v>1.1203510000000001</v>
      </c>
      <c r="L665">
        <v>368.202</v>
      </c>
      <c r="M665">
        <v>0.99991160000000001</v>
      </c>
      <c r="N665">
        <v>-8.1766119999999998E-3</v>
      </c>
      <c r="O665">
        <v>1.048375E-2</v>
      </c>
      <c r="P665">
        <v>0.98558500000000004</v>
      </c>
      <c r="Q665">
        <v>0.1691743</v>
      </c>
      <c r="R665">
        <v>-1.476537E-3</v>
      </c>
      <c r="S665">
        <v>3.0518800000000001</v>
      </c>
      <c r="T665">
        <v>-4.5638320000000003E-2</v>
      </c>
      <c r="U665">
        <v>0.16720579999999999</v>
      </c>
      <c r="V665">
        <v>1.1815610000000001E-2</v>
      </c>
      <c r="W665">
        <v>0.17722650000000001</v>
      </c>
      <c r="X665">
        <v>0.9840991</v>
      </c>
      <c r="Y665">
        <v>-4.4226960000000003E-2</v>
      </c>
      <c r="Z665">
        <v>4.4041769999999999E-4</v>
      </c>
      <c r="AA665">
        <v>0.99902139999999995</v>
      </c>
      <c r="AB665">
        <v>39</v>
      </c>
      <c r="AC665">
        <v>74.695499999999896</v>
      </c>
      <c r="AD665">
        <v>-1.1203533144560001</v>
      </c>
      <c r="AE665">
        <v>4.1023000000000103</v>
      </c>
      <c r="AF665">
        <v>-3.3182151536242501</v>
      </c>
      <c r="AG665">
        <v>-1.1203533144560001</v>
      </c>
      <c r="AH665">
        <v>74.7176451380153</v>
      </c>
      <c r="AI665">
        <v>90.858211107770103</v>
      </c>
      <c r="AJ665">
        <v>92.542838215374303</v>
      </c>
      <c r="AK665">
        <v>74.799680736787494</v>
      </c>
      <c r="AL665">
        <v>79.791746612053004</v>
      </c>
      <c r="AM665">
        <v>89.312109870255796</v>
      </c>
      <c r="AN665">
        <v>0.99999993978136403</v>
      </c>
    </row>
    <row r="666" spans="1:40" x14ac:dyDescent="0.25">
      <c r="A666" t="str">
        <f>"20190303162755413"</f>
        <v>20190303162755413</v>
      </c>
      <c r="B666" t="str">
        <f>"1551601675402349"</f>
        <v>1551601675402349</v>
      </c>
      <c r="C666" t="s">
        <v>40</v>
      </c>
      <c r="D666">
        <v>4.6611279999999997</v>
      </c>
      <c r="E666">
        <v>0.50308929999999996</v>
      </c>
      <c r="F666" t="s">
        <v>41</v>
      </c>
      <c r="G666">
        <v>-277.69240000000002</v>
      </c>
      <c r="H666" s="1">
        <v>-1.129802E-6</v>
      </c>
      <c r="I666">
        <v>368.72840000000002</v>
      </c>
      <c r="J666">
        <v>-330.67939999999999</v>
      </c>
      <c r="K666">
        <v>1.120352</v>
      </c>
      <c r="L666">
        <v>368.20460000000003</v>
      </c>
      <c r="M666">
        <v>0.99991149999999995</v>
      </c>
      <c r="N666">
        <v>-8.1840190000000007E-3</v>
      </c>
      <c r="O666">
        <v>1.0484200000000001E-2</v>
      </c>
      <c r="P666">
        <v>0.98559960000000002</v>
      </c>
      <c r="Q666">
        <v>0.16908870000000001</v>
      </c>
      <c r="R666">
        <v>-1.6149090000000001E-3</v>
      </c>
      <c r="S666">
        <v>3.0549620000000002</v>
      </c>
      <c r="T666">
        <v>-6.4293980000000001E-2</v>
      </c>
      <c r="U666">
        <v>3.02124E-2</v>
      </c>
      <c r="V666">
        <v>1.1954670000000001E-2</v>
      </c>
      <c r="W666">
        <v>0.17714859999999999</v>
      </c>
      <c r="X666">
        <v>0.98411150000000003</v>
      </c>
      <c r="Y666">
        <v>5.9439979999999996E-4</v>
      </c>
      <c r="Z666">
        <v>-1.4350020000000001E-4</v>
      </c>
      <c r="AA666">
        <v>0.99999979999999999</v>
      </c>
      <c r="AB666">
        <v>39</v>
      </c>
      <c r="AC666">
        <v>52.986999999999902</v>
      </c>
      <c r="AD666">
        <v>-1.120353129802</v>
      </c>
      <c r="AE666">
        <v>0.52379999999999405</v>
      </c>
      <c r="AF666">
        <v>3.1759530104629202E-2</v>
      </c>
      <c r="AG666">
        <v>-1.120353129802</v>
      </c>
      <c r="AH666">
        <v>52.965902492001703</v>
      </c>
      <c r="AI666">
        <v>91.211759270731903</v>
      </c>
      <c r="AJ666">
        <v>89.965644183699098</v>
      </c>
      <c r="AK666">
        <v>52.977759735528998</v>
      </c>
      <c r="AL666">
        <v>79.796282255908807</v>
      </c>
      <c r="AM666">
        <v>89.304023530309806</v>
      </c>
      <c r="AN666">
        <v>0.999999992524509</v>
      </c>
    </row>
    <row r="667" spans="1:40" x14ac:dyDescent="0.25">
      <c r="A667" t="str">
        <f>"20190303162755428"</f>
        <v>20190303162755428</v>
      </c>
      <c r="B667" t="str">
        <f>"1551601675421869"</f>
        <v>1551601675421869</v>
      </c>
      <c r="C667" t="s">
        <v>40</v>
      </c>
      <c r="D667">
        <v>4.645937</v>
      </c>
      <c r="E667">
        <v>0.51583449999999997</v>
      </c>
      <c r="F667" t="s">
        <v>41</v>
      </c>
      <c r="G667">
        <v>-235.76580000000001</v>
      </c>
      <c r="H667" s="1">
        <v>-2.1710320000000001E-6</v>
      </c>
      <c r="I667">
        <v>367.5179</v>
      </c>
      <c r="J667">
        <v>-330.39749999999998</v>
      </c>
      <c r="K667">
        <v>1.1203529999999999</v>
      </c>
      <c r="L667">
        <v>368.20760000000001</v>
      </c>
      <c r="M667">
        <v>0.99991169999999996</v>
      </c>
      <c r="N667">
        <v>-8.1924849999999994E-3</v>
      </c>
      <c r="O667">
        <v>1.04847E-2</v>
      </c>
      <c r="P667">
        <v>0.9855756</v>
      </c>
      <c r="Q667">
        <v>0.1692282</v>
      </c>
      <c r="R667">
        <v>-1.810561E-3</v>
      </c>
      <c r="S667">
        <v>3.0500180000000001</v>
      </c>
      <c r="T667">
        <v>-3.6002159999999998E-2</v>
      </c>
      <c r="U667">
        <v>-2.2064210000000001E-2</v>
      </c>
      <c r="V667">
        <v>1.21505E-2</v>
      </c>
      <c r="W667">
        <v>0.17729549999999999</v>
      </c>
      <c r="X667">
        <v>0.98408260000000003</v>
      </c>
      <c r="Y667">
        <v>1.7716160000000002E-2</v>
      </c>
      <c r="Z667">
        <v>-2.149896E-4</v>
      </c>
      <c r="AA667">
        <v>0.99984309999999998</v>
      </c>
      <c r="AB667">
        <v>39</v>
      </c>
      <c r="AC667">
        <v>94.631699999999896</v>
      </c>
      <c r="AD667">
        <v>-1.1203551710320001</v>
      </c>
      <c r="AE667">
        <v>-0.68970000000001597</v>
      </c>
      <c r="AF667">
        <v>1.6816444508242701</v>
      </c>
      <c r="AG667">
        <v>-1.1203551710320001</v>
      </c>
      <c r="AH667">
        <v>94.606006887394003</v>
      </c>
      <c r="AI667">
        <v>90.678376429990294</v>
      </c>
      <c r="AJ667">
        <v>88.981661026680499</v>
      </c>
      <c r="AK667">
        <v>94.627584048975294</v>
      </c>
      <c r="AL667">
        <v>79.787729656199502</v>
      </c>
      <c r="AM667">
        <v>89.292603085114806</v>
      </c>
      <c r="AN667">
        <v>0.99999994629662803</v>
      </c>
    </row>
    <row r="668" spans="1:40" x14ac:dyDescent="0.25">
      <c r="A668" t="str">
        <f>"20190303162755441"</f>
        <v>20190303162755441</v>
      </c>
      <c r="B668" t="str">
        <f>"1551601675432604"</f>
        <v>1551601675432604</v>
      </c>
      <c r="C668" t="s">
        <v>40</v>
      </c>
      <c r="D668">
        <v>4.6118059999999996</v>
      </c>
      <c r="E668">
        <v>0.51904439999999996</v>
      </c>
      <c r="F668" t="s">
        <v>41</v>
      </c>
      <c r="G668">
        <v>-228.3655</v>
      </c>
      <c r="H668" s="1">
        <v>-2.0267509999999999E-6</v>
      </c>
      <c r="I668">
        <v>364.03739999999999</v>
      </c>
      <c r="J668">
        <v>-330.17750000000001</v>
      </c>
      <c r="K668">
        <v>1.120355</v>
      </c>
      <c r="L668">
        <v>368.20979999999997</v>
      </c>
      <c r="M668">
        <v>0.99991140000000001</v>
      </c>
      <c r="N668">
        <v>-8.1990589999999999E-3</v>
      </c>
      <c r="O668">
        <v>1.048515E-2</v>
      </c>
      <c r="P668">
        <v>0.98544900000000002</v>
      </c>
      <c r="Q668">
        <v>0.16996020000000001</v>
      </c>
      <c r="R668">
        <v>-1.9423750000000001E-3</v>
      </c>
      <c r="S668">
        <v>3.0494379999999999</v>
      </c>
      <c r="T668">
        <v>-3.3484100000000003E-2</v>
      </c>
      <c r="U668">
        <v>-0.1246338</v>
      </c>
      <c r="V668">
        <v>1.2281759999999999E-2</v>
      </c>
      <c r="W668">
        <v>0.1780332</v>
      </c>
      <c r="X668">
        <v>0.98394780000000004</v>
      </c>
      <c r="Y668">
        <v>5.1306039999999997E-2</v>
      </c>
      <c r="Z668">
        <v>-5.2114230000000004E-4</v>
      </c>
      <c r="AA668">
        <v>0.99868290000000004</v>
      </c>
      <c r="AB668">
        <v>39</v>
      </c>
      <c r="AC668">
        <v>101.812</v>
      </c>
      <c r="AD668">
        <v>-1.1203570267509999</v>
      </c>
      <c r="AE668">
        <v>-4.1723999999999801</v>
      </c>
      <c r="AF668">
        <v>5.2390872685041199</v>
      </c>
      <c r="AG668">
        <v>-1.1203570267509999</v>
      </c>
      <c r="AH668">
        <v>101.75035275498399</v>
      </c>
      <c r="AI668">
        <v>90.630014743053096</v>
      </c>
      <c r="AJ668">
        <v>87.052464910644701</v>
      </c>
      <c r="AK668">
        <v>101.891302479839</v>
      </c>
      <c r="AL668">
        <v>79.744779484692998</v>
      </c>
      <c r="AM668">
        <v>89.284864023809504</v>
      </c>
      <c r="AN668">
        <v>0.999999967527888</v>
      </c>
    </row>
    <row r="669" spans="1:40" x14ac:dyDescent="0.25">
      <c r="A669" t="str">
        <f>"20190303162755454"</f>
        <v>20190303162755454</v>
      </c>
      <c r="B669" t="str">
        <f>"1551601675442365"</f>
        <v>1551601675442365</v>
      </c>
      <c r="C669" t="s">
        <v>40</v>
      </c>
      <c r="D669">
        <v>4.3814599999999997</v>
      </c>
      <c r="E669">
        <v>0.51978649999999904</v>
      </c>
      <c r="F669" t="s">
        <v>41</v>
      </c>
      <c r="G669">
        <v>-233.636</v>
      </c>
      <c r="H669" s="1">
        <v>-3.807033E-6</v>
      </c>
      <c r="I669">
        <v>363.44580000000002</v>
      </c>
      <c r="J669">
        <v>-329.95409999999998</v>
      </c>
      <c r="K669">
        <v>1.1203529999999999</v>
      </c>
      <c r="L669">
        <v>368.21210000000002</v>
      </c>
      <c r="M669">
        <v>0.99991140000000001</v>
      </c>
      <c r="N669">
        <v>-8.2057550000000003E-3</v>
      </c>
      <c r="O669">
        <v>1.048547E-2</v>
      </c>
      <c r="P669">
        <v>0.98540130000000004</v>
      </c>
      <c r="Q669">
        <v>0.17023579999999999</v>
      </c>
      <c r="R669">
        <v>-2.030217E-3</v>
      </c>
      <c r="S669">
        <v>3.0501100000000001</v>
      </c>
      <c r="T669">
        <v>-3.5396339999999998E-2</v>
      </c>
      <c r="U669">
        <v>-0.1505127</v>
      </c>
      <c r="V669">
        <v>1.2369440000000001E-2</v>
      </c>
      <c r="W669">
        <v>0.17831520000000001</v>
      </c>
      <c r="X669">
        <v>0.98389570000000004</v>
      </c>
      <c r="Y669">
        <v>5.9750129999999999E-2</v>
      </c>
      <c r="Z669">
        <v>-6.2741689999999998E-4</v>
      </c>
      <c r="AA669">
        <v>0.99821320000000002</v>
      </c>
      <c r="AB669">
        <v>39</v>
      </c>
      <c r="AC669">
        <v>96.318100000000001</v>
      </c>
      <c r="AD669">
        <v>-1.1203568070329999</v>
      </c>
      <c r="AE669">
        <v>-4.7663000000000002</v>
      </c>
      <c r="AF669">
        <v>5.7752329883947198</v>
      </c>
      <c r="AG669">
        <v>-1.1203568070329999</v>
      </c>
      <c r="AH669">
        <v>96.249835307017406</v>
      </c>
      <c r="AI669">
        <v>90.6657007707215</v>
      </c>
      <c r="AJ669">
        <v>86.566225580092095</v>
      </c>
      <c r="AK669">
        <v>96.429452513603394</v>
      </c>
      <c r="AL669">
        <v>79.728359994232207</v>
      </c>
      <c r="AM669">
        <v>89.279721039250802</v>
      </c>
      <c r="AN669">
        <v>1.0000000310377199</v>
      </c>
    </row>
    <row r="670" spans="1:40" x14ac:dyDescent="0.25">
      <c r="A670" t="str">
        <f>"20190303162755474"</f>
        <v>20190303162755474</v>
      </c>
      <c r="B670" t="str">
        <f>"1551601675461885"</f>
        <v>1551601675461885</v>
      </c>
      <c r="C670" t="s">
        <v>40</v>
      </c>
      <c r="D670">
        <v>4.602582</v>
      </c>
      <c r="E670">
        <v>0.52233999999999903</v>
      </c>
      <c r="F670" t="s">
        <v>41</v>
      </c>
      <c r="G670">
        <v>-224.12200000000001</v>
      </c>
      <c r="H670" s="1">
        <v>-3.8072589999999999E-6</v>
      </c>
      <c r="I670">
        <v>362.77289999999999</v>
      </c>
      <c r="J670">
        <v>-329.60680000000002</v>
      </c>
      <c r="K670">
        <v>1.1203590000000001</v>
      </c>
      <c r="L670">
        <v>368.2158</v>
      </c>
      <c r="M670">
        <v>0.99991140000000001</v>
      </c>
      <c r="N670">
        <v>-8.2162250000000006E-3</v>
      </c>
      <c r="O670">
        <v>1.0485909999999999E-2</v>
      </c>
      <c r="P670">
        <v>0.98530150000000005</v>
      </c>
      <c r="Q670">
        <v>0.1708141</v>
      </c>
      <c r="R670">
        <v>-1.9959029999999998E-3</v>
      </c>
      <c r="S670">
        <v>3.0497130000000001</v>
      </c>
      <c r="T670">
        <v>-3.2284739999999999E-2</v>
      </c>
      <c r="U670">
        <v>-0.156738299999999</v>
      </c>
      <c r="V670">
        <v>1.233453E-2</v>
      </c>
      <c r="W670">
        <v>0.17890259999999999</v>
      </c>
      <c r="X670">
        <v>0.98378949999999998</v>
      </c>
      <c r="Y670">
        <v>6.1790129999999999E-2</v>
      </c>
      <c r="Z670">
        <v>-6.0570139999999997E-4</v>
      </c>
      <c r="AA670">
        <v>0.998089</v>
      </c>
      <c r="AB670">
        <v>39</v>
      </c>
      <c r="AC670">
        <v>105.48480000000001</v>
      </c>
      <c r="AD670">
        <v>-1.1203628072589999</v>
      </c>
      <c r="AE670">
        <v>-5.4428999999999998</v>
      </c>
      <c r="AF670">
        <v>6.5480053415257702</v>
      </c>
      <c r="AG670">
        <v>-1.1203628072589999</v>
      </c>
      <c r="AH670">
        <v>105.41006505764901</v>
      </c>
      <c r="AI670">
        <v>90.607780309203207</v>
      </c>
      <c r="AJ670">
        <v>86.445390580961302</v>
      </c>
      <c r="AK670">
        <v>105.619190501681</v>
      </c>
      <c r="AL670">
        <v>79.694154429160704</v>
      </c>
      <c r="AM670">
        <v>89.281676127035396</v>
      </c>
      <c r="AN670">
        <v>1.0000000306136601</v>
      </c>
    </row>
    <row r="671" spans="1:40" x14ac:dyDescent="0.25">
      <c r="A671" t="str">
        <f>"20190303162755486"</f>
        <v>20190303162755486</v>
      </c>
      <c r="B671" t="str">
        <f>"1551601675482381"</f>
        <v>1551601675482381</v>
      </c>
      <c r="C671" t="s">
        <v>40</v>
      </c>
      <c r="D671">
        <v>4.6639879999999998</v>
      </c>
      <c r="E671">
        <v>0.52383690000000005</v>
      </c>
      <c r="F671" t="s">
        <v>41</v>
      </c>
      <c r="G671">
        <v>-234.58690000000001</v>
      </c>
      <c r="H671" s="1">
        <v>-3.6655080000000001E-6</v>
      </c>
      <c r="I671">
        <v>362.71109999999999</v>
      </c>
      <c r="J671">
        <v>-329.39690000000002</v>
      </c>
      <c r="K671">
        <v>1.12036</v>
      </c>
      <c r="L671">
        <v>368.21800000000002</v>
      </c>
      <c r="M671">
        <v>0.9999112</v>
      </c>
      <c r="N671">
        <v>-8.2225919999999904E-3</v>
      </c>
      <c r="O671">
        <v>1.0486240000000001E-2</v>
      </c>
      <c r="P671">
        <v>0.9852841</v>
      </c>
      <c r="Q671">
        <v>0.17091479999999901</v>
      </c>
      <c r="R671">
        <v>-1.8554489999999999E-3</v>
      </c>
      <c r="S671">
        <v>3.0506289999999998</v>
      </c>
      <c r="T671">
        <v>-3.5969380000000002E-2</v>
      </c>
      <c r="U671">
        <v>-0.1767273</v>
      </c>
      <c r="V671">
        <v>1.219423E-2</v>
      </c>
      <c r="W671">
        <v>0.17900949999999999</v>
      </c>
      <c r="X671">
        <v>0.98377170000000003</v>
      </c>
      <c r="Y671">
        <v>6.8292220000000001E-2</v>
      </c>
      <c r="Z671">
        <v>-7.2067910000000004E-4</v>
      </c>
      <c r="AA671">
        <v>0.99766509999999997</v>
      </c>
      <c r="AB671">
        <v>39</v>
      </c>
      <c r="AC671">
        <v>94.81</v>
      </c>
      <c r="AD671">
        <v>-1.120363665508</v>
      </c>
      <c r="AE671">
        <v>-5.5069000000000301</v>
      </c>
      <c r="AF671">
        <v>6.4999266361782402</v>
      </c>
      <c r="AG671">
        <v>-1.120363665508</v>
      </c>
      <c r="AH671">
        <v>94.733854011211207</v>
      </c>
      <c r="AI671">
        <v>90.675984022271393</v>
      </c>
      <c r="AJ671">
        <v>86.074944862836503</v>
      </c>
      <c r="AK671">
        <v>94.963189483273794</v>
      </c>
      <c r="AL671">
        <v>79.687927955058797</v>
      </c>
      <c r="AM671">
        <v>89.289833064132395</v>
      </c>
      <c r="AN671">
        <v>0.999999929028213</v>
      </c>
    </row>
    <row r="672" spans="1:40" x14ac:dyDescent="0.25">
      <c r="A672" t="str">
        <f>"20190303162755497"</f>
        <v>20190303162755497</v>
      </c>
      <c r="B672" t="str">
        <f>"1551601675492140"</f>
        <v>1551601675492140</v>
      </c>
      <c r="C672" t="s">
        <v>40</v>
      </c>
      <c r="D672">
        <v>4.6674569999999997</v>
      </c>
      <c r="E672">
        <v>0.52449049999999997</v>
      </c>
      <c r="F672" t="s">
        <v>41</v>
      </c>
      <c r="G672">
        <v>-238.11510000000001</v>
      </c>
      <c r="H672" s="1">
        <v>-2.4953719999999999E-6</v>
      </c>
      <c r="I672">
        <v>362.59629999999999</v>
      </c>
      <c r="J672">
        <v>-329.18389999999999</v>
      </c>
      <c r="K672">
        <v>1.12036</v>
      </c>
      <c r="L672">
        <v>368.22019999999998</v>
      </c>
      <c r="M672">
        <v>0.99991129999999995</v>
      </c>
      <c r="N672">
        <v>-8.2290969999999995E-3</v>
      </c>
      <c r="O672">
        <v>1.0486509999999999E-2</v>
      </c>
      <c r="P672">
        <v>0.98529710000000004</v>
      </c>
      <c r="Q672">
        <v>0.17083960000000001</v>
      </c>
      <c r="R672">
        <v>-1.867725E-3</v>
      </c>
      <c r="S672">
        <v>3.050964</v>
      </c>
      <c r="T672">
        <v>-3.7446500000000001E-2</v>
      </c>
      <c r="U672">
        <v>-0.1878967</v>
      </c>
      <c r="V672">
        <v>1.220709E-2</v>
      </c>
      <c r="W672">
        <v>0.17894099999999999</v>
      </c>
      <c r="X672">
        <v>0.98378410000000005</v>
      </c>
      <c r="Y672">
        <v>7.1924100000000005E-2</v>
      </c>
      <c r="Z672">
        <v>-7.7957289999999995E-4</v>
      </c>
      <c r="AA672">
        <v>0.99740980000000001</v>
      </c>
      <c r="AB672">
        <v>39</v>
      </c>
      <c r="AC672">
        <v>91.068799999999896</v>
      </c>
      <c r="AD672">
        <v>-1.1203624953719999</v>
      </c>
      <c r="AE672">
        <v>-5.6238999999999901</v>
      </c>
      <c r="AF672">
        <v>6.5776250970026204</v>
      </c>
      <c r="AG672">
        <v>-1.1203624953719999</v>
      </c>
      <c r="AH672">
        <v>90.991096136572594</v>
      </c>
      <c r="AI672">
        <v>90.703604623628493</v>
      </c>
      <c r="AJ672">
        <v>85.865356503627495</v>
      </c>
      <c r="AK672">
        <v>91.235409464597495</v>
      </c>
      <c r="AL672">
        <v>79.691918126892105</v>
      </c>
      <c r="AM672">
        <v>89.289093160684502</v>
      </c>
      <c r="AN672">
        <v>1.00000002497003</v>
      </c>
    </row>
    <row r="673" spans="1:40" x14ac:dyDescent="0.25">
      <c r="A673" t="str">
        <f>"20190303162755508"</f>
        <v>20190303162755508</v>
      </c>
      <c r="B673" t="str">
        <f>"1551601675501901"</f>
        <v>1551601675501901</v>
      </c>
      <c r="C673" t="s">
        <v>40</v>
      </c>
      <c r="D673">
        <v>4.666004</v>
      </c>
      <c r="E673">
        <v>0.52495749999999997</v>
      </c>
      <c r="F673" t="s">
        <v>41</v>
      </c>
      <c r="G673">
        <v>-242.7732</v>
      </c>
      <c r="H673" s="1">
        <v>-4.6140619999999998E-6</v>
      </c>
      <c r="I673">
        <v>362.75299999999999</v>
      </c>
      <c r="J673">
        <v>-329.00330000000002</v>
      </c>
      <c r="K673">
        <v>1.12036</v>
      </c>
      <c r="L673">
        <v>368.22210000000001</v>
      </c>
      <c r="M673">
        <v>0.99991110000000005</v>
      </c>
      <c r="N673">
        <v>-8.2346409999999991E-3</v>
      </c>
      <c r="O673">
        <v>1.0486840000000001E-2</v>
      </c>
      <c r="P673">
        <v>0.98526800000000003</v>
      </c>
      <c r="Q673">
        <v>0.17100570000000001</v>
      </c>
      <c r="R673">
        <v>-1.9914920000000001E-3</v>
      </c>
      <c r="S673">
        <v>3.0512700000000001</v>
      </c>
      <c r="T673">
        <v>-3.9561510000000001E-2</v>
      </c>
      <c r="U673">
        <v>-0.19305420000000001</v>
      </c>
      <c r="V673">
        <v>1.233075E-2</v>
      </c>
      <c r="W673">
        <v>0.179112299999999</v>
      </c>
      <c r="X673">
        <v>0.98375140000000005</v>
      </c>
      <c r="Y673">
        <v>7.3596460000000002E-2</v>
      </c>
      <c r="Z673">
        <v>-8.2953569999999997E-4</v>
      </c>
      <c r="AA673">
        <v>0.99728779999999995</v>
      </c>
      <c r="AB673">
        <v>39</v>
      </c>
      <c r="AC673">
        <v>86.230099999999993</v>
      </c>
      <c r="AD673">
        <v>-1.1203646140620001</v>
      </c>
      <c r="AE673">
        <v>-5.4690999999999601</v>
      </c>
      <c r="AF673">
        <v>6.3720398079981901</v>
      </c>
      <c r="AG673">
        <v>-1.1203646140620001</v>
      </c>
      <c r="AH673">
        <v>86.153517100366798</v>
      </c>
      <c r="AI673">
        <v>90.743019197842699</v>
      </c>
      <c r="AJ673">
        <v>85.7700224216061</v>
      </c>
      <c r="AK673">
        <v>86.3961030194438</v>
      </c>
      <c r="AL673">
        <v>79.681942350035598</v>
      </c>
      <c r="AM673">
        <v>89.281868430439303</v>
      </c>
      <c r="AN673">
        <v>1.0000000402044</v>
      </c>
    </row>
    <row r="674" spans="1:40" x14ac:dyDescent="0.25">
      <c r="A674" t="str">
        <f>"20190303162755520"</f>
        <v>20190303162755520</v>
      </c>
      <c r="B674" t="str">
        <f>"1551601675512637"</f>
        <v>1551601675512637</v>
      </c>
      <c r="C674" t="s">
        <v>40</v>
      </c>
      <c r="D674">
        <v>4.6669229999999997</v>
      </c>
      <c r="E674">
        <v>0.52526189999999995</v>
      </c>
      <c r="F674" t="s">
        <v>41</v>
      </c>
      <c r="G674">
        <v>-242.35919999999999</v>
      </c>
      <c r="H674" s="1">
        <v>-4.8328230000000001E-6</v>
      </c>
      <c r="I674">
        <v>362.62310000000002</v>
      </c>
      <c r="J674">
        <v>-328.78449999999998</v>
      </c>
      <c r="K674">
        <v>1.120363</v>
      </c>
      <c r="L674">
        <v>368.2244</v>
      </c>
      <c r="M674">
        <v>0.99991110000000005</v>
      </c>
      <c r="N674">
        <v>-8.2413820000000002E-3</v>
      </c>
      <c r="O674">
        <v>1.0487170000000001E-2</v>
      </c>
      <c r="P674">
        <v>0.98527620000000005</v>
      </c>
      <c r="Q674">
        <v>0.17095759999999999</v>
      </c>
      <c r="R674">
        <v>-2.126677E-3</v>
      </c>
      <c r="S674">
        <v>3.0512700000000001</v>
      </c>
      <c r="T674">
        <v>-3.9454940000000001E-2</v>
      </c>
      <c r="U674">
        <v>-0.19717409999999999</v>
      </c>
      <c r="V674">
        <v>1.2466420000000001E-2</v>
      </c>
      <c r="W674">
        <v>0.17907100000000001</v>
      </c>
      <c r="X674">
        <v>0.9837572</v>
      </c>
      <c r="Y674">
        <v>7.4937649999999995E-2</v>
      </c>
      <c r="Z674">
        <v>-8.4225070000000003E-4</v>
      </c>
      <c r="AA674">
        <v>0.99718790000000002</v>
      </c>
      <c r="AB674">
        <v>39</v>
      </c>
      <c r="AC674">
        <v>86.425299999999993</v>
      </c>
      <c r="AD674">
        <v>-1.120367832823</v>
      </c>
      <c r="AE674">
        <v>-5.6012999999999797</v>
      </c>
      <c r="AF674">
        <v>6.5062906876504698</v>
      </c>
      <c r="AG674">
        <v>-1.120367832823</v>
      </c>
      <c r="AH674">
        <v>86.347353202869797</v>
      </c>
      <c r="AI674">
        <v>90.741277130198</v>
      </c>
      <c r="AJ674">
        <v>85.690894211524906</v>
      </c>
      <c r="AK674">
        <v>86.5993790262619</v>
      </c>
      <c r="AL674">
        <v>79.684347462362197</v>
      </c>
      <c r="AM674">
        <v>89.2739722553208</v>
      </c>
      <c r="AN674">
        <v>1.00000003161022</v>
      </c>
    </row>
    <row r="675" spans="1:40" x14ac:dyDescent="0.25">
      <c r="A675" t="str">
        <f>"20190303162755533"</f>
        <v>20190303162755533</v>
      </c>
      <c r="B675" t="str">
        <f>"1551601675522396"</f>
        <v>1551601675522396</v>
      </c>
      <c r="C675" t="s">
        <v>40</v>
      </c>
      <c r="D675">
        <v>4.6565099999999999</v>
      </c>
      <c r="E675">
        <v>0.52556859999999905</v>
      </c>
      <c r="F675" t="s">
        <v>41</v>
      </c>
      <c r="G675">
        <v>-242.381</v>
      </c>
      <c r="H675" s="1">
        <v>-4.8331359999999997E-6</v>
      </c>
      <c r="I675">
        <v>362.56319999999999</v>
      </c>
      <c r="J675">
        <v>-328.58670000000001</v>
      </c>
      <c r="K675">
        <v>1.120363</v>
      </c>
      <c r="L675">
        <v>368.22649999999999</v>
      </c>
      <c r="M675">
        <v>0.99991110000000005</v>
      </c>
      <c r="N675">
        <v>-8.2475819999999998E-3</v>
      </c>
      <c r="O675">
        <v>1.0487440000000001E-2</v>
      </c>
      <c r="P675">
        <v>0.98525479999999999</v>
      </c>
      <c r="Q675">
        <v>0.17107990000000001</v>
      </c>
      <c r="R675">
        <v>-2.2148290000000002E-3</v>
      </c>
      <c r="S675">
        <v>3.0512700000000001</v>
      </c>
      <c r="T675">
        <v>-3.9564849999999999E-2</v>
      </c>
      <c r="U675">
        <v>-0.19992070000000001</v>
      </c>
      <c r="V675">
        <v>1.2554539999999999E-2</v>
      </c>
      <c r="W675">
        <v>0.17919860000000001</v>
      </c>
      <c r="X675">
        <v>0.98373279999999996</v>
      </c>
      <c r="Y675">
        <v>7.5831549999999998E-2</v>
      </c>
      <c r="Z675">
        <v>-8.5361839999999905E-4</v>
      </c>
      <c r="AA675">
        <v>0.99712029999999996</v>
      </c>
      <c r="AB675">
        <v>39</v>
      </c>
      <c r="AC675">
        <v>86.205699999999993</v>
      </c>
      <c r="AD675">
        <v>-1.1203678331360001</v>
      </c>
      <c r="AE675">
        <v>-5.6632999999999898</v>
      </c>
      <c r="AF675">
        <v>6.5659920057844499</v>
      </c>
      <c r="AG675">
        <v>-1.1203678331360001</v>
      </c>
      <c r="AH675">
        <v>86.127078281876294</v>
      </c>
      <c r="AI675">
        <v>90.743123169021004</v>
      </c>
      <c r="AJ675">
        <v>85.640426400036205</v>
      </c>
      <c r="AK675">
        <v>86.384264125325501</v>
      </c>
      <c r="AL675">
        <v>79.676915866504999</v>
      </c>
      <c r="AM675">
        <v>89.268822685402</v>
      </c>
      <c r="AN675">
        <v>0.99999998825620595</v>
      </c>
    </row>
    <row r="676" spans="1:40" x14ac:dyDescent="0.25">
      <c r="A676" t="str">
        <f>"20190303162755543"</f>
        <v>20190303162755543</v>
      </c>
      <c r="B676" t="str">
        <f>"1551601675532157"</f>
        <v>1551601675532157</v>
      </c>
      <c r="C676" t="s">
        <v>40</v>
      </c>
      <c r="D676">
        <v>4.6629230000000002</v>
      </c>
      <c r="E676">
        <v>0.52598089999999997</v>
      </c>
      <c r="F676" t="s">
        <v>41</v>
      </c>
      <c r="G676">
        <v>-241.57650000000001</v>
      </c>
      <c r="H676" s="1">
        <v>-5.2340099999999899E-6</v>
      </c>
      <c r="I676">
        <v>362.44720000000001</v>
      </c>
      <c r="J676">
        <v>-328.39089999999999</v>
      </c>
      <c r="K676">
        <v>1.1203590000000001</v>
      </c>
      <c r="L676">
        <v>368.2285</v>
      </c>
      <c r="M676">
        <v>0.99991099999999999</v>
      </c>
      <c r="N676">
        <v>-8.2537440000000004E-3</v>
      </c>
      <c r="O676">
        <v>1.048777E-2</v>
      </c>
      <c r="P676">
        <v>0.98525770000000001</v>
      </c>
      <c r="Q676">
        <v>0.17105909999999999</v>
      </c>
      <c r="R676">
        <v>-2.5241869999999998E-3</v>
      </c>
      <c r="S676">
        <v>3.0512700000000001</v>
      </c>
      <c r="T676">
        <v>-3.9288999999999998E-2</v>
      </c>
      <c r="U676">
        <v>-0.20266719999999999</v>
      </c>
      <c r="V676">
        <v>1.286415E-2</v>
      </c>
      <c r="W676">
        <v>0.17918399999999901</v>
      </c>
      <c r="X676">
        <v>0.98373140000000003</v>
      </c>
      <c r="Y676">
        <v>7.6725509999999997E-2</v>
      </c>
      <c r="Z676">
        <v>-8.5885460000000003E-4</v>
      </c>
      <c r="AA676">
        <v>0.99705189999999999</v>
      </c>
      <c r="AB676">
        <v>39</v>
      </c>
      <c r="AC676">
        <v>86.814399999999907</v>
      </c>
      <c r="AD676">
        <v>-1.12036423401</v>
      </c>
      <c r="AE676">
        <v>-5.7812999999999803</v>
      </c>
      <c r="AF676">
        <v>6.6903930945360797</v>
      </c>
      <c r="AG676">
        <v>-1.12036423401</v>
      </c>
      <c r="AH676">
        <v>86.734608487642106</v>
      </c>
      <c r="AI676">
        <v>90.737865550523296</v>
      </c>
      <c r="AJ676">
        <v>85.589145778053293</v>
      </c>
      <c r="AK676">
        <v>86.999476350612696</v>
      </c>
      <c r="AL676">
        <v>79.677765537093094</v>
      </c>
      <c r="AM676">
        <v>89.250791941205705</v>
      </c>
      <c r="AN676">
        <v>0.99999992977858798</v>
      </c>
    </row>
    <row r="677" spans="1:40" x14ac:dyDescent="0.25">
      <c r="A677" t="str">
        <f>"20190303162755556"</f>
        <v>20190303162755556</v>
      </c>
      <c r="B677" t="str">
        <f>"1551601675551676"</f>
        <v>1551601675551676</v>
      </c>
      <c r="C677" t="s">
        <v>40</v>
      </c>
      <c r="D677">
        <v>4.6399220000000003</v>
      </c>
      <c r="E677">
        <v>0.52650390000000002</v>
      </c>
      <c r="F677" t="s">
        <v>41</v>
      </c>
      <c r="G677">
        <v>-243.0538</v>
      </c>
      <c r="H677" s="1">
        <v>-4.5602010000000002E-6</v>
      </c>
      <c r="I677">
        <v>362.44349999999997</v>
      </c>
      <c r="J677">
        <v>-328.16719999999998</v>
      </c>
      <c r="K677">
        <v>1.120358</v>
      </c>
      <c r="L677">
        <v>368.23090000000002</v>
      </c>
      <c r="M677">
        <v>0.99991090000000005</v>
      </c>
      <c r="N677">
        <v>-8.2608049999999995E-3</v>
      </c>
      <c r="O677">
        <v>1.0488219999999999E-2</v>
      </c>
      <c r="P677">
        <v>0.98529429999999996</v>
      </c>
      <c r="Q677">
        <v>0.1708411</v>
      </c>
      <c r="R677">
        <v>-2.9394600000000001E-3</v>
      </c>
      <c r="S677">
        <v>3.0512999999999999</v>
      </c>
      <c r="T677">
        <v>-4.0059570000000003E-2</v>
      </c>
      <c r="U677">
        <v>-0.20684810000000001</v>
      </c>
      <c r="V677">
        <v>1.328036E-2</v>
      </c>
      <c r="W677">
        <v>0.1789734</v>
      </c>
      <c r="X677">
        <v>0.98376430000000004</v>
      </c>
      <c r="Y677">
        <v>7.8084719999999996E-2</v>
      </c>
      <c r="Z677">
        <v>-8.8589229999999999E-4</v>
      </c>
      <c r="AA677">
        <v>0.99694629999999995</v>
      </c>
      <c r="AB677">
        <v>39</v>
      </c>
      <c r="AC677">
        <v>85.113399999999899</v>
      </c>
      <c r="AD677">
        <v>-1.1203625602009999</v>
      </c>
      <c r="AE677">
        <v>-5.7874000000000398</v>
      </c>
      <c r="AF677">
        <v>6.6786482780133003</v>
      </c>
      <c r="AG677">
        <v>-1.1203625602009999</v>
      </c>
      <c r="AH677">
        <v>85.033350752999397</v>
      </c>
      <c r="AI677">
        <v>90.752543373058202</v>
      </c>
      <c r="AJ677">
        <v>85.509121873050304</v>
      </c>
      <c r="AK677">
        <v>85.302580824792898</v>
      </c>
      <c r="AL677">
        <v>79.690031252241994</v>
      </c>
      <c r="AM677">
        <v>89.226580633734997</v>
      </c>
      <c r="AN677">
        <v>1.0000000219118801</v>
      </c>
    </row>
    <row r="678" spans="1:40" x14ac:dyDescent="0.25">
      <c r="A678" t="str">
        <f>"20190303162755571"</f>
        <v>20190303162755571</v>
      </c>
      <c r="B678" t="str">
        <f>"1551601675562412"</f>
        <v>1551601675562412</v>
      </c>
      <c r="C678" t="s">
        <v>40</v>
      </c>
      <c r="D678">
        <v>4.646026</v>
      </c>
      <c r="E678">
        <v>0.52666599999999997</v>
      </c>
      <c r="F678" t="s">
        <v>41</v>
      </c>
      <c r="G678">
        <v>-245.91419999999999</v>
      </c>
      <c r="H678" s="1">
        <v>-3.4428509999999998E-6</v>
      </c>
      <c r="I678">
        <v>362.5145</v>
      </c>
      <c r="J678">
        <v>-327.91680000000002</v>
      </c>
      <c r="K678">
        <v>1.120355</v>
      </c>
      <c r="L678">
        <v>368.23349999999999</v>
      </c>
      <c r="M678">
        <v>0.99991099999999999</v>
      </c>
      <c r="N678">
        <v>-8.2687070000000001E-3</v>
      </c>
      <c r="O678">
        <v>1.0488539999999999E-2</v>
      </c>
      <c r="P678">
        <v>0.98528780000000005</v>
      </c>
      <c r="Q678">
        <v>0.1708712</v>
      </c>
      <c r="R678">
        <v>-3.3701220000000001E-3</v>
      </c>
      <c r="S678">
        <v>3.0513919999999999</v>
      </c>
      <c r="T678">
        <v>-4.1562799999999997E-2</v>
      </c>
      <c r="U678">
        <v>-0.2120667</v>
      </c>
      <c r="V678">
        <v>1.3711330000000001E-2</v>
      </c>
      <c r="W678">
        <v>0.179011</v>
      </c>
      <c r="X678">
        <v>0.9837515</v>
      </c>
      <c r="Y678">
        <v>7.9778950000000001E-2</v>
      </c>
      <c r="Z678">
        <v>-9.2899469999999996E-4</v>
      </c>
      <c r="AA678">
        <v>0.99681220000000004</v>
      </c>
      <c r="AB678">
        <v>39</v>
      </c>
      <c r="AC678">
        <v>82.002600000000001</v>
      </c>
      <c r="AD678">
        <v>-1.1203584428510001</v>
      </c>
      <c r="AE678">
        <v>-5.7189999999999896</v>
      </c>
      <c r="AF678">
        <v>6.5775803357448401</v>
      </c>
      <c r="AG678">
        <v>-1.1203584428510001</v>
      </c>
      <c r="AH678">
        <v>81.922885068404895</v>
      </c>
      <c r="AI678">
        <v>90.781001999782802</v>
      </c>
      <c r="AJ678">
        <v>85.409574642992396</v>
      </c>
      <c r="AK678">
        <v>82.194153466318497</v>
      </c>
      <c r="AL678">
        <v>79.687841092352897</v>
      </c>
      <c r="AM678">
        <v>89.201474685881195</v>
      </c>
      <c r="AN678">
        <v>0.99999997622180903</v>
      </c>
    </row>
    <row r="679" spans="1:40" x14ac:dyDescent="0.25">
      <c r="A679" t="str">
        <f>"20190303162755587"</f>
        <v>20190303162755587</v>
      </c>
      <c r="B679" t="str">
        <f>"1551601675582292"</f>
        <v>1551601675582292</v>
      </c>
      <c r="C679" t="s">
        <v>40</v>
      </c>
      <c r="D679">
        <v>4.6273519999999904</v>
      </c>
      <c r="E679">
        <v>0.52707769999999898</v>
      </c>
      <c r="F679" t="s">
        <v>41</v>
      </c>
      <c r="G679">
        <v>-245.393</v>
      </c>
      <c r="H679" s="1">
        <v>-3.6662990000000001E-6</v>
      </c>
      <c r="I679">
        <v>362.42689999999999</v>
      </c>
      <c r="J679">
        <v>-327.63819999999998</v>
      </c>
      <c r="K679">
        <v>1.120352</v>
      </c>
      <c r="L679">
        <v>368.2364</v>
      </c>
      <c r="M679">
        <v>0.99991070000000004</v>
      </c>
      <c r="N679">
        <v>-8.2774930000000004E-3</v>
      </c>
      <c r="O679">
        <v>1.0489160000000001E-2</v>
      </c>
      <c r="P679">
        <v>0.98540119999999998</v>
      </c>
      <c r="Q679">
        <v>0.1702021</v>
      </c>
      <c r="R679">
        <v>-3.9946000000000001E-3</v>
      </c>
      <c r="S679">
        <v>3.0512079999999999</v>
      </c>
      <c r="T679">
        <v>-4.1423799999999997E-2</v>
      </c>
      <c r="U679">
        <v>-0.2146912</v>
      </c>
      <c r="V679">
        <v>1.433739E-2</v>
      </c>
      <c r="W679">
        <v>0.17835179999999901</v>
      </c>
      <c r="X679">
        <v>0.98386229999999997</v>
      </c>
      <c r="Y679">
        <v>8.0636860000000005E-2</v>
      </c>
      <c r="Z679">
        <v>-9.3636969999999996E-4</v>
      </c>
      <c r="AA679">
        <v>0.99674309999999999</v>
      </c>
      <c r="AB679">
        <v>39</v>
      </c>
      <c r="AC679">
        <v>82.245199999999897</v>
      </c>
      <c r="AD679">
        <v>-1.120355666299</v>
      </c>
      <c r="AE679">
        <v>-5.8095000000000097</v>
      </c>
      <c r="AF679">
        <v>6.6706613414086497</v>
      </c>
      <c r="AG679">
        <v>-1.120355666299</v>
      </c>
      <c r="AH679">
        <v>82.1645653066645</v>
      </c>
      <c r="AI679">
        <v>90.778647098860404</v>
      </c>
      <c r="AJ679">
        <v>85.358530568584897</v>
      </c>
      <c r="AK679">
        <v>82.442517620363304</v>
      </c>
      <c r="AL679">
        <v>79.726228227584699</v>
      </c>
      <c r="AM679">
        <v>89.165113050336402</v>
      </c>
      <c r="AN679">
        <v>0.99999997533827001</v>
      </c>
    </row>
    <row r="680" spans="1:40" x14ac:dyDescent="0.25">
      <c r="A680" t="str">
        <f>"20190303162755597"</f>
        <v>20190303162755597</v>
      </c>
      <c r="B680" t="str">
        <f>"1551601675592052"</f>
        <v>1551601675592052</v>
      </c>
      <c r="C680" t="s">
        <v>40</v>
      </c>
      <c r="D680">
        <v>4.6418220000000003</v>
      </c>
      <c r="E680">
        <v>0.5272772</v>
      </c>
      <c r="F680" t="s">
        <v>41</v>
      </c>
      <c r="G680">
        <v>-250.50229999999999</v>
      </c>
      <c r="H680" s="1">
        <v>-5.2856459999999998E-6</v>
      </c>
      <c r="I680">
        <v>362.68860000000001</v>
      </c>
      <c r="J680">
        <v>-327.44279999999998</v>
      </c>
      <c r="K680">
        <v>1.120352</v>
      </c>
      <c r="L680">
        <v>368.23840000000001</v>
      </c>
      <c r="M680">
        <v>0.99991079999999999</v>
      </c>
      <c r="N680">
        <v>-8.2836539999999997E-3</v>
      </c>
      <c r="O680">
        <v>1.048932E-2</v>
      </c>
      <c r="P680">
        <v>0.98543979999999998</v>
      </c>
      <c r="Q680">
        <v>0.16997570000000001</v>
      </c>
      <c r="R680">
        <v>-4.1106459999999999E-3</v>
      </c>
      <c r="S680">
        <v>3.0512389999999998</v>
      </c>
      <c r="T680">
        <v>-4.4317599999999999E-2</v>
      </c>
      <c r="U680">
        <v>-0.21945190000000001</v>
      </c>
      <c r="V680">
        <v>1.4454170000000001E-2</v>
      </c>
      <c r="W680">
        <v>0.1781317</v>
      </c>
      <c r="X680">
        <v>0.98390049999999996</v>
      </c>
      <c r="Y680">
        <v>8.2181870000000004E-2</v>
      </c>
      <c r="Z680">
        <v>-1.002268E-3</v>
      </c>
      <c r="AA680">
        <v>0.99661679999999997</v>
      </c>
      <c r="AB680">
        <v>39</v>
      </c>
      <c r="AC680">
        <v>76.940499999999901</v>
      </c>
      <c r="AD680">
        <v>-1.120357285646</v>
      </c>
      <c r="AE680">
        <v>-5.5498000000000003</v>
      </c>
      <c r="AF680">
        <v>6.35523523080158</v>
      </c>
      <c r="AG680">
        <v>-1.120357285646</v>
      </c>
      <c r="AH680">
        <v>76.861838376604297</v>
      </c>
      <c r="AI680">
        <v>90.8322587289437</v>
      </c>
      <c r="AJ680">
        <v>85.273314442924899</v>
      </c>
      <c r="AK680">
        <v>77.132265712330494</v>
      </c>
      <c r="AL680">
        <v>79.739044612356906</v>
      </c>
      <c r="AM680">
        <v>89.1583464302566</v>
      </c>
      <c r="AN680">
        <v>1.0000000097377599</v>
      </c>
    </row>
    <row r="681" spans="1:40" x14ac:dyDescent="0.25">
      <c r="A681" t="str">
        <f>"20190303162755621"</f>
        <v>20190303162755621</v>
      </c>
      <c r="B681" t="str">
        <f>"1551601675612547"</f>
        <v>1551601675612547</v>
      </c>
      <c r="C681" t="s">
        <v>40</v>
      </c>
      <c r="D681">
        <v>4.6626190000000003</v>
      </c>
      <c r="E681">
        <v>0.52755759999999996</v>
      </c>
      <c r="F681" t="s">
        <v>41</v>
      </c>
      <c r="G681">
        <v>-251.55609999999999</v>
      </c>
      <c r="H681" s="1">
        <v>-4.826888E-6</v>
      </c>
      <c r="I681">
        <v>362.72640000000001</v>
      </c>
      <c r="J681">
        <v>-327.04140000000001</v>
      </c>
      <c r="K681">
        <v>1.120352</v>
      </c>
      <c r="L681">
        <v>368.24259999999998</v>
      </c>
      <c r="M681">
        <v>0.99991070000000004</v>
      </c>
      <c r="N681">
        <v>-8.2963689999999996E-3</v>
      </c>
      <c r="O681">
        <v>1.048992E-2</v>
      </c>
      <c r="P681">
        <v>0.98553219999999997</v>
      </c>
      <c r="Q681">
        <v>0.16942650000000001</v>
      </c>
      <c r="R681">
        <v>-4.6098830000000004E-3</v>
      </c>
      <c r="S681">
        <v>3.0511780000000002</v>
      </c>
      <c r="T681">
        <v>-4.5046089999999997E-2</v>
      </c>
      <c r="U681">
        <v>-0.2216187</v>
      </c>
      <c r="V681">
        <v>1.4954810000000001E-2</v>
      </c>
      <c r="W681">
        <v>0.17759539999999999</v>
      </c>
      <c r="X681">
        <v>0.98399000000000003</v>
      </c>
      <c r="Y681">
        <v>8.2887399999999903E-2</v>
      </c>
      <c r="Z681">
        <v>-1.0230980000000001E-3</v>
      </c>
      <c r="AA681">
        <v>0.99655839999999996</v>
      </c>
      <c r="AB681">
        <v>39</v>
      </c>
      <c r="AC681">
        <v>75.485299999999995</v>
      </c>
      <c r="AD681">
        <v>-1.120356826888</v>
      </c>
      <c r="AE681">
        <v>-5.5161999999999596</v>
      </c>
      <c r="AF681">
        <v>6.3063765443589199</v>
      </c>
      <c r="AG681">
        <v>-1.120356826888</v>
      </c>
      <c r="AH681">
        <v>75.406757120533101</v>
      </c>
      <c r="AI681">
        <v>90.848249305892395</v>
      </c>
      <c r="AJ681">
        <v>85.219395619856599</v>
      </c>
      <c r="AK681">
        <v>75.678296782987005</v>
      </c>
      <c r="AL681">
        <v>79.770270604198501</v>
      </c>
      <c r="AM681">
        <v>89.129278211061802</v>
      </c>
      <c r="AN681">
        <v>1.0000000462716401</v>
      </c>
    </row>
    <row r="682" spans="1:40" x14ac:dyDescent="0.25">
      <c r="A682" t="str">
        <f>"20190303162755635"</f>
        <v>20190303162755635</v>
      </c>
      <c r="B682" t="str">
        <f>"1551601675622307"</f>
        <v>1551601675622307</v>
      </c>
      <c r="C682" t="s">
        <v>40</v>
      </c>
      <c r="D682">
        <v>4.66282</v>
      </c>
      <c r="E682">
        <v>0.52771369999999995</v>
      </c>
      <c r="F682" t="s">
        <v>41</v>
      </c>
      <c r="G682">
        <v>-253.4169</v>
      </c>
      <c r="H682" s="1">
        <v>-4.0371459999999999E-6</v>
      </c>
      <c r="I682">
        <v>362.81060000000002</v>
      </c>
      <c r="J682">
        <v>-326.78570000000002</v>
      </c>
      <c r="K682">
        <v>1.120349</v>
      </c>
      <c r="L682">
        <v>368.24540000000002</v>
      </c>
      <c r="M682">
        <v>0.99991070000000004</v>
      </c>
      <c r="N682">
        <v>-8.3045229999999994E-3</v>
      </c>
      <c r="O682">
        <v>1.049024E-2</v>
      </c>
      <c r="P682">
        <v>0.98557050000000002</v>
      </c>
      <c r="Q682">
        <v>0.1692022</v>
      </c>
      <c r="R682">
        <v>-4.6711280000000001E-3</v>
      </c>
      <c r="S682">
        <v>3.0509339999999998</v>
      </c>
      <c r="T682">
        <v>-4.6426530000000001E-2</v>
      </c>
      <c r="U682">
        <v>-0.22509770000000001</v>
      </c>
      <c r="V682">
        <v>1.501687E-2</v>
      </c>
      <c r="W682">
        <v>0.1773795</v>
      </c>
      <c r="X682">
        <v>0.98402789999999996</v>
      </c>
      <c r="Y682">
        <v>8.4022830000000007E-2</v>
      </c>
      <c r="Z682">
        <v>-1.0602140000000001E-3</v>
      </c>
      <c r="AA682">
        <v>0.99646319999999999</v>
      </c>
      <c r="AB682">
        <v>39</v>
      </c>
      <c r="AC682">
        <v>73.368799999999993</v>
      </c>
      <c r="AD682">
        <v>-1.120353037146</v>
      </c>
      <c r="AE682">
        <v>-5.4347999999999903</v>
      </c>
      <c r="AF682">
        <v>6.2027451865264798</v>
      </c>
      <c r="AG682">
        <v>-1.120353037146</v>
      </c>
      <c r="AH682">
        <v>73.290751856978702</v>
      </c>
      <c r="AI682">
        <v>90.872659812446599</v>
      </c>
      <c r="AJ682">
        <v>85.162469565609101</v>
      </c>
      <c r="AK682">
        <v>73.561291088031197</v>
      </c>
      <c r="AL682">
        <v>79.782839344141493</v>
      </c>
      <c r="AM682">
        <v>89.125699088642307</v>
      </c>
      <c r="AN682">
        <v>0.99999995069162695</v>
      </c>
    </row>
    <row r="683" spans="1:40" x14ac:dyDescent="0.25">
      <c r="A683" t="str">
        <f>"20190303162755650"</f>
        <v>20190303162755650</v>
      </c>
      <c r="B683" t="str">
        <f>"1551601675641829"</f>
        <v>1551601675641829</v>
      </c>
      <c r="C683" t="s">
        <v>40</v>
      </c>
      <c r="D683">
        <v>4.6369550000000004</v>
      </c>
      <c r="E683">
        <v>0.52796069999999995</v>
      </c>
      <c r="F683" t="s">
        <v>41</v>
      </c>
      <c r="G683">
        <v>-254.47069999999999</v>
      </c>
      <c r="H683" s="1">
        <v>-3.658837E-6</v>
      </c>
      <c r="I683">
        <v>362.88470000000001</v>
      </c>
      <c r="J683">
        <v>-326.51069999999999</v>
      </c>
      <c r="K683">
        <v>1.1203399999999999</v>
      </c>
      <c r="L683">
        <v>368.2482</v>
      </c>
      <c r="M683">
        <v>0.99991050000000004</v>
      </c>
      <c r="N683">
        <v>-8.3133100000000008E-3</v>
      </c>
      <c r="O683">
        <v>1.049068E-2</v>
      </c>
      <c r="P683">
        <v>0.98565239999999998</v>
      </c>
      <c r="Q683">
        <v>0.16871539999999999</v>
      </c>
      <c r="R683">
        <v>-4.9618290000000001E-3</v>
      </c>
      <c r="S683">
        <v>3.050964</v>
      </c>
      <c r="T683">
        <v>-4.726756E-2</v>
      </c>
      <c r="U683">
        <v>-0.2261658</v>
      </c>
      <c r="V683">
        <v>1.530889E-2</v>
      </c>
      <c r="W683">
        <v>0.17690220000000001</v>
      </c>
      <c r="X683">
        <v>0.98410929999999996</v>
      </c>
      <c r="Y683">
        <v>8.436892E-2</v>
      </c>
      <c r="Z683">
        <v>-1.079052E-3</v>
      </c>
      <c r="AA683">
        <v>0.99643400000000004</v>
      </c>
      <c r="AB683">
        <v>39</v>
      </c>
      <c r="AC683">
        <v>72.039999999999907</v>
      </c>
      <c r="AD683">
        <v>-1.1203436588369999</v>
      </c>
      <c r="AE683">
        <v>-5.3634999999999797</v>
      </c>
      <c r="AF683">
        <v>6.1175080774922899</v>
      </c>
      <c r="AG683">
        <v>-1.1203436588369999</v>
      </c>
      <c r="AH683">
        <v>71.962458217745905</v>
      </c>
      <c r="AI683">
        <v>90.888729233341905</v>
      </c>
      <c r="AJ683">
        <v>85.140984434882398</v>
      </c>
      <c r="AK683">
        <v>72.230703082088993</v>
      </c>
      <c r="AL683">
        <v>79.810625865773503</v>
      </c>
      <c r="AM683">
        <v>89.108773747849099</v>
      </c>
      <c r="AN683">
        <v>0.99999993241217799</v>
      </c>
    </row>
    <row r="684" spans="1:40" x14ac:dyDescent="0.25">
      <c r="A684" t="str">
        <f>"20190303162755664"</f>
        <v>20190303162755664</v>
      </c>
      <c r="B684" t="str">
        <f>"1551601675652565"</f>
        <v>1551601675652565</v>
      </c>
      <c r="C684" t="s">
        <v>40</v>
      </c>
      <c r="D684">
        <v>4.64893</v>
      </c>
      <c r="E684">
        <v>0.52785349999999998</v>
      </c>
      <c r="F684" t="s">
        <v>41</v>
      </c>
      <c r="G684">
        <v>-256.13650000000001</v>
      </c>
      <c r="H684" s="1">
        <v>-3.0707859999999999E-6</v>
      </c>
      <c r="I684">
        <v>362.96429999999998</v>
      </c>
      <c r="J684">
        <v>-326.26659999999998</v>
      </c>
      <c r="K684">
        <v>1.1203369999999999</v>
      </c>
      <c r="L684">
        <v>368.25080000000003</v>
      </c>
      <c r="M684">
        <v>0.99991039999999998</v>
      </c>
      <c r="N684">
        <v>-8.3211229999999997E-3</v>
      </c>
      <c r="O684">
        <v>1.049101E-2</v>
      </c>
      <c r="P684">
        <v>0.98580699999999999</v>
      </c>
      <c r="Q684">
        <v>0.1678019</v>
      </c>
      <c r="R684">
        <v>-5.2165299999999996E-3</v>
      </c>
      <c r="S684">
        <v>3.0508120000000001</v>
      </c>
      <c r="T684">
        <v>-4.856825E-2</v>
      </c>
      <c r="U684">
        <v>-0.22906489999999999</v>
      </c>
      <c r="V684">
        <v>1.556535E-2</v>
      </c>
      <c r="W684">
        <v>0.17599779999999901</v>
      </c>
      <c r="X684">
        <v>0.98426749999999996</v>
      </c>
      <c r="Y684">
        <v>8.5313630000000001E-2</v>
      </c>
      <c r="Z684">
        <v>-1.113199E-3</v>
      </c>
      <c r="AA684">
        <v>0.9963535</v>
      </c>
      <c r="AB684">
        <v>39</v>
      </c>
      <c r="AC684">
        <v>70.130099999999899</v>
      </c>
      <c r="AD684">
        <v>-1.1203400707860001</v>
      </c>
      <c r="AE684">
        <v>-5.2865000000000402</v>
      </c>
      <c r="AF684">
        <v>6.0204422935772</v>
      </c>
      <c r="AG684">
        <v>-1.1203400707860001</v>
      </c>
      <c r="AH684">
        <v>70.053000751735993</v>
      </c>
      <c r="AI684">
        <v>90.912874497203902</v>
      </c>
      <c r="AJ684">
        <v>85.087998671238793</v>
      </c>
      <c r="AK684">
        <v>70.320152172810495</v>
      </c>
      <c r="AL684">
        <v>79.863270965435106</v>
      </c>
      <c r="AM684">
        <v>89.0939916965675</v>
      </c>
      <c r="AN684">
        <v>1.00000000864085</v>
      </c>
    </row>
    <row r="685" spans="1:40" x14ac:dyDescent="0.25">
      <c r="A685" t="str">
        <f>"20190303162755676"</f>
        <v>20190303162755676</v>
      </c>
      <c r="B685" t="str">
        <f>"1551601675662324"</f>
        <v>1551601675662324</v>
      </c>
      <c r="C685" t="s">
        <v>40</v>
      </c>
      <c r="D685">
        <v>4.6722010000000003</v>
      </c>
      <c r="E685">
        <v>0.52782949999999995</v>
      </c>
      <c r="F685" t="s">
        <v>41</v>
      </c>
      <c r="G685">
        <v>-258.94029999999998</v>
      </c>
      <c r="H685" s="1">
        <v>-2.0545980000000001E-6</v>
      </c>
      <c r="I685">
        <v>363.19740000000002</v>
      </c>
      <c r="J685">
        <v>-326.06049999999999</v>
      </c>
      <c r="K685">
        <v>1.1203339999999999</v>
      </c>
      <c r="L685">
        <v>368.25299999999999</v>
      </c>
      <c r="M685">
        <v>0.99991039999999998</v>
      </c>
      <c r="N685">
        <v>-8.3277390000000007E-3</v>
      </c>
      <c r="O685">
        <v>1.049098E-2</v>
      </c>
      <c r="P685">
        <v>0.98588989999999999</v>
      </c>
      <c r="Q685">
        <v>0.16731509999999999</v>
      </c>
      <c r="R685">
        <v>-5.1841659999999996E-3</v>
      </c>
      <c r="S685">
        <v>3.0506289999999998</v>
      </c>
      <c r="T685">
        <v>-5.076373E-2</v>
      </c>
      <c r="U685">
        <v>-0.22897339999999999</v>
      </c>
      <c r="V685">
        <v>1.553381E-2</v>
      </c>
      <c r="W685">
        <v>0.17551810000000001</v>
      </c>
      <c r="X685">
        <v>0.9843537</v>
      </c>
      <c r="Y685">
        <v>8.528703E-2</v>
      </c>
      <c r="Z685">
        <v>-1.1513230000000001E-3</v>
      </c>
      <c r="AA685">
        <v>0.99635580000000001</v>
      </c>
      <c r="AB685">
        <v>39</v>
      </c>
      <c r="AC685">
        <v>67.120199999999997</v>
      </c>
      <c r="AD685">
        <v>-1.1203360545979999</v>
      </c>
      <c r="AE685">
        <v>-5.0556000000000196</v>
      </c>
      <c r="AF685">
        <v>5.7579076417980799</v>
      </c>
      <c r="AG685">
        <v>-1.1203360545979999</v>
      </c>
      <c r="AH685">
        <v>67.044892244027395</v>
      </c>
      <c r="AI685">
        <v>90.953826555978793</v>
      </c>
      <c r="AJ685">
        <v>85.091403900956607</v>
      </c>
      <c r="AK685">
        <v>67.301012097144195</v>
      </c>
      <c r="AL685">
        <v>79.891190831053294</v>
      </c>
      <c r="AM685">
        <v>89.095906397509907</v>
      </c>
      <c r="AN685">
        <v>1.0000000546922001</v>
      </c>
    </row>
    <row r="686" spans="1:40" x14ac:dyDescent="0.25">
      <c r="A686" t="str">
        <f>"20190303162755690"</f>
        <v>20190303162755690</v>
      </c>
      <c r="B686" t="str">
        <f>"1551601675682352"</f>
        <v>1551601675682352</v>
      </c>
      <c r="C686" t="s">
        <v>40</v>
      </c>
      <c r="D686">
        <v>4.6219169999999998</v>
      </c>
      <c r="E686">
        <v>0.52778139999999996</v>
      </c>
      <c r="F686" t="s">
        <v>41</v>
      </c>
      <c r="G686">
        <v>-260.64580000000001</v>
      </c>
      <c r="H686" s="1">
        <v>-5.1070749999999997E-6</v>
      </c>
      <c r="I686">
        <v>363.34820000000002</v>
      </c>
      <c r="J686">
        <v>-325.82510000000002</v>
      </c>
      <c r="K686">
        <v>1.1203320000000001</v>
      </c>
      <c r="L686">
        <v>368.25540000000001</v>
      </c>
      <c r="M686">
        <v>0.99991019999999997</v>
      </c>
      <c r="N686">
        <v>-8.3353019999999993E-3</v>
      </c>
      <c r="O686">
        <v>1.049131E-2</v>
      </c>
      <c r="P686">
        <v>0.98596660000000003</v>
      </c>
      <c r="Q686">
        <v>0.1668586</v>
      </c>
      <c r="R686">
        <v>-5.3119029999999998E-3</v>
      </c>
      <c r="S686">
        <v>3.0505979999999999</v>
      </c>
      <c r="T686">
        <v>-5.2246689999999998E-2</v>
      </c>
      <c r="U686">
        <v>-0.22872919999999999</v>
      </c>
      <c r="V686">
        <v>1.5662499999999999E-2</v>
      </c>
      <c r="W686">
        <v>0.17506969999999999</v>
      </c>
      <c r="X686">
        <v>0.98443139999999996</v>
      </c>
      <c r="Y686">
        <v>8.5207889999999994E-2</v>
      </c>
      <c r="Z686">
        <v>-1.1763639999999901E-3</v>
      </c>
      <c r="AA686">
        <v>0.99636250000000004</v>
      </c>
      <c r="AB686">
        <v>39</v>
      </c>
      <c r="AC686">
        <v>65.179299999999998</v>
      </c>
      <c r="AD686">
        <v>-1.1203371070749999</v>
      </c>
      <c r="AE686">
        <v>-4.90719999999998</v>
      </c>
      <c r="AF686">
        <v>5.5891279478710301</v>
      </c>
      <c r="AG686">
        <v>-1.1203371070749999</v>
      </c>
      <c r="AH686">
        <v>65.105101216674996</v>
      </c>
      <c r="AI686">
        <v>90.982243839799594</v>
      </c>
      <c r="AJ686">
        <v>85.093315158065906</v>
      </c>
      <c r="AK686">
        <v>65.354171335000899</v>
      </c>
      <c r="AL686">
        <v>79.917285224240899</v>
      </c>
      <c r="AM686">
        <v>89.088489621948199</v>
      </c>
      <c r="AN686">
        <v>0.99999994753514798</v>
      </c>
    </row>
    <row r="687" spans="1:40" x14ac:dyDescent="0.25">
      <c r="A687" t="str">
        <f>"20190303162755701"</f>
        <v>20190303162755701</v>
      </c>
      <c r="B687" t="str">
        <f>"1551601675692112"</f>
        <v>1551601675692112</v>
      </c>
      <c r="C687" t="s">
        <v>40</v>
      </c>
      <c r="D687">
        <v>4.6669600000000004</v>
      </c>
      <c r="E687">
        <v>0.52777259999999904</v>
      </c>
      <c r="F687" t="s">
        <v>41</v>
      </c>
      <c r="G687">
        <v>-261.69009999999997</v>
      </c>
      <c r="H687" s="1">
        <v>-4.6428060000000004E-6</v>
      </c>
      <c r="I687">
        <v>363.44</v>
      </c>
      <c r="J687">
        <v>-325.60169999999999</v>
      </c>
      <c r="K687">
        <v>1.1203299999999901</v>
      </c>
      <c r="L687">
        <v>368.25779999999997</v>
      </c>
      <c r="M687">
        <v>0.99991010000000002</v>
      </c>
      <c r="N687">
        <v>-8.3424899999999993E-3</v>
      </c>
      <c r="O687">
        <v>1.049157E-2</v>
      </c>
      <c r="P687">
        <v>0.98601550000000004</v>
      </c>
      <c r="Q687">
        <v>0.166567299999999</v>
      </c>
      <c r="R687">
        <v>-5.3767569999999898E-3</v>
      </c>
      <c r="S687">
        <v>3.0504760000000002</v>
      </c>
      <c r="T687">
        <v>-5.328691E-2</v>
      </c>
      <c r="U687">
        <v>-0.2290344</v>
      </c>
      <c r="V687">
        <v>1.572817E-2</v>
      </c>
      <c r="W687">
        <v>0.17478569999999999</v>
      </c>
      <c r="X687">
        <v>0.98448089999999999</v>
      </c>
      <c r="Y687">
        <v>8.5309570000000001E-2</v>
      </c>
      <c r="Z687">
        <v>-1.1960219999999999E-3</v>
      </c>
      <c r="AA687">
        <v>0.99635379999999996</v>
      </c>
      <c r="AB687">
        <v>40</v>
      </c>
      <c r="AC687">
        <v>63.9116</v>
      </c>
      <c r="AD687">
        <v>-1.1203346428059999</v>
      </c>
      <c r="AE687">
        <v>-4.8177999999999699</v>
      </c>
      <c r="AF687">
        <v>5.4864148731493803</v>
      </c>
      <c r="AG687">
        <v>-1.1203346428059999</v>
      </c>
      <c r="AH687">
        <v>63.838028743545799</v>
      </c>
      <c r="AI687">
        <v>91.001725404112307</v>
      </c>
      <c r="AJ687">
        <v>85.087914006590097</v>
      </c>
      <c r="AK687">
        <v>64.083147642215394</v>
      </c>
      <c r="AL687">
        <v>79.933812881273994</v>
      </c>
      <c r="AM687">
        <v>89.084714489711601</v>
      </c>
      <c r="AN687">
        <v>1.0000000293604201</v>
      </c>
    </row>
    <row r="688" spans="1:40" x14ac:dyDescent="0.25">
      <c r="A688" t="str">
        <f>"20190303162755721"</f>
        <v>20190303162755721</v>
      </c>
      <c r="B688" t="str">
        <f>"1551601675712607"</f>
        <v>1551601675712607</v>
      </c>
      <c r="C688" t="s">
        <v>40</v>
      </c>
      <c r="D688">
        <v>4.4482689999999998</v>
      </c>
      <c r="E688">
        <v>0.52776069999999997</v>
      </c>
      <c r="F688" t="s">
        <v>41</v>
      </c>
      <c r="G688">
        <v>-261.41379999999998</v>
      </c>
      <c r="H688" s="1">
        <v>-4.7626139999999999E-6</v>
      </c>
      <c r="I688">
        <v>363.43290000000002</v>
      </c>
      <c r="J688">
        <v>-325.27109999999999</v>
      </c>
      <c r="K688">
        <v>1.1203240000000001</v>
      </c>
      <c r="L688">
        <v>368.26130000000001</v>
      </c>
      <c r="M688">
        <v>0.99991010000000002</v>
      </c>
      <c r="N688">
        <v>-8.3529759999999998E-3</v>
      </c>
      <c r="O688">
        <v>1.049189E-2</v>
      </c>
      <c r="P688">
        <v>0.98616409999999999</v>
      </c>
      <c r="Q688">
        <v>0.16568289999999999</v>
      </c>
      <c r="R688">
        <v>-5.4387400000000001E-3</v>
      </c>
      <c r="S688">
        <v>3.050262</v>
      </c>
      <c r="T688">
        <v>-5.3239109999999999E-2</v>
      </c>
      <c r="U688">
        <v>-0.2292786</v>
      </c>
      <c r="V688">
        <v>1.579208E-2</v>
      </c>
      <c r="W688">
        <v>0.17391329999999999</v>
      </c>
      <c r="X688">
        <v>0.98463429999999996</v>
      </c>
      <c r="Y688">
        <v>8.5394399999999995E-2</v>
      </c>
      <c r="Z688">
        <v>-1.196688E-3</v>
      </c>
      <c r="AA688">
        <v>0.99634650000000002</v>
      </c>
      <c r="AB688">
        <v>40</v>
      </c>
      <c r="AC688">
        <v>63.857300000000002</v>
      </c>
      <c r="AD688">
        <v>-1.1203287626139999</v>
      </c>
      <c r="AE688">
        <v>-4.8283999999999798</v>
      </c>
      <c r="AF688">
        <v>5.4964591436371899</v>
      </c>
      <c r="AG688">
        <v>-1.1203287626139999</v>
      </c>
      <c r="AH688">
        <v>63.783603109242797</v>
      </c>
      <c r="AI688">
        <v>91.002554963166901</v>
      </c>
      <c r="AJ688">
        <v>85.074786908386699</v>
      </c>
      <c r="AK688">
        <v>64.029791700828</v>
      </c>
      <c r="AL688">
        <v>79.984574554785695</v>
      </c>
      <c r="AM688">
        <v>89.081139096832104</v>
      </c>
      <c r="AN688">
        <v>0.99999996522205203</v>
      </c>
    </row>
    <row r="689" spans="1:40" x14ac:dyDescent="0.25">
      <c r="A689" t="str">
        <f>"20190303162755733"</f>
        <v>20190303162755733</v>
      </c>
      <c r="B689" t="str">
        <f>"1551601675722368"</f>
        <v>1551601675722368</v>
      </c>
      <c r="C689" t="s">
        <v>40</v>
      </c>
      <c r="D689">
        <v>4.6284340000000004</v>
      </c>
      <c r="E689">
        <v>0.52744190000000002</v>
      </c>
      <c r="F689" t="s">
        <v>41</v>
      </c>
      <c r="G689">
        <v>-263.2593</v>
      </c>
      <c r="H689" s="1">
        <v>-3.9412919999999996E-6</v>
      </c>
      <c r="I689">
        <v>363.59980000000002</v>
      </c>
      <c r="J689">
        <v>-325.06020000000001</v>
      </c>
      <c r="K689">
        <v>1.1203240000000001</v>
      </c>
      <c r="L689">
        <v>368.26350000000002</v>
      </c>
      <c r="M689">
        <v>0.99991010000000002</v>
      </c>
      <c r="N689">
        <v>-8.3597380000000002E-3</v>
      </c>
      <c r="O689">
        <v>1.0492039999999999E-2</v>
      </c>
      <c r="P689">
        <v>0.98618340000000004</v>
      </c>
      <c r="Q689">
        <v>0.1655691</v>
      </c>
      <c r="R689">
        <v>-5.4366960000000004E-3</v>
      </c>
      <c r="S689">
        <v>3.0501399999999999</v>
      </c>
      <c r="T689">
        <v>-5.5104849999999997E-2</v>
      </c>
      <c r="U689">
        <v>-0.2292786</v>
      </c>
      <c r="V689">
        <v>1.579028E-2</v>
      </c>
      <c r="W689">
        <v>0.1738063</v>
      </c>
      <c r="X689">
        <v>0.98465329999999995</v>
      </c>
      <c r="Y689">
        <v>8.5396319999999998E-2</v>
      </c>
      <c r="Z689">
        <v>-1.2294560000000001E-3</v>
      </c>
      <c r="AA689">
        <v>0.99634630000000002</v>
      </c>
      <c r="AB689">
        <v>40</v>
      </c>
      <c r="AC689">
        <v>61.800899999999999</v>
      </c>
      <c r="AD689">
        <v>-1.120327941292</v>
      </c>
      <c r="AE689">
        <v>-4.6637000000000004</v>
      </c>
      <c r="AF689">
        <v>5.3101482277727703</v>
      </c>
      <c r="AG689">
        <v>-1.120327941292</v>
      </c>
      <c r="AH689">
        <v>61.728393991506799</v>
      </c>
      <c r="AI689">
        <v>91.035939702841205</v>
      </c>
      <c r="AJ689">
        <v>85.083269204345001</v>
      </c>
      <c r="AK689">
        <v>61.966502512790299</v>
      </c>
      <c r="AL689">
        <v>79.990800791305702</v>
      </c>
      <c r="AM689">
        <v>89.081261537135504</v>
      </c>
      <c r="AN689">
        <v>1.00000004203152</v>
      </c>
    </row>
    <row r="690" spans="1:40" x14ac:dyDescent="0.25">
      <c r="A690" t="str">
        <f>"20190303162755744"</f>
        <v>20190303162755744</v>
      </c>
      <c r="B690" t="str">
        <f>"1551601675732130"</f>
        <v>1551601675732130</v>
      </c>
      <c r="C690" t="s">
        <v>40</v>
      </c>
      <c r="D690">
        <v>4.6821910000000004</v>
      </c>
      <c r="E690">
        <v>0.52731439999999996</v>
      </c>
      <c r="F690" t="s">
        <v>41</v>
      </c>
      <c r="G690">
        <v>-261.85469999999998</v>
      </c>
      <c r="H690" s="1">
        <v>-4.549453E-6</v>
      </c>
      <c r="I690">
        <v>363.56810000000002</v>
      </c>
      <c r="J690">
        <v>-324.85629999999998</v>
      </c>
      <c r="K690">
        <v>1.120322</v>
      </c>
      <c r="L690">
        <v>368.26560000000001</v>
      </c>
      <c r="M690">
        <v>0.99990999999999997</v>
      </c>
      <c r="N690">
        <v>-8.3662890000000007E-3</v>
      </c>
      <c r="O690">
        <v>1.04923E-2</v>
      </c>
      <c r="P690">
        <v>0.98620050000000004</v>
      </c>
      <c r="Q690">
        <v>0.1654764</v>
      </c>
      <c r="R690">
        <v>-5.1278549999999997E-3</v>
      </c>
      <c r="S690">
        <v>3.0498660000000002</v>
      </c>
      <c r="T690">
        <v>-5.4059389999999999E-2</v>
      </c>
      <c r="U690">
        <v>-0.2265625</v>
      </c>
      <c r="V690">
        <v>1.5482050000000001E-2</v>
      </c>
      <c r="W690">
        <v>0.17372029999999999</v>
      </c>
      <c r="X690">
        <v>0.98467329999999997</v>
      </c>
      <c r="Y690">
        <v>8.4521769999999996E-2</v>
      </c>
      <c r="Z690">
        <v>-1.2001640000000001E-3</v>
      </c>
      <c r="AA690">
        <v>0.99642090000000005</v>
      </c>
      <c r="AB690">
        <v>40</v>
      </c>
      <c r="AC690">
        <v>63.001600000000003</v>
      </c>
      <c r="AD690">
        <v>-1.1203265494529999</v>
      </c>
      <c r="AE690">
        <v>-4.69749999999999</v>
      </c>
      <c r="AF690">
        <v>5.3566117075691499</v>
      </c>
      <c r="AG690">
        <v>-1.1203265494529999</v>
      </c>
      <c r="AH690">
        <v>62.9290532288111</v>
      </c>
      <c r="AI690">
        <v>91.016255276978598</v>
      </c>
      <c r="AJ690">
        <v>85.134628991953704</v>
      </c>
      <c r="AK690">
        <v>63.166558880768697</v>
      </c>
      <c r="AL690">
        <v>79.995803638339197</v>
      </c>
      <c r="AM690">
        <v>89.099210838190302</v>
      </c>
      <c r="AN690">
        <v>0.99999997211859004</v>
      </c>
    </row>
    <row r="691" spans="1:40" x14ac:dyDescent="0.25">
      <c r="A691" t="str">
        <f>"20190303162755756"</f>
        <v>20190303162755756</v>
      </c>
      <c r="B691" t="str">
        <f>"1551601675752624"</f>
        <v>1551601675752624</v>
      </c>
      <c r="C691" t="s">
        <v>40</v>
      </c>
      <c r="D691">
        <v>4.6525610000000004</v>
      </c>
      <c r="E691">
        <v>0.52731309999999998</v>
      </c>
      <c r="F691" t="s">
        <v>41</v>
      </c>
      <c r="G691">
        <v>-262.39010000000002</v>
      </c>
      <c r="H691" s="1">
        <v>-4.3027679999999997E-6</v>
      </c>
      <c r="I691">
        <v>363.66410000000002</v>
      </c>
      <c r="J691">
        <v>-324.62970000000001</v>
      </c>
      <c r="K691">
        <v>1.120322</v>
      </c>
      <c r="L691">
        <v>368.26799999999997</v>
      </c>
      <c r="M691">
        <v>0.99990999999999997</v>
      </c>
      <c r="N691">
        <v>-8.3735809999999997E-3</v>
      </c>
      <c r="O691">
        <v>1.049281E-2</v>
      </c>
      <c r="P691">
        <v>0.98616700000000002</v>
      </c>
      <c r="Q691">
        <v>0.16568720000000001</v>
      </c>
      <c r="R691">
        <v>-4.7797309999999997E-3</v>
      </c>
      <c r="S691">
        <v>3.0499879999999999</v>
      </c>
      <c r="T691">
        <v>-5.470121E-2</v>
      </c>
      <c r="U691">
        <v>-0.22467039999999999</v>
      </c>
      <c r="V691">
        <v>1.513398E-2</v>
      </c>
      <c r="W691">
        <v>0.1739377</v>
      </c>
      <c r="X691">
        <v>0.98464039999999997</v>
      </c>
      <c r="Y691">
        <v>8.3904279999999998E-2</v>
      </c>
      <c r="Z691">
        <v>-1.2033409999999999E-3</v>
      </c>
      <c r="AA691">
        <v>0.9964731</v>
      </c>
      <c r="AB691">
        <v>40</v>
      </c>
      <c r="AC691">
        <v>62.239600000000003</v>
      </c>
      <c r="AD691">
        <v>-1.1203263027679999</v>
      </c>
      <c r="AE691">
        <v>-4.6039000000000003</v>
      </c>
      <c r="AF691">
        <v>5.25504424400755</v>
      </c>
      <c r="AG691">
        <v>-1.1203263027679999</v>
      </c>
      <c r="AH691">
        <v>62.167830621396398</v>
      </c>
      <c r="AI691">
        <v>91.028747305215703</v>
      </c>
      <c r="AJ691">
        <v>85.168276257340096</v>
      </c>
      <c r="AK691">
        <v>62.3995976365375</v>
      </c>
      <c r="AL691">
        <v>79.983155647873204</v>
      </c>
      <c r="AM691">
        <v>89.119429886260093</v>
      </c>
      <c r="AN691">
        <v>1.00000003907204</v>
      </c>
    </row>
    <row r="692" spans="1:40" x14ac:dyDescent="0.25">
      <c r="A692" t="str">
        <f>"20190303162755768"</f>
        <v>20190303162755768</v>
      </c>
      <c r="B692" t="str">
        <f>"1551601675762385"</f>
        <v>1551601675762385</v>
      </c>
      <c r="C692" t="s">
        <v>40</v>
      </c>
      <c r="D692">
        <v>4.6335150000000001</v>
      </c>
      <c r="E692">
        <v>0.52745889999999995</v>
      </c>
      <c r="F692" t="s">
        <v>41</v>
      </c>
      <c r="G692">
        <v>-262.06889999999999</v>
      </c>
      <c r="H692" s="1">
        <v>-4.4379829999999999E-6</v>
      </c>
      <c r="I692">
        <v>363.67860000000002</v>
      </c>
      <c r="J692">
        <v>-324.4323</v>
      </c>
      <c r="K692">
        <v>1.120322</v>
      </c>
      <c r="L692">
        <v>368.27</v>
      </c>
      <c r="M692">
        <v>0.99990979999999996</v>
      </c>
      <c r="N692">
        <v>-8.3799369999999901E-3</v>
      </c>
      <c r="O692">
        <v>1.0493260000000001E-2</v>
      </c>
      <c r="P692">
        <v>0.98610960000000003</v>
      </c>
      <c r="Q692">
        <v>0.1660364</v>
      </c>
      <c r="R692">
        <v>-4.4420739999999998E-3</v>
      </c>
      <c r="S692">
        <v>3.0501710000000002</v>
      </c>
      <c r="T692">
        <v>-5.4621820000000001E-2</v>
      </c>
      <c r="U692">
        <v>-0.22375490000000001</v>
      </c>
      <c r="V692">
        <v>1.4796439999999999E-2</v>
      </c>
      <c r="W692">
        <v>0.17429269999999999</v>
      </c>
      <c r="X692">
        <v>0.98458270000000003</v>
      </c>
      <c r="Y692">
        <v>8.3602960000000004E-2</v>
      </c>
      <c r="Z692">
        <v>-1.1981730000000001E-3</v>
      </c>
      <c r="AA692">
        <v>0.99649840000000001</v>
      </c>
      <c r="AB692">
        <v>40</v>
      </c>
      <c r="AC692">
        <v>62.363399999999999</v>
      </c>
      <c r="AD692">
        <v>-1.120326437983</v>
      </c>
      <c r="AE692">
        <v>-4.5913999999999602</v>
      </c>
      <c r="AF692">
        <v>5.2438823709982296</v>
      </c>
      <c r="AG692">
        <v>-1.120326437983</v>
      </c>
      <c r="AH692">
        <v>62.291791246149799</v>
      </c>
      <c r="AI692">
        <v>91.026730530684105</v>
      </c>
      <c r="AJ692">
        <v>85.188040254836906</v>
      </c>
      <c r="AK692">
        <v>62.522161593329599</v>
      </c>
      <c r="AL692">
        <v>79.962499607048002</v>
      </c>
      <c r="AM692">
        <v>89.139016203800495</v>
      </c>
      <c r="AN692">
        <v>0.99999998652462596</v>
      </c>
    </row>
    <row r="693" spans="1:40" x14ac:dyDescent="0.25">
      <c r="A693" t="str">
        <f>"20190303162755788"</f>
        <v>20190303162755788</v>
      </c>
      <c r="B693" t="str">
        <f>"1551601675781904"</f>
        <v>1551601675781904</v>
      </c>
      <c r="C693" t="s">
        <v>40</v>
      </c>
      <c r="D693">
        <v>4.6649880000000001</v>
      </c>
      <c r="E693">
        <v>0.52767280000000005</v>
      </c>
      <c r="F693" t="s">
        <v>41</v>
      </c>
      <c r="G693">
        <v>-259.34840000000003</v>
      </c>
      <c r="H693" s="1">
        <v>-1.8372989999999999E-6</v>
      </c>
      <c r="I693">
        <v>363.49220000000003</v>
      </c>
      <c r="J693">
        <v>-324.06189999999998</v>
      </c>
      <c r="K693">
        <v>1.1203209999999999</v>
      </c>
      <c r="L693">
        <v>368.27390000000003</v>
      </c>
      <c r="M693">
        <v>0.99990979999999996</v>
      </c>
      <c r="N693">
        <v>-8.3918669999999904E-3</v>
      </c>
      <c r="O693">
        <v>1.0493860000000001E-2</v>
      </c>
      <c r="P693">
        <v>0.98605449999999994</v>
      </c>
      <c r="Q693">
        <v>0.16637779999999999</v>
      </c>
      <c r="R693">
        <v>-3.9148050000000004E-3</v>
      </c>
      <c r="S693">
        <v>3.0501100000000001</v>
      </c>
      <c r="T693">
        <v>-5.2503109999999999E-2</v>
      </c>
      <c r="U693">
        <v>-0.22390750000000001</v>
      </c>
      <c r="V693">
        <v>1.426909E-2</v>
      </c>
      <c r="W693">
        <v>0.1746453</v>
      </c>
      <c r="X693">
        <v>0.98452799999999996</v>
      </c>
      <c r="Y693">
        <v>8.3655889999999997E-2</v>
      </c>
      <c r="Z693">
        <v>-1.162976E-3</v>
      </c>
      <c r="AA693">
        <v>0.99649399999999999</v>
      </c>
      <c r="AB693">
        <v>40</v>
      </c>
      <c r="AC693">
        <v>64.713499999999897</v>
      </c>
      <c r="AD693">
        <v>-1.120322837299</v>
      </c>
      <c r="AE693">
        <v>-4.7816999999999998</v>
      </c>
      <c r="AF693">
        <v>5.4589277681607697</v>
      </c>
      <c r="AG693">
        <v>-1.120322837299</v>
      </c>
      <c r="AH693">
        <v>64.640488242088097</v>
      </c>
      <c r="AI693">
        <v>90.989406695540396</v>
      </c>
      <c r="AJ693">
        <v>85.172791247282504</v>
      </c>
      <c r="AK693">
        <v>64.880256903108005</v>
      </c>
      <c r="AL693">
        <v>79.941982423288707</v>
      </c>
      <c r="AM693">
        <v>89.169651450068798</v>
      </c>
      <c r="AN693">
        <v>0.99999998526275802</v>
      </c>
    </row>
    <row r="694" spans="1:40" x14ac:dyDescent="0.25">
      <c r="A694" t="str">
        <f>"20190303162755799"</f>
        <v>20190303162755799</v>
      </c>
      <c r="B694" t="str">
        <f>"1551601675791664"</f>
        <v>1551601675791664</v>
      </c>
      <c r="C694" t="s">
        <v>40</v>
      </c>
      <c r="D694">
        <v>4.6405820000000002</v>
      </c>
      <c r="E694">
        <v>0.52778519999999995</v>
      </c>
      <c r="F694" t="s">
        <v>41</v>
      </c>
      <c r="G694">
        <v>-256.15679999999998</v>
      </c>
      <c r="H694" s="1">
        <v>-2.978249E-6</v>
      </c>
      <c r="I694">
        <v>363.28609999999998</v>
      </c>
      <c r="J694">
        <v>-323.86419999999998</v>
      </c>
      <c r="K694">
        <v>1.120322</v>
      </c>
      <c r="L694">
        <v>368.27600000000001</v>
      </c>
      <c r="M694">
        <v>0.99990970000000001</v>
      </c>
      <c r="N694">
        <v>-8.3982350000000004E-3</v>
      </c>
      <c r="O694">
        <v>1.0494369999999999E-2</v>
      </c>
      <c r="P694">
        <v>0.98600259999999995</v>
      </c>
      <c r="Q694">
        <v>0.166688</v>
      </c>
      <c r="R694">
        <v>-3.7714290000000002E-3</v>
      </c>
      <c r="S694">
        <v>3.0500180000000001</v>
      </c>
      <c r="T694">
        <v>-5.032027E-2</v>
      </c>
      <c r="U694">
        <v>-0.22402949999999999</v>
      </c>
      <c r="V694">
        <v>1.412569E-2</v>
      </c>
      <c r="W694">
        <v>0.1749617</v>
      </c>
      <c r="X694">
        <v>0.98447390000000001</v>
      </c>
      <c r="Y694">
        <v>8.3699570000000001E-2</v>
      </c>
      <c r="Z694">
        <v>-1.126359E-3</v>
      </c>
      <c r="AA694">
        <v>0.9964904</v>
      </c>
      <c r="AB694">
        <v>40</v>
      </c>
      <c r="AC694">
        <v>67.707400000000007</v>
      </c>
      <c r="AD694">
        <v>-1.1203249782489999</v>
      </c>
      <c r="AE694">
        <v>-4.9899000000000298</v>
      </c>
      <c r="AF694">
        <v>5.6986449439176496</v>
      </c>
      <c r="AG694">
        <v>-1.1203249782489999</v>
      </c>
      <c r="AH694">
        <v>67.632886463896796</v>
      </c>
      <c r="AI694">
        <v>90.945655825058907</v>
      </c>
      <c r="AJ694">
        <v>85.183720304155003</v>
      </c>
      <c r="AK694">
        <v>67.881787054349701</v>
      </c>
      <c r="AL694">
        <v>79.923570663133404</v>
      </c>
      <c r="AM694">
        <v>89.1779498831702</v>
      </c>
      <c r="AN694">
        <v>0.99999999568303799</v>
      </c>
    </row>
    <row r="695" spans="1:40" x14ac:dyDescent="0.25">
      <c r="A695" t="str">
        <f>"20190303162755811"</f>
        <v>20190303162755811</v>
      </c>
      <c r="B695" t="str">
        <f>"1551601675802400"</f>
        <v>1551601675802400</v>
      </c>
      <c r="C695" t="s">
        <v>40</v>
      </c>
      <c r="D695">
        <v>4.6518670000000002</v>
      </c>
      <c r="E695">
        <v>0.52787299999999904</v>
      </c>
      <c r="F695" t="s">
        <v>41</v>
      </c>
      <c r="G695">
        <v>-253.74549999999999</v>
      </c>
      <c r="H695" s="1">
        <v>-3.8447060000000004E-6</v>
      </c>
      <c r="I695">
        <v>363.11360000000002</v>
      </c>
      <c r="J695">
        <v>-323.67759999999998</v>
      </c>
      <c r="K695">
        <v>1.120323</v>
      </c>
      <c r="L695">
        <v>368.27800000000002</v>
      </c>
      <c r="M695">
        <v>0.99990959999999995</v>
      </c>
      <c r="N695">
        <v>-8.4042079999999998E-3</v>
      </c>
      <c r="O695">
        <v>1.049482E-2</v>
      </c>
      <c r="P695">
        <v>0.98595089999999996</v>
      </c>
      <c r="Q695">
        <v>0.16699439999999999</v>
      </c>
      <c r="R695">
        <v>-3.7206069999999999E-3</v>
      </c>
      <c r="S695">
        <v>3.049957</v>
      </c>
      <c r="T695">
        <v>-4.8730849999999999E-2</v>
      </c>
      <c r="U695">
        <v>-0.22454830000000001</v>
      </c>
      <c r="V695">
        <v>1.4074939999999999E-2</v>
      </c>
      <c r="W695">
        <v>0.1752735</v>
      </c>
      <c r="X695">
        <v>0.98441920000000005</v>
      </c>
      <c r="Y695">
        <v>8.3870959999999994E-2</v>
      </c>
      <c r="Z695">
        <v>-1.1014149999999999E-3</v>
      </c>
      <c r="AA695">
        <v>0.99647600000000003</v>
      </c>
      <c r="AB695">
        <v>40</v>
      </c>
      <c r="AC695">
        <v>69.932099999999906</v>
      </c>
      <c r="AD695">
        <v>-1.120326844706</v>
      </c>
      <c r="AE695">
        <v>-5.1643999999999997</v>
      </c>
      <c r="AF695">
        <v>5.8965611677029397</v>
      </c>
      <c r="AG695">
        <v>-1.120326844706</v>
      </c>
      <c r="AH695">
        <v>69.8562159045063</v>
      </c>
      <c r="AI695">
        <v>90.915553346049506</v>
      </c>
      <c r="AJ695">
        <v>85.175102415024497</v>
      </c>
      <c r="AK695">
        <v>70.113589740794396</v>
      </c>
      <c r="AL695">
        <v>79.905425826335104</v>
      </c>
      <c r="AM695">
        <v>89.180857388833402</v>
      </c>
      <c r="AN695">
        <v>1.0000000325334399</v>
      </c>
    </row>
    <row r="696" spans="1:40" x14ac:dyDescent="0.25">
      <c r="A696" t="str">
        <f>"20190303162755825"</f>
        <v>20190303162755825</v>
      </c>
      <c r="B696" t="str">
        <f>"1551601675813136"</f>
        <v>1551601675813136</v>
      </c>
      <c r="C696" t="s">
        <v>40</v>
      </c>
      <c r="D696">
        <v>4.649813</v>
      </c>
      <c r="E696">
        <v>0.52797819999999995</v>
      </c>
      <c r="F696" t="s">
        <v>41</v>
      </c>
      <c r="G696">
        <v>-250.828</v>
      </c>
      <c r="H696" s="1">
        <v>-5.1087260000000002E-6</v>
      </c>
      <c r="I696">
        <v>362.89830000000001</v>
      </c>
      <c r="J696">
        <v>-323.41449999999998</v>
      </c>
      <c r="K696">
        <v>1.1203240000000001</v>
      </c>
      <c r="L696">
        <v>368.2808</v>
      </c>
      <c r="M696">
        <v>0.99990950000000001</v>
      </c>
      <c r="N696">
        <v>-8.4126040000000006E-3</v>
      </c>
      <c r="O696">
        <v>1.049514E-2</v>
      </c>
      <c r="P696">
        <v>0.9859135</v>
      </c>
      <c r="Q696">
        <v>0.16721559999999999</v>
      </c>
      <c r="R696">
        <v>-3.7257810000000001E-3</v>
      </c>
      <c r="S696">
        <v>3.0498660000000002</v>
      </c>
      <c r="T696">
        <v>-4.6902779999999998E-2</v>
      </c>
      <c r="U696">
        <v>-0.22521969999999999</v>
      </c>
      <c r="V696">
        <v>1.4079970000000001E-2</v>
      </c>
      <c r="W696">
        <v>0.17550260000000001</v>
      </c>
      <c r="X696">
        <v>0.98437830000000004</v>
      </c>
      <c r="Y696">
        <v>8.4092650000000005E-2</v>
      </c>
      <c r="Z696">
        <v>-1.0729589999999901E-3</v>
      </c>
      <c r="AA696">
        <v>0.99645729999999999</v>
      </c>
      <c r="AB696">
        <v>40</v>
      </c>
      <c r="AC696">
        <v>72.586499999999901</v>
      </c>
      <c r="AD696">
        <v>-1.1203291087259999</v>
      </c>
      <c r="AE696">
        <v>-5.3824999999999896</v>
      </c>
      <c r="AF696">
        <v>6.1425807129246497</v>
      </c>
      <c r="AG696">
        <v>-1.1203291087259999</v>
      </c>
      <c r="AH696">
        <v>72.5088312405708</v>
      </c>
      <c r="AI696">
        <v>90.882043938313402</v>
      </c>
      <c r="AJ696">
        <v>85.157753499183201</v>
      </c>
      <c r="AK696">
        <v>72.7771739146296</v>
      </c>
      <c r="AL696">
        <v>79.892092592777402</v>
      </c>
      <c r="AM696">
        <v>89.180530647366396</v>
      </c>
      <c r="AN696">
        <v>1.0000000228364201</v>
      </c>
    </row>
    <row r="697" spans="1:40" x14ac:dyDescent="0.25">
      <c r="A697" t="str">
        <f>"20190303162755844"</f>
        <v>20190303162755844</v>
      </c>
      <c r="B697" t="str">
        <f>"1551601675832656"</f>
        <v>1551601675832656</v>
      </c>
      <c r="C697" t="s">
        <v>40</v>
      </c>
      <c r="D697">
        <v>4.6825519999999896</v>
      </c>
      <c r="E697">
        <v>0.52816779999999997</v>
      </c>
      <c r="F697" t="s">
        <v>41</v>
      </c>
      <c r="G697">
        <v>-248.54249999999999</v>
      </c>
      <c r="H697" s="1">
        <v>-2.3736680000000002E-6</v>
      </c>
      <c r="I697">
        <v>362.7396</v>
      </c>
      <c r="J697">
        <v>-323.08999999999997</v>
      </c>
      <c r="K697">
        <v>1.120328</v>
      </c>
      <c r="L697">
        <v>368.28410000000002</v>
      </c>
      <c r="M697">
        <v>0.99990939999999995</v>
      </c>
      <c r="N697">
        <v>-8.4228959999999992E-3</v>
      </c>
      <c r="O697">
        <v>1.0495579999999999E-2</v>
      </c>
      <c r="P697">
        <v>0.98583350000000003</v>
      </c>
      <c r="Q697">
        <v>0.16768739999999999</v>
      </c>
      <c r="R697">
        <v>-3.632606E-3</v>
      </c>
      <c r="S697">
        <v>3.049744</v>
      </c>
      <c r="T697">
        <v>-4.5634029999999999E-2</v>
      </c>
      <c r="U697">
        <v>-0.22570799999999999</v>
      </c>
      <c r="V697">
        <v>1.398659E-2</v>
      </c>
      <c r="W697">
        <v>0.17598369999999999</v>
      </c>
      <c r="X697">
        <v>0.98429370000000005</v>
      </c>
      <c r="Y697">
        <v>8.4255350000000007E-2</v>
      </c>
      <c r="Z697">
        <v>-1.053392E-3</v>
      </c>
      <c r="AA697">
        <v>0.99644359999999998</v>
      </c>
      <c r="AB697">
        <v>40</v>
      </c>
      <c r="AC697">
        <v>74.5474999999999</v>
      </c>
      <c r="AD697">
        <v>-1.1203303736679999</v>
      </c>
      <c r="AE697">
        <v>-5.5445000000000197</v>
      </c>
      <c r="AF697">
        <v>6.3252209157515198</v>
      </c>
      <c r="AG697">
        <v>-1.1203303736679999</v>
      </c>
      <c r="AH697">
        <v>74.468472403258005</v>
      </c>
      <c r="AI697">
        <v>90.858821256385099</v>
      </c>
      <c r="AJ697">
        <v>85.145050353876798</v>
      </c>
      <c r="AK697">
        <v>74.745012822622698</v>
      </c>
      <c r="AL697">
        <v>79.864091429844805</v>
      </c>
      <c r="AM697">
        <v>89.185894772845799</v>
      </c>
      <c r="AN697">
        <v>0.999999987612604</v>
      </c>
    </row>
    <row r="698" spans="1:40" x14ac:dyDescent="0.25">
      <c r="A698" t="str">
        <f>"20190303162755858"</f>
        <v>20190303162755858</v>
      </c>
      <c r="B698" t="str">
        <f>"1551601675852176"</f>
        <v>1551601675852176</v>
      </c>
      <c r="C698" t="s">
        <v>40</v>
      </c>
      <c r="D698">
        <v>4.666995</v>
      </c>
      <c r="E698">
        <v>0.52833200000000002</v>
      </c>
      <c r="F698" t="s">
        <v>41</v>
      </c>
      <c r="G698">
        <v>-242.97399999999999</v>
      </c>
      <c r="H698" s="1">
        <v>-4.6260549999999999E-6</v>
      </c>
      <c r="I698">
        <v>362.31110000000001</v>
      </c>
      <c r="J698">
        <v>-322.82220000000001</v>
      </c>
      <c r="K698">
        <v>1.1203289999999999</v>
      </c>
      <c r="L698">
        <v>368.28699999999998</v>
      </c>
      <c r="M698">
        <v>0.99990939999999995</v>
      </c>
      <c r="N698">
        <v>-8.4313640000000002E-3</v>
      </c>
      <c r="O698">
        <v>1.049608E-2</v>
      </c>
      <c r="P698">
        <v>0.98579859999999997</v>
      </c>
      <c r="Q698">
        <v>0.16789479999999901</v>
      </c>
      <c r="R698">
        <v>-3.5174300000000002E-3</v>
      </c>
      <c r="S698">
        <v>3.0495299999999999</v>
      </c>
      <c r="T698">
        <v>-4.2644260000000003E-2</v>
      </c>
      <c r="U698">
        <v>-0.227356</v>
      </c>
      <c r="V698">
        <v>1.387157E-2</v>
      </c>
      <c r="W698">
        <v>0.1761992</v>
      </c>
      <c r="X698">
        <v>0.98425680000000004</v>
      </c>
      <c r="Y698">
        <v>8.4797999999999998E-2</v>
      </c>
      <c r="Z698">
        <v>-1.0082750000000001E-3</v>
      </c>
      <c r="AA698">
        <v>0.99639770000000005</v>
      </c>
      <c r="AB698">
        <v>40</v>
      </c>
      <c r="AC698">
        <v>79.848199999999906</v>
      </c>
      <c r="AD698">
        <v>-1.1203336260550001</v>
      </c>
      <c r="AE698">
        <v>-5.9758999999999602</v>
      </c>
      <c r="AF698">
        <v>6.8123600180816704</v>
      </c>
      <c r="AG698">
        <v>-1.1203336260550001</v>
      </c>
      <c r="AH698">
        <v>79.765460050841398</v>
      </c>
      <c r="AI698">
        <v>90.801767887978798</v>
      </c>
      <c r="AJ698">
        <v>85.118506018366801</v>
      </c>
      <c r="AK698">
        <v>80.063674744368299</v>
      </c>
      <c r="AL698">
        <v>79.851548450976296</v>
      </c>
      <c r="AM698">
        <v>89.192558485535898</v>
      </c>
      <c r="AN698">
        <v>1.00000001344057</v>
      </c>
    </row>
    <row r="699" spans="1:40" x14ac:dyDescent="0.25">
      <c r="A699" t="str">
        <f>"20190303162755870"</f>
        <v>20190303162755870</v>
      </c>
      <c r="B699" t="str">
        <f>"1551601675861936"</f>
        <v>1551601675861936</v>
      </c>
      <c r="C699" t="s">
        <v>40</v>
      </c>
      <c r="D699">
        <v>4.6982100000000004</v>
      </c>
      <c r="E699">
        <v>0.52841130000000003</v>
      </c>
      <c r="F699" t="s">
        <v>41</v>
      </c>
      <c r="G699">
        <v>-239.06819999999999</v>
      </c>
      <c r="H699" s="1">
        <v>-2.3246909999999999E-6</v>
      </c>
      <c r="I699">
        <v>362.0188</v>
      </c>
      <c r="J699">
        <v>-322.6121</v>
      </c>
      <c r="K699">
        <v>1.1203270000000001</v>
      </c>
      <c r="L699">
        <v>368.28919999999999</v>
      </c>
      <c r="M699">
        <v>0.99990939999999995</v>
      </c>
      <c r="N699">
        <v>-8.4379969999999992E-3</v>
      </c>
      <c r="O699">
        <v>1.049623E-2</v>
      </c>
      <c r="P699">
        <v>0.98575069999999998</v>
      </c>
      <c r="Q699">
        <v>0.1681761</v>
      </c>
      <c r="R699">
        <v>-3.5449449999999999E-3</v>
      </c>
      <c r="S699">
        <v>3.049347</v>
      </c>
      <c r="T699">
        <v>-4.0789369999999998E-2</v>
      </c>
      <c r="U699">
        <v>-0.22821040000000001</v>
      </c>
      <c r="V699">
        <v>1.389869E-2</v>
      </c>
      <c r="W699">
        <v>0.1764869</v>
      </c>
      <c r="X699">
        <v>0.98420490000000005</v>
      </c>
      <c r="Y699">
        <v>8.5081130000000005E-2</v>
      </c>
      <c r="Z699">
        <v>-9.7948720000000009E-4</v>
      </c>
      <c r="AA699">
        <v>0.99637350000000002</v>
      </c>
      <c r="AB699">
        <v>40</v>
      </c>
      <c r="AC699">
        <v>83.543899999999994</v>
      </c>
      <c r="AD699">
        <v>-1.120329324691</v>
      </c>
      <c r="AE699">
        <v>-6.2703999999999898</v>
      </c>
      <c r="AF699">
        <v>7.1457038754850997</v>
      </c>
      <c r="AG699">
        <v>-1.120329324691</v>
      </c>
      <c r="AH699">
        <v>83.458555325878194</v>
      </c>
      <c r="AI699">
        <v>90.766276547088793</v>
      </c>
      <c r="AJ699">
        <v>85.106282379009599</v>
      </c>
      <c r="AK699">
        <v>83.771395349215396</v>
      </c>
      <c r="AL699">
        <v>79.834802314866593</v>
      </c>
      <c r="AM699">
        <v>89.190937427770905</v>
      </c>
      <c r="AN699">
        <v>1.00000004231966</v>
      </c>
    </row>
    <row r="700" spans="1:40" x14ac:dyDescent="0.25">
      <c r="A700" t="str">
        <f>"20190303162755881"</f>
        <v>20190303162755881</v>
      </c>
      <c r="B700" t="str">
        <f>"1551601675872203"</f>
        <v>1551601675872203</v>
      </c>
      <c r="C700" t="s">
        <v>40</v>
      </c>
      <c r="D700">
        <v>4.6971669999999897</v>
      </c>
      <c r="E700">
        <v>0.52848909999999905</v>
      </c>
      <c r="F700" t="s">
        <v>41</v>
      </c>
      <c r="G700">
        <v>-235.18780000000001</v>
      </c>
      <c r="H700" s="1">
        <v>-3.72218E-6</v>
      </c>
      <c r="I700">
        <v>361.72949999999997</v>
      </c>
      <c r="J700">
        <v>-322.3931</v>
      </c>
      <c r="K700">
        <v>1.1203240000000001</v>
      </c>
      <c r="L700">
        <v>368.29140000000001</v>
      </c>
      <c r="M700">
        <v>0.99990919999999905</v>
      </c>
      <c r="N700">
        <v>-8.4448930000000002E-3</v>
      </c>
      <c r="O700">
        <v>1.049667E-2</v>
      </c>
      <c r="P700">
        <v>0.98575610000000002</v>
      </c>
      <c r="Q700">
        <v>0.1681473</v>
      </c>
      <c r="R700">
        <v>-3.4069030000000002E-3</v>
      </c>
      <c r="S700">
        <v>3.0492249999999999</v>
      </c>
      <c r="T700">
        <v>-3.9075369999999998E-2</v>
      </c>
      <c r="U700">
        <v>-0.2287903</v>
      </c>
      <c r="V700">
        <v>1.3761010000000001E-2</v>
      </c>
      <c r="W700">
        <v>0.17646479999999901</v>
      </c>
      <c r="X700">
        <v>0.98421069999999999</v>
      </c>
      <c r="Y700">
        <v>8.5273790000000002E-2</v>
      </c>
      <c r="Z700">
        <v>-9.5201539999999999E-4</v>
      </c>
      <c r="AA700">
        <v>0.9963571</v>
      </c>
      <c r="AB700">
        <v>40</v>
      </c>
      <c r="AC700">
        <v>87.205299999999994</v>
      </c>
      <c r="AD700">
        <v>-1.1203277221800001</v>
      </c>
      <c r="AE700">
        <v>-6.5619000000000298</v>
      </c>
      <c r="AF700">
        <v>7.4757095233140598</v>
      </c>
      <c r="AG700">
        <v>-1.1203277221800001</v>
      </c>
      <c r="AH700">
        <v>87.117317430247496</v>
      </c>
      <c r="AI700">
        <v>90.734084930755898</v>
      </c>
      <c r="AJ700">
        <v>85.095350931920805</v>
      </c>
      <c r="AK700">
        <v>87.444658861045099</v>
      </c>
      <c r="AL700">
        <v>79.836087757955696</v>
      </c>
      <c r="AM700">
        <v>89.198955647416696</v>
      </c>
      <c r="AN700">
        <v>0.99999994651487301</v>
      </c>
    </row>
    <row r="701" spans="1:40" x14ac:dyDescent="0.25">
      <c r="A701" t="str">
        <f>"20190303162755899"</f>
        <v>20190303162755899</v>
      </c>
      <c r="B701" t="str">
        <f>"1551601675891722"</f>
        <v>1551601675891722</v>
      </c>
      <c r="C701" t="s">
        <v>40</v>
      </c>
      <c r="D701">
        <v>4.8116640000000004</v>
      </c>
      <c r="E701">
        <v>0.52856530000000002</v>
      </c>
      <c r="F701" t="s">
        <v>41</v>
      </c>
      <c r="G701">
        <v>-234.0095</v>
      </c>
      <c r="H701" s="1">
        <v>-4.1457620000000004E-6</v>
      </c>
      <c r="I701">
        <v>361.64460000000003</v>
      </c>
      <c r="J701">
        <v>-322.08710000000002</v>
      </c>
      <c r="K701">
        <v>1.120325</v>
      </c>
      <c r="L701">
        <v>368.29469999999998</v>
      </c>
      <c r="M701">
        <v>0.99990919999999905</v>
      </c>
      <c r="N701">
        <v>-8.4594969999999999E-3</v>
      </c>
      <c r="O701">
        <v>1.049697E-2</v>
      </c>
      <c r="P701">
        <v>0.9858152</v>
      </c>
      <c r="Q701">
        <v>0.1678009</v>
      </c>
      <c r="R701">
        <v>-3.46262E-3</v>
      </c>
      <c r="S701">
        <v>3.0491640000000002</v>
      </c>
      <c r="T701">
        <v>-3.865039E-2</v>
      </c>
      <c r="U701">
        <v>-0.22930909999999999</v>
      </c>
      <c r="V701">
        <v>1.38175E-2</v>
      </c>
      <c r="W701">
        <v>0.17613299999999901</v>
      </c>
      <c r="X701">
        <v>0.98426939999999996</v>
      </c>
      <c r="Y701">
        <v>8.5444339999999994E-2</v>
      </c>
      <c r="Z701">
        <v>-9.4690650000000003E-4</v>
      </c>
      <c r="AA701">
        <v>0.99634250000000002</v>
      </c>
      <c r="AB701">
        <v>40</v>
      </c>
      <c r="AC701">
        <v>88.077600000000004</v>
      </c>
      <c r="AD701">
        <v>-1.1203291457619999</v>
      </c>
      <c r="AE701">
        <v>-6.6500999999999504</v>
      </c>
      <c r="AF701">
        <v>7.5730961936639103</v>
      </c>
      <c r="AG701">
        <v>-1.1203291457619999</v>
      </c>
      <c r="AH701">
        <v>87.988783357066694</v>
      </c>
      <c r="AI701">
        <v>90.726800124915997</v>
      </c>
      <c r="AJ701">
        <v>85.080739475014397</v>
      </c>
      <c r="AK701">
        <v>88.321191794552604</v>
      </c>
      <c r="AL701">
        <v>79.855401601674998</v>
      </c>
      <c r="AM701">
        <v>89.195715692708305</v>
      </c>
      <c r="AN701">
        <v>1.0000000043857999</v>
      </c>
    </row>
    <row r="702" spans="1:40" x14ac:dyDescent="0.25">
      <c r="A702" t="str">
        <f>"20190303162755910"</f>
        <v>20190303162755910</v>
      </c>
      <c r="B702" t="str">
        <f>"1551601675902458"</f>
        <v>1551601675902458</v>
      </c>
      <c r="C702" t="s">
        <v>40</v>
      </c>
      <c r="D702">
        <v>4.8363440000000004</v>
      </c>
      <c r="E702">
        <v>0.53290219999999999</v>
      </c>
      <c r="F702" t="s">
        <v>41</v>
      </c>
      <c r="G702">
        <v>-237.01439999999999</v>
      </c>
      <c r="H702" s="1">
        <v>-3.0596619999999999E-6</v>
      </c>
      <c r="I702">
        <v>361.88330000000002</v>
      </c>
      <c r="J702">
        <v>-321.88959999999997</v>
      </c>
      <c r="K702">
        <v>1.120325</v>
      </c>
      <c r="L702">
        <v>368.29680000000002</v>
      </c>
      <c r="M702">
        <v>0.99990919999999905</v>
      </c>
      <c r="N702">
        <v>-8.4712280000000008E-3</v>
      </c>
      <c r="O702">
        <v>1.0497100000000001E-2</v>
      </c>
      <c r="P702">
        <v>0.98585330000000004</v>
      </c>
      <c r="Q702">
        <v>0.16757469999999999</v>
      </c>
      <c r="R702">
        <v>-3.4664549999999998E-3</v>
      </c>
      <c r="S702">
        <v>3.0492249999999999</v>
      </c>
      <c r="T702">
        <v>-4.0155410000000002E-2</v>
      </c>
      <c r="U702">
        <v>-0.22979740000000001</v>
      </c>
      <c r="V702">
        <v>1.38221E-2</v>
      </c>
      <c r="W702">
        <v>0.17591889999999999</v>
      </c>
      <c r="X702">
        <v>0.98430759999999995</v>
      </c>
      <c r="Y702">
        <v>8.5600830000000003E-2</v>
      </c>
      <c r="Z702">
        <v>-9.7519320000000003E-4</v>
      </c>
      <c r="AA702">
        <v>0.99632900000000002</v>
      </c>
      <c r="AB702">
        <v>40</v>
      </c>
      <c r="AC702">
        <v>84.875199999999893</v>
      </c>
      <c r="AD702">
        <v>-1.120328059662</v>
      </c>
      <c r="AE702">
        <v>-6.4134999999999902</v>
      </c>
      <c r="AF702">
        <v>7.3028567176677699</v>
      </c>
      <c r="AG702">
        <v>-1.120328059662</v>
      </c>
      <c r="AH702">
        <v>84.788508792811299</v>
      </c>
      <c r="AI702">
        <v>90.754224816500795</v>
      </c>
      <c r="AJ702">
        <v>85.077248365457706</v>
      </c>
      <c r="AK702">
        <v>85.109800108499201</v>
      </c>
      <c r="AL702">
        <v>79.8678629661608</v>
      </c>
      <c r="AM702">
        <v>89.195479192434703</v>
      </c>
      <c r="AN702">
        <v>0.99999998062168904</v>
      </c>
    </row>
    <row r="703" spans="1:40" x14ac:dyDescent="0.25">
      <c r="A703" t="str">
        <f>"20190303162755921"</f>
        <v>20190303162755921</v>
      </c>
      <c r="B703" t="str">
        <f>"1551601675912218"</f>
        <v>1551601675912218</v>
      </c>
      <c r="C703" t="s">
        <v>40</v>
      </c>
      <c r="D703">
        <v>4.8845989999999997</v>
      </c>
      <c r="E703">
        <v>0.53290219999999999</v>
      </c>
      <c r="F703" t="s">
        <v>44</v>
      </c>
      <c r="G703">
        <v>-320.93099999999998</v>
      </c>
      <c r="H703">
        <v>1.031919</v>
      </c>
      <c r="I703">
        <v>368.21589999999998</v>
      </c>
      <c r="J703">
        <v>-321.67340000000002</v>
      </c>
      <c r="K703">
        <v>1.1203259999999999</v>
      </c>
      <c r="L703">
        <v>368.29899999999998</v>
      </c>
      <c r="M703">
        <v>0.99990889999999999</v>
      </c>
      <c r="N703">
        <v>-8.4853810000000002E-3</v>
      </c>
      <c r="O703">
        <v>1.049769E-2</v>
      </c>
      <c r="P703">
        <v>0.98583560000000003</v>
      </c>
      <c r="Q703">
        <v>0.16767660000000001</v>
      </c>
      <c r="R703">
        <v>-3.5710920000000001E-3</v>
      </c>
      <c r="S703">
        <v>3.090576</v>
      </c>
      <c r="T703">
        <v>-0.285047099999999</v>
      </c>
      <c r="U703">
        <v>-0.26049800000000001</v>
      </c>
      <c r="V703">
        <v>1.392706E-2</v>
      </c>
      <c r="W703">
        <v>0.17603440000000001</v>
      </c>
      <c r="X703">
        <v>0.98428550000000004</v>
      </c>
      <c r="Y703">
        <v>9.3976950000000004E-2</v>
      </c>
      <c r="Z703">
        <v>-5.5931710000000001E-3</v>
      </c>
      <c r="AA703">
        <v>0.99555870000000002</v>
      </c>
      <c r="AB703">
        <v>40</v>
      </c>
      <c r="AC703">
        <v>0.74240000000003104</v>
      </c>
      <c r="AD703">
        <v>-8.8406999999999902E-2</v>
      </c>
      <c r="AE703">
        <v>-8.3100000000058502E-2</v>
      </c>
      <c r="AF703">
        <v>8.9633844973341703E-2</v>
      </c>
      <c r="AG703">
        <v>-8.8406999999999902E-2</v>
      </c>
      <c r="AH703">
        <v>0.73124544972927397</v>
      </c>
      <c r="AI703">
        <v>96.842833302807307</v>
      </c>
      <c r="AJ703">
        <v>83.011718232126498</v>
      </c>
      <c r="AK703">
        <v>0.74200399699966102</v>
      </c>
      <c r="AL703">
        <v>79.861140686606305</v>
      </c>
      <c r="AM703">
        <v>89.189352567702301</v>
      </c>
      <c r="AN703">
        <v>1.0000000092469199</v>
      </c>
    </row>
    <row r="704" spans="1:40" x14ac:dyDescent="0.25">
      <c r="A704" t="str">
        <f>"20190303162755933"</f>
        <v>20190303162755933</v>
      </c>
      <c r="B704" t="str">
        <f>"1551601675921979"</f>
        <v>1551601675921979</v>
      </c>
      <c r="C704" t="s">
        <v>40</v>
      </c>
      <c r="D704">
        <v>4.8734199999999896</v>
      </c>
      <c r="E704">
        <v>0.52791699999999997</v>
      </c>
      <c r="F704" t="s">
        <v>44</v>
      </c>
      <c r="G704">
        <v>-320.9205</v>
      </c>
      <c r="H704">
        <v>1.050964</v>
      </c>
      <c r="I704">
        <v>368.2353</v>
      </c>
      <c r="J704">
        <v>-321.4785</v>
      </c>
      <c r="K704">
        <v>1.1203270000000001</v>
      </c>
      <c r="L704">
        <v>368.30110000000002</v>
      </c>
      <c r="M704">
        <v>0.99990880000000004</v>
      </c>
      <c r="N704">
        <v>-8.4994340000000002E-3</v>
      </c>
      <c r="O704">
        <v>1.049781E-2</v>
      </c>
      <c r="P704">
        <v>0.98580100000000004</v>
      </c>
      <c r="Q704">
        <v>0.16787850000000001</v>
      </c>
      <c r="R704">
        <v>-3.6259949999999999E-3</v>
      </c>
      <c r="S704">
        <v>3.0906069999999999</v>
      </c>
      <c r="T704">
        <v>-0.28475509999999998</v>
      </c>
      <c r="U704">
        <v>-0.26110840000000002</v>
      </c>
      <c r="V704">
        <v>1.3981800000000001E-2</v>
      </c>
      <c r="W704">
        <v>0.17624989999999999</v>
      </c>
      <c r="X704">
        <v>0.98424610000000001</v>
      </c>
      <c r="Y704">
        <v>9.4171480000000002E-2</v>
      </c>
      <c r="Z704">
        <v>-5.5979749999999998E-3</v>
      </c>
      <c r="AA704">
        <v>0.99554030000000004</v>
      </c>
      <c r="AB704">
        <v>40</v>
      </c>
      <c r="AC704">
        <v>0.55799999999999195</v>
      </c>
      <c r="AD704">
        <v>-6.9362999999999994E-2</v>
      </c>
      <c r="AE704">
        <v>-6.58000000000242E-2</v>
      </c>
      <c r="AF704">
        <v>7.0578731254966706E-2</v>
      </c>
      <c r="AG704">
        <v>-6.9362999999999994E-2</v>
      </c>
      <c r="AH704">
        <v>0.54891294086104203</v>
      </c>
      <c r="AI704">
        <v>97.143774054498394</v>
      </c>
      <c r="AJ704">
        <v>82.673161015185798</v>
      </c>
      <c r="AK704">
        <v>0.55776159756591204</v>
      </c>
      <c r="AL704">
        <v>79.848596736895004</v>
      </c>
      <c r="AM704">
        <v>89.186134189796505</v>
      </c>
      <c r="AN704">
        <v>0.99999995167322797</v>
      </c>
    </row>
    <row r="705" spans="1:40" x14ac:dyDescent="0.25">
      <c r="A705" t="str">
        <f>"20190303162755944"</f>
        <v>20190303162755944</v>
      </c>
      <c r="B705" t="str">
        <f>"1551601675942475"</f>
        <v>1551601675942475</v>
      </c>
      <c r="C705" t="s">
        <v>40</v>
      </c>
      <c r="D705">
        <v>4.846819</v>
      </c>
      <c r="E705">
        <v>0.52824969999999905</v>
      </c>
      <c r="F705" t="s">
        <v>44</v>
      </c>
      <c r="G705">
        <v>-320.6266</v>
      </c>
      <c r="H705">
        <v>0.91728869999999896</v>
      </c>
      <c r="I705">
        <v>368.24310000000003</v>
      </c>
      <c r="J705">
        <v>-321.27839999999998</v>
      </c>
      <c r="K705">
        <v>1.1203179999999999</v>
      </c>
      <c r="L705">
        <v>368.3032</v>
      </c>
      <c r="M705">
        <v>0.99990900000000005</v>
      </c>
      <c r="N705">
        <v>-8.4878609999999993E-3</v>
      </c>
      <c r="O705">
        <v>1.0497980000000001E-2</v>
      </c>
      <c r="P705">
        <v>0.98578140000000003</v>
      </c>
      <c r="Q705">
        <v>0.16799459999999999</v>
      </c>
      <c r="R705">
        <v>-3.6210230000000001E-3</v>
      </c>
      <c r="S705">
        <v>3.1711429999999998</v>
      </c>
      <c r="T705">
        <v>-0.75579439999999998</v>
      </c>
      <c r="U705">
        <v>-0.21441650000000001</v>
      </c>
      <c r="V705">
        <v>1.3976850000000001E-2</v>
      </c>
      <c r="W705">
        <v>0.17635410000000001</v>
      </c>
      <c r="X705">
        <v>0.98422750000000003</v>
      </c>
      <c r="Y705">
        <v>7.5477020000000006E-2</v>
      </c>
      <c r="Z705">
        <v>-1.1562879999999999E-2</v>
      </c>
      <c r="AA705">
        <v>0.99708050000000004</v>
      </c>
      <c r="AB705">
        <v>40</v>
      </c>
      <c r="AC705">
        <v>0.65179999999997995</v>
      </c>
      <c r="AD705">
        <v>-0.2030293</v>
      </c>
      <c r="AE705">
        <v>-6.0099999999977102E-2</v>
      </c>
      <c r="AF705">
        <v>6.1064603034138701E-2</v>
      </c>
      <c r="AG705">
        <v>-0.2030293</v>
      </c>
      <c r="AH705">
        <v>0.59398674885834402</v>
      </c>
      <c r="AI705">
        <v>108.778841468602</v>
      </c>
      <c r="AJ705">
        <v>84.130347561033801</v>
      </c>
      <c r="AK705">
        <v>0.63069013011265096</v>
      </c>
      <c r="AL705">
        <v>79.842531456676596</v>
      </c>
      <c r="AM705">
        <v>89.186406912350407</v>
      </c>
      <c r="AN705">
        <v>0.99999994633948897</v>
      </c>
    </row>
    <row r="706" spans="1:40" x14ac:dyDescent="0.25">
      <c r="A706" t="str">
        <f>"20190303162755956"</f>
        <v>20190303162755956</v>
      </c>
      <c r="B706" t="str">
        <f>"1551601675952235"</f>
        <v>1551601675952235</v>
      </c>
      <c r="C706" t="s">
        <v>40</v>
      </c>
      <c r="D706">
        <v>4.845072</v>
      </c>
      <c r="E706">
        <v>0.52846850000000001</v>
      </c>
      <c r="F706" t="s">
        <v>44</v>
      </c>
      <c r="G706">
        <v>-320.29539999999997</v>
      </c>
      <c r="H706">
        <v>0.83708329999999997</v>
      </c>
      <c r="I706">
        <v>368.23689999999999</v>
      </c>
      <c r="J706">
        <v>-321.06259999999997</v>
      </c>
      <c r="K706">
        <v>1.120223</v>
      </c>
      <c r="L706">
        <v>368.30540000000002</v>
      </c>
      <c r="M706">
        <v>0.99991169999999996</v>
      </c>
      <c r="N706">
        <v>-8.1503970000000002E-3</v>
      </c>
      <c r="O706">
        <v>1.0498270000000001E-2</v>
      </c>
      <c r="P706">
        <v>0.9857167</v>
      </c>
      <c r="Q706">
        <v>0.168379799999999</v>
      </c>
      <c r="R706">
        <v>-3.3040809999999999E-3</v>
      </c>
      <c r="S706">
        <v>3.1996150000000001</v>
      </c>
      <c r="T706">
        <v>-0.92201750000000005</v>
      </c>
      <c r="U706">
        <v>-0.2145996</v>
      </c>
      <c r="V706">
        <v>1.365938E-2</v>
      </c>
      <c r="W706">
        <v>0.17640710000000001</v>
      </c>
      <c r="X706">
        <v>0.9842225</v>
      </c>
      <c r="Y706">
        <v>7.3906650000000004E-2</v>
      </c>
      <c r="Z706">
        <v>-1.3611150000000001E-2</v>
      </c>
      <c r="AA706">
        <v>0.99717230000000001</v>
      </c>
      <c r="AB706">
        <v>40</v>
      </c>
      <c r="AC706">
        <v>0.76720000000000199</v>
      </c>
      <c r="AD706">
        <v>-0.28313969999999899</v>
      </c>
      <c r="AE706">
        <v>-6.8500000000028594E-2</v>
      </c>
      <c r="AF706">
        <v>6.7438177068326194E-2</v>
      </c>
      <c r="AG706">
        <v>-0.28313969999999899</v>
      </c>
      <c r="AH706">
        <v>0.67520186860290998</v>
      </c>
      <c r="AI706">
        <v>112.649055677993</v>
      </c>
      <c r="AJ706">
        <v>84.296297169206596</v>
      </c>
      <c r="AK706">
        <v>0.73526427956704798</v>
      </c>
      <c r="AL706">
        <v>79.839446825902698</v>
      </c>
      <c r="AM706">
        <v>89.2048804169318</v>
      </c>
      <c r="AN706">
        <v>0.99999998654932198</v>
      </c>
    </row>
    <row r="707" spans="1:40" x14ac:dyDescent="0.25">
      <c r="A707" t="str">
        <f>"20190303162755967"</f>
        <v>20190303162755967</v>
      </c>
      <c r="B707" t="str">
        <f>"1551601675961995"</f>
        <v>1551601675961995</v>
      </c>
      <c r="C707" t="s">
        <v>40</v>
      </c>
      <c r="D707">
        <v>5.059628</v>
      </c>
      <c r="E707">
        <v>0.52880260000000001</v>
      </c>
      <c r="F707" t="s">
        <v>44</v>
      </c>
      <c r="G707">
        <v>-320.27659999999997</v>
      </c>
      <c r="H707">
        <v>0.88563080000000005</v>
      </c>
      <c r="I707">
        <v>368.2525</v>
      </c>
      <c r="J707">
        <v>-320.86959999999999</v>
      </c>
      <c r="K707">
        <v>1.120126</v>
      </c>
      <c r="L707">
        <v>368.30739999999997</v>
      </c>
      <c r="M707">
        <v>0.99991410000000003</v>
      </c>
      <c r="N707">
        <v>-7.8571950000000008E-3</v>
      </c>
      <c r="O707">
        <v>1.0498270000000001E-2</v>
      </c>
      <c r="P707">
        <v>0.9856722</v>
      </c>
      <c r="Q707">
        <v>0.16864109999999999</v>
      </c>
      <c r="R707">
        <v>-3.3036229999999999E-3</v>
      </c>
      <c r="S707">
        <v>3.2062680000000001</v>
      </c>
      <c r="T707">
        <v>-0.95704049999999996</v>
      </c>
      <c r="U707">
        <v>-0.2145996</v>
      </c>
      <c r="V707">
        <v>1.365832E-2</v>
      </c>
      <c r="W707">
        <v>0.17637939999999999</v>
      </c>
      <c r="X707">
        <v>0.98422750000000003</v>
      </c>
      <c r="Y707">
        <v>7.3540449999999993E-2</v>
      </c>
      <c r="Z707">
        <v>-1.40088E-2</v>
      </c>
      <c r="AA707">
        <v>0.99719380000000002</v>
      </c>
      <c r="AB707">
        <v>40</v>
      </c>
      <c r="AC707">
        <v>0.59300000000001696</v>
      </c>
      <c r="AD707">
        <v>-0.23449519999999899</v>
      </c>
      <c r="AE707">
        <v>-5.4899999999974997E-2</v>
      </c>
      <c r="AF707">
        <v>5.2918067019049997E-2</v>
      </c>
      <c r="AG707">
        <v>-0.23449519999999899</v>
      </c>
      <c r="AH707">
        <v>0.51287352274756204</v>
      </c>
      <c r="AI707">
        <v>114.45622396864999</v>
      </c>
      <c r="AJ707">
        <v>84.109092282057404</v>
      </c>
      <c r="AK707">
        <v>0.56641642894213995</v>
      </c>
      <c r="AL707">
        <v>79.841059412445404</v>
      </c>
      <c r="AM707">
        <v>89.204946150635905</v>
      </c>
      <c r="AN707">
        <v>1.00000000710291</v>
      </c>
    </row>
    <row r="708" spans="1:40" x14ac:dyDescent="0.25">
      <c r="A708" t="str">
        <f>"20190303162755979"</f>
        <v>20190303162755979</v>
      </c>
      <c r="B708" t="str">
        <f>"1551601675972261"</f>
        <v>1551601675972261</v>
      </c>
      <c r="C708" t="s">
        <v>40</v>
      </c>
      <c r="D708">
        <v>4.9114019999999998</v>
      </c>
      <c r="E708">
        <v>0.52892600000000001</v>
      </c>
      <c r="F708" t="s">
        <v>44</v>
      </c>
      <c r="G708">
        <v>-319.93</v>
      </c>
      <c r="H708">
        <v>0.83776219999999901</v>
      </c>
      <c r="I708">
        <v>368.24360000000001</v>
      </c>
      <c r="J708">
        <v>-320.63979999999998</v>
      </c>
      <c r="K708">
        <v>1.1199809999999999</v>
      </c>
      <c r="L708">
        <v>368.30990000000003</v>
      </c>
      <c r="M708">
        <v>0.99991669999999999</v>
      </c>
      <c r="N708">
        <v>-7.53034E-3</v>
      </c>
      <c r="O708">
        <v>1.049806E-2</v>
      </c>
      <c r="P708">
        <v>0.98561659999999995</v>
      </c>
      <c r="Q708">
        <v>0.1689658</v>
      </c>
      <c r="R708">
        <v>-3.270369E-3</v>
      </c>
      <c r="S708">
        <v>3.2077640000000001</v>
      </c>
      <c r="T708">
        <v>-0.9639702</v>
      </c>
      <c r="U708">
        <v>-0.21728520000000001</v>
      </c>
      <c r="V708">
        <v>1.3624529999999999E-2</v>
      </c>
      <c r="W708">
        <v>0.17638219999999999</v>
      </c>
      <c r="X708">
        <v>0.98422750000000003</v>
      </c>
      <c r="Y708">
        <v>7.42617E-2</v>
      </c>
      <c r="Z708">
        <v>-1.419772E-2</v>
      </c>
      <c r="AA708">
        <v>0.99713770000000002</v>
      </c>
      <c r="AB708">
        <v>41</v>
      </c>
      <c r="AC708">
        <v>0.70979999999997201</v>
      </c>
      <c r="AD708">
        <v>-0.28221879999999999</v>
      </c>
      <c r="AE708">
        <v>-6.6300000000012405E-2</v>
      </c>
      <c r="AF708">
        <v>6.3756151447447396E-2</v>
      </c>
      <c r="AG708">
        <v>-0.28221879999999999</v>
      </c>
      <c r="AH708">
        <v>0.61299556401352995</v>
      </c>
      <c r="AI708">
        <v>114.604120929537</v>
      </c>
      <c r="AJ708">
        <v>84.062157363681493</v>
      </c>
      <c r="AK708">
        <v>0.67784648661853797</v>
      </c>
      <c r="AL708">
        <v>79.840896767023494</v>
      </c>
      <c r="AM708">
        <v>89.206912822517893</v>
      </c>
      <c r="AN708">
        <v>1.0000000400254001</v>
      </c>
    </row>
    <row r="709" spans="1:40" x14ac:dyDescent="0.25">
      <c r="A709" t="str">
        <f>"20190303162755990"</f>
        <v>20190303162755990</v>
      </c>
      <c r="B709" t="str">
        <f>"1551601675982022"</f>
        <v>1551601675982022</v>
      </c>
      <c r="C709" t="s">
        <v>40</v>
      </c>
      <c r="D709">
        <v>4.9121550000000003</v>
      </c>
      <c r="E709">
        <v>0.52905859999999905</v>
      </c>
      <c r="F709" t="s">
        <v>44</v>
      </c>
      <c r="G709">
        <v>-319.90649999999999</v>
      </c>
      <c r="H709">
        <v>0.89772949999999996</v>
      </c>
      <c r="I709">
        <v>368.25979999999998</v>
      </c>
      <c r="J709">
        <v>-320.42950000000002</v>
      </c>
      <c r="K709">
        <v>1.119823</v>
      </c>
      <c r="L709">
        <v>368.31209999999999</v>
      </c>
      <c r="M709">
        <v>0.99991770000000002</v>
      </c>
      <c r="N709">
        <v>-7.3788489999999998E-3</v>
      </c>
      <c r="O709">
        <v>1.04981E-2</v>
      </c>
      <c r="P709">
        <v>0.98558679999999999</v>
      </c>
      <c r="Q709">
        <v>0.16913819999999999</v>
      </c>
      <c r="R709">
        <v>-3.2651490000000002E-3</v>
      </c>
      <c r="S709">
        <v>3.2098390000000001</v>
      </c>
      <c r="T709">
        <v>-0.97279519999999997</v>
      </c>
      <c r="U709">
        <v>-0.21807860000000001</v>
      </c>
      <c r="V709">
        <v>1.361916E-2</v>
      </c>
      <c r="W709">
        <v>0.17640520000000001</v>
      </c>
      <c r="X709">
        <v>0.98422339999999997</v>
      </c>
      <c r="Y709">
        <v>7.4395909999999996E-2</v>
      </c>
      <c r="Z709">
        <v>-1.432781E-2</v>
      </c>
      <c r="AA709">
        <v>0.99712590000000001</v>
      </c>
      <c r="AB709">
        <v>41</v>
      </c>
      <c r="AC709">
        <v>0.523000000000024</v>
      </c>
      <c r="AD709">
        <v>-0.2220935</v>
      </c>
      <c r="AE709">
        <v>-5.23000000000024E-2</v>
      </c>
      <c r="AF709">
        <v>4.9033162452486997E-2</v>
      </c>
      <c r="AG709">
        <v>-0.2220935</v>
      </c>
      <c r="AH709">
        <v>0.44327730242548802</v>
      </c>
      <c r="AI709">
        <v>116.47278797213799</v>
      </c>
      <c r="AJ709">
        <v>83.687882633335093</v>
      </c>
      <c r="AK709">
        <v>0.49822137710857001</v>
      </c>
      <c r="AL709">
        <v>79.839557443444903</v>
      </c>
      <c r="AM709">
        <v>89.207222069553794</v>
      </c>
      <c r="AN709">
        <v>0.99999998860685202</v>
      </c>
    </row>
    <row r="710" spans="1:40" x14ac:dyDescent="0.25">
      <c r="A710" t="str">
        <f>"20190303162756002"</f>
        <v>20190303162756002</v>
      </c>
      <c r="B710" t="str">
        <f>"1551601675991782"</f>
        <v>1551601675991782</v>
      </c>
      <c r="C710" t="s">
        <v>40</v>
      </c>
      <c r="D710">
        <v>4.9318900000000001</v>
      </c>
      <c r="E710">
        <v>0.52961749999999996</v>
      </c>
      <c r="F710" t="s">
        <v>44</v>
      </c>
      <c r="G710">
        <v>-319.55739999999997</v>
      </c>
      <c r="H710">
        <v>0.85449229999999998</v>
      </c>
      <c r="I710">
        <v>368.25240000000002</v>
      </c>
      <c r="J710">
        <v>-320.21190000000001</v>
      </c>
      <c r="K710">
        <v>1.1196489999999999</v>
      </c>
      <c r="L710">
        <v>368.31439999999998</v>
      </c>
      <c r="M710">
        <v>0.99991830000000004</v>
      </c>
      <c r="N710">
        <v>-7.3048100000000001E-3</v>
      </c>
      <c r="O710">
        <v>1.0497899999999999E-2</v>
      </c>
      <c r="P710">
        <v>0.98556339999999998</v>
      </c>
      <c r="Q710">
        <v>0.1692787</v>
      </c>
      <c r="R710">
        <v>-3.150566E-3</v>
      </c>
      <c r="S710">
        <v>3.2108460000000001</v>
      </c>
      <c r="T710">
        <v>-0.97682259999999999</v>
      </c>
      <c r="U710">
        <v>-0.21878049999999999</v>
      </c>
      <c r="V710">
        <v>1.350381E-2</v>
      </c>
      <c r="W710">
        <v>0.1764723</v>
      </c>
      <c r="X710">
        <v>0.984213</v>
      </c>
      <c r="Y710">
        <v>7.45561E-2</v>
      </c>
      <c r="Z710">
        <v>-1.440175E-2</v>
      </c>
      <c r="AA710">
        <v>0.99711280000000002</v>
      </c>
      <c r="AB710">
        <v>41</v>
      </c>
      <c r="AC710">
        <v>0.65450000000004105</v>
      </c>
      <c r="AD710">
        <v>-0.26515669999999902</v>
      </c>
      <c r="AE710">
        <v>-6.1999999999954897E-2</v>
      </c>
      <c r="AF710">
        <v>5.9232345626381099E-2</v>
      </c>
      <c r="AG710">
        <v>-0.26515669999999902</v>
      </c>
      <c r="AH710">
        <v>0.56233783168607998</v>
      </c>
      <c r="AI710">
        <v>115.123356940519</v>
      </c>
      <c r="AJ710">
        <v>83.987075083864099</v>
      </c>
      <c r="AK710">
        <v>0.62453213149420495</v>
      </c>
      <c r="AL710">
        <v>79.835652019681106</v>
      </c>
      <c r="AM710">
        <v>89.213927497904606</v>
      </c>
      <c r="AN710">
        <v>1.0000000274604</v>
      </c>
    </row>
    <row r="711" spans="1:40" x14ac:dyDescent="0.25">
      <c r="A711" t="str">
        <f>"20190303162756014"</f>
        <v>20190303162756014</v>
      </c>
      <c r="B711" t="str">
        <f>"1551601676002518"</f>
        <v>1551601676002518</v>
      </c>
      <c r="C711" t="s">
        <v>40</v>
      </c>
      <c r="D711">
        <v>4.9139390000000001</v>
      </c>
      <c r="E711">
        <v>0.53003199999999995</v>
      </c>
      <c r="F711" t="s">
        <v>44</v>
      </c>
      <c r="G711">
        <v>-319.53320000000002</v>
      </c>
      <c r="H711">
        <v>0.91367080000000001</v>
      </c>
      <c r="I711">
        <v>368.267</v>
      </c>
      <c r="J711">
        <v>-320.00029999999998</v>
      </c>
      <c r="K711">
        <v>1.1194189999999999</v>
      </c>
      <c r="L711">
        <v>368.31659999999999</v>
      </c>
      <c r="M711">
        <v>0.99991699999999994</v>
      </c>
      <c r="N711">
        <v>-7.4657090000000001E-3</v>
      </c>
      <c r="O711">
        <v>1.049813E-2</v>
      </c>
      <c r="P711">
        <v>0.98561279999999996</v>
      </c>
      <c r="Q711">
        <v>0.16898659999999999</v>
      </c>
      <c r="R711">
        <v>-3.3223900000000002E-3</v>
      </c>
      <c r="S711">
        <v>3.2105709999999998</v>
      </c>
      <c r="T711">
        <v>-0.97445570000000004</v>
      </c>
      <c r="U711">
        <v>-0.22302250000000001</v>
      </c>
      <c r="V711">
        <v>1.367648E-2</v>
      </c>
      <c r="W711">
        <v>0.176339</v>
      </c>
      <c r="X711">
        <v>0.98423450000000001</v>
      </c>
      <c r="Y711">
        <v>7.5831319999999994E-2</v>
      </c>
      <c r="Z711">
        <v>-1.456785E-2</v>
      </c>
      <c r="AA711">
        <v>0.99701419999999996</v>
      </c>
      <c r="AB711">
        <v>41</v>
      </c>
      <c r="AC711">
        <v>0.46709999999995899</v>
      </c>
      <c r="AD711">
        <v>-0.20574819999999899</v>
      </c>
      <c r="AE711">
        <v>-4.9599999999998E-2</v>
      </c>
      <c r="AF711">
        <v>4.5727781242229502E-2</v>
      </c>
      <c r="AG711">
        <v>-0.20574819999999899</v>
      </c>
      <c r="AH711">
        <v>0.39145018979013901</v>
      </c>
      <c r="AI711">
        <v>117.567041236956</v>
      </c>
      <c r="AJ711">
        <v>83.337114204988495</v>
      </c>
      <c r="AK711">
        <v>0.444585877944085</v>
      </c>
      <c r="AL711">
        <v>79.843411153791607</v>
      </c>
      <c r="AM711">
        <v>89.203894850265897</v>
      </c>
      <c r="AN711">
        <v>1.00000002000822</v>
      </c>
    </row>
    <row r="712" spans="1:40" x14ac:dyDescent="0.25">
      <c r="A712" t="str">
        <f>"20190303162756028"</f>
        <v>20190303162756028</v>
      </c>
      <c r="B712" t="str">
        <f>"1551601676022038"</f>
        <v>1551601676022038</v>
      </c>
      <c r="C712" t="s">
        <v>40</v>
      </c>
      <c r="D712">
        <v>4.9727600000000001</v>
      </c>
      <c r="E712">
        <v>0.53038879999999999</v>
      </c>
      <c r="F712" t="s">
        <v>44</v>
      </c>
      <c r="G712">
        <v>-319.18389999999999</v>
      </c>
      <c r="H712">
        <v>0.87174680000000004</v>
      </c>
      <c r="I712">
        <v>368.25850000000003</v>
      </c>
      <c r="J712">
        <v>-319.74239999999998</v>
      </c>
      <c r="K712">
        <v>1.1190979999999999</v>
      </c>
      <c r="L712">
        <v>368.3193</v>
      </c>
      <c r="M712">
        <v>0.99991479999999999</v>
      </c>
      <c r="N712">
        <v>-7.7603319999999896E-3</v>
      </c>
      <c r="O712">
        <v>1.049782E-2</v>
      </c>
      <c r="P712">
        <v>0.98561500000000002</v>
      </c>
      <c r="Q712">
        <v>0.16897190000000001</v>
      </c>
      <c r="R712">
        <v>-3.4205770000000002E-3</v>
      </c>
      <c r="S712">
        <v>3.2099609999999998</v>
      </c>
      <c r="T712">
        <v>-0.97380960000000005</v>
      </c>
      <c r="U712">
        <v>-0.2269592</v>
      </c>
      <c r="V712">
        <v>1.3774410000000001E-2</v>
      </c>
      <c r="W712">
        <v>0.1766141</v>
      </c>
      <c r="X712">
        <v>0.98418380000000005</v>
      </c>
      <c r="Y712">
        <v>7.7008190000000004E-2</v>
      </c>
      <c r="Z712">
        <v>-1.474817E-2</v>
      </c>
      <c r="AA712">
        <v>0.99692139999999996</v>
      </c>
      <c r="AB712">
        <v>41</v>
      </c>
      <c r="AC712">
        <v>0.55849999999998001</v>
      </c>
      <c r="AD712">
        <v>-0.24735119999999899</v>
      </c>
      <c r="AE712">
        <v>-6.0799999999971897E-2</v>
      </c>
      <c r="AF712">
        <v>5.5836057390676402E-2</v>
      </c>
      <c r="AG712">
        <v>-0.24735119999999899</v>
      </c>
      <c r="AH712">
        <v>0.46725392014477601</v>
      </c>
      <c r="AI712">
        <v>117.727872491428</v>
      </c>
      <c r="AJ712">
        <v>83.185564504122695</v>
      </c>
      <c r="AK712">
        <v>0.53162628540830703</v>
      </c>
      <c r="AL712">
        <v>79.827397684725895</v>
      </c>
      <c r="AM712">
        <v>89.198153806830106</v>
      </c>
      <c r="AN712">
        <v>1.0000000134360401</v>
      </c>
    </row>
    <row r="713" spans="1:40" x14ac:dyDescent="0.25">
      <c r="A713" t="str">
        <f>"20190303162756041"</f>
        <v>20190303162756041</v>
      </c>
      <c r="B713" t="str">
        <f>"1551601676032774"</f>
        <v>1551601676032774</v>
      </c>
      <c r="C713" t="s">
        <v>40</v>
      </c>
      <c r="D713">
        <v>4.96774</v>
      </c>
      <c r="E713">
        <v>0.53022609999999903</v>
      </c>
      <c r="F713" t="s">
        <v>44</v>
      </c>
      <c r="G713">
        <v>-318.82799999999997</v>
      </c>
      <c r="H713">
        <v>0.84183960000000002</v>
      </c>
      <c r="I713">
        <v>368.25360000000001</v>
      </c>
      <c r="J713">
        <v>-319.49110000000002</v>
      </c>
      <c r="K713">
        <v>1.1187119999999999</v>
      </c>
      <c r="L713">
        <v>368.32190000000003</v>
      </c>
      <c r="M713">
        <v>0.99991129999999995</v>
      </c>
      <c r="N713">
        <v>-8.1928519999999901E-3</v>
      </c>
      <c r="O713">
        <v>1.0497909999999999E-2</v>
      </c>
      <c r="P713">
        <v>0.98561500000000002</v>
      </c>
      <c r="Q713">
        <v>0.16897100000000001</v>
      </c>
      <c r="R713">
        <v>-3.4590910000000001E-3</v>
      </c>
      <c r="S713">
        <v>3.2098390000000001</v>
      </c>
      <c r="T713">
        <v>-0.97332920000000001</v>
      </c>
      <c r="U713">
        <v>-0.22964480000000001</v>
      </c>
      <c r="V713">
        <v>1.381307E-2</v>
      </c>
      <c r="W713">
        <v>0.1770388</v>
      </c>
      <c r="X713">
        <v>0.98410699999999995</v>
      </c>
      <c r="Y713">
        <v>7.7804150000000002E-2</v>
      </c>
      <c r="Z713">
        <v>-1.4875319999999999E-2</v>
      </c>
      <c r="AA713">
        <v>0.99685769999999996</v>
      </c>
      <c r="AB713">
        <v>41</v>
      </c>
      <c r="AC713">
        <v>0.66310000000004199</v>
      </c>
      <c r="AD713">
        <v>-0.27687240000000002</v>
      </c>
      <c r="AE713">
        <v>-6.8300000000021996E-2</v>
      </c>
      <c r="AF713">
        <v>6.4184986578197101E-2</v>
      </c>
      <c r="AG713">
        <v>-0.27687240000000002</v>
      </c>
      <c r="AH713">
        <v>0.56489546879288</v>
      </c>
      <c r="AI713">
        <v>115.96593439051</v>
      </c>
      <c r="AJ713">
        <v>83.517695371751003</v>
      </c>
      <c r="AK713">
        <v>0.63236455391374602</v>
      </c>
      <c r="AL713">
        <v>79.802675087763404</v>
      </c>
      <c r="AM713">
        <v>89.195840853571497</v>
      </c>
      <c r="AN713">
        <v>1.0000000625286301</v>
      </c>
    </row>
    <row r="714" spans="1:40" x14ac:dyDescent="0.25">
      <c r="A714" t="str">
        <f>"20190303162756056"</f>
        <v>20190303162756056</v>
      </c>
      <c r="B714" t="str">
        <f>"1551601676052294"</f>
        <v>1551601676052294</v>
      </c>
      <c r="C714" t="s">
        <v>40</v>
      </c>
      <c r="D714">
        <v>4.9788220000000001</v>
      </c>
      <c r="E714">
        <v>0.52992899999999998</v>
      </c>
      <c r="F714" t="s">
        <v>44</v>
      </c>
      <c r="G714">
        <v>-318.80130000000003</v>
      </c>
      <c r="H714">
        <v>0.90834619999999999</v>
      </c>
      <c r="I714">
        <v>368.27260000000001</v>
      </c>
      <c r="J714">
        <v>-319.23410000000001</v>
      </c>
      <c r="K714">
        <v>1.1181890000000001</v>
      </c>
      <c r="L714">
        <v>368.32459999999998</v>
      </c>
      <c r="M714">
        <v>0.99990610000000002</v>
      </c>
      <c r="N714">
        <v>-8.8047119999999993E-3</v>
      </c>
      <c r="O714">
        <v>1.049926E-2</v>
      </c>
      <c r="P714">
        <v>0.98565480000000005</v>
      </c>
      <c r="Q714">
        <v>0.16873270000000001</v>
      </c>
      <c r="R714">
        <v>-3.6841090000000001E-3</v>
      </c>
      <c r="S714">
        <v>3.2108759999999998</v>
      </c>
      <c r="T714">
        <v>-0.97920300000000005</v>
      </c>
      <c r="U714">
        <v>-0.228302</v>
      </c>
      <c r="V714">
        <v>1.4040260000000001E-2</v>
      </c>
      <c r="W714">
        <v>0.17740300000000001</v>
      </c>
      <c r="X714">
        <v>0.98403810000000003</v>
      </c>
      <c r="Y714">
        <v>7.7339050000000006E-2</v>
      </c>
      <c r="Z714">
        <v>-1.49027E-2</v>
      </c>
      <c r="AA714">
        <v>0.99689349999999999</v>
      </c>
      <c r="AB714">
        <v>41</v>
      </c>
      <c r="AC714">
        <v>0.43279999999998597</v>
      </c>
      <c r="AD714">
        <v>-0.209842799999999</v>
      </c>
      <c r="AE714">
        <v>-5.1999999999963999E-2</v>
      </c>
      <c r="AF714">
        <v>4.5903907252892701E-2</v>
      </c>
      <c r="AG714">
        <v>-0.209842799999999</v>
      </c>
      <c r="AH714">
        <v>0.35091201925335902</v>
      </c>
      <c r="AI714">
        <v>120.665436397268</v>
      </c>
      <c r="AJ714">
        <v>82.547276763977095</v>
      </c>
      <c r="AK714">
        <v>0.41143701178842901</v>
      </c>
      <c r="AL714">
        <v>79.781471371468896</v>
      </c>
      <c r="AM714">
        <v>89.182559029775504</v>
      </c>
      <c r="AN714">
        <v>0.99999996778073796</v>
      </c>
    </row>
    <row r="715" spans="1:40" x14ac:dyDescent="0.25">
      <c r="A715" t="str">
        <f>"20190303162756068"</f>
        <v>20190303162756068</v>
      </c>
      <c r="B715" t="str">
        <f>"1551601676062054"</f>
        <v>1551601676062054</v>
      </c>
      <c r="C715" t="s">
        <v>40</v>
      </c>
      <c r="D715">
        <v>4.9383850000000002</v>
      </c>
      <c r="E715">
        <v>0.52979319999999996</v>
      </c>
      <c r="F715" t="s">
        <v>44</v>
      </c>
      <c r="G715">
        <v>-318.44670000000002</v>
      </c>
      <c r="H715">
        <v>0.87578109999999998</v>
      </c>
      <c r="I715">
        <v>368.26839999999999</v>
      </c>
      <c r="J715">
        <v>-319.01580000000001</v>
      </c>
      <c r="K715">
        <v>1.117702</v>
      </c>
      <c r="L715">
        <v>368.32690000000002</v>
      </c>
      <c r="M715">
        <v>0.99990029999999996</v>
      </c>
      <c r="N715">
        <v>-9.4580970000000004E-3</v>
      </c>
      <c r="O715">
        <v>1.050064E-2</v>
      </c>
      <c r="P715">
        <v>0.98570950000000002</v>
      </c>
      <c r="Q715">
        <v>0.16841210000000001</v>
      </c>
      <c r="R715">
        <v>-3.7982229999999999E-3</v>
      </c>
      <c r="S715">
        <v>3.212097</v>
      </c>
      <c r="T715">
        <v>-0.9888285</v>
      </c>
      <c r="U715">
        <v>-0.22714229999999999</v>
      </c>
      <c r="V715">
        <v>1.415632E-2</v>
      </c>
      <c r="W715">
        <v>0.1777263</v>
      </c>
      <c r="X715">
        <v>0.98397820000000003</v>
      </c>
      <c r="Y715">
        <v>7.6895899999999906E-2</v>
      </c>
      <c r="Z715">
        <v>-1.498618E-2</v>
      </c>
      <c r="AA715">
        <v>0.99692650000000005</v>
      </c>
      <c r="AB715">
        <v>41</v>
      </c>
      <c r="AC715">
        <v>0.56909999999999095</v>
      </c>
      <c r="AD715">
        <v>-0.24192089999999999</v>
      </c>
      <c r="AE715">
        <v>-5.8500000000037702E-2</v>
      </c>
      <c r="AF715">
        <v>5.4693008298874302E-2</v>
      </c>
      <c r="AG715">
        <v>-0.24192089999999999</v>
      </c>
      <c r="AH715">
        <v>0.48222508329421399</v>
      </c>
      <c r="AI715">
        <v>116.495356278325</v>
      </c>
      <c r="AJ715">
        <v>83.529277976577703</v>
      </c>
      <c r="AK715">
        <v>0.54227122178085596</v>
      </c>
      <c r="AL715">
        <v>79.762649577288997</v>
      </c>
      <c r="AM715">
        <v>89.175752637719498</v>
      </c>
      <c r="AN715">
        <v>1.0000000685914301</v>
      </c>
    </row>
    <row r="716" spans="1:40" x14ac:dyDescent="0.25">
      <c r="A716" t="str">
        <f>"20190303162756079"</f>
        <v>20190303162756079</v>
      </c>
      <c r="B716" t="str">
        <f>"1551601676072321"</f>
        <v>1551601676072321</v>
      </c>
      <c r="C716" t="s">
        <v>40</v>
      </c>
      <c r="D716">
        <v>4.9572710000000004</v>
      </c>
      <c r="E716">
        <v>0.52966550000000001</v>
      </c>
      <c r="F716" t="s">
        <v>44</v>
      </c>
      <c r="G716">
        <v>-318.09550000000002</v>
      </c>
      <c r="H716">
        <v>0.8328409</v>
      </c>
      <c r="I716">
        <v>368.26190000000003</v>
      </c>
      <c r="J716">
        <v>-318.8057</v>
      </c>
      <c r="K716">
        <v>1.1171899999999999</v>
      </c>
      <c r="L716">
        <v>368.32909999999998</v>
      </c>
      <c r="M716">
        <v>0.99989220000000001</v>
      </c>
      <c r="N716">
        <v>-1.027368E-2</v>
      </c>
      <c r="O716">
        <v>1.050222E-2</v>
      </c>
      <c r="P716">
        <v>0.98580310000000004</v>
      </c>
      <c r="Q716">
        <v>0.16786470000000001</v>
      </c>
      <c r="R716">
        <v>-3.760836E-3</v>
      </c>
      <c r="S716">
        <v>3.2125240000000002</v>
      </c>
      <c r="T716">
        <v>-0.99444869999999996</v>
      </c>
      <c r="U716">
        <v>-0.2264709</v>
      </c>
      <c r="V716">
        <v>1.4121720000000001E-2</v>
      </c>
      <c r="W716">
        <v>0.17798249999999999</v>
      </c>
      <c r="X716">
        <v>0.98393229999999998</v>
      </c>
      <c r="Y716">
        <v>7.6641249999999994E-2</v>
      </c>
      <c r="Z716">
        <v>-1.5048850000000001E-2</v>
      </c>
      <c r="AA716">
        <v>0.99694510000000003</v>
      </c>
      <c r="AB716">
        <v>41</v>
      </c>
      <c r="AC716">
        <v>0.71019999999998595</v>
      </c>
      <c r="AD716">
        <v>-0.28434909999999902</v>
      </c>
      <c r="AE716">
        <v>-6.7199999999957002E-2</v>
      </c>
      <c r="AF716">
        <v>6.4420226888140503E-2</v>
      </c>
      <c r="AG716">
        <v>-0.28434909999999902</v>
      </c>
      <c r="AH716">
        <v>0.61218984162149703</v>
      </c>
      <c r="AI716">
        <v>114.793545192514</v>
      </c>
      <c r="AJ716">
        <v>83.992920259015406</v>
      </c>
      <c r="AK716">
        <v>0.67807136681007396</v>
      </c>
      <c r="AL716">
        <v>79.747731679042801</v>
      </c>
      <c r="AM716">
        <v>89.177728583584894</v>
      </c>
      <c r="AN716">
        <v>0.99999998213264896</v>
      </c>
    </row>
    <row r="717" spans="1:40" x14ac:dyDescent="0.25">
      <c r="A717" t="str">
        <f>"20190303162756089"</f>
        <v>20190303162756089</v>
      </c>
      <c r="B717" t="str">
        <f>"1551601676082081"</f>
        <v>1551601676082081</v>
      </c>
      <c r="C717" t="s">
        <v>40</v>
      </c>
      <c r="D717">
        <v>4.9565739999999998</v>
      </c>
      <c r="E717">
        <v>0.52954869999999898</v>
      </c>
      <c r="F717" t="s">
        <v>44</v>
      </c>
      <c r="G717">
        <v>-318.07339999999999</v>
      </c>
      <c r="H717">
        <v>0.88931009999999999</v>
      </c>
      <c r="I717">
        <v>368.27760000000001</v>
      </c>
      <c r="J717">
        <v>-318.61309999999997</v>
      </c>
      <c r="K717">
        <v>1.1166419999999999</v>
      </c>
      <c r="L717">
        <v>368.33109999999999</v>
      </c>
      <c r="M717">
        <v>0.9998842</v>
      </c>
      <c r="N717">
        <v>-1.1004180000000001E-2</v>
      </c>
      <c r="O717">
        <v>1.0503459999999999E-2</v>
      </c>
      <c r="P717">
        <v>0.98586960000000001</v>
      </c>
      <c r="Q717">
        <v>0.16747429999999999</v>
      </c>
      <c r="R717">
        <v>-3.6565339999999999E-3</v>
      </c>
      <c r="S717">
        <v>3.2125849999999998</v>
      </c>
      <c r="T717">
        <v>-0.99981489999999995</v>
      </c>
      <c r="U717">
        <v>-0.22534179999999901</v>
      </c>
      <c r="V717">
        <v>1.401941E-2</v>
      </c>
      <c r="W717">
        <v>0.17831140000000001</v>
      </c>
      <c r="X717">
        <v>0.98387420000000003</v>
      </c>
      <c r="Y717">
        <v>7.6260980000000006E-2</v>
      </c>
      <c r="Z717">
        <v>-1.508659E-2</v>
      </c>
      <c r="AA717">
        <v>0.99697380000000002</v>
      </c>
      <c r="AB717">
        <v>41</v>
      </c>
      <c r="AC717">
        <v>0.53969999999998197</v>
      </c>
      <c r="AD717">
        <v>-0.227331899999999</v>
      </c>
      <c r="AE717">
        <v>-5.34999999999854E-2</v>
      </c>
      <c r="AF717">
        <v>5.0324201053355597E-2</v>
      </c>
      <c r="AG717">
        <v>-0.227331899999999</v>
      </c>
      <c r="AH717">
        <v>0.45854277848297498</v>
      </c>
      <c r="AI717">
        <v>116.234600457215</v>
      </c>
      <c r="AJ717">
        <v>83.736961868608603</v>
      </c>
      <c r="AK717">
        <v>0.51427016019613203</v>
      </c>
      <c r="AL717">
        <v>79.728580633953001</v>
      </c>
      <c r="AM717">
        <v>89.183636823813103</v>
      </c>
      <c r="AN717">
        <v>0.99999997032617305</v>
      </c>
    </row>
    <row r="718" spans="1:40" x14ac:dyDescent="0.25">
      <c r="A718" t="str">
        <f>"20190303162756100"</f>
        <v>20190303162756100</v>
      </c>
      <c r="B718" t="str">
        <f>"1551601676091843"</f>
        <v>1551601676091843</v>
      </c>
      <c r="C718" t="s">
        <v>40</v>
      </c>
      <c r="D718">
        <v>4.9953310000000002</v>
      </c>
      <c r="E718">
        <v>0.5295706</v>
      </c>
      <c r="F718" t="s">
        <v>44</v>
      </c>
      <c r="G718">
        <v>-317.7242</v>
      </c>
      <c r="H718">
        <v>0.8391187</v>
      </c>
      <c r="I718">
        <v>368.2688</v>
      </c>
      <c r="J718">
        <v>-318.3965</v>
      </c>
      <c r="K718">
        <v>1.115972</v>
      </c>
      <c r="L718">
        <v>368.33350000000002</v>
      </c>
      <c r="M718">
        <v>0.99987510000000002</v>
      </c>
      <c r="N718">
        <v>-1.181347E-2</v>
      </c>
      <c r="O718">
        <v>1.050451E-2</v>
      </c>
      <c r="P718">
        <v>0.98591569999999995</v>
      </c>
      <c r="Q718">
        <v>0.16720460000000001</v>
      </c>
      <c r="R718">
        <v>-3.6214580000000001E-3</v>
      </c>
      <c r="S718">
        <v>3.212555</v>
      </c>
      <c r="T718">
        <v>-1.0029319999999999</v>
      </c>
      <c r="U718">
        <v>-0.22415160000000001</v>
      </c>
      <c r="V718">
        <v>1.398597E-2</v>
      </c>
      <c r="W718">
        <v>0.17883829999999901</v>
      </c>
      <c r="X718">
        <v>0.98377910000000002</v>
      </c>
      <c r="Y718">
        <v>7.5881039999999997E-2</v>
      </c>
      <c r="Z718">
        <v>-1.5094430000000001E-2</v>
      </c>
      <c r="AA718">
        <v>0.99700259999999996</v>
      </c>
      <c r="AB718">
        <v>41</v>
      </c>
      <c r="AC718">
        <v>0.672300000000007</v>
      </c>
      <c r="AD718">
        <v>-0.27685330000000002</v>
      </c>
      <c r="AE718">
        <v>-6.4700000000016106E-2</v>
      </c>
      <c r="AF718">
        <v>6.1436364486507203E-2</v>
      </c>
      <c r="AG718">
        <v>-0.27685330000000002</v>
      </c>
      <c r="AH718">
        <v>0.57497416447697502</v>
      </c>
      <c r="AI718">
        <v>115.584179408105</v>
      </c>
      <c r="AJ718">
        <v>83.901049042859796</v>
      </c>
      <c r="AK718">
        <v>0.64110643922690802</v>
      </c>
      <c r="AL718">
        <v>79.697898943337194</v>
      </c>
      <c r="AM718">
        <v>89.185505085855297</v>
      </c>
      <c r="AN718">
        <v>1.0000000312502699</v>
      </c>
    </row>
    <row r="719" spans="1:40" x14ac:dyDescent="0.25">
      <c r="A719" t="str">
        <f>"20190303162756112"</f>
        <v>20190303162756112</v>
      </c>
      <c r="B719" t="str">
        <f>"1551601676102577"</f>
        <v>1551601676102577</v>
      </c>
      <c r="C719" t="s">
        <v>40</v>
      </c>
      <c r="D719">
        <v>4.9815259999999997</v>
      </c>
      <c r="E719">
        <v>0.52979509999999996</v>
      </c>
      <c r="F719" t="s">
        <v>44</v>
      </c>
      <c r="G719">
        <v>-317.70030000000003</v>
      </c>
      <c r="H719">
        <v>0.89804089999999903</v>
      </c>
      <c r="I719">
        <v>368.28460000000001</v>
      </c>
      <c r="J719">
        <v>-318.20499999999998</v>
      </c>
      <c r="K719">
        <v>1.1152550000000001</v>
      </c>
      <c r="L719">
        <v>368.33550000000002</v>
      </c>
      <c r="M719">
        <v>0.99986710000000001</v>
      </c>
      <c r="N719">
        <v>-1.2472240000000001E-2</v>
      </c>
      <c r="O719">
        <v>1.0505159999999999E-2</v>
      </c>
      <c r="P719">
        <v>0.98593839999999999</v>
      </c>
      <c r="Q719">
        <v>0.16707620000000001</v>
      </c>
      <c r="R719">
        <v>-3.3239749999999998E-3</v>
      </c>
      <c r="S719">
        <v>3.2125849999999998</v>
      </c>
      <c r="T719">
        <v>-1.0055959999999999</v>
      </c>
      <c r="U719">
        <v>-0.22421260000000001</v>
      </c>
      <c r="V719">
        <v>1.3689450000000001E-2</v>
      </c>
      <c r="W719">
        <v>0.17935860000000001</v>
      </c>
      <c r="X719">
        <v>0.98368849999999997</v>
      </c>
      <c r="Y719">
        <v>7.5872850000000006E-2</v>
      </c>
      <c r="Z719">
        <v>-1.5149559999999999E-2</v>
      </c>
      <c r="AA719">
        <v>0.99700239999999996</v>
      </c>
      <c r="AB719">
        <v>41</v>
      </c>
      <c r="AC719">
        <v>0.50469999999995696</v>
      </c>
      <c r="AD719">
        <v>-0.21721409999999999</v>
      </c>
      <c r="AE719">
        <v>-5.0900000000012803E-2</v>
      </c>
      <c r="AF719">
        <v>4.74913461283464E-2</v>
      </c>
      <c r="AG719">
        <v>-0.21721409999999999</v>
      </c>
      <c r="AH719">
        <v>0.42602049847610302</v>
      </c>
      <c r="AI719">
        <v>116.87264893936501</v>
      </c>
      <c r="AJ719">
        <v>83.639119582449297</v>
      </c>
      <c r="AK719">
        <v>0.48055265925569401</v>
      </c>
      <c r="AL719">
        <v>79.667597553929198</v>
      </c>
      <c r="AM719">
        <v>89.202697723404498</v>
      </c>
      <c r="AN719">
        <v>0.99999998673375601</v>
      </c>
    </row>
    <row r="720" spans="1:40" x14ac:dyDescent="0.25">
      <c r="A720" t="str">
        <f>"20190303162756122"</f>
        <v>20190303162756122</v>
      </c>
      <c r="B720" t="str">
        <f>"1551601676112338"</f>
        <v>1551601676112338</v>
      </c>
      <c r="C720" t="s">
        <v>40</v>
      </c>
      <c r="D720">
        <v>4.9469279999999998</v>
      </c>
      <c r="E720">
        <v>0.53003809999999996</v>
      </c>
      <c r="F720" t="s">
        <v>44</v>
      </c>
      <c r="G720">
        <v>-317.35090000000002</v>
      </c>
      <c r="H720">
        <v>0.84754479999999999</v>
      </c>
      <c r="I720">
        <v>368.2756</v>
      </c>
      <c r="J720">
        <v>-318.00130000000001</v>
      </c>
      <c r="K720">
        <v>1.114468</v>
      </c>
      <c r="L720">
        <v>368.33760000000001</v>
      </c>
      <c r="M720">
        <v>0.99985840000000004</v>
      </c>
      <c r="N720">
        <v>-1.315917E-2</v>
      </c>
      <c r="O720">
        <v>1.050571E-2</v>
      </c>
      <c r="P720">
        <v>0.98596859999999997</v>
      </c>
      <c r="Q720">
        <v>0.16689960000000001</v>
      </c>
      <c r="R720">
        <v>-3.2704050000000001E-3</v>
      </c>
      <c r="S720">
        <v>3.2126769999999998</v>
      </c>
      <c r="T720">
        <v>-1.0069999999999999</v>
      </c>
      <c r="U720">
        <v>-0.22509770000000001</v>
      </c>
      <c r="V720">
        <v>1.3636769999999999E-2</v>
      </c>
      <c r="W720">
        <v>0.17985809999999999</v>
      </c>
      <c r="X720">
        <v>0.98359810000000003</v>
      </c>
      <c r="Y720">
        <v>7.6115379999999996E-2</v>
      </c>
      <c r="Z720">
        <v>-1.5227350000000001E-2</v>
      </c>
      <c r="AA720">
        <v>0.99698279999999995</v>
      </c>
      <c r="AB720">
        <v>41</v>
      </c>
      <c r="AC720">
        <v>0.65039999999998999</v>
      </c>
      <c r="AD720">
        <v>-0.26692319999999897</v>
      </c>
      <c r="AE720">
        <v>-6.2000000000011803E-2</v>
      </c>
      <c r="AF720">
        <v>5.8984899089736698E-2</v>
      </c>
      <c r="AG720">
        <v>-0.26692319999999897</v>
      </c>
      <c r="AH720">
        <v>0.55678035383110802</v>
      </c>
      <c r="AI720">
        <v>115.488868359854</v>
      </c>
      <c r="AJ720">
        <v>83.952683428521993</v>
      </c>
      <c r="AK720">
        <v>0.62026734190279598</v>
      </c>
      <c r="AL720">
        <v>79.638505984792204</v>
      </c>
      <c r="AM720">
        <v>89.2056925365723</v>
      </c>
      <c r="AN720">
        <v>1.00000005997762</v>
      </c>
    </row>
    <row r="721" spans="1:40" x14ac:dyDescent="0.25">
      <c r="A721" t="str">
        <f>"20190303162756133"</f>
        <v>20190303162756133</v>
      </c>
      <c r="B721" t="str">
        <f>"1551601676122098"</f>
        <v>1551601676122098</v>
      </c>
      <c r="C721" t="s">
        <v>40</v>
      </c>
      <c r="D721">
        <v>4.92286</v>
      </c>
      <c r="E721">
        <v>0.53024839999999995</v>
      </c>
      <c r="F721" t="s">
        <v>44</v>
      </c>
      <c r="G721">
        <v>-317.3279</v>
      </c>
      <c r="H721">
        <v>0.90291549999999998</v>
      </c>
      <c r="I721">
        <v>368.2901</v>
      </c>
      <c r="J721">
        <v>-317.79649999999998</v>
      </c>
      <c r="K721">
        <v>1.113532</v>
      </c>
      <c r="L721">
        <v>368.33969999999999</v>
      </c>
      <c r="M721">
        <v>0.99985029999999997</v>
      </c>
      <c r="N721">
        <v>-1.3763050000000001E-2</v>
      </c>
      <c r="O721">
        <v>1.050565E-2</v>
      </c>
      <c r="P721">
        <v>0.98601620000000001</v>
      </c>
      <c r="Q721">
        <v>0.16661999999999999</v>
      </c>
      <c r="R721">
        <v>-3.193857E-3</v>
      </c>
      <c r="S721">
        <v>3.212799</v>
      </c>
      <c r="T721">
        <v>-1.0093490000000001</v>
      </c>
      <c r="U721">
        <v>-0.22604369999999999</v>
      </c>
      <c r="V721">
        <v>1.3560549999999999E-2</v>
      </c>
      <c r="W721">
        <v>0.18017330000000001</v>
      </c>
      <c r="X721">
        <v>0.98354140000000001</v>
      </c>
      <c r="Y721">
        <v>7.6367909999999997E-2</v>
      </c>
      <c r="Z721">
        <v>-1.531765E-2</v>
      </c>
      <c r="AA721">
        <v>0.99696209999999996</v>
      </c>
      <c r="AB721">
        <v>41</v>
      </c>
      <c r="AC721">
        <v>0.46859999999997998</v>
      </c>
      <c r="AD721">
        <v>-0.21061649999999901</v>
      </c>
      <c r="AE721">
        <v>-4.9599999999998E-2</v>
      </c>
      <c r="AF721">
        <v>4.5442408496712203E-2</v>
      </c>
      <c r="AG721">
        <v>-0.21061649999999901</v>
      </c>
      <c r="AH721">
        <v>0.39011725024808702</v>
      </c>
      <c r="AI721">
        <v>118.202619858584</v>
      </c>
      <c r="AJ721">
        <v>83.355902003538702</v>
      </c>
      <c r="AK721">
        <v>0.44566331630880301</v>
      </c>
      <c r="AL721">
        <v>79.620145758495894</v>
      </c>
      <c r="AM721">
        <v>89.210086066095897</v>
      </c>
      <c r="AN721">
        <v>0.99999999603157597</v>
      </c>
    </row>
    <row r="722" spans="1:40" x14ac:dyDescent="0.25">
      <c r="A722" t="str">
        <f>"20190303162756144"</f>
        <v>20190303162756144</v>
      </c>
      <c r="B722" t="str">
        <f>"1551601676142594"</f>
        <v>1551601676142594</v>
      </c>
      <c r="C722" t="s">
        <v>40</v>
      </c>
      <c r="D722">
        <v>4.886164</v>
      </c>
      <c r="E722">
        <v>0.53064019999999901</v>
      </c>
      <c r="F722" t="s">
        <v>44</v>
      </c>
      <c r="G722">
        <v>-316.97710000000001</v>
      </c>
      <c r="H722">
        <v>0.85535939999999999</v>
      </c>
      <c r="I722">
        <v>368.28160000000003</v>
      </c>
      <c r="J722">
        <v>-317.6046</v>
      </c>
      <c r="K722">
        <v>1.112636</v>
      </c>
      <c r="L722">
        <v>368.3417</v>
      </c>
      <c r="M722">
        <v>0.99984249999999997</v>
      </c>
      <c r="N722">
        <v>-1.431676E-2</v>
      </c>
      <c r="O722">
        <v>1.050541E-2</v>
      </c>
      <c r="P722">
        <v>0.9861048</v>
      </c>
      <c r="Q722">
        <v>0.1660962</v>
      </c>
      <c r="R722">
        <v>-3.1444039999999999E-3</v>
      </c>
      <c r="S722">
        <v>3.2128909999999999</v>
      </c>
      <c r="T722">
        <v>-1.01231</v>
      </c>
      <c r="U722">
        <v>-0.2267151</v>
      </c>
      <c r="V722">
        <v>1.351163E-2</v>
      </c>
      <c r="W722">
        <v>0.18019540000000001</v>
      </c>
      <c r="X722">
        <v>0.98353800000000002</v>
      </c>
      <c r="Y722">
        <v>7.6535489999999998E-2</v>
      </c>
      <c r="Z722">
        <v>-1.5401929999999999E-2</v>
      </c>
      <c r="AA722">
        <v>0.9969479</v>
      </c>
      <c r="AB722">
        <v>41</v>
      </c>
      <c r="AC722">
        <v>0.62749999999999695</v>
      </c>
      <c r="AD722">
        <v>-0.25727659999999902</v>
      </c>
      <c r="AE722">
        <v>-6.0099999999977102E-2</v>
      </c>
      <c r="AF722">
        <v>5.7166967560111401E-2</v>
      </c>
      <c r="AG722">
        <v>-0.25727659999999902</v>
      </c>
      <c r="AH722">
        <v>0.53732886834799198</v>
      </c>
      <c r="AI722">
        <v>115.460032635725</v>
      </c>
      <c r="AJ722">
        <v>83.9270878933322</v>
      </c>
      <c r="AK722">
        <v>0.59848276821284696</v>
      </c>
      <c r="AL722">
        <v>79.618858198793205</v>
      </c>
      <c r="AM722">
        <v>89.212932619422801</v>
      </c>
      <c r="AN722">
        <v>0.99999997188520795</v>
      </c>
    </row>
    <row r="723" spans="1:40" x14ac:dyDescent="0.25">
      <c r="A723" t="str">
        <f>"20190303162756156"</f>
        <v>20190303162756156</v>
      </c>
      <c r="B723" t="str">
        <f>"1551601676152354"</f>
        <v>1551601676152354</v>
      </c>
      <c r="C723" t="s">
        <v>40</v>
      </c>
      <c r="D723">
        <v>4.8731269999999904</v>
      </c>
      <c r="E723">
        <v>0.53082510000000005</v>
      </c>
      <c r="F723" t="s">
        <v>44</v>
      </c>
      <c r="G723">
        <v>-316.6268</v>
      </c>
      <c r="H723">
        <v>0.80299030000000005</v>
      </c>
      <c r="I723">
        <v>368.27179999999998</v>
      </c>
      <c r="J723">
        <v>-317.38420000000002</v>
      </c>
      <c r="K723">
        <v>1.1114729999999999</v>
      </c>
      <c r="L723">
        <v>368.34410000000003</v>
      </c>
      <c r="M723">
        <v>0.99983469999999997</v>
      </c>
      <c r="N723">
        <v>-1.4852560000000001E-2</v>
      </c>
      <c r="O723">
        <v>1.050515E-2</v>
      </c>
      <c r="P723">
        <v>0.98618329999999998</v>
      </c>
      <c r="Q723">
        <v>0.165631</v>
      </c>
      <c r="R723">
        <v>-3.0498679999999998E-3</v>
      </c>
      <c r="S723">
        <v>3.212952</v>
      </c>
      <c r="T723">
        <v>-1.0174299999999901</v>
      </c>
      <c r="U723">
        <v>-0.22921749999999999</v>
      </c>
      <c r="V723">
        <v>1.341766E-2</v>
      </c>
      <c r="W723">
        <v>0.18025820000000001</v>
      </c>
      <c r="X723">
        <v>0.98352779999999995</v>
      </c>
      <c r="Y723">
        <v>7.7224459999999995E-2</v>
      </c>
      <c r="Z723">
        <v>-1.560083E-2</v>
      </c>
      <c r="AA723">
        <v>0.99689170000000005</v>
      </c>
      <c r="AB723">
        <v>41</v>
      </c>
      <c r="AC723">
        <v>0.75740000000001795</v>
      </c>
      <c r="AD723">
        <v>-0.308482699999999</v>
      </c>
      <c r="AE723">
        <v>-7.2300000000041095E-2</v>
      </c>
      <c r="AF723">
        <v>6.8923287632344996E-2</v>
      </c>
      <c r="AG723">
        <v>-0.308482699999999</v>
      </c>
      <c r="AH723">
        <v>0.64978189299361699</v>
      </c>
      <c r="AI723">
        <v>115.27198044678499</v>
      </c>
      <c r="AJ723">
        <v>83.945195444719005</v>
      </c>
      <c r="AK723">
        <v>0.72258460005712</v>
      </c>
      <c r="AL723">
        <v>79.615200342857307</v>
      </c>
      <c r="AM723">
        <v>89.218397689573294</v>
      </c>
      <c r="AN723">
        <v>0.99999999281997698</v>
      </c>
    </row>
    <row r="724" spans="1:40" x14ac:dyDescent="0.25">
      <c r="A724" t="str">
        <f>"20190303162756167"</f>
        <v>20190303162756167</v>
      </c>
      <c r="B724" t="str">
        <f>"1551601676162114"</f>
        <v>1551601676162114</v>
      </c>
      <c r="C724" t="s">
        <v>40</v>
      </c>
      <c r="D724">
        <v>4.887499</v>
      </c>
      <c r="E724">
        <v>0.53099010000000002</v>
      </c>
      <c r="F724" t="s">
        <v>44</v>
      </c>
      <c r="G724">
        <v>-316.6028</v>
      </c>
      <c r="H724">
        <v>0.8633883</v>
      </c>
      <c r="I724">
        <v>368.2878</v>
      </c>
      <c r="J724">
        <v>-317.17599999999999</v>
      </c>
      <c r="K724">
        <v>1.1103320000000001</v>
      </c>
      <c r="L724">
        <v>368.34620000000001</v>
      </c>
      <c r="M724">
        <v>0.99982760000000004</v>
      </c>
      <c r="N724">
        <v>-1.5313709999999999E-2</v>
      </c>
      <c r="O724">
        <v>1.0504970000000001E-2</v>
      </c>
      <c r="P724">
        <v>0.98627039999999999</v>
      </c>
      <c r="Q724">
        <v>0.1651108</v>
      </c>
      <c r="R724">
        <v>-3.0450099999999999E-3</v>
      </c>
      <c r="S724">
        <v>3.2125849999999998</v>
      </c>
      <c r="T724">
        <v>-1.0199640000000001</v>
      </c>
      <c r="U724">
        <v>-0.23059080000000001</v>
      </c>
      <c r="V724">
        <v>1.3413629999999999E-2</v>
      </c>
      <c r="W724">
        <v>0.18019309999999999</v>
      </c>
      <c r="X724">
        <v>0.98353979999999996</v>
      </c>
      <c r="Y724">
        <v>7.7610189999999996E-2</v>
      </c>
      <c r="Z724">
        <v>-1.5714599999999999E-2</v>
      </c>
      <c r="AA724">
        <v>0.99685990000000002</v>
      </c>
      <c r="AB724">
        <v>41</v>
      </c>
      <c r="AC724">
        <v>0.57319999999998505</v>
      </c>
      <c r="AD724">
        <v>-0.24694369999999899</v>
      </c>
      <c r="AE724">
        <v>-5.8400000000005899E-2</v>
      </c>
      <c r="AF724">
        <v>5.4421875245600701E-2</v>
      </c>
      <c r="AG724">
        <v>-0.24694369999999899</v>
      </c>
      <c r="AH724">
        <v>0.48370106861913897</v>
      </c>
      <c r="AI724">
        <v>116.899983020533</v>
      </c>
      <c r="AJ724">
        <v>83.5805693342745</v>
      </c>
      <c r="AK724">
        <v>0.54581100690461903</v>
      </c>
      <c r="AL724">
        <v>79.618992556098405</v>
      </c>
      <c r="AM724">
        <v>89.218641947206095</v>
      </c>
      <c r="AN724">
        <v>1.0000000084707099</v>
      </c>
    </row>
    <row r="725" spans="1:40" x14ac:dyDescent="0.25">
      <c r="A725" t="str">
        <f>"20190303162756178"</f>
        <v>20190303162756178</v>
      </c>
      <c r="B725" t="str">
        <f>"1551601676172382"</f>
        <v>1551601676172382</v>
      </c>
      <c r="C725" t="s">
        <v>40</v>
      </c>
      <c r="D725">
        <v>4.8455240000000002</v>
      </c>
      <c r="E725">
        <v>0.53114340000000004</v>
      </c>
      <c r="F725" t="s">
        <v>44</v>
      </c>
      <c r="G725">
        <v>-316.25020000000001</v>
      </c>
      <c r="H725">
        <v>0.81560089999999996</v>
      </c>
      <c r="I725">
        <v>368.279</v>
      </c>
      <c r="J725">
        <v>-316.96359999999999</v>
      </c>
      <c r="K725">
        <v>1.109086</v>
      </c>
      <c r="L725">
        <v>368.34840000000003</v>
      </c>
      <c r="M725">
        <v>0.99982170000000004</v>
      </c>
      <c r="N725">
        <v>-1.57045E-2</v>
      </c>
      <c r="O725">
        <v>1.050476E-2</v>
      </c>
      <c r="P725">
        <v>0.98634109999999997</v>
      </c>
      <c r="Q725">
        <v>0.164687</v>
      </c>
      <c r="R725">
        <v>-3.112264E-3</v>
      </c>
      <c r="S725">
        <v>3.2122799999999998</v>
      </c>
      <c r="T725">
        <v>-1.0226770000000001</v>
      </c>
      <c r="U725">
        <v>-0.2322388</v>
      </c>
      <c r="V725">
        <v>1.348152E-2</v>
      </c>
      <c r="W725">
        <v>0.18015510000000001</v>
      </c>
      <c r="X725">
        <v>0.98354580000000003</v>
      </c>
      <c r="Y725">
        <v>7.8074340000000006E-2</v>
      </c>
      <c r="Z725">
        <v>-1.58418E-2</v>
      </c>
      <c r="AA725">
        <v>0.99682159999999997</v>
      </c>
      <c r="AB725">
        <v>41</v>
      </c>
      <c r="AC725">
        <v>0.71339999999997805</v>
      </c>
      <c r="AD725">
        <v>-0.2934851</v>
      </c>
      <c r="AE725">
        <v>-6.9400000000030104E-2</v>
      </c>
      <c r="AF725">
        <v>6.5850974590971501E-2</v>
      </c>
      <c r="AG725">
        <v>-0.2934851</v>
      </c>
      <c r="AH725">
        <v>0.61031023558433894</v>
      </c>
      <c r="AI725">
        <v>115.55263073666799</v>
      </c>
      <c r="AJ725">
        <v>83.841750319442795</v>
      </c>
      <c r="AK725">
        <v>0.68040314405182001</v>
      </c>
      <c r="AL725">
        <v>79.621205679583198</v>
      </c>
      <c r="AM725">
        <v>89.214692567438505</v>
      </c>
      <c r="AN725">
        <v>0.99999997606757995</v>
      </c>
    </row>
    <row r="726" spans="1:40" x14ac:dyDescent="0.25">
      <c r="A726" t="str">
        <f>"20190303162756188"</f>
        <v>20190303162756188</v>
      </c>
      <c r="B726" t="str">
        <f>"1551601676182141"</f>
        <v>1551601676182141</v>
      </c>
      <c r="C726" t="s">
        <v>40</v>
      </c>
      <c r="D726">
        <v>4.8414190000000001</v>
      </c>
      <c r="E726">
        <v>0.53128730000000002</v>
      </c>
      <c r="F726" t="s">
        <v>44</v>
      </c>
      <c r="G726">
        <v>-316.22710000000001</v>
      </c>
      <c r="H726">
        <v>0.87392329999999996</v>
      </c>
      <c r="I726">
        <v>368.2944</v>
      </c>
      <c r="J726">
        <v>-316.77109999999999</v>
      </c>
      <c r="K726">
        <v>1.107896</v>
      </c>
      <c r="L726">
        <v>368.35050000000001</v>
      </c>
      <c r="M726">
        <v>0.99981699999999996</v>
      </c>
      <c r="N726">
        <v>-1.5986259999999999E-2</v>
      </c>
      <c r="O726">
        <v>1.0504640000000001E-2</v>
      </c>
      <c r="P726">
        <v>0.98640430000000001</v>
      </c>
      <c r="Q726">
        <v>0.1643058</v>
      </c>
      <c r="R726">
        <v>-3.2126479999999998E-3</v>
      </c>
      <c r="S726">
        <v>3.2120359999999999</v>
      </c>
      <c r="T726">
        <v>-1.025512</v>
      </c>
      <c r="U726">
        <v>-0.2342834</v>
      </c>
      <c r="V726">
        <v>1.358242E-2</v>
      </c>
      <c r="W726">
        <v>0.18005179999999901</v>
      </c>
      <c r="X726">
        <v>0.98356339999999998</v>
      </c>
      <c r="Y726">
        <v>7.8653509999999996E-2</v>
      </c>
      <c r="Z726">
        <v>-1.598654E-2</v>
      </c>
      <c r="AA726">
        <v>0.99677380000000004</v>
      </c>
      <c r="AB726">
        <v>41</v>
      </c>
      <c r="AC726">
        <v>0.54399999999998205</v>
      </c>
      <c r="AD726">
        <v>-0.23397269999999901</v>
      </c>
      <c r="AE726">
        <v>-5.6100000000014902E-2</v>
      </c>
      <c r="AF726">
        <v>5.2248721409513699E-2</v>
      </c>
      <c r="AG726">
        <v>-0.23397269999999901</v>
      </c>
      <c r="AH726">
        <v>0.45930997725852402</v>
      </c>
      <c r="AI726">
        <v>116.845623637342</v>
      </c>
      <c r="AJ726">
        <v>83.5102261646676</v>
      </c>
      <c r="AK726">
        <v>0.51811080710929402</v>
      </c>
      <c r="AL726">
        <v>79.627223473711794</v>
      </c>
      <c r="AM726">
        <v>89.208829975979498</v>
      </c>
      <c r="AN726">
        <v>1.00000004731792</v>
      </c>
    </row>
    <row r="727" spans="1:40" x14ac:dyDescent="0.25">
      <c r="A727" t="str">
        <f>"20190303162756199"</f>
        <v>20190303162756199</v>
      </c>
      <c r="B727" t="str">
        <f>"1551601676191901"</f>
        <v>1551601676191901</v>
      </c>
      <c r="C727" t="s">
        <v>40</v>
      </c>
      <c r="D727">
        <v>4.8075260000000002</v>
      </c>
      <c r="E727">
        <v>0.53145299999999995</v>
      </c>
      <c r="F727" t="s">
        <v>44</v>
      </c>
      <c r="G727">
        <v>-315.87599999999998</v>
      </c>
      <c r="H727">
        <v>0.82156629999999997</v>
      </c>
      <c r="I727">
        <v>368.28449999999998</v>
      </c>
      <c r="J727">
        <v>-316.56450000000001</v>
      </c>
      <c r="K727">
        <v>1.106571</v>
      </c>
      <c r="L727">
        <v>368.3526</v>
      </c>
      <c r="M727">
        <v>0.99981319999999996</v>
      </c>
      <c r="N727">
        <v>-1.623132E-2</v>
      </c>
      <c r="O727">
        <v>1.050449E-2</v>
      </c>
      <c r="P727">
        <v>0.98646250000000002</v>
      </c>
      <c r="Q727">
        <v>0.16394909999999999</v>
      </c>
      <c r="R727">
        <v>-3.5838210000000001E-3</v>
      </c>
      <c r="S727">
        <v>3.2117309999999999</v>
      </c>
      <c r="T727">
        <v>-1.0274380000000001</v>
      </c>
      <c r="U727">
        <v>-0.23587040000000001</v>
      </c>
      <c r="V727">
        <v>1.3954009999999999E-2</v>
      </c>
      <c r="W727">
        <v>0.17993689999999901</v>
      </c>
      <c r="X727">
        <v>0.98357919999999999</v>
      </c>
      <c r="Y727">
        <v>7.9106860000000001E-2</v>
      </c>
      <c r="Z727">
        <v>-1.6097299999999998E-2</v>
      </c>
      <c r="AA727">
        <v>0.99673619999999996</v>
      </c>
      <c r="AB727">
        <v>41</v>
      </c>
      <c r="AC727">
        <v>0.68850000000003297</v>
      </c>
      <c r="AD727">
        <v>-0.285004699999999</v>
      </c>
      <c r="AE727">
        <v>-6.8100000000015301E-2</v>
      </c>
      <c r="AF727">
        <v>6.4401029654849798E-2</v>
      </c>
      <c r="AG727">
        <v>-0.285004699999999</v>
      </c>
      <c r="AH727">
        <v>0.58797105414693096</v>
      </c>
      <c r="AI727">
        <v>115.726813267723</v>
      </c>
      <c r="AJ727">
        <v>83.749256006265696</v>
      </c>
      <c r="AK727">
        <v>0.65657073659838705</v>
      </c>
      <c r="AL727">
        <v>79.633915804380095</v>
      </c>
      <c r="AM727">
        <v>89.187200941349303</v>
      </c>
      <c r="AN727">
        <v>1.0000000225246599</v>
      </c>
    </row>
    <row r="728" spans="1:40" x14ac:dyDescent="0.25">
      <c r="A728" t="str">
        <f>"20190303162756210"</f>
        <v>20190303162756210</v>
      </c>
      <c r="B728" t="str">
        <f>"1551601676201661"</f>
        <v>1551601676201661</v>
      </c>
      <c r="C728" t="s">
        <v>40</v>
      </c>
      <c r="D728">
        <v>4.8007070000000001</v>
      </c>
      <c r="E728">
        <v>0.53159199999999995</v>
      </c>
      <c r="F728" t="s">
        <v>44</v>
      </c>
      <c r="G728">
        <v>-315.85309999999998</v>
      </c>
      <c r="H728">
        <v>0.87877619999999901</v>
      </c>
      <c r="I728">
        <v>368.29969999999997</v>
      </c>
      <c r="J728">
        <v>-316.37</v>
      </c>
      <c r="K728">
        <v>1.1052569999999999</v>
      </c>
      <c r="L728">
        <v>368.35469999999998</v>
      </c>
      <c r="M728">
        <v>0.99981089999999995</v>
      </c>
      <c r="N728">
        <v>-1.636721E-2</v>
      </c>
      <c r="O728">
        <v>1.050474E-2</v>
      </c>
      <c r="P728">
        <v>0.98648950000000002</v>
      </c>
      <c r="Q728">
        <v>0.16378180000000001</v>
      </c>
      <c r="R728">
        <v>-3.8050219999999999E-3</v>
      </c>
      <c r="S728">
        <v>3.2112120000000002</v>
      </c>
      <c r="T728">
        <v>-1.028327</v>
      </c>
      <c r="U728">
        <v>-0.2380371</v>
      </c>
      <c r="V728">
        <v>1.4175689999999999E-2</v>
      </c>
      <c r="W728">
        <v>0.17990410000000001</v>
      </c>
      <c r="X728">
        <v>0.98358199999999996</v>
      </c>
      <c r="Y728">
        <v>7.974415E-2</v>
      </c>
      <c r="Z728">
        <v>-1.622125E-2</v>
      </c>
      <c r="AA728">
        <v>0.9966834</v>
      </c>
      <c r="AB728">
        <v>41</v>
      </c>
      <c r="AC728">
        <v>0.51690000000002101</v>
      </c>
      <c r="AD728">
        <v>-0.22648080000000001</v>
      </c>
      <c r="AE728">
        <v>-5.50000000000068E-2</v>
      </c>
      <c r="AF728">
        <v>5.0786827495172999E-2</v>
      </c>
      <c r="AG728">
        <v>-0.22648080000000001</v>
      </c>
      <c r="AH728">
        <v>0.433922896939549</v>
      </c>
      <c r="AI728">
        <v>117.40219116381699</v>
      </c>
      <c r="AJ728">
        <v>83.324408635954896</v>
      </c>
      <c r="AK728">
        <v>0.49209951748002601</v>
      </c>
      <c r="AL728">
        <v>79.635825973889297</v>
      </c>
      <c r="AM728">
        <v>89.174292555276196</v>
      </c>
      <c r="AN728">
        <v>0.99999999305389298</v>
      </c>
    </row>
    <row r="729" spans="1:40" x14ac:dyDescent="0.25">
      <c r="A729" t="str">
        <f>"20190303162756222"</f>
        <v>20190303162756222</v>
      </c>
      <c r="B729" t="str">
        <f>"1551601676212397"</f>
        <v>1551601676212397</v>
      </c>
      <c r="C729" t="s">
        <v>40</v>
      </c>
      <c r="D729">
        <v>4.7725410000000004</v>
      </c>
      <c r="E729">
        <v>0.5317383</v>
      </c>
      <c r="F729" t="s">
        <v>44</v>
      </c>
      <c r="G729">
        <v>-315.5016</v>
      </c>
      <c r="H729">
        <v>0.82699639999999996</v>
      </c>
      <c r="I729">
        <v>368.2894</v>
      </c>
      <c r="J729">
        <v>-316.15069999999997</v>
      </c>
      <c r="K729">
        <v>1.1037539999999999</v>
      </c>
      <c r="L729">
        <v>368.35700000000003</v>
      </c>
      <c r="M729">
        <v>0.99980910000000001</v>
      </c>
      <c r="N729">
        <v>-1.6479750000000001E-2</v>
      </c>
      <c r="O729">
        <v>1.050481E-2</v>
      </c>
      <c r="P729">
        <v>0.98656330000000003</v>
      </c>
      <c r="Q729">
        <v>0.16332820000000001</v>
      </c>
      <c r="R729">
        <v>-4.0842430000000004E-3</v>
      </c>
      <c r="S729">
        <v>3.2109679999999998</v>
      </c>
      <c r="T729">
        <v>-1.0288759999999999</v>
      </c>
      <c r="U729">
        <v>-0.2400513</v>
      </c>
      <c r="V729">
        <v>1.445609E-2</v>
      </c>
      <c r="W729">
        <v>0.17956259999999999</v>
      </c>
      <c r="X729">
        <v>0.98364030000000002</v>
      </c>
      <c r="Y729">
        <v>8.0334219999999998E-2</v>
      </c>
      <c r="Z729">
        <v>-1.6330669999999999E-2</v>
      </c>
      <c r="AA729">
        <v>0.99663420000000003</v>
      </c>
      <c r="AB729">
        <v>41</v>
      </c>
      <c r="AC729">
        <v>0.64909999999997503</v>
      </c>
      <c r="AD729">
        <v>-0.27675759999999999</v>
      </c>
      <c r="AE729">
        <v>-6.7599999999970295E-2</v>
      </c>
      <c r="AF729">
        <v>6.3072744324861499E-2</v>
      </c>
      <c r="AG729">
        <v>-0.27675759999999999</v>
      </c>
      <c r="AH729">
        <v>0.54952612842543502</v>
      </c>
      <c r="AI729">
        <v>116.580846660761</v>
      </c>
      <c r="AJ729">
        <v>83.452436347756404</v>
      </c>
      <c r="AK729">
        <v>0.61850780597877497</v>
      </c>
      <c r="AL729">
        <v>79.655716179383603</v>
      </c>
      <c r="AM729">
        <v>89.158012008326196</v>
      </c>
      <c r="AN729">
        <v>0.99999997282046804</v>
      </c>
    </row>
    <row r="730" spans="1:40" x14ac:dyDescent="0.25">
      <c r="A730" t="str">
        <f>"20190303162756235"</f>
        <v>20190303162756235</v>
      </c>
      <c r="B730" t="str">
        <f>"1551601676231918"</f>
        <v>1551601676231918</v>
      </c>
      <c r="C730" t="s">
        <v>40</v>
      </c>
      <c r="D730">
        <v>4.7592470000000002</v>
      </c>
      <c r="E730">
        <v>0.53191560000000004</v>
      </c>
      <c r="F730" t="s">
        <v>44</v>
      </c>
      <c r="G730">
        <v>-315.47669999999999</v>
      </c>
      <c r="H730">
        <v>0.8875014</v>
      </c>
      <c r="I730">
        <v>368.30579999999998</v>
      </c>
      <c r="J730">
        <v>-315.91320000000002</v>
      </c>
      <c r="K730">
        <v>1.1020730000000001</v>
      </c>
      <c r="L730">
        <v>368.35950000000003</v>
      </c>
      <c r="M730">
        <v>0.99980760000000002</v>
      </c>
      <c r="N730">
        <v>-1.6569279999999999E-2</v>
      </c>
      <c r="O730">
        <v>1.050602E-2</v>
      </c>
      <c r="P730">
        <v>0.98658670000000004</v>
      </c>
      <c r="Q730">
        <v>0.16318009999999999</v>
      </c>
      <c r="R730">
        <v>-4.3879319999999998E-3</v>
      </c>
      <c r="S730">
        <v>3.210388</v>
      </c>
      <c r="T730">
        <v>-1.030052</v>
      </c>
      <c r="U730">
        <v>-0.2419434</v>
      </c>
      <c r="V730">
        <v>1.476134E-2</v>
      </c>
      <c r="W730">
        <v>0.17950260000000001</v>
      </c>
      <c r="X730">
        <v>0.98364680000000004</v>
      </c>
      <c r="Y730">
        <v>8.089093E-2</v>
      </c>
      <c r="Z730">
        <v>-1.6445250000000002E-2</v>
      </c>
      <c r="AA730">
        <v>0.99658729999999995</v>
      </c>
      <c r="AB730">
        <v>41</v>
      </c>
      <c r="AC730">
        <v>0.43650000000002298</v>
      </c>
      <c r="AD730">
        <v>-0.214571599999999</v>
      </c>
      <c r="AE730">
        <v>-5.3700000000048903E-2</v>
      </c>
      <c r="AF730">
        <v>4.7077221905394602E-2</v>
      </c>
      <c r="AG730">
        <v>-0.214571599999999</v>
      </c>
      <c r="AH730">
        <v>0.35209784283434498</v>
      </c>
      <c r="AI730">
        <v>121.133394005071</v>
      </c>
      <c r="AJ730">
        <v>82.384437908187294</v>
      </c>
      <c r="AK730">
        <v>0.41500617739678097</v>
      </c>
      <c r="AL730">
        <v>79.659211552430804</v>
      </c>
      <c r="AM730">
        <v>89.140241190983403</v>
      </c>
      <c r="AN730">
        <v>1.00000005385779</v>
      </c>
    </row>
    <row r="731" spans="1:40" x14ac:dyDescent="0.25">
      <c r="A731" t="str">
        <f>"20190303162756248"</f>
        <v>20190303162756248</v>
      </c>
      <c r="B731" t="str">
        <f>"1551601676241677"</f>
        <v>1551601676241677</v>
      </c>
      <c r="C731" t="s">
        <v>40</v>
      </c>
      <c r="D731">
        <v>4.7415390000000004</v>
      </c>
      <c r="E731">
        <v>0.53194699999999995</v>
      </c>
      <c r="F731" t="s">
        <v>44</v>
      </c>
      <c r="G731">
        <v>-315.12150000000003</v>
      </c>
      <c r="H731">
        <v>0.84773359999999998</v>
      </c>
      <c r="I731">
        <v>368.29910000000001</v>
      </c>
      <c r="J731">
        <v>-315.67930000000001</v>
      </c>
      <c r="K731">
        <v>1.1004100000000001</v>
      </c>
      <c r="L731">
        <v>368.36200000000002</v>
      </c>
      <c r="M731">
        <v>0.99980630000000004</v>
      </c>
      <c r="N731">
        <v>-1.6645420000000001E-2</v>
      </c>
      <c r="O731">
        <v>1.05074E-2</v>
      </c>
      <c r="P731">
        <v>0.9865969</v>
      </c>
      <c r="Q731">
        <v>0.16312079999999901</v>
      </c>
      <c r="R731">
        <v>-4.285016E-3</v>
      </c>
      <c r="S731">
        <v>3.2102659999999998</v>
      </c>
      <c r="T731">
        <v>-1.0314129999999999</v>
      </c>
      <c r="U731">
        <v>-0.2441711</v>
      </c>
      <c r="V731">
        <v>1.466016E-2</v>
      </c>
      <c r="W731">
        <v>0.1795185</v>
      </c>
      <c r="X731">
        <v>0.9836454</v>
      </c>
      <c r="Y731">
        <v>8.1535789999999997E-2</v>
      </c>
      <c r="Z731">
        <v>-1.6574769999999999E-2</v>
      </c>
      <c r="AA731">
        <v>0.99653259999999999</v>
      </c>
      <c r="AB731">
        <v>42</v>
      </c>
      <c r="AC731">
        <v>0.55779999999998597</v>
      </c>
      <c r="AD731">
        <v>-0.25267640000000002</v>
      </c>
      <c r="AE731">
        <v>-6.2899999999956394E-2</v>
      </c>
      <c r="AF731">
        <v>5.7173754959018303E-2</v>
      </c>
      <c r="AG731">
        <v>-0.25267640000000002</v>
      </c>
      <c r="AH731">
        <v>0.463244969103912</v>
      </c>
      <c r="AI731">
        <v>118.428515917493</v>
      </c>
      <c r="AJ731">
        <v>82.964128103296403</v>
      </c>
      <c r="AK731">
        <v>0.53076369767831599</v>
      </c>
      <c r="AL731">
        <v>79.6582853885878</v>
      </c>
      <c r="AM731">
        <v>89.146132223628896</v>
      </c>
      <c r="AN731">
        <v>1.0000000425373099</v>
      </c>
    </row>
    <row r="732" spans="1:40" x14ac:dyDescent="0.25">
      <c r="A732" t="str">
        <f>"20190303162756261"</f>
        <v>20190303162756261</v>
      </c>
      <c r="B732" t="str">
        <f>"1551601676252414"</f>
        <v>1551601676252414</v>
      </c>
      <c r="C732" t="s">
        <v>40</v>
      </c>
      <c r="D732">
        <v>4.7051319999999999</v>
      </c>
      <c r="E732">
        <v>0.53207950000000004</v>
      </c>
      <c r="F732" t="s">
        <v>44</v>
      </c>
      <c r="G732">
        <v>-314.7663</v>
      </c>
      <c r="H732">
        <v>0.80673709999999998</v>
      </c>
      <c r="I732">
        <v>368.29219999999998</v>
      </c>
      <c r="J732">
        <v>-315.42989999999998</v>
      </c>
      <c r="K732">
        <v>1.0986199999999999</v>
      </c>
      <c r="L732">
        <v>368.3646</v>
      </c>
      <c r="M732">
        <v>0.9998051</v>
      </c>
      <c r="N732">
        <v>-1.6708580000000001E-2</v>
      </c>
      <c r="O732">
        <v>1.0509060000000001E-2</v>
      </c>
      <c r="P732">
        <v>0.98661710000000002</v>
      </c>
      <c r="Q732">
        <v>0.1629961</v>
      </c>
      <c r="R732">
        <v>-4.3319719999999999E-3</v>
      </c>
      <c r="S732">
        <v>3.21048</v>
      </c>
      <c r="T732">
        <v>-1.0327059999999999</v>
      </c>
      <c r="U732">
        <v>-0.24389649999999999</v>
      </c>
      <c r="V732">
        <v>1.4709099999999999E-2</v>
      </c>
      <c r="W732">
        <v>0.17945610000000001</v>
      </c>
      <c r="X732">
        <v>0.98365599999999997</v>
      </c>
      <c r="Y732">
        <v>8.1441029999999998E-2</v>
      </c>
      <c r="Z732">
        <v>-1.6579839999999998E-2</v>
      </c>
      <c r="AA732">
        <v>0.99654019999999999</v>
      </c>
      <c r="AB732">
        <v>41</v>
      </c>
      <c r="AC732">
        <v>0.66359999999997399</v>
      </c>
      <c r="AD732">
        <v>-0.2918829</v>
      </c>
      <c r="AE732">
        <v>-7.2400000000015993E-2</v>
      </c>
      <c r="AF732">
        <v>6.6631499156523902E-2</v>
      </c>
      <c r="AG732">
        <v>-0.2918829</v>
      </c>
      <c r="AH732">
        <v>0.55642028926939502</v>
      </c>
      <c r="AI732">
        <v>117.51281979737701</v>
      </c>
      <c r="AJ732">
        <v>83.171330404120297</v>
      </c>
      <c r="AK732">
        <v>0.63185356080573996</v>
      </c>
      <c r="AL732">
        <v>79.661919093531907</v>
      </c>
      <c r="AM732">
        <v>89.143291412403002</v>
      </c>
      <c r="AN732">
        <v>0.99999998789300903</v>
      </c>
    </row>
    <row r="733" spans="1:40" x14ac:dyDescent="0.25">
      <c r="A733" t="str">
        <f>"20190303162756272"</f>
        <v>20190303162756272</v>
      </c>
      <c r="B733" t="str">
        <f>"1551601676262174"</f>
        <v>1551601676262174</v>
      </c>
      <c r="C733" t="s">
        <v>40</v>
      </c>
      <c r="D733">
        <v>4.6721469999999998</v>
      </c>
      <c r="E733">
        <v>0.53219780000000005</v>
      </c>
      <c r="F733" t="s">
        <v>44</v>
      </c>
      <c r="G733">
        <v>-314.73829999999998</v>
      </c>
      <c r="H733">
        <v>0.87607849999999998</v>
      </c>
      <c r="I733">
        <v>368.31130000000002</v>
      </c>
      <c r="J733">
        <v>-315.22859999999997</v>
      </c>
      <c r="K733">
        <v>1.097183</v>
      </c>
      <c r="L733">
        <v>368.36669999999998</v>
      </c>
      <c r="M733">
        <v>0.99980519999999995</v>
      </c>
      <c r="N733">
        <v>-1.6715710000000002E-2</v>
      </c>
      <c r="O733">
        <v>1.051001E-2</v>
      </c>
      <c r="P733">
        <v>0.98661759999999998</v>
      </c>
      <c r="Q733">
        <v>0.16299629999999901</v>
      </c>
      <c r="R733">
        <v>-4.2658879999999998E-3</v>
      </c>
      <c r="S733">
        <v>3.2102659999999998</v>
      </c>
      <c r="T733">
        <v>-1.033004</v>
      </c>
      <c r="U733">
        <v>-0.2451477</v>
      </c>
      <c r="V733">
        <v>1.4643929999999999E-2</v>
      </c>
      <c r="W733">
        <v>0.17946319999999999</v>
      </c>
      <c r="X733">
        <v>0.98365570000000002</v>
      </c>
      <c r="Y733">
        <v>8.1810369999999993E-2</v>
      </c>
      <c r="Z733">
        <v>-1.6646629999999999E-2</v>
      </c>
      <c r="AA733">
        <v>0.99650890000000003</v>
      </c>
      <c r="AB733">
        <v>41</v>
      </c>
      <c r="AC733">
        <v>0.49029999999999002</v>
      </c>
      <c r="AD733">
        <v>-0.22110450000000001</v>
      </c>
      <c r="AE733">
        <v>-5.5399999999963201E-2</v>
      </c>
      <c r="AF733">
        <v>5.04253515859358E-2</v>
      </c>
      <c r="AG733">
        <v>-0.22110450000000001</v>
      </c>
      <c r="AH733">
        <v>0.407803919189554</v>
      </c>
      <c r="AI733">
        <v>118.284046999691</v>
      </c>
      <c r="AJ733">
        <v>82.951100640710095</v>
      </c>
      <c r="AK733">
        <v>0.46661970865917701</v>
      </c>
      <c r="AL733">
        <v>79.661505816443693</v>
      </c>
      <c r="AM733">
        <v>89.147086315348602</v>
      </c>
      <c r="AN733">
        <v>1.0000000104912801</v>
      </c>
    </row>
    <row r="734" spans="1:40" x14ac:dyDescent="0.25">
      <c r="A734" t="str">
        <f>"20190303162756284"</f>
        <v>20190303162756284</v>
      </c>
      <c r="B734" t="str">
        <f>"1551601676282670"</f>
        <v>1551601676282670</v>
      </c>
      <c r="C734" t="s">
        <v>40</v>
      </c>
      <c r="D734">
        <v>4.7067199999999998</v>
      </c>
      <c r="E734">
        <v>0.53237829999999997</v>
      </c>
      <c r="F734" t="s">
        <v>44</v>
      </c>
      <c r="G734">
        <v>-314.38740000000001</v>
      </c>
      <c r="H734">
        <v>0.82652909999999902</v>
      </c>
      <c r="I734">
        <v>368.30200000000002</v>
      </c>
      <c r="J734">
        <v>-315.00170000000003</v>
      </c>
      <c r="K734">
        <v>1.095567</v>
      </c>
      <c r="L734">
        <v>368.3691</v>
      </c>
      <c r="M734">
        <v>0.99980519999999995</v>
      </c>
      <c r="N734">
        <v>-1.6705680000000001E-2</v>
      </c>
      <c r="O734">
        <v>1.0511410000000001E-2</v>
      </c>
      <c r="P734">
        <v>0.98661449999999995</v>
      </c>
      <c r="Q734">
        <v>0.16302150000000001</v>
      </c>
      <c r="R734">
        <v>-3.9997160000000004E-3</v>
      </c>
      <c r="S734">
        <v>3.2102659999999998</v>
      </c>
      <c r="T734">
        <v>-1.0328409999999999</v>
      </c>
      <c r="U734">
        <v>-0.2463989</v>
      </c>
      <c r="V734">
        <v>1.4378999999999999E-2</v>
      </c>
      <c r="W734">
        <v>0.17947859999999999</v>
      </c>
      <c r="X734">
        <v>0.9836568</v>
      </c>
      <c r="Y734">
        <v>8.2179970000000005E-2</v>
      </c>
      <c r="Z734">
        <v>-1.6705169999999998E-2</v>
      </c>
      <c r="AA734">
        <v>0.99647750000000002</v>
      </c>
      <c r="AB734">
        <v>41</v>
      </c>
      <c r="AC734">
        <v>0.61430000000001395</v>
      </c>
      <c r="AD734">
        <v>-0.2690379</v>
      </c>
      <c r="AE734">
        <v>-6.7100000000039003E-2</v>
      </c>
      <c r="AF734">
        <v>6.1833963953090501E-2</v>
      </c>
      <c r="AG734">
        <v>-0.2690379</v>
      </c>
      <c r="AH734">
        <v>0.51579390246319901</v>
      </c>
      <c r="AI734">
        <v>117.37925286651399</v>
      </c>
      <c r="AJ734">
        <v>83.163939863813098</v>
      </c>
      <c r="AK734">
        <v>0.58501981210278597</v>
      </c>
      <c r="AL734">
        <v>79.660608912569998</v>
      </c>
      <c r="AM734">
        <v>89.162515483273495</v>
      </c>
      <c r="AN734">
        <v>1.0000000118426</v>
      </c>
    </row>
    <row r="735" spans="1:40" x14ac:dyDescent="0.25">
      <c r="A735" t="str">
        <f>"20190303162756299"</f>
        <v>20190303162756299</v>
      </c>
      <c r="B735" t="str">
        <f>"1551601676292429"</f>
        <v>1551601676292429</v>
      </c>
      <c r="C735" t="s">
        <v>40</v>
      </c>
      <c r="D735">
        <v>4.6706149999999997</v>
      </c>
      <c r="E735">
        <v>0.5324371</v>
      </c>
      <c r="F735" t="s">
        <v>44</v>
      </c>
      <c r="G735">
        <v>-314.0333</v>
      </c>
      <c r="H735">
        <v>0.78403970000000001</v>
      </c>
      <c r="I735">
        <v>368.29430000000002</v>
      </c>
      <c r="J735">
        <v>-314.71440000000001</v>
      </c>
      <c r="K735">
        <v>1.0935600000000001</v>
      </c>
      <c r="L735">
        <v>368.37209999999999</v>
      </c>
      <c r="M735">
        <v>0.99980690000000005</v>
      </c>
      <c r="N735">
        <v>-1.6608029999999999E-2</v>
      </c>
      <c r="O735">
        <v>1.0511879999999999E-2</v>
      </c>
      <c r="P735">
        <v>0.98656840000000001</v>
      </c>
      <c r="Q735">
        <v>0.16329920000000001</v>
      </c>
      <c r="R735">
        <v>-4.0532559999999999E-3</v>
      </c>
      <c r="S735">
        <v>3.2103579999999998</v>
      </c>
      <c r="T735">
        <v>-1.0327309999999901</v>
      </c>
      <c r="U735">
        <v>-0.24676509999999999</v>
      </c>
      <c r="V735">
        <v>1.4432520000000001E-2</v>
      </c>
      <c r="W735">
        <v>0.17965929999999999</v>
      </c>
      <c r="X735">
        <v>0.98362300000000003</v>
      </c>
      <c r="Y735">
        <v>8.2287840000000001E-2</v>
      </c>
      <c r="Z735">
        <v>-1.6717869999999999E-2</v>
      </c>
      <c r="AA735">
        <v>0.99646840000000003</v>
      </c>
      <c r="AB735">
        <v>41</v>
      </c>
      <c r="AC735">
        <v>0.68110000000001403</v>
      </c>
      <c r="AD735">
        <v>-0.30952030000000003</v>
      </c>
      <c r="AE735">
        <v>-7.7799999999967895E-2</v>
      </c>
      <c r="AF735">
        <v>7.0570090473629596E-2</v>
      </c>
      <c r="AG735">
        <v>-0.30952030000000003</v>
      </c>
      <c r="AH735">
        <v>0.56505396397612695</v>
      </c>
      <c r="AI735">
        <v>118.526227971316</v>
      </c>
      <c r="AJ735">
        <v>82.8811392968842</v>
      </c>
      <c r="AK735">
        <v>0.64812725292698503</v>
      </c>
      <c r="AL735">
        <v>79.650084202832602</v>
      </c>
      <c r="AM735">
        <v>89.1593698518015</v>
      </c>
      <c r="AN735">
        <v>0.99999998391952005</v>
      </c>
    </row>
    <row r="736" spans="1:40" x14ac:dyDescent="0.25">
      <c r="A736" t="str">
        <f>"20190303162756311"</f>
        <v>20190303162756311</v>
      </c>
      <c r="B736" t="str">
        <f>"1551601676302190"</f>
        <v>1551601676302190</v>
      </c>
      <c r="C736" t="s">
        <v>40</v>
      </c>
      <c r="D736">
        <v>4.6875580000000001</v>
      </c>
      <c r="E736">
        <v>0.53248850000000003</v>
      </c>
      <c r="F736" t="s">
        <v>44</v>
      </c>
      <c r="G736">
        <v>-314.00130000000001</v>
      </c>
      <c r="H736">
        <v>0.86431219999999997</v>
      </c>
      <c r="I736">
        <v>368.3168</v>
      </c>
      <c r="J736">
        <v>-314.50439999999998</v>
      </c>
      <c r="K736">
        <v>1.0921400000000001</v>
      </c>
      <c r="L736">
        <v>368.37430000000001</v>
      </c>
      <c r="M736">
        <v>0.9998089</v>
      </c>
      <c r="N736">
        <v>-1.6487419999999999E-2</v>
      </c>
      <c r="O736">
        <v>1.0511950000000001E-2</v>
      </c>
      <c r="P736">
        <v>0.98658789999999996</v>
      </c>
      <c r="Q736">
        <v>0.16317770000000001</v>
      </c>
      <c r="R736">
        <v>-4.1371170000000001E-3</v>
      </c>
      <c r="S736">
        <v>3.2106629999999998</v>
      </c>
      <c r="T736">
        <v>-1.0321469999999999</v>
      </c>
      <c r="U736">
        <v>-0.2472229</v>
      </c>
      <c r="V736">
        <v>1.4516609999999999E-2</v>
      </c>
      <c r="W736">
        <v>0.17942</v>
      </c>
      <c r="X736">
        <v>0.98366549999999997</v>
      </c>
      <c r="Y736">
        <v>8.2422229999999999E-2</v>
      </c>
      <c r="Z736">
        <v>-1.6725919999999998E-2</v>
      </c>
      <c r="AA736">
        <v>0.99645720000000004</v>
      </c>
      <c r="AB736">
        <v>41</v>
      </c>
      <c r="AC736">
        <v>0.50309999999996002</v>
      </c>
      <c r="AD736">
        <v>-0.227827799999999</v>
      </c>
      <c r="AE736">
        <v>-5.7500000000004499E-2</v>
      </c>
      <c r="AF736">
        <v>5.2216142855717199E-2</v>
      </c>
      <c r="AG736">
        <v>-0.227827799999999</v>
      </c>
      <c r="AH736">
        <v>0.41787788733746201</v>
      </c>
      <c r="AI736">
        <v>118.413153264063</v>
      </c>
      <c r="AJ736">
        <v>82.877493763343494</v>
      </c>
      <c r="AK736">
        <v>0.47880472089693199</v>
      </c>
      <c r="AL736">
        <v>79.664022163076993</v>
      </c>
      <c r="AM736">
        <v>89.154509218354505</v>
      </c>
      <c r="AN736">
        <v>1.0000000421280699</v>
      </c>
    </row>
    <row r="737" spans="1:40" x14ac:dyDescent="0.25">
      <c r="A737" t="str">
        <f>"20190303162756321"</f>
        <v>20190303162756321</v>
      </c>
      <c r="B737" t="str">
        <f>"1551601676311950"</f>
        <v>1551601676311950</v>
      </c>
      <c r="C737" t="s">
        <v>40</v>
      </c>
      <c r="D737">
        <v>4.6673099999999996</v>
      </c>
      <c r="E737">
        <v>0.53253729999999999</v>
      </c>
      <c r="F737" t="s">
        <v>44</v>
      </c>
      <c r="G737">
        <v>-313.64909999999998</v>
      </c>
      <c r="H737">
        <v>0.81704160000000003</v>
      </c>
      <c r="I737">
        <v>368.3082</v>
      </c>
      <c r="J737">
        <v>-314.3021</v>
      </c>
      <c r="K737">
        <v>1.090787</v>
      </c>
      <c r="L737">
        <v>368.37639999999999</v>
      </c>
      <c r="M737">
        <v>0.99981100000000001</v>
      </c>
      <c r="N737">
        <v>-1.6353909999999999E-2</v>
      </c>
      <c r="O737">
        <v>1.051205E-2</v>
      </c>
      <c r="P737">
        <v>0.98656350000000004</v>
      </c>
      <c r="Q737">
        <v>0.16332099999999999</v>
      </c>
      <c r="R737">
        <v>-4.3384790000000001E-3</v>
      </c>
      <c r="S737">
        <v>3.2105410000000001</v>
      </c>
      <c r="T737">
        <v>-1.0326489999999999</v>
      </c>
      <c r="U737">
        <v>-0.24774170000000001</v>
      </c>
      <c r="V737">
        <v>1.471742E-2</v>
      </c>
      <c r="W737">
        <v>0.1794308</v>
      </c>
      <c r="X737">
        <v>0.98366050000000005</v>
      </c>
      <c r="Y737">
        <v>8.2573869999999994E-2</v>
      </c>
      <c r="Z737">
        <v>-1.6754700000000001E-2</v>
      </c>
      <c r="AA737">
        <v>0.99644410000000005</v>
      </c>
      <c r="AB737">
        <v>41</v>
      </c>
      <c r="AC737">
        <v>0.65300000000002001</v>
      </c>
      <c r="AD737">
        <v>-0.27374540000000003</v>
      </c>
      <c r="AE737">
        <v>-6.8199999999990199E-2</v>
      </c>
      <c r="AF737">
        <v>6.3945141128880403E-2</v>
      </c>
      <c r="AG737">
        <v>-0.27374540000000003</v>
      </c>
      <c r="AH737">
        <v>0.55565116387262203</v>
      </c>
      <c r="AI737">
        <v>116.078358998469</v>
      </c>
      <c r="AJ737">
        <v>83.435197864132903</v>
      </c>
      <c r="AK737">
        <v>0.62271481515068505</v>
      </c>
      <c r="AL737">
        <v>79.663392687811907</v>
      </c>
      <c r="AM737">
        <v>89.142810820123202</v>
      </c>
      <c r="AN737">
        <v>0.99999999685017305</v>
      </c>
    </row>
    <row r="738" spans="1:40" x14ac:dyDescent="0.25">
      <c r="A738" t="str">
        <f>"20190303162756334"</f>
        <v>20190303162756334</v>
      </c>
      <c r="B738" t="str">
        <f>"1551601676322686"</f>
        <v>1551601676322686</v>
      </c>
      <c r="C738" t="s">
        <v>40</v>
      </c>
      <c r="D738">
        <v>4.6581549999999998</v>
      </c>
      <c r="E738">
        <v>0.5325995</v>
      </c>
      <c r="F738" t="s">
        <v>44</v>
      </c>
      <c r="G738">
        <v>-313.62599999999998</v>
      </c>
      <c r="H738">
        <v>0.873444</v>
      </c>
      <c r="I738">
        <v>368.32400000000001</v>
      </c>
      <c r="J738">
        <v>-314.09570000000002</v>
      </c>
      <c r="K738">
        <v>1.0894839999999999</v>
      </c>
      <c r="L738">
        <v>368.37860000000001</v>
      </c>
      <c r="M738">
        <v>0.99981399999999998</v>
      </c>
      <c r="N738">
        <v>-1.6168990000000001E-2</v>
      </c>
      <c r="O738">
        <v>1.051173E-2</v>
      </c>
      <c r="P738">
        <v>0.98648809999999998</v>
      </c>
      <c r="Q738">
        <v>0.1637731</v>
      </c>
      <c r="R738">
        <v>-4.440406E-3</v>
      </c>
      <c r="S738">
        <v>3.2106020000000002</v>
      </c>
      <c r="T738">
        <v>-1.032111</v>
      </c>
      <c r="U738">
        <v>-0.24865719999999999</v>
      </c>
      <c r="V738">
        <v>1.481817E-2</v>
      </c>
      <c r="W738">
        <v>0.1797001</v>
      </c>
      <c r="X738">
        <v>0.98360990000000004</v>
      </c>
      <c r="Y738">
        <v>8.2847169999999998E-2</v>
      </c>
      <c r="Z738">
        <v>-1.67852E-2</v>
      </c>
      <c r="AA738">
        <v>0.99642090000000005</v>
      </c>
      <c r="AB738">
        <v>41</v>
      </c>
      <c r="AC738">
        <v>0.46970000000004503</v>
      </c>
      <c r="AD738">
        <v>-0.21604000000000001</v>
      </c>
      <c r="AE738">
        <v>-5.4599999999993501E-2</v>
      </c>
      <c r="AF738">
        <v>4.9253908764467703E-2</v>
      </c>
      <c r="AG738">
        <v>-0.21604000000000001</v>
      </c>
      <c r="AH738">
        <v>0.388091285368588</v>
      </c>
      <c r="AI738">
        <v>118.909387045896</v>
      </c>
      <c r="AJ738">
        <v>82.767077069036901</v>
      </c>
      <c r="AK738">
        <v>0.446893807193187</v>
      </c>
      <c r="AL738">
        <v>79.647708758650296</v>
      </c>
      <c r="AM738">
        <v>89.136899313796405</v>
      </c>
      <c r="AN738">
        <v>1.0000000697400799</v>
      </c>
    </row>
    <row r="739" spans="1:40" x14ac:dyDescent="0.25">
      <c r="A739" t="str">
        <f>"20190303162756346"</f>
        <v>20190303162756346</v>
      </c>
      <c r="B739" t="str">
        <f>"1551601676342206"</f>
        <v>1551601676342206</v>
      </c>
      <c r="C739" t="s">
        <v>40</v>
      </c>
      <c r="D739">
        <v>4.6245500000000002</v>
      </c>
      <c r="E739">
        <v>0.53270030000000002</v>
      </c>
      <c r="F739" t="s">
        <v>44</v>
      </c>
      <c r="G739">
        <v>-313.27449999999999</v>
      </c>
      <c r="H739">
        <v>0.82588300000000003</v>
      </c>
      <c r="I739">
        <v>368.31450000000001</v>
      </c>
      <c r="J739">
        <v>-313.88189999999997</v>
      </c>
      <c r="K739">
        <v>1.0881540000000001</v>
      </c>
      <c r="L739">
        <v>368.3809</v>
      </c>
      <c r="M739">
        <v>0.99981730000000002</v>
      </c>
      <c r="N739">
        <v>-1.596755E-2</v>
      </c>
      <c r="O739">
        <v>1.051117E-2</v>
      </c>
      <c r="P739">
        <v>0.98641129999999999</v>
      </c>
      <c r="Q739">
        <v>0.16423099999999999</v>
      </c>
      <c r="R739">
        <v>-4.5802020000000002E-3</v>
      </c>
      <c r="S739">
        <v>3.21109</v>
      </c>
      <c r="T739">
        <v>-1.0306740000000001</v>
      </c>
      <c r="U739">
        <v>-0.2497559</v>
      </c>
      <c r="V739">
        <v>1.495671E-2</v>
      </c>
      <c r="W739">
        <v>0.17995849999999999</v>
      </c>
      <c r="X739">
        <v>0.98356049999999995</v>
      </c>
      <c r="Y739">
        <v>8.3173280000000002E-2</v>
      </c>
      <c r="Z739">
        <v>-1.680802E-2</v>
      </c>
      <c r="AA739">
        <v>0.99639330000000004</v>
      </c>
      <c r="AB739">
        <v>41</v>
      </c>
      <c r="AC739">
        <v>0.60739999999998395</v>
      </c>
      <c r="AD739">
        <v>-0.26227099999999998</v>
      </c>
      <c r="AE739">
        <v>-6.6399999999987303E-2</v>
      </c>
      <c r="AF739">
        <v>6.1458341869294802E-2</v>
      </c>
      <c r="AG739">
        <v>-0.26227099999999998</v>
      </c>
      <c r="AH739">
        <v>0.51228358886542202</v>
      </c>
      <c r="AI739">
        <v>116.945119193832</v>
      </c>
      <c r="AJ739">
        <v>83.158956380219394</v>
      </c>
      <c r="AK739">
        <v>0.57878984152035695</v>
      </c>
      <c r="AL739">
        <v>79.632657557638893</v>
      </c>
      <c r="AM739">
        <v>89.128787387964806</v>
      </c>
      <c r="AN739">
        <v>1.0000000110282601</v>
      </c>
    </row>
    <row r="740" spans="1:40" x14ac:dyDescent="0.25">
      <c r="A740" t="str">
        <f>"20190303162756356"</f>
        <v>20190303162756356</v>
      </c>
      <c r="B740" t="str">
        <f>"1551601676351966"</f>
        <v>1551601676351966</v>
      </c>
      <c r="C740" t="s">
        <v>40</v>
      </c>
      <c r="D740">
        <v>4.6490019999999896</v>
      </c>
      <c r="E740">
        <v>0.53274969999999999</v>
      </c>
      <c r="F740" t="s">
        <v>44</v>
      </c>
      <c r="G740">
        <v>-312.9212</v>
      </c>
      <c r="H740">
        <v>0.78013909999999997</v>
      </c>
      <c r="I740">
        <v>368.30549999999999</v>
      </c>
      <c r="J740">
        <v>-313.65550000000002</v>
      </c>
      <c r="K740">
        <v>1.0868359999999999</v>
      </c>
      <c r="L740">
        <v>368.38330000000002</v>
      </c>
      <c r="M740">
        <v>0.99982119999999997</v>
      </c>
      <c r="N740">
        <v>-1.5722E-2</v>
      </c>
      <c r="O740">
        <v>1.051099E-2</v>
      </c>
      <c r="P740">
        <v>0.9863575</v>
      </c>
      <c r="Q740">
        <v>0.1645539</v>
      </c>
      <c r="R740">
        <v>-4.6058100000000001E-3</v>
      </c>
      <c r="S740">
        <v>3.2116090000000002</v>
      </c>
      <c r="T740">
        <v>-1.0296940000000001</v>
      </c>
      <c r="U740">
        <v>-0.2514343</v>
      </c>
      <c r="V740">
        <v>1.4981319999999999E-2</v>
      </c>
      <c r="W740">
        <v>0.1800388</v>
      </c>
      <c r="X740">
        <v>0.98354540000000001</v>
      </c>
      <c r="Y740">
        <v>8.366556E-2</v>
      </c>
      <c r="Z740">
        <v>-1.686325E-2</v>
      </c>
      <c r="AA740">
        <v>0.99635119999999999</v>
      </c>
      <c r="AB740">
        <v>41</v>
      </c>
      <c r="AC740">
        <v>0.73430000000001805</v>
      </c>
      <c r="AD740">
        <v>-0.30669689999999999</v>
      </c>
      <c r="AE740">
        <v>-7.7800000000024697E-2</v>
      </c>
      <c r="AF740">
        <v>7.2932941901398804E-2</v>
      </c>
      <c r="AG740">
        <v>-0.30669689999999999</v>
      </c>
      <c r="AH740">
        <v>0.62552920212838903</v>
      </c>
      <c r="AI740">
        <v>115.96612299970499</v>
      </c>
      <c r="AJ740">
        <v>83.349683466736806</v>
      </c>
      <c r="AK740">
        <v>0.70047768358412599</v>
      </c>
      <c r="AL740">
        <v>79.6279800044789</v>
      </c>
      <c r="AM740">
        <v>89.127340707536703</v>
      </c>
      <c r="AN740">
        <v>0.99999998165777104</v>
      </c>
    </row>
    <row r="741" spans="1:40" x14ac:dyDescent="0.25">
      <c r="A741" t="str">
        <f>"20190303162756368"</f>
        <v>20190303162756368</v>
      </c>
      <c r="B741" t="str">
        <f>"1551601676362702"</f>
        <v>1551601676362702</v>
      </c>
      <c r="C741" t="s">
        <v>40</v>
      </c>
      <c r="D741">
        <v>4.626055</v>
      </c>
      <c r="E741">
        <v>0.53277010000000002</v>
      </c>
      <c r="F741" t="s">
        <v>44</v>
      </c>
      <c r="G741">
        <v>-312.89600000000002</v>
      </c>
      <c r="H741">
        <v>0.843649599999999</v>
      </c>
      <c r="I741">
        <v>368.32350000000002</v>
      </c>
      <c r="J741">
        <v>-313.44850000000002</v>
      </c>
      <c r="K741">
        <v>1.0856779999999999</v>
      </c>
      <c r="L741">
        <v>368.3854</v>
      </c>
      <c r="M741">
        <v>0.99982479999999996</v>
      </c>
      <c r="N741">
        <v>-1.5488E-2</v>
      </c>
      <c r="O741">
        <v>1.0511110000000001E-2</v>
      </c>
      <c r="P741">
        <v>0.98619630000000003</v>
      </c>
      <c r="Q741">
        <v>0.16551979999999999</v>
      </c>
      <c r="R741">
        <v>-4.4669210000000004E-3</v>
      </c>
      <c r="S741">
        <v>3.2119140000000002</v>
      </c>
      <c r="T741">
        <v>-1.028467</v>
      </c>
      <c r="U741">
        <v>-0.25204470000000001</v>
      </c>
      <c r="V741">
        <v>1.4840900000000001E-2</v>
      </c>
      <c r="W741">
        <v>0.18077219999999999</v>
      </c>
      <c r="X741">
        <v>0.98341299999999998</v>
      </c>
      <c r="Y741">
        <v>8.3851339999999996E-2</v>
      </c>
      <c r="Z741">
        <v>-1.686588E-2</v>
      </c>
      <c r="AA741">
        <v>0.99633550000000004</v>
      </c>
      <c r="AB741">
        <v>41</v>
      </c>
      <c r="AC741">
        <v>0.55250000000006505</v>
      </c>
      <c r="AD741">
        <v>-0.2420284</v>
      </c>
      <c r="AE741">
        <v>-6.1899999999979999E-2</v>
      </c>
      <c r="AF741">
        <v>5.69177250247873E-2</v>
      </c>
      <c r="AG741">
        <v>-0.2420284</v>
      </c>
      <c r="AH741">
        <v>0.46390109688183201</v>
      </c>
      <c r="AI741">
        <v>117.376972409248</v>
      </c>
      <c r="AJ741">
        <v>83.005130749954503</v>
      </c>
      <c r="AK741">
        <v>0.52632841602627201</v>
      </c>
      <c r="AL741">
        <v>79.585258345021401</v>
      </c>
      <c r="AM741">
        <v>89.135402530858698</v>
      </c>
      <c r="AN741">
        <v>0.99999998458732398</v>
      </c>
    </row>
    <row r="742" spans="1:40" x14ac:dyDescent="0.25">
      <c r="A742" t="str">
        <f>"20190303162756379"</f>
        <v>20190303162756379</v>
      </c>
      <c r="B742" t="str">
        <f>"1551601676372462"</f>
        <v>1551601676372462</v>
      </c>
      <c r="C742" t="s">
        <v>40</v>
      </c>
      <c r="D742">
        <v>4.6297730000000001</v>
      </c>
      <c r="E742">
        <v>0.53280530000000004</v>
      </c>
      <c r="F742" t="s">
        <v>44</v>
      </c>
      <c r="G742">
        <v>-312.54289999999997</v>
      </c>
      <c r="H742">
        <v>0.79676380000000002</v>
      </c>
      <c r="I742">
        <v>368.31400000000002</v>
      </c>
      <c r="J742">
        <v>-313.24310000000003</v>
      </c>
      <c r="K742">
        <v>1.0845860000000001</v>
      </c>
      <c r="L742">
        <v>368.38760000000002</v>
      </c>
      <c r="M742">
        <v>0.99982859999999996</v>
      </c>
      <c r="N742">
        <v>-1.5245450000000001E-2</v>
      </c>
      <c r="O742">
        <v>1.0511029999999999E-2</v>
      </c>
      <c r="P742">
        <v>0.98610850000000005</v>
      </c>
      <c r="Q742">
        <v>0.16604679999999999</v>
      </c>
      <c r="R742">
        <v>-4.3413430000000001E-3</v>
      </c>
      <c r="S742">
        <v>3.2129210000000001</v>
      </c>
      <c r="T742">
        <v>-1.025053</v>
      </c>
      <c r="U742">
        <v>-0.25277709999999998</v>
      </c>
      <c r="V742">
        <v>1.471416E-2</v>
      </c>
      <c r="W742">
        <v>0.18105930000000001</v>
      </c>
      <c r="X742">
        <v>0.98336210000000002</v>
      </c>
      <c r="Y742">
        <v>8.4077369999999998E-2</v>
      </c>
      <c r="Z742">
        <v>-1.6837939999999999E-2</v>
      </c>
      <c r="AA742">
        <v>0.99631700000000001</v>
      </c>
      <c r="AB742">
        <v>41</v>
      </c>
      <c r="AC742">
        <v>0.700200000000052</v>
      </c>
      <c r="AD742">
        <v>-0.28782219999999897</v>
      </c>
      <c r="AE742">
        <v>-7.3599999999999E-2</v>
      </c>
      <c r="AF742">
        <v>6.9364339876935396E-2</v>
      </c>
      <c r="AG742">
        <v>-0.28782219999999897</v>
      </c>
      <c r="AH742">
        <v>0.59924148216043505</v>
      </c>
      <c r="AI742">
        <v>115.506977968635</v>
      </c>
      <c r="AJ742">
        <v>83.397194517689996</v>
      </c>
      <c r="AK742">
        <v>0.66838864772020001</v>
      </c>
      <c r="AL742">
        <v>79.568532873557203</v>
      </c>
      <c r="AM742">
        <v>89.142740647958803</v>
      </c>
      <c r="AN742">
        <v>0.999999998168702</v>
      </c>
    </row>
    <row r="743" spans="1:40" x14ac:dyDescent="0.25">
      <c r="A743" t="str">
        <f>"20190303162756390"</f>
        <v>20190303162756390</v>
      </c>
      <c r="B743" t="str">
        <f>"1551601676382223"</f>
        <v>1551601676382223</v>
      </c>
      <c r="C743" t="s">
        <v>40</v>
      </c>
      <c r="D743">
        <v>4.6267440000000004</v>
      </c>
      <c r="E743">
        <v>0.53282790000000002</v>
      </c>
      <c r="F743" t="s">
        <v>44</v>
      </c>
      <c r="G743">
        <v>-312.52010000000001</v>
      </c>
      <c r="H743">
        <v>0.85432419999999998</v>
      </c>
      <c r="I743">
        <v>368.33069999999998</v>
      </c>
      <c r="J743">
        <v>-313.04809999999998</v>
      </c>
      <c r="K743">
        <v>1.083612</v>
      </c>
      <c r="L743">
        <v>368.3897</v>
      </c>
      <c r="M743">
        <v>0.99983219999999995</v>
      </c>
      <c r="N743">
        <v>-1.501047E-2</v>
      </c>
      <c r="O743">
        <v>1.051116E-2</v>
      </c>
      <c r="P743">
        <v>0.98600710000000003</v>
      </c>
      <c r="Q743">
        <v>0.16665629999999901</v>
      </c>
      <c r="R743">
        <v>-3.9798790000000004E-3</v>
      </c>
      <c r="S743">
        <v>3.21347</v>
      </c>
      <c r="T743">
        <v>-1.023353</v>
      </c>
      <c r="U743">
        <v>-0.2522278</v>
      </c>
      <c r="V743">
        <v>1.4351930000000001E-2</v>
      </c>
      <c r="W743">
        <v>0.18143580000000001</v>
      </c>
      <c r="X743">
        <v>0.98329809999999995</v>
      </c>
      <c r="Y743">
        <v>8.3922300000000005E-2</v>
      </c>
      <c r="Z743">
        <v>-1.677654E-2</v>
      </c>
      <c r="AA743">
        <v>0.99633110000000003</v>
      </c>
      <c r="AB743">
        <v>41</v>
      </c>
      <c r="AC743">
        <v>0.52799999999996305</v>
      </c>
      <c r="AD743">
        <v>-0.22928780000000001</v>
      </c>
      <c r="AE743">
        <v>-5.90000000000259E-2</v>
      </c>
      <c r="AF743">
        <v>5.4412692762044003E-2</v>
      </c>
      <c r="AG743">
        <v>-0.22928780000000001</v>
      </c>
      <c r="AH743">
        <v>0.44455128357768597</v>
      </c>
      <c r="AI743">
        <v>117.11030813348501</v>
      </c>
      <c r="AJ743">
        <v>83.021756282957497</v>
      </c>
      <c r="AK743">
        <v>0.50314956036254699</v>
      </c>
      <c r="AL743">
        <v>79.546598158211197</v>
      </c>
      <c r="AM743">
        <v>89.163787023304096</v>
      </c>
      <c r="AN743">
        <v>1.00000004043998</v>
      </c>
    </row>
    <row r="744" spans="1:40" x14ac:dyDescent="0.25">
      <c r="A744" t="str">
        <f>"20190303162756400"</f>
        <v>20190303162756400</v>
      </c>
      <c r="B744" t="str">
        <f>"1551601676391982"</f>
        <v>1551601676391982</v>
      </c>
      <c r="C744" t="s">
        <v>40</v>
      </c>
      <c r="D744">
        <v>4.6431060000000004</v>
      </c>
      <c r="E744">
        <v>0.53284019999999899</v>
      </c>
      <c r="F744" t="s">
        <v>44</v>
      </c>
      <c r="G744">
        <v>-312.16809999999998</v>
      </c>
      <c r="H744">
        <v>0.80398169999999902</v>
      </c>
      <c r="I744">
        <v>368.32089999999999</v>
      </c>
      <c r="J744">
        <v>-312.8372</v>
      </c>
      <c r="K744">
        <v>1.0825979999999999</v>
      </c>
      <c r="L744">
        <v>368.39190000000002</v>
      </c>
      <c r="M744">
        <v>0.9998359</v>
      </c>
      <c r="N744">
        <v>-1.4753570000000001E-2</v>
      </c>
      <c r="O744">
        <v>1.0511370000000001E-2</v>
      </c>
      <c r="P744">
        <v>0.98596119999999998</v>
      </c>
      <c r="Q744">
        <v>0.16693250000000001</v>
      </c>
      <c r="R744">
        <v>-3.789981E-3</v>
      </c>
      <c r="S744">
        <v>3.2141419999999998</v>
      </c>
      <c r="T744">
        <v>-1.0212699999999999</v>
      </c>
      <c r="U744">
        <v>-0.25088500000000002</v>
      </c>
      <c r="V744">
        <v>1.4161709999999999E-2</v>
      </c>
      <c r="W744">
        <v>0.1814588</v>
      </c>
      <c r="X744">
        <v>0.98329659999999997</v>
      </c>
      <c r="Y744">
        <v>8.353563E-2</v>
      </c>
      <c r="Z744">
        <v>-1.667068E-2</v>
      </c>
      <c r="AA744">
        <v>0.99636530000000001</v>
      </c>
      <c r="AB744">
        <v>42</v>
      </c>
      <c r="AC744">
        <v>0.66910000000001402</v>
      </c>
      <c r="AD744">
        <v>-0.27861629999999998</v>
      </c>
      <c r="AE744">
        <v>-7.1000000000026306E-2</v>
      </c>
      <c r="AF744">
        <v>6.6609067865706806E-2</v>
      </c>
      <c r="AG744">
        <v>-0.27861629999999998</v>
      </c>
      <c r="AH744">
        <v>0.57049786406545999</v>
      </c>
      <c r="AI744">
        <v>115.877042991263</v>
      </c>
      <c r="AJ744">
        <v>83.340523407675306</v>
      </c>
      <c r="AK744">
        <v>0.63838203565802198</v>
      </c>
      <c r="AL744">
        <v>79.545257967776394</v>
      </c>
      <c r="AM744">
        <v>89.174867360942898</v>
      </c>
      <c r="AN744">
        <v>1.0000000268495599</v>
      </c>
    </row>
    <row r="745" spans="1:40" x14ac:dyDescent="0.25">
      <c r="A745" t="str">
        <f>"20190303162756413"</f>
        <v>20190303162756413</v>
      </c>
      <c r="B745" t="str">
        <f>"1551601676402717"</f>
        <v>1551601676402717</v>
      </c>
      <c r="C745" t="s">
        <v>40</v>
      </c>
      <c r="D745">
        <v>4.6257070000000002</v>
      </c>
      <c r="E745">
        <v>0.5328581</v>
      </c>
      <c r="F745" t="s">
        <v>44</v>
      </c>
      <c r="G745">
        <v>-312.14440000000002</v>
      </c>
      <c r="H745">
        <v>0.86264940000000001</v>
      </c>
      <c r="I745">
        <v>368.3381</v>
      </c>
      <c r="J745">
        <v>-312.62950000000001</v>
      </c>
      <c r="K745">
        <v>1.0816870000000001</v>
      </c>
      <c r="L745">
        <v>368.39409999999998</v>
      </c>
      <c r="M745">
        <v>0.99983960000000005</v>
      </c>
      <c r="N745">
        <v>-1.4503479999999999E-2</v>
      </c>
      <c r="O745">
        <v>1.051155E-2</v>
      </c>
      <c r="P745">
        <v>0.98590009999999995</v>
      </c>
      <c r="Q745">
        <v>0.16729260000000001</v>
      </c>
      <c r="R745">
        <v>-3.7922839999999999E-3</v>
      </c>
      <c r="S745">
        <v>3.2145079999999999</v>
      </c>
      <c r="T745">
        <v>-1.020575</v>
      </c>
      <c r="U745">
        <v>-0.24908449999999999</v>
      </c>
      <c r="V745">
        <v>1.416355E-2</v>
      </c>
      <c r="W745">
        <v>0.18157180000000001</v>
      </c>
      <c r="X745">
        <v>0.98327569999999997</v>
      </c>
      <c r="Y745">
        <v>8.3008869999999998E-2</v>
      </c>
      <c r="Z745">
        <v>-1.6565170000000001E-2</v>
      </c>
      <c r="AA745">
        <v>0.99641109999999999</v>
      </c>
      <c r="AB745">
        <v>42</v>
      </c>
      <c r="AC745">
        <v>0.48509999999998799</v>
      </c>
      <c r="AD745">
        <v>-0.2190376</v>
      </c>
      <c r="AE745">
        <v>-5.5999999999983098E-2</v>
      </c>
      <c r="AF745">
        <v>5.0863015825298501E-2</v>
      </c>
      <c r="AG745">
        <v>-0.2190376</v>
      </c>
      <c r="AH745">
        <v>0.40333413327176898</v>
      </c>
      <c r="AI745">
        <v>118.31578855762</v>
      </c>
      <c r="AJ745">
        <v>82.812575346589995</v>
      </c>
      <c r="AK745">
        <v>0.46178235095626402</v>
      </c>
      <c r="AL745">
        <v>79.538674034027693</v>
      </c>
      <c r="AM745">
        <v>89.174742629644101</v>
      </c>
      <c r="AN745">
        <v>1.0000000134571601</v>
      </c>
    </row>
    <row r="746" spans="1:40" x14ac:dyDescent="0.25">
      <c r="A746" t="str">
        <f>"20190303162756424"</f>
        <v>20190303162756424</v>
      </c>
      <c r="B746" t="str">
        <f>"1551601676412477"</f>
        <v>1551601676412477</v>
      </c>
      <c r="C746" t="s">
        <v>40</v>
      </c>
      <c r="D746">
        <v>4.6229589999999998</v>
      </c>
      <c r="E746">
        <v>0.53287569999999995</v>
      </c>
      <c r="F746" t="s">
        <v>44</v>
      </c>
      <c r="G746">
        <v>-311.791</v>
      </c>
      <c r="H746">
        <v>0.81586780000000003</v>
      </c>
      <c r="I746">
        <v>368.32870000000003</v>
      </c>
      <c r="J746">
        <v>-312.42200000000003</v>
      </c>
      <c r="K746">
        <v>1.0808</v>
      </c>
      <c r="L746">
        <v>368.39620000000002</v>
      </c>
      <c r="M746">
        <v>0.99984320000000004</v>
      </c>
      <c r="N746">
        <v>-1.4254620000000001E-2</v>
      </c>
      <c r="O746">
        <v>1.0511879999999999E-2</v>
      </c>
      <c r="P746">
        <v>0.98589559999999998</v>
      </c>
      <c r="Q746">
        <v>0.16732030000000001</v>
      </c>
      <c r="R746">
        <v>-3.7580619999999999E-3</v>
      </c>
      <c r="S746">
        <v>3.2149049999999999</v>
      </c>
      <c r="T746">
        <v>-1.019317</v>
      </c>
      <c r="U746">
        <v>-0.24893190000000001</v>
      </c>
      <c r="V746">
        <v>1.4129549999999999E-2</v>
      </c>
      <c r="W746">
        <v>0.18135519999999999</v>
      </c>
      <c r="X746">
        <v>0.98331610000000003</v>
      </c>
      <c r="Y746">
        <v>8.2969550000000003E-2</v>
      </c>
      <c r="Z746">
        <v>-1.6530019999999999E-2</v>
      </c>
      <c r="AA746">
        <v>0.99641500000000005</v>
      </c>
      <c r="AB746">
        <v>42</v>
      </c>
      <c r="AC746">
        <v>0.63100000000002798</v>
      </c>
      <c r="AD746">
        <v>-0.26493219999999901</v>
      </c>
      <c r="AE746">
        <v>-6.7499999999995397E-2</v>
      </c>
      <c r="AF746">
        <v>6.3127524717760106E-2</v>
      </c>
      <c r="AG746">
        <v>-0.26493219999999901</v>
      </c>
      <c r="AH746">
        <v>0.53671256412605495</v>
      </c>
      <c r="AI746">
        <v>116.11598182340499</v>
      </c>
      <c r="AJ746">
        <v>83.291756310993506</v>
      </c>
      <c r="AK746">
        <v>0.60185922894360899</v>
      </c>
      <c r="AL746">
        <v>79.551293174743805</v>
      </c>
      <c r="AM746">
        <v>89.176757230216197</v>
      </c>
      <c r="AN746">
        <v>0.99999995263472496</v>
      </c>
    </row>
    <row r="747" spans="1:40" x14ac:dyDescent="0.25">
      <c r="A747" t="str">
        <f>"20190303162756437"</f>
        <v>20190303162756437</v>
      </c>
      <c r="B747" t="str">
        <f>"1551601676432974"</f>
        <v>1551601676432974</v>
      </c>
      <c r="C747" t="s">
        <v>40</v>
      </c>
      <c r="D747">
        <v>4.6197169999999996</v>
      </c>
      <c r="E747">
        <v>0.53290669999999996</v>
      </c>
      <c r="F747" t="s">
        <v>44</v>
      </c>
      <c r="G747">
        <v>-311.43700000000001</v>
      </c>
      <c r="H747">
        <v>0.76848359999999905</v>
      </c>
      <c r="I747">
        <v>368.31959999999998</v>
      </c>
      <c r="J747">
        <v>-312.16879999999998</v>
      </c>
      <c r="K747">
        <v>1.0798319999999999</v>
      </c>
      <c r="L747">
        <v>368.39890000000003</v>
      </c>
      <c r="M747">
        <v>0.99984729999999999</v>
      </c>
      <c r="N747">
        <v>-1.396211E-2</v>
      </c>
      <c r="O747">
        <v>1.05123E-2</v>
      </c>
      <c r="P747">
        <v>0.9857593</v>
      </c>
      <c r="Q747">
        <v>0.16812170000000001</v>
      </c>
      <c r="R747">
        <v>-3.6856480000000001E-3</v>
      </c>
      <c r="S747">
        <v>3.2149960000000002</v>
      </c>
      <c r="T747">
        <v>-1.0194559999999999</v>
      </c>
      <c r="U747">
        <v>-0.249054</v>
      </c>
      <c r="V747">
        <v>1.4056340000000001E-2</v>
      </c>
      <c r="W747">
        <v>0.1818668</v>
      </c>
      <c r="X747">
        <v>0.98322270000000001</v>
      </c>
      <c r="Y747">
        <v>8.3005560000000006E-2</v>
      </c>
      <c r="Z747">
        <v>-1.652814E-2</v>
      </c>
      <c r="AA747">
        <v>0.99641199999999996</v>
      </c>
      <c r="AB747">
        <v>42</v>
      </c>
      <c r="AC747">
        <v>0.73179999999996403</v>
      </c>
      <c r="AD747">
        <v>-0.31134840000000003</v>
      </c>
      <c r="AE747">
        <v>-7.9300000000046098E-2</v>
      </c>
      <c r="AF747">
        <v>7.3787779626380098E-2</v>
      </c>
      <c r="AG747">
        <v>-0.31134840000000003</v>
      </c>
      <c r="AH747">
        <v>0.62000056594671804</v>
      </c>
      <c r="AI747">
        <v>116.503382907125</v>
      </c>
      <c r="AJ747">
        <v>83.213012926138205</v>
      </c>
      <c r="AK747">
        <v>0.69769847669247698</v>
      </c>
      <c r="AL747">
        <v>79.521485411431698</v>
      </c>
      <c r="AM747">
        <v>89.180944361096607</v>
      </c>
      <c r="AN747">
        <v>0.99999999571586196</v>
      </c>
    </row>
    <row r="748" spans="1:40" x14ac:dyDescent="0.25">
      <c r="A748" t="str">
        <f>"20190303162756451"</f>
        <v>20190303162756451</v>
      </c>
      <c r="B748" t="str">
        <f>"1551601676442734"</f>
        <v>1551601676442734</v>
      </c>
      <c r="C748" t="s">
        <v>40</v>
      </c>
      <c r="D748">
        <v>4.6387910000000003</v>
      </c>
      <c r="E748">
        <v>0.53292130000000004</v>
      </c>
      <c r="F748" t="s">
        <v>44</v>
      </c>
      <c r="G748">
        <v>-311.40899999999999</v>
      </c>
      <c r="H748">
        <v>0.83955780000000002</v>
      </c>
      <c r="I748">
        <v>368.33960000000002</v>
      </c>
      <c r="J748">
        <v>-311.92419999999998</v>
      </c>
      <c r="K748">
        <v>1.0789599999999999</v>
      </c>
      <c r="L748">
        <v>368.4015</v>
      </c>
      <c r="M748">
        <v>0.99985109999999999</v>
      </c>
      <c r="N748">
        <v>-1.3687929999999999E-2</v>
      </c>
      <c r="O748">
        <v>1.051273E-2</v>
      </c>
      <c r="P748">
        <v>0.9857032</v>
      </c>
      <c r="Q748">
        <v>0.1684513</v>
      </c>
      <c r="R748">
        <v>-3.7013049999999998E-3</v>
      </c>
      <c r="S748">
        <v>3.2158199999999999</v>
      </c>
      <c r="T748">
        <v>-1.01692</v>
      </c>
      <c r="U748">
        <v>-0.24957280000000001</v>
      </c>
      <c r="V748">
        <v>1.407161E-2</v>
      </c>
      <c r="W748">
        <v>0.1819258</v>
      </c>
      <c r="X748">
        <v>0.98321159999999996</v>
      </c>
      <c r="Y748">
        <v>8.3165680000000006E-2</v>
      </c>
      <c r="Z748">
        <v>-1.650298E-2</v>
      </c>
      <c r="AA748">
        <v>0.99639909999999998</v>
      </c>
      <c r="AB748">
        <v>42</v>
      </c>
      <c r="AC748">
        <v>0.515199999999993</v>
      </c>
      <c r="AD748">
        <v>-0.23940219999999901</v>
      </c>
      <c r="AE748">
        <v>-6.1899999999979999E-2</v>
      </c>
      <c r="AF748">
        <v>5.5499911380421901E-2</v>
      </c>
      <c r="AG748">
        <v>-0.23940219999999901</v>
      </c>
      <c r="AH748">
        <v>0.42422341870735802</v>
      </c>
      <c r="AI748">
        <v>119.22972394971301</v>
      </c>
      <c r="AJ748">
        <v>82.546492133733295</v>
      </c>
      <c r="AK748">
        <v>0.49026438021523999</v>
      </c>
      <c r="AL748">
        <v>79.518047959110504</v>
      </c>
      <c r="AM748">
        <v>89.1800454519949</v>
      </c>
      <c r="AN748">
        <v>1.00000002864409</v>
      </c>
    </row>
    <row r="749" spans="1:40" x14ac:dyDescent="0.25">
      <c r="A749" t="str">
        <f>"20190303162756464"</f>
        <v>20190303162756464</v>
      </c>
      <c r="B749" t="str">
        <f>"1551601676452494"</f>
        <v>1551601676452494</v>
      </c>
      <c r="C749" t="s">
        <v>40</v>
      </c>
      <c r="D749">
        <v>4.6387400000000003</v>
      </c>
      <c r="E749">
        <v>0.53293290000000004</v>
      </c>
      <c r="F749" t="s">
        <v>44</v>
      </c>
      <c r="G749">
        <v>-311.05040000000002</v>
      </c>
      <c r="H749">
        <v>0.80298579999999997</v>
      </c>
      <c r="I749">
        <v>368.33339999999998</v>
      </c>
      <c r="J749">
        <v>-311.68079999999998</v>
      </c>
      <c r="K749">
        <v>1.0781449999999999</v>
      </c>
      <c r="L749">
        <v>368.404</v>
      </c>
      <c r="M749">
        <v>0.99985469999999999</v>
      </c>
      <c r="N749">
        <v>-1.3422419999999999E-2</v>
      </c>
      <c r="O749">
        <v>1.051318E-2</v>
      </c>
      <c r="P749">
        <v>0.98568180000000005</v>
      </c>
      <c r="Q749">
        <v>0.168574</v>
      </c>
      <c r="R749">
        <v>-3.7641020000000001E-3</v>
      </c>
      <c r="S749">
        <v>3.2161559999999998</v>
      </c>
      <c r="T749">
        <v>-1.0157639999999999</v>
      </c>
      <c r="U749">
        <v>-0.24981690000000001</v>
      </c>
      <c r="V749">
        <v>1.413475E-2</v>
      </c>
      <c r="W749">
        <v>0.181787</v>
      </c>
      <c r="X749">
        <v>0.98323629999999995</v>
      </c>
      <c r="Y749">
        <v>8.3243300000000006E-2</v>
      </c>
      <c r="Z749">
        <v>-1.6487890000000002E-2</v>
      </c>
      <c r="AA749">
        <v>0.99639279999999997</v>
      </c>
      <c r="AB749">
        <v>42</v>
      </c>
      <c r="AC749">
        <v>0.630399999999951</v>
      </c>
      <c r="AD749">
        <v>-0.27515919999999999</v>
      </c>
      <c r="AE749">
        <v>-7.0600000000013097E-2</v>
      </c>
      <c r="AF749">
        <v>6.4994898362212103E-2</v>
      </c>
      <c r="AG749">
        <v>-0.27515919999999999</v>
      </c>
      <c r="AH749">
        <v>0.52991513068487905</v>
      </c>
      <c r="AI749">
        <v>117.266094910189</v>
      </c>
      <c r="AJ749">
        <v>83.007509364879596</v>
      </c>
      <c r="AK749">
        <v>0.60062215067921598</v>
      </c>
      <c r="AL749">
        <v>79.5261347771103</v>
      </c>
      <c r="AM749">
        <v>89.176387469410002</v>
      </c>
      <c r="AN749">
        <v>0.99999996308212502</v>
      </c>
    </row>
    <row r="750" spans="1:40" x14ac:dyDescent="0.25">
      <c r="A750" t="str">
        <f>"20190303162756478"</f>
        <v>20190303162756478</v>
      </c>
      <c r="B750" t="str">
        <f>"1551601676472014"</f>
        <v>1551601676472014</v>
      </c>
      <c r="C750" t="s">
        <v>40</v>
      </c>
      <c r="D750">
        <v>4.6727990000000004</v>
      </c>
      <c r="E750">
        <v>0.53296719999999997</v>
      </c>
      <c r="F750" t="s">
        <v>44</v>
      </c>
      <c r="G750">
        <v>-310.69150000000002</v>
      </c>
      <c r="H750">
        <v>0.76579580000000003</v>
      </c>
      <c r="I750">
        <v>368.32659999999998</v>
      </c>
      <c r="J750">
        <v>-311.38740000000001</v>
      </c>
      <c r="K750">
        <v>1.0772790000000001</v>
      </c>
      <c r="L750">
        <v>368.40710000000001</v>
      </c>
      <c r="M750">
        <v>0.99985880000000005</v>
      </c>
      <c r="N750">
        <v>-1.3122150000000001E-2</v>
      </c>
      <c r="O750">
        <v>1.0513349999999999E-2</v>
      </c>
      <c r="P750">
        <v>0.98564309999999999</v>
      </c>
      <c r="Q750">
        <v>0.16880010000000001</v>
      </c>
      <c r="R750">
        <v>-3.8303109999999999E-3</v>
      </c>
      <c r="S750">
        <v>3.2163089999999999</v>
      </c>
      <c r="T750">
        <v>-1.0154259999999999</v>
      </c>
      <c r="U750">
        <v>-0.25085449999999998</v>
      </c>
      <c r="V750">
        <v>1.4200529999999999E-2</v>
      </c>
      <c r="W750">
        <v>0.18171760000000001</v>
      </c>
      <c r="X750">
        <v>0.98324820000000002</v>
      </c>
      <c r="Y750">
        <v>8.3550440000000004E-2</v>
      </c>
      <c r="Z750">
        <v>-1.6521500000000001E-2</v>
      </c>
      <c r="AA750">
        <v>0.99636659999999999</v>
      </c>
      <c r="AB750">
        <v>42</v>
      </c>
      <c r="AC750">
        <v>0.69589999999999397</v>
      </c>
      <c r="AD750">
        <v>-0.31148320000000002</v>
      </c>
      <c r="AE750">
        <v>-8.0500000000029104E-2</v>
      </c>
      <c r="AF750">
        <v>7.3317651956340102E-2</v>
      </c>
      <c r="AG750">
        <v>-0.31148320000000002</v>
      </c>
      <c r="AH750">
        <v>0.58029238082124801</v>
      </c>
      <c r="AI750">
        <v>118.036895688206</v>
      </c>
      <c r="AJ750">
        <v>82.799059622711496</v>
      </c>
      <c r="AK750">
        <v>0.662673757749485</v>
      </c>
      <c r="AL750">
        <v>79.530178654783896</v>
      </c>
      <c r="AM750">
        <v>89.172565103503999</v>
      </c>
      <c r="AN750">
        <v>0.99999998200263995</v>
      </c>
    </row>
    <row r="751" spans="1:40" x14ac:dyDescent="0.25">
      <c r="A751" t="str">
        <f>"20190303162756490"</f>
        <v>20190303162756490</v>
      </c>
      <c r="B751" t="str">
        <f>"1551601676482749"</f>
        <v>1551601676482749</v>
      </c>
      <c r="C751" t="s">
        <v>40</v>
      </c>
      <c r="D751">
        <v>4.6603269999999997</v>
      </c>
      <c r="E751">
        <v>0.53297659999999902</v>
      </c>
      <c r="F751" t="s">
        <v>44</v>
      </c>
      <c r="G751">
        <v>-310.65929999999997</v>
      </c>
      <c r="H751">
        <v>0.84754219999999902</v>
      </c>
      <c r="I751">
        <v>368.34989999999999</v>
      </c>
      <c r="J751">
        <v>-311.18009999999998</v>
      </c>
      <c r="K751">
        <v>1.076719</v>
      </c>
      <c r="L751">
        <v>368.40929999999997</v>
      </c>
      <c r="M751">
        <v>0.99986129999999995</v>
      </c>
      <c r="N751">
        <v>-1.292046E-2</v>
      </c>
      <c r="O751">
        <v>1.0513669999999999E-2</v>
      </c>
      <c r="P751">
        <v>0.9856703</v>
      </c>
      <c r="Q751">
        <v>0.16863159999999999</v>
      </c>
      <c r="R751">
        <v>-4.1642820000000001E-3</v>
      </c>
      <c r="S751">
        <v>3.2164609999999998</v>
      </c>
      <c r="T751">
        <v>-1.014885</v>
      </c>
      <c r="U751">
        <v>-0.25131229999999999</v>
      </c>
      <c r="V751">
        <v>1.4535030000000001E-2</v>
      </c>
      <c r="W751">
        <v>0.18135090000000001</v>
      </c>
      <c r="X751">
        <v>0.98331100000000005</v>
      </c>
      <c r="Y751">
        <v>8.3688419999999999E-2</v>
      </c>
      <c r="Z751">
        <v>-1.652816E-2</v>
      </c>
      <c r="AA751">
        <v>0.99635490000000004</v>
      </c>
      <c r="AB751">
        <v>42</v>
      </c>
      <c r="AC751">
        <v>0.52080000000000803</v>
      </c>
      <c r="AD751">
        <v>-0.22917680000000001</v>
      </c>
      <c r="AE751">
        <v>-5.93999999999823E-2</v>
      </c>
      <c r="AF751">
        <v>5.4461996426836398E-2</v>
      </c>
      <c r="AG751">
        <v>-0.22917680000000001</v>
      </c>
      <c r="AH751">
        <v>0.43667410235139698</v>
      </c>
      <c r="AI751">
        <v>117.509986706411</v>
      </c>
      <c r="AJ751">
        <v>82.890779893048006</v>
      </c>
      <c r="AK751">
        <v>0.49615762251267997</v>
      </c>
      <c r="AL751">
        <v>79.551543877686598</v>
      </c>
      <c r="AM751">
        <v>89.153131382707301</v>
      </c>
      <c r="AN751">
        <v>0.99999996937445501</v>
      </c>
    </row>
    <row r="752" spans="1:40" x14ac:dyDescent="0.25">
      <c r="A752" t="str">
        <f>"20190303162756502"</f>
        <v>20190303162756502</v>
      </c>
      <c r="B752" t="str">
        <f>"1551601676492510"</f>
        <v>1551601676492510</v>
      </c>
      <c r="C752" t="s">
        <v>40</v>
      </c>
      <c r="D752">
        <v>4.6989669999999997</v>
      </c>
      <c r="E752">
        <v>0.532991199999999</v>
      </c>
      <c r="F752" t="s">
        <v>44</v>
      </c>
      <c r="G752">
        <v>-310.30410000000001</v>
      </c>
      <c r="H752">
        <v>0.80010800000000004</v>
      </c>
      <c r="I752">
        <v>368.34030000000001</v>
      </c>
      <c r="J752">
        <v>-310.95519999999999</v>
      </c>
      <c r="K752">
        <v>1.076139</v>
      </c>
      <c r="L752">
        <v>368.4117</v>
      </c>
      <c r="M752">
        <v>0.99986399999999998</v>
      </c>
      <c r="N752">
        <v>-1.2707339999999999E-2</v>
      </c>
      <c r="O752">
        <v>1.051405E-2</v>
      </c>
      <c r="P752">
        <v>0.98564339999999995</v>
      </c>
      <c r="Q752">
        <v>0.16878859999999901</v>
      </c>
      <c r="R752">
        <v>-4.1742330000000003E-3</v>
      </c>
      <c r="S752">
        <v>3.2162480000000002</v>
      </c>
      <c r="T752">
        <v>-1.0155240000000001</v>
      </c>
      <c r="U752">
        <v>-0.25234990000000002</v>
      </c>
      <c r="V752">
        <v>1.4544990000000001E-2</v>
      </c>
      <c r="W752">
        <v>0.18129799999999999</v>
      </c>
      <c r="X752">
        <v>0.98332070000000005</v>
      </c>
      <c r="Y752">
        <v>8.3994029999999997E-2</v>
      </c>
      <c r="Z752">
        <v>-1.6580850000000001E-2</v>
      </c>
      <c r="AA752">
        <v>0.99632829999999994</v>
      </c>
      <c r="AB752">
        <v>42</v>
      </c>
      <c r="AC752">
        <v>0.65109999999998502</v>
      </c>
      <c r="AD752">
        <v>-0.27603099999999903</v>
      </c>
      <c r="AE752">
        <v>-7.1399999999982797E-2</v>
      </c>
      <c r="AF752">
        <v>6.6442497908459006E-2</v>
      </c>
      <c r="AG752">
        <v>-0.27603099999999903</v>
      </c>
      <c r="AH752">
        <v>0.55223880579787898</v>
      </c>
      <c r="AI752">
        <v>116.39341067573</v>
      </c>
      <c r="AJ752">
        <v>83.139446944745202</v>
      </c>
      <c r="AK752">
        <v>0.62094719350229999</v>
      </c>
      <c r="AL752">
        <v>79.554626874772694</v>
      </c>
      <c r="AM752">
        <v>89.152559516591893</v>
      </c>
      <c r="AN752">
        <v>1.0000000602932899</v>
      </c>
    </row>
    <row r="753" spans="1:40" x14ac:dyDescent="0.25">
      <c r="A753" t="str">
        <f>"20190303162756513"</f>
        <v>20190303162756513</v>
      </c>
      <c r="B753" t="str">
        <f>"1551601676502271"</f>
        <v>1551601676502271</v>
      </c>
      <c r="C753" t="s">
        <v>40</v>
      </c>
      <c r="D753">
        <v>4.675173</v>
      </c>
      <c r="E753">
        <v>0.53300879999999995</v>
      </c>
      <c r="F753" t="s">
        <v>44</v>
      </c>
      <c r="G753">
        <v>-310.27879999999999</v>
      </c>
      <c r="H753">
        <v>0.86262689999999997</v>
      </c>
      <c r="I753">
        <v>368.35829999999999</v>
      </c>
      <c r="J753">
        <v>-310.75510000000003</v>
      </c>
      <c r="K753">
        <v>1.0756889999999999</v>
      </c>
      <c r="L753">
        <v>368.41379999999998</v>
      </c>
      <c r="M753">
        <v>0.99986629999999999</v>
      </c>
      <c r="N753">
        <v>-1.253523E-2</v>
      </c>
      <c r="O753">
        <v>1.0514020000000001E-2</v>
      </c>
      <c r="P753">
        <v>0.98562850000000002</v>
      </c>
      <c r="Q753">
        <v>0.16887720000000001</v>
      </c>
      <c r="R753">
        <v>-4.1783840000000003E-3</v>
      </c>
      <c r="S753">
        <v>3.2164609999999998</v>
      </c>
      <c r="T753">
        <v>-1.0152110000000001</v>
      </c>
      <c r="U753">
        <v>-0.25247190000000003</v>
      </c>
      <c r="V753">
        <v>1.4548739999999999E-2</v>
      </c>
      <c r="W753">
        <v>0.1812173</v>
      </c>
      <c r="X753">
        <v>0.98333539999999997</v>
      </c>
      <c r="Y753">
        <v>8.4029820000000005E-2</v>
      </c>
      <c r="Z753">
        <v>-1.6575110000000001E-2</v>
      </c>
      <c r="AA753">
        <v>0.99632540000000003</v>
      </c>
      <c r="AB753">
        <v>42</v>
      </c>
      <c r="AC753">
        <v>0.47630000000003703</v>
      </c>
      <c r="AD753">
        <v>-0.21306209999999901</v>
      </c>
      <c r="AE753">
        <v>-5.5499999999994998E-2</v>
      </c>
      <c r="AF753">
        <v>5.0529540040744302E-2</v>
      </c>
      <c r="AG753">
        <v>-0.21306209999999901</v>
      </c>
      <c r="AH753">
        <v>0.39726206433184902</v>
      </c>
      <c r="AI753">
        <v>118.01475471482399</v>
      </c>
      <c r="AJ753">
        <v>82.751217440514495</v>
      </c>
      <c r="AK753">
        <v>0.45361419800348102</v>
      </c>
      <c r="AL753">
        <v>79.559327277659804</v>
      </c>
      <c r="AM753">
        <v>89.152353730647107</v>
      </c>
      <c r="AN753">
        <v>0.99999994227401701</v>
      </c>
    </row>
    <row r="754" spans="1:40" x14ac:dyDescent="0.25">
      <c r="A754" t="str">
        <f>"20190303162756524"</f>
        <v>20190303162756524</v>
      </c>
      <c r="B754" t="str">
        <f>"1551601676522765"</f>
        <v>1551601676522765</v>
      </c>
      <c r="C754" t="s">
        <v>40</v>
      </c>
      <c r="D754">
        <v>4.6924440000000001</v>
      </c>
      <c r="E754">
        <v>0.53302839999999996</v>
      </c>
      <c r="F754" t="s">
        <v>44</v>
      </c>
      <c r="G754">
        <v>-309.9246</v>
      </c>
      <c r="H754">
        <v>0.81360650000000001</v>
      </c>
      <c r="I754">
        <v>368.34840000000003</v>
      </c>
      <c r="J754">
        <v>-310.53859999999997</v>
      </c>
      <c r="K754">
        <v>1.0752159999999999</v>
      </c>
      <c r="L754">
        <v>368.416</v>
      </c>
      <c r="M754">
        <v>0.99986850000000005</v>
      </c>
      <c r="N754">
        <v>-1.2354E-2</v>
      </c>
      <c r="O754">
        <v>1.0514330000000001E-2</v>
      </c>
      <c r="P754">
        <v>0.98560939999999997</v>
      </c>
      <c r="Q754">
        <v>0.1689908</v>
      </c>
      <c r="R754">
        <v>-4.0290289999999999E-3</v>
      </c>
      <c r="S754">
        <v>3.2165530000000002</v>
      </c>
      <c r="T754">
        <v>-1.015015</v>
      </c>
      <c r="U754">
        <v>-0.2523804</v>
      </c>
      <c r="V754">
        <v>1.43997E-2</v>
      </c>
      <c r="W754">
        <v>0.1811526</v>
      </c>
      <c r="X754">
        <v>0.98334960000000005</v>
      </c>
      <c r="Y754">
        <v>8.4004830000000003E-2</v>
      </c>
      <c r="Z754">
        <v>-1.6561849999999999E-2</v>
      </c>
      <c r="AA754">
        <v>0.99632770000000004</v>
      </c>
      <c r="AB754">
        <v>42</v>
      </c>
      <c r="AC754">
        <v>0.61399999999997501</v>
      </c>
      <c r="AD754">
        <v>-0.261609499999999</v>
      </c>
      <c r="AE754">
        <v>-6.7599999999970295E-2</v>
      </c>
      <c r="AF754">
        <v>6.27901925120187E-2</v>
      </c>
      <c r="AG754">
        <v>-0.261609499999999</v>
      </c>
      <c r="AH754">
        <v>0.51998766134931795</v>
      </c>
      <c r="AI754">
        <v>116.541154908734</v>
      </c>
      <c r="AJ754">
        <v>83.114685814251104</v>
      </c>
      <c r="AK754">
        <v>0.58546503458488397</v>
      </c>
      <c r="AL754">
        <v>79.563097584293402</v>
      </c>
      <c r="AM754">
        <v>89.161048042480701</v>
      </c>
      <c r="AN754">
        <v>1.0000000258335</v>
      </c>
    </row>
    <row r="755" spans="1:40" x14ac:dyDescent="0.25">
      <c r="A755" t="str">
        <f>"20190303162756535"</f>
        <v>20190303162756535</v>
      </c>
      <c r="B755" t="str">
        <f>"1551601676532526"</f>
        <v>1551601676532526</v>
      </c>
      <c r="C755" t="s">
        <v>40</v>
      </c>
      <c r="D755">
        <v>4.7046679999999999</v>
      </c>
      <c r="E755">
        <v>0.53304289999999999</v>
      </c>
      <c r="F755" t="s">
        <v>44</v>
      </c>
      <c r="G755">
        <v>-309.5675</v>
      </c>
      <c r="H755">
        <v>0.76888369999999995</v>
      </c>
      <c r="I755">
        <v>368.33949999999999</v>
      </c>
      <c r="J755">
        <v>-310.33949999999999</v>
      </c>
      <c r="K755">
        <v>1.074835</v>
      </c>
      <c r="L755">
        <v>368.41809999999998</v>
      </c>
      <c r="M755">
        <v>0.99987020000000004</v>
      </c>
      <c r="N755">
        <v>-1.220868E-2</v>
      </c>
      <c r="O755">
        <v>1.0514519999999999E-2</v>
      </c>
      <c r="P755">
        <v>0.98559010000000002</v>
      </c>
      <c r="Q755">
        <v>0.16910149999999999</v>
      </c>
      <c r="R755">
        <v>-4.1069740000000002E-3</v>
      </c>
      <c r="S755">
        <v>3.2167659999999998</v>
      </c>
      <c r="T755">
        <v>-1.0147619999999999</v>
      </c>
      <c r="U755">
        <v>-0.25167850000000003</v>
      </c>
      <c r="V755">
        <v>1.447742E-2</v>
      </c>
      <c r="W755">
        <v>0.1811198</v>
      </c>
      <c r="X755">
        <v>0.98335450000000002</v>
      </c>
      <c r="Y755">
        <v>8.3798419999999998E-2</v>
      </c>
      <c r="Z755">
        <v>-1.651934E-2</v>
      </c>
      <c r="AA755">
        <v>0.99634579999999995</v>
      </c>
      <c r="AB755">
        <v>42</v>
      </c>
      <c r="AC755">
        <v>0.77199999999999103</v>
      </c>
      <c r="AD755">
        <v>-0.30595129999999998</v>
      </c>
      <c r="AE755">
        <v>-7.8599999999994397E-2</v>
      </c>
      <c r="AF755">
        <v>7.5047344024196203E-2</v>
      </c>
      <c r="AG755">
        <v>-0.30595129999999998</v>
      </c>
      <c r="AH755">
        <v>0.66738559080131699</v>
      </c>
      <c r="AI755">
        <v>114.492176261335</v>
      </c>
      <c r="AJ755">
        <v>83.584056314730603</v>
      </c>
      <c r="AK755">
        <v>0.73799852887793704</v>
      </c>
      <c r="AL755">
        <v>79.565008488927603</v>
      </c>
      <c r="AM755">
        <v>89.156524792843499</v>
      </c>
      <c r="AN755">
        <v>1.0000000251560699</v>
      </c>
    </row>
    <row r="756" spans="1:40" x14ac:dyDescent="0.25">
      <c r="A756" t="str">
        <f>"20190303162756547"</f>
        <v>20190303162756547</v>
      </c>
      <c r="B756" t="str">
        <f>"1551601676542285"</f>
        <v>1551601676542285</v>
      </c>
      <c r="C756" t="s">
        <v>40</v>
      </c>
      <c r="D756">
        <v>4.7026729999999999</v>
      </c>
      <c r="E756">
        <v>0.53306019999999998</v>
      </c>
      <c r="F756" t="s">
        <v>44</v>
      </c>
      <c r="G756">
        <v>-309.54570000000001</v>
      </c>
      <c r="H756">
        <v>0.82447329999999996</v>
      </c>
      <c r="I756">
        <v>368.35539999999997</v>
      </c>
      <c r="J756">
        <v>-310.12779999999998</v>
      </c>
      <c r="K756">
        <v>1.0744499999999999</v>
      </c>
      <c r="L756">
        <v>368.4203</v>
      </c>
      <c r="M756">
        <v>0.99987210000000004</v>
      </c>
      <c r="N756">
        <v>-1.206284E-2</v>
      </c>
      <c r="O756">
        <v>1.05143999999999E-2</v>
      </c>
      <c r="P756">
        <v>0.98560709999999996</v>
      </c>
      <c r="Q756">
        <v>0.169008399999999</v>
      </c>
      <c r="R756">
        <v>-3.9008419999999999E-3</v>
      </c>
      <c r="S756">
        <v>3.216888</v>
      </c>
      <c r="T756">
        <v>-1.014643</v>
      </c>
      <c r="U756">
        <v>-0.2520752</v>
      </c>
      <c r="V756">
        <v>1.4271320000000001E-2</v>
      </c>
      <c r="W756">
        <v>0.18088389999999999</v>
      </c>
      <c r="X756">
        <v>0.98340090000000002</v>
      </c>
      <c r="Y756">
        <v>8.3914619999999995E-2</v>
      </c>
      <c r="Z756">
        <v>-1.6530650000000001E-2</v>
      </c>
      <c r="AA756">
        <v>0.99633579999999999</v>
      </c>
      <c r="AB756">
        <v>42</v>
      </c>
      <c r="AC756">
        <v>0.58209999999996798</v>
      </c>
      <c r="AD756">
        <v>-0.249976699999999</v>
      </c>
      <c r="AE756">
        <v>-6.4900000000022801E-2</v>
      </c>
      <c r="AF756">
        <v>6.0074484518492101E-2</v>
      </c>
      <c r="AG756">
        <v>-0.249976699999999</v>
      </c>
      <c r="AH756">
        <v>0.49180175561897499</v>
      </c>
      <c r="AI756">
        <v>116.772650277891</v>
      </c>
      <c r="AJ756">
        <v>83.035717099299106</v>
      </c>
      <c r="AK756">
        <v>0.55494707951565803</v>
      </c>
      <c r="AL756">
        <v>79.578751221690297</v>
      </c>
      <c r="AM756">
        <v>89.168570001720397</v>
      </c>
      <c r="AN756">
        <v>0.99999999298728104</v>
      </c>
    </row>
    <row r="757" spans="1:40" x14ac:dyDescent="0.25">
      <c r="A757" t="str">
        <f>"20190303162756557"</f>
        <v>20190303162756557</v>
      </c>
      <c r="B757" t="str">
        <f>"1551601676552046"</f>
        <v>1551601676552046</v>
      </c>
      <c r="C757" t="s">
        <v>40</v>
      </c>
      <c r="D757">
        <v>4.6972550000000002</v>
      </c>
      <c r="E757">
        <v>0.53306790000000004</v>
      </c>
      <c r="F757" t="s">
        <v>44</v>
      </c>
      <c r="G757">
        <v>-309.18900000000002</v>
      </c>
      <c r="H757">
        <v>0.7781962</v>
      </c>
      <c r="I757">
        <v>368.3467</v>
      </c>
      <c r="J757">
        <v>-309.91160000000002</v>
      </c>
      <c r="K757">
        <v>1.0740989999999999</v>
      </c>
      <c r="L757">
        <v>368.42259999999999</v>
      </c>
      <c r="M757">
        <v>0.99987360000000003</v>
      </c>
      <c r="N757">
        <v>-1.193307E-2</v>
      </c>
      <c r="O757">
        <v>1.0514890000000001E-2</v>
      </c>
      <c r="P757">
        <v>0.98558020000000002</v>
      </c>
      <c r="Q757">
        <v>0.16916410000000001</v>
      </c>
      <c r="R757">
        <v>-3.9320070000000004E-3</v>
      </c>
      <c r="S757">
        <v>3.216888</v>
      </c>
      <c r="T757">
        <v>-1.015118</v>
      </c>
      <c r="U757">
        <v>-0.25152590000000002</v>
      </c>
      <c r="V757">
        <v>1.430264E-2</v>
      </c>
      <c r="W757">
        <v>0.1809115</v>
      </c>
      <c r="X757">
        <v>0.98339540000000003</v>
      </c>
      <c r="Y757">
        <v>8.3751249999999999E-2</v>
      </c>
      <c r="Z757">
        <v>-1.650772E-2</v>
      </c>
      <c r="AA757">
        <v>0.99634990000000001</v>
      </c>
      <c r="AB757">
        <v>42</v>
      </c>
      <c r="AC757">
        <v>0.72259999999999902</v>
      </c>
      <c r="AD757">
        <v>-0.29590279999999902</v>
      </c>
      <c r="AE757">
        <v>-7.5899999999990003E-2</v>
      </c>
      <c r="AF757">
        <v>7.1616258921325504E-2</v>
      </c>
      <c r="AG757">
        <v>-0.29590279999999902</v>
      </c>
      <c r="AH757">
        <v>0.61908206752363704</v>
      </c>
      <c r="AI757">
        <v>115.39854710531399</v>
      </c>
      <c r="AJ757">
        <v>83.401276774552997</v>
      </c>
      <c r="AK757">
        <v>0.68989126818584101</v>
      </c>
      <c r="AL757">
        <v>79.577143663621001</v>
      </c>
      <c r="AM757">
        <v>89.166740933419902</v>
      </c>
      <c r="AN757">
        <v>1.0000000245421801</v>
      </c>
    </row>
    <row r="758" spans="1:40" x14ac:dyDescent="0.25">
      <c r="A758" t="str">
        <f>"20190303162756569"</f>
        <v>20190303162756569</v>
      </c>
      <c r="B758" t="str">
        <f>"1551601676562782"</f>
        <v>1551601676562782</v>
      </c>
      <c r="C758" t="s">
        <v>40</v>
      </c>
      <c r="D758">
        <v>4.7314069999999999</v>
      </c>
      <c r="E758">
        <v>0.53307579999999999</v>
      </c>
      <c r="F758" t="s">
        <v>44</v>
      </c>
      <c r="G758">
        <v>-309.16520000000003</v>
      </c>
      <c r="H758">
        <v>0.83870210000000001</v>
      </c>
      <c r="I758">
        <v>368.36399999999998</v>
      </c>
      <c r="J758">
        <v>-309.69740000000002</v>
      </c>
      <c r="K758">
        <v>1.0737810000000001</v>
      </c>
      <c r="L758">
        <v>368.42489999999998</v>
      </c>
      <c r="M758">
        <v>0.99987479999999995</v>
      </c>
      <c r="N758">
        <v>-1.1823699999999999E-2</v>
      </c>
      <c r="O758">
        <v>1.051502E-2</v>
      </c>
      <c r="P758">
        <v>0.98555280000000001</v>
      </c>
      <c r="Q758">
        <v>0.16932700000000001</v>
      </c>
      <c r="R758">
        <v>-3.780392E-3</v>
      </c>
      <c r="S758">
        <v>3.217041</v>
      </c>
      <c r="T758">
        <v>-1.014564</v>
      </c>
      <c r="U758">
        <v>-0.2517395</v>
      </c>
      <c r="V758">
        <v>1.415076E-2</v>
      </c>
      <c r="W758">
        <v>0.1809664</v>
      </c>
      <c r="X758">
        <v>0.98338749999999997</v>
      </c>
      <c r="Y758">
        <v>8.3816680000000005E-2</v>
      </c>
      <c r="Z758">
        <v>-1.6505470000000001E-2</v>
      </c>
      <c r="AA758">
        <v>0.99634449999999997</v>
      </c>
      <c r="AB758">
        <v>42</v>
      </c>
      <c r="AC758">
        <v>0.53219999999998802</v>
      </c>
      <c r="AD758">
        <v>-0.23507889999999901</v>
      </c>
      <c r="AE758">
        <v>-6.0899999999946802E-2</v>
      </c>
      <c r="AF758">
        <v>5.57553458555907E-2</v>
      </c>
      <c r="AG758">
        <v>-0.23507889999999901</v>
      </c>
      <c r="AH758">
        <v>0.44569497103483702</v>
      </c>
      <c r="AI758">
        <v>117.625949838393</v>
      </c>
      <c r="AJ758">
        <v>82.869480889987997</v>
      </c>
      <c r="AK758">
        <v>0.50696622670788505</v>
      </c>
      <c r="AL758">
        <v>79.573945377064902</v>
      </c>
      <c r="AM758">
        <v>89.175581477188004</v>
      </c>
      <c r="AN758">
        <v>1.00000002854689</v>
      </c>
    </row>
    <row r="759" spans="1:40" x14ac:dyDescent="0.25">
      <c r="A759" t="str">
        <f>"20190303162756580"</f>
        <v>20190303162756580</v>
      </c>
      <c r="B759" t="str">
        <f>"1551601676572542"</f>
        <v>1551601676572542</v>
      </c>
      <c r="C759" t="s">
        <v>40</v>
      </c>
      <c r="D759">
        <v>4.735341</v>
      </c>
      <c r="E759">
        <v>0.53308029999999995</v>
      </c>
      <c r="F759" t="s">
        <v>44</v>
      </c>
      <c r="G759">
        <v>-308.80790000000002</v>
      </c>
      <c r="H759">
        <v>0.793386699999999</v>
      </c>
      <c r="I759">
        <v>368.35489999999999</v>
      </c>
      <c r="J759">
        <v>-309.49079999999998</v>
      </c>
      <c r="K759">
        <v>1.073491</v>
      </c>
      <c r="L759">
        <v>368.42700000000002</v>
      </c>
      <c r="M759">
        <v>0.99987590000000004</v>
      </c>
      <c r="N759">
        <v>-1.17322E-2</v>
      </c>
      <c r="O759">
        <v>1.051527E-2</v>
      </c>
      <c r="P759">
        <v>0.98560789999999998</v>
      </c>
      <c r="Q759">
        <v>0.1690075</v>
      </c>
      <c r="R759">
        <v>-3.6388589999999999E-3</v>
      </c>
      <c r="S759">
        <v>3.2172550000000002</v>
      </c>
      <c r="T759">
        <v>-1.014222</v>
      </c>
      <c r="U759">
        <v>-0.25176999999999999</v>
      </c>
      <c r="V759">
        <v>1.4010109999999999E-2</v>
      </c>
      <c r="W759">
        <v>0.18055789999999999</v>
      </c>
      <c r="X759">
        <v>0.98346449999999996</v>
      </c>
      <c r="Y759">
        <v>8.3825300000000005E-2</v>
      </c>
      <c r="Z759">
        <v>-1.6497689999999999E-2</v>
      </c>
      <c r="AA759">
        <v>0.99634389999999995</v>
      </c>
      <c r="AB759">
        <v>42</v>
      </c>
      <c r="AC759">
        <v>0.68289999999996098</v>
      </c>
      <c r="AD759">
        <v>-0.28010429999999997</v>
      </c>
      <c r="AE759">
        <v>-7.2099999999977599E-2</v>
      </c>
      <c r="AF759">
        <v>6.7968523794393498E-2</v>
      </c>
      <c r="AG759">
        <v>-0.28010429999999997</v>
      </c>
      <c r="AH759">
        <v>0.58480239031057701</v>
      </c>
      <c r="AI759">
        <v>115.443700939767</v>
      </c>
      <c r="AJ759">
        <v>83.370555000488693</v>
      </c>
      <c r="AK759">
        <v>0.65197544034897703</v>
      </c>
      <c r="AL759">
        <v>79.597741689685506</v>
      </c>
      <c r="AM759">
        <v>89.183838482198595</v>
      </c>
      <c r="AN759">
        <v>0.99999993059743297</v>
      </c>
    </row>
    <row r="760" spans="1:40" x14ac:dyDescent="0.25">
      <c r="A760" t="str">
        <f>"20190303162756591"</f>
        <v>20190303162756591</v>
      </c>
      <c r="B760" t="str">
        <f>"1551601676582303"</f>
        <v>1551601676582303</v>
      </c>
      <c r="C760" t="s">
        <v>40</v>
      </c>
      <c r="D760">
        <v>4.7690169999999998</v>
      </c>
      <c r="E760">
        <v>0.53311529999999996</v>
      </c>
      <c r="F760" t="s">
        <v>44</v>
      </c>
      <c r="G760">
        <v>-308.78519999999997</v>
      </c>
      <c r="H760">
        <v>0.85079159999999998</v>
      </c>
      <c r="I760">
        <v>368.3716</v>
      </c>
      <c r="J760">
        <v>-309.29790000000003</v>
      </c>
      <c r="K760">
        <v>1.0732600000000001</v>
      </c>
      <c r="L760">
        <v>368.42910000000001</v>
      </c>
      <c r="M760">
        <v>0.99987649999999995</v>
      </c>
      <c r="N760">
        <v>-1.1676570000000001E-2</v>
      </c>
      <c r="O760">
        <v>1.0515419999999999E-2</v>
      </c>
      <c r="P760">
        <v>0.985622</v>
      </c>
      <c r="Q760">
        <v>0.16892699999999999</v>
      </c>
      <c r="R760">
        <v>-3.626462E-3</v>
      </c>
      <c r="S760">
        <v>3.2170100000000001</v>
      </c>
      <c r="T760">
        <v>-1.0154430000000001</v>
      </c>
      <c r="U760">
        <v>-0.25137330000000002</v>
      </c>
      <c r="V760">
        <v>1.3997809999999999E-2</v>
      </c>
      <c r="W760">
        <v>0.1804229</v>
      </c>
      <c r="X760">
        <v>0.98348950000000002</v>
      </c>
      <c r="Y760">
        <v>8.3704260000000003E-2</v>
      </c>
      <c r="Z760">
        <v>-1.6496340000000002E-2</v>
      </c>
      <c r="AA760">
        <v>0.99635410000000002</v>
      </c>
      <c r="AB760">
        <v>42</v>
      </c>
      <c r="AC760">
        <v>0.512700000000052</v>
      </c>
      <c r="AD760">
        <v>-0.22246840000000001</v>
      </c>
      <c r="AE760">
        <v>-5.7500000000004499E-2</v>
      </c>
      <c r="AF760">
        <v>5.3028184819566497E-2</v>
      </c>
      <c r="AG760">
        <v>-0.22246840000000001</v>
      </c>
      <c r="AH760">
        <v>0.43178015336484799</v>
      </c>
      <c r="AI760">
        <v>117.08488962478199</v>
      </c>
      <c r="AJ760">
        <v>82.998398838772502</v>
      </c>
      <c r="AK760">
        <v>0.48860851222997498</v>
      </c>
      <c r="AL760">
        <v>79.605606283781498</v>
      </c>
      <c r="AM760">
        <v>89.184575649711803</v>
      </c>
      <c r="AN760">
        <v>0.99999997906972704</v>
      </c>
    </row>
    <row r="761" spans="1:40" x14ac:dyDescent="0.25">
      <c r="A761" t="str">
        <f>"20190303162756601"</f>
        <v>20190303162756601</v>
      </c>
      <c r="B761" t="str">
        <f>"1551601676592062"</f>
        <v>1551601676592062</v>
      </c>
      <c r="C761" t="s">
        <v>40</v>
      </c>
      <c r="D761">
        <v>4.7766460000000004</v>
      </c>
      <c r="E761">
        <v>0.53314050000000002</v>
      </c>
      <c r="F761" t="s">
        <v>44</v>
      </c>
      <c r="G761">
        <v>-308.43040000000002</v>
      </c>
      <c r="H761">
        <v>0.79933019999999999</v>
      </c>
      <c r="I761">
        <v>368.36070000000001</v>
      </c>
      <c r="J761">
        <v>-309.08780000000002</v>
      </c>
      <c r="K761">
        <v>1.073021</v>
      </c>
      <c r="L761">
        <v>368.43130000000002</v>
      </c>
      <c r="M761">
        <v>0.99987720000000002</v>
      </c>
      <c r="N761">
        <v>-1.162616E-2</v>
      </c>
      <c r="O761">
        <v>1.051554E-2</v>
      </c>
      <c r="P761">
        <v>0.98566379999999998</v>
      </c>
      <c r="Q761">
        <v>0.16868929999999999</v>
      </c>
      <c r="R761">
        <v>-3.370254E-3</v>
      </c>
      <c r="S761">
        <v>3.2169490000000001</v>
      </c>
      <c r="T761">
        <v>-1.0158020000000001</v>
      </c>
      <c r="U761">
        <v>-0.2520752</v>
      </c>
      <c r="V761">
        <v>1.3742010000000001E-2</v>
      </c>
      <c r="W761">
        <v>0.18013579999999901</v>
      </c>
      <c r="X761">
        <v>0.98354580000000003</v>
      </c>
      <c r="Y761">
        <v>8.3908880000000005E-2</v>
      </c>
      <c r="Z761">
        <v>-1.6533050000000001E-2</v>
      </c>
      <c r="AA761">
        <v>0.99633629999999995</v>
      </c>
      <c r="AB761">
        <v>42</v>
      </c>
      <c r="AC761">
        <v>0.65739999999999499</v>
      </c>
      <c r="AD761">
        <v>-0.27369080000000001</v>
      </c>
      <c r="AE761">
        <v>-7.0600000000013097E-2</v>
      </c>
      <c r="AF761">
        <v>6.6171138987881503E-2</v>
      </c>
      <c r="AG761">
        <v>-0.27369080000000001</v>
      </c>
      <c r="AH761">
        <v>0.56056850638683997</v>
      </c>
      <c r="AI761">
        <v>115.867423208766</v>
      </c>
      <c r="AJ761">
        <v>83.267793127041799</v>
      </c>
      <c r="AK761">
        <v>0.62731357708275903</v>
      </c>
      <c r="AL761">
        <v>79.622330603264103</v>
      </c>
      <c r="AM761">
        <v>89.1995208088223</v>
      </c>
      <c r="AN761">
        <v>1.00000004498905</v>
      </c>
    </row>
    <row r="762" spans="1:40" x14ac:dyDescent="0.25">
      <c r="A762" t="str">
        <f>"20190303162756613"</f>
        <v>20190303162756613</v>
      </c>
      <c r="B762" t="str">
        <f>"1551601676601823"</f>
        <v>1551601676601823</v>
      </c>
      <c r="C762" t="s">
        <v>40</v>
      </c>
      <c r="D762">
        <v>4.7760569999999998</v>
      </c>
      <c r="E762">
        <v>0.53315369999999995</v>
      </c>
      <c r="F762" t="s">
        <v>44</v>
      </c>
      <c r="G762">
        <v>-308.40690000000001</v>
      </c>
      <c r="H762">
        <v>0.85772139999999997</v>
      </c>
      <c r="I762">
        <v>368.3775</v>
      </c>
      <c r="J762">
        <v>-308.88330000000002</v>
      </c>
      <c r="K762">
        <v>1.0728249999999999</v>
      </c>
      <c r="L762">
        <v>368.43340000000001</v>
      </c>
      <c r="M762">
        <v>0.99987729999999997</v>
      </c>
      <c r="N762">
        <v>-1.161974E-2</v>
      </c>
      <c r="O762">
        <v>1.0515760000000001E-2</v>
      </c>
      <c r="P762">
        <v>0.98565939999999996</v>
      </c>
      <c r="Q762">
        <v>0.1687187</v>
      </c>
      <c r="R762">
        <v>-3.1448819999999999E-3</v>
      </c>
      <c r="S762">
        <v>3.2168269999999999</v>
      </c>
      <c r="T762">
        <v>-1.0170250000000001</v>
      </c>
      <c r="U762">
        <v>-0.2520752</v>
      </c>
      <c r="V762">
        <v>1.351686E-2</v>
      </c>
      <c r="W762">
        <v>0.18015929999999999</v>
      </c>
      <c r="X762">
        <v>0.98354459999999999</v>
      </c>
      <c r="Y762">
        <v>8.3901229999999993E-2</v>
      </c>
      <c r="Z762">
        <v>-1.6550849999999999E-2</v>
      </c>
      <c r="AA762">
        <v>0.99633660000000002</v>
      </c>
      <c r="AB762">
        <v>42</v>
      </c>
      <c r="AC762">
        <v>0.47640000000001198</v>
      </c>
      <c r="AD762">
        <v>-0.21510359999999901</v>
      </c>
      <c r="AE762">
        <v>-5.59000000000082E-2</v>
      </c>
      <c r="AF762">
        <v>5.0709290830427599E-2</v>
      </c>
      <c r="AG762">
        <v>-0.21510359999999901</v>
      </c>
      <c r="AH762">
        <v>0.39612487473485303</v>
      </c>
      <c r="AI762">
        <v>118.30798353977799</v>
      </c>
      <c r="AJ762">
        <v>82.705048477596804</v>
      </c>
      <c r="AK762">
        <v>0.45360324876833502</v>
      </c>
      <c r="AL762">
        <v>79.620961595468003</v>
      </c>
      <c r="AM762">
        <v>89.212633287423103</v>
      </c>
      <c r="AN762">
        <v>1.00000002953495</v>
      </c>
    </row>
    <row r="763" spans="1:40" x14ac:dyDescent="0.25">
      <c r="A763" t="str">
        <f>"20190303162756624"</f>
        <v>20190303162756624</v>
      </c>
      <c r="B763" t="str">
        <f>"1551601676622317"</f>
        <v>1551601676622317</v>
      </c>
      <c r="C763" t="s">
        <v>40</v>
      </c>
      <c r="D763">
        <v>4.8090460000000004</v>
      </c>
      <c r="E763">
        <v>0.53318789999999905</v>
      </c>
      <c r="F763" t="s">
        <v>44</v>
      </c>
      <c r="G763">
        <v>-308.05110000000002</v>
      </c>
      <c r="H763">
        <v>0.80966210000000005</v>
      </c>
      <c r="I763">
        <v>368.36799999999999</v>
      </c>
      <c r="J763">
        <v>-308.67680000000001</v>
      </c>
      <c r="K763">
        <v>1.072638</v>
      </c>
      <c r="L763">
        <v>368.43560000000002</v>
      </c>
      <c r="M763">
        <v>0.99987720000000002</v>
      </c>
      <c r="N763">
        <v>-1.162142E-2</v>
      </c>
      <c r="O763">
        <v>1.051593E-2</v>
      </c>
      <c r="P763">
        <v>0.98567830000000001</v>
      </c>
      <c r="Q763">
        <v>0.16861370000000001</v>
      </c>
      <c r="R763">
        <v>-2.7637600000000001E-3</v>
      </c>
      <c r="S763">
        <v>3.2170100000000001</v>
      </c>
      <c r="T763">
        <v>-1.0173299999999901</v>
      </c>
      <c r="U763">
        <v>-0.25152590000000002</v>
      </c>
      <c r="V763">
        <v>1.313624E-2</v>
      </c>
      <c r="W763">
        <v>0.1800561</v>
      </c>
      <c r="X763">
        <v>0.98356860000000002</v>
      </c>
      <c r="Y763">
        <v>8.3734020000000006E-2</v>
      </c>
      <c r="Z763">
        <v>-1.6528040000000001E-2</v>
      </c>
      <c r="AA763">
        <v>0.99635110000000005</v>
      </c>
      <c r="AB763">
        <v>42</v>
      </c>
      <c r="AC763">
        <v>0.62569999999999404</v>
      </c>
      <c r="AD763">
        <v>-0.26297589999999899</v>
      </c>
      <c r="AE763">
        <v>-6.7599999999970295E-2</v>
      </c>
      <c r="AF763">
        <v>6.3150120253582506E-2</v>
      </c>
      <c r="AG763">
        <v>-0.26297589999999899</v>
      </c>
      <c r="AH763">
        <v>0.53205446169510695</v>
      </c>
      <c r="AI763">
        <v>116.142721514675</v>
      </c>
      <c r="AJ763">
        <v>83.231168813768903</v>
      </c>
      <c r="AK763">
        <v>0.59684689148769299</v>
      </c>
      <c r="AL763">
        <v>79.626972254472605</v>
      </c>
      <c r="AM763">
        <v>89.234820668128705</v>
      </c>
      <c r="AN763">
        <v>0.99999997542725305</v>
      </c>
    </row>
    <row r="764" spans="1:40" x14ac:dyDescent="0.25">
      <c r="A764" t="str">
        <f>"20190303162756636"</f>
        <v>20190303162756636</v>
      </c>
      <c r="B764" t="str">
        <f>"1551601676632079"</f>
        <v>1551601676632079</v>
      </c>
      <c r="C764" t="s">
        <v>40</v>
      </c>
      <c r="D764">
        <v>4.8240790000000002</v>
      </c>
      <c r="E764">
        <v>0.53319220000000001</v>
      </c>
      <c r="F764" t="s">
        <v>44</v>
      </c>
      <c r="G764">
        <v>-307.69490000000002</v>
      </c>
      <c r="H764">
        <v>0.76189469999999904</v>
      </c>
      <c r="I764">
        <v>368.35890000000001</v>
      </c>
      <c r="J764">
        <v>-308.45330000000001</v>
      </c>
      <c r="K764">
        <v>1.072471</v>
      </c>
      <c r="L764">
        <v>368.43799999999999</v>
      </c>
      <c r="M764">
        <v>0.99987669999999995</v>
      </c>
      <c r="N764">
        <v>-1.166855E-2</v>
      </c>
      <c r="O764">
        <v>1.051613E-2</v>
      </c>
      <c r="P764">
        <v>0.98565480000000005</v>
      </c>
      <c r="Q764">
        <v>0.16875109999999999</v>
      </c>
      <c r="R764">
        <v>-2.7523859999999999E-3</v>
      </c>
      <c r="S764">
        <v>3.217041</v>
      </c>
      <c r="T764">
        <v>-1.0181290000000001</v>
      </c>
      <c r="U764">
        <v>-0.2506409</v>
      </c>
      <c r="V764">
        <v>1.3124780000000001E-2</v>
      </c>
      <c r="W764">
        <v>0.18023939999999999</v>
      </c>
      <c r="X764">
        <v>0.98353520000000005</v>
      </c>
      <c r="Y764">
        <v>8.3466890000000002E-2</v>
      </c>
      <c r="Z764">
        <v>-1.6498970000000002E-2</v>
      </c>
      <c r="AA764">
        <v>0.99637399999999998</v>
      </c>
      <c r="AB764">
        <v>42</v>
      </c>
      <c r="AC764">
        <v>0.75839999999999397</v>
      </c>
      <c r="AD764">
        <v>-0.31057629999999897</v>
      </c>
      <c r="AE764">
        <v>-7.9100000000039403E-2</v>
      </c>
      <c r="AF764">
        <v>7.4682005468719795E-2</v>
      </c>
      <c r="AG764">
        <v>-0.31057629999999897</v>
      </c>
      <c r="AH764">
        <v>0.64973623336882402</v>
      </c>
      <c r="AI764">
        <v>115.40196768663</v>
      </c>
      <c r="AJ764">
        <v>83.443081370401799</v>
      </c>
      <c r="AK764">
        <v>0.72401119674686498</v>
      </c>
      <c r="AL764">
        <v>79.6162954671574</v>
      </c>
      <c r="AM764">
        <v>89.235462168986999</v>
      </c>
      <c r="AN764">
        <v>0.99999999540072404</v>
      </c>
    </row>
    <row r="765" spans="1:40" x14ac:dyDescent="0.25">
      <c r="A765" t="str">
        <f>"20190303162756649"</f>
        <v>20190303162756649</v>
      </c>
      <c r="B765" t="str">
        <f>"1551601676641838"</f>
        <v>1551601676641838</v>
      </c>
      <c r="C765" t="s">
        <v>40</v>
      </c>
      <c r="D765">
        <v>4.8392350000000004</v>
      </c>
      <c r="E765">
        <v>0.53319869999999903</v>
      </c>
      <c r="F765" t="s">
        <v>44</v>
      </c>
      <c r="G765">
        <v>-307.6703</v>
      </c>
      <c r="H765">
        <v>0.8246677</v>
      </c>
      <c r="I765">
        <v>368.3766</v>
      </c>
      <c r="J765">
        <v>-308.21390000000002</v>
      </c>
      <c r="K765">
        <v>1.0723009999999999</v>
      </c>
      <c r="L765">
        <v>368.44049999999999</v>
      </c>
      <c r="M765">
        <v>0.99987570000000003</v>
      </c>
      <c r="N765">
        <v>-1.173623E-2</v>
      </c>
      <c r="O765">
        <v>1.0516380000000001E-2</v>
      </c>
      <c r="P765">
        <v>0.98566379999999998</v>
      </c>
      <c r="Q765">
        <v>0.16870569999999999</v>
      </c>
      <c r="R765">
        <v>-2.2773749999999999E-3</v>
      </c>
      <c r="S765">
        <v>3.2172550000000002</v>
      </c>
      <c r="T765">
        <v>-1.018089</v>
      </c>
      <c r="U765">
        <v>-0.25122070000000002</v>
      </c>
      <c r="V765">
        <v>1.265019E-2</v>
      </c>
      <c r="W765">
        <v>0.180261</v>
      </c>
      <c r="X765">
        <v>0.98353740000000001</v>
      </c>
      <c r="Y765">
        <v>8.3632449999999997E-2</v>
      </c>
      <c r="Z765">
        <v>-1.652605E-2</v>
      </c>
      <c r="AA765">
        <v>0.99635960000000001</v>
      </c>
      <c r="AB765">
        <v>42</v>
      </c>
      <c r="AC765">
        <v>0.54360000000002595</v>
      </c>
      <c r="AD765">
        <v>-0.247633299999999</v>
      </c>
      <c r="AE765">
        <v>-6.3899999999989604E-2</v>
      </c>
      <c r="AF765">
        <v>5.77854001232352E-2</v>
      </c>
      <c r="AG765">
        <v>-0.247633299999999</v>
      </c>
      <c r="AH765">
        <v>0.45065314696591102</v>
      </c>
      <c r="AI765">
        <v>118.59198393517801</v>
      </c>
      <c r="AJ765">
        <v>82.693070233709506</v>
      </c>
      <c r="AK765">
        <v>0.51744532330147897</v>
      </c>
      <c r="AL765">
        <v>79.615036649614893</v>
      </c>
      <c r="AM765">
        <v>89.263106280292703</v>
      </c>
      <c r="AN765">
        <v>0.99999993631339601</v>
      </c>
    </row>
    <row r="766" spans="1:40" x14ac:dyDescent="0.25">
      <c r="A766" t="str">
        <f>"20190303162756671"</f>
        <v>20190303162756671</v>
      </c>
      <c r="B766" t="str">
        <f>"1551601676662333"</f>
        <v>1551601676662333</v>
      </c>
      <c r="C766" t="s">
        <v>40</v>
      </c>
      <c r="D766">
        <v>4.8598589999999904</v>
      </c>
      <c r="E766">
        <v>0.53321019999999997</v>
      </c>
      <c r="F766" t="s">
        <v>44</v>
      </c>
      <c r="G766">
        <v>-307.31049999999999</v>
      </c>
      <c r="H766">
        <v>0.78630909999999998</v>
      </c>
      <c r="I766">
        <v>368.37</v>
      </c>
      <c r="J766">
        <v>-307.8</v>
      </c>
      <c r="K766">
        <v>1.0720689999999999</v>
      </c>
      <c r="L766">
        <v>368.44479999999999</v>
      </c>
      <c r="M766">
        <v>0.99987380000000003</v>
      </c>
      <c r="N766">
        <v>-1.1906480000000001E-2</v>
      </c>
      <c r="O766">
        <v>1.0516380000000001E-2</v>
      </c>
      <c r="P766">
        <v>0.98570069999999999</v>
      </c>
      <c r="Q766">
        <v>0.168495899999999</v>
      </c>
      <c r="R766">
        <v>-1.894516E-3</v>
      </c>
      <c r="S766">
        <v>3.2174070000000001</v>
      </c>
      <c r="T766">
        <v>-1.0186500000000001</v>
      </c>
      <c r="U766">
        <v>-0.24981690000000001</v>
      </c>
      <c r="V766">
        <v>1.226756E-2</v>
      </c>
      <c r="W766">
        <v>0.18021880000000001</v>
      </c>
      <c r="X766">
        <v>0.98355000000000004</v>
      </c>
      <c r="Y766">
        <v>8.3211439999999998E-2</v>
      </c>
      <c r="Z766">
        <v>-1.6472090000000002E-2</v>
      </c>
      <c r="AA766">
        <v>0.99639580000000005</v>
      </c>
      <c r="AB766">
        <v>42</v>
      </c>
      <c r="AC766">
        <v>0.48950000000001997</v>
      </c>
      <c r="AD766">
        <v>-0.28575990000000001</v>
      </c>
      <c r="AE766">
        <v>-7.4799999999981895E-2</v>
      </c>
      <c r="AF766">
        <v>5.9972007056076998E-2</v>
      </c>
      <c r="AG766">
        <v>-0.28575990000000001</v>
      </c>
      <c r="AH766">
        <v>0.36660032599236397</v>
      </c>
      <c r="AI766">
        <v>127.569675239791</v>
      </c>
      <c r="AJ766">
        <v>80.709299936052304</v>
      </c>
      <c r="AK766">
        <v>0.46866956493466899</v>
      </c>
      <c r="AL766">
        <v>79.617494992932805</v>
      </c>
      <c r="AM766">
        <v>89.285401893610299</v>
      </c>
      <c r="AN766">
        <v>0.99999995570089495</v>
      </c>
    </row>
    <row r="767" spans="1:40" x14ac:dyDescent="0.25">
      <c r="A767" t="str">
        <f>"20190303162756686"</f>
        <v>20190303162756686</v>
      </c>
      <c r="B767" t="str">
        <f>"1551601676681854"</f>
        <v>1551601676681854</v>
      </c>
      <c r="C767" t="s">
        <v>40</v>
      </c>
      <c r="D767">
        <v>4.8939309999999896</v>
      </c>
      <c r="E767">
        <v>0.53322349999999996</v>
      </c>
      <c r="F767" t="s">
        <v>44</v>
      </c>
      <c r="G767">
        <v>-306.93200000000002</v>
      </c>
      <c r="H767">
        <v>0.79676590000000003</v>
      </c>
      <c r="I767">
        <v>368.3775</v>
      </c>
      <c r="J767">
        <v>-307.53859999999997</v>
      </c>
      <c r="K767">
        <v>1.071947</v>
      </c>
      <c r="L767">
        <v>368.44760000000002</v>
      </c>
      <c r="M767">
        <v>0.99987239999999999</v>
      </c>
      <c r="N767">
        <v>-1.2034059999999999E-2</v>
      </c>
      <c r="O767">
        <v>1.051644E-2</v>
      </c>
      <c r="P767">
        <v>0.98570780000000002</v>
      </c>
      <c r="Q767">
        <v>0.16845389999999999</v>
      </c>
      <c r="R767">
        <v>-1.8846959999999999E-3</v>
      </c>
      <c r="S767">
        <v>3.2174990000000001</v>
      </c>
      <c r="T767">
        <v>-1.0204930000000001</v>
      </c>
      <c r="U767">
        <v>-0.24908449999999999</v>
      </c>
      <c r="V767">
        <v>1.2258E-2</v>
      </c>
      <c r="W767">
        <v>0.1803023</v>
      </c>
      <c r="X767">
        <v>0.98353489999999999</v>
      </c>
      <c r="Y767">
        <v>8.2978179999999999E-2</v>
      </c>
      <c r="Z767">
        <v>-1.646624E-2</v>
      </c>
      <c r="AA767">
        <v>0.9964153</v>
      </c>
      <c r="AB767">
        <v>42</v>
      </c>
      <c r="AC767">
        <v>0.60659999999995695</v>
      </c>
      <c r="AD767">
        <v>-0.27518110000000001</v>
      </c>
      <c r="AE767">
        <v>-7.0100000000024906E-2</v>
      </c>
      <c r="AF767">
        <v>6.3566632337871798E-2</v>
      </c>
      <c r="AG767">
        <v>-0.27518110000000001</v>
      </c>
      <c r="AH767">
        <v>0.50356443657057803</v>
      </c>
      <c r="AI767">
        <v>118.464951977599</v>
      </c>
      <c r="AJ767">
        <v>82.805414925546799</v>
      </c>
      <c r="AK767">
        <v>0.57735820451659903</v>
      </c>
      <c r="AL767">
        <v>79.612631991577302</v>
      </c>
      <c r="AM767">
        <v>89.285947754467998</v>
      </c>
      <c r="AN767">
        <v>1.0000000387336401</v>
      </c>
    </row>
    <row r="768" spans="1:40" x14ac:dyDescent="0.25">
      <c r="A768" t="str">
        <f>"20190303162756698"</f>
        <v>20190303162756698</v>
      </c>
      <c r="B768" t="str">
        <f>"1551601676692590"</f>
        <v>1551601676692590</v>
      </c>
      <c r="C768" t="s">
        <v>40</v>
      </c>
      <c r="D768">
        <v>4.8892089999999904</v>
      </c>
      <c r="E768">
        <v>0.53322579999999997</v>
      </c>
      <c r="F768" t="s">
        <v>44</v>
      </c>
      <c r="G768">
        <v>-306.57040000000001</v>
      </c>
      <c r="H768">
        <v>0.7645286</v>
      </c>
      <c r="I768">
        <v>368.37240000000003</v>
      </c>
      <c r="J768">
        <v>-307.27659999999997</v>
      </c>
      <c r="K768">
        <v>1.071841</v>
      </c>
      <c r="L768">
        <v>368.45030000000003</v>
      </c>
      <c r="M768">
        <v>0.9998707</v>
      </c>
      <c r="N768">
        <v>-1.217296E-2</v>
      </c>
      <c r="O768">
        <v>1.0516599999999999E-2</v>
      </c>
      <c r="P768">
        <v>0.98570210000000003</v>
      </c>
      <c r="Q768">
        <v>0.16848929999999901</v>
      </c>
      <c r="R768">
        <v>-1.6523449999999999E-3</v>
      </c>
      <c r="S768">
        <v>3.2176209999999998</v>
      </c>
      <c r="T768">
        <v>-1.021595</v>
      </c>
      <c r="U768">
        <v>-0.24884029999999999</v>
      </c>
      <c r="V768">
        <v>1.202575E-2</v>
      </c>
      <c r="W768">
        <v>0.18047440000000001</v>
      </c>
      <c r="X768">
        <v>0.98350610000000005</v>
      </c>
      <c r="Y768">
        <v>8.2893679999999997E-2</v>
      </c>
      <c r="Z768">
        <v>-1.6473229999999998E-2</v>
      </c>
      <c r="AA768">
        <v>0.99642220000000004</v>
      </c>
      <c r="AB768">
        <v>42</v>
      </c>
      <c r="AC768">
        <v>0.70619999999996697</v>
      </c>
      <c r="AD768">
        <v>-0.30731239999999999</v>
      </c>
      <c r="AE768">
        <v>-7.7899999999999595E-2</v>
      </c>
      <c r="AF768">
        <v>7.1875776558265006E-2</v>
      </c>
      <c r="AG768">
        <v>-0.30731239999999999</v>
      </c>
      <c r="AH768">
        <v>0.59417671564747199</v>
      </c>
      <c r="AI768">
        <v>117.178864000187</v>
      </c>
      <c r="AJ768">
        <v>83.102614168201796</v>
      </c>
      <c r="AK768">
        <v>0.67279492259323004</v>
      </c>
      <c r="AL768">
        <v>79.602605875261105</v>
      </c>
      <c r="AM768">
        <v>89.299454894214307</v>
      </c>
      <c r="AN768">
        <v>0.99999993822781397</v>
      </c>
    </row>
    <row r="769" spans="1:40" x14ac:dyDescent="0.25">
      <c r="A769" t="str">
        <f>"20190303162756714"</f>
        <v>20190303162756714</v>
      </c>
      <c r="B769" t="str">
        <f>"1551601676702350"</f>
        <v>1551601676702350</v>
      </c>
      <c r="C769" t="s">
        <v>40</v>
      </c>
      <c r="D769">
        <v>4.9090669999999896</v>
      </c>
      <c r="E769">
        <v>0.53322519999999995</v>
      </c>
      <c r="F769" t="s">
        <v>44</v>
      </c>
      <c r="G769">
        <v>-306.54140000000001</v>
      </c>
      <c r="H769">
        <v>0.8383003</v>
      </c>
      <c r="I769">
        <v>368.39330000000001</v>
      </c>
      <c r="J769">
        <v>-306.99400000000003</v>
      </c>
      <c r="K769">
        <v>1.0717350000000001</v>
      </c>
      <c r="L769">
        <v>368.45330000000001</v>
      </c>
      <c r="M769">
        <v>0.99986889999999995</v>
      </c>
      <c r="N769">
        <v>-1.232279E-2</v>
      </c>
      <c r="O769">
        <v>1.05165E-2</v>
      </c>
      <c r="P769">
        <v>0.98566240000000005</v>
      </c>
      <c r="Q769">
        <v>0.16872010000000001</v>
      </c>
      <c r="R769">
        <v>-1.849687E-3</v>
      </c>
      <c r="S769">
        <v>3.2178040000000001</v>
      </c>
      <c r="T769">
        <v>-1.022116</v>
      </c>
      <c r="U769">
        <v>-0.24829100000000001</v>
      </c>
      <c r="V769">
        <v>1.222261E-2</v>
      </c>
      <c r="W769">
        <v>0.1808525</v>
      </c>
      <c r="X769">
        <v>0.98343429999999998</v>
      </c>
      <c r="Y769">
        <v>8.2723119999999997E-2</v>
      </c>
      <c r="Z769">
        <v>-1.6457610000000001E-2</v>
      </c>
      <c r="AA769">
        <v>0.99643669999999995</v>
      </c>
      <c r="AB769">
        <v>42</v>
      </c>
      <c r="AC769">
        <v>0.45260000000001799</v>
      </c>
      <c r="AD769">
        <v>-0.23343469999999999</v>
      </c>
      <c r="AE769">
        <v>-6.0000000000002197E-2</v>
      </c>
      <c r="AF769">
        <v>5.13365151560485E-2</v>
      </c>
      <c r="AG769">
        <v>-0.23343469999999999</v>
      </c>
      <c r="AH769">
        <v>0.35828241572705199</v>
      </c>
      <c r="AI769">
        <v>122.820044367096</v>
      </c>
      <c r="AJ769">
        <v>81.845871954291496</v>
      </c>
      <c r="AK769">
        <v>0.43068954755330302</v>
      </c>
      <c r="AL769">
        <v>79.580580770291903</v>
      </c>
      <c r="AM769">
        <v>89.287936252680097</v>
      </c>
      <c r="AN769">
        <v>1.0000000206839701</v>
      </c>
    </row>
    <row r="770" spans="1:40" x14ac:dyDescent="0.25">
      <c r="A770" t="str">
        <f>"20190303162756726"</f>
        <v>20190303162756726</v>
      </c>
      <c r="B770" t="str">
        <f>"1551601676721870"</f>
        <v>1551601676721870</v>
      </c>
      <c r="C770" t="s">
        <v>40</v>
      </c>
      <c r="D770">
        <v>4.921405</v>
      </c>
      <c r="E770">
        <v>0.53326459999999998</v>
      </c>
      <c r="F770" t="s">
        <v>44</v>
      </c>
      <c r="G770">
        <v>-306.17759999999998</v>
      </c>
      <c r="H770">
        <v>0.81245909999999999</v>
      </c>
      <c r="I770">
        <v>368.39</v>
      </c>
      <c r="J770">
        <v>-306.75389999999999</v>
      </c>
      <c r="K770">
        <v>1.071655</v>
      </c>
      <c r="L770">
        <v>368.45580000000001</v>
      </c>
      <c r="M770">
        <v>0.99986730000000001</v>
      </c>
      <c r="N770">
        <v>-1.2447669999999999E-2</v>
      </c>
      <c r="O770">
        <v>1.051655E-2</v>
      </c>
      <c r="P770">
        <v>0.98568999999999996</v>
      </c>
      <c r="Q770">
        <v>0.1685584</v>
      </c>
      <c r="R770">
        <v>-1.908313E-3</v>
      </c>
      <c r="S770">
        <v>3.2181090000000001</v>
      </c>
      <c r="T770">
        <v>-1.022068</v>
      </c>
      <c r="U770">
        <v>-0.24902340000000001</v>
      </c>
      <c r="V770">
        <v>1.2281520000000001E-2</v>
      </c>
      <c r="W770">
        <v>0.18081359999999999</v>
      </c>
      <c r="X770">
        <v>0.98344069999999995</v>
      </c>
      <c r="Y770">
        <v>8.2930870000000004E-2</v>
      </c>
      <c r="Z770">
        <v>-1.649283E-2</v>
      </c>
      <c r="AA770">
        <v>0.99641880000000005</v>
      </c>
      <c r="AB770">
        <v>42</v>
      </c>
      <c r="AC770">
        <v>0.57630000000000303</v>
      </c>
      <c r="AD770">
        <v>-0.25919589999999998</v>
      </c>
      <c r="AE770">
        <v>-6.58000000000242E-2</v>
      </c>
      <c r="AF770">
        <v>5.9897250121262798E-2</v>
      </c>
      <c r="AG770">
        <v>-0.25919589999999998</v>
      </c>
      <c r="AH770">
        <v>0.47977477904816901</v>
      </c>
      <c r="AI770">
        <v>118.195018538521</v>
      </c>
      <c r="AJ770">
        <v>82.883755335903103</v>
      </c>
      <c r="AK770">
        <v>0.54859277589084099</v>
      </c>
      <c r="AL770">
        <v>79.582846740214805</v>
      </c>
      <c r="AM770">
        <v>89.284509290759402</v>
      </c>
      <c r="AN770">
        <v>1.00000000204748</v>
      </c>
    </row>
    <row r="771" spans="1:40" x14ac:dyDescent="0.25">
      <c r="A771" t="str">
        <f>"20190303162756737"</f>
        <v>20190303162756737</v>
      </c>
      <c r="B771" t="str">
        <f>"1551601676732606"</f>
        <v>1551601676732606</v>
      </c>
      <c r="C771" t="s">
        <v>40</v>
      </c>
      <c r="D771">
        <v>4.9149799999999999</v>
      </c>
      <c r="E771">
        <v>0.53329179999999998</v>
      </c>
      <c r="F771" t="s">
        <v>44</v>
      </c>
      <c r="G771">
        <v>-305.81889999999999</v>
      </c>
      <c r="H771">
        <v>0.77436579999999999</v>
      </c>
      <c r="I771">
        <v>368.38310000000001</v>
      </c>
      <c r="J771">
        <v>-306.5609</v>
      </c>
      <c r="K771">
        <v>1.071596</v>
      </c>
      <c r="L771">
        <v>368.4579</v>
      </c>
      <c r="M771">
        <v>0.99986609999999998</v>
      </c>
      <c r="N771">
        <v>-1.2543449999999999E-2</v>
      </c>
      <c r="O771">
        <v>1.0516660000000001E-2</v>
      </c>
      <c r="P771">
        <v>0.98573239999999995</v>
      </c>
      <c r="Q771">
        <v>0.1683105</v>
      </c>
      <c r="R771">
        <v>-1.8669050000000001E-3</v>
      </c>
      <c r="S771">
        <v>3.218048</v>
      </c>
      <c r="T771">
        <v>-1.023239</v>
      </c>
      <c r="U771">
        <v>-0.24932860000000001</v>
      </c>
      <c r="V771">
        <v>1.2240610000000001E-2</v>
      </c>
      <c r="W771">
        <v>0.18066070000000001</v>
      </c>
      <c r="X771">
        <v>0.98346929999999999</v>
      </c>
      <c r="Y771">
        <v>8.3010760000000003E-2</v>
      </c>
      <c r="Z771">
        <v>-1.652671E-2</v>
      </c>
      <c r="AA771">
        <v>0.99641159999999995</v>
      </c>
      <c r="AB771">
        <v>42</v>
      </c>
      <c r="AC771">
        <v>0.74200000000001798</v>
      </c>
      <c r="AD771">
        <v>-0.2972302</v>
      </c>
      <c r="AE771">
        <v>-7.4799999999981895E-2</v>
      </c>
      <c r="AF771">
        <v>7.1277427662604004E-2</v>
      </c>
      <c r="AG771">
        <v>-0.2972302</v>
      </c>
      <c r="AH771">
        <v>0.63957572958766795</v>
      </c>
      <c r="AI771">
        <v>114.790841487485</v>
      </c>
      <c r="AJ771">
        <v>83.640919742253402</v>
      </c>
      <c r="AK771">
        <v>0.70886061913738396</v>
      </c>
      <c r="AL771">
        <v>79.591753853972904</v>
      </c>
      <c r="AM771">
        <v>89.286913094294505</v>
      </c>
      <c r="AN771">
        <v>0.99999999255007599</v>
      </c>
    </row>
    <row r="772" spans="1:40" x14ac:dyDescent="0.25">
      <c r="A772" t="str">
        <f>"20190303162756748"</f>
        <v>20190303162756748</v>
      </c>
      <c r="B772" t="str">
        <f>"1551601676742367"</f>
        <v>1551601676742367</v>
      </c>
      <c r="C772" t="s">
        <v>40</v>
      </c>
      <c r="D772">
        <v>4.9623499999999998</v>
      </c>
      <c r="E772">
        <v>0.53330080000000002</v>
      </c>
      <c r="F772" t="s">
        <v>44</v>
      </c>
      <c r="G772">
        <v>-305.79759999999999</v>
      </c>
      <c r="H772">
        <v>0.82865440000000001</v>
      </c>
      <c r="I772">
        <v>368.39830000000001</v>
      </c>
      <c r="J772">
        <v>-306.36599999999999</v>
      </c>
      <c r="K772">
        <v>1.0715429999999999</v>
      </c>
      <c r="L772">
        <v>368.4599</v>
      </c>
      <c r="M772">
        <v>0.99986489999999995</v>
      </c>
      <c r="N772">
        <v>-1.263653E-2</v>
      </c>
      <c r="O772">
        <v>1.051672E-2</v>
      </c>
      <c r="P772">
        <v>0.98576319999999995</v>
      </c>
      <c r="Q772">
        <v>0.1681289</v>
      </c>
      <c r="R772">
        <v>-1.9408990000000001E-3</v>
      </c>
      <c r="S772">
        <v>3.2178339999999999</v>
      </c>
      <c r="T772">
        <v>-1.0242260000000001</v>
      </c>
      <c r="U772">
        <v>-0.2498474</v>
      </c>
      <c r="V772">
        <v>1.2315090000000001E-2</v>
      </c>
      <c r="W772">
        <v>0.18057100000000001</v>
      </c>
      <c r="X772">
        <v>0.9834849</v>
      </c>
      <c r="Y772">
        <v>8.3157800000000004E-2</v>
      </c>
      <c r="Z772">
        <v>-1.656929E-2</v>
      </c>
      <c r="AA772">
        <v>0.99639860000000002</v>
      </c>
      <c r="AB772">
        <v>42</v>
      </c>
      <c r="AC772">
        <v>0.56839999999999602</v>
      </c>
      <c r="AD772">
        <v>-0.24288860000000001</v>
      </c>
      <c r="AE772">
        <v>-6.1599999999998503E-2</v>
      </c>
      <c r="AF772">
        <v>5.7243351370416702E-2</v>
      </c>
      <c r="AG772">
        <v>-0.24288860000000001</v>
      </c>
      <c r="AH772">
        <v>0.48092257884748701</v>
      </c>
      <c r="AI772">
        <v>116.634089279484</v>
      </c>
      <c r="AJ772">
        <v>83.212122219071702</v>
      </c>
      <c r="AK772">
        <v>0.54181011446021798</v>
      </c>
      <c r="AL772">
        <v>79.596979806665502</v>
      </c>
      <c r="AM772">
        <v>89.282586030730798</v>
      </c>
      <c r="AN772">
        <v>1.0000000480053499</v>
      </c>
    </row>
    <row r="773" spans="1:40" x14ac:dyDescent="0.25">
      <c r="A773" t="str">
        <f>"20190303162756758"</f>
        <v>20190303162756758</v>
      </c>
      <c r="B773" t="str">
        <f>"1551601676752126"</f>
        <v>1551601676752126</v>
      </c>
      <c r="C773" t="s">
        <v>40</v>
      </c>
      <c r="D773">
        <v>4.9691619999999999</v>
      </c>
      <c r="E773">
        <v>0.53330419999999901</v>
      </c>
      <c r="F773" t="s">
        <v>44</v>
      </c>
      <c r="G773">
        <v>-305.44409999999999</v>
      </c>
      <c r="H773">
        <v>0.77780869999999902</v>
      </c>
      <c r="I773">
        <v>368.38810000000001</v>
      </c>
      <c r="J773">
        <v>-306.14999999999998</v>
      </c>
      <c r="K773">
        <v>1.0714889999999999</v>
      </c>
      <c r="L773">
        <v>368.4622</v>
      </c>
      <c r="M773">
        <v>0.99986370000000002</v>
      </c>
      <c r="N773">
        <v>-1.2734280000000001E-2</v>
      </c>
      <c r="O773">
        <v>1.051675E-2</v>
      </c>
      <c r="P773">
        <v>0.9857707</v>
      </c>
      <c r="Q773">
        <v>0.16808480000000001</v>
      </c>
      <c r="R773">
        <v>-1.9544649999999998E-3</v>
      </c>
      <c r="S773">
        <v>3.2176819999999999</v>
      </c>
      <c r="T773">
        <v>-1.0253080000000001</v>
      </c>
      <c r="U773">
        <v>-0.25033569999999999</v>
      </c>
      <c r="V773">
        <v>1.2328769999999999E-2</v>
      </c>
      <c r="W773">
        <v>0.1806227</v>
      </c>
      <c r="X773">
        <v>0.98347519999999999</v>
      </c>
      <c r="Y773">
        <v>8.3293759999999994E-2</v>
      </c>
      <c r="Z773">
        <v>-1.6611399999999998E-2</v>
      </c>
      <c r="AA773">
        <v>0.99638660000000001</v>
      </c>
      <c r="AB773">
        <v>42</v>
      </c>
      <c r="AC773">
        <v>0.70589999999998498</v>
      </c>
      <c r="AD773">
        <v>-0.29368030000000001</v>
      </c>
      <c r="AE773">
        <v>-7.4099999999987107E-2</v>
      </c>
      <c r="AF773">
        <v>6.9604058860496101E-2</v>
      </c>
      <c r="AG773">
        <v>-0.29368030000000001</v>
      </c>
      <c r="AH773">
        <v>0.60201637368320604</v>
      </c>
      <c r="AI773">
        <v>115.85480768024399</v>
      </c>
      <c r="AJ773">
        <v>83.404847244665604</v>
      </c>
      <c r="AK773">
        <v>0.67343637992064498</v>
      </c>
      <c r="AL773">
        <v>79.593967732765805</v>
      </c>
      <c r="AM773">
        <v>89.281782104578795</v>
      </c>
      <c r="AN773">
        <v>1.00000001367002</v>
      </c>
    </row>
    <row r="774" spans="1:40" x14ac:dyDescent="0.25">
      <c r="A774" t="str">
        <f>"20190303162756769"</f>
        <v>20190303162756769</v>
      </c>
      <c r="B774" t="str">
        <f>"1551601676761885"</f>
        <v>1551601676761885</v>
      </c>
      <c r="C774" t="s">
        <v>40</v>
      </c>
      <c r="D774">
        <v>4.97567</v>
      </c>
      <c r="E774">
        <v>0.53330749999999905</v>
      </c>
      <c r="F774" t="s">
        <v>44</v>
      </c>
      <c r="G774">
        <v>-305.42009999999999</v>
      </c>
      <c r="H774">
        <v>0.83875189999999999</v>
      </c>
      <c r="I774">
        <v>368.40530000000001</v>
      </c>
      <c r="J774">
        <v>-305.95699999999999</v>
      </c>
      <c r="K774">
        <v>1.0714440000000001</v>
      </c>
      <c r="L774">
        <v>368.46420000000001</v>
      </c>
      <c r="M774">
        <v>0.99986260000000005</v>
      </c>
      <c r="N774">
        <v>-1.281673E-2</v>
      </c>
      <c r="O774">
        <v>1.051675E-2</v>
      </c>
      <c r="P774">
        <v>0.98581859999999999</v>
      </c>
      <c r="Q774">
        <v>0.16780610000000001</v>
      </c>
      <c r="R774">
        <v>-1.708687E-3</v>
      </c>
      <c r="S774">
        <v>3.2177120000000001</v>
      </c>
      <c r="T774">
        <v>-1.0259969999999901</v>
      </c>
      <c r="U774">
        <v>-0.25018309999999999</v>
      </c>
      <c r="V774">
        <v>1.208365E-2</v>
      </c>
      <c r="W774">
        <v>0.18042569999999999</v>
      </c>
      <c r="X774">
        <v>0.98351440000000001</v>
      </c>
      <c r="Y774">
        <v>8.3241780000000001E-2</v>
      </c>
      <c r="Z774">
        <v>-1.6615939999999999E-2</v>
      </c>
      <c r="AA774">
        <v>0.99639080000000002</v>
      </c>
      <c r="AB774">
        <v>42</v>
      </c>
      <c r="AC774">
        <v>0.53690000000000204</v>
      </c>
      <c r="AD774">
        <v>-0.23269210000000001</v>
      </c>
      <c r="AE774">
        <v>-5.8899999999994103E-2</v>
      </c>
      <c r="AF774">
        <v>5.4439591048289E-2</v>
      </c>
      <c r="AG774">
        <v>-0.23269210000000001</v>
      </c>
      <c r="AH774">
        <v>0.45230283158560303</v>
      </c>
      <c r="AI774">
        <v>117.056782976363</v>
      </c>
      <c r="AJ774">
        <v>83.1368410548463</v>
      </c>
      <c r="AK774">
        <v>0.51155364717326501</v>
      </c>
      <c r="AL774">
        <v>79.605443518787098</v>
      </c>
      <c r="AM774">
        <v>89.296088280169798</v>
      </c>
      <c r="AN774">
        <v>1.00000001141258</v>
      </c>
    </row>
    <row r="775" spans="1:40" x14ac:dyDescent="0.25">
      <c r="A775" t="str">
        <f>"20190303162756781"</f>
        <v>20190303162756781</v>
      </c>
      <c r="B775" t="str">
        <f>"1551601676772622"</f>
        <v>1551601676772622</v>
      </c>
      <c r="C775" t="s">
        <v>40</v>
      </c>
      <c r="D775">
        <v>4.9773300000000003</v>
      </c>
      <c r="E775">
        <v>0.53329869999999902</v>
      </c>
      <c r="F775" t="s">
        <v>44</v>
      </c>
      <c r="G775">
        <v>-305.06720000000001</v>
      </c>
      <c r="H775">
        <v>0.7872806</v>
      </c>
      <c r="I775">
        <v>368.39499999999998</v>
      </c>
      <c r="J775">
        <v>-305.73489999999998</v>
      </c>
      <c r="K775">
        <v>1.0713980000000001</v>
      </c>
      <c r="L775">
        <v>368.46660000000003</v>
      </c>
      <c r="M775">
        <v>0.99986140000000001</v>
      </c>
      <c r="N775">
        <v>-1.2907979999999999E-2</v>
      </c>
      <c r="O775">
        <v>1.051681E-2</v>
      </c>
      <c r="P775">
        <v>0.98578770000000004</v>
      </c>
      <c r="Q775">
        <v>0.16798669999999999</v>
      </c>
      <c r="R775">
        <v>-1.8593100000000001E-3</v>
      </c>
      <c r="S775">
        <v>3.2176209999999998</v>
      </c>
      <c r="T775">
        <v>-1.027628</v>
      </c>
      <c r="U775">
        <v>-0.24942020000000001</v>
      </c>
      <c r="V775">
        <v>1.223378E-2</v>
      </c>
      <c r="W775">
        <v>0.18069579999999999</v>
      </c>
      <c r="X775">
        <v>0.98346290000000003</v>
      </c>
      <c r="Y775">
        <v>8.3005469999999998E-2</v>
      </c>
      <c r="Z775">
        <v>-1.6605740000000001E-2</v>
      </c>
      <c r="AA775">
        <v>0.99641069999999998</v>
      </c>
      <c r="AB775">
        <v>42</v>
      </c>
      <c r="AC775">
        <v>0.66769999999996799</v>
      </c>
      <c r="AD775">
        <v>-0.28411739999999902</v>
      </c>
      <c r="AE775">
        <v>-7.1600000000046293E-2</v>
      </c>
      <c r="AF775">
        <v>6.6682191027766805E-2</v>
      </c>
      <c r="AG775">
        <v>-0.28411739999999902</v>
      </c>
      <c r="AH775">
        <v>0.56565449333491102</v>
      </c>
      <c r="AI775">
        <v>116.511246158866</v>
      </c>
      <c r="AJ775">
        <v>83.276715547940995</v>
      </c>
      <c r="AK775">
        <v>0.636501545491445</v>
      </c>
      <c r="AL775">
        <v>79.589708741903394</v>
      </c>
      <c r="AM775">
        <v>89.287306303138394</v>
      </c>
      <c r="AN775">
        <v>0.999999956593568</v>
      </c>
    </row>
    <row r="776" spans="1:40" x14ac:dyDescent="0.25">
      <c r="A776" t="str">
        <f>"20190303162756795"</f>
        <v>20190303162756795</v>
      </c>
      <c r="B776" t="str">
        <f>"1551601676782382"</f>
        <v>1551601676782382</v>
      </c>
      <c r="C776" t="s">
        <v>40</v>
      </c>
      <c r="D776">
        <v>4.9865389999999996</v>
      </c>
      <c r="E776">
        <v>0.53329869999999902</v>
      </c>
      <c r="F776" t="s">
        <v>44</v>
      </c>
      <c r="G776">
        <v>-305.0421</v>
      </c>
      <c r="H776">
        <v>0.85017419999999999</v>
      </c>
      <c r="I776">
        <v>368.41250000000002</v>
      </c>
      <c r="J776">
        <v>-305.51010000000002</v>
      </c>
      <c r="K776">
        <v>1.0713549999999901</v>
      </c>
      <c r="L776">
        <v>368.46899999999999</v>
      </c>
      <c r="M776">
        <v>0.99986019999999998</v>
      </c>
      <c r="N776">
        <v>-1.299457E-2</v>
      </c>
      <c r="O776">
        <v>1.0516899999999999E-2</v>
      </c>
      <c r="P776">
        <v>0.98579099999999997</v>
      </c>
      <c r="Q776">
        <v>0.1679659</v>
      </c>
      <c r="R776">
        <v>-1.9637819999999999E-3</v>
      </c>
      <c r="S776">
        <v>3.2178650000000002</v>
      </c>
      <c r="T776">
        <v>-1.0276160000000001</v>
      </c>
      <c r="U776">
        <v>-0.24963379999999999</v>
      </c>
      <c r="V776">
        <v>1.233831E-2</v>
      </c>
      <c r="W776">
        <v>0.18076010000000001</v>
      </c>
      <c r="X776">
        <v>0.98344980000000004</v>
      </c>
      <c r="Y776">
        <v>8.3062479999999994E-2</v>
      </c>
      <c r="Z776">
        <v>-1.6616450000000001E-2</v>
      </c>
      <c r="AA776">
        <v>0.99640580000000001</v>
      </c>
      <c r="AB776">
        <v>42</v>
      </c>
      <c r="AC776">
        <v>0.46800000000001701</v>
      </c>
      <c r="AD776">
        <v>-0.22118079999999901</v>
      </c>
      <c r="AE776">
        <v>-5.6499999999971302E-2</v>
      </c>
      <c r="AF776">
        <v>5.0337410221219202E-2</v>
      </c>
      <c r="AG776">
        <v>-0.22118079999999901</v>
      </c>
      <c r="AH776">
        <v>0.38305109311687802</v>
      </c>
      <c r="AI776">
        <v>119.79098443919899</v>
      </c>
      <c r="AJ776">
        <v>82.513559863421094</v>
      </c>
      <c r="AK776">
        <v>0.44517742653289899</v>
      </c>
      <c r="AL776">
        <v>79.585963170934406</v>
      </c>
      <c r="AM776">
        <v>89.2812078438442</v>
      </c>
      <c r="AN776">
        <v>0.99999997838285204</v>
      </c>
    </row>
    <row r="777" spans="1:40" x14ac:dyDescent="0.25">
      <c r="A777" t="str">
        <f>"20190303162756807"</f>
        <v>20190303162756807</v>
      </c>
      <c r="B777" t="str">
        <f>"1551601676801903"</f>
        <v>1551601676801903</v>
      </c>
      <c r="C777" t="s">
        <v>40</v>
      </c>
      <c r="D777">
        <v>4.9867879999999998</v>
      </c>
      <c r="E777">
        <v>0.53332279999999999</v>
      </c>
      <c r="F777" t="s">
        <v>44</v>
      </c>
      <c r="G777">
        <v>-304.68610000000001</v>
      </c>
      <c r="H777">
        <v>0.80816960000000004</v>
      </c>
      <c r="I777">
        <v>368.4049</v>
      </c>
      <c r="J777">
        <v>-305.25700000000001</v>
      </c>
      <c r="K777">
        <v>1.07131</v>
      </c>
      <c r="L777">
        <v>368.47160000000002</v>
      </c>
      <c r="M777">
        <v>0.9998591</v>
      </c>
      <c r="N777">
        <v>-1.3089460000000001E-2</v>
      </c>
      <c r="O777">
        <v>1.051711E-2</v>
      </c>
      <c r="P777">
        <v>0.98573719999999998</v>
      </c>
      <c r="Q777">
        <v>0.1682815</v>
      </c>
      <c r="R777">
        <v>-1.88295E-3</v>
      </c>
      <c r="S777">
        <v>3.2178339999999999</v>
      </c>
      <c r="T777">
        <v>-1.0277229999999999</v>
      </c>
      <c r="U777">
        <v>-0.24969479999999999</v>
      </c>
      <c r="V777">
        <v>1.2257509999999999E-2</v>
      </c>
      <c r="W777">
        <v>0.18116850000000001</v>
      </c>
      <c r="X777">
        <v>0.98337569999999996</v>
      </c>
      <c r="Y777">
        <v>8.3079319999999998E-2</v>
      </c>
      <c r="Z777">
        <v>-1.6624070000000001E-2</v>
      </c>
      <c r="AA777">
        <v>0.99640430000000002</v>
      </c>
      <c r="AB777">
        <v>42</v>
      </c>
      <c r="AC777">
        <v>0.57089999999999397</v>
      </c>
      <c r="AD777">
        <v>-0.263140399999999</v>
      </c>
      <c r="AE777">
        <v>-6.6700000000025697E-2</v>
      </c>
      <c r="AF777">
        <v>6.0103958110047297E-2</v>
      </c>
      <c r="AG777">
        <v>-0.263140399999999</v>
      </c>
      <c r="AH777">
        <v>0.471372685173373</v>
      </c>
      <c r="AI777">
        <v>118.97590016537001</v>
      </c>
      <c r="AJ777">
        <v>82.733520213904598</v>
      </c>
      <c r="AK777">
        <v>0.54318280920902695</v>
      </c>
      <c r="AL777">
        <v>79.5621711886334</v>
      </c>
      <c r="AM777">
        <v>89.285860712685306</v>
      </c>
      <c r="AN777">
        <v>1.00000001964706</v>
      </c>
    </row>
    <row r="778" spans="1:40" x14ac:dyDescent="0.25">
      <c r="A778" t="str">
        <f>"20190303162756821"</f>
        <v>20190303162756821</v>
      </c>
      <c r="B778" t="str">
        <f>"1551601676813614"</f>
        <v>1551601676813614</v>
      </c>
      <c r="C778" t="s">
        <v>40</v>
      </c>
      <c r="D778">
        <v>5.0230220000000001</v>
      </c>
      <c r="E778">
        <v>0.53324139999999998</v>
      </c>
      <c r="F778" t="s">
        <v>44</v>
      </c>
      <c r="G778">
        <v>-304.33170000000001</v>
      </c>
      <c r="H778">
        <v>0.76210999999999995</v>
      </c>
      <c r="I778">
        <v>368.3999</v>
      </c>
      <c r="J778">
        <v>-304.9982</v>
      </c>
      <c r="K778">
        <v>1.0712630000000001</v>
      </c>
      <c r="L778">
        <v>368.47430000000003</v>
      </c>
      <c r="M778">
        <v>0.99985780000000002</v>
      </c>
      <c r="N778">
        <v>-1.3182559999999999E-2</v>
      </c>
      <c r="O778">
        <v>1.051768E-2</v>
      </c>
      <c r="P778">
        <v>0.98571549999999997</v>
      </c>
      <c r="Q778">
        <v>0.16840720000000001</v>
      </c>
      <c r="R778">
        <v>-2.0051869999999999E-3</v>
      </c>
      <c r="S778">
        <v>3.22702</v>
      </c>
      <c r="T778">
        <v>-1.0782620000000001</v>
      </c>
      <c r="U778">
        <v>-0.24914549999999999</v>
      </c>
      <c r="V778">
        <v>1.238007E-2</v>
      </c>
      <c r="W778">
        <v>0.18138560000000001</v>
      </c>
      <c r="X778">
        <v>0.98333409999999999</v>
      </c>
      <c r="Y778">
        <v>8.2301810000000003E-2</v>
      </c>
      <c r="Z778">
        <v>-1.7208049999999999E-2</v>
      </c>
      <c r="AA778">
        <v>0.99645890000000004</v>
      </c>
      <c r="AB778">
        <v>42</v>
      </c>
      <c r="AC778">
        <v>0.66649999999998499</v>
      </c>
      <c r="AD778">
        <v>-0.30915299999999901</v>
      </c>
      <c r="AE778">
        <v>-7.4400000000025501E-2</v>
      </c>
      <c r="AF778">
        <v>6.7139146873755301E-2</v>
      </c>
      <c r="AG778">
        <v>-0.30915299999999901</v>
      </c>
      <c r="AH778">
        <v>0.54901278273466203</v>
      </c>
      <c r="AI778">
        <v>119.202707135322</v>
      </c>
      <c r="AJ778">
        <v>83.027878643939005</v>
      </c>
      <c r="AK778">
        <v>0.63363891772680103</v>
      </c>
      <c r="AL778">
        <v>79.549522266679801</v>
      </c>
      <c r="AM778">
        <v>89.278690439673994</v>
      </c>
      <c r="AN778">
        <v>0.99999997712168698</v>
      </c>
    </row>
    <row r="779" spans="1:40" x14ac:dyDescent="0.25">
      <c r="A779" t="str">
        <f>"20190303162756838"</f>
        <v>20190303162756838</v>
      </c>
      <c r="B779" t="str">
        <f>"1551601676832158"</f>
        <v>1551601676832158</v>
      </c>
      <c r="C779" t="s">
        <v>40</v>
      </c>
      <c r="D779">
        <v>5.0408140000000001</v>
      </c>
      <c r="E779">
        <v>0.53304289999999999</v>
      </c>
      <c r="F779" t="s">
        <v>44</v>
      </c>
      <c r="G779">
        <v>-304.30160000000001</v>
      </c>
      <c r="H779">
        <v>0.83833349999999995</v>
      </c>
      <c r="I779">
        <v>368.42039999999997</v>
      </c>
      <c r="J779">
        <v>-304.69940000000003</v>
      </c>
      <c r="K779">
        <v>1.071226</v>
      </c>
      <c r="L779">
        <v>368.47750000000002</v>
      </c>
      <c r="M779">
        <v>0.99985650000000004</v>
      </c>
      <c r="N779">
        <v>-1.328623E-2</v>
      </c>
      <c r="O779">
        <v>1.0518E-2</v>
      </c>
      <c r="P779">
        <v>0.98573089999999997</v>
      </c>
      <c r="Q779">
        <v>0.16831750000000001</v>
      </c>
      <c r="R779">
        <v>-1.9886090000000001E-3</v>
      </c>
      <c r="S779">
        <v>3.2273559999999999</v>
      </c>
      <c r="T779">
        <v>-1.07918799999999</v>
      </c>
      <c r="U779">
        <v>-0.2488708</v>
      </c>
      <c r="V779">
        <v>1.236399E-2</v>
      </c>
      <c r="W779">
        <v>0.18139830000000001</v>
      </c>
      <c r="X779">
        <v>0.98333199999999998</v>
      </c>
      <c r="Y779">
        <v>8.2206589999999996E-2</v>
      </c>
      <c r="Z779">
        <v>-1.7207449999999999E-2</v>
      </c>
      <c r="AA779">
        <v>0.99646679999999999</v>
      </c>
      <c r="AB779">
        <v>42</v>
      </c>
      <c r="AC779">
        <v>0.39780000000001697</v>
      </c>
      <c r="AD779">
        <v>-0.2328925</v>
      </c>
      <c r="AE779">
        <v>-5.7100000000048098E-2</v>
      </c>
      <c r="AF779">
        <v>4.5874922310528699E-2</v>
      </c>
      <c r="AG779">
        <v>-0.2328925</v>
      </c>
      <c r="AH779">
        <v>0.29732543859668498</v>
      </c>
      <c r="AI779">
        <v>127.744573473454</v>
      </c>
      <c r="AJ779">
        <v>81.228887630624698</v>
      </c>
      <c r="AK779">
        <v>0.38045478245115799</v>
      </c>
      <c r="AL779">
        <v>79.548782755414393</v>
      </c>
      <c r="AM779">
        <v>89.279625684050302</v>
      </c>
      <c r="AN779">
        <v>1.0000000168578</v>
      </c>
    </row>
    <row r="780" spans="1:40" x14ac:dyDescent="0.25">
      <c r="A780" t="str">
        <f>"20190303162756849"</f>
        <v>20190303162756849</v>
      </c>
      <c r="B780" t="str">
        <f>"1551601676841918"</f>
        <v>1551601676841918</v>
      </c>
      <c r="C780" t="s">
        <v>40</v>
      </c>
      <c r="D780">
        <v>5.0444230000000001</v>
      </c>
      <c r="E780">
        <v>0.53320529999999999</v>
      </c>
      <c r="F780" t="s">
        <v>44</v>
      </c>
      <c r="G780">
        <v>-303.93770000000001</v>
      </c>
      <c r="H780">
        <v>0.81692359999999997</v>
      </c>
      <c r="I780">
        <v>368.41899999999998</v>
      </c>
      <c r="J780">
        <v>-304.4751</v>
      </c>
      <c r="K780">
        <v>1.0712029999999999</v>
      </c>
      <c r="L780">
        <v>368.47980000000001</v>
      </c>
      <c r="M780">
        <v>0.99985539999999995</v>
      </c>
      <c r="N780">
        <v>-1.336421E-2</v>
      </c>
      <c r="O780">
        <v>1.051848E-2</v>
      </c>
      <c r="P780">
        <v>0.98577090000000001</v>
      </c>
      <c r="Q780">
        <v>0.1680808</v>
      </c>
      <c r="R780">
        <v>-2.1013239999999999E-3</v>
      </c>
      <c r="S780">
        <v>3.2268680000000001</v>
      </c>
      <c r="T780">
        <v>-1.07741</v>
      </c>
      <c r="U780">
        <v>-0.2474365</v>
      </c>
      <c r="V780">
        <v>1.247757E-2</v>
      </c>
      <c r="W780">
        <v>0.18123839999999999</v>
      </c>
      <c r="X780">
        <v>0.98336009999999996</v>
      </c>
      <c r="Y780">
        <v>8.181418E-2</v>
      </c>
      <c r="Z780">
        <v>-1.7120070000000001E-2</v>
      </c>
      <c r="AA780">
        <v>0.99650059999999996</v>
      </c>
      <c r="AB780">
        <v>42</v>
      </c>
      <c r="AC780">
        <v>0.537399999999991</v>
      </c>
      <c r="AD780">
        <v>-0.25427939999999999</v>
      </c>
      <c r="AE780">
        <v>-6.0799999999971897E-2</v>
      </c>
      <c r="AF780">
        <v>5.4419898677342302E-2</v>
      </c>
      <c r="AG780">
        <v>-0.25427939999999999</v>
      </c>
      <c r="AH780">
        <v>0.43956252541993901</v>
      </c>
      <c r="AI780">
        <v>119.86012630276301</v>
      </c>
      <c r="AJ780">
        <v>82.942426577467899</v>
      </c>
      <c r="AK780">
        <v>0.51071983747448702</v>
      </c>
      <c r="AL780">
        <v>79.558099296073294</v>
      </c>
      <c r="AM780">
        <v>89.2730295488482</v>
      </c>
      <c r="AN780">
        <v>1.0000000668298299</v>
      </c>
    </row>
    <row r="781" spans="1:40" x14ac:dyDescent="0.25">
      <c r="A781" t="str">
        <f>"20190303162756864"</f>
        <v>20190303162756864</v>
      </c>
      <c r="B781" t="str">
        <f>"1551601676852656"</f>
        <v>1551601676852656</v>
      </c>
      <c r="C781" t="s">
        <v>40</v>
      </c>
      <c r="D781">
        <v>5.0501750000000003</v>
      </c>
      <c r="E781">
        <v>0.53314980000000001</v>
      </c>
      <c r="F781" t="s">
        <v>44</v>
      </c>
      <c r="G781">
        <v>-303.58260000000001</v>
      </c>
      <c r="H781">
        <v>0.7740918</v>
      </c>
      <c r="I781">
        <v>368.41059999999999</v>
      </c>
      <c r="J781">
        <v>-304.21069999999997</v>
      </c>
      <c r="K781">
        <v>1.071177</v>
      </c>
      <c r="L781">
        <v>368.48259999999999</v>
      </c>
      <c r="M781">
        <v>0.99985420000000003</v>
      </c>
      <c r="N781">
        <v>-1.345699E-2</v>
      </c>
      <c r="O781">
        <v>1.051851E-2</v>
      </c>
      <c r="P781">
        <v>0.98581110000000005</v>
      </c>
      <c r="Q781">
        <v>0.16784660000000001</v>
      </c>
      <c r="R781">
        <v>-2.0785980000000001E-3</v>
      </c>
      <c r="S781">
        <v>3.2258610000000001</v>
      </c>
      <c r="T781">
        <v>-1.073833</v>
      </c>
      <c r="U781">
        <v>-0.24862670000000001</v>
      </c>
      <c r="V781">
        <v>1.2455310000000001E-2</v>
      </c>
      <c r="W781">
        <v>0.1810958</v>
      </c>
      <c r="X781">
        <v>0.9833866</v>
      </c>
      <c r="Y781">
        <v>8.2210099999999994E-2</v>
      </c>
      <c r="Z781">
        <v>-1.714187E-2</v>
      </c>
      <c r="AA781">
        <v>0.99646760000000001</v>
      </c>
      <c r="AB781">
        <v>42</v>
      </c>
      <c r="AC781">
        <v>0.62809999999996002</v>
      </c>
      <c r="AD781">
        <v>-0.29708519999999899</v>
      </c>
      <c r="AE781">
        <v>-7.2000000000002701E-2</v>
      </c>
      <c r="AF781">
        <v>6.4385746608870906E-2</v>
      </c>
      <c r="AG781">
        <v>-0.29708519999999899</v>
      </c>
      <c r="AH781">
        <v>0.51384215511522602</v>
      </c>
      <c r="AI781">
        <v>119.84195673905</v>
      </c>
      <c r="AJ781">
        <v>82.857914571698103</v>
      </c>
      <c r="AK781">
        <v>0.59702504201991502</v>
      </c>
      <c r="AL781">
        <v>79.566406595006896</v>
      </c>
      <c r="AM781">
        <v>89.274345879340501</v>
      </c>
      <c r="AN781">
        <v>1.0000000142921901</v>
      </c>
    </row>
    <row r="782" spans="1:40" x14ac:dyDescent="0.25">
      <c r="A782" t="str">
        <f>"20190303162756878"</f>
        <v>20190303162756878</v>
      </c>
      <c r="B782" t="str">
        <f>"1551601676872174"</f>
        <v>1551601676872174</v>
      </c>
      <c r="C782" t="s">
        <v>40</v>
      </c>
      <c r="D782">
        <v>5.0691680000000003</v>
      </c>
      <c r="E782">
        <v>0.53307939999999998</v>
      </c>
      <c r="F782" t="s">
        <v>44</v>
      </c>
      <c r="G782">
        <v>-303.22370000000001</v>
      </c>
      <c r="H782">
        <v>0.74201850000000003</v>
      </c>
      <c r="I782">
        <v>368.4067</v>
      </c>
      <c r="J782">
        <v>-303.93529999999998</v>
      </c>
      <c r="K782">
        <v>1.071159</v>
      </c>
      <c r="L782">
        <v>368.4855</v>
      </c>
      <c r="M782">
        <v>0.99985279999999999</v>
      </c>
      <c r="N782">
        <v>-1.355749E-2</v>
      </c>
      <c r="O782">
        <v>1.0518660000000001E-2</v>
      </c>
      <c r="P782">
        <v>0.98582579999999997</v>
      </c>
      <c r="Q782">
        <v>0.1677554</v>
      </c>
      <c r="R782">
        <v>-2.3633270000000001E-3</v>
      </c>
      <c r="S782">
        <v>3.2258610000000001</v>
      </c>
      <c r="T782">
        <v>-1.0757939999999999</v>
      </c>
      <c r="U782">
        <v>-0.2478638</v>
      </c>
      <c r="V782">
        <v>1.2740410000000001E-2</v>
      </c>
      <c r="W782">
        <v>0.18110380000000001</v>
      </c>
      <c r="X782">
        <v>0.98338150000000002</v>
      </c>
      <c r="Y782">
        <v>8.1970230000000005E-2</v>
      </c>
      <c r="Z782">
        <v>-1.7133740000000001E-2</v>
      </c>
      <c r="AA782">
        <v>0.99648749999999997</v>
      </c>
      <c r="AB782">
        <v>42</v>
      </c>
      <c r="AC782">
        <v>0.71159999999997503</v>
      </c>
      <c r="AD782">
        <v>-0.329140499999999</v>
      </c>
      <c r="AE782">
        <v>-7.8800000000000994E-2</v>
      </c>
      <c r="AF782">
        <v>7.1227611433193297E-2</v>
      </c>
      <c r="AG782">
        <v>-0.329140499999999</v>
      </c>
      <c r="AH782">
        <v>0.58672803567513099</v>
      </c>
      <c r="AI782">
        <v>119.11289636616399</v>
      </c>
      <c r="AJ782">
        <v>83.078277122539603</v>
      </c>
      <c r="AK782">
        <v>0.67650323666478096</v>
      </c>
      <c r="AL782">
        <v>79.565940787908303</v>
      </c>
      <c r="AM782">
        <v>89.257733764230906</v>
      </c>
      <c r="AN782">
        <v>1.00000003948182</v>
      </c>
    </row>
    <row r="783" spans="1:40" x14ac:dyDescent="0.25">
      <c r="A783" t="str">
        <f>"20190303162756892"</f>
        <v>20190303162756892</v>
      </c>
      <c r="B783" t="str">
        <f>"1551601676881934"</f>
        <v>1551601676881934</v>
      </c>
      <c r="C783" t="s">
        <v>40</v>
      </c>
      <c r="D783">
        <v>5.0624659999999997</v>
      </c>
      <c r="E783">
        <v>0.53306500000000001</v>
      </c>
      <c r="F783" t="s">
        <v>44</v>
      </c>
      <c r="G783">
        <v>-303.19200000000001</v>
      </c>
      <c r="H783">
        <v>0.82221819999999901</v>
      </c>
      <c r="I783">
        <v>368.42840000000001</v>
      </c>
      <c r="J783">
        <v>-303.67349999999999</v>
      </c>
      <c r="K783">
        <v>1.0711440000000001</v>
      </c>
      <c r="L783">
        <v>368.48829999999998</v>
      </c>
      <c r="M783">
        <v>0.9998515</v>
      </c>
      <c r="N783">
        <v>-1.365275E-2</v>
      </c>
      <c r="O783">
        <v>1.0519010000000001E-2</v>
      </c>
      <c r="P783">
        <v>0.9857612</v>
      </c>
      <c r="Q783">
        <v>0.16812629999999901</v>
      </c>
      <c r="R783">
        <v>-2.9959790000000002E-3</v>
      </c>
      <c r="S783">
        <v>3.22641</v>
      </c>
      <c r="T783">
        <v>-1.0806119999999999</v>
      </c>
      <c r="U783">
        <v>-0.24789430000000001</v>
      </c>
      <c r="V783">
        <v>1.337233E-2</v>
      </c>
      <c r="W783">
        <v>0.18156710000000001</v>
      </c>
      <c r="X783">
        <v>0.98328760000000004</v>
      </c>
      <c r="Y783">
        <v>8.1925910000000005E-2</v>
      </c>
      <c r="Z783">
        <v>-1.7197759999999999E-2</v>
      </c>
      <c r="AA783">
        <v>0.99648999999999999</v>
      </c>
      <c r="AB783">
        <v>42</v>
      </c>
      <c r="AC783">
        <v>0.481499999999982</v>
      </c>
      <c r="AD783">
        <v>-0.2489258</v>
      </c>
      <c r="AE783">
        <v>-5.9899999999970498E-2</v>
      </c>
      <c r="AF783">
        <v>5.1426789613771402E-2</v>
      </c>
      <c r="AG783">
        <v>-0.2489258</v>
      </c>
      <c r="AH783">
        <v>0.380656375009845</v>
      </c>
      <c r="AI783">
        <v>122.945293181107</v>
      </c>
      <c r="AJ783">
        <v>82.305908523878003</v>
      </c>
      <c r="AK783">
        <v>0.45772048723129599</v>
      </c>
      <c r="AL783">
        <v>79.538947391502802</v>
      </c>
      <c r="AM783">
        <v>89.220847652549196</v>
      </c>
      <c r="AN783">
        <v>0.999999967662899</v>
      </c>
    </row>
    <row r="784" spans="1:40" x14ac:dyDescent="0.25">
      <c r="A784" t="str">
        <f>"20190303162756904"</f>
        <v>20190303162756904</v>
      </c>
      <c r="B784" t="str">
        <f>"1551601676892670"</f>
        <v>1551601676892670</v>
      </c>
      <c r="C784" t="s">
        <v>40</v>
      </c>
      <c r="D784">
        <v>5.0850809999999997</v>
      </c>
      <c r="E784">
        <v>0.53304600000000002</v>
      </c>
      <c r="F784" t="s">
        <v>44</v>
      </c>
      <c r="G784">
        <v>-302.83359999999999</v>
      </c>
      <c r="H784">
        <v>0.78976959999999996</v>
      </c>
      <c r="I784">
        <v>368.423</v>
      </c>
      <c r="J784">
        <v>-303.4597</v>
      </c>
      <c r="K784">
        <v>1.0711329999999999</v>
      </c>
      <c r="L784">
        <v>368.49040000000002</v>
      </c>
      <c r="M784">
        <v>0.99985040000000003</v>
      </c>
      <c r="N784">
        <v>-1.373018E-2</v>
      </c>
      <c r="O784">
        <v>1.0518949999999999E-2</v>
      </c>
      <c r="P784">
        <v>0.98579349999999999</v>
      </c>
      <c r="Q784">
        <v>0.167929299999999</v>
      </c>
      <c r="R784">
        <v>-3.3156959999999999E-3</v>
      </c>
      <c r="S784">
        <v>3.2269589999999999</v>
      </c>
      <c r="T784">
        <v>-1.0810569999999999</v>
      </c>
      <c r="U784">
        <v>-0.24963379999999999</v>
      </c>
      <c r="V784">
        <v>1.3692660000000001E-2</v>
      </c>
      <c r="W784">
        <v>0.18144660000000001</v>
      </c>
      <c r="X784">
        <v>0.98330550000000005</v>
      </c>
      <c r="Y784">
        <v>8.2416100000000006E-2</v>
      </c>
      <c r="Z784">
        <v>-1.7287050000000002E-2</v>
      </c>
      <c r="AA784">
        <v>0.996448</v>
      </c>
      <c r="AB784">
        <v>42</v>
      </c>
      <c r="AC784">
        <v>0.62610000000000798</v>
      </c>
      <c r="AD784">
        <v>-0.28136339999999899</v>
      </c>
      <c r="AE784">
        <v>-6.7400000000020499E-2</v>
      </c>
      <c r="AF784">
        <v>6.1670927005224703E-2</v>
      </c>
      <c r="AG784">
        <v>-0.28136339999999899</v>
      </c>
      <c r="AH784">
        <v>0.52128738432696997</v>
      </c>
      <c r="AI784">
        <v>118.19171817872</v>
      </c>
      <c r="AJ784">
        <v>83.252980928401598</v>
      </c>
      <c r="AK784">
        <v>0.59557468310506401</v>
      </c>
      <c r="AL784">
        <v>79.545968829938104</v>
      </c>
      <c r="AM784">
        <v>89.202200206475297</v>
      </c>
      <c r="AN784">
        <v>1.0000000319598401</v>
      </c>
    </row>
    <row r="785" spans="1:40" x14ac:dyDescent="0.25">
      <c r="A785" t="str">
        <f>"20190303162756916"</f>
        <v>20190303162756916</v>
      </c>
      <c r="B785" t="str">
        <f>"1551601676912190"</f>
        <v>1551601676912190</v>
      </c>
      <c r="C785" t="s">
        <v>40</v>
      </c>
      <c r="D785">
        <v>5.1122170000000002</v>
      </c>
      <c r="E785">
        <v>0.53297879999999997</v>
      </c>
      <c r="F785" t="s">
        <v>44</v>
      </c>
      <c r="G785">
        <v>-302.48129999999998</v>
      </c>
      <c r="H785">
        <v>0.74274719999999905</v>
      </c>
      <c r="I785">
        <v>368.41419999999999</v>
      </c>
      <c r="J785">
        <v>-303.23160000000001</v>
      </c>
      <c r="K785">
        <v>1.0711200000000001</v>
      </c>
      <c r="L785">
        <v>368.49290000000002</v>
      </c>
      <c r="M785">
        <v>0.99984930000000005</v>
      </c>
      <c r="N785">
        <v>-1.3808269999999999E-2</v>
      </c>
      <c r="O785">
        <v>1.0518939999999999E-2</v>
      </c>
      <c r="P785">
        <v>0.98582990000000004</v>
      </c>
      <c r="Q785">
        <v>0.16771059999999999</v>
      </c>
      <c r="R785">
        <v>-3.556895E-3</v>
      </c>
      <c r="S785">
        <v>3.2268979999999998</v>
      </c>
      <c r="T785">
        <v>-1.0830409999999999</v>
      </c>
      <c r="U785">
        <v>-0.25073240000000002</v>
      </c>
      <c r="V785">
        <v>1.39341E-2</v>
      </c>
      <c r="W785">
        <v>0.18130550000000001</v>
      </c>
      <c r="X785">
        <v>0.98332810000000004</v>
      </c>
      <c r="Y785">
        <v>8.2718340000000001E-2</v>
      </c>
      <c r="Z785">
        <v>-1.7370489999999999E-2</v>
      </c>
      <c r="AA785">
        <v>0.99642160000000002</v>
      </c>
      <c r="AB785">
        <v>42</v>
      </c>
      <c r="AC785">
        <v>0.75030000000003805</v>
      </c>
      <c r="AD785">
        <v>-0.32837280000000002</v>
      </c>
      <c r="AE785">
        <v>-7.8700000000026193E-2</v>
      </c>
      <c r="AF785">
        <v>7.2796834545509004E-2</v>
      </c>
      <c r="AG785">
        <v>-0.32837280000000002</v>
      </c>
      <c r="AH785">
        <v>0.63006068640778701</v>
      </c>
      <c r="AI785">
        <v>117.372058702525</v>
      </c>
      <c r="AJ785">
        <v>83.409303435988505</v>
      </c>
      <c r="AK785">
        <v>0.71421603416357005</v>
      </c>
      <c r="AL785">
        <v>79.554189255467307</v>
      </c>
      <c r="AM785">
        <v>89.188153281848201</v>
      </c>
      <c r="AN785">
        <v>0.99999999786133498</v>
      </c>
    </row>
    <row r="786" spans="1:40" x14ac:dyDescent="0.25">
      <c r="A786" t="str">
        <f>"20190303162756928"</f>
        <v>20190303162756928</v>
      </c>
      <c r="B786" t="str">
        <f>"1551601676921951"</f>
        <v>1551601676921951</v>
      </c>
      <c r="C786" t="s">
        <v>40</v>
      </c>
      <c r="D786">
        <v>5.11693</v>
      </c>
      <c r="E786">
        <v>0.53295079999999995</v>
      </c>
      <c r="F786" t="s">
        <v>44</v>
      </c>
      <c r="G786">
        <v>-302.45490000000001</v>
      </c>
      <c r="H786">
        <v>0.80981029999999998</v>
      </c>
      <c r="I786">
        <v>368.4323</v>
      </c>
      <c r="J786">
        <v>-302.9896</v>
      </c>
      <c r="K786">
        <v>1.0711120000000001</v>
      </c>
      <c r="L786">
        <v>368.49540000000002</v>
      </c>
      <c r="M786">
        <v>0.99984830000000002</v>
      </c>
      <c r="N786">
        <v>-1.388786E-2</v>
      </c>
      <c r="O786">
        <v>1.051886E-2</v>
      </c>
      <c r="P786">
        <v>0.98591839999999997</v>
      </c>
      <c r="Q786">
        <v>0.167182</v>
      </c>
      <c r="R786">
        <v>-3.9368449999999996E-3</v>
      </c>
      <c r="S786">
        <v>3.2268979999999998</v>
      </c>
      <c r="T786">
        <v>-1.0855619999999999</v>
      </c>
      <c r="U786">
        <v>-0.25061040000000001</v>
      </c>
      <c r="V786">
        <v>1.4314739999999999E-2</v>
      </c>
      <c r="W786">
        <v>0.18085670000000001</v>
      </c>
      <c r="X786">
        <v>0.98340530000000004</v>
      </c>
      <c r="Y786">
        <v>8.2659789999999997E-2</v>
      </c>
      <c r="Z786">
        <v>-1.7400510000000001E-2</v>
      </c>
      <c r="AA786">
        <v>0.99642589999999998</v>
      </c>
      <c r="AB786">
        <v>42</v>
      </c>
      <c r="AC786">
        <v>0.53469999999998596</v>
      </c>
      <c r="AD786">
        <v>-0.26130170000000003</v>
      </c>
      <c r="AE786">
        <v>-6.3100000000019904E-2</v>
      </c>
      <c r="AF786">
        <v>5.5620777790658001E-2</v>
      </c>
      <c r="AG786">
        <v>-0.26130170000000003</v>
      </c>
      <c r="AH786">
        <v>0.43220636095261</v>
      </c>
      <c r="AI786">
        <v>120.94822221417699</v>
      </c>
      <c r="AJ786">
        <v>82.666891861177504</v>
      </c>
      <c r="AK786">
        <v>0.50810883459434697</v>
      </c>
      <c r="AL786">
        <v>79.580336095453802</v>
      </c>
      <c r="AM786">
        <v>89.166044492095295</v>
      </c>
      <c r="AN786">
        <v>1.00000002089212</v>
      </c>
    </row>
    <row r="787" spans="1:40" x14ac:dyDescent="0.25">
      <c r="A787" t="str">
        <f>"20190303162756939"</f>
        <v>20190303162756939</v>
      </c>
      <c r="B787" t="str">
        <f>"1551601676932686"</f>
        <v>1551601676932686</v>
      </c>
      <c r="C787" t="s">
        <v>40</v>
      </c>
      <c r="D787">
        <v>5.1165799999999999</v>
      </c>
      <c r="E787">
        <v>0.53292289999999998</v>
      </c>
      <c r="F787" t="s">
        <v>44</v>
      </c>
      <c r="G787">
        <v>-302.09960000000001</v>
      </c>
      <c r="H787">
        <v>0.77111300000000005</v>
      </c>
      <c r="I787">
        <v>368.42579999999998</v>
      </c>
      <c r="J787">
        <v>-302.78339999999997</v>
      </c>
      <c r="K787">
        <v>1.071105</v>
      </c>
      <c r="L787">
        <v>368.49759999999998</v>
      </c>
      <c r="M787">
        <v>0.9998475</v>
      </c>
      <c r="N787">
        <v>-1.3952300000000001E-2</v>
      </c>
      <c r="O787">
        <v>1.0518949999999999E-2</v>
      </c>
      <c r="P787">
        <v>0.98594289999999996</v>
      </c>
      <c r="Q787">
        <v>0.1670296</v>
      </c>
      <c r="R787">
        <v>-4.2418769999999998E-3</v>
      </c>
      <c r="S787">
        <v>3.2262270000000002</v>
      </c>
      <c r="T787">
        <v>-1.0875319999999999</v>
      </c>
      <c r="U787">
        <v>-0.25146479999999999</v>
      </c>
      <c r="V787">
        <v>1.462017E-2</v>
      </c>
      <c r="W787">
        <v>0.1807676</v>
      </c>
      <c r="X787">
        <v>0.98341719999999999</v>
      </c>
      <c r="Y787">
        <v>8.2903199999999996E-2</v>
      </c>
      <c r="Z787">
        <v>-1.7476660000000001E-2</v>
      </c>
      <c r="AA787">
        <v>0.99640430000000002</v>
      </c>
      <c r="AB787">
        <v>41</v>
      </c>
      <c r="AC787">
        <v>0.68379999999996199</v>
      </c>
      <c r="AD787">
        <v>-0.29999199999999898</v>
      </c>
      <c r="AE787">
        <v>-7.1799999999996006E-2</v>
      </c>
      <c r="AF787">
        <v>6.6357154403924506E-2</v>
      </c>
      <c r="AG787">
        <v>-0.29999199999999898</v>
      </c>
      <c r="AH787">
        <v>0.573776785095921</v>
      </c>
      <c r="AI787">
        <v>117.44626862517801</v>
      </c>
      <c r="AJ787">
        <v>83.403063047611795</v>
      </c>
      <c r="AK787">
        <v>0.65085964010652597</v>
      </c>
      <c r="AL787">
        <v>79.585526818821904</v>
      </c>
      <c r="AM787">
        <v>89.148263492809605</v>
      </c>
      <c r="AN787">
        <v>1.0000000319182101</v>
      </c>
    </row>
    <row r="788" spans="1:40" x14ac:dyDescent="0.25">
      <c r="A788" t="str">
        <f>"20190303162756952"</f>
        <v>20190303162756952</v>
      </c>
      <c r="B788" t="str">
        <f>"1551601676942446"</f>
        <v>1551601676942446</v>
      </c>
      <c r="C788" t="s">
        <v>40</v>
      </c>
      <c r="D788">
        <v>5.1365639999999999</v>
      </c>
      <c r="E788">
        <v>0.53288230000000003</v>
      </c>
      <c r="F788" t="s">
        <v>44</v>
      </c>
      <c r="G788">
        <v>-302.07549999999998</v>
      </c>
      <c r="H788">
        <v>0.8323334</v>
      </c>
      <c r="I788">
        <v>368.44209999999998</v>
      </c>
      <c r="J788">
        <v>-302.57350000000002</v>
      </c>
      <c r="K788">
        <v>1.0710999999999999</v>
      </c>
      <c r="L788">
        <v>368.49979999999999</v>
      </c>
      <c r="M788">
        <v>0.99984660000000003</v>
      </c>
      <c r="N788">
        <v>-1.401574E-2</v>
      </c>
      <c r="O788">
        <v>1.051879E-2</v>
      </c>
      <c r="P788">
        <v>0.98593560000000002</v>
      </c>
      <c r="Q788">
        <v>0.16706550000000001</v>
      </c>
      <c r="R788">
        <v>-4.4914550000000001E-3</v>
      </c>
      <c r="S788">
        <v>3.2260439999999999</v>
      </c>
      <c r="T788">
        <v>-1.0880799999999999</v>
      </c>
      <c r="U788">
        <v>-0.25146479999999999</v>
      </c>
      <c r="V788">
        <v>1.4869780000000001E-2</v>
      </c>
      <c r="W788">
        <v>0.1808661</v>
      </c>
      <c r="X788">
        <v>0.98339529999999997</v>
      </c>
      <c r="Y788">
        <v>8.2901169999999996E-2</v>
      </c>
      <c r="Z788">
        <v>-1.74874E-2</v>
      </c>
      <c r="AA788">
        <v>0.99640430000000002</v>
      </c>
      <c r="AB788">
        <v>41</v>
      </c>
      <c r="AC788">
        <v>0.49800000000004702</v>
      </c>
      <c r="AD788">
        <v>-0.238766599999999</v>
      </c>
      <c r="AE788">
        <v>-5.7700000000011097E-2</v>
      </c>
      <c r="AF788">
        <v>5.1299502269129403E-2</v>
      </c>
      <c r="AG788">
        <v>-0.238766599999999</v>
      </c>
      <c r="AH788">
        <v>0.40540756315632898</v>
      </c>
      <c r="AI788">
        <v>120.29753981552901</v>
      </c>
      <c r="AJ788">
        <v>82.788229365693098</v>
      </c>
      <c r="AK788">
        <v>0.47328260106724102</v>
      </c>
      <c r="AL788">
        <v>79.579788119503604</v>
      </c>
      <c r="AM788">
        <v>89.133704713456893</v>
      </c>
      <c r="AN788">
        <v>0.999999986274274</v>
      </c>
    </row>
    <row r="789" spans="1:40" x14ac:dyDescent="0.25">
      <c r="A789" t="str">
        <f>"20190303162756962"</f>
        <v>20190303162756962</v>
      </c>
      <c r="B789" t="str">
        <f>"1551601676952207"</f>
        <v>1551601676952207</v>
      </c>
      <c r="C789" t="s">
        <v>40</v>
      </c>
      <c r="D789">
        <v>5.1429260000000001</v>
      </c>
      <c r="E789">
        <v>0.53281829999999997</v>
      </c>
      <c r="F789" t="s">
        <v>44</v>
      </c>
      <c r="G789">
        <v>-301.7242</v>
      </c>
      <c r="H789">
        <v>0.78463660000000002</v>
      </c>
      <c r="I789">
        <v>368.43369999999999</v>
      </c>
      <c r="J789">
        <v>-302.3596</v>
      </c>
      <c r="K789">
        <v>1.0710980000000001</v>
      </c>
      <c r="L789">
        <v>368.50200000000001</v>
      </c>
      <c r="M789">
        <v>0.9998456</v>
      </c>
      <c r="N789">
        <v>-1.4079589999999999E-2</v>
      </c>
      <c r="O789">
        <v>1.051888E-2</v>
      </c>
      <c r="P789">
        <v>0.98583690000000002</v>
      </c>
      <c r="Q789">
        <v>0.1676309</v>
      </c>
      <c r="R789">
        <v>-5.0504010000000004E-3</v>
      </c>
      <c r="S789">
        <v>3.226013</v>
      </c>
      <c r="T789">
        <v>-1.088217</v>
      </c>
      <c r="U789">
        <v>-0.25057980000000002</v>
      </c>
      <c r="V789">
        <v>1.5427679999999999E-2</v>
      </c>
      <c r="W789">
        <v>0.1814926</v>
      </c>
      <c r="X789">
        <v>0.98327129999999996</v>
      </c>
      <c r="Y789">
        <v>8.264291E-2</v>
      </c>
      <c r="Z789">
        <v>-1.744764E-2</v>
      </c>
      <c r="AA789">
        <v>0.99642649999999999</v>
      </c>
      <c r="AB789">
        <v>41</v>
      </c>
      <c r="AC789">
        <v>0.63540000000000396</v>
      </c>
      <c r="AD789">
        <v>-0.28646139999999898</v>
      </c>
      <c r="AE789">
        <v>-6.8299999999965097E-2</v>
      </c>
      <c r="AF789">
        <v>6.2435337651837799E-2</v>
      </c>
      <c r="AG789">
        <v>-0.28646139999999898</v>
      </c>
      <c r="AH789">
        <v>0.52846161359167199</v>
      </c>
      <c r="AI789">
        <v>118.29458374433</v>
      </c>
      <c r="AJ789">
        <v>83.261998683460803</v>
      </c>
      <c r="AK789">
        <v>0.60434260326206701</v>
      </c>
      <c r="AL789">
        <v>79.5432885277135</v>
      </c>
      <c r="AM789">
        <v>89.101094046064503</v>
      </c>
      <c r="AN789">
        <v>1.0000000132843101</v>
      </c>
    </row>
    <row r="790" spans="1:40" x14ac:dyDescent="0.25">
      <c r="A790" t="str">
        <f>"20190303162756974"</f>
        <v>20190303162756974</v>
      </c>
      <c r="B790" t="str">
        <f>"1551601676972702"</f>
        <v>1551601676972702</v>
      </c>
      <c r="C790" t="s">
        <v>40</v>
      </c>
      <c r="D790">
        <v>5.1499769999999998</v>
      </c>
      <c r="E790">
        <v>0.53275660000000002</v>
      </c>
      <c r="F790" t="s">
        <v>44</v>
      </c>
      <c r="G790">
        <v>-301.6986</v>
      </c>
      <c r="H790">
        <v>0.84853289999999904</v>
      </c>
      <c r="I790">
        <v>368.4504</v>
      </c>
      <c r="J790">
        <v>-302.15140000000002</v>
      </c>
      <c r="K790">
        <v>1.0710980000000001</v>
      </c>
      <c r="L790">
        <v>368.50420000000003</v>
      </c>
      <c r="M790">
        <v>0.99984470000000003</v>
      </c>
      <c r="N790">
        <v>-1.414172E-2</v>
      </c>
      <c r="O790">
        <v>1.0518909999999999E-2</v>
      </c>
      <c r="P790">
        <v>0.98567689999999997</v>
      </c>
      <c r="Q790">
        <v>0.16855979999999901</v>
      </c>
      <c r="R790">
        <v>-5.3505970000000003E-3</v>
      </c>
      <c r="S790">
        <v>3.2265630000000001</v>
      </c>
      <c r="T790">
        <v>-1.0863229999999999</v>
      </c>
      <c r="U790">
        <v>-0.25134279999999998</v>
      </c>
      <c r="V790">
        <v>1.572614E-2</v>
      </c>
      <c r="W790">
        <v>0.18248</v>
      </c>
      <c r="X790">
        <v>0.98308379999999995</v>
      </c>
      <c r="Y790">
        <v>8.2869869999999998E-2</v>
      </c>
      <c r="Z790">
        <v>-1.7457460000000001E-2</v>
      </c>
      <c r="AA790">
        <v>0.99640740000000005</v>
      </c>
      <c r="AB790">
        <v>41</v>
      </c>
      <c r="AC790">
        <v>0.45280000000002402</v>
      </c>
      <c r="AD790">
        <v>-0.22256509999999999</v>
      </c>
      <c r="AE790">
        <v>-5.3800000000023801E-2</v>
      </c>
      <c r="AF790">
        <v>4.7293337761388998E-2</v>
      </c>
      <c r="AG790">
        <v>-0.22256509999999999</v>
      </c>
      <c r="AH790">
        <v>0.365203261378995</v>
      </c>
      <c r="AI790">
        <v>121.147984004314</v>
      </c>
      <c r="AJ790">
        <v>82.621336228329895</v>
      </c>
      <c r="AK790">
        <v>0.43028514459190598</v>
      </c>
      <c r="AL790">
        <v>79.485753869828798</v>
      </c>
      <c r="AM790">
        <v>89.083532243894894</v>
      </c>
      <c r="AN790">
        <v>1.0000000098508599</v>
      </c>
    </row>
    <row r="791" spans="1:40" x14ac:dyDescent="0.25">
      <c r="A791" t="str">
        <f>"20190303162756985"</f>
        <v>20190303162756985</v>
      </c>
      <c r="B791" t="str">
        <f>"1551601676982462"</f>
        <v>1551601676982462</v>
      </c>
      <c r="C791" t="s">
        <v>40</v>
      </c>
      <c r="D791">
        <v>5.1708439999999998</v>
      </c>
      <c r="E791">
        <v>0.53268780000000004</v>
      </c>
      <c r="F791" t="s">
        <v>44</v>
      </c>
      <c r="G791">
        <v>-301.34789999999998</v>
      </c>
      <c r="H791">
        <v>0.80136309999999999</v>
      </c>
      <c r="I791">
        <v>368.44130000000001</v>
      </c>
      <c r="J791">
        <v>-301.95100000000002</v>
      </c>
      <c r="K791">
        <v>1.0710980000000001</v>
      </c>
      <c r="L791">
        <v>368.50630000000001</v>
      </c>
      <c r="M791">
        <v>0.99984379999999995</v>
      </c>
      <c r="N791">
        <v>-1.420124E-2</v>
      </c>
      <c r="O791">
        <v>1.051902E-2</v>
      </c>
      <c r="P791">
        <v>0.98562950000000005</v>
      </c>
      <c r="Q791">
        <v>0.1688279</v>
      </c>
      <c r="R791">
        <v>-5.6419440000000003E-3</v>
      </c>
      <c r="S791">
        <v>3.2275390000000002</v>
      </c>
      <c r="T791">
        <v>-1.0835669999999999</v>
      </c>
      <c r="U791">
        <v>-0.25186160000000002</v>
      </c>
      <c r="V791">
        <v>1.6017010000000002E-2</v>
      </c>
      <c r="W791">
        <v>0.18280579999999999</v>
      </c>
      <c r="X791">
        <v>0.98301859999999996</v>
      </c>
      <c r="Y791">
        <v>8.3025139999999997E-2</v>
      </c>
      <c r="Z791">
        <v>-1.7439960000000001E-2</v>
      </c>
      <c r="AA791">
        <v>0.99639480000000002</v>
      </c>
      <c r="AB791">
        <v>41</v>
      </c>
      <c r="AC791">
        <v>0.60309999999998298</v>
      </c>
      <c r="AD791">
        <v>-0.269734899999999</v>
      </c>
      <c r="AE791">
        <v>-6.4999999999997699E-2</v>
      </c>
      <c r="AF791">
        <v>5.9563391953781603E-2</v>
      </c>
      <c r="AG791">
        <v>-0.269734899999999</v>
      </c>
      <c r="AH791">
        <v>0.50293564524396706</v>
      </c>
      <c r="AI791">
        <v>118.03971099965899</v>
      </c>
      <c r="AJ791">
        <v>83.245839126645905</v>
      </c>
      <c r="AK791">
        <v>0.57380221086713801</v>
      </c>
      <c r="AL791">
        <v>79.466767826248002</v>
      </c>
      <c r="AM791">
        <v>89.066522368985602</v>
      </c>
      <c r="AN791">
        <v>1.0000000365344599</v>
      </c>
    </row>
    <row r="792" spans="1:40" x14ac:dyDescent="0.25">
      <c r="A792" t="str">
        <f>"20190303162756995"</f>
        <v>20190303162756995</v>
      </c>
      <c r="B792" t="str">
        <f>"1551601676992222"</f>
        <v>1551601676992222</v>
      </c>
      <c r="C792" t="s">
        <v>40</v>
      </c>
      <c r="D792">
        <v>5.180186</v>
      </c>
      <c r="E792">
        <v>0.53263470000000002</v>
      </c>
      <c r="F792" t="s">
        <v>44</v>
      </c>
      <c r="G792">
        <v>-300.99849999999998</v>
      </c>
      <c r="H792">
        <v>0.751139</v>
      </c>
      <c r="I792">
        <v>368.43169999999998</v>
      </c>
      <c r="J792">
        <v>-301.75670000000002</v>
      </c>
      <c r="K792">
        <v>1.0710980000000001</v>
      </c>
      <c r="L792">
        <v>368.50839999999999</v>
      </c>
      <c r="M792">
        <v>0.99984309999999998</v>
      </c>
      <c r="N792">
        <v>-1.4258E-2</v>
      </c>
      <c r="O792">
        <v>1.0518899999999999E-2</v>
      </c>
      <c r="P792">
        <v>0.98557079999999997</v>
      </c>
      <c r="Q792">
        <v>0.16916439999999999</v>
      </c>
      <c r="R792">
        <v>-5.8342689999999996E-3</v>
      </c>
      <c r="S792">
        <v>3.2280579999999999</v>
      </c>
      <c r="T792">
        <v>-1.08432</v>
      </c>
      <c r="U792">
        <v>-0.25219730000000001</v>
      </c>
      <c r="V792">
        <v>1.6208779999999999E-2</v>
      </c>
      <c r="W792">
        <v>0.18319679999999999</v>
      </c>
      <c r="X792">
        <v>0.9829426</v>
      </c>
      <c r="Y792">
        <v>8.3105059999999994E-2</v>
      </c>
      <c r="Z792">
        <v>-1.7463969999999999E-2</v>
      </c>
      <c r="AA792">
        <v>0.99638780000000005</v>
      </c>
      <c r="AB792">
        <v>41</v>
      </c>
      <c r="AC792">
        <v>0.75820000000004395</v>
      </c>
      <c r="AD792">
        <v>-0.31995899999999899</v>
      </c>
      <c r="AE792">
        <v>-7.6700000000016602E-2</v>
      </c>
      <c r="AF792">
        <v>7.1982949473540794E-2</v>
      </c>
      <c r="AG792">
        <v>-0.31995899999999899</v>
      </c>
      <c r="AH792">
        <v>0.64385361330639601</v>
      </c>
      <c r="AI792">
        <v>116.283236897809</v>
      </c>
      <c r="AJ792">
        <v>83.620811976766007</v>
      </c>
      <c r="AK792">
        <v>0.722566801108114</v>
      </c>
      <c r="AL792">
        <v>79.443979684503205</v>
      </c>
      <c r="AM792">
        <v>89.055274925226598</v>
      </c>
      <c r="AN792">
        <v>0.99999997348704295</v>
      </c>
    </row>
    <row r="793" spans="1:40" x14ac:dyDescent="0.25">
      <c r="A793" t="str">
        <f>"20190303162757007"</f>
        <v>20190303162757007</v>
      </c>
      <c r="B793" t="str">
        <f>"1551601677001983"</f>
        <v>1551601677001983</v>
      </c>
      <c r="C793" t="s">
        <v>40</v>
      </c>
      <c r="D793">
        <v>5.1712959999999999</v>
      </c>
      <c r="E793">
        <v>0.53259699999999999</v>
      </c>
      <c r="F793" t="s">
        <v>44</v>
      </c>
      <c r="G793">
        <v>-300.97570000000002</v>
      </c>
      <c r="H793">
        <v>0.80894549999999998</v>
      </c>
      <c r="I793">
        <v>368.447</v>
      </c>
      <c r="J793">
        <v>-301.54680000000002</v>
      </c>
      <c r="K793">
        <v>1.0710999999999999</v>
      </c>
      <c r="L793">
        <v>368.51060000000001</v>
      </c>
      <c r="M793">
        <v>0.99984220000000001</v>
      </c>
      <c r="N793">
        <v>-1.431784E-2</v>
      </c>
      <c r="O793">
        <v>1.051913E-2</v>
      </c>
      <c r="P793">
        <v>0.98556809999999995</v>
      </c>
      <c r="Q793">
        <v>0.1691704</v>
      </c>
      <c r="R793">
        <v>-6.0849060000000002E-3</v>
      </c>
      <c r="S793">
        <v>3.2284549999999999</v>
      </c>
      <c r="T793">
        <v>-1.0836779999999999</v>
      </c>
      <c r="U793">
        <v>-0.25289919999999999</v>
      </c>
      <c r="V793">
        <v>1.6459749999999999E-2</v>
      </c>
      <c r="W793">
        <v>0.18326200000000001</v>
      </c>
      <c r="X793">
        <v>0.98292630000000003</v>
      </c>
      <c r="Y793">
        <v>8.3306279999999996E-2</v>
      </c>
      <c r="Z793">
        <v>-1.7488630000000002E-2</v>
      </c>
      <c r="AA793">
        <v>0.99637050000000005</v>
      </c>
      <c r="AB793">
        <v>41</v>
      </c>
      <c r="AC793">
        <v>0.57110000000000105</v>
      </c>
      <c r="AD793">
        <v>-0.26215450000000001</v>
      </c>
      <c r="AE793">
        <v>-6.3600000000064896E-2</v>
      </c>
      <c r="AF793">
        <v>5.7613417306470099E-2</v>
      </c>
      <c r="AG793">
        <v>-0.26215450000000001</v>
      </c>
      <c r="AH793">
        <v>0.47213355308234201</v>
      </c>
      <c r="AI793">
        <v>118.86208084042801</v>
      </c>
      <c r="AJ793">
        <v>83.0427193087597</v>
      </c>
      <c r="AK793">
        <v>0.54309702601849696</v>
      </c>
      <c r="AL793">
        <v>79.440179923757199</v>
      </c>
      <c r="AM793">
        <v>89.040634002490407</v>
      </c>
      <c r="AN793">
        <v>0.99999999762287595</v>
      </c>
    </row>
    <row r="794" spans="1:40" x14ac:dyDescent="0.25">
      <c r="A794" t="str">
        <f>"20190303162757018"</f>
        <v>20190303162757018</v>
      </c>
      <c r="B794" t="str">
        <f>"1551601677012719"</f>
        <v>1551601677012719</v>
      </c>
      <c r="C794" t="s">
        <v>40</v>
      </c>
      <c r="D794">
        <v>5.1753640000000001</v>
      </c>
      <c r="E794">
        <v>0.53254690000000005</v>
      </c>
      <c r="F794" t="s">
        <v>44</v>
      </c>
      <c r="G794">
        <v>-300.62549999999999</v>
      </c>
      <c r="H794">
        <v>0.76159259999999995</v>
      </c>
      <c r="I794">
        <v>368.43779999999998</v>
      </c>
      <c r="J794">
        <v>-301.32530000000003</v>
      </c>
      <c r="K794">
        <v>1.071097</v>
      </c>
      <c r="L794">
        <v>368.5129</v>
      </c>
      <c r="M794">
        <v>0.99984139999999999</v>
      </c>
      <c r="N794">
        <v>-1.4378190000000001E-2</v>
      </c>
      <c r="O794">
        <v>1.05194E-2</v>
      </c>
      <c r="P794">
        <v>0.98564490000000005</v>
      </c>
      <c r="Q794">
        <v>0.16871800000000001</v>
      </c>
      <c r="R794">
        <v>-6.2131469999999996E-3</v>
      </c>
      <c r="S794">
        <v>3.228577</v>
      </c>
      <c r="T794">
        <v>-1.084595</v>
      </c>
      <c r="U794">
        <v>-0.25363160000000001</v>
      </c>
      <c r="V794">
        <v>1.6588780000000001E-2</v>
      </c>
      <c r="W794">
        <v>0.18287010000000001</v>
      </c>
      <c r="X794">
        <v>0.98299709999999996</v>
      </c>
      <c r="Y794">
        <v>8.3507990000000004E-2</v>
      </c>
      <c r="Z794">
        <v>-1.7538049999999999E-2</v>
      </c>
      <c r="AA794">
        <v>0.99635280000000004</v>
      </c>
      <c r="AB794">
        <v>41</v>
      </c>
      <c r="AC794">
        <v>0.69980000000003795</v>
      </c>
      <c r="AD794">
        <v>-0.30950440000000001</v>
      </c>
      <c r="AE794">
        <v>-7.5100000000020303E-2</v>
      </c>
      <c r="AF794">
        <v>6.9096218912654897E-2</v>
      </c>
      <c r="AG794">
        <v>-0.30950440000000001</v>
      </c>
      <c r="AH794">
        <v>0.58570689220521999</v>
      </c>
      <c r="AI794">
        <v>117.69002468667399</v>
      </c>
      <c r="AJ794">
        <v>83.271876955611503</v>
      </c>
      <c r="AK794">
        <v>0.66604791469088898</v>
      </c>
      <c r="AL794">
        <v>79.463019935912797</v>
      </c>
      <c r="AM794">
        <v>89.033184463198694</v>
      </c>
      <c r="AN794">
        <v>0.99999997985215405</v>
      </c>
    </row>
    <row r="795" spans="1:40" x14ac:dyDescent="0.25">
      <c r="A795" t="str">
        <f>"20190303162757030"</f>
        <v>20190303162757030</v>
      </c>
      <c r="B795" t="str">
        <f>"1551601677022478"</f>
        <v>1551601677022478</v>
      </c>
      <c r="C795" t="s">
        <v>40</v>
      </c>
      <c r="D795">
        <v>5.2038739999999999</v>
      </c>
      <c r="E795">
        <v>0.53252840000000001</v>
      </c>
      <c r="F795" t="s">
        <v>44</v>
      </c>
      <c r="G795">
        <v>-300.59980000000002</v>
      </c>
      <c r="H795">
        <v>0.82675859999999901</v>
      </c>
      <c r="I795">
        <v>368.45569999999998</v>
      </c>
      <c r="J795">
        <v>-301.11689999999999</v>
      </c>
      <c r="K795">
        <v>1.0710980000000001</v>
      </c>
      <c r="L795">
        <v>368.51510000000002</v>
      </c>
      <c r="M795">
        <v>0.99984050000000002</v>
      </c>
      <c r="N795">
        <v>-1.4431589999999999E-2</v>
      </c>
      <c r="O795">
        <v>1.0519489999999999E-2</v>
      </c>
      <c r="P795">
        <v>0.985649</v>
      </c>
      <c r="Q795">
        <v>0.16868820000000001</v>
      </c>
      <c r="R795">
        <v>-6.3602569999999898E-3</v>
      </c>
      <c r="S795">
        <v>3.2281490000000002</v>
      </c>
      <c r="T795">
        <v>-1.087118</v>
      </c>
      <c r="U795">
        <v>-0.25299070000000001</v>
      </c>
      <c r="V795">
        <v>1.673614E-2</v>
      </c>
      <c r="W795">
        <v>0.18289250000000001</v>
      </c>
      <c r="X795">
        <v>0.98299040000000004</v>
      </c>
      <c r="Y795">
        <v>8.3307580000000006E-2</v>
      </c>
      <c r="Z795">
        <v>-1.754553E-2</v>
      </c>
      <c r="AA795">
        <v>0.99636939999999996</v>
      </c>
      <c r="AB795">
        <v>41</v>
      </c>
      <c r="AC795">
        <v>0.51709999999997003</v>
      </c>
      <c r="AD795">
        <v>-0.24433940000000001</v>
      </c>
      <c r="AE795">
        <v>-5.9400000000039199E-2</v>
      </c>
      <c r="AF795">
        <v>5.3129064921157002E-2</v>
      </c>
      <c r="AG795">
        <v>-0.24433940000000001</v>
      </c>
      <c r="AH795">
        <v>0.42318979257977801</v>
      </c>
      <c r="AI795">
        <v>119.80746490884999</v>
      </c>
      <c r="AJ795">
        <v>82.8442795848553</v>
      </c>
      <c r="AK795">
        <v>0.49154251136139998</v>
      </c>
      <c r="AL795">
        <v>79.461714130294098</v>
      </c>
      <c r="AM795">
        <v>89.024591136921899</v>
      </c>
      <c r="AN795">
        <v>0.99999994571525297</v>
      </c>
    </row>
    <row r="796" spans="1:40" x14ac:dyDescent="0.25">
      <c r="A796" t="str">
        <f>"20190303162757041"</f>
        <v>20190303162757041</v>
      </c>
      <c r="B796" t="str">
        <f>"1551601677032239"</f>
        <v>1551601677032239</v>
      </c>
      <c r="C796" t="s">
        <v>40</v>
      </c>
      <c r="D796">
        <v>5.1776540000000004</v>
      </c>
      <c r="E796">
        <v>0.53248869999999904</v>
      </c>
      <c r="F796" t="s">
        <v>44</v>
      </c>
      <c r="G796">
        <v>-300.25020000000001</v>
      </c>
      <c r="H796">
        <v>0.77923920000000002</v>
      </c>
      <c r="I796">
        <v>368.44690000000003</v>
      </c>
      <c r="J796">
        <v>-300.90199999999999</v>
      </c>
      <c r="K796">
        <v>1.071099</v>
      </c>
      <c r="L796">
        <v>368.51729999999998</v>
      </c>
      <c r="M796">
        <v>0.99983979999999995</v>
      </c>
      <c r="N796">
        <v>-1.448469E-2</v>
      </c>
      <c r="O796">
        <v>1.051946E-2</v>
      </c>
      <c r="P796">
        <v>0.98565190000000003</v>
      </c>
      <c r="Q796">
        <v>0.16866439999999999</v>
      </c>
      <c r="R796">
        <v>-6.5724109999999898E-3</v>
      </c>
      <c r="S796">
        <v>3.228119</v>
      </c>
      <c r="T796">
        <v>-1.0870759999999999</v>
      </c>
      <c r="U796">
        <v>-0.25292969999999998</v>
      </c>
      <c r="V796">
        <v>1.6948120000000001E-2</v>
      </c>
      <c r="W796">
        <v>0.18292120000000001</v>
      </c>
      <c r="X796">
        <v>0.98298149999999995</v>
      </c>
      <c r="Y796">
        <v>8.3290260000000005E-2</v>
      </c>
      <c r="Z796">
        <v>-1.754383E-2</v>
      </c>
      <c r="AA796">
        <v>0.99637089999999995</v>
      </c>
      <c r="AB796">
        <v>41</v>
      </c>
      <c r="AC796">
        <v>0.65179999999997995</v>
      </c>
      <c r="AD796">
        <v>-0.2918598</v>
      </c>
      <c r="AE796">
        <v>-7.03999999999496E-2</v>
      </c>
      <c r="AF796">
        <v>6.4475064067803997E-2</v>
      </c>
      <c r="AG796">
        <v>-0.2918598</v>
      </c>
      <c r="AH796">
        <v>0.54333872546324702</v>
      </c>
      <c r="AI796">
        <v>118.07624003783999</v>
      </c>
      <c r="AJ796">
        <v>83.232665980472404</v>
      </c>
      <c r="AK796">
        <v>0.62012591248117799</v>
      </c>
      <c r="AL796">
        <v>79.460042282279403</v>
      </c>
      <c r="AM796">
        <v>89.012230096252495</v>
      </c>
      <c r="AN796">
        <v>1.0000000167616101</v>
      </c>
    </row>
    <row r="797" spans="1:40" x14ac:dyDescent="0.25">
      <c r="A797" t="str">
        <f>"20190303162757054"</f>
        <v>20190303162757054</v>
      </c>
      <c r="B797" t="str">
        <f>"1551601677041999"</f>
        <v>1551601677041999</v>
      </c>
      <c r="C797" t="s">
        <v>40</v>
      </c>
      <c r="D797">
        <v>5.1819169999999897</v>
      </c>
      <c r="E797">
        <v>0.53244729999999996</v>
      </c>
      <c r="F797" t="s">
        <v>44</v>
      </c>
      <c r="G797">
        <v>-300.22489999999999</v>
      </c>
      <c r="H797">
        <v>0.84290699999999996</v>
      </c>
      <c r="I797">
        <v>368.46390000000002</v>
      </c>
      <c r="J797">
        <v>-300.68709999999999</v>
      </c>
      <c r="K797">
        <v>1.071097</v>
      </c>
      <c r="L797">
        <v>368.51960000000003</v>
      </c>
      <c r="M797">
        <v>0.99983909999999998</v>
      </c>
      <c r="N797">
        <v>-1.45328E-2</v>
      </c>
      <c r="O797">
        <v>1.05194E-2</v>
      </c>
      <c r="P797">
        <v>0.98566989999999999</v>
      </c>
      <c r="Q797">
        <v>0.16855970000000001</v>
      </c>
      <c r="R797">
        <v>-6.5502939999999999E-3</v>
      </c>
      <c r="S797">
        <v>3.2281490000000002</v>
      </c>
      <c r="T797">
        <v>-1.0879909999999999</v>
      </c>
      <c r="U797">
        <v>-0.2531738</v>
      </c>
      <c r="V797">
        <v>1.6926409999999999E-2</v>
      </c>
      <c r="W797">
        <v>0.182864</v>
      </c>
      <c r="X797">
        <v>0.98299250000000005</v>
      </c>
      <c r="Y797">
        <v>8.3351809999999998E-2</v>
      </c>
      <c r="Z797">
        <v>-1.7569390000000001E-2</v>
      </c>
      <c r="AA797">
        <v>0.99636530000000001</v>
      </c>
      <c r="AB797">
        <v>41</v>
      </c>
      <c r="AC797">
        <v>0.462199999999995</v>
      </c>
      <c r="AD797">
        <v>-0.22819</v>
      </c>
      <c r="AE797">
        <v>-5.5700000000001602E-2</v>
      </c>
      <c r="AF797">
        <v>4.8828282995661602E-2</v>
      </c>
      <c r="AG797">
        <v>-0.22819</v>
      </c>
      <c r="AH797">
        <v>0.37217234893441498</v>
      </c>
      <c r="AI797">
        <v>121.296262753844</v>
      </c>
      <c r="AJ797">
        <v>82.525596343801794</v>
      </c>
      <c r="AK797">
        <v>0.439280246120474</v>
      </c>
      <c r="AL797">
        <v>79.463375654272994</v>
      </c>
      <c r="AM797">
        <v>89.013506184837198</v>
      </c>
      <c r="AN797">
        <v>1.0000000004538601</v>
      </c>
    </row>
    <row r="798" spans="1:40" x14ac:dyDescent="0.25">
      <c r="A798" t="str">
        <f>"20190303162757067"</f>
        <v>20190303162757067</v>
      </c>
      <c r="B798" t="str">
        <f>"1551601677062495"</f>
        <v>1551601677062495</v>
      </c>
      <c r="C798" t="s">
        <v>40</v>
      </c>
      <c r="D798">
        <v>5.228383</v>
      </c>
      <c r="E798">
        <v>0.53237769999999995</v>
      </c>
      <c r="F798" t="s">
        <v>44</v>
      </c>
      <c r="G798">
        <v>-299.87509999999997</v>
      </c>
      <c r="H798">
        <v>0.79711309999999902</v>
      </c>
      <c r="I798">
        <v>368.45580000000001</v>
      </c>
      <c r="J798">
        <v>-300.43610000000001</v>
      </c>
      <c r="K798">
        <v>1.071102</v>
      </c>
      <c r="L798">
        <v>368.5222</v>
      </c>
      <c r="M798">
        <v>0.99983829999999996</v>
      </c>
      <c r="N798">
        <v>-1.4586470000000001E-2</v>
      </c>
      <c r="O798">
        <v>1.0519540000000001E-2</v>
      </c>
      <c r="P798">
        <v>0.98570979999999997</v>
      </c>
      <c r="Q798">
        <v>0.168313299999999</v>
      </c>
      <c r="R798">
        <v>-6.8546960000000004E-3</v>
      </c>
      <c r="S798">
        <v>3.2282410000000001</v>
      </c>
      <c r="T798">
        <v>-1.089353</v>
      </c>
      <c r="U798">
        <v>-0.25189210000000001</v>
      </c>
      <c r="V798">
        <v>1.723125E-2</v>
      </c>
      <c r="W798">
        <v>0.18267130000000001</v>
      </c>
      <c r="X798">
        <v>0.98302299999999998</v>
      </c>
      <c r="Y798">
        <v>8.2965520000000001E-2</v>
      </c>
      <c r="Z798">
        <v>-1.752505E-2</v>
      </c>
      <c r="AA798">
        <v>0.99639829999999996</v>
      </c>
      <c r="AB798">
        <v>41</v>
      </c>
      <c r="AC798">
        <v>0.56100000000003503</v>
      </c>
      <c r="AD798">
        <v>-0.27398889999999998</v>
      </c>
      <c r="AE798">
        <v>-6.6399999999987303E-2</v>
      </c>
      <c r="AF798">
        <v>5.8530181199971699E-2</v>
      </c>
      <c r="AG798">
        <v>-0.27398889999999998</v>
      </c>
      <c r="AH798">
        <v>0.45357463151755001</v>
      </c>
      <c r="AI798">
        <v>120.92575345553</v>
      </c>
      <c r="AJ798">
        <v>82.647071162724203</v>
      </c>
      <c r="AK798">
        <v>0.53312817013434299</v>
      </c>
      <c r="AL798">
        <v>79.474605375534694</v>
      </c>
      <c r="AM798">
        <v>88.995774460691905</v>
      </c>
      <c r="AN798">
        <v>0.99999996917462497</v>
      </c>
    </row>
    <row r="799" spans="1:40" x14ac:dyDescent="0.25">
      <c r="A799" t="str">
        <f>"20190303162757083"</f>
        <v>20190303162757083</v>
      </c>
      <c r="B799" t="str">
        <f>"1551601677072611"</f>
        <v>1551601677072611</v>
      </c>
      <c r="C799" t="s">
        <v>40</v>
      </c>
      <c r="D799">
        <v>5.20608</v>
      </c>
      <c r="E799">
        <v>0.53233999999999904</v>
      </c>
      <c r="F799" t="s">
        <v>44</v>
      </c>
      <c r="G799">
        <v>-299.5215</v>
      </c>
      <c r="H799">
        <v>0.76189739999999995</v>
      </c>
      <c r="I799">
        <v>368.45080000000002</v>
      </c>
      <c r="J799">
        <v>-300.14999999999998</v>
      </c>
      <c r="K799">
        <v>1.0711120000000001</v>
      </c>
      <c r="L799">
        <v>368.52530000000002</v>
      </c>
      <c r="M799">
        <v>0.99983750000000005</v>
      </c>
      <c r="N799">
        <v>-1.464289E-2</v>
      </c>
      <c r="O799">
        <v>1.05196E-2</v>
      </c>
      <c r="P799">
        <v>0.98561149999999997</v>
      </c>
      <c r="Q799">
        <v>0.16888149999999999</v>
      </c>
      <c r="R799">
        <v>-7.014424E-3</v>
      </c>
      <c r="S799">
        <v>3.2280880000000001</v>
      </c>
      <c r="T799">
        <v>-1.09131</v>
      </c>
      <c r="U799">
        <v>-0.25186160000000002</v>
      </c>
      <c r="V799">
        <v>1.7390070000000001E-2</v>
      </c>
      <c r="W799">
        <v>0.1832934</v>
      </c>
      <c r="X799">
        <v>0.98290440000000001</v>
      </c>
      <c r="Y799">
        <v>8.2941799999999996E-2</v>
      </c>
      <c r="Z799">
        <v>-1.7552700000000001E-2</v>
      </c>
      <c r="AA799">
        <v>0.99639979999999995</v>
      </c>
      <c r="AB799">
        <v>41</v>
      </c>
      <c r="AC799">
        <v>0.62849999999997397</v>
      </c>
      <c r="AD799">
        <v>-0.30921459999999901</v>
      </c>
      <c r="AE799">
        <v>-7.4500000000000399E-2</v>
      </c>
      <c r="AF799">
        <v>6.5478527559722999E-2</v>
      </c>
      <c r="AG799">
        <v>-0.30921459999999901</v>
      </c>
      <c r="AH799">
        <v>0.50672655263893696</v>
      </c>
      <c r="AI799">
        <v>121.181831767445</v>
      </c>
      <c r="AJ799">
        <v>82.637115587748895</v>
      </c>
      <c r="AK799">
        <v>0.597220985543785</v>
      </c>
      <c r="AL799">
        <v>79.4383495660135</v>
      </c>
      <c r="AM799">
        <v>88.986398197017294</v>
      </c>
      <c r="AN799">
        <v>0.99999997227876203</v>
      </c>
    </row>
    <row r="800" spans="1:40" x14ac:dyDescent="0.25">
      <c r="A800" t="str">
        <f>"20190303162757096"</f>
        <v>20190303162757096</v>
      </c>
      <c r="B800" t="str">
        <f>"1551601677092104"</f>
        <v>1551601677092104</v>
      </c>
      <c r="C800" t="s">
        <v>40</v>
      </c>
      <c r="D800">
        <v>5.2206489999999999</v>
      </c>
      <c r="E800">
        <v>0.53227449999999998</v>
      </c>
      <c r="F800" t="s">
        <v>44</v>
      </c>
      <c r="G800">
        <v>-299.4873</v>
      </c>
      <c r="H800">
        <v>0.84738979999999997</v>
      </c>
      <c r="I800">
        <v>368.47309999999999</v>
      </c>
      <c r="J800">
        <v>-299.92160000000001</v>
      </c>
      <c r="K800">
        <v>1.071118</v>
      </c>
      <c r="L800">
        <v>368.52769999999998</v>
      </c>
      <c r="M800">
        <v>0.99983690000000003</v>
      </c>
      <c r="N800">
        <v>-1.468294E-2</v>
      </c>
      <c r="O800">
        <v>1.051966E-2</v>
      </c>
      <c r="P800">
        <v>0.98560539999999996</v>
      </c>
      <c r="Q800">
        <v>0.16892009999999999</v>
      </c>
      <c r="R800">
        <v>-6.945433E-3</v>
      </c>
      <c r="S800">
        <v>3.2287599999999999</v>
      </c>
      <c r="T800">
        <v>-1.090017</v>
      </c>
      <c r="U800">
        <v>-0.25353999999999999</v>
      </c>
      <c r="V800">
        <v>1.7321050000000001E-2</v>
      </c>
      <c r="W800">
        <v>0.1833707</v>
      </c>
      <c r="X800">
        <v>0.98289119999999996</v>
      </c>
      <c r="Y800">
        <v>8.3426680000000003E-2</v>
      </c>
      <c r="Z800">
        <v>-1.7614330000000001E-2</v>
      </c>
      <c r="AA800">
        <v>0.99635819999999997</v>
      </c>
      <c r="AB800">
        <v>41</v>
      </c>
      <c r="AC800">
        <v>0.43430000000000701</v>
      </c>
      <c r="AD800">
        <v>-0.22372819999999999</v>
      </c>
      <c r="AE800">
        <v>-5.4599999999993501E-2</v>
      </c>
      <c r="AF800">
        <v>4.6910842844000898E-2</v>
      </c>
      <c r="AG800">
        <v>-0.22372819999999999</v>
      </c>
      <c r="AH800">
        <v>0.34386724813067598</v>
      </c>
      <c r="AI800">
        <v>122.80795963604</v>
      </c>
      <c r="AJ800">
        <v>82.231586213267093</v>
      </c>
      <c r="AK800">
        <v>0.41291599507471</v>
      </c>
      <c r="AL800">
        <v>79.433844235563001</v>
      </c>
      <c r="AM800">
        <v>88.990406723423604</v>
      </c>
      <c r="AN800">
        <v>0.99999997171451505</v>
      </c>
    </row>
    <row r="801" spans="1:40" x14ac:dyDescent="0.25">
      <c r="A801" t="str">
        <f>"20190303162757108"</f>
        <v>20190303162757108</v>
      </c>
      <c r="B801" t="str">
        <f>"1551601677101865"</f>
        <v>1551601677101865</v>
      </c>
      <c r="C801" t="s">
        <v>40</v>
      </c>
      <c r="D801">
        <v>5.2140019999999998</v>
      </c>
      <c r="E801">
        <v>0.53226240000000002</v>
      </c>
      <c r="F801" t="s">
        <v>44</v>
      </c>
      <c r="G801">
        <v>-299.13690000000003</v>
      </c>
      <c r="H801">
        <v>0.80589390000000005</v>
      </c>
      <c r="I801">
        <v>368.4658</v>
      </c>
      <c r="J801">
        <v>-299.67579999999998</v>
      </c>
      <c r="K801">
        <v>1.071123</v>
      </c>
      <c r="L801">
        <v>368.53019999999998</v>
      </c>
      <c r="M801">
        <v>0.99983630000000001</v>
      </c>
      <c r="N801">
        <v>-1.472387E-2</v>
      </c>
      <c r="O801">
        <v>1.0519540000000001E-2</v>
      </c>
      <c r="P801">
        <v>0.98551270000000002</v>
      </c>
      <c r="Q801">
        <v>0.16944489999999901</v>
      </c>
      <c r="R801">
        <v>-7.3018349999999996E-3</v>
      </c>
      <c r="S801">
        <v>3.229034</v>
      </c>
      <c r="T801">
        <v>-1.091332</v>
      </c>
      <c r="U801">
        <v>-0.2531738</v>
      </c>
      <c r="V801">
        <v>1.7676299999999999E-2</v>
      </c>
      <c r="W801">
        <v>0.1839346</v>
      </c>
      <c r="X801">
        <v>0.98277959999999998</v>
      </c>
      <c r="Y801">
        <v>8.3302769999999998E-2</v>
      </c>
      <c r="Z801">
        <v>-1.7612679999999999E-2</v>
      </c>
      <c r="AA801">
        <v>0.99636860000000005</v>
      </c>
      <c r="AB801">
        <v>41</v>
      </c>
      <c r="AC801">
        <v>0.53889999999995497</v>
      </c>
      <c r="AD801">
        <v>-0.2652291</v>
      </c>
      <c r="AE801">
        <v>-6.4399999999977794E-2</v>
      </c>
      <c r="AF801">
        <v>5.6558759515871998E-2</v>
      </c>
      <c r="AG801">
        <v>-0.2652291</v>
      </c>
      <c r="AH801">
        <v>0.43444031505020603</v>
      </c>
      <c r="AI801">
        <v>121.190659196204</v>
      </c>
      <c r="AJ801">
        <v>82.5825157939978</v>
      </c>
      <c r="AK801">
        <v>0.51213646238644905</v>
      </c>
      <c r="AL801">
        <v>79.400977101184907</v>
      </c>
      <c r="AM801">
        <v>88.969587689447707</v>
      </c>
      <c r="AN801">
        <v>1.0000000654175001</v>
      </c>
    </row>
    <row r="802" spans="1:40" x14ac:dyDescent="0.25">
      <c r="A802" t="str">
        <f>"20190303162757119"</f>
        <v>20190303162757119</v>
      </c>
      <c r="B802" t="str">
        <f>"1551601677112601"</f>
        <v>1551601677112601</v>
      </c>
      <c r="C802" t="s">
        <v>40</v>
      </c>
      <c r="D802">
        <v>5.2247490000000001</v>
      </c>
      <c r="E802">
        <v>0.53223160000000003</v>
      </c>
      <c r="F802" t="s">
        <v>44</v>
      </c>
      <c r="G802">
        <v>-298.7842</v>
      </c>
      <c r="H802">
        <v>0.77018129999999996</v>
      </c>
      <c r="I802">
        <v>368.45979999999997</v>
      </c>
      <c r="J802">
        <v>-299.47250000000003</v>
      </c>
      <c r="K802">
        <v>1.0711250000000001</v>
      </c>
      <c r="L802">
        <v>368.5324</v>
      </c>
      <c r="M802">
        <v>0.99983580000000005</v>
      </c>
      <c r="N802">
        <v>-1.475536E-2</v>
      </c>
      <c r="O802">
        <v>1.051942E-2</v>
      </c>
      <c r="P802">
        <v>0.98544589999999999</v>
      </c>
      <c r="Q802">
        <v>0.169825</v>
      </c>
      <c r="R802">
        <v>-7.4903119999999998E-3</v>
      </c>
      <c r="S802">
        <v>3.2297060000000002</v>
      </c>
      <c r="T802">
        <v>-1.090125</v>
      </c>
      <c r="U802">
        <v>-0.25421139999999998</v>
      </c>
      <c r="V802">
        <v>1.7864020000000001E-2</v>
      </c>
      <c r="W802">
        <v>0.1843447</v>
      </c>
      <c r="X802">
        <v>0.98269930000000005</v>
      </c>
      <c r="Y802">
        <v>8.3600759999999996E-2</v>
      </c>
      <c r="Z802">
        <v>-1.7643229999999999E-2</v>
      </c>
      <c r="AA802">
        <v>0.99634310000000004</v>
      </c>
      <c r="AB802">
        <v>41</v>
      </c>
      <c r="AC802">
        <v>0.688300000000026</v>
      </c>
      <c r="AD802">
        <v>-0.30094369999999998</v>
      </c>
      <c r="AE802">
        <v>-7.2600000000022605E-2</v>
      </c>
      <c r="AF802">
        <v>6.7142942187964599E-2</v>
      </c>
      <c r="AG802">
        <v>-0.30094369999999998</v>
      </c>
      <c r="AH802">
        <v>0.57818405120805505</v>
      </c>
      <c r="AI802">
        <v>117.340030840729</v>
      </c>
      <c r="AJ802">
        <v>83.3760663305641</v>
      </c>
      <c r="AK802">
        <v>0.65526489477668903</v>
      </c>
      <c r="AL802">
        <v>79.3770706451038</v>
      </c>
      <c r="AM802">
        <v>88.958562168114497</v>
      </c>
      <c r="AN802">
        <v>1.0000000029245699</v>
      </c>
    </row>
    <row r="803" spans="1:40" x14ac:dyDescent="0.25">
      <c r="A803" t="str">
        <f>"20190303162757130"</f>
        <v>20190303162757130</v>
      </c>
      <c r="B803" t="str">
        <f>"1551601677122363"</f>
        <v>1551601677122363</v>
      </c>
      <c r="C803" t="s">
        <v>40</v>
      </c>
      <c r="D803">
        <v>5.2330540000000001</v>
      </c>
      <c r="E803">
        <v>0.53222669999999905</v>
      </c>
      <c r="F803" t="s">
        <v>44</v>
      </c>
      <c r="G803">
        <v>-298.76029999999997</v>
      </c>
      <c r="H803">
        <v>0.83077979999999996</v>
      </c>
      <c r="I803">
        <v>368.476</v>
      </c>
      <c r="J803">
        <v>-299.28219999999999</v>
      </c>
      <c r="K803">
        <v>1.0711269999999999</v>
      </c>
      <c r="L803">
        <v>368.53440000000001</v>
      </c>
      <c r="M803">
        <v>0.99983549999999999</v>
      </c>
      <c r="N803">
        <v>-1.4782419999999999E-2</v>
      </c>
      <c r="O803">
        <v>1.05194E-2</v>
      </c>
      <c r="P803">
        <v>0.98531990000000003</v>
      </c>
      <c r="Q803">
        <v>0.17054079999999999</v>
      </c>
      <c r="R803">
        <v>-7.8058299999999997E-3</v>
      </c>
      <c r="S803">
        <v>3.2302249999999999</v>
      </c>
      <c r="T803">
        <v>-1.0900160000000001</v>
      </c>
      <c r="U803">
        <v>-0.25460820000000001</v>
      </c>
      <c r="V803">
        <v>1.8178219999999998E-2</v>
      </c>
      <c r="W803">
        <v>0.18508459999999999</v>
      </c>
      <c r="X803">
        <v>0.98255440000000005</v>
      </c>
      <c r="Y803">
        <v>8.370619E-2</v>
      </c>
      <c r="Z803">
        <v>-1.7657889999999999E-2</v>
      </c>
      <c r="AA803">
        <v>0.99633400000000005</v>
      </c>
      <c r="AB803">
        <v>41</v>
      </c>
      <c r="AC803">
        <v>0.52190000000001602</v>
      </c>
      <c r="AD803">
        <v>-0.24034719999999901</v>
      </c>
      <c r="AE803">
        <v>-5.8400000000005899E-2</v>
      </c>
      <c r="AF803">
        <v>5.2823149805194397E-2</v>
      </c>
      <c r="AG803">
        <v>-0.24034719999999901</v>
      </c>
      <c r="AH803">
        <v>0.43098331485899599</v>
      </c>
      <c r="AI803">
        <v>118.965828011819</v>
      </c>
      <c r="AJ803">
        <v>83.012435338920298</v>
      </c>
      <c r="AK803">
        <v>0.49628991465677602</v>
      </c>
      <c r="AL803">
        <v>79.333934691237701</v>
      </c>
      <c r="AM803">
        <v>88.940092808047694</v>
      </c>
      <c r="AN803">
        <v>0.99999995289944299</v>
      </c>
    </row>
    <row r="804" spans="1:40" x14ac:dyDescent="0.25">
      <c r="A804" t="str">
        <f>"20190303162757140"</f>
        <v>20190303162757140</v>
      </c>
      <c r="B804" t="str">
        <f>"1551601677132121"</f>
        <v>1551601677132121</v>
      </c>
      <c r="C804" t="s">
        <v>40</v>
      </c>
      <c r="D804">
        <v>5.2548690000000002</v>
      </c>
      <c r="E804">
        <v>0.53221300000000005</v>
      </c>
      <c r="F804" t="s">
        <v>44</v>
      </c>
      <c r="G804">
        <v>-298.4144</v>
      </c>
      <c r="H804">
        <v>0.77887280000000003</v>
      </c>
      <c r="I804">
        <v>368.46550000000002</v>
      </c>
      <c r="J804">
        <v>-299.07459999999998</v>
      </c>
      <c r="K804">
        <v>1.0711299999999999</v>
      </c>
      <c r="L804">
        <v>368.53660000000002</v>
      </c>
      <c r="M804">
        <v>0.99983509999999998</v>
      </c>
      <c r="N804">
        <v>-1.4810729999999999E-2</v>
      </c>
      <c r="O804">
        <v>1.0519540000000001E-2</v>
      </c>
      <c r="P804">
        <v>0.98524820000000002</v>
      </c>
      <c r="Q804">
        <v>0.1709492</v>
      </c>
      <c r="R804">
        <v>-7.9108990000000007E-3</v>
      </c>
      <c r="S804">
        <v>3.2310180000000002</v>
      </c>
      <c r="T804">
        <v>-1.0882050000000001</v>
      </c>
      <c r="U804">
        <v>-0.25546259999999998</v>
      </c>
      <c r="V804">
        <v>1.8282699999999999E-2</v>
      </c>
      <c r="W804">
        <v>0.18551999999999999</v>
      </c>
      <c r="X804">
        <v>0.98247039999999997</v>
      </c>
      <c r="Y804">
        <v>8.3954169999999995E-2</v>
      </c>
      <c r="Z804">
        <v>-1.7670080000000001E-2</v>
      </c>
      <c r="AA804">
        <v>0.99631289999999995</v>
      </c>
      <c r="AB804">
        <v>41</v>
      </c>
      <c r="AC804">
        <v>0.66019999999997403</v>
      </c>
      <c r="AD804">
        <v>-0.292257199999999</v>
      </c>
      <c r="AE804">
        <v>-7.1100000000001204E-2</v>
      </c>
      <c r="AF804">
        <v>6.5377070182180794E-2</v>
      </c>
      <c r="AG804">
        <v>-0.292257199999999</v>
      </c>
      <c r="AH804">
        <v>0.55240441649102301</v>
      </c>
      <c r="AI804">
        <v>117.71730532167599</v>
      </c>
      <c r="AJ804">
        <v>83.250439946959204</v>
      </c>
      <c r="AK804">
        <v>0.62836221370817102</v>
      </c>
      <c r="AL804">
        <v>79.308549044910293</v>
      </c>
      <c r="AM804">
        <v>88.933911233033697</v>
      </c>
      <c r="AN804">
        <v>1.00000000719772</v>
      </c>
    </row>
    <row r="805" spans="1:40" x14ac:dyDescent="0.25">
      <c r="A805" t="str">
        <f>"20190303162757152"</f>
        <v>20190303162757152</v>
      </c>
      <c r="B805" t="str">
        <f>"1551601677141881"</f>
        <v>1551601677141881</v>
      </c>
      <c r="C805" t="s">
        <v>40</v>
      </c>
      <c r="D805">
        <v>5.2449570000000003</v>
      </c>
      <c r="E805">
        <v>0.53218920000000003</v>
      </c>
      <c r="F805" t="s">
        <v>44</v>
      </c>
      <c r="G805">
        <v>-298.39</v>
      </c>
      <c r="H805">
        <v>0.84068099999999901</v>
      </c>
      <c r="I805">
        <v>368.48219999999998</v>
      </c>
      <c r="J805">
        <v>-298.87740000000002</v>
      </c>
      <c r="K805">
        <v>1.0711310000000001</v>
      </c>
      <c r="L805">
        <v>368.53870000000001</v>
      </c>
      <c r="M805">
        <v>0.99983480000000002</v>
      </c>
      <c r="N805">
        <v>-1.48348E-2</v>
      </c>
      <c r="O805">
        <v>1.0519540000000001E-2</v>
      </c>
      <c r="P805">
        <v>0.98518539999999999</v>
      </c>
      <c r="Q805">
        <v>0.1713095</v>
      </c>
      <c r="R805">
        <v>-7.9432089999999997E-3</v>
      </c>
      <c r="S805">
        <v>3.231598</v>
      </c>
      <c r="T805">
        <v>-1.0876520000000001</v>
      </c>
      <c r="U805">
        <v>-0.255249</v>
      </c>
      <c r="V805">
        <v>1.8314339999999998E-2</v>
      </c>
      <c r="W805">
        <v>0.18590280000000001</v>
      </c>
      <c r="X805">
        <v>0.98239739999999998</v>
      </c>
      <c r="Y805">
        <v>8.3885360000000006E-2</v>
      </c>
      <c r="Z805">
        <v>-1.7647920000000001E-2</v>
      </c>
      <c r="AA805">
        <v>0.99631910000000001</v>
      </c>
      <c r="AB805">
        <v>41</v>
      </c>
      <c r="AC805">
        <v>0.48740000000003603</v>
      </c>
      <c r="AD805">
        <v>-0.23044999999999999</v>
      </c>
      <c r="AE805">
        <v>-5.6500000000028097E-2</v>
      </c>
      <c r="AF805">
        <v>5.04876112167515E-2</v>
      </c>
      <c r="AG805">
        <v>-0.23044999999999999</v>
      </c>
      <c r="AH805">
        <v>0.39880607740275398</v>
      </c>
      <c r="AI805">
        <v>119.824533053596</v>
      </c>
      <c r="AJ805">
        <v>82.784913688971201</v>
      </c>
      <c r="AK805">
        <v>0.463359999093302</v>
      </c>
      <c r="AL805">
        <v>79.286227405325505</v>
      </c>
      <c r="AM805">
        <v>88.931987351468194</v>
      </c>
      <c r="AN805">
        <v>0.99999995881211601</v>
      </c>
    </row>
    <row r="806" spans="1:40" x14ac:dyDescent="0.25">
      <c r="A806" t="str">
        <f>"20190303162757165"</f>
        <v>20190303162757165</v>
      </c>
      <c r="B806" t="str">
        <f>"1551601677162378"</f>
        <v>1551601677162378</v>
      </c>
      <c r="C806" t="s">
        <v>40</v>
      </c>
      <c r="D806">
        <v>5.2716629999999904</v>
      </c>
      <c r="E806">
        <v>0.53215769999999996</v>
      </c>
      <c r="F806" t="s">
        <v>44</v>
      </c>
      <c r="G806">
        <v>-298.04379999999998</v>
      </c>
      <c r="H806">
        <v>0.79071089999999999</v>
      </c>
      <c r="I806">
        <v>368.47269999999997</v>
      </c>
      <c r="J806">
        <v>-298.64980000000003</v>
      </c>
      <c r="K806">
        <v>1.0711280000000001</v>
      </c>
      <c r="L806">
        <v>368.541</v>
      </c>
      <c r="M806">
        <v>0.99983420000000001</v>
      </c>
      <c r="N806">
        <v>-1.4861539999999999E-2</v>
      </c>
      <c r="O806">
        <v>1.051963E-2</v>
      </c>
      <c r="P806">
        <v>0.98526389999999997</v>
      </c>
      <c r="Q806">
        <v>0.17087430000000001</v>
      </c>
      <c r="R806">
        <v>-7.5614819999999996E-3</v>
      </c>
      <c r="S806">
        <v>3.2321469999999999</v>
      </c>
      <c r="T806">
        <v>-1.0873790000000001</v>
      </c>
      <c r="U806">
        <v>-0.25506590000000001</v>
      </c>
      <c r="V806">
        <v>1.7933790000000002E-2</v>
      </c>
      <c r="W806">
        <v>0.1854951</v>
      </c>
      <c r="X806">
        <v>0.98248150000000001</v>
      </c>
      <c r="Y806">
        <v>8.3823610000000007E-2</v>
      </c>
      <c r="Z806">
        <v>-1.763143E-2</v>
      </c>
      <c r="AA806">
        <v>0.9963246</v>
      </c>
      <c r="AB806">
        <v>41</v>
      </c>
      <c r="AC806">
        <v>0.60600000000005105</v>
      </c>
      <c r="AD806">
        <v>-0.28041709999999997</v>
      </c>
      <c r="AE806">
        <v>-6.8300000000021996E-2</v>
      </c>
      <c r="AF806">
        <v>6.16390258150811E-2</v>
      </c>
      <c r="AG806">
        <v>-0.28041709999999997</v>
      </c>
      <c r="AH806">
        <v>0.499611371210681</v>
      </c>
      <c r="AI806">
        <v>119.11986296630199</v>
      </c>
      <c r="AJ806">
        <v>82.9667347011613</v>
      </c>
      <c r="AK806">
        <v>0.57623314875045095</v>
      </c>
      <c r="AL806">
        <v>79.310000566095397</v>
      </c>
      <c r="AM806">
        <v>88.9542638933967</v>
      </c>
      <c r="AN806">
        <v>0.99999997539501095</v>
      </c>
    </row>
    <row r="807" spans="1:40" x14ac:dyDescent="0.25">
      <c r="A807" t="str">
        <f>"20190303162757177"</f>
        <v>20190303162757177</v>
      </c>
      <c r="B807" t="str">
        <f>"1551601677172137"</f>
        <v>1551601677172137</v>
      </c>
      <c r="C807" t="s">
        <v>40</v>
      </c>
      <c r="D807">
        <v>5.279077</v>
      </c>
      <c r="E807">
        <v>0.53214220000000001</v>
      </c>
      <c r="F807" t="s">
        <v>44</v>
      </c>
      <c r="G807">
        <v>-297.69479999999999</v>
      </c>
      <c r="H807">
        <v>0.74910889999999997</v>
      </c>
      <c r="I807">
        <v>368.46570000000003</v>
      </c>
      <c r="J807">
        <v>-298.42779999999999</v>
      </c>
      <c r="K807">
        <v>1.0711269999999999</v>
      </c>
      <c r="L807">
        <v>368.54340000000002</v>
      </c>
      <c r="M807">
        <v>0.99983390000000005</v>
      </c>
      <c r="N807">
        <v>-1.4884619999999999E-2</v>
      </c>
      <c r="O807">
        <v>1.0519819999999999E-2</v>
      </c>
      <c r="P807">
        <v>0.98538709999999996</v>
      </c>
      <c r="Q807">
        <v>0.17017009999999999</v>
      </c>
      <c r="R807">
        <v>-7.3780310000000002E-3</v>
      </c>
      <c r="S807">
        <v>3.2319640000000001</v>
      </c>
      <c r="T807">
        <v>-1.0897669999999999</v>
      </c>
      <c r="U807">
        <v>-0.25387569999999998</v>
      </c>
      <c r="V807">
        <v>1.7751820000000001E-2</v>
      </c>
      <c r="W807">
        <v>0.1848157</v>
      </c>
      <c r="X807">
        <v>0.98261279999999995</v>
      </c>
      <c r="Y807">
        <v>8.3460909999999999E-2</v>
      </c>
      <c r="Z807">
        <v>-1.7606980000000001E-2</v>
      </c>
      <c r="AA807">
        <v>0.99635549999999995</v>
      </c>
      <c r="AB807">
        <v>41</v>
      </c>
      <c r="AC807">
        <v>0.73300000000000398</v>
      </c>
      <c r="AD807">
        <v>-0.32201809999999997</v>
      </c>
      <c r="AE807">
        <v>-7.7699999999992997E-2</v>
      </c>
      <c r="AF807">
        <v>7.17196453156069E-2</v>
      </c>
      <c r="AG807">
        <v>-0.32201809999999997</v>
      </c>
      <c r="AH807">
        <v>0.61480444592295203</v>
      </c>
      <c r="AI807">
        <v>117.485496395656</v>
      </c>
      <c r="AJ807">
        <v>83.346268202036796</v>
      </c>
      <c r="AK807">
        <v>0.69772764813961297</v>
      </c>
      <c r="AL807">
        <v>79.349611880373502</v>
      </c>
      <c r="AM807">
        <v>88.965010701236096</v>
      </c>
      <c r="AN807">
        <v>0.999999942401819</v>
      </c>
    </row>
    <row r="808" spans="1:40" x14ac:dyDescent="0.25">
      <c r="A808" t="str">
        <f>"20190303162757190"</f>
        <v>20190303162757190</v>
      </c>
      <c r="B808" t="str">
        <f>"1551601677181897"</f>
        <v>1551601677181897</v>
      </c>
      <c r="C808" t="s">
        <v>40</v>
      </c>
      <c r="D808">
        <v>5.2685649999999997</v>
      </c>
      <c r="E808">
        <v>0.53213849999999996</v>
      </c>
      <c r="F808" t="s">
        <v>44</v>
      </c>
      <c r="G808">
        <v>-297.66890000000001</v>
      </c>
      <c r="H808">
        <v>0.81451439999999997</v>
      </c>
      <c r="I808">
        <v>368.48360000000002</v>
      </c>
      <c r="J808">
        <v>-298.19150000000002</v>
      </c>
      <c r="K808">
        <v>1.071129</v>
      </c>
      <c r="L808">
        <v>368.54579999999999</v>
      </c>
      <c r="M808">
        <v>0.99983359999999999</v>
      </c>
      <c r="N808">
        <v>-1.4907480000000001E-2</v>
      </c>
      <c r="O808">
        <v>1.051965E-2</v>
      </c>
      <c r="P808">
        <v>0.98541999999999996</v>
      </c>
      <c r="Q808">
        <v>0.1699891</v>
      </c>
      <c r="R808">
        <v>-7.1878890000000003E-3</v>
      </c>
      <c r="S808">
        <v>3.2312620000000001</v>
      </c>
      <c r="T808">
        <v>-1.0925830000000001</v>
      </c>
      <c r="U808">
        <v>-0.2531738</v>
      </c>
      <c r="V808">
        <v>1.756162E-2</v>
      </c>
      <c r="W808">
        <v>0.18465780000000001</v>
      </c>
      <c r="X808">
        <v>0.98264600000000002</v>
      </c>
      <c r="Y808">
        <v>8.3245910000000006E-2</v>
      </c>
      <c r="Z808">
        <v>-1.7616389999999999E-2</v>
      </c>
      <c r="AA808">
        <v>0.99637330000000002</v>
      </c>
      <c r="AB808">
        <v>41</v>
      </c>
      <c r="AC808">
        <v>0.52260000000001094</v>
      </c>
      <c r="AD808">
        <v>-0.25661460000000003</v>
      </c>
      <c r="AE808">
        <v>-6.2199999999961599E-2</v>
      </c>
      <c r="AF808">
        <v>5.4691904247655902E-2</v>
      </c>
      <c r="AG808">
        <v>-0.25661460000000003</v>
      </c>
      <c r="AH808">
        <v>0.42166671057764399</v>
      </c>
      <c r="AI808">
        <v>121.111684961835</v>
      </c>
      <c r="AJ808">
        <v>82.609760157140201</v>
      </c>
      <c r="AK808">
        <v>0.496633740429267</v>
      </c>
      <c r="AL808">
        <v>79.358818351594294</v>
      </c>
      <c r="AM808">
        <v>88.976132197709703</v>
      </c>
      <c r="AN808">
        <v>1.00000003745693</v>
      </c>
    </row>
    <row r="809" spans="1:40" x14ac:dyDescent="0.25">
      <c r="A809" t="str">
        <f>"20190303162757202"</f>
        <v>20190303162757202</v>
      </c>
      <c r="B809" t="str">
        <f>"1551601677192633"</f>
        <v>1551601677192633</v>
      </c>
      <c r="C809" t="s">
        <v>40</v>
      </c>
      <c r="D809">
        <v>5.2762799999999999</v>
      </c>
      <c r="E809">
        <v>0.53212299999999901</v>
      </c>
      <c r="F809" t="s">
        <v>44</v>
      </c>
      <c r="G809">
        <v>-297.31920000000002</v>
      </c>
      <c r="H809">
        <v>0.77567019999999998</v>
      </c>
      <c r="I809">
        <v>368.47730000000001</v>
      </c>
      <c r="J809">
        <v>-297.95729999999998</v>
      </c>
      <c r="K809">
        <v>1.071132</v>
      </c>
      <c r="L809">
        <v>368.54829999999998</v>
      </c>
      <c r="M809">
        <v>0.99983330000000004</v>
      </c>
      <c r="N809">
        <v>-1.492859E-2</v>
      </c>
      <c r="O809">
        <v>1.0519840000000001E-2</v>
      </c>
      <c r="P809">
        <v>0.98544229999999999</v>
      </c>
      <c r="Q809">
        <v>0.1698595</v>
      </c>
      <c r="R809">
        <v>-7.153291E-3</v>
      </c>
      <c r="S809">
        <v>3.231293</v>
      </c>
      <c r="T809">
        <v>-1.094347</v>
      </c>
      <c r="U809">
        <v>-0.25323489999999999</v>
      </c>
      <c r="V809">
        <v>1.7527609999999999E-2</v>
      </c>
      <c r="W809">
        <v>0.18454950000000001</v>
      </c>
      <c r="X809">
        <v>0.98266690000000001</v>
      </c>
      <c r="Y809">
        <v>8.3247249999999995E-2</v>
      </c>
      <c r="Z809">
        <v>-1.7643470000000001E-2</v>
      </c>
      <c r="AA809">
        <v>0.9963727</v>
      </c>
      <c r="AB809">
        <v>41</v>
      </c>
      <c r="AC809">
        <v>0.63809999999995104</v>
      </c>
      <c r="AD809">
        <v>-0.2954618</v>
      </c>
      <c r="AE809">
        <v>-7.0999999999969504E-2</v>
      </c>
      <c r="AF809">
        <v>6.4128503935331899E-2</v>
      </c>
      <c r="AG809">
        <v>-0.2954618</v>
      </c>
      <c r="AH809">
        <v>0.52593589474670799</v>
      </c>
      <c r="AI809">
        <v>119.14634394100101</v>
      </c>
      <c r="AJ809">
        <v>83.048118103044601</v>
      </c>
      <c r="AK809">
        <v>0.60664545301126604</v>
      </c>
      <c r="AL809">
        <v>79.365131439835395</v>
      </c>
      <c r="AM809">
        <v>88.978136338461596</v>
      </c>
      <c r="AN809">
        <v>0.99999998570908499</v>
      </c>
    </row>
    <row r="810" spans="1:40" x14ac:dyDescent="0.25">
      <c r="A810" t="str">
        <f>"20190303162757218"</f>
        <v>20190303162757218</v>
      </c>
      <c r="B810" t="str">
        <f>"1551601677212153"</f>
        <v>1551601677212153</v>
      </c>
      <c r="C810" t="s">
        <v>40</v>
      </c>
      <c r="D810">
        <v>5.3247249999999999</v>
      </c>
      <c r="E810">
        <v>0.53194350000000001</v>
      </c>
      <c r="F810" t="s">
        <v>44</v>
      </c>
      <c r="G810">
        <v>-297.29140000000001</v>
      </c>
      <c r="H810">
        <v>0.84519279999999997</v>
      </c>
      <c r="I810">
        <v>368.49599999999998</v>
      </c>
      <c r="J810">
        <v>-297.6841</v>
      </c>
      <c r="K810">
        <v>1.0711280000000001</v>
      </c>
      <c r="L810">
        <v>368.55119999999999</v>
      </c>
      <c r="M810">
        <v>0.99983290000000002</v>
      </c>
      <c r="N810">
        <v>-1.495001E-2</v>
      </c>
      <c r="O810">
        <v>1.051998E-2</v>
      </c>
      <c r="P810">
        <v>0.98548119999999995</v>
      </c>
      <c r="Q810">
        <v>0.16963810000000001</v>
      </c>
      <c r="R810">
        <v>-7.0730469999999998E-3</v>
      </c>
      <c r="S810">
        <v>3.2314150000000001</v>
      </c>
      <c r="T810">
        <v>-1.096284</v>
      </c>
      <c r="U810">
        <v>-0.25314330000000002</v>
      </c>
      <c r="V810">
        <v>1.7447819999999999E-2</v>
      </c>
      <c r="W810">
        <v>0.1843494</v>
      </c>
      <c r="X810">
        <v>0.98270590000000002</v>
      </c>
      <c r="Y810">
        <v>8.3200960000000004E-2</v>
      </c>
      <c r="Z810">
        <v>-1.7664470000000002E-2</v>
      </c>
      <c r="AA810">
        <v>0.99637620000000005</v>
      </c>
      <c r="AB810">
        <v>41</v>
      </c>
      <c r="AC810">
        <v>0.39269999999999</v>
      </c>
      <c r="AD810">
        <v>-0.2259352</v>
      </c>
      <c r="AE810">
        <v>-5.5200000000013398E-2</v>
      </c>
      <c r="AF810">
        <v>4.47898228598443E-2</v>
      </c>
      <c r="AG810">
        <v>-0.2259352</v>
      </c>
      <c r="AH810">
        <v>0.29601198480929503</v>
      </c>
      <c r="AI810">
        <v>127.04088632301099</v>
      </c>
      <c r="AJ810">
        <v>81.395795494168794</v>
      </c>
      <c r="AK810">
        <v>0.37506791115955801</v>
      </c>
      <c r="AL810">
        <v>79.376796700790905</v>
      </c>
      <c r="AM810">
        <v>88.982827494989195</v>
      </c>
      <c r="AN810">
        <v>1.0000000067989601</v>
      </c>
    </row>
    <row r="811" spans="1:40" x14ac:dyDescent="0.25">
      <c r="A811" t="str">
        <f>"20190303162757229"</f>
        <v>20190303162757229</v>
      </c>
      <c r="B811" t="str">
        <f>"1551601677221913"</f>
        <v>1551601677221913</v>
      </c>
      <c r="C811" t="s">
        <v>40</v>
      </c>
      <c r="D811">
        <v>5.2618640000000001</v>
      </c>
      <c r="E811">
        <v>0.53194350000000001</v>
      </c>
      <c r="F811" t="s">
        <v>44</v>
      </c>
      <c r="G811">
        <v>-296.93779999999998</v>
      </c>
      <c r="H811">
        <v>0.81773960000000001</v>
      </c>
      <c r="I811">
        <v>368.49279999999999</v>
      </c>
      <c r="J811">
        <v>-297.47649999999999</v>
      </c>
      <c r="K811">
        <v>1.0711299999999999</v>
      </c>
      <c r="L811">
        <v>368.55340000000001</v>
      </c>
      <c r="M811">
        <v>0.99983270000000002</v>
      </c>
      <c r="N811">
        <v>-1.496507E-2</v>
      </c>
      <c r="O811">
        <v>1.052004E-2</v>
      </c>
      <c r="P811">
        <v>0.98556860000000002</v>
      </c>
      <c r="Q811">
        <v>0.16912839999999901</v>
      </c>
      <c r="R811">
        <v>-7.0875309999999898E-3</v>
      </c>
      <c r="S811">
        <v>3.2312319999999999</v>
      </c>
      <c r="T811">
        <v>-1.0969580000000001</v>
      </c>
      <c r="U811">
        <v>-0.2512817</v>
      </c>
      <c r="V811">
        <v>1.7463269999999999E-2</v>
      </c>
      <c r="W811">
        <v>0.1838563</v>
      </c>
      <c r="X811">
        <v>0.98279799999999995</v>
      </c>
      <c r="Y811">
        <v>8.2659079999999996E-2</v>
      </c>
      <c r="Z811">
        <v>-1.7582739999999999E-2</v>
      </c>
      <c r="AA811">
        <v>0.99642280000000005</v>
      </c>
      <c r="AB811">
        <v>41</v>
      </c>
      <c r="AC811">
        <v>0.53870000000000495</v>
      </c>
      <c r="AD811">
        <v>-0.25339039999999902</v>
      </c>
      <c r="AE811">
        <v>-6.0600000000022101E-2</v>
      </c>
      <c r="AF811">
        <v>5.4382560269259403E-2</v>
      </c>
      <c r="AG811">
        <v>-0.25339039999999902</v>
      </c>
      <c r="AH811">
        <v>0.44155804192417297</v>
      </c>
      <c r="AI811">
        <v>119.663756983653</v>
      </c>
      <c r="AJ811">
        <v>82.978774628403002</v>
      </c>
      <c r="AK811">
        <v>0.51199381056953197</v>
      </c>
      <c r="AL811">
        <v>79.405540569472805</v>
      </c>
      <c r="AM811">
        <v>88.982022366442095</v>
      </c>
      <c r="AN811">
        <v>1.0000000068263899</v>
      </c>
    </row>
    <row r="812" spans="1:40" x14ac:dyDescent="0.25">
      <c r="A812" t="str">
        <f>"20190303162757240"</f>
        <v>20190303162757240</v>
      </c>
      <c r="B812" t="str">
        <f>"1551601677232649"</f>
        <v>1551601677232649</v>
      </c>
      <c r="C812" t="s">
        <v>40</v>
      </c>
      <c r="D812">
        <v>5.2805609999999996</v>
      </c>
      <c r="E812">
        <v>0.51505599999999996</v>
      </c>
      <c r="F812" t="s">
        <v>44</v>
      </c>
      <c r="G812">
        <v>-296.59230000000002</v>
      </c>
      <c r="H812">
        <v>0.77041040000000005</v>
      </c>
      <c r="I812">
        <v>368.48439999999999</v>
      </c>
      <c r="J812">
        <v>-297.26519999999999</v>
      </c>
      <c r="K812">
        <v>1.0711329999999999</v>
      </c>
      <c r="L812">
        <v>368.55560000000003</v>
      </c>
      <c r="M812">
        <v>0.99983259999999996</v>
      </c>
      <c r="N812">
        <v>-1.4979309999999999E-2</v>
      </c>
      <c r="O812">
        <v>1.051993E-2</v>
      </c>
      <c r="P812">
        <v>0.98561209999999999</v>
      </c>
      <c r="Q812">
        <v>0.16886770000000001</v>
      </c>
      <c r="R812">
        <v>-7.2790049999999999E-3</v>
      </c>
      <c r="S812">
        <v>3.2306520000000001</v>
      </c>
      <c r="T812">
        <v>-1.0985940000000001</v>
      </c>
      <c r="U812">
        <v>-0.2512817</v>
      </c>
      <c r="V812">
        <v>1.7655089999999998E-2</v>
      </c>
      <c r="W812">
        <v>0.1836102</v>
      </c>
      <c r="X812">
        <v>0.98284050000000001</v>
      </c>
      <c r="Y812">
        <v>8.2655649999999997E-2</v>
      </c>
      <c r="Z812">
        <v>-1.7609699999999999E-2</v>
      </c>
      <c r="AA812">
        <v>0.99642260000000005</v>
      </c>
      <c r="AB812">
        <v>41</v>
      </c>
      <c r="AC812">
        <v>0.67289999999996997</v>
      </c>
      <c r="AD812">
        <v>-0.30072259999999901</v>
      </c>
      <c r="AE812">
        <v>-7.1200000000033001E-2</v>
      </c>
      <c r="AF812">
        <v>6.5365228294952907E-2</v>
      </c>
      <c r="AG812">
        <v>-0.30072259999999901</v>
      </c>
      <c r="AH812">
        <v>0.56125789794694103</v>
      </c>
      <c r="AI812">
        <v>118.022087058246</v>
      </c>
      <c r="AJ812">
        <v>83.357143188391404</v>
      </c>
      <c r="AK812">
        <v>0.64009149598212201</v>
      </c>
      <c r="AL812">
        <v>79.419884420194293</v>
      </c>
      <c r="AM812">
        <v>88.9708875845823</v>
      </c>
      <c r="AN812">
        <v>0.99999992809359595</v>
      </c>
    </row>
    <row r="813" spans="1:40" x14ac:dyDescent="0.25">
      <c r="A813" t="str">
        <f>"20190303162757252"</f>
        <v>20190303162757252</v>
      </c>
      <c r="B813" t="str">
        <f>"1551601677242409"</f>
        <v>1551601677242409</v>
      </c>
      <c r="C813" t="s">
        <v>40</v>
      </c>
      <c r="D813">
        <v>5.3261089999999998</v>
      </c>
      <c r="E813">
        <v>0.51505599999999996</v>
      </c>
      <c r="F813" t="s">
        <v>44</v>
      </c>
      <c r="G813">
        <v>-296.5369</v>
      </c>
      <c r="H813">
        <v>0.89864029999999995</v>
      </c>
      <c r="I813">
        <v>368.52730000000003</v>
      </c>
      <c r="J813">
        <v>-297.0652</v>
      </c>
      <c r="K813">
        <v>1.0711379999999999</v>
      </c>
      <c r="L813">
        <v>368.55770000000001</v>
      </c>
      <c r="M813">
        <v>0.99983230000000001</v>
      </c>
      <c r="N813">
        <v>-1.4991320000000001E-2</v>
      </c>
      <c r="O813">
        <v>1.052002E-2</v>
      </c>
      <c r="P813">
        <v>0.9854832</v>
      </c>
      <c r="Q813">
        <v>0.16961119999999999</v>
      </c>
      <c r="R813">
        <v>-7.420154E-3</v>
      </c>
      <c r="S813">
        <v>3.1716310000000001</v>
      </c>
      <c r="T813">
        <v>-0.75116680000000002</v>
      </c>
      <c r="U813">
        <v>-0.1225586</v>
      </c>
      <c r="V813">
        <v>1.7795020000000002E-2</v>
      </c>
      <c r="W813">
        <v>0.184363</v>
      </c>
      <c r="X813">
        <v>0.98269709999999999</v>
      </c>
      <c r="Y813">
        <v>4.7472609999999998E-2</v>
      </c>
      <c r="Z813">
        <v>-8.205291E-3</v>
      </c>
      <c r="AA813">
        <v>0.99883880000000003</v>
      </c>
      <c r="AB813">
        <v>41</v>
      </c>
      <c r="AC813">
        <v>0.52830000000000099</v>
      </c>
      <c r="AD813">
        <v>-0.172497699999999</v>
      </c>
      <c r="AE813">
        <v>-3.03999999999859E-2</v>
      </c>
      <c r="AF813">
        <v>3.2502909876253698E-2</v>
      </c>
      <c r="AG813">
        <v>-0.172497699999999</v>
      </c>
      <c r="AH813">
        <v>0.477239458557844</v>
      </c>
      <c r="AI813">
        <v>109.829992037556</v>
      </c>
      <c r="AJ813">
        <v>86.103825542787504</v>
      </c>
      <c r="AK813">
        <v>0.50849719415184402</v>
      </c>
      <c r="AL813">
        <v>79.376003648562005</v>
      </c>
      <c r="AM813">
        <v>88.9625815319163</v>
      </c>
      <c r="AN813">
        <v>0.99999998442710503</v>
      </c>
    </row>
    <row r="814" spans="1:40" x14ac:dyDescent="0.25">
      <c r="A814" t="str">
        <f>"20190303162757265"</f>
        <v>20190303162757265</v>
      </c>
      <c r="B814" t="str">
        <f>"1551601677252169"</f>
        <v>1551601677252169</v>
      </c>
      <c r="C814" t="s">
        <v>40</v>
      </c>
      <c r="D814">
        <v>5.3481560000000004</v>
      </c>
      <c r="E814">
        <v>0.5072314</v>
      </c>
      <c r="F814" t="s">
        <v>44</v>
      </c>
      <c r="G814">
        <v>-296.1893</v>
      </c>
      <c r="H814">
        <v>0.86441950000000001</v>
      </c>
      <c r="I814">
        <v>368.52330000000001</v>
      </c>
      <c r="J814">
        <v>-296.82830000000001</v>
      </c>
      <c r="K814">
        <v>1.071142</v>
      </c>
      <c r="L814">
        <v>368.56020000000001</v>
      </c>
      <c r="M814">
        <v>0.99983219999999995</v>
      </c>
      <c r="N814">
        <v>-1.500482E-2</v>
      </c>
      <c r="O814">
        <v>1.051992E-2</v>
      </c>
      <c r="P814">
        <v>0.98539350000000003</v>
      </c>
      <c r="Q814">
        <v>0.17011089999999901</v>
      </c>
      <c r="R814">
        <v>-7.8954609999999995E-3</v>
      </c>
      <c r="S814">
        <v>3.1721499999999998</v>
      </c>
      <c r="T814">
        <v>-0.74874469999999904</v>
      </c>
      <c r="U814">
        <v>-0.1234741</v>
      </c>
      <c r="V814">
        <v>1.8269299999999999E-2</v>
      </c>
      <c r="W814">
        <v>0.1848747</v>
      </c>
      <c r="X814">
        <v>0.98259229999999997</v>
      </c>
      <c r="Y814">
        <v>4.7756609999999998E-2</v>
      </c>
      <c r="Z814">
        <v>-8.2142090000000001E-3</v>
      </c>
      <c r="AA814">
        <v>0.99882530000000003</v>
      </c>
      <c r="AB814">
        <v>41</v>
      </c>
      <c r="AC814">
        <v>0.63900000000001</v>
      </c>
      <c r="AD814">
        <v>-0.2067225</v>
      </c>
      <c r="AE814">
        <v>-3.6900000000002799E-2</v>
      </c>
      <c r="AF814">
        <v>3.9500614316672303E-2</v>
      </c>
      <c r="AG814">
        <v>-0.2067225</v>
      </c>
      <c r="AH814">
        <v>0.57825802798229098</v>
      </c>
      <c r="AI814">
        <v>109.629316554816</v>
      </c>
      <c r="AJ814">
        <v>86.092214921583405</v>
      </c>
      <c r="AK814">
        <v>0.61536723788613701</v>
      </c>
      <c r="AL814">
        <v>79.346173045115407</v>
      </c>
      <c r="AM814">
        <v>88.934824556048298</v>
      </c>
      <c r="AN814">
        <v>1.00000002502093</v>
      </c>
    </row>
    <row r="815" spans="1:40" x14ac:dyDescent="0.25">
      <c r="A815" t="str">
        <f>"20190303162757278"</f>
        <v>20190303162757278</v>
      </c>
      <c r="B815" t="str">
        <f>"1551601677272665"</f>
        <v>1551601677272665</v>
      </c>
      <c r="C815" t="s">
        <v>40</v>
      </c>
      <c r="D815">
        <v>5.4610659999999998</v>
      </c>
      <c r="E815">
        <v>0.50073590000000001</v>
      </c>
      <c r="F815" t="s">
        <v>44</v>
      </c>
      <c r="G815">
        <v>-295.78359999999998</v>
      </c>
      <c r="H815">
        <v>0.95134540000000001</v>
      </c>
      <c r="I815">
        <v>368.53719999999998</v>
      </c>
      <c r="J815">
        <v>-296.5797</v>
      </c>
      <c r="K815">
        <v>1.0711459999999999</v>
      </c>
      <c r="L815">
        <v>368.56279999999998</v>
      </c>
      <c r="M815">
        <v>0.99983200000000005</v>
      </c>
      <c r="N815">
        <v>-1.5017229999999999E-2</v>
      </c>
      <c r="O815">
        <v>1.052E-2</v>
      </c>
      <c r="P815">
        <v>0.98540760000000005</v>
      </c>
      <c r="Q815">
        <v>0.170020799999999</v>
      </c>
      <c r="R815">
        <v>-8.0663060000000005E-3</v>
      </c>
      <c r="S815">
        <v>3.1053769999999998</v>
      </c>
      <c r="T815">
        <v>-0.35609689999999999</v>
      </c>
      <c r="U815">
        <v>-6.8450929999999993E-2</v>
      </c>
      <c r="V815">
        <v>1.8440370000000001E-2</v>
      </c>
      <c r="W815">
        <v>0.18479689999999999</v>
      </c>
      <c r="X815">
        <v>0.98260369999999997</v>
      </c>
      <c r="Y815">
        <v>3.2263519999999997E-2</v>
      </c>
      <c r="Z815">
        <v>-3.1315280000000002E-3</v>
      </c>
      <c r="AA815">
        <v>0.99947450000000004</v>
      </c>
      <c r="AB815">
        <v>41</v>
      </c>
      <c r="AC815">
        <v>0.79610000000002401</v>
      </c>
      <c r="AD815">
        <v>-0.11980059999999899</v>
      </c>
      <c r="AE815">
        <v>-2.5599999999997101E-2</v>
      </c>
      <c r="AF815">
        <v>3.3222924668324001E-2</v>
      </c>
      <c r="AG815">
        <v>-0.11980059999999899</v>
      </c>
      <c r="AH815">
        <v>0.77818243410957699</v>
      </c>
      <c r="AI815">
        <v>98.744090431474007</v>
      </c>
      <c r="AJ815">
        <v>87.555357164235602</v>
      </c>
      <c r="AK815">
        <v>0.78805066286412195</v>
      </c>
      <c r="AL815">
        <v>79.3507083941671</v>
      </c>
      <c r="AM815">
        <v>88.9248652714939</v>
      </c>
      <c r="AN815">
        <v>0.99999998637451804</v>
      </c>
    </row>
    <row r="816" spans="1:40" x14ac:dyDescent="0.25">
      <c r="A816" t="str">
        <f>"20190303162757294"</f>
        <v>20190303162757294</v>
      </c>
      <c r="B816" t="str">
        <f>"1551601677282424"</f>
        <v>1551601677282424</v>
      </c>
      <c r="C816" t="s">
        <v>40</v>
      </c>
      <c r="D816">
        <v>5.5188759999999997</v>
      </c>
      <c r="E816">
        <v>0.49914049999999999</v>
      </c>
      <c r="F816" t="s">
        <v>44</v>
      </c>
      <c r="G816">
        <v>-295.75439999999998</v>
      </c>
      <c r="H816">
        <v>0.99410050000000005</v>
      </c>
      <c r="I816">
        <v>368.55799999999999</v>
      </c>
      <c r="J816">
        <v>-296.31700000000001</v>
      </c>
      <c r="K816">
        <v>1.071143</v>
      </c>
      <c r="L816">
        <v>368.56560000000002</v>
      </c>
      <c r="M816">
        <v>0.99983169999999999</v>
      </c>
      <c r="N816">
        <v>-1.5028959999999999E-2</v>
      </c>
      <c r="O816">
        <v>1.0520089999999999E-2</v>
      </c>
      <c r="P816">
        <v>0.98545720000000003</v>
      </c>
      <c r="Q816">
        <v>0.16972989999999999</v>
      </c>
      <c r="R816">
        <v>-8.1180230000000003E-3</v>
      </c>
      <c r="S816">
        <v>3.0940859999999999</v>
      </c>
      <c r="T816">
        <v>-0.28888200000000003</v>
      </c>
      <c r="U816">
        <v>-1.8035889999999999E-2</v>
      </c>
      <c r="V816">
        <v>1.8492769999999999E-2</v>
      </c>
      <c r="W816">
        <v>0.1845186</v>
      </c>
      <c r="X816">
        <v>0.98265499999999995</v>
      </c>
      <c r="Y816">
        <v>1.6235599999999999E-2</v>
      </c>
      <c r="Z816">
        <v>-1.700837E-3</v>
      </c>
      <c r="AA816">
        <v>0.9998667</v>
      </c>
      <c r="AB816">
        <v>41</v>
      </c>
      <c r="AC816">
        <v>0.56260000000003096</v>
      </c>
      <c r="AD816">
        <v>-7.70425E-2</v>
      </c>
      <c r="AE816">
        <v>-7.5999999999680698E-3</v>
      </c>
      <c r="AF816">
        <v>1.32700482082067E-2</v>
      </c>
      <c r="AG816">
        <v>-7.70425E-2</v>
      </c>
      <c r="AH816">
        <v>0.55213679201783705</v>
      </c>
      <c r="AI816">
        <v>97.941223829278897</v>
      </c>
      <c r="AJ816">
        <v>88.623219058716998</v>
      </c>
      <c r="AK816">
        <v>0.55764386312901004</v>
      </c>
      <c r="AL816">
        <v>79.366932675662397</v>
      </c>
      <c r="AM816">
        <v>88.921867171993497</v>
      </c>
      <c r="AN816">
        <v>0.999999972656616</v>
      </c>
    </row>
    <row r="817" spans="1:40" x14ac:dyDescent="0.25">
      <c r="A817" t="str">
        <f>"20190303162757319"</f>
        <v>20190303162757319</v>
      </c>
      <c r="B817" t="str">
        <f>"1551601677312681"</f>
        <v>1551601677312681</v>
      </c>
      <c r="C817" t="s">
        <v>40</v>
      </c>
      <c r="D817">
        <v>5.4514829999999996</v>
      </c>
      <c r="E817">
        <v>0.49838359999999898</v>
      </c>
      <c r="F817" t="s">
        <v>44</v>
      </c>
      <c r="G817">
        <v>-295.39949999999999</v>
      </c>
      <c r="H817">
        <v>0.98927949999999998</v>
      </c>
      <c r="I817">
        <v>368.56380000000001</v>
      </c>
      <c r="J817">
        <v>-295.82580000000002</v>
      </c>
      <c r="K817">
        <v>1.0711459999999999</v>
      </c>
      <c r="L817">
        <v>368.57069999999999</v>
      </c>
      <c r="M817">
        <v>0.99983140000000004</v>
      </c>
      <c r="N817">
        <v>-1.5047629999999999E-2</v>
      </c>
      <c r="O817">
        <v>1.052025E-2</v>
      </c>
      <c r="P817">
        <v>0.98541990000000002</v>
      </c>
      <c r="Q817">
        <v>0.16993939999999999</v>
      </c>
      <c r="R817">
        <v>-8.2651970000000002E-3</v>
      </c>
      <c r="S817">
        <v>3.0918269999999999</v>
      </c>
      <c r="T817">
        <v>-0.27598640000000002</v>
      </c>
      <c r="U817">
        <v>-5.5541990000000001E-3</v>
      </c>
      <c r="V817">
        <v>1.8639739999999998E-2</v>
      </c>
      <c r="W817">
        <v>0.18474579999999999</v>
      </c>
      <c r="X817">
        <v>0.98260959999999997</v>
      </c>
      <c r="Y817">
        <v>1.223196E-2</v>
      </c>
      <c r="Z817">
        <v>-1.41624E-3</v>
      </c>
      <c r="AA817">
        <v>0.99992420000000004</v>
      </c>
      <c r="AB817">
        <v>41</v>
      </c>
      <c r="AC817">
        <v>0.42630000000002599</v>
      </c>
      <c r="AD817">
        <v>-8.1866499999999898E-2</v>
      </c>
      <c r="AE817">
        <v>-6.89999999997326E-3</v>
      </c>
      <c r="AF817">
        <v>1.09800779226009E-2</v>
      </c>
      <c r="AG817">
        <v>-8.1866499999999898E-2</v>
      </c>
      <c r="AH817">
        <v>0.41104862143450199</v>
      </c>
      <c r="AI817">
        <v>101.260009473471</v>
      </c>
      <c r="AJ817">
        <v>88.469858501916093</v>
      </c>
      <c r="AK817">
        <v>0.419265614040361</v>
      </c>
      <c r="AL817">
        <v>79.353688063167695</v>
      </c>
      <c r="AM817">
        <v>88.913250635874107</v>
      </c>
      <c r="AN817">
        <v>1.0000000382685299</v>
      </c>
    </row>
    <row r="818" spans="1:40" x14ac:dyDescent="0.25">
      <c r="A818" t="str">
        <f>"20190303162757332"</f>
        <v>20190303162757332</v>
      </c>
      <c r="B818" t="str">
        <f>"1551601677322441"</f>
        <v>1551601677322441</v>
      </c>
      <c r="C818" t="s">
        <v>40</v>
      </c>
      <c r="D818">
        <v>6.4652529999999997</v>
      </c>
      <c r="E818">
        <v>0.49873299999999998</v>
      </c>
      <c r="F818" t="s">
        <v>42</v>
      </c>
      <c r="G818">
        <v>-282.85379999999998</v>
      </c>
      <c r="H818">
        <v>-0.05</v>
      </c>
      <c r="I818">
        <v>368.5711</v>
      </c>
      <c r="J818">
        <v>-295.60700000000003</v>
      </c>
      <c r="K818">
        <v>1.0711520000000001</v>
      </c>
      <c r="L818">
        <v>368.57299999999998</v>
      </c>
      <c r="M818">
        <v>0.99983140000000004</v>
      </c>
      <c r="N818">
        <v>-1.505448E-2</v>
      </c>
      <c r="O818">
        <v>1.05202E-2</v>
      </c>
      <c r="P818">
        <v>0.98546239999999996</v>
      </c>
      <c r="Q818">
        <v>0.16968949999999999</v>
      </c>
      <c r="R818">
        <v>-8.3534449999999993E-3</v>
      </c>
      <c r="S818">
        <v>3.0904539999999998</v>
      </c>
      <c r="T818">
        <v>-0.2671018</v>
      </c>
      <c r="U818" s="1">
        <v>9.1552730000000004E-5</v>
      </c>
      <c r="V818">
        <v>1.872832E-2</v>
      </c>
      <c r="W818">
        <v>0.1845031</v>
      </c>
      <c r="X818">
        <v>0.98265349999999996</v>
      </c>
      <c r="Y818">
        <v>1.0419390000000001E-2</v>
      </c>
      <c r="Z818">
        <v>-1.2774220000000001E-3</v>
      </c>
      <c r="AA818">
        <v>0.99994490000000003</v>
      </c>
      <c r="AB818">
        <v>41</v>
      </c>
      <c r="AC818">
        <v>12.7532</v>
      </c>
      <c r="AD818">
        <v>-1.1211519999999999</v>
      </c>
      <c r="AE818">
        <v>-1.90000000003465E-3</v>
      </c>
      <c r="AF818">
        <v>0.13503767845803</v>
      </c>
      <c r="AG818">
        <v>-1.1211519999999999</v>
      </c>
      <c r="AH818">
        <v>12.6546734873079</v>
      </c>
      <c r="AI818">
        <v>95.062664426840598</v>
      </c>
      <c r="AJ818">
        <v>89.388621491856696</v>
      </c>
      <c r="AK818">
        <v>12.7049587977325</v>
      </c>
      <c r="AL818">
        <v>79.367836810431697</v>
      </c>
      <c r="AM818">
        <v>88.908136189010705</v>
      </c>
      <c r="AN818">
        <v>1.00000002247094</v>
      </c>
    </row>
    <row r="819" spans="1:40" x14ac:dyDescent="0.25">
      <c r="A819" t="str">
        <f>"20190303162757345"</f>
        <v>20190303162757345</v>
      </c>
      <c r="B819" t="str">
        <f>"1551601677332202"</f>
        <v>1551601677332202</v>
      </c>
      <c r="C819" t="s">
        <v>40</v>
      </c>
      <c r="D819">
        <v>5.2829499999999996</v>
      </c>
      <c r="E819">
        <v>0.49858780000000003</v>
      </c>
      <c r="F819" t="s">
        <v>44</v>
      </c>
      <c r="G819">
        <v>-294.67340000000002</v>
      </c>
      <c r="H819">
        <v>0.99055459999999995</v>
      </c>
      <c r="I819">
        <v>368.57190000000003</v>
      </c>
      <c r="J819">
        <v>-295.36869999999999</v>
      </c>
      <c r="K819">
        <v>1.0711539999999999</v>
      </c>
      <c r="L819">
        <v>368.57560000000001</v>
      </c>
      <c r="M819">
        <v>0.99983129999999998</v>
      </c>
      <c r="N819">
        <v>-1.5061389999999999E-2</v>
      </c>
      <c r="O819">
        <v>1.0520140000000001E-2</v>
      </c>
      <c r="P819">
        <v>0.98541350000000005</v>
      </c>
      <c r="Q819">
        <v>0.1699619</v>
      </c>
      <c r="R819">
        <v>-8.5667750000000004E-3</v>
      </c>
      <c r="S819">
        <v>3.090179</v>
      </c>
      <c r="T819">
        <v>-0.26704260000000002</v>
      </c>
      <c r="U819">
        <v>-2.6855469999999999E-3</v>
      </c>
      <c r="V819">
        <v>1.8941110000000001E-2</v>
      </c>
      <c r="W819">
        <v>0.18478149999999999</v>
      </c>
      <c r="X819">
        <v>0.9825971</v>
      </c>
      <c r="Y819">
        <v>1.1314070000000001E-2</v>
      </c>
      <c r="Z819">
        <v>-1.3225419999999999E-3</v>
      </c>
      <c r="AA819">
        <v>0.99993509999999997</v>
      </c>
      <c r="AB819">
        <v>41</v>
      </c>
      <c r="AC819">
        <v>0.69529999999997405</v>
      </c>
      <c r="AD819">
        <v>-8.0599400000000099E-2</v>
      </c>
      <c r="AE819">
        <v>-3.69999999998071E-3</v>
      </c>
      <c r="AF819">
        <v>1.0869226470459801E-2</v>
      </c>
      <c r="AG819">
        <v>-8.0599400000000099E-2</v>
      </c>
      <c r="AH819">
        <v>0.68600464483949097</v>
      </c>
      <c r="AI819">
        <v>96.7001862259891</v>
      </c>
      <c r="AJ819">
        <v>89.092267518581394</v>
      </c>
      <c r="AK819">
        <v>0.69080878403924595</v>
      </c>
      <c r="AL819">
        <v>79.351606515931906</v>
      </c>
      <c r="AM819">
        <v>88.895670187317904</v>
      </c>
      <c r="AN819">
        <v>1.00000001465934</v>
      </c>
    </row>
    <row r="820" spans="1:40" x14ac:dyDescent="0.25">
      <c r="A820" t="str">
        <f>"20190303162757357"</f>
        <v>20190303162757357</v>
      </c>
      <c r="B820" t="str">
        <f>"1551601677352698"</f>
        <v>1551601677352698</v>
      </c>
      <c r="C820" t="s">
        <v>40</v>
      </c>
      <c r="D820">
        <v>5.3485399999999998</v>
      </c>
      <c r="E820">
        <v>0.49854039999999999</v>
      </c>
      <c r="F820" t="s">
        <v>44</v>
      </c>
      <c r="G820">
        <v>-294.31880000000001</v>
      </c>
      <c r="H820">
        <v>0.98133280000000001</v>
      </c>
      <c r="I820">
        <v>368.5745</v>
      </c>
      <c r="J820">
        <v>-295.15550000000002</v>
      </c>
      <c r="K820">
        <v>1.071161</v>
      </c>
      <c r="L820">
        <v>368.57780000000002</v>
      </c>
      <c r="M820">
        <v>0.99983109999999997</v>
      </c>
      <c r="N820">
        <v>-1.5066670000000001E-2</v>
      </c>
      <c r="O820">
        <v>1.052028E-2</v>
      </c>
      <c r="P820">
        <v>0.98541460000000003</v>
      </c>
      <c r="Q820">
        <v>0.1699378</v>
      </c>
      <c r="R820">
        <v>-8.9215649999999994E-3</v>
      </c>
      <c r="S820">
        <v>3.0900270000000001</v>
      </c>
      <c r="T820">
        <v>-0.26458999999999999</v>
      </c>
      <c r="U820">
        <v>-2.380371E-3</v>
      </c>
      <c r="V820">
        <v>1.9295960000000001E-2</v>
      </c>
      <c r="W820">
        <v>0.18476229999999999</v>
      </c>
      <c r="X820">
        <v>0.98259379999999996</v>
      </c>
      <c r="Y820">
        <v>1.1217329999999999E-2</v>
      </c>
      <c r="Z820">
        <v>-1.304953E-3</v>
      </c>
      <c r="AA820">
        <v>0.99993620000000005</v>
      </c>
      <c r="AB820">
        <v>41</v>
      </c>
      <c r="AC820">
        <v>0.83670000000000699</v>
      </c>
      <c r="AD820">
        <v>-8.98281999999999E-2</v>
      </c>
      <c r="AE820">
        <v>-3.30000000002428E-3</v>
      </c>
      <c r="AF820">
        <v>1.19652239405537E-2</v>
      </c>
      <c r="AG820">
        <v>-8.98281999999999E-2</v>
      </c>
      <c r="AH820">
        <v>0.82708596244482102</v>
      </c>
      <c r="AI820">
        <v>96.197844190098493</v>
      </c>
      <c r="AJ820">
        <v>89.171175616540694</v>
      </c>
      <c r="AK820">
        <v>0.83203573323052804</v>
      </c>
      <c r="AL820">
        <v>79.352725804187699</v>
      </c>
      <c r="AM820">
        <v>88.874982741180901</v>
      </c>
      <c r="AN820">
        <v>1.0000000086860199</v>
      </c>
    </row>
    <row r="821" spans="1:40" x14ac:dyDescent="0.25">
      <c r="A821" t="str">
        <f>"20190303162757368"</f>
        <v>20190303162757368</v>
      </c>
      <c r="B821" t="str">
        <f>"1551601677362457"</f>
        <v>1551601677362457</v>
      </c>
      <c r="C821" t="s">
        <v>40</v>
      </c>
      <c r="D821">
        <v>5.309482</v>
      </c>
      <c r="E821">
        <v>0.49874109999999999</v>
      </c>
      <c r="F821" t="s">
        <v>42</v>
      </c>
      <c r="G821">
        <v>-281.9522</v>
      </c>
      <c r="H821">
        <v>-0.05</v>
      </c>
      <c r="I821">
        <v>368.5634</v>
      </c>
      <c r="J821">
        <v>-294.94749999999999</v>
      </c>
      <c r="K821">
        <v>1.0711660000000001</v>
      </c>
      <c r="L821">
        <v>368.58</v>
      </c>
      <c r="M821">
        <v>0.99983100000000003</v>
      </c>
      <c r="N821">
        <v>-1.507141E-2</v>
      </c>
      <c r="O821">
        <v>1.0520420000000001E-2</v>
      </c>
      <c r="P821">
        <v>0.98539699999999997</v>
      </c>
      <c r="Q821">
        <v>0.17002900000000001</v>
      </c>
      <c r="R821">
        <v>-9.1096119999999996E-3</v>
      </c>
      <c r="S821">
        <v>3.0895999999999999</v>
      </c>
      <c r="T821">
        <v>-0.26235429999999998</v>
      </c>
      <c r="U821">
        <v>-3.3569339999999998E-3</v>
      </c>
      <c r="V821">
        <v>1.9483879999999999E-2</v>
      </c>
      <c r="W821">
        <v>0.1848583</v>
      </c>
      <c r="X821">
        <v>0.982572</v>
      </c>
      <c r="Y821">
        <v>1.153357E-2</v>
      </c>
      <c r="Z821">
        <v>-1.309305E-3</v>
      </c>
      <c r="AA821">
        <v>0.99993259999999995</v>
      </c>
      <c r="AB821">
        <v>41</v>
      </c>
      <c r="AC821">
        <v>12.995299999999901</v>
      </c>
      <c r="AD821">
        <v>-1.1211659999999899</v>
      </c>
      <c r="AE821">
        <v>-1.6599999999982601E-2</v>
      </c>
      <c r="AF821">
        <v>0.15219777874526999</v>
      </c>
      <c r="AG821">
        <v>-1.1211659999999899</v>
      </c>
      <c r="AH821">
        <v>12.8983991305003</v>
      </c>
      <c r="AI821">
        <v>94.967483580668898</v>
      </c>
      <c r="AJ821">
        <v>89.323955973223903</v>
      </c>
      <c r="AK821">
        <v>12.947929467412999</v>
      </c>
      <c r="AL821">
        <v>79.347128625372605</v>
      </c>
      <c r="AM821">
        <v>88.864004054004894</v>
      </c>
      <c r="AN821">
        <v>0.99999997392137097</v>
      </c>
    </row>
    <row r="822" spans="1:40" x14ac:dyDescent="0.25">
      <c r="A822" t="str">
        <f>"20190303162757381"</f>
        <v>20190303162757381</v>
      </c>
      <c r="B822" t="str">
        <f>"1551601677372217"</f>
        <v>1551601677372217</v>
      </c>
      <c r="C822" t="s">
        <v>40</v>
      </c>
      <c r="D822">
        <v>5.311928</v>
      </c>
      <c r="E822">
        <v>0.498946</v>
      </c>
      <c r="F822" t="s">
        <v>44</v>
      </c>
      <c r="G822">
        <v>-293.95319999999998</v>
      </c>
      <c r="H822">
        <v>0.98724599999999996</v>
      </c>
      <c r="I822">
        <v>368.5779</v>
      </c>
      <c r="J822">
        <v>-294.72539999999998</v>
      </c>
      <c r="K822">
        <v>1.071167</v>
      </c>
      <c r="L822">
        <v>368.58229999999998</v>
      </c>
      <c r="M822">
        <v>0.99983100000000003</v>
      </c>
      <c r="N822">
        <v>-1.5075949999999999E-2</v>
      </c>
      <c r="O822">
        <v>1.052057E-2</v>
      </c>
      <c r="P822">
        <v>0.98540419999999995</v>
      </c>
      <c r="Q822">
        <v>0.16997419999999999</v>
      </c>
      <c r="R822">
        <v>-9.3533920000000003E-3</v>
      </c>
      <c r="S822">
        <v>3.0894780000000002</v>
      </c>
      <c r="T822">
        <v>-0.26099290000000003</v>
      </c>
      <c r="U822">
        <v>-5.5236819999999898E-3</v>
      </c>
      <c r="V822">
        <v>1.9727939999999999E-2</v>
      </c>
      <c r="W822">
        <v>0.18480820000000001</v>
      </c>
      <c r="X822">
        <v>0.98257660000000002</v>
      </c>
      <c r="Y822">
        <v>1.223288E-2</v>
      </c>
      <c r="Z822">
        <v>-1.336975E-3</v>
      </c>
      <c r="AA822">
        <v>0.99992429999999999</v>
      </c>
      <c r="AB822">
        <v>40</v>
      </c>
      <c r="AC822">
        <v>0.772199999999997</v>
      </c>
      <c r="AD822">
        <v>-8.3920999999999996E-2</v>
      </c>
      <c r="AE822">
        <v>-4.3999999999755303E-3</v>
      </c>
      <c r="AF822">
        <v>1.23784683224869E-2</v>
      </c>
      <c r="AG822">
        <v>-8.3920999999999996E-2</v>
      </c>
      <c r="AH822">
        <v>0.76309839928822798</v>
      </c>
      <c r="AI822">
        <v>96.275008904020694</v>
      </c>
      <c r="AJ822">
        <v>89.070667957182096</v>
      </c>
      <c r="AK822">
        <v>0.76779888494010395</v>
      </c>
      <c r="AL822">
        <v>79.350049952233803</v>
      </c>
      <c r="AM822">
        <v>88.849783464609999</v>
      </c>
      <c r="AN822">
        <v>1.0000000186357201</v>
      </c>
    </row>
    <row r="823" spans="1:40" x14ac:dyDescent="0.25">
      <c r="A823" t="str">
        <f>"20190303162757395"</f>
        <v>20190303162757395</v>
      </c>
      <c r="B823" t="str">
        <f>"1551601677381978"</f>
        <v>1551601677381978</v>
      </c>
      <c r="C823" t="s">
        <v>40</v>
      </c>
      <c r="D823">
        <v>5.4971920000000001</v>
      </c>
      <c r="E823">
        <v>0.4988554</v>
      </c>
      <c r="F823" t="s">
        <v>42</v>
      </c>
      <c r="G823">
        <v>-281.4128</v>
      </c>
      <c r="H823">
        <v>-0.05</v>
      </c>
      <c r="I823">
        <v>368.54880000000003</v>
      </c>
      <c r="J823">
        <v>-294.47300000000001</v>
      </c>
      <c r="K823">
        <v>1.0711599999999999</v>
      </c>
      <c r="L823">
        <v>368.58499999999998</v>
      </c>
      <c r="M823">
        <v>0.99983100000000003</v>
      </c>
      <c r="N823">
        <v>-1.508028E-2</v>
      </c>
      <c r="O823">
        <v>1.0520359999999999E-2</v>
      </c>
      <c r="P823">
        <v>0.9855064</v>
      </c>
      <c r="Q823">
        <v>0.16937550000000001</v>
      </c>
      <c r="R823">
        <v>-9.4678669999999996E-3</v>
      </c>
      <c r="S823">
        <v>3.0892330000000001</v>
      </c>
      <c r="T823">
        <v>-0.26017059999999997</v>
      </c>
      <c r="U823">
        <v>-7.7819819999999998E-3</v>
      </c>
      <c r="V823">
        <v>1.9843309999999999E-2</v>
      </c>
      <c r="W823">
        <v>0.18421489999999999</v>
      </c>
      <c r="X823">
        <v>0.9826857</v>
      </c>
      <c r="Y823">
        <v>1.2961210000000001E-2</v>
      </c>
      <c r="Z823">
        <v>-1.3687619999999999E-3</v>
      </c>
      <c r="AA823">
        <v>0.99991509999999995</v>
      </c>
      <c r="AB823">
        <v>40</v>
      </c>
      <c r="AC823">
        <v>13.0602</v>
      </c>
      <c r="AD823">
        <v>-1.1211599999999999</v>
      </c>
      <c r="AE823">
        <v>-3.6199999999951098E-2</v>
      </c>
      <c r="AF823">
        <v>0.172341565256839</v>
      </c>
      <c r="AG823">
        <v>-1.1211599999999999</v>
      </c>
      <c r="AH823">
        <v>12.963562504658301</v>
      </c>
      <c r="AI823">
        <v>94.942519221296394</v>
      </c>
      <c r="AJ823">
        <v>89.238337251021093</v>
      </c>
      <c r="AK823">
        <v>13.013095487734599</v>
      </c>
      <c r="AL823">
        <v>79.384637575342097</v>
      </c>
      <c r="AM823">
        <v>88.843187173907907</v>
      </c>
      <c r="AN823">
        <v>1.0000000356591201</v>
      </c>
    </row>
    <row r="824" spans="1:40" x14ac:dyDescent="0.25">
      <c r="A824" t="str">
        <f>"20190303162757408"</f>
        <v>20190303162757408</v>
      </c>
      <c r="B824" t="str">
        <f>"1551601677392712"</f>
        <v>1551601677392712</v>
      </c>
      <c r="C824" t="s">
        <v>40</v>
      </c>
      <c r="D824">
        <v>5.2768860000000002</v>
      </c>
      <c r="E824">
        <v>0.49883899999999998</v>
      </c>
      <c r="F824" t="s">
        <v>42</v>
      </c>
      <c r="G824">
        <v>-281.17489999999998</v>
      </c>
      <c r="H824">
        <v>-0.05</v>
      </c>
      <c r="I824">
        <v>368.55270000000002</v>
      </c>
      <c r="J824">
        <v>-294.24029999999999</v>
      </c>
      <c r="K824">
        <v>1.0711630000000001</v>
      </c>
      <c r="L824">
        <v>368.5874</v>
      </c>
      <c r="M824">
        <v>0.99983089999999997</v>
      </c>
      <c r="N824">
        <v>-1.5083859999999999E-2</v>
      </c>
      <c r="O824">
        <v>1.052051E-2</v>
      </c>
      <c r="P824">
        <v>0.98555090000000001</v>
      </c>
      <c r="Q824">
        <v>0.16910910000000001</v>
      </c>
      <c r="R824">
        <v>-9.5692999999999993E-3</v>
      </c>
      <c r="S824">
        <v>3.0887760000000002</v>
      </c>
      <c r="T824">
        <v>-0.26041419999999998</v>
      </c>
      <c r="U824">
        <v>-7.5073240000000001E-3</v>
      </c>
      <c r="V824">
        <v>1.9945310000000001E-2</v>
      </c>
      <c r="W824">
        <v>0.18395239999999999</v>
      </c>
      <c r="X824">
        <v>0.98273279999999996</v>
      </c>
      <c r="Y824">
        <v>1.2873020000000001E-2</v>
      </c>
      <c r="Z824">
        <v>-1.3659270000000001E-3</v>
      </c>
      <c r="AA824">
        <v>0.99991620000000003</v>
      </c>
      <c r="AB824">
        <v>40</v>
      </c>
      <c r="AC824">
        <v>13.0654</v>
      </c>
      <c r="AD824">
        <v>-1.1211629999999999</v>
      </c>
      <c r="AE824">
        <v>-3.4699999999986603E-2</v>
      </c>
      <c r="AF824">
        <v>0.17090987938556301</v>
      </c>
      <c r="AG824">
        <v>-1.1211629999999999</v>
      </c>
      <c r="AH824">
        <v>12.968814756125701</v>
      </c>
      <c r="AI824">
        <v>94.940548142514004</v>
      </c>
      <c r="AJ824">
        <v>89.244969712768807</v>
      </c>
      <c r="AK824">
        <v>13.0183091389836</v>
      </c>
      <c r="AL824">
        <v>79.399939136577203</v>
      </c>
      <c r="AM824">
        <v>88.837298183142394</v>
      </c>
      <c r="AN824">
        <v>1.00000002852629</v>
      </c>
    </row>
    <row r="825" spans="1:40" x14ac:dyDescent="0.25">
      <c r="A825" t="str">
        <f>"20190303162757431"</f>
        <v>20190303162757431</v>
      </c>
      <c r="B825" t="str">
        <f>"1551601677421993"</f>
        <v>1551601677421993</v>
      </c>
      <c r="C825" t="s">
        <v>40</v>
      </c>
      <c r="D825">
        <v>5.5732470000000003</v>
      </c>
      <c r="E825">
        <v>0.49887369999999998</v>
      </c>
      <c r="F825" t="s">
        <v>44</v>
      </c>
      <c r="G825">
        <v>-293.23250000000002</v>
      </c>
      <c r="H825">
        <v>0.9862206</v>
      </c>
      <c r="I825">
        <v>368.58479999999997</v>
      </c>
      <c r="J825">
        <v>-293.81670000000003</v>
      </c>
      <c r="K825">
        <v>1.071169</v>
      </c>
      <c r="L825">
        <v>368.59179999999998</v>
      </c>
      <c r="M825">
        <v>0.99983089999999997</v>
      </c>
      <c r="N825">
        <v>-1.508899E-2</v>
      </c>
      <c r="O825">
        <v>1.0520470000000001E-2</v>
      </c>
      <c r="P825">
        <v>0.98542790000000002</v>
      </c>
      <c r="Q825">
        <v>0.16984160000000001</v>
      </c>
      <c r="R825">
        <v>-9.2669499999999995E-3</v>
      </c>
      <c r="S825">
        <v>3.0886230000000001</v>
      </c>
      <c r="T825">
        <v>-0.26059270000000001</v>
      </c>
      <c r="U825">
        <v>-7.385254E-3</v>
      </c>
      <c r="V825">
        <v>1.964171E-2</v>
      </c>
      <c r="W825">
        <v>0.18468870000000001</v>
      </c>
      <c r="X825">
        <v>0.98260080000000005</v>
      </c>
      <c r="Y825">
        <v>1.283363E-2</v>
      </c>
      <c r="Z825">
        <v>-1.364992E-3</v>
      </c>
      <c r="AA825">
        <v>0.99991669999999999</v>
      </c>
      <c r="AB825">
        <v>40</v>
      </c>
      <c r="AC825">
        <v>0.58420000000000905</v>
      </c>
      <c r="AD825">
        <v>-8.4948399999999993E-2</v>
      </c>
      <c r="AE825">
        <v>-7.0000000000049996E-3</v>
      </c>
      <c r="AF825">
        <v>1.28741972553875E-2</v>
      </c>
      <c r="AG825">
        <v>-8.4948399999999993E-2</v>
      </c>
      <c r="AH825">
        <v>0.57200134587768703</v>
      </c>
      <c r="AI825">
        <v>98.445194383440693</v>
      </c>
      <c r="AJ825">
        <v>88.710645257002497</v>
      </c>
      <c r="AK825">
        <v>0.578418114605184</v>
      </c>
      <c r="AL825">
        <v>79.357016765633006</v>
      </c>
      <c r="AM825">
        <v>88.854837867956704</v>
      </c>
      <c r="AN825">
        <v>1.0000000224200201</v>
      </c>
    </row>
    <row r="826" spans="1:40" x14ac:dyDescent="0.25">
      <c r="A826" t="str">
        <f>"20190303162757455"</f>
        <v>20190303162757455</v>
      </c>
      <c r="B826" t="str">
        <f>"1551601677442489"</f>
        <v>1551601677442489</v>
      </c>
      <c r="C826" t="s">
        <v>40</v>
      </c>
      <c r="D826">
        <v>5.4987629999999896</v>
      </c>
      <c r="E826">
        <v>0.49885309999999999</v>
      </c>
      <c r="F826" t="s">
        <v>44</v>
      </c>
      <c r="G826">
        <v>-292.86700000000002</v>
      </c>
      <c r="H826">
        <v>0.99203569999999996</v>
      </c>
      <c r="I826">
        <v>368.58949999999999</v>
      </c>
      <c r="J826">
        <v>-293.37799999999999</v>
      </c>
      <c r="K826">
        <v>1.0711820000000001</v>
      </c>
      <c r="L826">
        <v>368.59640000000002</v>
      </c>
      <c r="M826">
        <v>0.99983080000000002</v>
      </c>
      <c r="N826">
        <v>-1.509282E-2</v>
      </c>
      <c r="O826">
        <v>1.0520440000000001E-2</v>
      </c>
      <c r="P826">
        <v>0.98528660000000001</v>
      </c>
      <c r="Q826">
        <v>0.1706647</v>
      </c>
      <c r="R826">
        <v>-9.1704319999999992E-3</v>
      </c>
      <c r="S826">
        <v>3.0887150000000001</v>
      </c>
      <c r="T826">
        <v>-0.25754899999999997</v>
      </c>
      <c r="U826">
        <v>-6.8664549999999996E-3</v>
      </c>
      <c r="V826">
        <v>1.9543629999999999E-2</v>
      </c>
      <c r="W826">
        <v>0.18551290000000001</v>
      </c>
      <c r="X826">
        <v>0.98244739999999997</v>
      </c>
      <c r="Y826">
        <v>1.266813E-2</v>
      </c>
      <c r="Z826">
        <v>-1.3401800000000001E-3</v>
      </c>
      <c r="AA826">
        <v>0.99991890000000005</v>
      </c>
      <c r="AB826">
        <v>40</v>
      </c>
      <c r="AC826">
        <v>0.51099999999996704</v>
      </c>
      <c r="AD826">
        <v>-7.91463000000001E-2</v>
      </c>
      <c r="AE826">
        <v>-6.9000000000300999E-3</v>
      </c>
      <c r="AF826">
        <v>1.1988627448768999E-2</v>
      </c>
      <c r="AG826">
        <v>-7.91463000000001E-2</v>
      </c>
      <c r="AH826">
        <v>0.498932211044473</v>
      </c>
      <c r="AI826">
        <v>99.011242908739106</v>
      </c>
      <c r="AJ826">
        <v>88.623529235041502</v>
      </c>
      <c r="AK826">
        <v>0.505312987374678</v>
      </c>
      <c r="AL826">
        <v>79.308962322280607</v>
      </c>
      <c r="AM826">
        <v>88.860376805601305</v>
      </c>
      <c r="AN826">
        <v>0.99999994165337103</v>
      </c>
    </row>
    <row r="827" spans="1:40" x14ac:dyDescent="0.25">
      <c r="A827" t="str">
        <f>"20190303162757466"</f>
        <v>20190303162757466</v>
      </c>
      <c r="B827" t="str">
        <f>"1551601677452249"</f>
        <v>1551601677452249</v>
      </c>
      <c r="C827" t="s">
        <v>40</v>
      </c>
      <c r="D827">
        <v>5.2700100000000001</v>
      </c>
      <c r="E827">
        <v>0.49813439999999998</v>
      </c>
      <c r="F827" t="s">
        <v>42</v>
      </c>
      <c r="G827">
        <v>-279.7561</v>
      </c>
      <c r="H827">
        <v>-0.05</v>
      </c>
      <c r="I827">
        <v>368.56830000000002</v>
      </c>
      <c r="J827">
        <v>-293.17880000000002</v>
      </c>
      <c r="K827">
        <v>1.0711869999999999</v>
      </c>
      <c r="L827">
        <v>368.5985</v>
      </c>
      <c r="M827">
        <v>0.99983080000000002</v>
      </c>
      <c r="N827">
        <v>-1.5094150000000001E-2</v>
      </c>
      <c r="O827">
        <v>1.0520430000000001E-2</v>
      </c>
      <c r="P827">
        <v>0.98519159999999995</v>
      </c>
      <c r="Q827">
        <v>0.17119870000000001</v>
      </c>
      <c r="R827">
        <v>-9.4115919999999999E-3</v>
      </c>
      <c r="S827">
        <v>3.0888059999999999</v>
      </c>
      <c r="T827">
        <v>-0.25423279999999998</v>
      </c>
      <c r="U827">
        <v>-6.3781740000000003E-3</v>
      </c>
      <c r="V827">
        <v>1.978386E-2</v>
      </c>
      <c r="W827">
        <v>0.18604660000000001</v>
      </c>
      <c r="X827">
        <v>0.98234169999999998</v>
      </c>
      <c r="Y827">
        <v>1.25126E-2</v>
      </c>
      <c r="Z827">
        <v>-1.3145520000000001E-3</v>
      </c>
      <c r="AA827">
        <v>0.99992080000000005</v>
      </c>
      <c r="AB827">
        <v>40</v>
      </c>
      <c r="AC827">
        <v>13.422700000000001</v>
      </c>
      <c r="AD827">
        <v>-1.1211869999999999</v>
      </c>
      <c r="AE827">
        <v>-3.0199999999979299E-2</v>
      </c>
      <c r="AF827">
        <v>0.17023920951867599</v>
      </c>
      <c r="AG827">
        <v>-1.1211869999999999</v>
      </c>
      <c r="AH827">
        <v>13.328644138257699</v>
      </c>
      <c r="AI827">
        <v>94.807931126240604</v>
      </c>
      <c r="AJ827">
        <v>89.268233305798901</v>
      </c>
      <c r="AK827">
        <v>13.3768006728716</v>
      </c>
      <c r="AL827">
        <v>79.277842181865495</v>
      </c>
      <c r="AM827">
        <v>88.846248240659506</v>
      </c>
      <c r="AN827">
        <v>0.99999997702347398</v>
      </c>
    </row>
    <row r="828" spans="1:40" x14ac:dyDescent="0.25">
      <c r="A828" t="str">
        <f>"20190303162757480"</f>
        <v>20190303162757480</v>
      </c>
      <c r="B828" t="str">
        <f>"1551601677472744"</f>
        <v>1551601677472744</v>
      </c>
      <c r="C828" t="s">
        <v>40</v>
      </c>
      <c r="D828">
        <v>5.5287189999999997</v>
      </c>
      <c r="E828">
        <v>0.47917939999999998</v>
      </c>
      <c r="F828" t="s">
        <v>44</v>
      </c>
      <c r="G828">
        <v>-292.15159999999997</v>
      </c>
      <c r="H828">
        <v>0.98760559999999997</v>
      </c>
      <c r="I828">
        <v>368.59809999999999</v>
      </c>
      <c r="J828">
        <v>-292.93849999999998</v>
      </c>
      <c r="K828">
        <v>1.0711900000000001</v>
      </c>
      <c r="L828">
        <v>368.60109999999997</v>
      </c>
      <c r="M828">
        <v>0.99983069999999996</v>
      </c>
      <c r="N828">
        <v>-1.509539E-2</v>
      </c>
      <c r="O828">
        <v>1.052054E-2</v>
      </c>
      <c r="P828">
        <v>0.98510039999999999</v>
      </c>
      <c r="Q828">
        <v>0.17172589999999999</v>
      </c>
      <c r="R828">
        <v>-9.3426970000000005E-3</v>
      </c>
      <c r="S828">
        <v>3.0887150000000001</v>
      </c>
      <c r="T828">
        <v>-0.25133070000000002</v>
      </c>
      <c r="U828">
        <v>-1.0681149999999999E-3</v>
      </c>
      <c r="V828">
        <v>1.971417E-2</v>
      </c>
      <c r="W828">
        <v>0.18657370000000001</v>
      </c>
      <c r="X828">
        <v>0.98224319999999998</v>
      </c>
      <c r="Y828">
        <v>1.080212E-2</v>
      </c>
      <c r="Z828">
        <v>-1.2164879999999999E-3</v>
      </c>
      <c r="AA828">
        <v>0.99994090000000002</v>
      </c>
      <c r="AB828">
        <v>40</v>
      </c>
      <c r="AC828">
        <v>0.78690000000000204</v>
      </c>
      <c r="AD828">
        <v>-8.3584399999999698E-2</v>
      </c>
      <c r="AE828">
        <v>-2.9999999999858998E-3</v>
      </c>
      <c r="AF828">
        <v>1.1153550476718401E-2</v>
      </c>
      <c r="AG828">
        <v>-8.3584399999999698E-2</v>
      </c>
      <c r="AH828">
        <v>0.77804657126281196</v>
      </c>
      <c r="AI828">
        <v>96.1310600632507</v>
      </c>
      <c r="AJ828">
        <v>89.178702634838203</v>
      </c>
      <c r="AK828">
        <v>0.782602849896047</v>
      </c>
      <c r="AL828">
        <v>79.247104151953906</v>
      </c>
      <c r="AM828">
        <v>88.850196056783105</v>
      </c>
      <c r="AN828">
        <v>1.00000004898835</v>
      </c>
    </row>
    <row r="829" spans="1:40" x14ac:dyDescent="0.25">
      <c r="A829" t="str">
        <f>"20190303162757497"</f>
        <v>20190303162757497</v>
      </c>
      <c r="B829" t="str">
        <f>"1551601677482505"</f>
        <v>1551601677482505</v>
      </c>
      <c r="C829" t="s">
        <v>40</v>
      </c>
      <c r="D829">
        <v>5.4068040000000002</v>
      </c>
      <c r="E829">
        <v>0.4792247</v>
      </c>
      <c r="F829" t="s">
        <v>41</v>
      </c>
      <c r="G829">
        <v>-272.0847</v>
      </c>
      <c r="H829" s="1">
        <v>-3.378711E-6</v>
      </c>
      <c r="I829">
        <v>369.6121</v>
      </c>
      <c r="J829">
        <v>-292.6456</v>
      </c>
      <c r="K829">
        <v>1.0711889999999999</v>
      </c>
      <c r="L829">
        <v>368.60419999999999</v>
      </c>
      <c r="M829">
        <v>0.99983080000000002</v>
      </c>
      <c r="N829">
        <v>-1.5096429999999999E-2</v>
      </c>
      <c r="O829">
        <v>1.0520710000000001E-2</v>
      </c>
      <c r="P829">
        <v>0.98518329999999998</v>
      </c>
      <c r="Q829">
        <v>0.1712408</v>
      </c>
      <c r="R829">
        <v>-9.5377420000000001E-3</v>
      </c>
      <c r="S829">
        <v>3.0743100000000001</v>
      </c>
      <c r="T829">
        <v>-0.15791669999999999</v>
      </c>
      <c r="U829">
        <v>0.14904790000000001</v>
      </c>
      <c r="V829">
        <v>1.9910069999999998E-2</v>
      </c>
      <c r="W829">
        <v>0.18609059999999999</v>
      </c>
      <c r="X829">
        <v>0.98233090000000001</v>
      </c>
      <c r="Y829">
        <v>-3.7855029999999998E-2</v>
      </c>
      <c r="Z829">
        <v>8.761776E-4</v>
      </c>
      <c r="AA829">
        <v>0.99928280000000003</v>
      </c>
      <c r="AB829">
        <v>40</v>
      </c>
      <c r="AC829">
        <v>20.5609</v>
      </c>
      <c r="AD829">
        <v>-1.071192378711</v>
      </c>
      <c r="AE829">
        <v>1.0079</v>
      </c>
      <c r="AF829">
        <v>-0.78936690224397299</v>
      </c>
      <c r="AG829">
        <v>-1.071192378711</v>
      </c>
      <c r="AH829">
        <v>20.514817873788701</v>
      </c>
      <c r="AI829">
        <v>92.986809564227499</v>
      </c>
      <c r="AJ829">
        <v>92.203533642329603</v>
      </c>
      <c r="AK829">
        <v>20.557925615520801</v>
      </c>
      <c r="AL829">
        <v>79.275277257065596</v>
      </c>
      <c r="AM829">
        <v>88.838877194036002</v>
      </c>
      <c r="AN829">
        <v>1.0000000596952801</v>
      </c>
    </row>
    <row r="830" spans="1:40" x14ac:dyDescent="0.25">
      <c r="A830" t="str">
        <f>"20190303162757509"</f>
        <v>20190303162757509</v>
      </c>
      <c r="B830" t="str">
        <f>"1551601677502025"</f>
        <v>1551601677502025</v>
      </c>
      <c r="C830" t="s">
        <v>40</v>
      </c>
      <c r="D830">
        <v>5.4068959999999997</v>
      </c>
      <c r="E830">
        <v>0.47993940000000002</v>
      </c>
      <c r="F830" t="s">
        <v>41</v>
      </c>
      <c r="G830">
        <v>-271.70479999999998</v>
      </c>
      <c r="H830" s="1">
        <v>-3.5410979999999998E-6</v>
      </c>
      <c r="I830">
        <v>369.61540000000002</v>
      </c>
      <c r="J830">
        <v>-292.4058</v>
      </c>
      <c r="K830">
        <v>1.071183</v>
      </c>
      <c r="L830">
        <v>368.60669999999999</v>
      </c>
      <c r="M830">
        <v>0.99983080000000002</v>
      </c>
      <c r="N830">
        <v>-1.5096979999999999E-2</v>
      </c>
      <c r="O830">
        <v>1.0520710000000001E-2</v>
      </c>
      <c r="P830">
        <v>0.98541129999999999</v>
      </c>
      <c r="Q830">
        <v>0.16990939999999999</v>
      </c>
      <c r="R830">
        <v>-9.7861330000000007E-3</v>
      </c>
      <c r="S830">
        <v>3.0738219999999998</v>
      </c>
      <c r="T830">
        <v>-0.15723570000000001</v>
      </c>
      <c r="U830">
        <v>0.1484375</v>
      </c>
      <c r="V830">
        <v>2.0160910000000001E-2</v>
      </c>
      <c r="W830">
        <v>0.1847637</v>
      </c>
      <c r="X830">
        <v>0.98257620000000001</v>
      </c>
      <c r="Y830">
        <v>-3.7665459999999998E-2</v>
      </c>
      <c r="Z830">
        <v>8.681292E-4</v>
      </c>
      <c r="AA830">
        <v>0.99929000000000001</v>
      </c>
      <c r="AB830">
        <v>40</v>
      </c>
      <c r="AC830">
        <v>20.701000000000001</v>
      </c>
      <c r="AD830">
        <v>-1.0711865410979999</v>
      </c>
      <c r="AE830">
        <v>1.0087000000000299</v>
      </c>
      <c r="AF830">
        <v>-0.78872325387291697</v>
      </c>
      <c r="AG830">
        <v>-1.0711865410979999</v>
      </c>
      <c r="AH830">
        <v>20.655291666609301</v>
      </c>
      <c r="AI830">
        <v>92.966550144408401</v>
      </c>
      <c r="AJ830">
        <v>92.186779519447995</v>
      </c>
      <c r="AK830">
        <v>20.698082007996099</v>
      </c>
      <c r="AL830">
        <v>79.3526445002815</v>
      </c>
      <c r="AM830">
        <v>88.824546137994503</v>
      </c>
      <c r="AN830">
        <v>1.00000003796807</v>
      </c>
    </row>
    <row r="831" spans="1:40" x14ac:dyDescent="0.25">
      <c r="A831" t="str">
        <f>"20190303162757521"</f>
        <v>20190303162757521</v>
      </c>
      <c r="B831" t="str">
        <f>"1551601677512761"</f>
        <v>1551601677512761</v>
      </c>
      <c r="C831" t="s">
        <v>40</v>
      </c>
      <c r="D831">
        <v>5.3366730000000002</v>
      </c>
      <c r="E831">
        <v>0.48006359999999898</v>
      </c>
      <c r="F831" t="s">
        <v>41</v>
      </c>
      <c r="G831">
        <v>-271.39069999999998</v>
      </c>
      <c r="H831" s="1">
        <v>-3.6826390000000001E-6</v>
      </c>
      <c r="I831">
        <v>369.57709999999997</v>
      </c>
      <c r="J831">
        <v>-292.17869999999999</v>
      </c>
      <c r="K831">
        <v>1.07118</v>
      </c>
      <c r="L831">
        <v>368.60910000000001</v>
      </c>
      <c r="M831">
        <v>0.99983080000000002</v>
      </c>
      <c r="N831">
        <v>-1.5097279999999999E-2</v>
      </c>
      <c r="O831">
        <v>1.052088E-2</v>
      </c>
      <c r="P831">
        <v>0.98563339999999999</v>
      </c>
      <c r="Q831">
        <v>0.16859389999999999</v>
      </c>
      <c r="R831">
        <v>-1.015105E-2</v>
      </c>
      <c r="S831">
        <v>3.072845</v>
      </c>
      <c r="T831">
        <v>-0.15662879999999901</v>
      </c>
      <c r="U831">
        <v>0.1419067</v>
      </c>
      <c r="V831">
        <v>2.052824E-2</v>
      </c>
      <c r="W831">
        <v>0.1834518</v>
      </c>
      <c r="X831">
        <v>0.98281439999999998</v>
      </c>
      <c r="Y831">
        <v>-3.5565279999999998E-2</v>
      </c>
      <c r="Z831">
        <v>7.9730269999999997E-4</v>
      </c>
      <c r="AA831">
        <v>0.99936709999999995</v>
      </c>
      <c r="AB831">
        <v>40</v>
      </c>
      <c r="AC831">
        <v>20.788</v>
      </c>
      <c r="AD831">
        <v>-1.071183682639</v>
      </c>
      <c r="AE831">
        <v>0.96799999999996</v>
      </c>
      <c r="AF831">
        <v>-0.74723367123553897</v>
      </c>
      <c r="AG831">
        <v>-1.071183682639</v>
      </c>
      <c r="AH831">
        <v>20.742078707366499</v>
      </c>
      <c r="AI831">
        <v>92.954387983886306</v>
      </c>
      <c r="AJ831">
        <v>92.063189018428204</v>
      </c>
      <c r="AK831">
        <v>20.783157164973002</v>
      </c>
      <c r="AL831">
        <v>79.429118287105595</v>
      </c>
      <c r="AM831">
        <v>88.803425640322104</v>
      </c>
      <c r="AN831">
        <v>1.00000005820404</v>
      </c>
    </row>
    <row r="832" spans="1:40" x14ac:dyDescent="0.25">
      <c r="A832" t="str">
        <f>"20190303162757533"</f>
        <v>20190303162757533</v>
      </c>
      <c r="B832" t="str">
        <f>"1551601677522522"</f>
        <v>1551601677522522</v>
      </c>
      <c r="C832" t="s">
        <v>40</v>
      </c>
      <c r="D832">
        <v>5.2193399999999999</v>
      </c>
      <c r="E832">
        <v>0.48030820000000002</v>
      </c>
      <c r="F832" t="s">
        <v>41</v>
      </c>
      <c r="G832">
        <v>-271.76859999999999</v>
      </c>
      <c r="H832" s="1">
        <v>-3.527673E-6</v>
      </c>
      <c r="I832">
        <v>369.53680000000003</v>
      </c>
      <c r="J832">
        <v>-291.98509999999999</v>
      </c>
      <c r="K832">
        <v>1.071178</v>
      </c>
      <c r="L832">
        <v>368.61110000000002</v>
      </c>
      <c r="M832">
        <v>0.99983080000000002</v>
      </c>
      <c r="N832">
        <v>-1.5097269999999999E-2</v>
      </c>
      <c r="O832">
        <v>1.052088E-2</v>
      </c>
      <c r="P832">
        <v>0.98569390000000001</v>
      </c>
      <c r="Q832">
        <v>0.16822000000000001</v>
      </c>
      <c r="R832">
        <v>-1.048906E-2</v>
      </c>
      <c r="S832">
        <v>3.0727540000000002</v>
      </c>
      <c r="T832">
        <v>-0.16126670000000001</v>
      </c>
      <c r="U832">
        <v>0.139679</v>
      </c>
      <c r="V832">
        <v>2.0866920000000001E-2</v>
      </c>
      <c r="W832">
        <v>0.18307870000000001</v>
      </c>
      <c r="X832">
        <v>0.98287679999999999</v>
      </c>
      <c r="Y832">
        <v>-3.4842289999999998E-2</v>
      </c>
      <c r="Z832">
        <v>7.8384289999999996E-4</v>
      </c>
      <c r="AA832">
        <v>0.99939250000000002</v>
      </c>
      <c r="AB832">
        <v>40</v>
      </c>
      <c r="AC832">
        <v>20.2165</v>
      </c>
      <c r="AD832">
        <v>-1.0711815276729999</v>
      </c>
      <c r="AE832">
        <v>0.92570000000000596</v>
      </c>
      <c r="AF832">
        <v>-0.71093741118210096</v>
      </c>
      <c r="AG832">
        <v>-1.0711815276729999</v>
      </c>
      <c r="AH832">
        <v>20.168616933067401</v>
      </c>
      <c r="AI832">
        <v>93.038313565647996</v>
      </c>
      <c r="AJ832">
        <v>92.018822349909101</v>
      </c>
      <c r="AK832">
        <v>20.209551475989301</v>
      </c>
      <c r="AL832">
        <v>79.450863238170101</v>
      </c>
      <c r="AM832">
        <v>88.783767338641397</v>
      </c>
      <c r="AN832">
        <v>1.0000000213611</v>
      </c>
    </row>
    <row r="833" spans="1:40" x14ac:dyDescent="0.25">
      <c r="A833" t="str">
        <f>"20190303162757544"</f>
        <v>20190303162757544</v>
      </c>
      <c r="B833" t="str">
        <f>"1551601677532281"</f>
        <v>1551601677532281</v>
      </c>
      <c r="C833" t="s">
        <v>40</v>
      </c>
      <c r="D833">
        <v>5.2777989999999999</v>
      </c>
      <c r="E833">
        <v>0.48058459999999997</v>
      </c>
      <c r="F833" t="s">
        <v>41</v>
      </c>
      <c r="G833">
        <v>-271.47730000000001</v>
      </c>
      <c r="H833" s="1">
        <v>-3.6553419999999999E-6</v>
      </c>
      <c r="I833">
        <v>369.52159999999998</v>
      </c>
      <c r="J833">
        <v>-291.78429999999997</v>
      </c>
      <c r="K833">
        <v>1.071178</v>
      </c>
      <c r="L833">
        <v>368.61329999999998</v>
      </c>
      <c r="M833">
        <v>0.99983080000000002</v>
      </c>
      <c r="N833">
        <v>-1.509713E-2</v>
      </c>
      <c r="O833">
        <v>1.052088E-2</v>
      </c>
      <c r="P833">
        <v>0.98572859999999995</v>
      </c>
      <c r="Q833">
        <v>0.16797039999999999</v>
      </c>
      <c r="R833">
        <v>-1.119937E-2</v>
      </c>
      <c r="S833">
        <v>3.0723880000000001</v>
      </c>
      <c r="T833">
        <v>-0.16047839999999999</v>
      </c>
      <c r="U833">
        <v>0.1364136</v>
      </c>
      <c r="V833">
        <v>2.1577490000000001E-2</v>
      </c>
      <c r="W833">
        <v>0.1828293</v>
      </c>
      <c r="X833">
        <v>0.98290789999999995</v>
      </c>
      <c r="Y833">
        <v>-3.3789909999999999E-2</v>
      </c>
      <c r="Z833">
        <v>7.4671269999999998E-4</v>
      </c>
      <c r="AA833">
        <v>0.99942869999999995</v>
      </c>
      <c r="AB833">
        <v>40</v>
      </c>
      <c r="AC833">
        <v>20.306999999999899</v>
      </c>
      <c r="AD833">
        <v>-1.0711816553419999</v>
      </c>
      <c r="AE833">
        <v>0.908299999999997</v>
      </c>
      <c r="AF833">
        <v>-0.69265442082112205</v>
      </c>
      <c r="AG833">
        <v>-1.0711816553419999</v>
      </c>
      <c r="AH833">
        <v>20.2591744953729</v>
      </c>
      <c r="AI833">
        <v>93.024869065280399</v>
      </c>
      <c r="AJ833">
        <v>91.958160848185898</v>
      </c>
      <c r="AK833">
        <v>20.299294360134599</v>
      </c>
      <c r="AL833">
        <v>79.465398336264002</v>
      </c>
      <c r="AM833">
        <v>88.742404484456102</v>
      </c>
      <c r="AN833">
        <v>1.00000004044779</v>
      </c>
    </row>
    <row r="834" spans="1:40" x14ac:dyDescent="0.25">
      <c r="A834" t="str">
        <f>"20190303162757556"</f>
        <v>20190303162757556</v>
      </c>
      <c r="B834" t="str">
        <f>"1551601677542041"</f>
        <v>1551601677542041</v>
      </c>
      <c r="C834" t="s">
        <v>40</v>
      </c>
      <c r="D834">
        <v>5.1569500000000001</v>
      </c>
      <c r="E834">
        <v>0.48078320000000002</v>
      </c>
      <c r="F834" t="s">
        <v>41</v>
      </c>
      <c r="G834">
        <v>-271.02159999999998</v>
      </c>
      <c r="H834" s="1">
        <v>-3.8532629999999996E-6</v>
      </c>
      <c r="I834">
        <v>369.50779999999997</v>
      </c>
      <c r="J834">
        <v>-291.57100000000003</v>
      </c>
      <c r="K834">
        <v>1.071177</v>
      </c>
      <c r="L834">
        <v>368.6155</v>
      </c>
      <c r="M834">
        <v>0.99983080000000002</v>
      </c>
      <c r="N834">
        <v>-1.509604E-2</v>
      </c>
      <c r="O834">
        <v>1.052107E-2</v>
      </c>
      <c r="P834">
        <v>0.98575239999999997</v>
      </c>
      <c r="Q834">
        <v>0.16780349999999999</v>
      </c>
      <c r="R834">
        <v>-1.1594699999999999E-2</v>
      </c>
      <c r="S834">
        <v>3.07193</v>
      </c>
      <c r="T834">
        <v>-0.15848579999999901</v>
      </c>
      <c r="U834">
        <v>0.13235469999999999</v>
      </c>
      <c r="V834">
        <v>2.197323E-2</v>
      </c>
      <c r="W834">
        <v>0.18266189999999999</v>
      </c>
      <c r="X834">
        <v>0.98293019999999998</v>
      </c>
      <c r="Y834">
        <v>-3.2481599999999999E-2</v>
      </c>
      <c r="Z834">
        <v>6.990039E-4</v>
      </c>
      <c r="AA834">
        <v>0.99947209999999997</v>
      </c>
      <c r="AB834">
        <v>40</v>
      </c>
      <c r="AC834">
        <v>20.549399999999899</v>
      </c>
      <c r="AD834">
        <v>-1.0711808532630001</v>
      </c>
      <c r="AE834">
        <v>0.892299999999977</v>
      </c>
      <c r="AF834">
        <v>-0.67419580814961499</v>
      </c>
      <c r="AG834">
        <v>-1.0711808532630001</v>
      </c>
      <c r="AH834">
        <v>20.502047338573298</v>
      </c>
      <c r="AI834">
        <v>92.989229252371899</v>
      </c>
      <c r="AJ834">
        <v>91.8834538194441</v>
      </c>
      <c r="AK834">
        <v>20.541078683487498</v>
      </c>
      <c r="AL834">
        <v>79.475153344371805</v>
      </c>
      <c r="AM834">
        <v>88.719376324833405</v>
      </c>
      <c r="AN834">
        <v>0.999999985310141</v>
      </c>
    </row>
    <row r="835" spans="1:40" x14ac:dyDescent="0.25">
      <c r="A835" t="str">
        <f>"20190303162757568"</f>
        <v>20190303162757568</v>
      </c>
      <c r="B835" t="str">
        <f>"1551601677562537"</f>
        <v>1551601677562537</v>
      </c>
      <c r="C835" t="s">
        <v>40</v>
      </c>
      <c r="D835">
        <v>5.0979029999999996</v>
      </c>
      <c r="E835">
        <v>0.48108990000000001</v>
      </c>
      <c r="F835" t="s">
        <v>41</v>
      </c>
      <c r="G835">
        <v>-270.51150000000001</v>
      </c>
      <c r="H835" s="1">
        <v>-4.0727570000000001E-6</v>
      </c>
      <c r="I835">
        <v>369.50409999999999</v>
      </c>
      <c r="J835">
        <v>-291.3587</v>
      </c>
      <c r="K835">
        <v>1.071178</v>
      </c>
      <c r="L835">
        <v>368.61770000000001</v>
      </c>
      <c r="M835">
        <v>0.99983069999999996</v>
      </c>
      <c r="N835">
        <v>-1.509455E-2</v>
      </c>
      <c r="O835">
        <v>1.0521259999999999E-2</v>
      </c>
      <c r="P835">
        <v>0.98578750000000004</v>
      </c>
      <c r="Q835">
        <v>0.16755619999999999</v>
      </c>
      <c r="R835">
        <v>-1.2165240000000001E-2</v>
      </c>
      <c r="S835">
        <v>3.071472</v>
      </c>
      <c r="T835">
        <v>-0.15622810000000001</v>
      </c>
      <c r="U835">
        <v>0.12960819999999901</v>
      </c>
      <c r="V835">
        <v>2.254432E-2</v>
      </c>
      <c r="W835">
        <v>0.1824134</v>
      </c>
      <c r="X835">
        <v>0.98296340000000004</v>
      </c>
      <c r="Y835">
        <v>-3.1598260000000003E-2</v>
      </c>
      <c r="Z835">
        <v>6.6569019999999999E-4</v>
      </c>
      <c r="AA835">
        <v>0.99950050000000001</v>
      </c>
      <c r="AB835">
        <v>40</v>
      </c>
      <c r="AC835">
        <v>20.847199999999901</v>
      </c>
      <c r="AD835">
        <v>-1.0711820727570001</v>
      </c>
      <c r="AE835">
        <v>0.88639999999997998</v>
      </c>
      <c r="AF835">
        <v>-0.66523396179971395</v>
      </c>
      <c r="AG835">
        <v>-1.0711820727570001</v>
      </c>
      <c r="AH835">
        <v>20.800555150282701</v>
      </c>
      <c r="AI835">
        <v>92.946496474811795</v>
      </c>
      <c r="AJ835">
        <v>91.831783389392697</v>
      </c>
      <c r="AK835">
        <v>20.838739448845701</v>
      </c>
      <c r="AL835">
        <v>79.489634488655</v>
      </c>
      <c r="AM835">
        <v>88.686148461737901</v>
      </c>
      <c r="AN835">
        <v>0.99999997030168997</v>
      </c>
    </row>
    <row r="836" spans="1:40" x14ac:dyDescent="0.25">
      <c r="A836" t="str">
        <f>"20190303162757579"</f>
        <v>20190303162757579</v>
      </c>
      <c r="B836" t="str">
        <f>"1551601677572298"</f>
        <v>1551601677572298</v>
      </c>
      <c r="C836" t="s">
        <v>40</v>
      </c>
      <c r="D836">
        <v>5.098166</v>
      </c>
      <c r="E836">
        <v>0.4812708</v>
      </c>
      <c r="F836" t="s">
        <v>41</v>
      </c>
      <c r="G836">
        <v>-270.16590000000002</v>
      </c>
      <c r="H836" s="1">
        <v>-4.2247789999999998E-6</v>
      </c>
      <c r="I836">
        <v>369.48289999999997</v>
      </c>
      <c r="J836">
        <v>-291.15460000000002</v>
      </c>
      <c r="K836">
        <v>1.07118</v>
      </c>
      <c r="L836">
        <v>368.61989999999997</v>
      </c>
      <c r="M836">
        <v>0.99983089999999997</v>
      </c>
      <c r="N836">
        <v>-1.509257E-2</v>
      </c>
      <c r="O836">
        <v>1.05211E-2</v>
      </c>
      <c r="P836">
        <v>0.98584459999999996</v>
      </c>
      <c r="Q836">
        <v>0.16720579999999999</v>
      </c>
      <c r="R836">
        <v>-1.23661E-2</v>
      </c>
      <c r="S836">
        <v>3.071259</v>
      </c>
      <c r="T836">
        <v>-0.15523480000000001</v>
      </c>
      <c r="U836">
        <v>0.1253967</v>
      </c>
      <c r="V836">
        <v>2.2745729999999999E-2</v>
      </c>
      <c r="W836">
        <v>0.18206230000000001</v>
      </c>
      <c r="X836">
        <v>0.98302389999999995</v>
      </c>
      <c r="Y836">
        <v>-3.0235850000000002E-2</v>
      </c>
      <c r="Z836">
        <v>6.1927300000000005E-4</v>
      </c>
      <c r="AA836">
        <v>0.99954259999999995</v>
      </c>
      <c r="AB836">
        <v>40</v>
      </c>
      <c r="AC836">
        <v>20.988699999999898</v>
      </c>
      <c r="AD836">
        <v>-1.071184224779</v>
      </c>
      <c r="AE836">
        <v>0.86299999999999899</v>
      </c>
      <c r="AF836">
        <v>-0.64043756087751202</v>
      </c>
      <c r="AG836">
        <v>-1.071184224779</v>
      </c>
      <c r="AH836">
        <v>20.942162859528999</v>
      </c>
      <c r="AI836">
        <v>92.926741188892095</v>
      </c>
      <c r="AJ836">
        <v>91.751630761525206</v>
      </c>
      <c r="AK836">
        <v>20.979317938098799</v>
      </c>
      <c r="AL836">
        <v>79.510094149554902</v>
      </c>
      <c r="AM836">
        <v>88.674496291125195</v>
      </c>
      <c r="AN836">
        <v>1.0000000186428599</v>
      </c>
    </row>
    <row r="837" spans="1:40" x14ac:dyDescent="0.25">
      <c r="A837" t="str">
        <f>"20190303162757589"</f>
        <v>20190303162757589</v>
      </c>
      <c r="B837" t="str">
        <f>"1551601677582688"</f>
        <v>1551601677582688</v>
      </c>
      <c r="C837" t="s">
        <v>40</v>
      </c>
      <c r="D837">
        <v>4.9792769999999997</v>
      </c>
      <c r="E837">
        <v>0.48133320000000002</v>
      </c>
      <c r="F837" t="s">
        <v>41</v>
      </c>
      <c r="G837">
        <v>-269.95510000000002</v>
      </c>
      <c r="H837" s="1">
        <v>-3.9741160000000003E-8</v>
      </c>
      <c r="I837">
        <v>369.47199999999998</v>
      </c>
      <c r="J837">
        <v>-290.97030000000001</v>
      </c>
      <c r="K837">
        <v>1.0711740000000001</v>
      </c>
      <c r="L837">
        <v>368.62180000000001</v>
      </c>
      <c r="M837">
        <v>0.99983080000000002</v>
      </c>
      <c r="N837">
        <v>-1.509047E-2</v>
      </c>
      <c r="O837">
        <v>1.052111E-2</v>
      </c>
      <c r="P837">
        <v>0.98583100000000001</v>
      </c>
      <c r="Q837">
        <v>0.16725789999999999</v>
      </c>
      <c r="R837">
        <v>-1.273444E-2</v>
      </c>
      <c r="S837">
        <v>3.0709529999999998</v>
      </c>
      <c r="T837">
        <v>-0.15517069999999999</v>
      </c>
      <c r="U837">
        <v>0.1234436</v>
      </c>
      <c r="V837">
        <v>2.311382E-2</v>
      </c>
      <c r="W837">
        <v>0.182112</v>
      </c>
      <c r="X837">
        <v>0.98300609999999999</v>
      </c>
      <c r="Y837">
        <v>-2.9606270000000001E-2</v>
      </c>
      <c r="Z837">
        <v>5.9850150000000004E-4</v>
      </c>
      <c r="AA837">
        <v>0.99956149999999999</v>
      </c>
      <c r="AB837">
        <v>40</v>
      </c>
      <c r="AC837">
        <v>21.0152</v>
      </c>
      <c r="AD837">
        <v>-1.07117403974116</v>
      </c>
      <c r="AE837">
        <v>0.85019999999997198</v>
      </c>
      <c r="AF837">
        <v>-0.62739716041188398</v>
      </c>
      <c r="AG837">
        <v>-1.07117403974116</v>
      </c>
      <c r="AH837">
        <v>20.9685935167889</v>
      </c>
      <c r="AI837">
        <v>92.923088970227496</v>
      </c>
      <c r="AJ837">
        <v>91.713824429851897</v>
      </c>
      <c r="AK837">
        <v>21.005307783810899</v>
      </c>
      <c r="AL837">
        <v>79.507198053074703</v>
      </c>
      <c r="AM837">
        <v>88.653029364592101</v>
      </c>
      <c r="AN837">
        <v>1.0000000109281</v>
      </c>
    </row>
    <row r="838" spans="1:40" x14ac:dyDescent="0.25">
      <c r="A838" t="str">
        <f>"20190303162757600"</f>
        <v>20190303162757600</v>
      </c>
      <c r="B838" t="str">
        <f>"1551601677592448"</f>
        <v>1551601677592448</v>
      </c>
      <c r="C838" t="s">
        <v>40</v>
      </c>
      <c r="D838">
        <v>5.0996899999999998</v>
      </c>
      <c r="E838">
        <v>0.48145080000000001</v>
      </c>
      <c r="F838" t="s">
        <v>41</v>
      </c>
      <c r="G838">
        <v>-269.6592</v>
      </c>
      <c r="H838" s="1">
        <v>-1.5497839999999999E-7</v>
      </c>
      <c r="I838">
        <v>369.46719999999999</v>
      </c>
      <c r="J838">
        <v>-290.7715</v>
      </c>
      <c r="K838">
        <v>1.07118</v>
      </c>
      <c r="L838">
        <v>368.62389999999999</v>
      </c>
      <c r="M838">
        <v>0.99983089999999997</v>
      </c>
      <c r="N838">
        <v>-1.5088030000000001E-2</v>
      </c>
      <c r="O838">
        <v>1.052113E-2</v>
      </c>
      <c r="P838">
        <v>0.98574600000000001</v>
      </c>
      <c r="Q838">
        <v>0.16774530000000001</v>
      </c>
      <c r="R838">
        <v>-1.2898690000000001E-2</v>
      </c>
      <c r="S838">
        <v>3.0708920000000002</v>
      </c>
      <c r="T838">
        <v>-0.15435360000000001</v>
      </c>
      <c r="U838">
        <v>0.1218262</v>
      </c>
      <c r="V838">
        <v>2.3277200000000001E-2</v>
      </c>
      <c r="W838">
        <v>0.18259529999999999</v>
      </c>
      <c r="X838">
        <v>0.98291249999999997</v>
      </c>
      <c r="Y838">
        <v>-2.908264E-2</v>
      </c>
      <c r="Z838">
        <v>5.8020519999999896E-4</v>
      </c>
      <c r="AA838">
        <v>0.99957689999999999</v>
      </c>
      <c r="AB838">
        <v>40</v>
      </c>
      <c r="AC838">
        <v>21.112300000000001</v>
      </c>
      <c r="AD838">
        <v>-1.0711801549783999</v>
      </c>
      <c r="AE838">
        <v>0.84329999999999905</v>
      </c>
      <c r="AF838">
        <v>-0.61951054602716005</v>
      </c>
      <c r="AG838">
        <v>-1.0711801549783999</v>
      </c>
      <c r="AH838">
        <v>21.065861863080301</v>
      </c>
      <c r="AI838">
        <v>92.9096760127008</v>
      </c>
      <c r="AJ838">
        <v>91.684484238861899</v>
      </c>
      <c r="AK838">
        <v>21.102174207304799</v>
      </c>
      <c r="AL838">
        <v>79.479033898019097</v>
      </c>
      <c r="AM838">
        <v>88.643382723420302</v>
      </c>
      <c r="AN838">
        <v>0.99999992713908703</v>
      </c>
    </row>
    <row r="839" spans="1:40" x14ac:dyDescent="0.25">
      <c r="A839" t="str">
        <f>"20190303162757611"</f>
        <v>20190303162757611</v>
      </c>
      <c r="B839" t="str">
        <f>"1551601677602208"</f>
        <v>1551601677602208</v>
      </c>
      <c r="C839" t="s">
        <v>40</v>
      </c>
      <c r="D839">
        <v>4.9772639999999999</v>
      </c>
      <c r="E839">
        <v>0.48150280000000001</v>
      </c>
      <c r="F839" t="s">
        <v>41</v>
      </c>
      <c r="G839">
        <v>-269.065</v>
      </c>
      <c r="H839" s="1">
        <v>-4.0839509999999999E-7</v>
      </c>
      <c r="I839">
        <v>369.47550000000001</v>
      </c>
      <c r="J839">
        <v>-290.58510000000001</v>
      </c>
      <c r="K839">
        <v>1.0711889999999999</v>
      </c>
      <c r="L839">
        <v>368.62580000000003</v>
      </c>
      <c r="M839">
        <v>0.99983100000000003</v>
      </c>
      <c r="N839">
        <v>-1.508553E-2</v>
      </c>
      <c r="O839">
        <v>1.052115E-2</v>
      </c>
      <c r="P839">
        <v>0.98561310000000002</v>
      </c>
      <c r="Q839">
        <v>0.168494899999999</v>
      </c>
      <c r="R839">
        <v>-1.3290130000000001E-2</v>
      </c>
      <c r="S839">
        <v>3.0707089999999999</v>
      </c>
      <c r="T839">
        <v>-0.15153420000000001</v>
      </c>
      <c r="U839">
        <v>0.12048339999999901</v>
      </c>
      <c r="V839">
        <v>2.3667150000000001E-2</v>
      </c>
      <c r="W839">
        <v>0.1833407</v>
      </c>
      <c r="X839">
        <v>0.98276450000000004</v>
      </c>
      <c r="Y839">
        <v>-2.8650430000000001E-2</v>
      </c>
      <c r="Z839">
        <v>5.6255080000000004E-4</v>
      </c>
      <c r="AA839">
        <v>0.99958930000000001</v>
      </c>
      <c r="AB839">
        <v>40</v>
      </c>
      <c r="AC839">
        <v>21.520099999999999</v>
      </c>
      <c r="AD839">
        <v>-1.0711894083950999</v>
      </c>
      <c r="AE839">
        <v>0.84969999999998402</v>
      </c>
      <c r="AF839">
        <v>-0.62167312026251398</v>
      </c>
      <c r="AG839">
        <v>-1.0711894083950999</v>
      </c>
      <c r="AH839">
        <v>21.474724930709101</v>
      </c>
      <c r="AI839">
        <v>92.854433176607998</v>
      </c>
      <c r="AJ839">
        <v>91.658195899075594</v>
      </c>
      <c r="AK839">
        <v>21.5104099232612</v>
      </c>
      <c r="AL839">
        <v>79.435593101113298</v>
      </c>
      <c r="AM839">
        <v>88.620457133903798</v>
      </c>
      <c r="AN839">
        <v>1.00000000436293</v>
      </c>
    </row>
    <row r="840" spans="1:40" x14ac:dyDescent="0.25">
      <c r="A840" t="str">
        <f>"20190303162757621"</f>
        <v>20190303162757621</v>
      </c>
      <c r="B840" t="str">
        <f>"1551601677611968"</f>
        <v>1551601677611968</v>
      </c>
      <c r="C840" t="s">
        <v>40</v>
      </c>
      <c r="D840">
        <v>4.9771619999999999</v>
      </c>
      <c r="E840">
        <v>0.48166300000000001</v>
      </c>
      <c r="F840" t="s">
        <v>41</v>
      </c>
      <c r="G840">
        <v>-268.29579999999999</v>
      </c>
      <c r="H840" s="1">
        <v>-7.3594560000000005E-7</v>
      </c>
      <c r="I840">
        <v>369.48930000000001</v>
      </c>
      <c r="J840">
        <v>-290.38600000000002</v>
      </c>
      <c r="K840">
        <v>1.071194</v>
      </c>
      <c r="L840">
        <v>368.62790000000001</v>
      </c>
      <c r="M840">
        <v>0.99983100000000003</v>
      </c>
      <c r="N840">
        <v>-1.508282E-2</v>
      </c>
      <c r="O840">
        <v>1.052117E-2</v>
      </c>
      <c r="P840">
        <v>0.98528660000000001</v>
      </c>
      <c r="Q840">
        <v>0.1703269</v>
      </c>
      <c r="R840">
        <v>-1.4111479999999999E-2</v>
      </c>
      <c r="S840">
        <v>3.0706180000000001</v>
      </c>
      <c r="T840">
        <v>-0.14756920000000001</v>
      </c>
      <c r="U840">
        <v>0.11895749999999999</v>
      </c>
      <c r="V840">
        <v>2.4485259999999998E-2</v>
      </c>
      <c r="W840">
        <v>0.1851643</v>
      </c>
      <c r="X840">
        <v>0.98240249999999996</v>
      </c>
      <c r="Y840">
        <v>-2.8157970000000001E-2</v>
      </c>
      <c r="Z840">
        <v>5.4204229999999995E-4</v>
      </c>
      <c r="AA840">
        <v>0.99960329999999997</v>
      </c>
      <c r="AB840">
        <v>40</v>
      </c>
      <c r="AC840">
        <v>22.0901999999999</v>
      </c>
      <c r="AD840">
        <v>-1.0711947359456</v>
      </c>
      <c r="AE840">
        <v>0.86140000000000305</v>
      </c>
      <c r="AF840">
        <v>-0.62743799108980502</v>
      </c>
      <c r="AG840">
        <v>-1.0711947359456</v>
      </c>
      <c r="AH840">
        <v>22.0462787864615</v>
      </c>
      <c r="AI840">
        <v>92.780601889939405</v>
      </c>
      <c r="AJ840">
        <v>91.630200170849307</v>
      </c>
      <c r="AK840">
        <v>22.081203430188399</v>
      </c>
      <c r="AL840">
        <v>79.329288503383694</v>
      </c>
      <c r="AM840">
        <v>88.572263738263104</v>
      </c>
      <c r="AN840">
        <v>1.000000008979</v>
      </c>
    </row>
    <row r="841" spans="1:40" x14ac:dyDescent="0.25">
      <c r="A841" t="str">
        <f>"20190303162757633"</f>
        <v>20190303162757633</v>
      </c>
      <c r="B841" t="str">
        <f>"1551601677622704"</f>
        <v>1551601677622704</v>
      </c>
      <c r="C841" t="s">
        <v>40</v>
      </c>
      <c r="D841">
        <v>4.9848809999999997</v>
      </c>
      <c r="E841">
        <v>0.48171510000000001</v>
      </c>
      <c r="F841" t="s">
        <v>41</v>
      </c>
      <c r="G841">
        <v>-266.97120000000001</v>
      </c>
      <c r="H841" s="1">
        <v>-1.3012609999999999E-6</v>
      </c>
      <c r="I841">
        <v>369.5059</v>
      </c>
      <c r="J841">
        <v>-290.19439999999997</v>
      </c>
      <c r="K841">
        <v>1.0712029999999999</v>
      </c>
      <c r="L841">
        <v>368.62990000000002</v>
      </c>
      <c r="M841">
        <v>0.99983100000000003</v>
      </c>
      <c r="N841">
        <v>-1.508021E-2</v>
      </c>
      <c r="O841">
        <v>1.0521020000000001E-2</v>
      </c>
      <c r="P841">
        <v>0.98526670000000005</v>
      </c>
      <c r="Q841">
        <v>0.17039270000000001</v>
      </c>
      <c r="R841">
        <v>-1.471447E-2</v>
      </c>
      <c r="S841">
        <v>3.0707399999999998</v>
      </c>
      <c r="T841">
        <v>-0.14048169999999999</v>
      </c>
      <c r="U841">
        <v>0.1151428</v>
      </c>
      <c r="V841">
        <v>2.508759E-2</v>
      </c>
      <c r="W841">
        <v>0.18522710000000001</v>
      </c>
      <c r="X841">
        <v>0.98237540000000001</v>
      </c>
      <c r="Y841">
        <v>-2.6921069999999998E-2</v>
      </c>
      <c r="Z841">
        <v>4.9616989999999995E-4</v>
      </c>
      <c r="AA841">
        <v>0.99963740000000001</v>
      </c>
      <c r="AB841">
        <v>40</v>
      </c>
      <c r="AC841">
        <v>23.223199999999899</v>
      </c>
      <c r="AD841">
        <v>-1.071204301261</v>
      </c>
      <c r="AE841">
        <v>0.87599999999997602</v>
      </c>
      <c r="AF841">
        <v>-0.63025292910686204</v>
      </c>
      <c r="AG841">
        <v>-1.071204301261</v>
      </c>
      <c r="AH841">
        <v>23.181878944735399</v>
      </c>
      <c r="AI841">
        <v>92.6447051869619</v>
      </c>
      <c r="AJ841">
        <v>91.557334493380793</v>
      </c>
      <c r="AK841">
        <v>23.215171953230399</v>
      </c>
      <c r="AL841">
        <v>79.325626311684005</v>
      </c>
      <c r="AM841">
        <v>88.537116598568005</v>
      </c>
      <c r="AN841">
        <v>0.99999994613578702</v>
      </c>
    </row>
    <row r="842" spans="1:40" x14ac:dyDescent="0.25">
      <c r="A842" t="str">
        <f>"20190303162757646"</f>
        <v>20190303162757646</v>
      </c>
      <c r="B842" t="str">
        <f>"1551601677632466"</f>
        <v>1551601677632466</v>
      </c>
      <c r="C842" t="s">
        <v>40</v>
      </c>
      <c r="D842">
        <v>4.8648439999999997</v>
      </c>
      <c r="E842">
        <v>0.48174919999999999</v>
      </c>
      <c r="F842" t="s">
        <v>41</v>
      </c>
      <c r="G842">
        <v>-266.66379999999998</v>
      </c>
      <c r="H842" s="1">
        <v>-1.4355449999999901E-6</v>
      </c>
      <c r="I842">
        <v>369.4923</v>
      </c>
      <c r="J842">
        <v>-289.97609999999997</v>
      </c>
      <c r="K842">
        <v>1.07121</v>
      </c>
      <c r="L842">
        <v>368.63220000000001</v>
      </c>
      <c r="M842">
        <v>0.99983100000000003</v>
      </c>
      <c r="N842">
        <v>-1.507724E-2</v>
      </c>
      <c r="O842">
        <v>1.052122E-2</v>
      </c>
      <c r="P842">
        <v>0.98515660000000005</v>
      </c>
      <c r="Q842">
        <v>0.17095779999999999</v>
      </c>
      <c r="R842">
        <v>-1.5497510000000001E-2</v>
      </c>
      <c r="S842">
        <v>3.0707089999999999</v>
      </c>
      <c r="T842">
        <v>-0.13978979999999999</v>
      </c>
      <c r="U842">
        <v>0.1125488</v>
      </c>
      <c r="V842">
        <v>2.5869719999999999E-2</v>
      </c>
      <c r="W842">
        <v>0.18578800000000001</v>
      </c>
      <c r="X842">
        <v>0.98224929999999999</v>
      </c>
      <c r="Y842">
        <v>-2.6079350000000001E-2</v>
      </c>
      <c r="Z842">
        <v>4.6993790000000001E-4</v>
      </c>
      <c r="AA842">
        <v>0.99965979999999999</v>
      </c>
      <c r="AB842">
        <v>40</v>
      </c>
      <c r="AC842">
        <v>23.3123</v>
      </c>
      <c r="AD842">
        <v>-1.071211435545</v>
      </c>
      <c r="AE842">
        <v>0.86009999999998799</v>
      </c>
      <c r="AF842">
        <v>-0.61345714750817304</v>
      </c>
      <c r="AG842">
        <v>-1.071211435545</v>
      </c>
      <c r="AH842">
        <v>23.2709910431795</v>
      </c>
      <c r="AI842">
        <v>92.634667712829895</v>
      </c>
      <c r="AJ842">
        <v>91.510050299081797</v>
      </c>
      <c r="AK842">
        <v>23.303708883849701</v>
      </c>
      <c r="AL842">
        <v>79.292922626215798</v>
      </c>
      <c r="AM842">
        <v>88.491336974478401</v>
      </c>
      <c r="AN842">
        <v>1.0000000553536801</v>
      </c>
    </row>
    <row r="843" spans="1:40" x14ac:dyDescent="0.25">
      <c r="A843" t="str">
        <f>"20190303162757663"</f>
        <v>20190303162757663</v>
      </c>
      <c r="B843" t="str">
        <f>"1551601677651984"</f>
        <v>1551601677651984</v>
      </c>
      <c r="C843" t="s">
        <v>40</v>
      </c>
      <c r="D843">
        <v>4.7917990000000001</v>
      </c>
      <c r="E843">
        <v>0.48272700000000002</v>
      </c>
      <c r="F843" t="s">
        <v>41</v>
      </c>
      <c r="G843">
        <v>-266.08699999999999</v>
      </c>
      <c r="H843" s="1">
        <v>-1.683735E-6</v>
      </c>
      <c r="I843">
        <v>369.488</v>
      </c>
      <c r="J843">
        <v>-289.66309999999999</v>
      </c>
      <c r="K843">
        <v>1.0712219999999999</v>
      </c>
      <c r="L843">
        <v>368.63549999999998</v>
      </c>
      <c r="M843">
        <v>0.99983120000000003</v>
      </c>
      <c r="N843">
        <v>-1.507295E-2</v>
      </c>
      <c r="O843">
        <v>1.052089E-2</v>
      </c>
      <c r="P843">
        <v>0.98465780000000003</v>
      </c>
      <c r="Q843">
        <v>0.1736202</v>
      </c>
      <c r="R843">
        <v>-1.7479129999999999E-2</v>
      </c>
      <c r="S843">
        <v>3.07077</v>
      </c>
      <c r="T843">
        <v>-0.13769609999999999</v>
      </c>
      <c r="U843">
        <v>0.1100159</v>
      </c>
      <c r="V843">
        <v>2.784565E-2</v>
      </c>
      <c r="W843">
        <v>0.1884373</v>
      </c>
      <c r="X843">
        <v>0.98169030000000002</v>
      </c>
      <c r="Y843">
        <v>-2.5257269999999998E-2</v>
      </c>
      <c r="Z843">
        <v>4.4351040000000002E-4</v>
      </c>
      <c r="AA843">
        <v>0.99968089999999998</v>
      </c>
      <c r="AB843">
        <v>40</v>
      </c>
      <c r="AC843">
        <v>23.5761</v>
      </c>
      <c r="AD843">
        <v>-1.071223683735</v>
      </c>
      <c r="AE843">
        <v>0.85250000000007697</v>
      </c>
      <c r="AF843">
        <v>-0.60313954912369805</v>
      </c>
      <c r="AG843">
        <v>-1.071223683735</v>
      </c>
      <c r="AH843">
        <v>23.535239710505699</v>
      </c>
      <c r="AI843">
        <v>92.605206583241497</v>
      </c>
      <c r="AJ843">
        <v>91.468002403067601</v>
      </c>
      <c r="AK843">
        <v>23.567324959088499</v>
      </c>
      <c r="AL843">
        <v>79.138398283527707</v>
      </c>
      <c r="AM843">
        <v>88.375240595936503</v>
      </c>
      <c r="AN843">
        <v>0.99999992068464805</v>
      </c>
    </row>
    <row r="844" spans="1:40" x14ac:dyDescent="0.25">
      <c r="A844" t="str">
        <f>"20190303162757678"</f>
        <v>20190303162757678</v>
      </c>
      <c r="B844" t="str">
        <f>"1551601677672481"</f>
        <v>1551601677672481</v>
      </c>
      <c r="C844" t="s">
        <v>40</v>
      </c>
      <c r="D844">
        <v>4.6920549999999999</v>
      </c>
      <c r="E844">
        <v>0.52289859999999999</v>
      </c>
      <c r="F844" t="s">
        <v>41</v>
      </c>
      <c r="G844">
        <v>-264.15910000000002</v>
      </c>
      <c r="H844" s="1">
        <v>-2.5206419999999999E-6</v>
      </c>
      <c r="I844">
        <v>369.4325</v>
      </c>
      <c r="J844">
        <v>-289.39980000000003</v>
      </c>
      <c r="K844">
        <v>1.0712250000000001</v>
      </c>
      <c r="L844">
        <v>368.63830000000002</v>
      </c>
      <c r="M844">
        <v>0.99983109999999997</v>
      </c>
      <c r="N844">
        <v>-1.5069320000000001E-2</v>
      </c>
      <c r="O844">
        <v>1.0521279999999999E-2</v>
      </c>
      <c r="P844">
        <v>0.98449330000000002</v>
      </c>
      <c r="Q844">
        <v>0.17441950000000001</v>
      </c>
      <c r="R844">
        <v>-1.8728539999999998E-2</v>
      </c>
      <c r="S844">
        <v>3.0712280000000001</v>
      </c>
      <c r="T844">
        <v>-0.12899829999999901</v>
      </c>
      <c r="U844">
        <v>9.5977779999999999E-2</v>
      </c>
      <c r="V844">
        <v>2.9093810000000001E-2</v>
      </c>
      <c r="W844">
        <v>0.18923010000000001</v>
      </c>
      <c r="X844">
        <v>0.98150159999999997</v>
      </c>
      <c r="Y844">
        <v>-2.0695330000000001E-2</v>
      </c>
      <c r="Z844">
        <v>3.0729260000000001E-4</v>
      </c>
      <c r="AA844">
        <v>0.99978579999999995</v>
      </c>
      <c r="AB844">
        <v>40</v>
      </c>
      <c r="AC844">
        <v>25.2407</v>
      </c>
      <c r="AD844">
        <v>-1.0712275206419899</v>
      </c>
      <c r="AE844">
        <v>0.79419999999998903</v>
      </c>
      <c r="AF844">
        <v>-0.52761201024899895</v>
      </c>
      <c r="AG844">
        <v>-1.0712275206419899</v>
      </c>
      <c r="AH844">
        <v>25.202310185752498</v>
      </c>
      <c r="AI844">
        <v>92.433367066466801</v>
      </c>
      <c r="AJ844">
        <v>91.199315696998298</v>
      </c>
      <c r="AK844">
        <v>25.230583456060302</v>
      </c>
      <c r="AL844">
        <v>79.092142156581403</v>
      </c>
      <c r="AM844">
        <v>88.302127521841598</v>
      </c>
      <c r="AN844">
        <v>0.99999993566444101</v>
      </c>
    </row>
    <row r="845" spans="1:40" x14ac:dyDescent="0.25">
      <c r="A845" t="str">
        <f>"20190303162757692"</f>
        <v>20190303162757692</v>
      </c>
      <c r="B845" t="str">
        <f>"1551601677682241"</f>
        <v>1551601677682241</v>
      </c>
      <c r="C845" t="s">
        <v>40</v>
      </c>
      <c r="D845">
        <v>4.6949719999999999</v>
      </c>
      <c r="E845">
        <v>0.53057559999999904</v>
      </c>
      <c r="F845" t="s">
        <v>41</v>
      </c>
      <c r="G845">
        <v>-241.26560000000001</v>
      </c>
      <c r="H845" s="1">
        <v>-4.9233440000000003E-6</v>
      </c>
      <c r="I845">
        <v>365.02719999999999</v>
      </c>
      <c r="J845">
        <v>-289.16480000000001</v>
      </c>
      <c r="K845">
        <v>1.071226</v>
      </c>
      <c r="L845">
        <v>368.64069999999998</v>
      </c>
      <c r="M845">
        <v>0.99983109999999997</v>
      </c>
      <c r="N845">
        <v>-1.5066100000000001E-2</v>
      </c>
      <c r="O845">
        <v>1.0521300000000001E-2</v>
      </c>
      <c r="P845">
        <v>0.98452660000000003</v>
      </c>
      <c r="Q845">
        <v>0.17412</v>
      </c>
      <c r="R845">
        <v>-1.9740339999999999E-2</v>
      </c>
      <c r="S845">
        <v>3.0549620000000002</v>
      </c>
      <c r="T845">
        <v>-6.7988399999999893E-2</v>
      </c>
      <c r="U845">
        <v>-0.229187</v>
      </c>
      <c r="V845">
        <v>3.010591E-2</v>
      </c>
      <c r="W845">
        <v>0.18892809999999999</v>
      </c>
      <c r="X845">
        <v>0.98152930000000005</v>
      </c>
      <c r="Y845">
        <v>8.5264320000000005E-2</v>
      </c>
      <c r="Z845">
        <v>-1.6662370000000001E-3</v>
      </c>
      <c r="AA845">
        <v>0.99635700000000005</v>
      </c>
      <c r="AB845">
        <v>40</v>
      </c>
      <c r="AC845">
        <v>47.8992</v>
      </c>
      <c r="AD845">
        <v>-1.0712309233440001</v>
      </c>
      <c r="AE845">
        <v>-3.6134999999999802</v>
      </c>
      <c r="AF845">
        <v>4.1152723765334596</v>
      </c>
      <c r="AG845">
        <v>-1.0712309233440001</v>
      </c>
      <c r="AH845">
        <v>47.8347354519017</v>
      </c>
      <c r="AI845">
        <v>91.278171243780704</v>
      </c>
      <c r="AJ845">
        <v>85.082891312192203</v>
      </c>
      <c r="AK845">
        <v>48.023378870895797</v>
      </c>
      <c r="AL845">
        <v>79.109763822757301</v>
      </c>
      <c r="AM845">
        <v>88.243148782951195</v>
      </c>
      <c r="AN845">
        <v>0.99999997977251398</v>
      </c>
    </row>
    <row r="846" spans="1:40" x14ac:dyDescent="0.25">
      <c r="A846" t="str">
        <f>"20190303162757706"</f>
        <v>20190303162757706</v>
      </c>
      <c r="B846" t="str">
        <f>"1551601677702736"</f>
        <v>1551601677702736</v>
      </c>
      <c r="C846" t="s">
        <v>40</v>
      </c>
      <c r="D846">
        <v>4.6304720000000001</v>
      </c>
      <c r="E846">
        <v>0.53679009999999905</v>
      </c>
      <c r="F846" t="s">
        <v>41</v>
      </c>
      <c r="G846">
        <v>-246.76580000000001</v>
      </c>
      <c r="H846" s="1">
        <v>-2.5690049999999998E-6</v>
      </c>
      <c r="I846">
        <v>364.56959999999998</v>
      </c>
      <c r="J846">
        <v>-288.9083</v>
      </c>
      <c r="K846">
        <v>1.071224</v>
      </c>
      <c r="L846">
        <v>368.64350000000002</v>
      </c>
      <c r="M846">
        <v>0.99983129999999998</v>
      </c>
      <c r="N846">
        <v>-1.5062600000000001E-2</v>
      </c>
      <c r="O846">
        <v>1.052115E-2</v>
      </c>
      <c r="P846">
        <v>0.98461980000000004</v>
      </c>
      <c r="Q846">
        <v>0.173426</v>
      </c>
      <c r="R846">
        <v>-2.115293E-2</v>
      </c>
      <c r="S846">
        <v>3.054932</v>
      </c>
      <c r="T846">
        <v>-7.7184199999999994E-2</v>
      </c>
      <c r="U846">
        <v>-0.29333500000000001</v>
      </c>
      <c r="V846">
        <v>3.1519270000000002E-2</v>
      </c>
      <c r="W846">
        <v>0.1882318</v>
      </c>
      <c r="X846">
        <v>0.98161880000000001</v>
      </c>
      <c r="Y846">
        <v>0.1059952</v>
      </c>
      <c r="Z846">
        <v>-2.2431909999999998E-3</v>
      </c>
      <c r="AA846">
        <v>0.99436409999999997</v>
      </c>
      <c r="AB846">
        <v>40</v>
      </c>
      <c r="AC846">
        <v>42.142499999999899</v>
      </c>
      <c r="AD846">
        <v>-1.071226569005</v>
      </c>
      <c r="AE846">
        <v>-4.0739000000000303</v>
      </c>
      <c r="AF846">
        <v>4.5142225044564999</v>
      </c>
      <c r="AG846">
        <v>-1.071226569005</v>
      </c>
      <c r="AH846">
        <v>42.0703685722738</v>
      </c>
      <c r="AI846">
        <v>91.450270495091402</v>
      </c>
      <c r="AJ846">
        <v>83.875498261773501</v>
      </c>
      <c r="AK846">
        <v>42.325425490936901</v>
      </c>
      <c r="AL846">
        <v>79.150388766510304</v>
      </c>
      <c r="AM846">
        <v>88.160894145671705</v>
      </c>
      <c r="AN846">
        <v>1.000000071713</v>
      </c>
    </row>
    <row r="847" spans="1:40" x14ac:dyDescent="0.25">
      <c r="A847" t="str">
        <f>"20190303162757720"</f>
        <v>20190303162757720</v>
      </c>
      <c r="B847" t="str">
        <f>"1551601677712497"</f>
        <v>1551601677712497</v>
      </c>
      <c r="C847" t="s">
        <v>40</v>
      </c>
      <c r="D847">
        <v>4.6220970000000001</v>
      </c>
      <c r="E847">
        <v>0.53807689999999997</v>
      </c>
      <c r="F847" t="s">
        <v>41</v>
      </c>
      <c r="G847">
        <v>-246.3776</v>
      </c>
      <c r="H847" s="1">
        <v>-2.9201760000000002E-6</v>
      </c>
      <c r="I847">
        <v>363.81</v>
      </c>
      <c r="J847">
        <v>-288.64920000000001</v>
      </c>
      <c r="K847">
        <v>1.0712189999999999</v>
      </c>
      <c r="L847">
        <v>368.64609999999999</v>
      </c>
      <c r="M847">
        <v>0.99983129999999998</v>
      </c>
      <c r="N847">
        <v>-1.5059060000000001E-2</v>
      </c>
      <c r="O847">
        <v>1.052136E-2</v>
      </c>
      <c r="P847">
        <v>0.98478980000000005</v>
      </c>
      <c r="Q847">
        <v>0.1722072</v>
      </c>
      <c r="R847">
        <v>-2.310309E-2</v>
      </c>
      <c r="S847">
        <v>3.0529480000000002</v>
      </c>
      <c r="T847">
        <v>-7.6895119999999997E-2</v>
      </c>
      <c r="U847">
        <v>-0.34695429999999999</v>
      </c>
      <c r="V847">
        <v>3.3471220000000003E-2</v>
      </c>
      <c r="W847">
        <v>0.1870116</v>
      </c>
      <c r="X847">
        <v>0.98178730000000003</v>
      </c>
      <c r="Y847">
        <v>0.12330530000000001</v>
      </c>
      <c r="Z847">
        <v>-2.5855629999999999E-3</v>
      </c>
      <c r="AA847">
        <v>0.99236539999999995</v>
      </c>
      <c r="AB847">
        <v>40</v>
      </c>
      <c r="AC847">
        <v>42.271599999999999</v>
      </c>
      <c r="AD847">
        <v>-1.071221920176</v>
      </c>
      <c r="AE847">
        <v>-4.8360999999999796</v>
      </c>
      <c r="AF847">
        <v>5.2772921686511403</v>
      </c>
      <c r="AG847">
        <v>-1.071221920176</v>
      </c>
      <c r="AH847">
        <v>42.191626712983897</v>
      </c>
      <c r="AI847">
        <v>91.443155186982494</v>
      </c>
      <c r="AJ847">
        <v>82.870519354971407</v>
      </c>
      <c r="AK847">
        <v>42.5338770126043</v>
      </c>
      <c r="AL847">
        <v>79.221564089495999</v>
      </c>
      <c r="AM847">
        <v>88.047421094255199</v>
      </c>
      <c r="AN847">
        <v>0.99999998177206895</v>
      </c>
    </row>
    <row r="848" spans="1:40" x14ac:dyDescent="0.25">
      <c r="A848" t="str">
        <f>"20190303162757733"</f>
        <v>20190303162757733</v>
      </c>
      <c r="B848" t="str">
        <f>"1551601677722257"</f>
        <v>1551601677722257</v>
      </c>
      <c r="C848" t="s">
        <v>40</v>
      </c>
      <c r="D848">
        <v>4.5764420000000001</v>
      </c>
      <c r="E848">
        <v>0.53849119999999995</v>
      </c>
      <c r="F848" t="s">
        <v>41</v>
      </c>
      <c r="G848">
        <v>-248.9906</v>
      </c>
      <c r="H848" s="1">
        <v>-1.8836240000000001E-6</v>
      </c>
      <c r="I848">
        <v>363.93459999999999</v>
      </c>
      <c r="J848">
        <v>-288.41129999999998</v>
      </c>
      <c r="K848">
        <v>1.0712170000000001</v>
      </c>
      <c r="L848">
        <v>368.64870000000002</v>
      </c>
      <c r="M848">
        <v>0.99983129999999998</v>
      </c>
      <c r="N848">
        <v>-1.5055819999999999E-2</v>
      </c>
      <c r="O848">
        <v>1.052138E-2</v>
      </c>
      <c r="P848">
        <v>0.98472099999999996</v>
      </c>
      <c r="Q848">
        <v>0.1724464</v>
      </c>
      <c r="R848">
        <v>-2.4227530000000001E-2</v>
      </c>
      <c r="S848">
        <v>3.0522459999999998</v>
      </c>
      <c r="T848">
        <v>-8.2444310000000007E-2</v>
      </c>
      <c r="U848">
        <v>-0.36260989999999999</v>
      </c>
      <c r="V848">
        <v>3.4594809999999997E-2</v>
      </c>
      <c r="W848">
        <v>0.18724679999999999</v>
      </c>
      <c r="X848">
        <v>0.98170349999999995</v>
      </c>
      <c r="Y848">
        <v>0.12834100000000001</v>
      </c>
      <c r="Z848">
        <v>-2.8221380000000001E-3</v>
      </c>
      <c r="AA848">
        <v>0.99172610000000005</v>
      </c>
      <c r="AB848">
        <v>40</v>
      </c>
      <c r="AC848">
        <v>39.420699999999897</v>
      </c>
      <c r="AD848">
        <v>-1.071218883624</v>
      </c>
      <c r="AE848">
        <v>-4.7141000000000304</v>
      </c>
      <c r="AF848">
        <v>5.1249151670041604</v>
      </c>
      <c r="AG848">
        <v>-1.071218883624</v>
      </c>
      <c r="AH848">
        <v>39.340272696376999</v>
      </c>
      <c r="AI848">
        <v>91.546691732208103</v>
      </c>
      <c r="AJ848">
        <v>82.577792794769096</v>
      </c>
      <c r="AK848">
        <v>39.687143021272298</v>
      </c>
      <c r="AL848">
        <v>79.207845592308601</v>
      </c>
      <c r="AM848">
        <v>87.981756481079699</v>
      </c>
      <c r="AN848">
        <v>0.99999996345071196</v>
      </c>
    </row>
    <row r="849" spans="1:40" x14ac:dyDescent="0.25">
      <c r="A849" t="str">
        <f>"20190303162757746"</f>
        <v>20190303162757746</v>
      </c>
      <c r="B849" t="str">
        <f>"1551601677742752"</f>
        <v>1551601677742752</v>
      </c>
      <c r="C849" t="s">
        <v>40</v>
      </c>
      <c r="D849">
        <v>4.5903150000000004</v>
      </c>
      <c r="E849">
        <v>0.53901259999999995</v>
      </c>
      <c r="F849" t="s">
        <v>41</v>
      </c>
      <c r="G849">
        <v>-247.97470000000001</v>
      </c>
      <c r="H849" s="1">
        <v>-2.3214490000000002E-6</v>
      </c>
      <c r="I849">
        <v>363.7552</v>
      </c>
      <c r="J849">
        <v>-288.18979999999999</v>
      </c>
      <c r="K849">
        <v>1.0712170000000001</v>
      </c>
      <c r="L849">
        <v>368.65100000000001</v>
      </c>
      <c r="M849">
        <v>0.99983140000000004</v>
      </c>
      <c r="N849">
        <v>-1.505282E-2</v>
      </c>
      <c r="O849">
        <v>1.0521229999999999E-2</v>
      </c>
      <c r="P849">
        <v>0.98474810000000002</v>
      </c>
      <c r="Q849">
        <v>0.17216210000000001</v>
      </c>
      <c r="R849">
        <v>-2.5127529999999999E-2</v>
      </c>
      <c r="S849">
        <v>3.051666</v>
      </c>
      <c r="T849">
        <v>-8.0842609999999995E-2</v>
      </c>
      <c r="U849">
        <v>-0.36929319999999999</v>
      </c>
      <c r="V849">
        <v>3.549509E-2</v>
      </c>
      <c r="W849">
        <v>0.18696009999999999</v>
      </c>
      <c r="X849">
        <v>0.98172610000000005</v>
      </c>
      <c r="Y849">
        <v>0.13050490000000001</v>
      </c>
      <c r="Z849">
        <v>-2.828096E-3</v>
      </c>
      <c r="AA849">
        <v>0.99144359999999998</v>
      </c>
      <c r="AB849">
        <v>40</v>
      </c>
      <c r="AC849">
        <v>40.2150999999999</v>
      </c>
      <c r="AD849">
        <v>-1.071219321449</v>
      </c>
      <c r="AE849">
        <v>-4.8958000000000004</v>
      </c>
      <c r="AF849">
        <v>5.3149730703172802</v>
      </c>
      <c r="AG849">
        <v>-1.071219321449</v>
      </c>
      <c r="AH849">
        <v>40.133297521527297</v>
      </c>
      <c r="AI849">
        <v>91.515721574731899</v>
      </c>
      <c r="AJ849">
        <v>82.456046732101001</v>
      </c>
      <c r="AK849">
        <v>40.497876728592502</v>
      </c>
      <c r="AL849">
        <v>79.224568630086395</v>
      </c>
      <c r="AM849">
        <v>87.929327378062695</v>
      </c>
      <c r="AN849">
        <v>1.0000000579136601</v>
      </c>
    </row>
    <row r="850" spans="1:40" x14ac:dyDescent="0.25">
      <c r="A850" t="str">
        <f>"20190303162757759"</f>
        <v>20190303162757759</v>
      </c>
      <c r="B850" t="str">
        <f>"1551601677752512"</f>
        <v>1551601677752512</v>
      </c>
      <c r="C850" t="s">
        <v>40</v>
      </c>
      <c r="D850">
        <v>4.5768969999999998</v>
      </c>
      <c r="E850">
        <v>0.53904879999999999</v>
      </c>
      <c r="F850" t="s">
        <v>41</v>
      </c>
      <c r="G850">
        <v>-248.88290000000001</v>
      </c>
      <c r="H850" s="1">
        <v>-1.9596770000000001E-6</v>
      </c>
      <c r="I850">
        <v>363.80419999999998</v>
      </c>
      <c r="J850">
        <v>-287.95929999999998</v>
      </c>
      <c r="K850">
        <v>1.0712159999999999</v>
      </c>
      <c r="L850">
        <v>368.65339999999998</v>
      </c>
      <c r="M850">
        <v>0.99983140000000004</v>
      </c>
      <c r="N850">
        <v>-1.5049740000000001E-2</v>
      </c>
      <c r="O850">
        <v>1.0521249999999999E-2</v>
      </c>
      <c r="P850">
        <v>0.98475049999999997</v>
      </c>
      <c r="Q850">
        <v>0.17196710000000001</v>
      </c>
      <c r="R850">
        <v>-2.6340249999999999E-2</v>
      </c>
      <c r="S850">
        <v>3.0513919999999999</v>
      </c>
      <c r="T850">
        <v>-8.3158490000000002E-2</v>
      </c>
      <c r="U850">
        <v>-0.37625120000000001</v>
      </c>
      <c r="V850">
        <v>3.6707770000000001E-2</v>
      </c>
      <c r="W850">
        <v>0.1867615</v>
      </c>
      <c r="X850">
        <v>0.98171929999999996</v>
      </c>
      <c r="Y850">
        <v>0.1327381</v>
      </c>
      <c r="Z850">
        <v>-2.9324469999999999E-3</v>
      </c>
      <c r="AA850">
        <v>0.99114679999999999</v>
      </c>
      <c r="AB850">
        <v>40</v>
      </c>
      <c r="AC850">
        <v>39.0763999999999</v>
      </c>
      <c r="AD850">
        <v>-1.071217959677</v>
      </c>
      <c r="AE850">
        <v>-4.84919999999999</v>
      </c>
      <c r="AF850">
        <v>5.2562205520684602</v>
      </c>
      <c r="AG850">
        <v>-1.071217959677</v>
      </c>
      <c r="AH850">
        <v>38.994351546972901</v>
      </c>
      <c r="AI850">
        <v>91.5594859342212</v>
      </c>
      <c r="AJ850">
        <v>82.323121230586807</v>
      </c>
      <c r="AK850">
        <v>39.361590605284597</v>
      </c>
      <c r="AL850">
        <v>79.236151514896306</v>
      </c>
      <c r="AM850">
        <v>87.858633369759502</v>
      </c>
      <c r="AN850">
        <v>1.0000000511265501</v>
      </c>
    </row>
    <row r="851" spans="1:40" x14ac:dyDescent="0.25">
      <c r="A851" t="str">
        <f>"20190303162757771"</f>
        <v>20190303162757771</v>
      </c>
      <c r="B851" t="str">
        <f>"1551601677762273"</f>
        <v>1551601677762273</v>
      </c>
      <c r="C851" t="s">
        <v>40</v>
      </c>
      <c r="D851">
        <v>4.5307839999999997</v>
      </c>
      <c r="E851">
        <v>0.53903040000000002</v>
      </c>
      <c r="F851" t="s">
        <v>41</v>
      </c>
      <c r="G851">
        <v>-248.7458</v>
      </c>
      <c r="H851" s="1">
        <v>-2.0213649999999999E-6</v>
      </c>
      <c r="I851">
        <v>363.77019999999999</v>
      </c>
      <c r="J851">
        <v>-287.75839999999999</v>
      </c>
      <c r="K851">
        <v>1.0712159999999999</v>
      </c>
      <c r="L851">
        <v>368.65550000000002</v>
      </c>
      <c r="M851">
        <v>0.99983140000000004</v>
      </c>
      <c r="N851">
        <v>-1.5047079999999999E-2</v>
      </c>
      <c r="O851">
        <v>1.0521269999999999E-2</v>
      </c>
      <c r="P851">
        <v>0.98472700000000002</v>
      </c>
      <c r="Q851">
        <v>0.1719511</v>
      </c>
      <c r="R851">
        <v>-2.7303689999999999E-2</v>
      </c>
      <c r="S851">
        <v>3.0508419999999998</v>
      </c>
      <c r="T851">
        <v>-8.3341600000000002E-2</v>
      </c>
      <c r="U851">
        <v>-0.37991330000000001</v>
      </c>
      <c r="V851">
        <v>3.7670799999999997E-2</v>
      </c>
      <c r="W851">
        <v>0.1867423</v>
      </c>
      <c r="X851">
        <v>0.98168639999999996</v>
      </c>
      <c r="Y851">
        <v>0.13393039999999901</v>
      </c>
      <c r="Z851">
        <v>-2.9624289999999999E-3</v>
      </c>
      <c r="AA851">
        <v>0.99098629999999999</v>
      </c>
      <c r="AB851">
        <v>40</v>
      </c>
      <c r="AC851">
        <v>39.0125999999999</v>
      </c>
      <c r="AD851">
        <v>-1.071218021365</v>
      </c>
      <c r="AE851">
        <v>-4.8853000000000204</v>
      </c>
      <c r="AF851">
        <v>5.29161007724817</v>
      </c>
      <c r="AG851">
        <v>-1.071218021365</v>
      </c>
      <c r="AH851">
        <v>38.930136327202099</v>
      </c>
      <c r="AI851">
        <v>91.561822337013496</v>
      </c>
      <c r="AJ851">
        <v>82.259463415940402</v>
      </c>
      <c r="AK851">
        <v>39.302724583843698</v>
      </c>
      <c r="AL851">
        <v>79.237270539601994</v>
      </c>
      <c r="AM851">
        <v>87.802435318881507</v>
      </c>
      <c r="AN851">
        <v>0.99999998186344397</v>
      </c>
    </row>
    <row r="852" spans="1:40" x14ac:dyDescent="0.25">
      <c r="A852" t="str">
        <f>"20190303162757787"</f>
        <v>20190303162757787</v>
      </c>
      <c r="B852" t="str">
        <f>"1551601677782769"</f>
        <v>1551601677782769</v>
      </c>
      <c r="C852" t="s">
        <v>40</v>
      </c>
      <c r="D852">
        <v>4.5286010000000001</v>
      </c>
      <c r="E852">
        <v>0.53904410000000003</v>
      </c>
      <c r="F852" t="s">
        <v>41</v>
      </c>
      <c r="G852">
        <v>-249.21469999999999</v>
      </c>
      <c r="H852" s="1">
        <v>-1.825762E-6</v>
      </c>
      <c r="I852">
        <v>363.82859999999999</v>
      </c>
      <c r="J852">
        <v>-287.46159999999998</v>
      </c>
      <c r="K852">
        <v>1.0712159999999999</v>
      </c>
      <c r="L852">
        <v>368.65859999999998</v>
      </c>
      <c r="M852">
        <v>0.99983160000000004</v>
      </c>
      <c r="N852">
        <v>-1.504318E-2</v>
      </c>
      <c r="O852">
        <v>1.052112E-2</v>
      </c>
      <c r="P852">
        <v>0.98451089999999997</v>
      </c>
      <c r="Q852">
        <v>0.1729241</v>
      </c>
      <c r="R852">
        <v>-2.8911650000000001E-2</v>
      </c>
      <c r="S852">
        <v>3.0507200000000001</v>
      </c>
      <c r="T852">
        <v>-8.4786650000000005E-2</v>
      </c>
      <c r="U852">
        <v>-0.38204959999999999</v>
      </c>
      <c r="V852">
        <v>3.9276199999999997E-2</v>
      </c>
      <c r="W852">
        <v>0.18770809999999999</v>
      </c>
      <c r="X852">
        <v>0.98143930000000001</v>
      </c>
      <c r="Y852">
        <v>0.1346157</v>
      </c>
      <c r="Z852">
        <v>-3.013459E-3</v>
      </c>
      <c r="AA852">
        <v>0.99089329999999998</v>
      </c>
      <c r="AB852">
        <v>40</v>
      </c>
      <c r="AC852">
        <v>38.246899999999897</v>
      </c>
      <c r="AD852">
        <v>-1.071217825762</v>
      </c>
      <c r="AE852">
        <v>-4.8299999999999796</v>
      </c>
      <c r="AF852">
        <v>5.2281415086570098</v>
      </c>
      <c r="AG852">
        <v>-1.071217825762</v>
      </c>
      <c r="AH852">
        <v>38.164491822426399</v>
      </c>
      <c r="AI852">
        <v>91.592911944042598</v>
      </c>
      <c r="AJ852">
        <v>82.199622120180805</v>
      </c>
      <c r="AK852">
        <v>38.535819795728003</v>
      </c>
      <c r="AL852">
        <v>79.180938621418605</v>
      </c>
      <c r="AM852">
        <v>87.708304205026494</v>
      </c>
      <c r="AN852">
        <v>1.0000000251382599</v>
      </c>
    </row>
    <row r="853" spans="1:40" x14ac:dyDescent="0.25">
      <c r="A853" t="str">
        <f>"20190303162757799"</f>
        <v>20190303162757799</v>
      </c>
      <c r="B853" t="str">
        <f>"1551601677792529"</f>
        <v>1551601677792529</v>
      </c>
      <c r="C853" t="s">
        <v>40</v>
      </c>
      <c r="D853">
        <v>4.5128120000000003</v>
      </c>
      <c r="E853">
        <v>0.53903159999999894</v>
      </c>
      <c r="F853" t="s">
        <v>41</v>
      </c>
      <c r="G853">
        <v>-245.7201</v>
      </c>
      <c r="H853" s="1">
        <v>-3.2888830000000001E-6</v>
      </c>
      <c r="I853">
        <v>363.3734</v>
      </c>
      <c r="J853">
        <v>-287.25450000000001</v>
      </c>
      <c r="K853">
        <v>1.071218</v>
      </c>
      <c r="L853">
        <v>368.66079999999999</v>
      </c>
      <c r="M853">
        <v>0.99983160000000004</v>
      </c>
      <c r="N853">
        <v>-1.504049E-2</v>
      </c>
      <c r="O853">
        <v>1.052114E-2</v>
      </c>
      <c r="P853">
        <v>0.98442770000000002</v>
      </c>
      <c r="Q853">
        <v>0.17327419999999999</v>
      </c>
      <c r="R853">
        <v>-2.963791E-2</v>
      </c>
      <c r="S853">
        <v>3.0496219999999998</v>
      </c>
      <c r="T853">
        <v>-7.8262929999999994E-2</v>
      </c>
      <c r="U853">
        <v>-0.38613890000000001</v>
      </c>
      <c r="V853">
        <v>4.0001679999999998E-2</v>
      </c>
      <c r="W853">
        <v>0.18805379999999999</v>
      </c>
      <c r="X853">
        <v>0.98134379999999999</v>
      </c>
      <c r="Y853">
        <v>0.13597690000000001</v>
      </c>
      <c r="Z853">
        <v>-2.8758870000000001E-3</v>
      </c>
      <c r="AA853">
        <v>0.99070780000000003</v>
      </c>
      <c r="AB853">
        <v>40</v>
      </c>
      <c r="AC853">
        <v>41.534399999999998</v>
      </c>
      <c r="AD853">
        <v>-1.0712212888829999</v>
      </c>
      <c r="AE853">
        <v>-5.2873999999999901</v>
      </c>
      <c r="AF853">
        <v>5.7204014808721197</v>
      </c>
      <c r="AG853">
        <v>-1.0712212888829999</v>
      </c>
      <c r="AH853">
        <v>41.4493330509017</v>
      </c>
      <c r="AI853">
        <v>91.466534881665794</v>
      </c>
      <c r="AJ853">
        <v>82.142275273948599</v>
      </c>
      <c r="AK853">
        <v>41.855916171034799</v>
      </c>
      <c r="AL853">
        <v>79.160772179302398</v>
      </c>
      <c r="AM853">
        <v>87.665793256736606</v>
      </c>
      <c r="AN853">
        <v>1.0000000099478501</v>
      </c>
    </row>
    <row r="854" spans="1:40" x14ac:dyDescent="0.25">
      <c r="A854" t="str">
        <f>"20190303162757810"</f>
        <v>20190303162757810</v>
      </c>
      <c r="B854" t="str">
        <f>"1551601677802288"</f>
        <v>1551601677802288</v>
      </c>
      <c r="C854" t="s">
        <v>40</v>
      </c>
      <c r="D854">
        <v>4.5561989999999897</v>
      </c>
      <c r="E854">
        <v>0.53903610000000002</v>
      </c>
      <c r="F854" t="s">
        <v>41</v>
      </c>
      <c r="G854">
        <v>-243.66319999999999</v>
      </c>
      <c r="H854" s="1">
        <v>-4.147664E-6</v>
      </c>
      <c r="I854">
        <v>363.11439999999999</v>
      </c>
      <c r="J854">
        <v>-287.06450000000001</v>
      </c>
      <c r="K854">
        <v>1.0712170000000001</v>
      </c>
      <c r="L854">
        <v>368.6628</v>
      </c>
      <c r="M854">
        <v>0.99983160000000004</v>
      </c>
      <c r="N854">
        <v>-1.5038050000000001E-2</v>
      </c>
      <c r="O854">
        <v>1.0521340000000001E-2</v>
      </c>
      <c r="P854">
        <v>0.98443449999999999</v>
      </c>
      <c r="Q854">
        <v>0.17315720000000001</v>
      </c>
      <c r="R854">
        <v>-3.0091670000000001E-2</v>
      </c>
      <c r="S854">
        <v>3.04895</v>
      </c>
      <c r="T854">
        <v>-7.4925660000000005E-2</v>
      </c>
      <c r="U854">
        <v>-0.38793949999999999</v>
      </c>
      <c r="V854">
        <v>4.0455640000000001E-2</v>
      </c>
      <c r="W854">
        <v>0.18793480000000001</v>
      </c>
      <c r="X854">
        <v>0.981348</v>
      </c>
      <c r="Y854">
        <v>0.1365846</v>
      </c>
      <c r="Z854">
        <v>-2.8026129999999998E-3</v>
      </c>
      <c r="AA854">
        <v>0.99062439999999996</v>
      </c>
      <c r="AB854">
        <v>40</v>
      </c>
      <c r="AC854">
        <v>43.401299999999999</v>
      </c>
      <c r="AD854">
        <v>-1.0712211476639999</v>
      </c>
      <c r="AE854">
        <v>-5.5484000000000098</v>
      </c>
      <c r="AF854">
        <v>6.0011872047599004</v>
      </c>
      <c r="AG854">
        <v>-1.0712211476639999</v>
      </c>
      <c r="AH854">
        <v>43.314551465785399</v>
      </c>
      <c r="AI854">
        <v>91.403305666024096</v>
      </c>
      <c r="AJ854">
        <v>82.111944590646203</v>
      </c>
      <c r="AK854">
        <v>43.7414235170273</v>
      </c>
      <c r="AL854">
        <v>79.167714288944097</v>
      </c>
      <c r="AM854">
        <v>87.639343349390401</v>
      </c>
      <c r="AN854">
        <v>1.0000000224814201</v>
      </c>
    </row>
    <row r="855" spans="1:40" x14ac:dyDescent="0.25">
      <c r="A855" t="str">
        <f>"20190303162757824"</f>
        <v>20190303162757824</v>
      </c>
      <c r="B855" t="str">
        <f>"1551601677813025"</f>
        <v>1551601677813025</v>
      </c>
      <c r="C855" t="s">
        <v>40</v>
      </c>
      <c r="D855">
        <v>4.5451449999999998</v>
      </c>
      <c r="E855">
        <v>0.53902569999999905</v>
      </c>
      <c r="F855" t="s">
        <v>41</v>
      </c>
      <c r="G855">
        <v>-243.77269999999999</v>
      </c>
      <c r="H855" s="1">
        <v>-4.0982419999999999E-6</v>
      </c>
      <c r="I855">
        <v>363.14210000000003</v>
      </c>
      <c r="J855">
        <v>-286.80329999999998</v>
      </c>
      <c r="K855">
        <v>1.0712170000000001</v>
      </c>
      <c r="L855">
        <v>368.66550000000001</v>
      </c>
      <c r="M855">
        <v>0.99983169999999999</v>
      </c>
      <c r="N855">
        <v>-1.503469E-2</v>
      </c>
      <c r="O855">
        <v>1.052119E-2</v>
      </c>
      <c r="P855">
        <v>0.98452709999999999</v>
      </c>
      <c r="Q855">
        <v>0.17257819999999999</v>
      </c>
      <c r="R855">
        <v>-3.0390159999999999E-2</v>
      </c>
      <c r="S855">
        <v>3.0487980000000001</v>
      </c>
      <c r="T855">
        <v>-7.5440170000000001E-2</v>
      </c>
      <c r="U855">
        <v>-0.38879390000000003</v>
      </c>
      <c r="V855">
        <v>4.0754850000000002E-2</v>
      </c>
      <c r="W855">
        <v>0.18735360000000001</v>
      </c>
      <c r="X855">
        <v>0.98144670000000001</v>
      </c>
      <c r="Y855">
        <v>0.13686300000000001</v>
      </c>
      <c r="Z855">
        <v>-2.8212749999999998E-3</v>
      </c>
      <c r="AA855">
        <v>0.99058599999999997</v>
      </c>
      <c r="AB855">
        <v>39</v>
      </c>
      <c r="AC855">
        <v>43.0305999999999</v>
      </c>
      <c r="AD855">
        <v>-1.0712210982420001</v>
      </c>
      <c r="AE855">
        <v>-5.5233999999999801</v>
      </c>
      <c r="AF855">
        <v>5.9722372835134303</v>
      </c>
      <c r="AG855">
        <v>-1.0712210982420001</v>
      </c>
      <c r="AH855">
        <v>42.943916142249897</v>
      </c>
      <c r="AI855">
        <v>91.415311675005498</v>
      </c>
      <c r="AJ855">
        <v>82.082621865544894</v>
      </c>
      <c r="AK855">
        <v>43.370440007503902</v>
      </c>
      <c r="AL855">
        <v>79.201616307806205</v>
      </c>
      <c r="AM855">
        <v>87.622142779814794</v>
      </c>
      <c r="AN855">
        <v>0.99999997708618604</v>
      </c>
    </row>
    <row r="856" spans="1:40" x14ac:dyDescent="0.25">
      <c r="A856" t="str">
        <f>"20190303162757836"</f>
        <v>20190303162757836</v>
      </c>
      <c r="B856" t="str">
        <f>"1551601677821809"</f>
        <v>1551601677821809</v>
      </c>
      <c r="C856" t="s">
        <v>40</v>
      </c>
      <c r="D856">
        <v>4.5366080000000002</v>
      </c>
      <c r="E856">
        <v>0.53895909999999903</v>
      </c>
      <c r="F856" t="s">
        <v>41</v>
      </c>
      <c r="G856">
        <v>-243.50149999999999</v>
      </c>
      <c r="H856" s="1">
        <v>-4.2049750000000003E-6</v>
      </c>
      <c r="I856">
        <v>363.13229999999999</v>
      </c>
      <c r="J856">
        <v>-286.59969999999998</v>
      </c>
      <c r="K856">
        <v>1.0712159999999999</v>
      </c>
      <c r="L856">
        <v>368.66759999999999</v>
      </c>
      <c r="M856">
        <v>0.99983169999999999</v>
      </c>
      <c r="N856">
        <v>-1.50321E-2</v>
      </c>
      <c r="O856">
        <v>1.052138E-2</v>
      </c>
      <c r="P856">
        <v>0.98463060000000002</v>
      </c>
      <c r="Q856">
        <v>0.1718942</v>
      </c>
      <c r="R856">
        <v>-3.090768E-2</v>
      </c>
      <c r="S856">
        <v>3.04834</v>
      </c>
      <c r="T856">
        <v>-7.5411439999999996E-2</v>
      </c>
      <c r="U856">
        <v>-0.38952639999999999</v>
      </c>
      <c r="V856">
        <v>4.1273499999999998E-2</v>
      </c>
      <c r="W856">
        <v>0.18666830000000001</v>
      </c>
      <c r="X856">
        <v>0.98155559999999997</v>
      </c>
      <c r="Y856">
        <v>0.13711590000000001</v>
      </c>
      <c r="Z856">
        <v>-2.8256900000000001E-3</v>
      </c>
      <c r="AA856">
        <v>0.99055099999999996</v>
      </c>
      <c r="AB856">
        <v>39</v>
      </c>
      <c r="AC856">
        <v>43.098199999999899</v>
      </c>
      <c r="AD856">
        <v>-1.0712202049749999</v>
      </c>
      <c r="AE856">
        <v>-5.5353000000000003</v>
      </c>
      <c r="AF856">
        <v>5.9848599316874296</v>
      </c>
      <c r="AG856">
        <v>-1.0712202049749999</v>
      </c>
      <c r="AH856">
        <v>43.011427621319399</v>
      </c>
      <c r="AI856">
        <v>91.413075408305502</v>
      </c>
      <c r="AJ856">
        <v>82.078395898935398</v>
      </c>
      <c r="AK856">
        <v>43.439025854103399</v>
      </c>
      <c r="AL856">
        <v>79.241586251849299</v>
      </c>
      <c r="AM856">
        <v>87.592184201696597</v>
      </c>
      <c r="AN856">
        <v>0.99999997595924905</v>
      </c>
    </row>
    <row r="857" spans="1:40" x14ac:dyDescent="0.25">
      <c r="A857" t="str">
        <f>"20190303162757848"</f>
        <v>20190303162757848</v>
      </c>
      <c r="B857" t="str">
        <f>"1551601677842306"</f>
        <v>1551601677842306</v>
      </c>
      <c r="C857" t="s">
        <v>40</v>
      </c>
      <c r="D857">
        <v>4.503806</v>
      </c>
      <c r="E857">
        <v>0.53904560000000001</v>
      </c>
      <c r="F857" t="s">
        <v>41</v>
      </c>
      <c r="G857">
        <v>-244.7046</v>
      </c>
      <c r="H857" s="1">
        <v>-3.6979880000000001E-6</v>
      </c>
      <c r="I857">
        <v>363.3014</v>
      </c>
      <c r="J857">
        <v>-286.39010000000002</v>
      </c>
      <c r="K857">
        <v>1.0712140000000001</v>
      </c>
      <c r="L857">
        <v>368.66980000000001</v>
      </c>
      <c r="M857">
        <v>0.99983169999999999</v>
      </c>
      <c r="N857">
        <v>-1.502946E-2</v>
      </c>
      <c r="O857">
        <v>1.052141E-2</v>
      </c>
      <c r="P857">
        <v>0.98471500000000001</v>
      </c>
      <c r="Q857">
        <v>0.17134079999999999</v>
      </c>
      <c r="R857">
        <v>-3.1281349999999999E-2</v>
      </c>
      <c r="S857">
        <v>3.0482179999999999</v>
      </c>
      <c r="T857">
        <v>-7.7940110000000007E-2</v>
      </c>
      <c r="U857">
        <v>-0.39044190000000001</v>
      </c>
      <c r="V857">
        <v>4.1648280000000003E-2</v>
      </c>
      <c r="W857">
        <v>0.18611359999999999</v>
      </c>
      <c r="X857">
        <v>0.98164510000000005</v>
      </c>
      <c r="Y857">
        <v>0.1374097</v>
      </c>
      <c r="Z857">
        <v>-2.896877E-3</v>
      </c>
      <c r="AA857">
        <v>0.99051</v>
      </c>
      <c r="AB857">
        <v>39</v>
      </c>
      <c r="AC857">
        <v>41.685499999999998</v>
      </c>
      <c r="AD857">
        <v>-1.0712176979879999</v>
      </c>
      <c r="AE857">
        <v>-5.3684000000000003</v>
      </c>
      <c r="AF857">
        <v>5.8029729873735798</v>
      </c>
      <c r="AG857">
        <v>-1.0712176979879999</v>
      </c>
      <c r="AH857">
        <v>41.599679721237898</v>
      </c>
      <c r="AI857">
        <v>91.460936577797298</v>
      </c>
      <c r="AJ857">
        <v>82.058735054484401</v>
      </c>
      <c r="AK857">
        <v>42.016132089451602</v>
      </c>
      <c r="AL857">
        <v>79.273935124209203</v>
      </c>
      <c r="AM857">
        <v>87.570567602946895</v>
      </c>
      <c r="AN857">
        <v>0.99999997684296305</v>
      </c>
    </row>
    <row r="858" spans="1:40" x14ac:dyDescent="0.25">
      <c r="A858" t="str">
        <f>"20190303162757859"</f>
        <v>20190303162757859</v>
      </c>
      <c r="B858" t="str">
        <f>"1551601677852065"</f>
        <v>1551601677852065</v>
      </c>
      <c r="C858" t="s">
        <v>40</v>
      </c>
      <c r="D858">
        <v>4.4925059999999997</v>
      </c>
      <c r="E858">
        <v>0.53897220000000001</v>
      </c>
      <c r="F858" t="s">
        <v>41</v>
      </c>
      <c r="G858">
        <v>-245.6395</v>
      </c>
      <c r="H858" s="1">
        <v>-3.3057570000000001E-6</v>
      </c>
      <c r="I858">
        <v>363.42619999999999</v>
      </c>
      <c r="J858">
        <v>-286.18439999999998</v>
      </c>
      <c r="K858">
        <v>1.0712140000000001</v>
      </c>
      <c r="L858">
        <v>368.67200000000003</v>
      </c>
      <c r="M858">
        <v>0.99983169999999999</v>
      </c>
      <c r="N858">
        <v>-1.5026889999999999E-2</v>
      </c>
      <c r="O858">
        <v>1.052142E-2</v>
      </c>
      <c r="P858">
        <v>0.98478109999999996</v>
      </c>
      <c r="Q858">
        <v>0.1709165</v>
      </c>
      <c r="R858">
        <v>-3.1520119999999999E-2</v>
      </c>
      <c r="S858">
        <v>3.0480649999999998</v>
      </c>
      <c r="T858">
        <v>-8.0124970000000004E-2</v>
      </c>
      <c r="U858">
        <v>-0.3922119</v>
      </c>
      <c r="V858">
        <v>4.188766E-2</v>
      </c>
      <c r="W858">
        <v>0.1856882</v>
      </c>
      <c r="X858">
        <v>0.98171549999999996</v>
      </c>
      <c r="Y858">
        <v>0.1379782</v>
      </c>
      <c r="Z858">
        <v>-2.9650700000000002E-3</v>
      </c>
      <c r="AA858">
        <v>0.99043079999999994</v>
      </c>
      <c r="AB858">
        <v>39</v>
      </c>
      <c r="AC858">
        <v>40.544899999999899</v>
      </c>
      <c r="AD858">
        <v>-1.07121730575699</v>
      </c>
      <c r="AE858">
        <v>-5.2457999999999698</v>
      </c>
      <c r="AF858">
        <v>5.6682561303638996</v>
      </c>
      <c r="AG858">
        <v>-1.07121730575699</v>
      </c>
      <c r="AH858">
        <v>40.4596781297398</v>
      </c>
      <c r="AI858">
        <v>91.501957447230794</v>
      </c>
      <c r="AJ858">
        <v>82.024971319016601</v>
      </c>
      <c r="AK858">
        <v>40.868841290617802</v>
      </c>
      <c r="AL858">
        <v>79.298741442544397</v>
      </c>
      <c r="AM858">
        <v>87.556795940731604</v>
      </c>
      <c r="AN858">
        <v>1.0000000033098799</v>
      </c>
    </row>
    <row r="859" spans="1:40" x14ac:dyDescent="0.25">
      <c r="A859" t="str">
        <f>"20190303162757871"</f>
        <v>20190303162757871</v>
      </c>
      <c r="B859" t="str">
        <f>"1551601677862800"</f>
        <v>1551601677862800</v>
      </c>
      <c r="C859" t="s">
        <v>40</v>
      </c>
      <c r="D859">
        <v>4.489128</v>
      </c>
      <c r="E859">
        <v>0.538933</v>
      </c>
      <c r="F859" t="s">
        <v>41</v>
      </c>
      <c r="G859">
        <v>-245.791</v>
      </c>
      <c r="H859" s="1">
        <v>-3.235623E-6</v>
      </c>
      <c r="I859">
        <v>363.47109999999998</v>
      </c>
      <c r="J859">
        <v>-285.98450000000003</v>
      </c>
      <c r="K859">
        <v>1.071215</v>
      </c>
      <c r="L859">
        <v>368.67410000000001</v>
      </c>
      <c r="M859">
        <v>0.99983180000000005</v>
      </c>
      <c r="N859">
        <v>-1.502442E-2</v>
      </c>
      <c r="O859">
        <v>1.0521269999999999E-2</v>
      </c>
      <c r="P859">
        <v>0.98473379999999999</v>
      </c>
      <c r="Q859">
        <v>0.17109199999999999</v>
      </c>
      <c r="R859">
        <v>-3.2047880000000001E-2</v>
      </c>
      <c r="S859">
        <v>3.0478209999999999</v>
      </c>
      <c r="T859">
        <v>-8.0826999999999996E-2</v>
      </c>
      <c r="U859">
        <v>-0.39242549999999998</v>
      </c>
      <c r="V859">
        <v>4.24147E-2</v>
      </c>
      <c r="W859">
        <v>0.18586059999999999</v>
      </c>
      <c r="X859">
        <v>0.98166019999999998</v>
      </c>
      <c r="Y859">
        <v>0.13805529999999999</v>
      </c>
      <c r="Z859">
        <v>-2.9849170000000001E-3</v>
      </c>
      <c r="AA859">
        <v>0.99041999999999997</v>
      </c>
      <c r="AB859">
        <v>39</v>
      </c>
      <c r="AC859">
        <v>40.1935</v>
      </c>
      <c r="AD859">
        <v>-1.071218235623</v>
      </c>
      <c r="AE859">
        <v>-5.2030000000000296</v>
      </c>
      <c r="AF859">
        <v>5.62171902018832</v>
      </c>
      <c r="AG859">
        <v>-1.071218235623</v>
      </c>
      <c r="AH859">
        <v>40.108506731033202</v>
      </c>
      <c r="AI859">
        <v>91.515089291832794</v>
      </c>
      <c r="AJ859">
        <v>82.021243590294702</v>
      </c>
      <c r="AK859">
        <v>40.514732449364899</v>
      </c>
      <c r="AL859">
        <v>79.288688173525898</v>
      </c>
      <c r="AM859">
        <v>87.5259537619105</v>
      </c>
      <c r="AN859">
        <v>0.99999995883624404</v>
      </c>
    </row>
    <row r="860" spans="1:40" x14ac:dyDescent="0.25">
      <c r="A860" t="str">
        <f>"20190303162757886"</f>
        <v>20190303162757886</v>
      </c>
      <c r="B860" t="str">
        <f>"1551601677872561"</f>
        <v>1551601677872561</v>
      </c>
      <c r="C860" t="s">
        <v>40</v>
      </c>
      <c r="D860">
        <v>4.4396250000000004</v>
      </c>
      <c r="E860">
        <v>0.53890509999999903</v>
      </c>
      <c r="F860" t="s">
        <v>41</v>
      </c>
      <c r="G860">
        <v>-244.57660000000001</v>
      </c>
      <c r="H860" s="1">
        <v>-3.7423339999999998E-6</v>
      </c>
      <c r="I860">
        <v>363.31939999999997</v>
      </c>
      <c r="J860">
        <v>-285.73090000000002</v>
      </c>
      <c r="K860">
        <v>1.0712140000000001</v>
      </c>
      <c r="L860">
        <v>368.67680000000001</v>
      </c>
      <c r="M860">
        <v>0.9998319</v>
      </c>
      <c r="N860">
        <v>-1.502128E-2</v>
      </c>
      <c r="O860">
        <v>1.0521290000000001E-2</v>
      </c>
      <c r="P860">
        <v>0.98466039999999999</v>
      </c>
      <c r="Q860">
        <v>0.17143359999999999</v>
      </c>
      <c r="R860">
        <v>-3.2472899999999999E-2</v>
      </c>
      <c r="S860">
        <v>3.0473629999999998</v>
      </c>
      <c r="T860">
        <v>-7.8835130000000003E-2</v>
      </c>
      <c r="U860">
        <v>-0.39407350000000002</v>
      </c>
      <c r="V860">
        <v>4.2839019999999998E-2</v>
      </c>
      <c r="W860">
        <v>0.18619749999999999</v>
      </c>
      <c r="X860">
        <v>0.98157799999999995</v>
      </c>
      <c r="Y860">
        <v>0.1386037</v>
      </c>
      <c r="Z860">
        <v>-2.9444499999999999E-3</v>
      </c>
      <c r="AA860">
        <v>0.99034359999999999</v>
      </c>
      <c r="AB860">
        <v>39</v>
      </c>
      <c r="AC860">
        <v>41.154299999999999</v>
      </c>
      <c r="AD860">
        <v>-1.0712177423339999</v>
      </c>
      <c r="AE860">
        <v>-5.3574000000000401</v>
      </c>
      <c r="AF860">
        <v>5.7862935200625296</v>
      </c>
      <c r="AG860">
        <v>-1.0712177423339999</v>
      </c>
      <c r="AH860">
        <v>41.068287365528199</v>
      </c>
      <c r="AI860">
        <v>91.479547233773502</v>
      </c>
      <c r="AJ860">
        <v>81.980133066117304</v>
      </c>
      <c r="AK860">
        <v>41.487744302256402</v>
      </c>
      <c r="AL860">
        <v>79.269043067401995</v>
      </c>
      <c r="AM860">
        <v>87.501025436686902</v>
      </c>
      <c r="AN860">
        <v>1.0000000303623999</v>
      </c>
    </row>
    <row r="861" spans="1:40" x14ac:dyDescent="0.25">
      <c r="A861" t="str">
        <f>"20190303162757900"</f>
        <v>20190303162757900</v>
      </c>
      <c r="B861" t="str">
        <f>"1551601677892586"</f>
        <v>1551601677892586</v>
      </c>
      <c r="C861" t="s">
        <v>40</v>
      </c>
      <c r="D861">
        <v>4.4801199999999897</v>
      </c>
      <c r="E861">
        <v>0.53892629999999997</v>
      </c>
      <c r="F861" t="s">
        <v>41</v>
      </c>
      <c r="G861">
        <v>-243.39879999999999</v>
      </c>
      <c r="H861" s="1">
        <v>-4.2425420000000004E-6</v>
      </c>
      <c r="I861">
        <v>363.18049999999999</v>
      </c>
      <c r="J861">
        <v>-285.47609999999997</v>
      </c>
      <c r="K861">
        <v>1.0712189999999999</v>
      </c>
      <c r="L861">
        <v>368.67950000000002</v>
      </c>
      <c r="M861">
        <v>0.9998319</v>
      </c>
      <c r="N861">
        <v>-1.5018139999999999E-2</v>
      </c>
      <c r="O861">
        <v>1.0521310000000001E-2</v>
      </c>
      <c r="P861">
        <v>0.98449710000000001</v>
      </c>
      <c r="Q861">
        <v>0.17222000000000001</v>
      </c>
      <c r="R861">
        <v>-3.3256010000000003E-2</v>
      </c>
      <c r="S861">
        <v>3.0471189999999999</v>
      </c>
      <c r="T861">
        <v>-7.7107670000000003E-2</v>
      </c>
      <c r="U861">
        <v>-0.39562989999999998</v>
      </c>
      <c r="V861">
        <v>4.3620470000000001E-2</v>
      </c>
      <c r="W861">
        <v>0.18697839999999999</v>
      </c>
      <c r="X861">
        <v>0.98139509999999996</v>
      </c>
      <c r="Y861">
        <v>0.1391136</v>
      </c>
      <c r="Z861">
        <v>-2.9096180000000001E-3</v>
      </c>
      <c r="AA861">
        <v>0.99027220000000005</v>
      </c>
      <c r="AB861">
        <v>39</v>
      </c>
      <c r="AC861">
        <v>42.077299999999902</v>
      </c>
      <c r="AD861">
        <v>-1.0712232425420001</v>
      </c>
      <c r="AE861">
        <v>-5.4990000000000201</v>
      </c>
      <c r="AF861">
        <v>5.9376700177725104</v>
      </c>
      <c r="AG861">
        <v>-1.0712232425420001</v>
      </c>
      <c r="AH861">
        <v>41.990348944543101</v>
      </c>
      <c r="AI861">
        <v>91.446977093097303</v>
      </c>
      <c r="AJ861">
        <v>81.951418718336001</v>
      </c>
      <c r="AK861">
        <v>42.421608278798303</v>
      </c>
      <c r="AL861">
        <v>79.223500717482494</v>
      </c>
      <c r="AM861">
        <v>87.455026063602403</v>
      </c>
      <c r="AN861">
        <v>1.0000000048867901</v>
      </c>
    </row>
    <row r="862" spans="1:40" x14ac:dyDescent="0.25">
      <c r="A862" t="str">
        <f>"20190303162757914"</f>
        <v>20190303162757914</v>
      </c>
      <c r="B862" t="str">
        <f>"1551601677902346"</f>
        <v>1551601677902346</v>
      </c>
      <c r="C862" t="s">
        <v>40</v>
      </c>
      <c r="D862">
        <v>4.4937699999999996</v>
      </c>
      <c r="E862">
        <v>0.53895000000000004</v>
      </c>
      <c r="F862" t="s">
        <v>41</v>
      </c>
      <c r="G862">
        <v>-240.5249</v>
      </c>
      <c r="H862" s="1">
        <v>-5.6676620000000002E-6</v>
      </c>
      <c r="I862">
        <v>362.80500000000001</v>
      </c>
      <c r="J862">
        <v>-285.25220000000002</v>
      </c>
      <c r="K862">
        <v>1.0712170000000001</v>
      </c>
      <c r="L862">
        <v>368.68180000000001</v>
      </c>
      <c r="M862">
        <v>0.99983200000000005</v>
      </c>
      <c r="N862">
        <v>-1.501542E-2</v>
      </c>
      <c r="O862">
        <v>1.052116E-2</v>
      </c>
      <c r="P862">
        <v>0.98435030000000001</v>
      </c>
      <c r="Q862">
        <v>0.17292199999999999</v>
      </c>
      <c r="R862">
        <v>-3.395492E-2</v>
      </c>
      <c r="S862">
        <v>3.0465089999999999</v>
      </c>
      <c r="T862">
        <v>-7.260084E-2</v>
      </c>
      <c r="U862">
        <v>-0.39813229999999999</v>
      </c>
      <c r="V862">
        <v>4.4317670000000003E-2</v>
      </c>
      <c r="W862">
        <v>0.18767529999999999</v>
      </c>
      <c r="X862">
        <v>0.98123079999999996</v>
      </c>
      <c r="Y862">
        <v>0.13994489999999901</v>
      </c>
      <c r="Z862">
        <v>-2.808007E-3</v>
      </c>
      <c r="AA862">
        <v>0.99015529999999996</v>
      </c>
      <c r="AB862">
        <v>39</v>
      </c>
      <c r="AC862">
        <v>44.7273</v>
      </c>
      <c r="AD862">
        <v>-1.071222667662</v>
      </c>
      <c r="AE862">
        <v>-5.8768000000000002</v>
      </c>
      <c r="AF862">
        <v>6.3435338051906403</v>
      </c>
      <c r="AG862">
        <v>-1.071222667662</v>
      </c>
      <c r="AH862">
        <v>44.637816098981602</v>
      </c>
      <c r="AI862">
        <v>91.361056095802397</v>
      </c>
      <c r="AJ862">
        <v>81.911786358787296</v>
      </c>
      <c r="AK862">
        <v>45.099030646210203</v>
      </c>
      <c r="AL862">
        <v>79.182851415486496</v>
      </c>
      <c r="AM862">
        <v>87.413971344184304</v>
      </c>
      <c r="AN862">
        <v>0.99999997848647904</v>
      </c>
    </row>
    <row r="863" spans="1:40" x14ac:dyDescent="0.25">
      <c r="A863" t="str">
        <f>"20190303162757928"</f>
        <v>20190303162757928</v>
      </c>
      <c r="B863" t="str">
        <f>"1551601677921866"</f>
        <v>1551601677921866</v>
      </c>
      <c r="C863" t="s">
        <v>40</v>
      </c>
      <c r="D863">
        <v>4.5108110000000003</v>
      </c>
      <c r="E863">
        <v>0.53894809999999904</v>
      </c>
      <c r="F863" t="s">
        <v>41</v>
      </c>
      <c r="G863">
        <v>-238.7577</v>
      </c>
      <c r="H863" s="1">
        <v>-2.2844410000000002E-6</v>
      </c>
      <c r="I863">
        <v>362.56720000000001</v>
      </c>
      <c r="J863">
        <v>-284.98880000000003</v>
      </c>
      <c r="K863">
        <v>1.071218</v>
      </c>
      <c r="L863">
        <v>368.68459999999999</v>
      </c>
      <c r="M863">
        <v>0.9998319</v>
      </c>
      <c r="N863">
        <v>-1.501224E-2</v>
      </c>
      <c r="O863">
        <v>1.052136E-2</v>
      </c>
      <c r="P863">
        <v>0.98428210000000005</v>
      </c>
      <c r="Q863">
        <v>0.17323139999999901</v>
      </c>
      <c r="R863">
        <v>-3.4346509999999997E-2</v>
      </c>
      <c r="S863">
        <v>3.0461429999999998</v>
      </c>
      <c r="T863">
        <v>-7.0182090000000003E-2</v>
      </c>
      <c r="U863">
        <v>-0.40060420000000002</v>
      </c>
      <c r="V863">
        <v>4.4708520000000002E-2</v>
      </c>
      <c r="W863">
        <v>0.18798019999999999</v>
      </c>
      <c r="X863">
        <v>0.98115469999999905</v>
      </c>
      <c r="Y863">
        <v>0.1407534</v>
      </c>
      <c r="Z863">
        <v>-2.7597500000000001E-3</v>
      </c>
      <c r="AA863">
        <v>0.99004080000000005</v>
      </c>
      <c r="AB863">
        <v>39</v>
      </c>
      <c r="AC863">
        <v>46.231099999999998</v>
      </c>
      <c r="AD863">
        <v>-1.0712202844409999</v>
      </c>
      <c r="AE863">
        <v>-6.1173999999999698</v>
      </c>
      <c r="AF863">
        <v>6.6000476572519799</v>
      </c>
      <c r="AG863">
        <v>-1.0712202844409999</v>
      </c>
      <c r="AH863">
        <v>46.139823908366999</v>
      </c>
      <c r="AI863">
        <v>91.316590381531796</v>
      </c>
      <c r="AJ863">
        <v>81.859378310871406</v>
      </c>
      <c r="AK863">
        <v>46.621792031955501</v>
      </c>
      <c r="AL863">
        <v>79.165065352101493</v>
      </c>
      <c r="AM863">
        <v>87.390993737729204</v>
      </c>
      <c r="AN863">
        <v>0.99999997634235904</v>
      </c>
    </row>
    <row r="864" spans="1:40" x14ac:dyDescent="0.25">
      <c r="A864" t="str">
        <f>"20190303162757941"</f>
        <v>20190303162757941</v>
      </c>
      <c r="B864" t="str">
        <f>"1551601677932603"</f>
        <v>1551601677932603</v>
      </c>
      <c r="C864" t="s">
        <v>40</v>
      </c>
      <c r="D864">
        <v>4.5200559999999896</v>
      </c>
      <c r="E864">
        <v>0.53891140000000004</v>
      </c>
      <c r="F864" t="s">
        <v>41</v>
      </c>
      <c r="G864">
        <v>-237.00630000000001</v>
      </c>
      <c r="H864" s="1">
        <v>-2.937214E-6</v>
      </c>
      <c r="I864">
        <v>362.35390000000001</v>
      </c>
      <c r="J864">
        <v>-284.74299999999999</v>
      </c>
      <c r="K864">
        <v>1.0712269999999999</v>
      </c>
      <c r="L864">
        <v>368.68720000000002</v>
      </c>
      <c r="M864">
        <v>0.9998321</v>
      </c>
      <c r="N864">
        <v>-1.500929E-2</v>
      </c>
      <c r="O864">
        <v>1.052138E-2</v>
      </c>
      <c r="P864">
        <v>0.98416919999999997</v>
      </c>
      <c r="Q864">
        <v>0.1737206</v>
      </c>
      <c r="R864">
        <v>-3.510663E-2</v>
      </c>
      <c r="S864">
        <v>3.0458069999999999</v>
      </c>
      <c r="T864">
        <v>-6.7998290000000003E-2</v>
      </c>
      <c r="U864">
        <v>-0.40185549999999998</v>
      </c>
      <c r="V864">
        <v>4.5467630000000002E-2</v>
      </c>
      <c r="W864">
        <v>0.18846450000000001</v>
      </c>
      <c r="X864">
        <v>0.98102690000000004</v>
      </c>
      <c r="Y864">
        <v>0.1411702</v>
      </c>
      <c r="Z864">
        <v>-2.7097890000000002E-3</v>
      </c>
      <c r="AA864">
        <v>0.98998169999999996</v>
      </c>
      <c r="AB864">
        <v>39</v>
      </c>
      <c r="AC864">
        <v>47.7366999999999</v>
      </c>
      <c r="AD864">
        <v>-1.0712299372139999</v>
      </c>
      <c r="AE864">
        <v>-6.3333000000000004</v>
      </c>
      <c r="AF864">
        <v>6.8318810291803</v>
      </c>
      <c r="AG864">
        <v>-1.0712299372139999</v>
      </c>
      <c r="AH864">
        <v>47.643837510323102</v>
      </c>
      <c r="AI864">
        <v>91.274991208892402</v>
      </c>
      <c r="AJ864">
        <v>81.839707625323697</v>
      </c>
      <c r="AK864">
        <v>48.143092803488699</v>
      </c>
      <c r="AL864">
        <v>79.136812011834905</v>
      </c>
      <c r="AM864">
        <v>87.3464128116849</v>
      </c>
      <c r="AN864">
        <v>0.99999997583083799</v>
      </c>
    </row>
    <row r="865" spans="1:40" x14ac:dyDescent="0.25">
      <c r="A865" t="str">
        <f>"20190303162757954"</f>
        <v>20190303162757954</v>
      </c>
      <c r="B865" t="str">
        <f>"1551601677942363"</f>
        <v>1551601677942363</v>
      </c>
      <c r="C865" t="s">
        <v>40</v>
      </c>
      <c r="D865">
        <v>4.5078659999999999</v>
      </c>
      <c r="E865">
        <v>0.53895749999999998</v>
      </c>
      <c r="F865" t="s">
        <v>41</v>
      </c>
      <c r="G865">
        <v>-235.44120000000001</v>
      </c>
      <c r="H865" s="1">
        <v>-3.5264199999999999E-6</v>
      </c>
      <c r="I865">
        <v>362.14109999999999</v>
      </c>
      <c r="J865">
        <v>-284.53809999999999</v>
      </c>
      <c r="K865">
        <v>1.071231</v>
      </c>
      <c r="L865">
        <v>368.6893</v>
      </c>
      <c r="M865">
        <v>0.99983200000000005</v>
      </c>
      <c r="N865">
        <v>-1.5006759999999999E-2</v>
      </c>
      <c r="O865">
        <v>1.05214E-2</v>
      </c>
      <c r="P865">
        <v>0.98411459999999995</v>
      </c>
      <c r="Q865">
        <v>0.1739772</v>
      </c>
      <c r="R865">
        <v>-3.536255E-2</v>
      </c>
      <c r="S865">
        <v>3.045471</v>
      </c>
      <c r="T865">
        <v>-6.6171999999999995E-2</v>
      </c>
      <c r="U865">
        <v>-0.40435789999999999</v>
      </c>
      <c r="V865">
        <v>4.5722840000000001E-2</v>
      </c>
      <c r="W865">
        <v>0.18871789999999999</v>
      </c>
      <c r="X865">
        <v>0.98096629999999996</v>
      </c>
      <c r="Y865">
        <v>0.1419859</v>
      </c>
      <c r="Z865">
        <v>-2.6763569999999999E-3</v>
      </c>
      <c r="AA865">
        <v>0.98986510000000005</v>
      </c>
      <c r="AB865">
        <v>39</v>
      </c>
      <c r="AC865">
        <v>49.096899999999899</v>
      </c>
      <c r="AD865">
        <v>-1.0712345264200001</v>
      </c>
      <c r="AE865">
        <v>-6.5481999999999996</v>
      </c>
      <c r="AF865">
        <v>7.0611610037433001</v>
      </c>
      <c r="AG865">
        <v>-1.0712345264200001</v>
      </c>
      <c r="AH865">
        <v>49.002357499986701</v>
      </c>
      <c r="AI865">
        <v>91.239537618507399</v>
      </c>
      <c r="AJ865">
        <v>81.800213723067301</v>
      </c>
      <c r="AK865">
        <v>49.520082579574499</v>
      </c>
      <c r="AL865">
        <v>79.122027717842101</v>
      </c>
      <c r="AM865">
        <v>87.331375076634401</v>
      </c>
      <c r="AN865">
        <v>0.99999995280688103</v>
      </c>
    </row>
    <row r="866" spans="1:40" x14ac:dyDescent="0.25">
      <c r="A866" t="str">
        <f>"20190303162757965"</f>
        <v>20190303162757965</v>
      </c>
      <c r="B866" t="str">
        <f>"1551601677952124"</f>
        <v>1551601677952124</v>
      </c>
      <c r="C866" t="s">
        <v>40</v>
      </c>
      <c r="D866">
        <v>4.5300799999999999</v>
      </c>
      <c r="E866">
        <v>0.53897079999999997</v>
      </c>
      <c r="F866" t="s">
        <v>41</v>
      </c>
      <c r="G866">
        <v>-234.87739999999999</v>
      </c>
      <c r="H866" s="1">
        <v>-3.7363370000000001E-6</v>
      </c>
      <c r="I866">
        <v>362.07330000000002</v>
      </c>
      <c r="J866">
        <v>-284.3313</v>
      </c>
      <c r="K866">
        <v>1.071242</v>
      </c>
      <c r="L866">
        <v>368.69150000000002</v>
      </c>
      <c r="M866">
        <v>0.99983219999999995</v>
      </c>
      <c r="N866">
        <v>-1.500423E-2</v>
      </c>
      <c r="O866">
        <v>1.0521239999999999E-2</v>
      </c>
      <c r="P866">
        <v>0.98392500000000005</v>
      </c>
      <c r="Q866">
        <v>0.17506529999999901</v>
      </c>
      <c r="R866">
        <v>-3.5272310000000001E-2</v>
      </c>
      <c r="S866">
        <v>3.045471</v>
      </c>
      <c r="T866">
        <v>-6.5693970000000004E-2</v>
      </c>
      <c r="U866">
        <v>-0.40573120000000001</v>
      </c>
      <c r="V866">
        <v>4.5630530000000002E-2</v>
      </c>
      <c r="W866">
        <v>0.18980040000000001</v>
      </c>
      <c r="X866">
        <v>0.98076180000000002</v>
      </c>
      <c r="Y866">
        <v>0.14242479999999999</v>
      </c>
      <c r="Z866">
        <v>-2.6714690000000001E-3</v>
      </c>
      <c r="AA866">
        <v>0.98980199999999996</v>
      </c>
      <c r="AB866">
        <v>39</v>
      </c>
      <c r="AC866">
        <v>49.453899999999997</v>
      </c>
      <c r="AD866">
        <v>-1.071245736337</v>
      </c>
      <c r="AE866">
        <v>-6.6181999999999999</v>
      </c>
      <c r="AF866">
        <v>7.1349195167546204</v>
      </c>
      <c r="AG866">
        <v>-1.071245736337</v>
      </c>
      <c r="AH866">
        <v>49.358769950991899</v>
      </c>
      <c r="AI866">
        <v>91.230523804318594</v>
      </c>
      <c r="AJ866">
        <v>81.774742255143096</v>
      </c>
      <c r="AK866">
        <v>49.883291942424201</v>
      </c>
      <c r="AL866">
        <v>79.058864247973304</v>
      </c>
      <c r="AM866">
        <v>87.336200490662307</v>
      </c>
      <c r="AN866">
        <v>1.00000002272374</v>
      </c>
    </row>
    <row r="867" spans="1:40" x14ac:dyDescent="0.25">
      <c r="A867" t="str">
        <f>"20190303162757978"</f>
        <v>20190303162757978</v>
      </c>
      <c r="B867" t="str">
        <f>"1551601677972619"</f>
        <v>1551601677972619</v>
      </c>
      <c r="C867" t="s">
        <v>40</v>
      </c>
      <c r="D867">
        <v>4.5756739999999896</v>
      </c>
      <c r="E867">
        <v>0.53896650000000002</v>
      </c>
      <c r="F867" t="s">
        <v>41</v>
      </c>
      <c r="G867">
        <v>-231.73670000000001</v>
      </c>
      <c r="H867" s="1">
        <v>-4.9349440000000003E-6</v>
      </c>
      <c r="I867">
        <v>361.68040000000002</v>
      </c>
      <c r="J867">
        <v>-284.11279999999999</v>
      </c>
      <c r="K867">
        <v>1.0712440000000001</v>
      </c>
      <c r="L867">
        <v>368.69380000000001</v>
      </c>
      <c r="M867">
        <v>0.99983219999999995</v>
      </c>
      <c r="N867">
        <v>-1.500165E-2</v>
      </c>
      <c r="O867">
        <v>1.0521259999999999E-2</v>
      </c>
      <c r="P867">
        <v>0.98372349999999997</v>
      </c>
      <c r="Q867">
        <v>0.17619189999999901</v>
      </c>
      <c r="R867">
        <v>-3.5283580000000002E-2</v>
      </c>
      <c r="S867">
        <v>3.0455019999999999</v>
      </c>
      <c r="T867">
        <v>-6.2030670000000003E-2</v>
      </c>
      <c r="U867">
        <v>-0.40597529999999998</v>
      </c>
      <c r="V867">
        <v>4.5639590000000001E-2</v>
      </c>
      <c r="W867">
        <v>0.19092149999999999</v>
      </c>
      <c r="X867">
        <v>0.98054370000000002</v>
      </c>
      <c r="Y867">
        <v>0.142506299999999</v>
      </c>
      <c r="Z867">
        <v>-2.5748619999999998E-3</v>
      </c>
      <c r="AA867">
        <v>0.98979059999999996</v>
      </c>
      <c r="AB867">
        <v>39</v>
      </c>
      <c r="AC867">
        <v>52.376099999999902</v>
      </c>
      <c r="AD867">
        <v>-1.071248934944</v>
      </c>
      <c r="AE867">
        <v>-7.0133999999999901</v>
      </c>
      <c r="AF867">
        <v>7.5610289996370099</v>
      </c>
      <c r="AG867">
        <v>-1.071248934944</v>
      </c>
      <c r="AH867">
        <v>52.277918251510798</v>
      </c>
      <c r="AI867">
        <v>91.161822378236593</v>
      </c>
      <c r="AJ867">
        <v>81.7702976590178</v>
      </c>
      <c r="AK867">
        <v>52.832731053066098</v>
      </c>
      <c r="AL867">
        <v>78.993432897986494</v>
      </c>
      <c r="AM867">
        <v>87.335080586086505</v>
      </c>
      <c r="AN867">
        <v>0.99999996947365299</v>
      </c>
    </row>
    <row r="868" spans="1:40" x14ac:dyDescent="0.25">
      <c r="A868" t="str">
        <f>"20190303162757989"</f>
        <v>20190303162757989</v>
      </c>
      <c r="B868" t="str">
        <f>"1551601677982379"</f>
        <v>1551601677982379</v>
      </c>
      <c r="C868" t="s">
        <v>40</v>
      </c>
      <c r="D868">
        <v>4.5995330000000001</v>
      </c>
      <c r="E868">
        <v>0.53914949999999995</v>
      </c>
      <c r="F868" t="s">
        <v>41</v>
      </c>
      <c r="G868">
        <v>-227.51859999999999</v>
      </c>
      <c r="H868" s="1">
        <v>-3.085212E-6</v>
      </c>
      <c r="I868">
        <v>361.14240000000001</v>
      </c>
      <c r="J868">
        <v>-283.91579999999999</v>
      </c>
      <c r="K868">
        <v>1.0712489999999999</v>
      </c>
      <c r="L868">
        <v>368.69589999999999</v>
      </c>
      <c r="M868">
        <v>0.99983219999999995</v>
      </c>
      <c r="N868">
        <v>-1.499933E-2</v>
      </c>
      <c r="O868">
        <v>1.052116E-2</v>
      </c>
      <c r="P868">
        <v>0.98357589999999995</v>
      </c>
      <c r="Q868">
        <v>0.17703550000000001</v>
      </c>
      <c r="R868">
        <v>-3.5173509999999998E-2</v>
      </c>
      <c r="S868">
        <v>3.0453489999999999</v>
      </c>
      <c r="T868">
        <v>-5.7644010000000002E-2</v>
      </c>
      <c r="U868">
        <v>-0.40634160000000002</v>
      </c>
      <c r="V868">
        <v>4.5528150000000003E-2</v>
      </c>
      <c r="W868">
        <v>0.19176070000000001</v>
      </c>
      <c r="X868">
        <v>0.98038510000000001</v>
      </c>
      <c r="Y868">
        <v>0.14263529999999999</v>
      </c>
      <c r="Z868">
        <v>-2.4597220000000001E-3</v>
      </c>
      <c r="AA868">
        <v>0.98977230000000005</v>
      </c>
      <c r="AB868">
        <v>39</v>
      </c>
      <c r="AC868">
        <v>56.397199999999998</v>
      </c>
      <c r="AD868">
        <v>-1.071252085212</v>
      </c>
      <c r="AE868">
        <v>-7.5534999999999801</v>
      </c>
      <c r="AF868">
        <v>8.1436260667364095</v>
      </c>
      <c r="AG868">
        <v>-1.071252085212</v>
      </c>
      <c r="AH868">
        <v>56.294643992088197</v>
      </c>
      <c r="AI868">
        <v>91.078943263206398</v>
      </c>
      <c r="AJ868">
        <v>81.768650377022496</v>
      </c>
      <c r="AK868">
        <v>56.890712499852299</v>
      </c>
      <c r="AL868">
        <v>78.944445069436398</v>
      </c>
      <c r="AM868">
        <v>87.341148835243303</v>
      </c>
      <c r="AN868">
        <v>0.99999996140446001</v>
      </c>
    </row>
    <row r="869" spans="1:40" x14ac:dyDescent="0.25">
      <c r="A869" t="str">
        <f>"20190303162758000"</f>
        <v>20190303162758000</v>
      </c>
      <c r="B869" t="str">
        <f>"1551601677992139"</f>
        <v>1551601677992139</v>
      </c>
      <c r="C869" t="s">
        <v>40</v>
      </c>
      <c r="D869">
        <v>4.6356489999999999</v>
      </c>
      <c r="E869">
        <v>0.53914949999999995</v>
      </c>
      <c r="F869" t="s">
        <v>41</v>
      </c>
      <c r="G869">
        <v>-224.2415</v>
      </c>
      <c r="H869" s="1">
        <v>-4.317002E-6</v>
      </c>
      <c r="I869">
        <v>360.70420000000001</v>
      </c>
      <c r="J869">
        <v>-283.71129999999999</v>
      </c>
      <c r="K869">
        <v>1.071251</v>
      </c>
      <c r="L869">
        <v>368.69799999999998</v>
      </c>
      <c r="M869">
        <v>0.99983219999999995</v>
      </c>
      <c r="N869">
        <v>-1.499694E-2</v>
      </c>
      <c r="O869">
        <v>1.0521300000000001E-2</v>
      </c>
      <c r="P869">
        <v>0.98352399999999995</v>
      </c>
      <c r="Q869">
        <v>0.17729139999999999</v>
      </c>
      <c r="R869">
        <v>-3.5333530000000002E-2</v>
      </c>
      <c r="S869">
        <v>3.0453489999999999</v>
      </c>
      <c r="T869">
        <v>-5.4669019999999999E-2</v>
      </c>
      <c r="U869">
        <v>-0.4078369</v>
      </c>
      <c r="V869">
        <v>4.5687650000000003E-2</v>
      </c>
      <c r="W869">
        <v>0.19201289999999999</v>
      </c>
      <c r="X869">
        <v>0.98032839999999999</v>
      </c>
      <c r="Y869">
        <v>0.143116299999999</v>
      </c>
      <c r="Z869">
        <v>-2.3878990000000002E-3</v>
      </c>
      <c r="AA869">
        <v>0.989703</v>
      </c>
      <c r="AB869">
        <v>39</v>
      </c>
      <c r="AC869">
        <v>59.4697999999999</v>
      </c>
      <c r="AD869">
        <v>-1.0712553170020001</v>
      </c>
      <c r="AE869">
        <v>-7.9938000000000198</v>
      </c>
      <c r="AF869">
        <v>8.6163811544282396</v>
      </c>
      <c r="AG869">
        <v>-1.0712553170020001</v>
      </c>
      <c r="AH869">
        <v>59.363472331073297</v>
      </c>
      <c r="AI869">
        <v>91.023111474751602</v>
      </c>
      <c r="AJ869">
        <v>81.741409994317905</v>
      </c>
      <c r="AK869">
        <v>59.995095294154602</v>
      </c>
      <c r="AL869">
        <v>78.929722385611498</v>
      </c>
      <c r="AM869">
        <v>87.331693350424501</v>
      </c>
      <c r="AN869">
        <v>1.0000000434877401</v>
      </c>
    </row>
    <row r="870" spans="1:40" x14ac:dyDescent="0.25">
      <c r="A870" t="str">
        <f>"20190303162758014"</f>
        <v>20190303162758014</v>
      </c>
      <c r="B870" t="str">
        <f>"1551601678002875"</f>
        <v>1551601678002875</v>
      </c>
      <c r="C870" t="s">
        <v>40</v>
      </c>
      <c r="D870">
        <v>4.6066770000000004</v>
      </c>
      <c r="E870">
        <v>0.55350659999999996</v>
      </c>
      <c r="F870" t="s">
        <v>41</v>
      </c>
      <c r="G870">
        <v>-223.15450000000001</v>
      </c>
      <c r="H870" s="1">
        <v>-4.7189309999999996E-6</v>
      </c>
      <c r="I870">
        <v>360.58390000000003</v>
      </c>
      <c r="J870">
        <v>-283.49810000000002</v>
      </c>
      <c r="K870">
        <v>1.071256</v>
      </c>
      <c r="L870">
        <v>368.70030000000003</v>
      </c>
      <c r="M870">
        <v>0.99983230000000001</v>
      </c>
      <c r="N870">
        <v>-1.4994459999999999E-2</v>
      </c>
      <c r="O870">
        <v>1.0521320000000001E-2</v>
      </c>
      <c r="P870">
        <v>0.98353000000000002</v>
      </c>
      <c r="Q870">
        <v>0.17722789999999999</v>
      </c>
      <c r="R870">
        <v>-3.5487560000000001E-2</v>
      </c>
      <c r="S870">
        <v>3.0453489999999999</v>
      </c>
      <c r="T870">
        <v>-5.3872469999999999E-2</v>
      </c>
      <c r="U870">
        <v>-0.40805049999999998</v>
      </c>
      <c r="V870">
        <v>4.5841750000000001E-2</v>
      </c>
      <c r="W870">
        <v>0.19194700000000001</v>
      </c>
      <c r="X870">
        <v>0.98033409999999999</v>
      </c>
      <c r="Y870">
        <v>0.14318549999999999</v>
      </c>
      <c r="Z870">
        <v>-2.3675039999999999E-3</v>
      </c>
      <c r="AA870">
        <v>0.98969300000000004</v>
      </c>
      <c r="AB870">
        <v>39</v>
      </c>
      <c r="AC870">
        <v>60.343600000000002</v>
      </c>
      <c r="AD870">
        <v>-1.0712607189309999</v>
      </c>
      <c r="AE870">
        <v>-8.1163999999999898</v>
      </c>
      <c r="AF870">
        <v>8.7482082376123493</v>
      </c>
      <c r="AG870">
        <v>-1.0712607189309999</v>
      </c>
      <c r="AH870">
        <v>60.236207789002201</v>
      </c>
      <c r="AI870">
        <v>91.008283974572706</v>
      </c>
      <c r="AJ870">
        <v>81.7366098509479</v>
      </c>
      <c r="AK870">
        <v>60.877577774550197</v>
      </c>
      <c r="AL870">
        <v>78.933569616511306</v>
      </c>
      <c r="AM870">
        <v>87.322722028700696</v>
      </c>
      <c r="AN870">
        <v>1.0000000322374301</v>
      </c>
    </row>
    <row r="871" spans="1:40" x14ac:dyDescent="0.25">
      <c r="A871" t="str">
        <f>"20190303162758027"</f>
        <v>20190303162758027</v>
      </c>
      <c r="B871" t="str">
        <f>"1551601678022395"</f>
        <v>1551601678022395</v>
      </c>
      <c r="C871" t="s">
        <v>40</v>
      </c>
      <c r="D871">
        <v>4.6839899999999997</v>
      </c>
      <c r="E871">
        <v>0.55441719999999906</v>
      </c>
      <c r="F871" t="s">
        <v>41</v>
      </c>
      <c r="G871">
        <v>-244.9597</v>
      </c>
      <c r="H871" s="1">
        <v>-3.9215620000000001E-6</v>
      </c>
      <c r="I871">
        <v>362.09300000000002</v>
      </c>
      <c r="J871">
        <v>-283.27260000000001</v>
      </c>
      <c r="K871">
        <v>1.071256</v>
      </c>
      <c r="L871">
        <v>368.70260000000002</v>
      </c>
      <c r="M871">
        <v>0.99983230000000001</v>
      </c>
      <c r="N871">
        <v>-1.4991849999999999E-2</v>
      </c>
      <c r="O871">
        <v>1.052122E-2</v>
      </c>
      <c r="P871">
        <v>0.98357030000000001</v>
      </c>
      <c r="Q871">
        <v>0.17694219999999999</v>
      </c>
      <c r="R871">
        <v>-3.5793949999999998E-2</v>
      </c>
      <c r="S871">
        <v>3.0466310000000001</v>
      </c>
      <c r="T871">
        <v>-8.4687830000000006E-2</v>
      </c>
      <c r="U871">
        <v>-0.52233890000000005</v>
      </c>
      <c r="V871">
        <v>4.6148410000000001E-2</v>
      </c>
      <c r="W871">
        <v>0.19165960000000001</v>
      </c>
      <c r="X871">
        <v>0.98037589999999997</v>
      </c>
      <c r="Y871">
        <v>0.17923889999999901</v>
      </c>
      <c r="Z871">
        <v>-3.9602170000000003E-3</v>
      </c>
      <c r="AA871">
        <v>0.98379760000000005</v>
      </c>
      <c r="AB871">
        <v>39</v>
      </c>
      <c r="AC871">
        <v>38.312899999999999</v>
      </c>
      <c r="AD871">
        <v>-1.071259921562</v>
      </c>
      <c r="AE871">
        <v>-6.6096000000000004</v>
      </c>
      <c r="AF871">
        <v>7.0070579799713304</v>
      </c>
      <c r="AG871">
        <v>-1.071259921562</v>
      </c>
      <c r="AH871">
        <v>38.2122188908425</v>
      </c>
      <c r="AI871">
        <v>91.579514501043207</v>
      </c>
      <c r="AJ871">
        <v>79.608988682495493</v>
      </c>
      <c r="AK871">
        <v>38.864123969490002</v>
      </c>
      <c r="AL871">
        <v>78.950347485664906</v>
      </c>
      <c r="AM871">
        <v>87.304953347011207</v>
      </c>
      <c r="AN871">
        <v>0.99999999165924902</v>
      </c>
    </row>
    <row r="872" spans="1:40" x14ac:dyDescent="0.25">
      <c r="A872" t="str">
        <f>"20190303162758038"</f>
        <v>20190303162758038</v>
      </c>
      <c r="B872" t="str">
        <f>"1551601678032155"</f>
        <v>1551601678032155</v>
      </c>
      <c r="C872" t="s">
        <v>40</v>
      </c>
      <c r="D872">
        <v>4.6656209999999998</v>
      </c>
      <c r="E872">
        <v>0.55388090000000001</v>
      </c>
      <c r="F872" t="s">
        <v>41</v>
      </c>
      <c r="G872">
        <v>-256.07060000000001</v>
      </c>
      <c r="H872" s="1">
        <v>-2.8227340000000002E-6</v>
      </c>
      <c r="I872">
        <v>363.98079999999999</v>
      </c>
      <c r="J872">
        <v>-283.05160000000001</v>
      </c>
      <c r="K872">
        <v>1.0712539999999999</v>
      </c>
      <c r="L872">
        <v>368.70499999999998</v>
      </c>
      <c r="M872">
        <v>0.99983250000000001</v>
      </c>
      <c r="N872">
        <v>-1.4989300000000001E-2</v>
      </c>
      <c r="O872">
        <v>1.0521229999999999E-2</v>
      </c>
      <c r="P872">
        <v>0.98356460000000001</v>
      </c>
      <c r="Q872">
        <v>0.1769076</v>
      </c>
      <c r="R872">
        <v>-3.612013E-2</v>
      </c>
      <c r="S872">
        <v>3.0524290000000001</v>
      </c>
      <c r="T872">
        <v>-0.1202091</v>
      </c>
      <c r="U872">
        <v>-0.52984619999999905</v>
      </c>
      <c r="V872">
        <v>4.647453E-2</v>
      </c>
      <c r="W872">
        <v>0.1916226</v>
      </c>
      <c r="X872">
        <v>0.98036769999999995</v>
      </c>
      <c r="Y872">
        <v>0.18118960000000001</v>
      </c>
      <c r="Z872">
        <v>-5.1634799999999998E-3</v>
      </c>
      <c r="AA872">
        <v>0.98343460000000005</v>
      </c>
      <c r="AB872">
        <v>39</v>
      </c>
      <c r="AC872">
        <v>26.980999999999899</v>
      </c>
      <c r="AD872">
        <v>-1.071256822734</v>
      </c>
      <c r="AE872">
        <v>-4.72419999999999</v>
      </c>
      <c r="AF872">
        <v>5.0001956780056496</v>
      </c>
      <c r="AG872">
        <v>-1.071256822734</v>
      </c>
      <c r="AH872">
        <v>26.888669408351898</v>
      </c>
      <c r="AI872">
        <v>92.243069639019893</v>
      </c>
      <c r="AJ872">
        <v>79.4656511069646</v>
      </c>
      <c r="AK872">
        <v>27.370606324125099</v>
      </c>
      <c r="AL872">
        <v>78.952507166202594</v>
      </c>
      <c r="AM872">
        <v>87.285913794177105</v>
      </c>
      <c r="AN872">
        <v>0.99999996498638399</v>
      </c>
    </row>
    <row r="873" spans="1:40" x14ac:dyDescent="0.25">
      <c r="A873" t="str">
        <f>"20190303162758056"</f>
        <v>20190303162758056</v>
      </c>
      <c r="B873" t="str">
        <f>"1551601678041915"</f>
        <v>1551601678041915</v>
      </c>
      <c r="C873" t="s">
        <v>40</v>
      </c>
      <c r="D873">
        <v>4.6492930000000001</v>
      </c>
      <c r="E873">
        <v>0.55442040000000004</v>
      </c>
      <c r="F873" t="s">
        <v>41</v>
      </c>
      <c r="G873">
        <v>-258.85160000000002</v>
      </c>
      <c r="H873" s="1">
        <v>-1.7287789999999999E-6</v>
      </c>
      <c r="I873">
        <v>364.53550000000001</v>
      </c>
      <c r="J873">
        <v>-282.78859999999997</v>
      </c>
      <c r="K873">
        <v>1.071253</v>
      </c>
      <c r="L873">
        <v>368.70769999999999</v>
      </c>
      <c r="M873">
        <v>0.99983230000000001</v>
      </c>
      <c r="N873">
        <v>-1.4986279999999999E-2</v>
      </c>
      <c r="O873">
        <v>1.052138E-2</v>
      </c>
      <c r="P873">
        <v>0.98372669999999995</v>
      </c>
      <c r="Q873">
        <v>0.17594189999999901</v>
      </c>
      <c r="R873">
        <v>-3.6416370000000003E-2</v>
      </c>
      <c r="S873">
        <v>3.0551149999999998</v>
      </c>
      <c r="T873">
        <v>-0.1352392</v>
      </c>
      <c r="U873">
        <v>-0.52636719999999904</v>
      </c>
      <c r="V873">
        <v>4.6772670000000002E-2</v>
      </c>
      <c r="W873">
        <v>0.19065660000000001</v>
      </c>
      <c r="X873">
        <v>0.98054189999999997</v>
      </c>
      <c r="Y873">
        <v>0.179914299999999</v>
      </c>
      <c r="Z873">
        <v>-5.6157639999999997E-3</v>
      </c>
      <c r="AA873">
        <v>0.98366620000000005</v>
      </c>
      <c r="AB873">
        <v>39</v>
      </c>
      <c r="AC873">
        <v>23.936999999999902</v>
      </c>
      <c r="AD873">
        <v>-1.071254728779</v>
      </c>
      <c r="AE873">
        <v>-4.1721999999999699</v>
      </c>
      <c r="AF873">
        <v>4.4152652484986596</v>
      </c>
      <c r="AG873">
        <v>-1.071254728779</v>
      </c>
      <c r="AH873">
        <v>23.845422116756701</v>
      </c>
      <c r="AI873">
        <v>92.5293446922893</v>
      </c>
      <c r="AJ873">
        <v>79.5098092226945</v>
      </c>
      <c r="AK873">
        <v>24.2743961785837</v>
      </c>
      <c r="AL873">
        <v>79.008895124068502</v>
      </c>
      <c r="AM873">
        <v>87.269013401896999</v>
      </c>
      <c r="AN873">
        <v>1.00000001971904</v>
      </c>
    </row>
    <row r="874" spans="1:40" x14ac:dyDescent="0.25">
      <c r="A874" t="str">
        <f>"20190303162758068"</f>
        <v>20190303162758068</v>
      </c>
      <c r="B874" t="str">
        <f>"1551601678062411"</f>
        <v>1551601678062411</v>
      </c>
      <c r="C874" t="s">
        <v>40</v>
      </c>
      <c r="D874">
        <v>4.6448669999999996</v>
      </c>
      <c r="E874">
        <v>0.5544289</v>
      </c>
      <c r="F874" t="s">
        <v>41</v>
      </c>
      <c r="G874">
        <v>-259.48360000000002</v>
      </c>
      <c r="H874" s="1">
        <v>-1.4825119999999999E-6</v>
      </c>
      <c r="I874">
        <v>364.65260000000001</v>
      </c>
      <c r="J874">
        <v>-282.54050000000001</v>
      </c>
      <c r="K874">
        <v>1.0712489999999999</v>
      </c>
      <c r="L874">
        <v>368.71030000000002</v>
      </c>
      <c r="M874">
        <v>0.99983250000000001</v>
      </c>
      <c r="N874">
        <v>-1.4983430000000001E-2</v>
      </c>
      <c r="O874">
        <v>1.0521279999999999E-2</v>
      </c>
      <c r="P874">
        <v>0.98375760000000001</v>
      </c>
      <c r="Q874">
        <v>0.1757253</v>
      </c>
      <c r="R874">
        <v>-3.6632860000000003E-2</v>
      </c>
      <c r="S874">
        <v>3.0550540000000002</v>
      </c>
      <c r="T874">
        <v>-0.14043059999999999</v>
      </c>
      <c r="U874">
        <v>-0.53158570000000005</v>
      </c>
      <c r="V874">
        <v>4.6989290000000003E-2</v>
      </c>
      <c r="W874">
        <v>0.19043750000000001</v>
      </c>
      <c r="X874">
        <v>0.9805741</v>
      </c>
      <c r="Y874">
        <v>0.18153030000000001</v>
      </c>
      <c r="Z874">
        <v>-5.8335289999999996E-3</v>
      </c>
      <c r="AA874">
        <v>0.98336800000000002</v>
      </c>
      <c r="AB874">
        <v>39</v>
      </c>
      <c r="AC874">
        <v>23.056899999999899</v>
      </c>
      <c r="AD874">
        <v>-1.0712504825119999</v>
      </c>
      <c r="AE874">
        <v>-4.0577000000000103</v>
      </c>
      <c r="AF874">
        <v>4.29110597703969</v>
      </c>
      <c r="AG874">
        <v>-1.0712504825119999</v>
      </c>
      <c r="AH874">
        <v>22.964842901684001</v>
      </c>
      <c r="AI874">
        <v>92.625389541960203</v>
      </c>
      <c r="AJ874">
        <v>79.416024840183994</v>
      </c>
      <c r="AK874">
        <v>23.386859079438</v>
      </c>
      <c r="AL874">
        <v>79.021682709320999</v>
      </c>
      <c r="AM874">
        <v>87.256474520714207</v>
      </c>
      <c r="AN874">
        <v>1.00000000018588</v>
      </c>
    </row>
    <row r="875" spans="1:40" x14ac:dyDescent="0.25">
      <c r="A875" t="str">
        <f>"20190303162758079"</f>
        <v>20190303162758079</v>
      </c>
      <c r="B875" t="str">
        <f>"1551601678072171"</f>
        <v>1551601678072171</v>
      </c>
      <c r="C875" t="s">
        <v>40</v>
      </c>
      <c r="D875">
        <v>4.7402480000000002</v>
      </c>
      <c r="E875">
        <v>0.55408590000000002</v>
      </c>
      <c r="F875" t="s">
        <v>41</v>
      </c>
      <c r="G875">
        <v>-260.44209999999998</v>
      </c>
      <c r="H875" s="1">
        <v>-4.9259149999999999E-6</v>
      </c>
      <c r="I875">
        <v>364.8621</v>
      </c>
      <c r="J875">
        <v>-282.33150000000001</v>
      </c>
      <c r="K875">
        <v>1.0712429999999999</v>
      </c>
      <c r="L875">
        <v>368.71260000000001</v>
      </c>
      <c r="M875">
        <v>0.99983239999999995</v>
      </c>
      <c r="N875">
        <v>-1.4981019999999999E-2</v>
      </c>
      <c r="O875">
        <v>1.052142E-2</v>
      </c>
      <c r="P875">
        <v>0.98383580000000004</v>
      </c>
      <c r="Q875">
        <v>0.17530079999999901</v>
      </c>
      <c r="R875">
        <v>-3.656438E-2</v>
      </c>
      <c r="S875">
        <v>3.0561829999999999</v>
      </c>
      <c r="T875">
        <v>-0.14815309999999901</v>
      </c>
      <c r="U875">
        <v>-0.532196</v>
      </c>
      <c r="V875">
        <v>4.6921860000000003E-2</v>
      </c>
      <c r="W875">
        <v>0.1900115</v>
      </c>
      <c r="X875">
        <v>0.98065999999999998</v>
      </c>
      <c r="Y875">
        <v>0.1816344</v>
      </c>
      <c r="Z875">
        <v>-6.0886019999999898E-3</v>
      </c>
      <c r="AA875">
        <v>0.98334730000000004</v>
      </c>
      <c r="AB875">
        <v>39</v>
      </c>
      <c r="AC875">
        <v>21.889399999999998</v>
      </c>
      <c r="AD875">
        <v>-1.0712479259149901</v>
      </c>
      <c r="AE875">
        <v>-3.85050000000001</v>
      </c>
      <c r="AF875">
        <v>4.07116231855652</v>
      </c>
      <c r="AG875">
        <v>-1.0712479259149901</v>
      </c>
      <c r="AH875">
        <v>21.797033031979399</v>
      </c>
      <c r="AI875">
        <v>92.765869007414295</v>
      </c>
      <c r="AJ875">
        <v>79.420424110500605</v>
      </c>
      <c r="AK875">
        <v>22.199832966489002</v>
      </c>
      <c r="AL875">
        <v>79.046545043394005</v>
      </c>
      <c r="AM875">
        <v>87.260645105777598</v>
      </c>
      <c r="AN875">
        <v>1.00000003333905</v>
      </c>
    </row>
    <row r="876" spans="1:40" x14ac:dyDescent="0.25">
      <c r="A876" t="str">
        <f>"20190303162758093"</f>
        <v>20190303162758093</v>
      </c>
      <c r="B876" t="str">
        <f>"1551601678081930"</f>
        <v>1551601678081930</v>
      </c>
      <c r="C876" t="s">
        <v>40</v>
      </c>
      <c r="D876">
        <v>4.7455220000000002</v>
      </c>
      <c r="E876">
        <v>0.55389080000000002</v>
      </c>
      <c r="F876" t="s">
        <v>41</v>
      </c>
      <c r="G876">
        <v>-261.1293</v>
      </c>
      <c r="H876" s="1">
        <v>-4.5989299999999997E-6</v>
      </c>
      <c r="I876">
        <v>365.04360000000003</v>
      </c>
      <c r="J876">
        <v>-282.11610000000002</v>
      </c>
      <c r="K876">
        <v>1.0712410000000001</v>
      </c>
      <c r="L876">
        <v>368.71480000000003</v>
      </c>
      <c r="M876">
        <v>0.99983250000000001</v>
      </c>
      <c r="N876">
        <v>-1.497856E-2</v>
      </c>
      <c r="O876">
        <v>1.0521320000000001E-2</v>
      </c>
      <c r="P876">
        <v>0.98398039999999998</v>
      </c>
      <c r="Q876">
        <v>0.174516899999999</v>
      </c>
      <c r="R876">
        <v>-3.641979E-2</v>
      </c>
      <c r="S876">
        <v>3.0571899999999999</v>
      </c>
      <c r="T876">
        <v>-0.1544654</v>
      </c>
      <c r="U876">
        <v>-0.5290222</v>
      </c>
      <c r="V876">
        <v>4.6778680000000003E-2</v>
      </c>
      <c r="W876">
        <v>0.1892278</v>
      </c>
      <c r="X876">
        <v>0.98081830000000003</v>
      </c>
      <c r="Y876">
        <v>0.1805688</v>
      </c>
      <c r="Z876">
        <v>-6.2597669999999899E-3</v>
      </c>
      <c r="AA876">
        <v>0.98354240000000004</v>
      </c>
      <c r="AB876">
        <v>39</v>
      </c>
      <c r="AC876">
        <v>20.986799999999999</v>
      </c>
      <c r="AD876">
        <v>-1.0712455989299901</v>
      </c>
      <c r="AE876">
        <v>-3.67119999999999</v>
      </c>
      <c r="AF876">
        <v>3.88201620247228</v>
      </c>
      <c r="AG876">
        <v>-1.0712455989299901</v>
      </c>
      <c r="AH876">
        <v>20.894185169307299</v>
      </c>
      <c r="AI876">
        <v>92.885688743317303</v>
      </c>
      <c r="AJ876">
        <v>79.474795526648094</v>
      </c>
      <c r="AK876">
        <v>21.278735648971001</v>
      </c>
      <c r="AL876">
        <v>79.092276756194096</v>
      </c>
      <c r="AM876">
        <v>87.269431559024</v>
      </c>
      <c r="AN876">
        <v>0.99999997140513497</v>
      </c>
    </row>
    <row r="877" spans="1:40" x14ac:dyDescent="0.25">
      <c r="A877" t="str">
        <f>"20190303162758107"</f>
        <v>20190303162758107</v>
      </c>
      <c r="B877" t="str">
        <f>"1551601678102426"</f>
        <v>1551601678102426</v>
      </c>
      <c r="C877" t="s">
        <v>40</v>
      </c>
      <c r="D877">
        <v>4.7968869999999999</v>
      </c>
      <c r="E877">
        <v>0.55353999999999903</v>
      </c>
      <c r="F877" t="s">
        <v>41</v>
      </c>
      <c r="G877">
        <v>-261.58460000000002</v>
      </c>
      <c r="H877" s="1">
        <v>-4.3799409999999998E-6</v>
      </c>
      <c r="I877">
        <v>365.17700000000002</v>
      </c>
      <c r="J877">
        <v>-281.87799999999999</v>
      </c>
      <c r="K877">
        <v>1.0712360000000001</v>
      </c>
      <c r="L877">
        <v>368.71730000000002</v>
      </c>
      <c r="M877">
        <v>0.99983250000000001</v>
      </c>
      <c r="N877">
        <v>-1.4975840000000001E-2</v>
      </c>
      <c r="O877">
        <v>1.0521340000000001E-2</v>
      </c>
      <c r="P877">
        <v>0.98404000000000003</v>
      </c>
      <c r="Q877">
        <v>0.17414760000000001</v>
      </c>
      <c r="R877">
        <v>-3.6582700000000003E-2</v>
      </c>
      <c r="S877">
        <v>3.0576479999999999</v>
      </c>
      <c r="T877">
        <v>-0.15953419999999999</v>
      </c>
      <c r="U877">
        <v>-0.52685550000000003</v>
      </c>
      <c r="V877">
        <v>4.6942030000000003E-2</v>
      </c>
      <c r="W877">
        <v>0.188857</v>
      </c>
      <c r="X877">
        <v>0.98088200000000003</v>
      </c>
      <c r="Y877">
        <v>0.17985079999999901</v>
      </c>
      <c r="Z877">
        <v>-6.4006499999999999E-3</v>
      </c>
      <c r="AA877">
        <v>0.98367309999999997</v>
      </c>
      <c r="AB877">
        <v>39</v>
      </c>
      <c r="AC877">
        <v>20.293399999999899</v>
      </c>
      <c r="AD877">
        <v>-1.071240379941</v>
      </c>
      <c r="AE877">
        <v>-3.54030000000005</v>
      </c>
      <c r="AF877">
        <v>3.7435183685589299</v>
      </c>
      <c r="AG877">
        <v>-1.071240379941</v>
      </c>
      <c r="AH877">
        <v>20.200397082338199</v>
      </c>
      <c r="AI877">
        <v>92.984861640723494</v>
      </c>
      <c r="AJ877">
        <v>79.501107660964607</v>
      </c>
      <c r="AK877">
        <v>20.572251408426101</v>
      </c>
      <c r="AL877">
        <v>79.113912558550993</v>
      </c>
      <c r="AM877">
        <v>87.260088662198598</v>
      </c>
      <c r="AN877">
        <v>1.00000000927676</v>
      </c>
    </row>
    <row r="878" spans="1:40" x14ac:dyDescent="0.25">
      <c r="A878" t="str">
        <f>"20190303162758120"</f>
        <v>20190303162758120</v>
      </c>
      <c r="B878" t="str">
        <f>"1551601678112187"</f>
        <v>1551601678112187</v>
      </c>
      <c r="C878" t="s">
        <v>40</v>
      </c>
      <c r="D878">
        <v>4.8296080000000003</v>
      </c>
      <c r="E878">
        <v>0.55340219999999996</v>
      </c>
      <c r="F878" t="s">
        <v>41</v>
      </c>
      <c r="G878">
        <v>-262.29669999999999</v>
      </c>
      <c r="H878" s="1">
        <v>-4.0419119999999997E-6</v>
      </c>
      <c r="I878">
        <v>365.3605</v>
      </c>
      <c r="J878">
        <v>-281.62479999999999</v>
      </c>
      <c r="K878">
        <v>1.0712269999999999</v>
      </c>
      <c r="L878">
        <v>368.72</v>
      </c>
      <c r="M878">
        <v>0.99983259999999996</v>
      </c>
      <c r="N878">
        <v>-1.497295E-2</v>
      </c>
      <c r="O878">
        <v>1.052136E-2</v>
      </c>
      <c r="P878">
        <v>0.98415079999999999</v>
      </c>
      <c r="Q878">
        <v>0.17339540000000001</v>
      </c>
      <c r="R878">
        <v>-3.7167770000000003E-2</v>
      </c>
      <c r="S878">
        <v>3.0587770000000001</v>
      </c>
      <c r="T878">
        <v>-0.16733729999999999</v>
      </c>
      <c r="U878">
        <v>-0.52435299999999996</v>
      </c>
      <c r="V878">
        <v>4.7528309999999997E-2</v>
      </c>
      <c r="W878">
        <v>0.18810299999999999</v>
      </c>
      <c r="X878">
        <v>0.98099860000000005</v>
      </c>
      <c r="Y878">
        <v>0.1789819</v>
      </c>
      <c r="Z878">
        <v>-6.6226119999999999E-3</v>
      </c>
      <c r="AA878">
        <v>0.98383010000000004</v>
      </c>
      <c r="AB878">
        <v>39</v>
      </c>
      <c r="AC878">
        <v>19.328099999999999</v>
      </c>
      <c r="AD878">
        <v>-1.0712310419119999</v>
      </c>
      <c r="AE878">
        <v>-3.3595000000000201</v>
      </c>
      <c r="AF878">
        <v>3.55210344203212</v>
      </c>
      <c r="AG878">
        <v>-1.0712310419119999</v>
      </c>
      <c r="AH878">
        <v>19.234328769641799</v>
      </c>
      <c r="AI878">
        <v>93.134821271108905</v>
      </c>
      <c r="AJ878">
        <v>79.536776933812803</v>
      </c>
      <c r="AK878">
        <v>19.588884042403301</v>
      </c>
      <c r="AL878">
        <v>79.157901524002597</v>
      </c>
      <c r="AM878">
        <v>87.226251016999001</v>
      </c>
      <c r="AN878">
        <v>0.999999966031207</v>
      </c>
    </row>
    <row r="879" spans="1:40" x14ac:dyDescent="0.25">
      <c r="A879" t="str">
        <f>"20190303162758135"</f>
        <v>20190303162758135</v>
      </c>
      <c r="B879" t="str">
        <f>"1551601678122923"</f>
        <v>1551601678122923</v>
      </c>
      <c r="C879" t="s">
        <v>40</v>
      </c>
      <c r="D879">
        <v>4.8356279999999998</v>
      </c>
      <c r="E879">
        <v>0.5532203</v>
      </c>
      <c r="F879" t="s">
        <v>41</v>
      </c>
      <c r="G879">
        <v>-262.42700000000002</v>
      </c>
      <c r="H879" s="1">
        <v>-3.9744490000000003E-6</v>
      </c>
      <c r="I879">
        <v>365.42559999999997</v>
      </c>
      <c r="J879">
        <v>-281.38200000000001</v>
      </c>
      <c r="K879">
        <v>1.0712269999999999</v>
      </c>
      <c r="L879">
        <v>368.7226</v>
      </c>
      <c r="M879">
        <v>0.99983270000000002</v>
      </c>
      <c r="N879">
        <v>-1.497009E-2</v>
      </c>
      <c r="O879">
        <v>1.05212E-2</v>
      </c>
      <c r="P879">
        <v>0.98418709999999998</v>
      </c>
      <c r="Q879">
        <v>0.17318120000000001</v>
      </c>
      <c r="R879">
        <v>-3.7207919999999998E-2</v>
      </c>
      <c r="S879">
        <v>3.0585330000000002</v>
      </c>
      <c r="T879">
        <v>-0.17066509999999999</v>
      </c>
      <c r="U879">
        <v>-0.52484129999999996</v>
      </c>
      <c r="V879">
        <v>4.7568720000000002E-2</v>
      </c>
      <c r="W879">
        <v>0.18788659999999999</v>
      </c>
      <c r="X879">
        <v>0.98103819999999997</v>
      </c>
      <c r="Y879">
        <v>0.17913470000000001</v>
      </c>
      <c r="Z879">
        <v>-6.7359730000000001E-3</v>
      </c>
      <c r="AA879">
        <v>0.9838015</v>
      </c>
      <c r="AB879">
        <v>39</v>
      </c>
      <c r="AC879">
        <v>18.954999999999899</v>
      </c>
      <c r="AD879">
        <v>-1.0712309744490001</v>
      </c>
      <c r="AE879">
        <v>-3.2970000000000201</v>
      </c>
      <c r="AF879">
        <v>3.48546389817521</v>
      </c>
      <c r="AG879">
        <v>-1.0712309744490001</v>
      </c>
      <c r="AH879">
        <v>18.860788219437701</v>
      </c>
      <c r="AI879">
        <v>93.196708293570694</v>
      </c>
      <c r="AJ879">
        <v>79.529890881025807</v>
      </c>
      <c r="AK879">
        <v>19.210031927214001</v>
      </c>
      <c r="AL879">
        <v>79.170526375932397</v>
      </c>
      <c r="AM879">
        <v>87.224008263014795</v>
      </c>
      <c r="AN879">
        <v>1.00000005372061</v>
      </c>
    </row>
    <row r="880" spans="1:40" x14ac:dyDescent="0.25">
      <c r="A880" t="str">
        <f>"20190303162758148"</f>
        <v>20190303162758148</v>
      </c>
      <c r="B880" t="str">
        <f>"1551601678142442"</f>
        <v>1551601678142442</v>
      </c>
      <c r="C880" t="s">
        <v>40</v>
      </c>
      <c r="D880">
        <v>4.7676730000000003</v>
      </c>
      <c r="E880">
        <v>0.55336370000000001</v>
      </c>
      <c r="F880" t="s">
        <v>41</v>
      </c>
      <c r="G880">
        <v>-262.38529999999997</v>
      </c>
      <c r="H880" s="1">
        <v>-3.9842419999999998E-6</v>
      </c>
      <c r="I880">
        <v>365.47140000000002</v>
      </c>
      <c r="J880">
        <v>-281.16919999999999</v>
      </c>
      <c r="K880">
        <v>1.0712699999999999</v>
      </c>
      <c r="L880">
        <v>368.72480000000002</v>
      </c>
      <c r="M880">
        <v>0.99982979999999999</v>
      </c>
      <c r="N880">
        <v>-1.5152880000000001E-2</v>
      </c>
      <c r="O880">
        <v>1.0521300000000001E-2</v>
      </c>
      <c r="P880">
        <v>0.98433199999999998</v>
      </c>
      <c r="Q880">
        <v>0.17230599999999999</v>
      </c>
      <c r="R880">
        <v>-3.7432359999999998E-2</v>
      </c>
      <c r="S880">
        <v>3.058716</v>
      </c>
      <c r="T880">
        <v>-0.17248179999999999</v>
      </c>
      <c r="U880">
        <v>-0.52346800000000004</v>
      </c>
      <c r="V880">
        <v>4.7794740000000002E-2</v>
      </c>
      <c r="W880">
        <v>0.18719340000000001</v>
      </c>
      <c r="X880">
        <v>0.98115969999999997</v>
      </c>
      <c r="Y880">
        <v>0.17868909999999999</v>
      </c>
      <c r="Z880">
        <v>-6.7934450000000004E-3</v>
      </c>
      <c r="AA880">
        <v>0.98388209999999998</v>
      </c>
      <c r="AB880">
        <v>39</v>
      </c>
      <c r="AC880">
        <v>18.783899999999999</v>
      </c>
      <c r="AD880">
        <v>-1.071273984242</v>
      </c>
      <c r="AE880">
        <v>-3.2533999999999899</v>
      </c>
      <c r="AF880">
        <v>3.44001055601843</v>
      </c>
      <c r="AG880">
        <v>-1.071273984242</v>
      </c>
      <c r="AH880">
        <v>18.689606972706201</v>
      </c>
      <c r="AI880">
        <v>93.226479757310003</v>
      </c>
      <c r="AJ880">
        <v>79.570861902029804</v>
      </c>
      <c r="AK880">
        <v>19.033725577749099</v>
      </c>
      <c r="AL880">
        <v>79.210961004068494</v>
      </c>
      <c r="AM880">
        <v>87.211183924030806</v>
      </c>
      <c r="AN880">
        <v>1.00000003153965</v>
      </c>
    </row>
    <row r="881" spans="1:40" x14ac:dyDescent="0.25">
      <c r="A881" t="str">
        <f>"20190303162758159"</f>
        <v>20190303162758159</v>
      </c>
      <c r="B881" t="str">
        <f>"1551601678152203"</f>
        <v>1551601678152203</v>
      </c>
      <c r="C881" t="s">
        <v>40</v>
      </c>
      <c r="D881">
        <v>4.7800789999999997</v>
      </c>
      <c r="E881">
        <v>0.55362730000000004</v>
      </c>
      <c r="F881" t="s">
        <v>41</v>
      </c>
      <c r="G881">
        <v>-262.50470000000001</v>
      </c>
      <c r="H881" s="1">
        <v>-3.9244059999999998E-6</v>
      </c>
      <c r="I881">
        <v>365.52</v>
      </c>
      <c r="J881">
        <v>-280.959</v>
      </c>
      <c r="K881">
        <v>1.0714159999999999</v>
      </c>
      <c r="L881">
        <v>368.72699999999998</v>
      </c>
      <c r="M881">
        <v>0.99982159999999998</v>
      </c>
      <c r="N881">
        <v>-1.5695150000000001E-2</v>
      </c>
      <c r="O881">
        <v>1.052112E-2</v>
      </c>
      <c r="P881">
        <v>0.98450769999999999</v>
      </c>
      <c r="Q881">
        <v>0.17128689999999999</v>
      </c>
      <c r="R881">
        <v>-3.749653E-2</v>
      </c>
      <c r="S881">
        <v>3.0585019999999998</v>
      </c>
      <c r="T881">
        <v>-0.17554629999999999</v>
      </c>
      <c r="U881">
        <v>-0.52514649999999996</v>
      </c>
      <c r="V881">
        <v>4.7860439999999997E-2</v>
      </c>
      <c r="W881">
        <v>0.1867086</v>
      </c>
      <c r="X881">
        <v>0.98124889999999998</v>
      </c>
      <c r="Y881">
        <v>0.1792096</v>
      </c>
      <c r="Z881">
        <v>-6.9549310000000001E-3</v>
      </c>
      <c r="AA881">
        <v>0.9837863</v>
      </c>
      <c r="AB881">
        <v>39</v>
      </c>
      <c r="AC881">
        <v>18.4542999999999</v>
      </c>
      <c r="AD881">
        <v>-1.0714199244060001</v>
      </c>
      <c r="AE881">
        <v>-3.2069999999999901</v>
      </c>
      <c r="AF881">
        <v>3.3899147172491801</v>
      </c>
      <c r="AG881">
        <v>-1.0714199244060001</v>
      </c>
      <c r="AH881">
        <v>18.359462229296799</v>
      </c>
      <c r="AI881">
        <v>93.2844801074815</v>
      </c>
      <c r="AJ881">
        <v>79.538655783976196</v>
      </c>
      <c r="AK881">
        <v>18.700516457938001</v>
      </c>
      <c r="AL881">
        <v>79.239236862983105</v>
      </c>
      <c r="AM881">
        <v>87.207609865389401</v>
      </c>
      <c r="AN881">
        <v>1.0000000633910699</v>
      </c>
    </row>
    <row r="882" spans="1:40" x14ac:dyDescent="0.25">
      <c r="A882" t="str">
        <f>"20190303162758169"</f>
        <v>20190303162758169</v>
      </c>
      <c r="B882" t="str">
        <f>"1551601678161963"</f>
        <v>1551601678161963</v>
      </c>
      <c r="C882" t="s">
        <v>40</v>
      </c>
      <c r="D882">
        <v>4.8022239999999998</v>
      </c>
      <c r="E882">
        <v>0.55389900000000003</v>
      </c>
      <c r="F882" t="s">
        <v>41</v>
      </c>
      <c r="G882">
        <v>-262.22989999999999</v>
      </c>
      <c r="H882" s="1">
        <v>-4.0473269999999999E-6</v>
      </c>
      <c r="I882">
        <v>365.49149999999997</v>
      </c>
      <c r="J882">
        <v>-280.78050000000002</v>
      </c>
      <c r="K882">
        <v>1.0716639999999999</v>
      </c>
      <c r="L882">
        <v>368.72890000000001</v>
      </c>
      <c r="M882">
        <v>0.99981279999999995</v>
      </c>
      <c r="N882">
        <v>-1.6246460000000001E-2</v>
      </c>
      <c r="O882">
        <v>1.052083E-2</v>
      </c>
      <c r="P882">
        <v>0.98466609999999999</v>
      </c>
      <c r="Q882">
        <v>0.17037279999999999</v>
      </c>
      <c r="R882">
        <v>-3.750034E-2</v>
      </c>
      <c r="S882">
        <v>3.0574949999999999</v>
      </c>
      <c r="T882">
        <v>-0.1749066</v>
      </c>
      <c r="U882">
        <v>-0.52816770000000002</v>
      </c>
      <c r="V882">
        <v>4.786588E-2</v>
      </c>
      <c r="W882">
        <v>0.186339</v>
      </c>
      <c r="X882">
        <v>0.98131880000000005</v>
      </c>
      <c r="Y882">
        <v>0.18020520000000001</v>
      </c>
      <c r="Z882">
        <v>-7.0161540000000001E-3</v>
      </c>
      <c r="AA882">
        <v>0.98360400000000003</v>
      </c>
      <c r="AB882">
        <v>39</v>
      </c>
      <c r="AC882">
        <v>18.550599999999999</v>
      </c>
      <c r="AD882">
        <v>-1.0716680473269999</v>
      </c>
      <c r="AE882">
        <v>-3.2374000000000298</v>
      </c>
      <c r="AF882">
        <v>3.4213334384048899</v>
      </c>
      <c r="AG882">
        <v>-1.0716680473269999</v>
      </c>
      <c r="AH882">
        <v>18.455735222626799</v>
      </c>
      <c r="AI882">
        <v>93.267707904766496</v>
      </c>
      <c r="AJ882">
        <v>79.497703651576302</v>
      </c>
      <c r="AK882">
        <v>18.800748854982299</v>
      </c>
      <c r="AL882">
        <v>79.260790712694302</v>
      </c>
      <c r="AM882">
        <v>87.207491585640796</v>
      </c>
      <c r="AN882">
        <v>0.99999997631130699</v>
      </c>
    </row>
    <row r="883" spans="1:40" x14ac:dyDescent="0.25">
      <c r="A883" t="str">
        <f>"20190303162758181"</f>
        <v>20190303162758181</v>
      </c>
      <c r="B883" t="str">
        <f>"1551601678172699"</f>
        <v>1551601678172699</v>
      </c>
      <c r="C883" t="s">
        <v>40</v>
      </c>
      <c r="D883">
        <v>4.8268690000000003</v>
      </c>
      <c r="E883">
        <v>0.553774199999999</v>
      </c>
      <c r="F883" t="s">
        <v>41</v>
      </c>
      <c r="G883">
        <v>-262.11900000000003</v>
      </c>
      <c r="H883" s="1">
        <v>-4.0950289999999999E-6</v>
      </c>
      <c r="I883">
        <v>365.49090000000001</v>
      </c>
      <c r="J883">
        <v>-280.57870000000003</v>
      </c>
      <c r="K883">
        <v>1.0720289999999999</v>
      </c>
      <c r="L883">
        <v>368.73099999999999</v>
      </c>
      <c r="M883">
        <v>0.99980139999999995</v>
      </c>
      <c r="N883">
        <v>-1.692275E-2</v>
      </c>
      <c r="O883">
        <v>1.052051E-2</v>
      </c>
      <c r="P883">
        <v>0.98486719999999905</v>
      </c>
      <c r="Q883">
        <v>0.169239</v>
      </c>
      <c r="R883">
        <v>-3.7347770000000002E-2</v>
      </c>
      <c r="S883">
        <v>3.0568849999999999</v>
      </c>
      <c r="T883">
        <v>-0.17554620000000001</v>
      </c>
      <c r="U883">
        <v>-0.53039550000000002</v>
      </c>
      <c r="V883">
        <v>4.7715269999999997E-2</v>
      </c>
      <c r="W883">
        <v>0.1858718</v>
      </c>
      <c r="X883">
        <v>0.98141469999999997</v>
      </c>
      <c r="Y883">
        <v>0.18092649999999999</v>
      </c>
      <c r="Z883">
        <v>-7.1189909999999999E-3</v>
      </c>
      <c r="AA883">
        <v>0.98347090000000004</v>
      </c>
      <c r="AB883">
        <v>38</v>
      </c>
      <c r="AC883">
        <v>18.459700000000002</v>
      </c>
      <c r="AD883">
        <v>-1.072033095029</v>
      </c>
      <c r="AE883">
        <v>-3.24009999999998</v>
      </c>
      <c r="AF883">
        <v>3.4229546306829701</v>
      </c>
      <c r="AG883">
        <v>-1.072033095029</v>
      </c>
      <c r="AH883">
        <v>18.364500407957902</v>
      </c>
      <c r="AI883">
        <v>93.284428253402893</v>
      </c>
      <c r="AJ883">
        <v>79.441809298689904</v>
      </c>
      <c r="AK883">
        <v>18.711513797510801</v>
      </c>
      <c r="AL883">
        <v>79.288034911205898</v>
      </c>
      <c r="AM883">
        <v>87.216535959135797</v>
      </c>
      <c r="AN883">
        <v>0.99999994320124896</v>
      </c>
    </row>
    <row r="884" spans="1:40" x14ac:dyDescent="0.25">
      <c r="A884" t="str">
        <f>"20190303162758193"</f>
        <v>20190303162758193</v>
      </c>
      <c r="B884" t="str">
        <f>"1551601678182459"</f>
        <v>1551601678182459</v>
      </c>
      <c r="C884" t="s">
        <v>40</v>
      </c>
      <c r="D884">
        <v>4.882447</v>
      </c>
      <c r="E884">
        <v>0.553774199999999</v>
      </c>
      <c r="F884" t="s">
        <v>41</v>
      </c>
      <c r="G884">
        <v>-262.56760000000003</v>
      </c>
      <c r="H884" s="1">
        <v>-3.8807440000000003E-6</v>
      </c>
      <c r="I884">
        <v>365.61399999999998</v>
      </c>
      <c r="J884">
        <v>-280.38380000000001</v>
      </c>
      <c r="K884">
        <v>1.0724370000000001</v>
      </c>
      <c r="L884">
        <v>368.73309999999998</v>
      </c>
      <c r="M884">
        <v>0.99979810000000002</v>
      </c>
      <c r="N884">
        <v>-1.7118810000000002E-2</v>
      </c>
      <c r="O884">
        <v>1.052001E-2</v>
      </c>
      <c r="P884">
        <v>0.98489190000000004</v>
      </c>
      <c r="Q884">
        <v>0.16908229999999999</v>
      </c>
      <c r="R884">
        <v>-3.7408990000000003E-2</v>
      </c>
      <c r="S884">
        <v>3.057312</v>
      </c>
      <c r="T884">
        <v>-0.18197189999999999</v>
      </c>
      <c r="U884">
        <v>-0.52908330000000003</v>
      </c>
      <c r="V884">
        <v>4.7776249999999999E-2</v>
      </c>
      <c r="W884">
        <v>0.18590789999999999</v>
      </c>
      <c r="X884">
        <v>0.98140499999999997</v>
      </c>
      <c r="Y884">
        <v>0.18046760000000001</v>
      </c>
      <c r="Z884">
        <v>-7.3269329999999999E-3</v>
      </c>
      <c r="AA884">
        <v>0.98355360000000003</v>
      </c>
      <c r="AB884">
        <v>38</v>
      </c>
      <c r="AC884">
        <v>17.816199999999899</v>
      </c>
      <c r="AD884">
        <v>-1.072440880744</v>
      </c>
      <c r="AE884">
        <v>-3.11909999999994</v>
      </c>
      <c r="AF884">
        <v>3.29479807171345</v>
      </c>
      <c r="AG884">
        <v>-1.072440880744</v>
      </c>
      <c r="AH884">
        <v>17.720098413111401</v>
      </c>
      <c r="AI884">
        <v>93.405161754062902</v>
      </c>
      <c r="AJ884">
        <v>79.466955619718703</v>
      </c>
      <c r="AK884">
        <v>18.0556836355318</v>
      </c>
      <c r="AL884">
        <v>79.285930954358093</v>
      </c>
      <c r="AM884">
        <v>87.212956800963497</v>
      </c>
      <c r="AN884">
        <v>1.0000000456857301</v>
      </c>
    </row>
    <row r="885" spans="1:40" x14ac:dyDescent="0.25">
      <c r="A885" t="str">
        <f>"20190303162758205"</f>
        <v>20190303162758205</v>
      </c>
      <c r="B885" t="str">
        <f>"1551601678192218"</f>
        <v>1551601678192218</v>
      </c>
      <c r="C885" t="s">
        <v>40</v>
      </c>
      <c r="D885">
        <v>4.9354389999999997</v>
      </c>
      <c r="E885">
        <v>0.54104149999999995</v>
      </c>
      <c r="F885" t="s">
        <v>41</v>
      </c>
      <c r="G885">
        <v>-262.4051</v>
      </c>
      <c r="H885" s="1">
        <v>-3.9494580000000002E-6</v>
      </c>
      <c r="I885">
        <v>365.61950000000002</v>
      </c>
      <c r="J885">
        <v>-280.17989999999998</v>
      </c>
      <c r="K885">
        <v>1.072864</v>
      </c>
      <c r="L885">
        <v>368.73520000000002</v>
      </c>
      <c r="M885">
        <v>0.99979899999999999</v>
      </c>
      <c r="N885">
        <v>-1.7068059999999999E-2</v>
      </c>
      <c r="O885">
        <v>1.051972E-2</v>
      </c>
      <c r="P885">
        <v>0.98488240000000005</v>
      </c>
      <c r="Q885">
        <v>0.16916610000000001</v>
      </c>
      <c r="R885">
        <v>-3.7278800000000001E-2</v>
      </c>
      <c r="S885">
        <v>3.0572509999999999</v>
      </c>
      <c r="T885">
        <v>-0.18236649999999999</v>
      </c>
      <c r="U885">
        <v>-0.52944950000000002</v>
      </c>
      <c r="V885">
        <v>4.7645949999999999E-2</v>
      </c>
      <c r="W885">
        <v>0.1859421</v>
      </c>
      <c r="X885">
        <v>0.98140479999999997</v>
      </c>
      <c r="Y885">
        <v>0.1805833</v>
      </c>
      <c r="Z885">
        <v>-7.3402060000000002E-3</v>
      </c>
      <c r="AA885">
        <v>0.98353230000000003</v>
      </c>
      <c r="AB885">
        <v>38</v>
      </c>
      <c r="AC885">
        <v>17.7747999999999</v>
      </c>
      <c r="AD885">
        <v>-1.072867949458</v>
      </c>
      <c r="AE885">
        <v>-3.1156999999999999</v>
      </c>
      <c r="AF885">
        <v>3.29090866710508</v>
      </c>
      <c r="AG885">
        <v>-1.072867949458</v>
      </c>
      <c r="AH885">
        <v>17.6785485428498</v>
      </c>
      <c r="AI885">
        <v>93.414369057588601</v>
      </c>
      <c r="AJ885">
        <v>79.454938529797502</v>
      </c>
      <c r="AK885">
        <v>18.014222272251899</v>
      </c>
      <c r="AL885">
        <v>79.283936076390006</v>
      </c>
      <c r="AM885">
        <v>87.220545392974799</v>
      </c>
      <c r="AN885">
        <v>0.99999999128342598</v>
      </c>
    </row>
    <row r="886" spans="1:40" x14ac:dyDescent="0.25">
      <c r="A886" t="str">
        <f>"20190303162758217"</f>
        <v>20190303162758217</v>
      </c>
      <c r="B886" t="str">
        <f>"1551601678212715"</f>
        <v>1551601678212715</v>
      </c>
      <c r="C886" t="s">
        <v>40</v>
      </c>
      <c r="D886">
        <v>4.9800529999999998</v>
      </c>
      <c r="E886">
        <v>0.53144139999999995</v>
      </c>
      <c r="F886" t="s">
        <v>44</v>
      </c>
      <c r="G886">
        <v>-279.18819999999999</v>
      </c>
      <c r="H886">
        <v>0.91299260000000004</v>
      </c>
      <c r="I886">
        <v>368.60050000000001</v>
      </c>
      <c r="J886">
        <v>-279.98070000000001</v>
      </c>
      <c r="K886">
        <v>1.0732379999999999</v>
      </c>
      <c r="L886">
        <v>368.7373</v>
      </c>
      <c r="M886">
        <v>0.9998129</v>
      </c>
      <c r="N886">
        <v>-1.6241040000000002E-2</v>
      </c>
      <c r="O886">
        <v>1.052002E-2</v>
      </c>
      <c r="P886">
        <v>0.98472369999999998</v>
      </c>
      <c r="Q886">
        <v>0.17015620000000001</v>
      </c>
      <c r="R886">
        <v>-3.6964110000000001E-2</v>
      </c>
      <c r="S886">
        <v>3.1163940000000001</v>
      </c>
      <c r="T886">
        <v>-0.50248159999999997</v>
      </c>
      <c r="U886">
        <v>-0.42233280000000001</v>
      </c>
      <c r="V886">
        <v>4.7329879999999998E-2</v>
      </c>
      <c r="W886">
        <v>0.18611739999999999</v>
      </c>
      <c r="X886">
        <v>0.98138689999999995</v>
      </c>
      <c r="Y886">
        <v>0.14260619999999999</v>
      </c>
      <c r="Z886">
        <v>-1.4052459999999999E-2</v>
      </c>
      <c r="AA886">
        <v>0.9896798</v>
      </c>
      <c r="AB886">
        <v>38</v>
      </c>
      <c r="AC886">
        <v>0.79250000000001797</v>
      </c>
      <c r="AD886">
        <v>-0.16024539999999901</v>
      </c>
      <c r="AE886">
        <v>-0.13679999999999301</v>
      </c>
      <c r="AF886">
        <v>0.139588587030713</v>
      </c>
      <c r="AG886">
        <v>-0.16024539999999901</v>
      </c>
      <c r="AH886">
        <v>0.76081051113973897</v>
      </c>
      <c r="AI886">
        <v>101.704204330097</v>
      </c>
      <c r="AJ886">
        <v>79.603371134776097</v>
      </c>
      <c r="AK886">
        <v>0.78993429835088302</v>
      </c>
      <c r="AL886">
        <v>79.273714059924799</v>
      </c>
      <c r="AM886">
        <v>87.238904614191895</v>
      </c>
      <c r="AN886">
        <v>1.0000000258075901</v>
      </c>
    </row>
    <row r="887" spans="1:40" x14ac:dyDescent="0.25">
      <c r="A887" t="str">
        <f>"20190303162758232"</f>
        <v>20190303162758232</v>
      </c>
      <c r="B887" t="str">
        <f>"1551601678222475"</f>
        <v>1551601678222475</v>
      </c>
      <c r="C887" t="s">
        <v>40</v>
      </c>
      <c r="D887">
        <v>4.9313750000000001</v>
      </c>
      <c r="E887">
        <v>0.53015349999999895</v>
      </c>
      <c r="F887" t="s">
        <v>44</v>
      </c>
      <c r="G887">
        <v>-279.22320000000002</v>
      </c>
      <c r="H887">
        <v>0.84373129999999996</v>
      </c>
      <c r="I887">
        <v>368.65719999999999</v>
      </c>
      <c r="J887">
        <v>-279.72699999999998</v>
      </c>
      <c r="K887">
        <v>1.0737969999999999</v>
      </c>
      <c r="L887">
        <v>368.74</v>
      </c>
      <c r="M887">
        <v>0.99983379999999999</v>
      </c>
      <c r="N887">
        <v>-1.4902469999999999E-2</v>
      </c>
      <c r="O887">
        <v>1.0520679999999999E-2</v>
      </c>
      <c r="P887">
        <v>0.98439880000000002</v>
      </c>
      <c r="Q887">
        <v>0.1721357</v>
      </c>
      <c r="R887">
        <v>-3.6451730000000002E-2</v>
      </c>
      <c r="S887">
        <v>3.2015380000000002</v>
      </c>
      <c r="T887">
        <v>-0.97005200000000003</v>
      </c>
      <c r="U887">
        <v>-0.3373718</v>
      </c>
      <c r="V887">
        <v>4.6814849999999998E-2</v>
      </c>
      <c r="W887">
        <v>0.18677840000000001</v>
      </c>
      <c r="X887">
        <v>0.98128599999999999</v>
      </c>
      <c r="Y887">
        <v>0.1097069</v>
      </c>
      <c r="Z887">
        <v>-2.000882E-2</v>
      </c>
      <c r="AA887">
        <v>0.99376260000000005</v>
      </c>
      <c r="AB887">
        <v>38</v>
      </c>
      <c r="AC887">
        <v>0.50380000000001202</v>
      </c>
      <c r="AD887">
        <v>-0.23006570000000001</v>
      </c>
      <c r="AE887">
        <v>-8.2800000000020094E-2</v>
      </c>
      <c r="AF887">
        <v>7.3227219479932798E-2</v>
      </c>
      <c r="AG887">
        <v>-0.23006570000000001</v>
      </c>
      <c r="AH887">
        <v>0.41802011309339498</v>
      </c>
      <c r="AI887">
        <v>118.46278145005</v>
      </c>
      <c r="AJ887">
        <v>80.063953334489796</v>
      </c>
      <c r="AK887">
        <v>0.48273519339267901</v>
      </c>
      <c r="AL887">
        <v>79.235165395630204</v>
      </c>
      <c r="AM887">
        <v>87.268623914287602</v>
      </c>
      <c r="AN887">
        <v>1.00000000734154</v>
      </c>
    </row>
    <row r="888" spans="1:40" x14ac:dyDescent="0.25">
      <c r="A888" t="str">
        <f>"20190303162758243"</f>
        <v>20190303162758243</v>
      </c>
      <c r="B888" t="str">
        <f>"1551601678232235"</f>
        <v>1551601678232235</v>
      </c>
      <c r="C888" t="s">
        <v>40</v>
      </c>
      <c r="D888">
        <v>4.9576849999999997</v>
      </c>
      <c r="E888">
        <v>0.5288967</v>
      </c>
      <c r="F888" t="s">
        <v>44</v>
      </c>
      <c r="G888">
        <v>-278.89589999999998</v>
      </c>
      <c r="H888">
        <v>0.80816009999999905</v>
      </c>
      <c r="I888">
        <v>368.65550000000002</v>
      </c>
      <c r="J888">
        <v>-279.536</v>
      </c>
      <c r="K888">
        <v>1.0742560000000001</v>
      </c>
      <c r="L888">
        <v>368.74200000000002</v>
      </c>
      <c r="M888">
        <v>0.99985009999999996</v>
      </c>
      <c r="N888">
        <v>-1.3755359999999999E-2</v>
      </c>
      <c r="O888">
        <v>1.0521249999999999E-2</v>
      </c>
      <c r="P888">
        <v>0.98409489999999999</v>
      </c>
      <c r="Q888">
        <v>0.1739522</v>
      </c>
      <c r="R888">
        <v>-3.603369E-2</v>
      </c>
      <c r="S888">
        <v>3.2152099999999999</v>
      </c>
      <c r="T888">
        <v>-1.0277179999999999</v>
      </c>
      <c r="U888">
        <v>-0.32577509999999998</v>
      </c>
      <c r="V888">
        <v>4.6394079999999997E-2</v>
      </c>
      <c r="W888">
        <v>0.18746409999999999</v>
      </c>
      <c r="X888">
        <v>0.98117520000000003</v>
      </c>
      <c r="Y888">
        <v>0.10535700000000001</v>
      </c>
      <c r="Z888">
        <v>-2.0267420000000001E-2</v>
      </c>
      <c r="AA888">
        <v>0.99422790000000005</v>
      </c>
      <c r="AB888">
        <v>38</v>
      </c>
      <c r="AC888">
        <v>0.64010000000001799</v>
      </c>
      <c r="AD888">
        <v>-0.266095899999999</v>
      </c>
      <c r="AE888">
        <v>-8.6499999999943997E-2</v>
      </c>
      <c r="AF888">
        <v>7.9703572398933303E-2</v>
      </c>
      <c r="AG888">
        <v>-0.266095899999999</v>
      </c>
      <c r="AH888">
        <v>0.54641869386587605</v>
      </c>
      <c r="AI888">
        <v>115.728591301021</v>
      </c>
      <c r="AJ888">
        <v>81.701056933079897</v>
      </c>
      <c r="AK888">
        <v>0.61297069787719205</v>
      </c>
      <c r="AL888">
        <v>79.195171025141704</v>
      </c>
      <c r="AM888">
        <v>87.292831515376307</v>
      </c>
      <c r="AN888">
        <v>0.99999998627144804</v>
      </c>
    </row>
    <row r="889" spans="1:40" x14ac:dyDescent="0.25">
      <c r="A889" t="str">
        <f>"20190303162758254"</f>
        <v>20190303162758254</v>
      </c>
      <c r="B889" t="str">
        <f>"1551601678241995"</f>
        <v>1551601678241995</v>
      </c>
      <c r="C889" t="s">
        <v>40</v>
      </c>
      <c r="D889">
        <v>4.9985480000000004</v>
      </c>
      <c r="E889">
        <v>0.5286343</v>
      </c>
      <c r="F889" t="s">
        <v>44</v>
      </c>
      <c r="G889">
        <v>-278.57440000000003</v>
      </c>
      <c r="H889">
        <v>0.75731919999999897</v>
      </c>
      <c r="I889">
        <v>368.64800000000002</v>
      </c>
      <c r="J889">
        <v>-279.34660000000002</v>
      </c>
      <c r="K889">
        <v>1.074873</v>
      </c>
      <c r="L889">
        <v>368.74400000000003</v>
      </c>
      <c r="M889">
        <v>0.99986450000000004</v>
      </c>
      <c r="N889">
        <v>-1.266344E-2</v>
      </c>
      <c r="O889">
        <v>1.0521890000000001E-2</v>
      </c>
      <c r="P889">
        <v>0.98385040000000001</v>
      </c>
      <c r="Q889">
        <v>0.1753825</v>
      </c>
      <c r="R889">
        <v>-3.5770400000000001E-2</v>
      </c>
      <c r="S889">
        <v>3.2249150000000002</v>
      </c>
      <c r="T889">
        <v>-1.062945</v>
      </c>
      <c r="U889">
        <v>-0.31414789999999998</v>
      </c>
      <c r="V889">
        <v>4.6128790000000003E-2</v>
      </c>
      <c r="W889">
        <v>0.18782009999999999</v>
      </c>
      <c r="X889">
        <v>0.98111959999999998</v>
      </c>
      <c r="Y889">
        <v>0.1013777</v>
      </c>
      <c r="Z889">
        <v>-2.0143520000000002E-2</v>
      </c>
      <c r="AA889">
        <v>0.99464399999999997</v>
      </c>
      <c r="AB889">
        <v>38</v>
      </c>
      <c r="AC889">
        <v>0.772199999999997</v>
      </c>
      <c r="AD889">
        <v>-0.3175538</v>
      </c>
      <c r="AE889">
        <v>-9.6000000000003596E-2</v>
      </c>
      <c r="AF889">
        <v>8.9255825636702493E-2</v>
      </c>
      <c r="AG889">
        <v>-0.3175538</v>
      </c>
      <c r="AH889">
        <v>0.66105593022362097</v>
      </c>
      <c r="AI889">
        <v>115.456963200057</v>
      </c>
      <c r="AJ889">
        <v>82.310422236732606</v>
      </c>
      <c r="AK889">
        <v>0.73878410999990196</v>
      </c>
      <c r="AL889">
        <v>79.174404605773105</v>
      </c>
      <c r="AM889">
        <v>87.308136462633897</v>
      </c>
      <c r="AN889">
        <v>0.99999996236751598</v>
      </c>
    </row>
    <row r="890" spans="1:40" x14ac:dyDescent="0.25">
      <c r="A890" t="str">
        <f>"20190303162758267"</f>
        <v>20190303162758267</v>
      </c>
      <c r="B890" t="str">
        <f>"1551601678262491"</f>
        <v>1551601678262491</v>
      </c>
      <c r="C890" t="s">
        <v>40</v>
      </c>
      <c r="D890">
        <v>4.9949370000000002</v>
      </c>
      <c r="E890">
        <v>0.52945419999999999</v>
      </c>
      <c r="F890" t="s">
        <v>44</v>
      </c>
      <c r="G890">
        <v>-278.55410000000001</v>
      </c>
      <c r="H890">
        <v>0.80901409999999996</v>
      </c>
      <c r="I890">
        <v>368.66750000000002</v>
      </c>
      <c r="J890">
        <v>-279.137</v>
      </c>
      <c r="K890">
        <v>1.075599</v>
      </c>
      <c r="L890">
        <v>368.74619999999999</v>
      </c>
      <c r="M890">
        <v>0.99987879999999996</v>
      </c>
      <c r="N890">
        <v>-1.148913E-2</v>
      </c>
      <c r="O890">
        <v>1.052234E-2</v>
      </c>
      <c r="P890">
        <v>0.98360170000000002</v>
      </c>
      <c r="Q890">
        <v>0.17680509999999999</v>
      </c>
      <c r="R890">
        <v>-3.5610990000000002E-2</v>
      </c>
      <c r="S890">
        <v>3.2311709999999998</v>
      </c>
      <c r="T890">
        <v>-1.084022</v>
      </c>
      <c r="U890">
        <v>-0.31082149999999997</v>
      </c>
      <c r="V890">
        <v>4.5967050000000002E-2</v>
      </c>
      <c r="W890">
        <v>0.18808749999999999</v>
      </c>
      <c r="X890">
        <v>0.98107599999999995</v>
      </c>
      <c r="Y890">
        <v>0.1000583</v>
      </c>
      <c r="Z890">
        <v>-2.0205509999999999E-2</v>
      </c>
      <c r="AA890">
        <v>0.99477640000000001</v>
      </c>
      <c r="AB890">
        <v>38</v>
      </c>
      <c r="AC890">
        <v>0.58289999999999498</v>
      </c>
      <c r="AD890">
        <v>-0.26658490000000001</v>
      </c>
      <c r="AE890">
        <v>-7.8699999999969295E-2</v>
      </c>
      <c r="AF890">
        <v>7.0373554992675294E-2</v>
      </c>
      <c r="AG890">
        <v>-0.26658490000000001</v>
      </c>
      <c r="AH890">
        <v>0.48285306827604102</v>
      </c>
      <c r="AI890">
        <v>118.64917220519401</v>
      </c>
      <c r="AJ890">
        <v>81.707795189987095</v>
      </c>
      <c r="AK890">
        <v>0.55602790549926895</v>
      </c>
      <c r="AL890">
        <v>79.158806094241598</v>
      </c>
      <c r="AM890">
        <v>87.317442017321497</v>
      </c>
      <c r="AN890">
        <v>0.99999999755897595</v>
      </c>
    </row>
    <row r="891" spans="1:40" x14ac:dyDescent="0.25">
      <c r="A891" t="str">
        <f>"20190303162758277"</f>
        <v>20190303162758277</v>
      </c>
      <c r="B891" t="str">
        <f>"1551601678272251"</f>
        <v>1551601678272251</v>
      </c>
      <c r="C891" t="s">
        <v>40</v>
      </c>
      <c r="D891">
        <v>5.0328249999999999</v>
      </c>
      <c r="E891">
        <v>0.5295185</v>
      </c>
      <c r="F891" t="s">
        <v>44</v>
      </c>
      <c r="G891">
        <v>-278.22820000000002</v>
      </c>
      <c r="H891">
        <v>0.77006319999999995</v>
      </c>
      <c r="I891">
        <v>368.65699999999998</v>
      </c>
      <c r="J891">
        <v>-278.9479</v>
      </c>
      <c r="K891">
        <v>1.076338</v>
      </c>
      <c r="L891">
        <v>368.7482</v>
      </c>
      <c r="M891">
        <v>0.99988940000000004</v>
      </c>
      <c r="N891">
        <v>-1.0509309999999999E-2</v>
      </c>
      <c r="O891">
        <v>1.0522979999999999E-2</v>
      </c>
      <c r="P891">
        <v>0.98315850000000005</v>
      </c>
      <c r="Q891">
        <v>0.17925239999999901</v>
      </c>
      <c r="R891">
        <v>-3.5604810000000001E-2</v>
      </c>
      <c r="S891">
        <v>3.2340089999999999</v>
      </c>
      <c r="T891">
        <v>-1.087351</v>
      </c>
      <c r="U891">
        <v>-0.31692500000000001</v>
      </c>
      <c r="V891">
        <v>4.5956879999999999E-2</v>
      </c>
      <c r="W891">
        <v>0.1895686</v>
      </c>
      <c r="X891">
        <v>0.98079139999999998</v>
      </c>
      <c r="Y891">
        <v>0.10173</v>
      </c>
      <c r="Z891">
        <v>-2.0486710000000002E-2</v>
      </c>
      <c r="AA891">
        <v>0.99460110000000002</v>
      </c>
      <c r="AB891">
        <v>38</v>
      </c>
      <c r="AC891">
        <v>0.71969999999998802</v>
      </c>
      <c r="AD891">
        <v>-0.30627480000000001</v>
      </c>
      <c r="AE891">
        <v>-9.1200000000014797E-2</v>
      </c>
      <c r="AF891">
        <v>8.3827485910760405E-2</v>
      </c>
      <c r="AG891">
        <v>-0.30627480000000001</v>
      </c>
      <c r="AH891">
        <v>0.60997879723989701</v>
      </c>
      <c r="AI891">
        <v>116.447220616845</v>
      </c>
      <c r="AJ891">
        <v>82.175034989477595</v>
      </c>
      <c r="AK891">
        <v>0.68768120055109105</v>
      </c>
      <c r="AL891">
        <v>79.072391062313599</v>
      </c>
      <c r="AM891">
        <v>87.317257554990306</v>
      </c>
      <c r="AN891">
        <v>1.0000000296196201</v>
      </c>
    </row>
    <row r="892" spans="1:40" x14ac:dyDescent="0.25">
      <c r="A892" t="str">
        <f>"20190303162758289"</f>
        <v>20190303162758289</v>
      </c>
      <c r="B892" t="str">
        <f>"1551601678282011"</f>
        <v>1551601678282011</v>
      </c>
      <c r="C892" t="s">
        <v>40</v>
      </c>
      <c r="D892">
        <v>5.0361449999999897</v>
      </c>
      <c r="E892">
        <v>0.52970499999999998</v>
      </c>
      <c r="F892" t="s">
        <v>44</v>
      </c>
      <c r="G892">
        <v>-278.20530000000002</v>
      </c>
      <c r="H892">
        <v>0.82849219999999901</v>
      </c>
      <c r="I892">
        <v>368.67500000000001</v>
      </c>
      <c r="J892">
        <v>-278.74630000000002</v>
      </c>
      <c r="K892">
        <v>1.077159</v>
      </c>
      <c r="L892">
        <v>368.75029999999998</v>
      </c>
      <c r="M892">
        <v>0.99989950000000005</v>
      </c>
      <c r="N892">
        <v>-9.5039660000000008E-3</v>
      </c>
      <c r="O892">
        <v>1.0523380000000001E-2</v>
      </c>
      <c r="P892">
        <v>0.98282409999999998</v>
      </c>
      <c r="Q892">
        <v>0.18108060000000001</v>
      </c>
      <c r="R892">
        <v>-3.5592279999999997E-2</v>
      </c>
      <c r="S892">
        <v>3.2368160000000001</v>
      </c>
      <c r="T892">
        <v>-1.080268</v>
      </c>
      <c r="U892">
        <v>-0.3180847</v>
      </c>
      <c r="V892">
        <v>4.5940880000000003E-2</v>
      </c>
      <c r="W892">
        <v>0.1904071</v>
      </c>
      <c r="X892">
        <v>0.98062969999999905</v>
      </c>
      <c r="Y892">
        <v>0.1020832</v>
      </c>
      <c r="Z892">
        <v>-2.0362680000000001E-2</v>
      </c>
      <c r="AA892">
        <v>0.99456750000000005</v>
      </c>
      <c r="AB892">
        <v>38</v>
      </c>
      <c r="AC892">
        <v>0.54099999999999604</v>
      </c>
      <c r="AD892">
        <v>-0.24866679999999999</v>
      </c>
      <c r="AE892">
        <v>-7.5299999999970099E-2</v>
      </c>
      <c r="AF892">
        <v>6.7085363604285894E-2</v>
      </c>
      <c r="AG892">
        <v>-0.24866679999999999</v>
      </c>
      <c r="AH892">
        <v>0.44744230616849401</v>
      </c>
      <c r="AI892">
        <v>118.793573201944</v>
      </c>
      <c r="AJ892">
        <v>81.473114469613506</v>
      </c>
      <c r="AK892">
        <v>0.516275353645262</v>
      </c>
      <c r="AL892">
        <v>79.023457167782198</v>
      </c>
      <c r="AM892">
        <v>87.3177486258013</v>
      </c>
      <c r="AN892">
        <v>1.00000001835383</v>
      </c>
    </row>
    <row r="893" spans="1:40" x14ac:dyDescent="0.25">
      <c r="A893" t="str">
        <f>"20190303162758303"</f>
        <v>20190303162758303</v>
      </c>
      <c r="B893" t="str">
        <f>"1551601678292746"</f>
        <v>1551601678292746</v>
      </c>
      <c r="C893" t="s">
        <v>40</v>
      </c>
      <c r="D893">
        <v>5.0386709999999999</v>
      </c>
      <c r="E893">
        <v>0.52965130000000005</v>
      </c>
      <c r="F893" t="s">
        <v>44</v>
      </c>
      <c r="G893">
        <v>-277.87939999999998</v>
      </c>
      <c r="H893">
        <v>0.79011929999999997</v>
      </c>
      <c r="I893">
        <v>368.66430000000003</v>
      </c>
      <c r="J893">
        <v>-278.5129</v>
      </c>
      <c r="K893">
        <v>1.078139</v>
      </c>
      <c r="L893">
        <v>368.7527</v>
      </c>
      <c r="M893">
        <v>0.99990959999999995</v>
      </c>
      <c r="N893">
        <v>-8.3820909999999995E-3</v>
      </c>
      <c r="O893">
        <v>1.0523579999999999E-2</v>
      </c>
      <c r="P893">
        <v>0.98257050000000001</v>
      </c>
      <c r="Q893">
        <v>0.18246080000000001</v>
      </c>
      <c r="R893">
        <v>-3.5544310000000003E-2</v>
      </c>
      <c r="S893">
        <v>3.2383730000000002</v>
      </c>
      <c r="T893">
        <v>-1.0722290000000001</v>
      </c>
      <c r="U893">
        <v>-0.32022089999999998</v>
      </c>
      <c r="V893">
        <v>4.589054E-2</v>
      </c>
      <c r="W893">
        <v>0.1906852</v>
      </c>
      <c r="X893">
        <v>0.98057799999999995</v>
      </c>
      <c r="Y893">
        <v>0.10276009999999999</v>
      </c>
      <c r="Z893">
        <v>-2.0276240000000001E-2</v>
      </c>
      <c r="AA893">
        <v>0.99449949999999998</v>
      </c>
      <c r="AB893">
        <v>38</v>
      </c>
      <c r="AC893">
        <v>0.63350000000002604</v>
      </c>
      <c r="AD893">
        <v>-0.28801969999999999</v>
      </c>
      <c r="AE893">
        <v>-8.8399999999978704E-2</v>
      </c>
      <c r="AF893">
        <v>7.9036768755489095E-2</v>
      </c>
      <c r="AG893">
        <v>-0.28801969999999999</v>
      </c>
      <c r="AH893">
        <v>0.52590390803248699</v>
      </c>
      <c r="AI893">
        <v>118.43926538107</v>
      </c>
      <c r="AJ893">
        <v>81.453126588901199</v>
      </c>
      <c r="AK893">
        <v>0.60479507181130499</v>
      </c>
      <c r="AL893">
        <v>79.007225627611604</v>
      </c>
      <c r="AM893">
        <v>87.320542375487193</v>
      </c>
      <c r="AN893">
        <v>1.00000000062226</v>
      </c>
    </row>
    <row r="894" spans="1:40" x14ac:dyDescent="0.25">
      <c r="A894" t="str">
        <f>"20190303162758318"</f>
        <v>20190303162758318</v>
      </c>
      <c r="B894" t="str">
        <f>"1551601678312268"</f>
        <v>1551601678312268</v>
      </c>
      <c r="C894" t="s">
        <v>40</v>
      </c>
      <c r="D894">
        <v>5.0537839999999896</v>
      </c>
      <c r="E894">
        <v>0.52983130000000001</v>
      </c>
      <c r="F894" t="s">
        <v>44</v>
      </c>
      <c r="G894">
        <v>-277.55250000000001</v>
      </c>
      <c r="H894">
        <v>0.76104249999999996</v>
      </c>
      <c r="I894">
        <v>368.65769999999998</v>
      </c>
      <c r="J894">
        <v>-278.27179999999998</v>
      </c>
      <c r="K894">
        <v>1.079313</v>
      </c>
      <c r="L894">
        <v>368.7552</v>
      </c>
      <c r="M894">
        <v>0.99991439999999998</v>
      </c>
      <c r="N894">
        <v>-7.7764039999999998E-3</v>
      </c>
      <c r="O894">
        <v>1.05241E-2</v>
      </c>
      <c r="P894">
        <v>0.98259529999999995</v>
      </c>
      <c r="Q894">
        <v>0.18233830000000001</v>
      </c>
      <c r="R894">
        <v>-3.549033E-2</v>
      </c>
      <c r="S894">
        <v>3.2402950000000001</v>
      </c>
      <c r="T894">
        <v>-1.0697399999999999</v>
      </c>
      <c r="U894">
        <v>-0.32019039999999999</v>
      </c>
      <c r="V894">
        <v>4.5837099999999999E-2</v>
      </c>
      <c r="W894">
        <v>0.1899689</v>
      </c>
      <c r="X894">
        <v>0.98071949999999997</v>
      </c>
      <c r="Y894">
        <v>0.1027375</v>
      </c>
      <c r="Z894">
        <v>-2.019174E-2</v>
      </c>
      <c r="AA894">
        <v>0.99450360000000004</v>
      </c>
      <c r="AB894">
        <v>38</v>
      </c>
      <c r="AC894">
        <v>0.71929999999997496</v>
      </c>
      <c r="AD894">
        <v>-0.31827049999999901</v>
      </c>
      <c r="AE894">
        <v>-9.7500000000024997E-2</v>
      </c>
      <c r="AF894">
        <v>8.8123164374187699E-2</v>
      </c>
      <c r="AG894">
        <v>-0.31827049999999901</v>
      </c>
      <c r="AH894">
        <v>0.60241914722614798</v>
      </c>
      <c r="AI894">
        <v>117.59864234438</v>
      </c>
      <c r="AJ894">
        <v>81.677677195384604</v>
      </c>
      <c r="AK894">
        <v>0.68700118792782905</v>
      </c>
      <c r="AL894">
        <v>79.049030535836195</v>
      </c>
      <c r="AM894">
        <v>87.324043677864495</v>
      </c>
      <c r="AN894">
        <v>0.99999998019193403</v>
      </c>
    </row>
    <row r="895" spans="1:40" x14ac:dyDescent="0.25">
      <c r="A895" t="str">
        <f>"20190303162758330"</f>
        <v>20190303162758330</v>
      </c>
      <c r="B895" t="str">
        <f>"1551601678322027"</f>
        <v>1551601678322027</v>
      </c>
      <c r="C895" t="s">
        <v>40</v>
      </c>
      <c r="D895">
        <v>5.0510679999999999</v>
      </c>
      <c r="E895">
        <v>0.52993950000000001</v>
      </c>
      <c r="F895" t="s">
        <v>44</v>
      </c>
      <c r="G895">
        <v>-277.52499999999998</v>
      </c>
      <c r="H895">
        <v>0.83165449999999996</v>
      </c>
      <c r="I895">
        <v>368.68099999999998</v>
      </c>
      <c r="J895">
        <v>-278.05099999999999</v>
      </c>
      <c r="K895">
        <v>1.080568</v>
      </c>
      <c r="L895">
        <v>368.75760000000002</v>
      </c>
      <c r="M895">
        <v>0.99991629999999998</v>
      </c>
      <c r="N895">
        <v>-7.5260819999999999E-3</v>
      </c>
      <c r="O895">
        <v>1.052436E-2</v>
      </c>
      <c r="P895">
        <v>0.98272369999999998</v>
      </c>
      <c r="Q895">
        <v>0.18167820000000001</v>
      </c>
      <c r="R895">
        <v>-3.5318189999999999E-2</v>
      </c>
      <c r="S895">
        <v>3.2409669999999999</v>
      </c>
      <c r="T895">
        <v>-1.0747770000000001</v>
      </c>
      <c r="U895">
        <v>-0.32135010000000003</v>
      </c>
      <c r="V895">
        <v>4.5666499999999999E-2</v>
      </c>
      <c r="W895">
        <v>0.18906390000000001</v>
      </c>
      <c r="X895">
        <v>0.98090239999999995</v>
      </c>
      <c r="Y895">
        <v>0.10300620000000001</v>
      </c>
      <c r="Z895">
        <v>-2.0310160000000001E-2</v>
      </c>
      <c r="AA895">
        <v>0.9944733</v>
      </c>
      <c r="AB895">
        <v>38</v>
      </c>
      <c r="AC895">
        <v>0.52600000000001002</v>
      </c>
      <c r="AD895">
        <v>-0.24891350000000001</v>
      </c>
      <c r="AE895">
        <v>-7.6600000000041704E-2</v>
      </c>
      <c r="AF895">
        <v>6.7360494328629603E-2</v>
      </c>
      <c r="AG895">
        <v>-0.24891350000000001</v>
      </c>
      <c r="AH895">
        <v>0.43071482095334102</v>
      </c>
      <c r="AI895">
        <v>119.724965427928</v>
      </c>
      <c r="AJ895">
        <v>81.111380474764005</v>
      </c>
      <c r="AK895">
        <v>0.50200659723485297</v>
      </c>
      <c r="AL895">
        <v>79.1018410629584</v>
      </c>
      <c r="AM895">
        <v>87.334485249078497</v>
      </c>
      <c r="AN895">
        <v>1.0000000529155999</v>
      </c>
    </row>
    <row r="896" spans="1:40" x14ac:dyDescent="0.25">
      <c r="A896" t="str">
        <f>"20190303162758344"</f>
        <v>20190303162758344</v>
      </c>
      <c r="B896" t="str">
        <f>"1551601678332763"</f>
        <v>1551601678332763</v>
      </c>
      <c r="C896" t="s">
        <v>40</v>
      </c>
      <c r="D896">
        <v>5.0550680000000003</v>
      </c>
      <c r="E896">
        <v>0.53006160000000002</v>
      </c>
      <c r="F896" t="s">
        <v>44</v>
      </c>
      <c r="G896">
        <v>-277.20240000000001</v>
      </c>
      <c r="H896">
        <v>0.79815499999999995</v>
      </c>
      <c r="I896">
        <v>368.673</v>
      </c>
      <c r="J896">
        <v>-277.82990000000001</v>
      </c>
      <c r="K896">
        <v>1.081974</v>
      </c>
      <c r="L896">
        <v>368.75990000000002</v>
      </c>
      <c r="M896">
        <v>0.99991629999999998</v>
      </c>
      <c r="N896">
        <v>-7.5187090000000002E-3</v>
      </c>
      <c r="O896">
        <v>1.0524560000000001E-2</v>
      </c>
      <c r="P896">
        <v>0.98291539999999999</v>
      </c>
      <c r="Q896">
        <v>0.1806886</v>
      </c>
      <c r="R896">
        <v>-3.5059519999999997E-2</v>
      </c>
      <c r="S896">
        <v>3.2405400000000002</v>
      </c>
      <c r="T896">
        <v>-1.0783910000000001</v>
      </c>
      <c r="U896">
        <v>-0.32183840000000002</v>
      </c>
      <c r="V896">
        <v>4.5410039999999999E-2</v>
      </c>
      <c r="W896">
        <v>0.18806929999999999</v>
      </c>
      <c r="X896">
        <v>0.98110540000000002</v>
      </c>
      <c r="Y896">
        <v>0.1031202</v>
      </c>
      <c r="Z896">
        <v>-2.039502E-2</v>
      </c>
      <c r="AA896">
        <v>0.9944598</v>
      </c>
      <c r="AB896">
        <v>38</v>
      </c>
      <c r="AC896">
        <v>0.62749999999999695</v>
      </c>
      <c r="AD896">
        <v>-0.28381899999999899</v>
      </c>
      <c r="AE896">
        <v>-8.6900000000014105E-2</v>
      </c>
      <c r="AF896">
        <v>7.7869119471305495E-2</v>
      </c>
      <c r="AG896">
        <v>-0.28381899999999899</v>
      </c>
      <c r="AH896">
        <v>0.52180950495728096</v>
      </c>
      <c r="AI896">
        <v>118.278299914276</v>
      </c>
      <c r="AJ896">
        <v>81.512441296642095</v>
      </c>
      <c r="AK896">
        <v>0.59908428788610202</v>
      </c>
      <c r="AL896">
        <v>79.159867518556297</v>
      </c>
      <c r="AM896">
        <v>87.349980838385903</v>
      </c>
      <c r="AN896">
        <v>0.99999996962222504</v>
      </c>
    </row>
    <row r="897" spans="1:40" x14ac:dyDescent="0.25">
      <c r="A897" t="str">
        <f>"20190303162758356"</f>
        <v>20190303162758356</v>
      </c>
      <c r="B897" t="str">
        <f>"1551601678342523"</f>
        <v>1551601678342523</v>
      </c>
      <c r="C897" t="s">
        <v>40</v>
      </c>
      <c r="D897">
        <v>5.0443569999999998</v>
      </c>
      <c r="E897">
        <v>0.53018180000000004</v>
      </c>
      <c r="F897" t="s">
        <v>44</v>
      </c>
      <c r="G897">
        <v>-276.8802</v>
      </c>
      <c r="H897">
        <v>0.764679</v>
      </c>
      <c r="I897">
        <v>368.66539999999998</v>
      </c>
      <c r="J897">
        <v>-277.62240000000003</v>
      </c>
      <c r="K897">
        <v>1.083475</v>
      </c>
      <c r="L897">
        <v>368.76209999999998</v>
      </c>
      <c r="M897">
        <v>0.99991580000000002</v>
      </c>
      <c r="N897">
        <v>-7.5965950000000003E-3</v>
      </c>
      <c r="O897">
        <v>1.0524439999999999E-2</v>
      </c>
      <c r="P897">
        <v>0.98293609999999998</v>
      </c>
      <c r="Q897">
        <v>0.1805929</v>
      </c>
      <c r="R897">
        <v>-3.4972650000000001E-2</v>
      </c>
      <c r="S897">
        <v>3.239655</v>
      </c>
      <c r="T897">
        <v>-1.082503</v>
      </c>
      <c r="U897">
        <v>-0.32180789999999998</v>
      </c>
      <c r="V897">
        <v>4.5323189999999999E-2</v>
      </c>
      <c r="W897">
        <v>0.18804960000000001</v>
      </c>
      <c r="X897">
        <v>0.98111329999999997</v>
      </c>
      <c r="Y897">
        <v>0.10308920000000001</v>
      </c>
      <c r="Z897">
        <v>-2.0471099999999999E-2</v>
      </c>
      <c r="AA897">
        <v>0.99446140000000005</v>
      </c>
      <c r="AB897">
        <v>38</v>
      </c>
      <c r="AC897">
        <v>0.74220000000002495</v>
      </c>
      <c r="AD897">
        <v>-0.31879600000000002</v>
      </c>
      <c r="AE897">
        <v>-9.6699999999998398E-2</v>
      </c>
      <c r="AF897">
        <v>8.8458413133860603E-2</v>
      </c>
      <c r="AG897">
        <v>-0.31879600000000002</v>
      </c>
      <c r="AH897">
        <v>0.62733337677342904</v>
      </c>
      <c r="AI897">
        <v>116.711469792259</v>
      </c>
      <c r="AJ897">
        <v>81.973808313177798</v>
      </c>
      <c r="AK897">
        <v>0.70922700603129396</v>
      </c>
      <c r="AL897">
        <v>79.161017912213495</v>
      </c>
      <c r="AM897">
        <v>87.355063255286495</v>
      </c>
      <c r="AN897">
        <v>1.0000000755244101</v>
      </c>
    </row>
    <row r="898" spans="1:40" x14ac:dyDescent="0.25">
      <c r="A898" t="str">
        <f>"20190303162758367"</f>
        <v>20190303162758367</v>
      </c>
      <c r="B898" t="str">
        <f>"1551601678362045"</f>
        <v>1551601678362045</v>
      </c>
      <c r="C898" t="s">
        <v>40</v>
      </c>
      <c r="D898">
        <v>5.0801239999999996</v>
      </c>
      <c r="E898">
        <v>0.53015100000000004</v>
      </c>
      <c r="F898" t="s">
        <v>44</v>
      </c>
      <c r="G898">
        <v>-276.85590000000002</v>
      </c>
      <c r="H898">
        <v>0.82740689999999995</v>
      </c>
      <c r="I898">
        <v>368.68560000000002</v>
      </c>
      <c r="J898">
        <v>-277.42290000000003</v>
      </c>
      <c r="K898">
        <v>1.0849489999999999</v>
      </c>
      <c r="L898">
        <v>368.76420000000002</v>
      </c>
      <c r="M898">
        <v>0.99991569999999996</v>
      </c>
      <c r="N898">
        <v>-7.6047859999999997E-3</v>
      </c>
      <c r="O898">
        <v>1.0524230000000001E-2</v>
      </c>
      <c r="P898">
        <v>0.98297480000000004</v>
      </c>
      <c r="Q898">
        <v>0.18038940000000001</v>
      </c>
      <c r="R898">
        <v>-3.493404E-2</v>
      </c>
      <c r="S898">
        <v>3.2395019999999999</v>
      </c>
      <c r="T898">
        <v>-1.082311</v>
      </c>
      <c r="U898">
        <v>-0.3223877</v>
      </c>
      <c r="V898">
        <v>4.5284909999999998E-2</v>
      </c>
      <c r="W898">
        <v>0.18785479999999999</v>
      </c>
      <c r="X898">
        <v>0.98115229999999998</v>
      </c>
      <c r="Y898">
        <v>0.1032619</v>
      </c>
      <c r="Z898">
        <v>-2.0497439999999999E-2</v>
      </c>
      <c r="AA898">
        <v>0.99444299999999997</v>
      </c>
      <c r="AB898">
        <v>38</v>
      </c>
      <c r="AC898">
        <v>0.56700000000000705</v>
      </c>
      <c r="AD898">
        <v>-0.2575421</v>
      </c>
      <c r="AE898">
        <v>-7.8599999999994397E-2</v>
      </c>
      <c r="AF898">
        <v>7.0327104577780797E-2</v>
      </c>
      <c r="AG898">
        <v>-0.2575421</v>
      </c>
      <c r="AH898">
        <v>0.47083305990426999</v>
      </c>
      <c r="AI898">
        <v>118.412978512186</v>
      </c>
      <c r="AJ898">
        <v>81.504686055983299</v>
      </c>
      <c r="AK898">
        <v>0.54125558215091096</v>
      </c>
      <c r="AL898">
        <v>79.172380740597404</v>
      </c>
      <c r="AM898">
        <v>87.357398899016403</v>
      </c>
      <c r="AN898">
        <v>0.999999992376019</v>
      </c>
    </row>
    <row r="899" spans="1:40" x14ac:dyDescent="0.25">
      <c r="A899" t="str">
        <f>"20190303162758378"</f>
        <v>20190303162758378</v>
      </c>
      <c r="B899" t="str">
        <f>"1551601678372779"</f>
        <v>1551601678372779</v>
      </c>
      <c r="C899" t="s">
        <v>40</v>
      </c>
      <c r="D899">
        <v>5.073779</v>
      </c>
      <c r="E899">
        <v>0.53013540000000003</v>
      </c>
      <c r="F899" t="s">
        <v>44</v>
      </c>
      <c r="G899">
        <v>-276.5351</v>
      </c>
      <c r="H899">
        <v>0.78752319999999998</v>
      </c>
      <c r="I899">
        <v>368.6755</v>
      </c>
      <c r="J899">
        <v>-277.22989999999999</v>
      </c>
      <c r="K899">
        <v>1.0864130000000001</v>
      </c>
      <c r="L899">
        <v>368.76620000000003</v>
      </c>
      <c r="M899">
        <v>0.99991649999999999</v>
      </c>
      <c r="N899">
        <v>-7.5145389999999998E-3</v>
      </c>
      <c r="O899">
        <v>1.05241E-2</v>
      </c>
      <c r="P899">
        <v>0.98302999999999996</v>
      </c>
      <c r="Q899">
        <v>0.180092899999999</v>
      </c>
      <c r="R899">
        <v>-3.4911900000000003E-2</v>
      </c>
      <c r="S899">
        <v>3.2396850000000001</v>
      </c>
      <c r="T899">
        <v>-1.0852660000000001</v>
      </c>
      <c r="U899">
        <v>-0.32199100000000003</v>
      </c>
      <c r="V899">
        <v>4.5263089999999999E-2</v>
      </c>
      <c r="W899">
        <v>0.1874702</v>
      </c>
      <c r="X899">
        <v>0.98122690000000001</v>
      </c>
      <c r="Y899">
        <v>0.1031128</v>
      </c>
      <c r="Z899">
        <v>-2.0520030000000002E-2</v>
      </c>
      <c r="AA899">
        <v>0.99445799999999995</v>
      </c>
      <c r="AB899">
        <v>38</v>
      </c>
      <c r="AC899">
        <v>0.69479999999998598</v>
      </c>
      <c r="AD899">
        <v>-0.29888979999999898</v>
      </c>
      <c r="AE899">
        <v>-9.0700000000026607E-2</v>
      </c>
      <c r="AF899">
        <v>8.2919673778244801E-2</v>
      </c>
      <c r="AG899">
        <v>-0.29888979999999898</v>
      </c>
      <c r="AH899">
        <v>0.58699944466812604</v>
      </c>
      <c r="AI899">
        <v>116.75618991771699</v>
      </c>
      <c r="AJ899">
        <v>81.959584329791994</v>
      </c>
      <c r="AK899">
        <v>0.66391199182136995</v>
      </c>
      <c r="AL899">
        <v>79.1948156497415</v>
      </c>
      <c r="AM899">
        <v>87.358870930227496</v>
      </c>
      <c r="AN899">
        <v>1.0000000262439901</v>
      </c>
    </row>
    <row r="900" spans="1:40" x14ac:dyDescent="0.25">
      <c r="A900" t="str">
        <f>"20190303162758390"</f>
        <v>20190303162758390</v>
      </c>
      <c r="B900" t="str">
        <f>"1551601678382539"</f>
        <v>1551601678382539</v>
      </c>
      <c r="C900" t="s">
        <v>40</v>
      </c>
      <c r="D900">
        <v>5.0679499999999997</v>
      </c>
      <c r="E900">
        <v>0.53015109999999999</v>
      </c>
      <c r="F900" t="s">
        <v>44</v>
      </c>
      <c r="G900">
        <v>-276.51229999999998</v>
      </c>
      <c r="H900">
        <v>0.84604299999999999</v>
      </c>
      <c r="I900">
        <v>368.69450000000001</v>
      </c>
      <c r="J900">
        <v>-277.048</v>
      </c>
      <c r="K900">
        <v>1.087828</v>
      </c>
      <c r="L900">
        <v>368.76819999999998</v>
      </c>
      <c r="M900">
        <v>0.99991730000000001</v>
      </c>
      <c r="N900">
        <v>-7.4053859999999999E-3</v>
      </c>
      <c r="O900">
        <v>1.052398E-2</v>
      </c>
      <c r="P900">
        <v>0.98312379999999999</v>
      </c>
      <c r="Q900">
        <v>0.179561</v>
      </c>
      <c r="R900">
        <v>-3.501261E-2</v>
      </c>
      <c r="S900">
        <v>3.239166</v>
      </c>
      <c r="T900">
        <v>-1.0850340000000001</v>
      </c>
      <c r="U900">
        <v>-0.32177729999999999</v>
      </c>
      <c r="V900">
        <v>4.5364649999999999E-2</v>
      </c>
      <c r="W900">
        <v>0.18683179999999999</v>
      </c>
      <c r="X900">
        <v>0.98134390000000005</v>
      </c>
      <c r="Y900">
        <v>0.1030681</v>
      </c>
      <c r="Z900">
        <v>-2.050687E-2</v>
      </c>
      <c r="AA900">
        <v>0.99446290000000004</v>
      </c>
      <c r="AB900">
        <v>38</v>
      </c>
      <c r="AC900">
        <v>0.53570000000001905</v>
      </c>
      <c r="AD900">
        <v>-0.241785</v>
      </c>
      <c r="AE900">
        <v>-7.3699999999973898E-2</v>
      </c>
      <c r="AF900">
        <v>6.6115477696808894E-2</v>
      </c>
      <c r="AG900">
        <v>-0.241785</v>
      </c>
      <c r="AH900">
        <v>0.44577257397972903</v>
      </c>
      <c r="AI900">
        <v>118.214728657311</v>
      </c>
      <c r="AJ900">
        <v>81.563586263523305</v>
      </c>
      <c r="AK900">
        <v>0.51141414756397796</v>
      </c>
      <c r="AL900">
        <v>79.232050478553305</v>
      </c>
      <c r="AM900">
        <v>87.353268404770304</v>
      </c>
      <c r="AN900">
        <v>0.99999996151403503</v>
      </c>
    </row>
    <row r="901" spans="1:40" x14ac:dyDescent="0.25">
      <c r="A901" t="str">
        <f>"20190303162758402"</f>
        <v>20190303162758402</v>
      </c>
      <c r="B901" t="str">
        <f>"1551601678392299"</f>
        <v>1551601678392299</v>
      </c>
      <c r="C901" t="s">
        <v>40</v>
      </c>
      <c r="D901">
        <v>5.0376519999999996</v>
      </c>
      <c r="E901">
        <v>0.53010919999999995</v>
      </c>
      <c r="F901" t="s">
        <v>44</v>
      </c>
      <c r="G901">
        <v>-276.19240000000002</v>
      </c>
      <c r="H901">
        <v>0.8011701</v>
      </c>
      <c r="I901">
        <v>368.68299999999999</v>
      </c>
      <c r="J901">
        <v>-276.84480000000002</v>
      </c>
      <c r="K901">
        <v>1.0894360000000001</v>
      </c>
      <c r="L901">
        <v>368.77030000000002</v>
      </c>
      <c r="M901">
        <v>0.99991819999999998</v>
      </c>
      <c r="N901">
        <v>-7.2683069999999999E-3</v>
      </c>
      <c r="O901">
        <v>1.052401E-2</v>
      </c>
      <c r="P901">
        <v>0.98316409999999999</v>
      </c>
      <c r="Q901">
        <v>0.17933360000000001</v>
      </c>
      <c r="R901">
        <v>-3.5044850000000002E-2</v>
      </c>
      <c r="S901">
        <v>3.2381289999999998</v>
      </c>
      <c r="T901">
        <v>-1.084813</v>
      </c>
      <c r="U901">
        <v>-0.32186890000000001</v>
      </c>
      <c r="V901">
        <v>4.5397479999999997E-2</v>
      </c>
      <c r="W901">
        <v>0.1864701</v>
      </c>
      <c r="X901">
        <v>0.98141120000000004</v>
      </c>
      <c r="Y901">
        <v>0.1031248</v>
      </c>
      <c r="Z901">
        <v>-2.0512619999999999E-2</v>
      </c>
      <c r="AA901">
        <v>0.99445689999999998</v>
      </c>
      <c r="AB901">
        <v>38</v>
      </c>
      <c r="AC901">
        <v>0.65239999999999998</v>
      </c>
      <c r="AD901">
        <v>-0.28826590000000002</v>
      </c>
      <c r="AE901">
        <v>-8.7299999999970596E-2</v>
      </c>
      <c r="AF901">
        <v>7.9007492491669107E-2</v>
      </c>
      <c r="AG901">
        <v>-0.28826590000000002</v>
      </c>
      <c r="AH901">
        <v>0.54660558584397601</v>
      </c>
      <c r="AI901">
        <v>117.56232473075301</v>
      </c>
      <c r="AJ901">
        <v>81.775312677577304</v>
      </c>
      <c r="AK901">
        <v>0.62299043287073697</v>
      </c>
      <c r="AL901">
        <v>79.253145344172793</v>
      </c>
      <c r="AM901">
        <v>87.351537086374606</v>
      </c>
      <c r="AN901">
        <v>0.99999998643489996</v>
      </c>
    </row>
    <row r="902" spans="1:40" x14ac:dyDescent="0.25">
      <c r="A902" t="str">
        <f>"20190303162758414"</f>
        <v>20190303162758414</v>
      </c>
      <c r="B902" t="str">
        <f>"1551601678402059"</f>
        <v>1551601678402059</v>
      </c>
      <c r="C902" t="s">
        <v>40</v>
      </c>
      <c r="D902">
        <v>5.050522</v>
      </c>
      <c r="E902">
        <v>0.53012230000000005</v>
      </c>
      <c r="F902" t="s">
        <v>44</v>
      </c>
      <c r="G902">
        <v>-276.16829999999999</v>
      </c>
      <c r="H902">
        <v>0.86292089999999999</v>
      </c>
      <c r="I902">
        <v>368.7029</v>
      </c>
      <c r="J902">
        <v>-276.64010000000002</v>
      </c>
      <c r="K902">
        <v>1.091089</v>
      </c>
      <c r="L902">
        <v>368.7724</v>
      </c>
      <c r="M902">
        <v>0.99991890000000005</v>
      </c>
      <c r="N902">
        <v>-7.191785E-3</v>
      </c>
      <c r="O902">
        <v>1.052412E-2</v>
      </c>
      <c r="P902">
        <v>0.98321340000000002</v>
      </c>
      <c r="Q902">
        <v>0.1790677</v>
      </c>
      <c r="R902">
        <v>-3.5021009999999998E-2</v>
      </c>
      <c r="S902">
        <v>3.2376399999999999</v>
      </c>
      <c r="T902">
        <v>-1.0840609999999999</v>
      </c>
      <c r="U902">
        <v>-0.32229609999999997</v>
      </c>
      <c r="V902">
        <v>4.5374209999999998E-2</v>
      </c>
      <c r="W902">
        <v>0.1861295</v>
      </c>
      <c r="X902">
        <v>0.98147700000000004</v>
      </c>
      <c r="Y902">
        <v>0.10326929999999999</v>
      </c>
      <c r="Z902">
        <v>-2.052288E-2</v>
      </c>
      <c r="AA902">
        <v>0.99444169999999998</v>
      </c>
      <c r="AB902">
        <v>38</v>
      </c>
      <c r="AC902">
        <v>0.47180000000002997</v>
      </c>
      <c r="AD902">
        <v>-0.22816809999999901</v>
      </c>
      <c r="AE902">
        <v>-6.9500000000005002E-2</v>
      </c>
      <c r="AF902">
        <v>6.0591392747100098E-2</v>
      </c>
      <c r="AG902">
        <v>-0.22816809999999901</v>
      </c>
      <c r="AH902">
        <v>0.38330001676092401</v>
      </c>
      <c r="AI902">
        <v>120.45433014165801</v>
      </c>
      <c r="AJ902">
        <v>81.017115360714598</v>
      </c>
      <c r="AK902">
        <v>0.450167637199264</v>
      </c>
      <c r="AL902">
        <v>79.273008775013494</v>
      </c>
      <c r="AM902">
        <v>87.353069927804398</v>
      </c>
      <c r="AN902">
        <v>1.0000000556161801</v>
      </c>
    </row>
    <row r="903" spans="1:40" x14ac:dyDescent="0.25">
      <c r="A903" t="str">
        <f>"20190303162758428"</f>
        <v>20190303162758428</v>
      </c>
      <c r="B903" t="str">
        <f>"1551601678422556"</f>
        <v>1551601678422556</v>
      </c>
      <c r="C903" t="s">
        <v>40</v>
      </c>
      <c r="D903">
        <v>5.0496439999999998</v>
      </c>
      <c r="E903">
        <v>0.53004050000000003</v>
      </c>
      <c r="F903" t="s">
        <v>44</v>
      </c>
      <c r="G903">
        <v>-275.8451</v>
      </c>
      <c r="H903">
        <v>0.82506639999999998</v>
      </c>
      <c r="I903">
        <v>368.69279999999998</v>
      </c>
      <c r="J903">
        <v>-276.41109999999998</v>
      </c>
      <c r="K903">
        <v>1.092951</v>
      </c>
      <c r="L903">
        <v>368.7749</v>
      </c>
      <c r="M903">
        <v>0.99991909999999895</v>
      </c>
      <c r="N903">
        <v>-7.1533350000000002E-3</v>
      </c>
      <c r="O903">
        <v>1.052443E-2</v>
      </c>
      <c r="P903">
        <v>0.9832805</v>
      </c>
      <c r="Q903">
        <v>0.1786451</v>
      </c>
      <c r="R903">
        <v>-3.5293190000000002E-2</v>
      </c>
      <c r="S903">
        <v>3.2369690000000002</v>
      </c>
      <c r="T903">
        <v>-1.0830519999999999</v>
      </c>
      <c r="U903">
        <v>-0.32266240000000002</v>
      </c>
      <c r="V903">
        <v>4.5647310000000003E-2</v>
      </c>
      <c r="W903">
        <v>0.18566949999999999</v>
      </c>
      <c r="X903">
        <v>0.98155139999999996</v>
      </c>
      <c r="Y903">
        <v>0.10340340000000001</v>
      </c>
      <c r="Z903">
        <v>-2.0529579999999999E-2</v>
      </c>
      <c r="AA903">
        <v>0.99442759999999997</v>
      </c>
      <c r="AB903">
        <v>38</v>
      </c>
      <c r="AC903">
        <v>0.56599999999997397</v>
      </c>
      <c r="AD903">
        <v>-0.26788459999999897</v>
      </c>
      <c r="AE903">
        <v>-8.2100000000025306E-2</v>
      </c>
      <c r="AF903">
        <v>7.2210143390976006E-2</v>
      </c>
      <c r="AG903">
        <v>-0.26788459999999897</v>
      </c>
      <c r="AH903">
        <v>0.46343163148204802</v>
      </c>
      <c r="AI903">
        <v>119.733008359786</v>
      </c>
      <c r="AJ903">
        <v>81.143606510022906</v>
      </c>
      <c r="AK903">
        <v>0.54013455803514199</v>
      </c>
      <c r="AL903">
        <v>79.299831750366806</v>
      </c>
      <c r="AM903">
        <v>87.337362896426896</v>
      </c>
      <c r="AN903">
        <v>0.99999999549122298</v>
      </c>
    </row>
    <row r="904" spans="1:40" x14ac:dyDescent="0.25">
      <c r="A904" t="str">
        <f>"20190303162758441"</f>
        <v>20190303162758441</v>
      </c>
      <c r="B904" t="str">
        <f>"1551601678432315"</f>
        <v>1551601678432315</v>
      </c>
      <c r="C904" t="s">
        <v>40</v>
      </c>
      <c r="D904">
        <v>5.0466610000000003</v>
      </c>
      <c r="E904">
        <v>0.53000159999999996</v>
      </c>
      <c r="F904" t="s">
        <v>44</v>
      </c>
      <c r="G904">
        <v>-275.5188</v>
      </c>
      <c r="H904">
        <v>0.7942958</v>
      </c>
      <c r="I904">
        <v>368.68549999999999</v>
      </c>
      <c r="J904">
        <v>-276.17180000000002</v>
      </c>
      <c r="K904">
        <v>1.0949</v>
      </c>
      <c r="L904">
        <v>368.7774</v>
      </c>
      <c r="M904">
        <v>0.9999188</v>
      </c>
      <c r="N904">
        <v>-7.1977419999999896E-3</v>
      </c>
      <c r="O904">
        <v>1.0524749999999999E-2</v>
      </c>
      <c r="P904">
        <v>0.98340090000000002</v>
      </c>
      <c r="Q904">
        <v>0.1779184</v>
      </c>
      <c r="R904">
        <v>-3.5608180000000003E-2</v>
      </c>
      <c r="S904">
        <v>3.236145</v>
      </c>
      <c r="T904">
        <v>-1.083089</v>
      </c>
      <c r="U904">
        <v>-0.32324219999999998</v>
      </c>
      <c r="V904">
        <v>4.5963789999999997E-2</v>
      </c>
      <c r="W904">
        <v>0.18498719999999999</v>
      </c>
      <c r="X904">
        <v>0.98166540000000002</v>
      </c>
      <c r="Y904">
        <v>0.10359069999999999</v>
      </c>
      <c r="Z904">
        <v>-2.0568110000000001E-2</v>
      </c>
      <c r="AA904">
        <v>0.99440729999999999</v>
      </c>
      <c r="AB904">
        <v>38</v>
      </c>
      <c r="AC904">
        <v>0.65300000000002001</v>
      </c>
      <c r="AD904">
        <v>-0.30060419999999899</v>
      </c>
      <c r="AE904">
        <v>-9.1900000000009599E-2</v>
      </c>
      <c r="AF904">
        <v>8.1774905273337598E-2</v>
      </c>
      <c r="AG904">
        <v>-0.30060419999999899</v>
      </c>
      <c r="AH904">
        <v>0.53982154378074398</v>
      </c>
      <c r="AI904">
        <v>118.836171792196</v>
      </c>
      <c r="AJ904">
        <v>81.386036591930406</v>
      </c>
      <c r="AK904">
        <v>0.62326344295163805</v>
      </c>
      <c r="AL904">
        <v>79.339613285096405</v>
      </c>
      <c r="AM904">
        <v>87.319240153224499</v>
      </c>
      <c r="AN904">
        <v>0.99999994585607999</v>
      </c>
    </row>
    <row r="905" spans="1:40" x14ac:dyDescent="0.25">
      <c r="A905" t="str">
        <f>"20190303162758456"</f>
        <v>20190303162758456</v>
      </c>
      <c r="B905" t="str">
        <f>"1551601678451835"</f>
        <v>1551601678451835</v>
      </c>
      <c r="C905" t="s">
        <v>40</v>
      </c>
      <c r="D905">
        <v>5.0145289999999996</v>
      </c>
      <c r="E905">
        <v>0.52984489999999995</v>
      </c>
      <c r="F905" t="s">
        <v>44</v>
      </c>
      <c r="G905">
        <v>-275.4907</v>
      </c>
      <c r="H905">
        <v>0.86644920000000003</v>
      </c>
      <c r="I905">
        <v>368.709</v>
      </c>
      <c r="J905">
        <v>-275.9239</v>
      </c>
      <c r="K905">
        <v>1.0968789999999999</v>
      </c>
      <c r="L905">
        <v>368.78</v>
      </c>
      <c r="M905">
        <v>0.99991750000000001</v>
      </c>
      <c r="N905">
        <v>-7.3506939999999996E-3</v>
      </c>
      <c r="O905">
        <v>1.05252E-2</v>
      </c>
      <c r="P905">
        <v>0.98365769999999997</v>
      </c>
      <c r="Q905">
        <v>0.17634</v>
      </c>
      <c r="R905">
        <v>-3.6357500000000001E-2</v>
      </c>
      <c r="S905">
        <v>3.2352910000000001</v>
      </c>
      <c r="T905">
        <v>-1.085159</v>
      </c>
      <c r="U905">
        <v>-0.32385249999999999</v>
      </c>
      <c r="V905">
        <v>4.6716250000000001E-2</v>
      </c>
      <c r="W905">
        <v>0.1835611</v>
      </c>
      <c r="X905">
        <v>0.98189760000000004</v>
      </c>
      <c r="Y905">
        <v>0.1037648</v>
      </c>
      <c r="Z905">
        <v>-2.0645500000000001E-2</v>
      </c>
      <c r="AA905">
        <v>0.99438760000000004</v>
      </c>
      <c r="AB905">
        <v>38</v>
      </c>
      <c r="AC905">
        <v>0.43319999999999897</v>
      </c>
      <c r="AD905">
        <v>-0.23042979999999999</v>
      </c>
      <c r="AE905">
        <v>-7.0999999999969504E-2</v>
      </c>
      <c r="AF905">
        <v>5.9234184246897699E-2</v>
      </c>
      <c r="AG905">
        <v>-0.23042979999999999</v>
      </c>
      <c r="AH905">
        <v>0.339015566825624</v>
      </c>
      <c r="AI905">
        <v>123.804651498206</v>
      </c>
      <c r="AJ905">
        <v>80.089094296205104</v>
      </c>
      <c r="AK905">
        <v>0.41417162609422498</v>
      </c>
      <c r="AL905">
        <v>79.422746959048695</v>
      </c>
      <c r="AM905">
        <v>87.276063142228097</v>
      </c>
      <c r="AN905">
        <v>0.99999999116651594</v>
      </c>
    </row>
    <row r="906" spans="1:40" x14ac:dyDescent="0.25">
      <c r="A906" t="str">
        <f>"20190303162758467"</f>
        <v>20190303162758467</v>
      </c>
      <c r="B906" t="str">
        <f>"1551601678462572"</f>
        <v>1551601678462572</v>
      </c>
      <c r="C906" t="s">
        <v>40</v>
      </c>
      <c r="D906">
        <v>4.9874549999999997</v>
      </c>
      <c r="E906">
        <v>0.52974670000000001</v>
      </c>
      <c r="F906" t="s">
        <v>44</v>
      </c>
      <c r="G906">
        <v>-275.16269999999997</v>
      </c>
      <c r="H906">
        <v>0.84017369999999902</v>
      </c>
      <c r="I906">
        <v>368.7029</v>
      </c>
      <c r="J906">
        <v>-275.73160000000001</v>
      </c>
      <c r="K906">
        <v>1.09839</v>
      </c>
      <c r="L906">
        <v>368.78199999999998</v>
      </c>
      <c r="M906">
        <v>0.99991649999999999</v>
      </c>
      <c r="N906">
        <v>-7.5038209999999999E-3</v>
      </c>
      <c r="O906">
        <v>1.052546E-2</v>
      </c>
      <c r="P906">
        <v>0.98377250000000005</v>
      </c>
      <c r="Q906">
        <v>0.175587299999999</v>
      </c>
      <c r="R906">
        <v>-3.6886389999999998E-2</v>
      </c>
      <c r="S906">
        <v>3.2332459999999998</v>
      </c>
      <c r="T906">
        <v>-1.0902769999999999</v>
      </c>
      <c r="U906">
        <v>-0.32592769999999999</v>
      </c>
      <c r="V906">
        <v>4.7246549999999998E-2</v>
      </c>
      <c r="W906">
        <v>0.18295919999999999</v>
      </c>
      <c r="X906">
        <v>0.98198459999999999</v>
      </c>
      <c r="Y906">
        <v>0.1043587</v>
      </c>
      <c r="Z906">
        <v>-2.0854350000000001E-2</v>
      </c>
      <c r="AA906">
        <v>0.99432100000000001</v>
      </c>
      <c r="AB906">
        <v>38</v>
      </c>
      <c r="AC906">
        <v>0.56890000000004104</v>
      </c>
      <c r="AD906">
        <v>-0.25821630000000001</v>
      </c>
      <c r="AE906">
        <v>-7.9099999999982601E-2</v>
      </c>
      <c r="AF906">
        <v>7.0778870010940603E-2</v>
      </c>
      <c r="AG906">
        <v>-0.25821630000000001</v>
      </c>
      <c r="AH906">
        <v>0.47253386035309197</v>
      </c>
      <c r="AI906">
        <v>118.38774523881099</v>
      </c>
      <c r="AJ906">
        <v>81.481236547932298</v>
      </c>
      <c r="AK906">
        <v>0.54311467960819404</v>
      </c>
      <c r="AL906">
        <v>79.457827810073496</v>
      </c>
      <c r="AM906">
        <v>87.245433399151494</v>
      </c>
      <c r="AN906">
        <v>1.0000000299943499</v>
      </c>
    </row>
    <row r="907" spans="1:40" x14ac:dyDescent="0.25">
      <c r="A907" t="str">
        <f>"20190303162758479"</f>
        <v>20190303162758479</v>
      </c>
      <c r="B907" t="str">
        <f>"1551601678472331"</f>
        <v>1551601678472331</v>
      </c>
      <c r="C907" t="s">
        <v>40</v>
      </c>
      <c r="D907">
        <v>4.9756359999999997</v>
      </c>
      <c r="E907">
        <v>0.52968719999999903</v>
      </c>
      <c r="F907" t="s">
        <v>44</v>
      </c>
      <c r="G907">
        <v>-274.84120000000001</v>
      </c>
      <c r="H907">
        <v>0.79740699999999998</v>
      </c>
      <c r="I907">
        <v>368.69200000000001</v>
      </c>
      <c r="J907">
        <v>-275.53320000000002</v>
      </c>
      <c r="K907">
        <v>1.0999019999999999</v>
      </c>
      <c r="L907">
        <v>368.78410000000002</v>
      </c>
      <c r="M907">
        <v>0.999915</v>
      </c>
      <c r="N907">
        <v>-7.7013699999999999E-3</v>
      </c>
      <c r="O907">
        <v>1.052553E-2</v>
      </c>
      <c r="P907">
        <v>0.98387170000000002</v>
      </c>
      <c r="Q907">
        <v>0.174900799999999</v>
      </c>
      <c r="R907">
        <v>-3.750299E-2</v>
      </c>
      <c r="S907">
        <v>3.2322690000000001</v>
      </c>
      <c r="T907">
        <v>-1.092608</v>
      </c>
      <c r="U907">
        <v>-0.32629390000000003</v>
      </c>
      <c r="V907">
        <v>4.7864129999999998E-2</v>
      </c>
      <c r="W907">
        <v>0.1824674</v>
      </c>
      <c r="X907">
        <v>0.98204619999999998</v>
      </c>
      <c r="Y907">
        <v>0.1044615</v>
      </c>
      <c r="Z907">
        <v>-2.0927660000000001E-2</v>
      </c>
      <c r="AA907">
        <v>0.99430870000000005</v>
      </c>
      <c r="AB907">
        <v>38</v>
      </c>
      <c r="AC907">
        <v>0.69200000000000705</v>
      </c>
      <c r="AD907">
        <v>-0.30249500000000001</v>
      </c>
      <c r="AE907">
        <v>-9.2100000000073096E-2</v>
      </c>
      <c r="AF907">
        <v>8.3669210165513305E-2</v>
      </c>
      <c r="AG907">
        <v>-0.30249500000000001</v>
      </c>
      <c r="AH907">
        <v>0.58176176404269497</v>
      </c>
      <c r="AI907">
        <v>117.233438331443</v>
      </c>
      <c r="AJ907">
        <v>81.815818143682606</v>
      </c>
      <c r="AK907">
        <v>0.66102232326661203</v>
      </c>
      <c r="AL907">
        <v>79.486488370052399</v>
      </c>
      <c r="AM907">
        <v>87.209658580355395</v>
      </c>
      <c r="AN907">
        <v>1.00000003296892</v>
      </c>
    </row>
    <row r="908" spans="1:40" x14ac:dyDescent="0.25">
      <c r="A908" t="str">
        <f>"20190303162758491"</f>
        <v>20190303162758491</v>
      </c>
      <c r="B908" t="str">
        <f>"1551601678482092"</f>
        <v>1551601678482092</v>
      </c>
      <c r="C908" t="s">
        <v>40</v>
      </c>
      <c r="D908">
        <v>4.9769540000000001</v>
      </c>
      <c r="E908">
        <v>0.52962200000000004</v>
      </c>
      <c r="F908" t="s">
        <v>44</v>
      </c>
      <c r="G908">
        <v>-274.8177</v>
      </c>
      <c r="H908">
        <v>0.85754129999999995</v>
      </c>
      <c r="I908">
        <v>368.71159999999998</v>
      </c>
      <c r="J908">
        <v>-275.32960000000003</v>
      </c>
      <c r="K908">
        <v>1.1013900000000001</v>
      </c>
      <c r="L908">
        <v>368.78620000000001</v>
      </c>
      <c r="M908">
        <v>0.9999131</v>
      </c>
      <c r="N908">
        <v>-7.9320129999999999E-3</v>
      </c>
      <c r="O908">
        <v>1.0525629999999999E-2</v>
      </c>
      <c r="P908">
        <v>0.98391059999999997</v>
      </c>
      <c r="Q908">
        <v>0.17458950000000001</v>
      </c>
      <c r="R908">
        <v>-3.7930310000000002E-2</v>
      </c>
      <c r="S908">
        <v>3.231293</v>
      </c>
      <c r="T908">
        <v>-1.094684</v>
      </c>
      <c r="U908">
        <v>-0.32696530000000001</v>
      </c>
      <c r="V908">
        <v>4.8291870000000001E-2</v>
      </c>
      <c r="W908">
        <v>0.18238299999999999</v>
      </c>
      <c r="X908">
        <v>0.98204089999999999</v>
      </c>
      <c r="Y908">
        <v>0.1046545</v>
      </c>
      <c r="Z908">
        <v>-2.1013069999999998E-2</v>
      </c>
      <c r="AA908">
        <v>0.99428660000000002</v>
      </c>
      <c r="AB908">
        <v>38</v>
      </c>
      <c r="AC908">
        <v>0.511900000000025</v>
      </c>
      <c r="AD908">
        <v>-0.243848699999999</v>
      </c>
      <c r="AE908">
        <v>-7.4600000000032196E-2</v>
      </c>
      <c r="AF908">
        <v>6.5442739072091693E-2</v>
      </c>
      <c r="AG908">
        <v>-0.243848699999999</v>
      </c>
      <c r="AH908">
        <v>0.41816925235076002</v>
      </c>
      <c r="AI908">
        <v>119.947172043715</v>
      </c>
      <c r="AJ908">
        <v>81.105458970278207</v>
      </c>
      <c r="AK908">
        <v>0.48847770082219899</v>
      </c>
      <c r="AL908">
        <v>79.491406274610199</v>
      </c>
      <c r="AM908">
        <v>87.184747334866202</v>
      </c>
      <c r="AN908">
        <v>0.99999999633495296</v>
      </c>
    </row>
    <row r="909" spans="1:40" x14ac:dyDescent="0.25">
      <c r="A909" t="str">
        <f>"20190303162758507"</f>
        <v>20190303162758507</v>
      </c>
      <c r="B909" t="str">
        <f>"1551601678502587"</f>
        <v>1551601678502587</v>
      </c>
      <c r="C909" t="s">
        <v>40</v>
      </c>
      <c r="D909">
        <v>4.9738020000000001</v>
      </c>
      <c r="E909">
        <v>0.52950509999999995</v>
      </c>
      <c r="F909" t="s">
        <v>44</v>
      </c>
      <c r="G909">
        <v>-274.49489999999997</v>
      </c>
      <c r="H909">
        <v>0.8184707</v>
      </c>
      <c r="I909">
        <v>368.70139999999998</v>
      </c>
      <c r="J909">
        <v>-275.08139999999997</v>
      </c>
      <c r="K909">
        <v>1.1031409999999999</v>
      </c>
      <c r="L909">
        <v>368.78879999999998</v>
      </c>
      <c r="M909">
        <v>0.99991079999999999</v>
      </c>
      <c r="N909">
        <v>-8.2339430000000005E-3</v>
      </c>
      <c r="O909">
        <v>1.052558E-2</v>
      </c>
      <c r="P909">
        <v>0.98395690000000002</v>
      </c>
      <c r="Q909">
        <v>0.1741567</v>
      </c>
      <c r="R909">
        <v>-3.8712110000000001E-2</v>
      </c>
      <c r="S909">
        <v>3.2307429999999999</v>
      </c>
      <c r="T909">
        <v>-1.0950260000000001</v>
      </c>
      <c r="U909">
        <v>-0.32739259999999998</v>
      </c>
      <c r="V909">
        <v>4.9073949999999998E-2</v>
      </c>
      <c r="W909">
        <v>0.18224699999999999</v>
      </c>
      <c r="X909">
        <v>0.98202739999999999</v>
      </c>
      <c r="Y909">
        <v>0.1047838</v>
      </c>
      <c r="Z909">
        <v>-2.10574E-2</v>
      </c>
      <c r="AA909">
        <v>0.99427209999999999</v>
      </c>
      <c r="AB909">
        <v>38</v>
      </c>
      <c r="AC909">
        <v>0.58650000000000002</v>
      </c>
      <c r="AD909">
        <v>-0.28467029999999899</v>
      </c>
      <c r="AE909">
        <v>-8.7400000000002295E-2</v>
      </c>
      <c r="AF909">
        <v>7.6043151988834407E-2</v>
      </c>
      <c r="AG909">
        <v>-0.28467029999999899</v>
      </c>
      <c r="AH909">
        <v>0.47587407998852799</v>
      </c>
      <c r="AI909">
        <v>120.570802432036</v>
      </c>
      <c r="AJ909">
        <v>80.921075708066994</v>
      </c>
      <c r="AK909">
        <v>0.55971053292877604</v>
      </c>
      <c r="AL909">
        <v>79.499331552788803</v>
      </c>
      <c r="AM909">
        <v>87.139190589468498</v>
      </c>
      <c r="AN909">
        <v>1.0000000179641799</v>
      </c>
    </row>
    <row r="910" spans="1:40" x14ac:dyDescent="0.25">
      <c r="A910" t="str">
        <f>"20190303162758523"</f>
        <v>20190303162758523</v>
      </c>
      <c r="B910" t="str">
        <f>"1551601678512347"</f>
        <v>1551601678512347</v>
      </c>
      <c r="C910" t="s">
        <v>40</v>
      </c>
      <c r="D910">
        <v>4.8990450000000001</v>
      </c>
      <c r="E910">
        <v>0.529448699999999</v>
      </c>
      <c r="F910" t="s">
        <v>44</v>
      </c>
      <c r="G910">
        <v>-274.16680000000002</v>
      </c>
      <c r="H910">
        <v>0.79326669999999999</v>
      </c>
      <c r="I910">
        <v>368.69560000000001</v>
      </c>
      <c r="J910">
        <v>-274.79590000000002</v>
      </c>
      <c r="K910">
        <v>1.1050359999999999</v>
      </c>
      <c r="L910">
        <v>368.7919</v>
      </c>
      <c r="M910">
        <v>0.99990760000000001</v>
      </c>
      <c r="N910">
        <v>-8.6055449999999992E-3</v>
      </c>
      <c r="O910">
        <v>1.0525670000000001E-2</v>
      </c>
      <c r="P910">
        <v>0.98380639999999997</v>
      </c>
      <c r="Q910">
        <v>0.1746521</v>
      </c>
      <c r="R910">
        <v>-4.0269039999999999E-2</v>
      </c>
      <c r="S910">
        <v>3.2296749999999999</v>
      </c>
      <c r="T910">
        <v>-1.094306</v>
      </c>
      <c r="U910">
        <v>-0.32913209999999998</v>
      </c>
      <c r="V910">
        <v>5.0629439999999998E-2</v>
      </c>
      <c r="W910">
        <v>0.18310589999999999</v>
      </c>
      <c r="X910">
        <v>0.98178860000000001</v>
      </c>
      <c r="Y910">
        <v>0.1053157</v>
      </c>
      <c r="Z910">
        <v>-2.115655E-2</v>
      </c>
      <c r="AA910">
        <v>0.99421380000000004</v>
      </c>
      <c r="AB910">
        <v>38</v>
      </c>
      <c r="AC910">
        <v>0.629099999999994</v>
      </c>
      <c r="AD910">
        <v>-0.31176930000000003</v>
      </c>
      <c r="AE910">
        <v>-9.6299999999985106E-2</v>
      </c>
      <c r="AF910">
        <v>8.2998855617828701E-2</v>
      </c>
      <c r="AG910">
        <v>-0.31176930000000003</v>
      </c>
      <c r="AH910">
        <v>0.50650284056025796</v>
      </c>
      <c r="AI910">
        <v>121.27582417789399</v>
      </c>
      <c r="AJ910">
        <v>80.693849027452501</v>
      </c>
      <c r="AK910">
        <v>0.60052812919293697</v>
      </c>
      <c r="AL910">
        <v>79.449277585718605</v>
      </c>
      <c r="AM910">
        <v>87.047953199035206</v>
      </c>
      <c r="AN910">
        <v>0.99999998294974102</v>
      </c>
    </row>
    <row r="911" spans="1:40" x14ac:dyDescent="0.25">
      <c r="A911" t="str">
        <f>"20190303162758537"</f>
        <v>20190303162758537</v>
      </c>
      <c r="B911" t="str">
        <f>"1551601678531866"</f>
        <v>1551601678531866</v>
      </c>
      <c r="C911" t="s">
        <v>40</v>
      </c>
      <c r="D911">
        <v>4.9432199999999904</v>
      </c>
      <c r="E911">
        <v>0.52936260000000002</v>
      </c>
      <c r="F911" t="s">
        <v>44</v>
      </c>
      <c r="G911">
        <v>-274.1327</v>
      </c>
      <c r="H911">
        <v>0.8808203</v>
      </c>
      <c r="I911">
        <v>368.72300000000001</v>
      </c>
      <c r="J911">
        <v>-274.56560000000002</v>
      </c>
      <c r="K911">
        <v>1.1064290000000001</v>
      </c>
      <c r="L911">
        <v>368.79430000000002</v>
      </c>
      <c r="M911">
        <v>0.99990489999999999</v>
      </c>
      <c r="N911">
        <v>-8.9147559999999994E-3</v>
      </c>
      <c r="O911">
        <v>1.052578E-2</v>
      </c>
      <c r="P911">
        <v>0.98375330000000005</v>
      </c>
      <c r="Q911">
        <v>0.17477419999999999</v>
      </c>
      <c r="R911">
        <v>-4.1030539999999997E-2</v>
      </c>
      <c r="S911">
        <v>3.229492</v>
      </c>
      <c r="T911">
        <v>-1.0916570000000001</v>
      </c>
      <c r="U911">
        <v>-0.3346558</v>
      </c>
      <c r="V911">
        <v>5.1390350000000001E-2</v>
      </c>
      <c r="W911">
        <v>0.183531</v>
      </c>
      <c r="X911">
        <v>0.98166969999999998</v>
      </c>
      <c r="Y911">
        <v>0.1069388</v>
      </c>
      <c r="Z911">
        <v>-2.1395669999999999E-2</v>
      </c>
      <c r="AA911">
        <v>0.99403540000000001</v>
      </c>
      <c r="AB911">
        <v>38</v>
      </c>
      <c r="AC911">
        <v>0.43290000000001699</v>
      </c>
      <c r="AD911">
        <v>-0.2256087</v>
      </c>
      <c r="AE911">
        <v>-7.1300000000007899E-2</v>
      </c>
      <c r="AF911">
        <v>5.9989705172393999E-2</v>
      </c>
      <c r="AG911">
        <v>-0.2256087</v>
      </c>
      <c r="AH911">
        <v>0.34175491579612399</v>
      </c>
      <c r="AI911">
        <v>123.032182605364</v>
      </c>
      <c r="AJ911">
        <v>80.044054495720701</v>
      </c>
      <c r="AK911">
        <v>0.41387736434018302</v>
      </c>
      <c r="AL911">
        <v>79.424501440211998</v>
      </c>
      <c r="AM911">
        <v>87.003304873599106</v>
      </c>
      <c r="AN911">
        <v>0.99999999796610595</v>
      </c>
    </row>
    <row r="912" spans="1:40" x14ac:dyDescent="0.25">
      <c r="A912" t="str">
        <f>"20190303162758548"</f>
        <v>20190303162758548</v>
      </c>
      <c r="B912" t="str">
        <f>"1551601678542603"</f>
        <v>1551601678542603</v>
      </c>
      <c r="C912" t="s">
        <v>40</v>
      </c>
      <c r="D912">
        <v>4.9118230000000001</v>
      </c>
      <c r="E912">
        <v>0.52935549999999998</v>
      </c>
      <c r="F912" t="s">
        <v>44</v>
      </c>
      <c r="G912">
        <v>-273.80680000000001</v>
      </c>
      <c r="H912">
        <v>0.85058650000000002</v>
      </c>
      <c r="I912">
        <v>368.71469999999999</v>
      </c>
      <c r="J912">
        <v>-274.3621</v>
      </c>
      <c r="K912">
        <v>1.1076079999999999</v>
      </c>
      <c r="L912">
        <v>368.79640000000001</v>
      </c>
      <c r="M912">
        <v>0.99990250000000003</v>
      </c>
      <c r="N912">
        <v>-9.187621E-3</v>
      </c>
      <c r="O912">
        <v>1.052554E-2</v>
      </c>
      <c r="P912">
        <v>0.98351860000000002</v>
      </c>
      <c r="Q912">
        <v>0.17576749999999999</v>
      </c>
      <c r="R912">
        <v>-4.2397120000000003E-2</v>
      </c>
      <c r="S912">
        <v>3.2289430000000001</v>
      </c>
      <c r="T912">
        <v>-1.0888340000000001</v>
      </c>
      <c r="U912">
        <v>-0.33691409999999899</v>
      </c>
      <c r="V912">
        <v>5.2754160000000001E-2</v>
      </c>
      <c r="W912">
        <v>0.18478939999999999</v>
      </c>
      <c r="X912">
        <v>0.98136120000000004</v>
      </c>
      <c r="Y912">
        <v>0.1076318</v>
      </c>
      <c r="Z912">
        <v>-2.14757E-2</v>
      </c>
      <c r="AA912">
        <v>0.99395880000000003</v>
      </c>
      <c r="AB912">
        <v>38</v>
      </c>
      <c r="AC912">
        <v>0.55529999999998803</v>
      </c>
      <c r="AD912">
        <v>-0.25702149999999901</v>
      </c>
      <c r="AE912">
        <v>-8.1700000000012096E-2</v>
      </c>
      <c r="AF912">
        <v>7.2365954727990997E-2</v>
      </c>
      <c r="AG912">
        <v>-0.25702149999999901</v>
      </c>
      <c r="AH912">
        <v>0.45830594650449602</v>
      </c>
      <c r="AI912">
        <v>118.984029382853</v>
      </c>
      <c r="AJ912">
        <v>81.027146765556296</v>
      </c>
      <c r="AK912">
        <v>0.53041608522680195</v>
      </c>
      <c r="AL912">
        <v>79.351145405334407</v>
      </c>
      <c r="AM912">
        <v>86.922963453412805</v>
      </c>
      <c r="AN912">
        <v>0.999999964307552</v>
      </c>
    </row>
    <row r="913" spans="1:40" x14ac:dyDescent="0.25">
      <c r="A913" t="str">
        <f>"20190303162758559"</f>
        <v>20190303162758559</v>
      </c>
      <c r="B913" t="str">
        <f>"1551601678552363"</f>
        <v>1551601678552363</v>
      </c>
      <c r="C913" t="s">
        <v>40</v>
      </c>
      <c r="D913">
        <v>4.8493370000000002</v>
      </c>
      <c r="E913">
        <v>0.52935549999999998</v>
      </c>
      <c r="F913" t="s">
        <v>44</v>
      </c>
      <c r="G913">
        <v>-273.48419999999999</v>
      </c>
      <c r="H913">
        <v>0.81277480000000002</v>
      </c>
      <c r="I913">
        <v>368.70350000000002</v>
      </c>
      <c r="J913">
        <v>-274.17360000000002</v>
      </c>
      <c r="K913">
        <v>1.1086370000000001</v>
      </c>
      <c r="L913">
        <v>368.79840000000002</v>
      </c>
      <c r="M913">
        <v>0.99990009999999996</v>
      </c>
      <c r="N913">
        <v>-9.4398840000000008E-3</v>
      </c>
      <c r="O913">
        <v>1.0525059999999999E-2</v>
      </c>
      <c r="P913">
        <v>0.98334960000000005</v>
      </c>
      <c r="Q913">
        <v>0.17635209999999901</v>
      </c>
      <c r="R913">
        <v>-4.3863180000000002E-2</v>
      </c>
      <c r="S913">
        <v>3.2294010000000002</v>
      </c>
      <c r="T913">
        <v>-1.0845990000000001</v>
      </c>
      <c r="U913">
        <v>-0.3416748</v>
      </c>
      <c r="V913">
        <v>5.4218000000000002E-2</v>
      </c>
      <c r="W913">
        <v>0.1856198</v>
      </c>
      <c r="X913">
        <v>0.98112469999999996</v>
      </c>
      <c r="Y913">
        <v>0.10903599999999999</v>
      </c>
      <c r="Z913">
        <v>-2.1640659999999999E-2</v>
      </c>
      <c r="AA913">
        <v>0.99380219999999997</v>
      </c>
      <c r="AB913">
        <v>38</v>
      </c>
      <c r="AC913">
        <v>0.68940000000003399</v>
      </c>
      <c r="AD913">
        <v>-0.29586220000000002</v>
      </c>
      <c r="AE913">
        <v>-9.4899999999995502E-2</v>
      </c>
      <c r="AF913">
        <v>8.6513522076549901E-2</v>
      </c>
      <c r="AG913">
        <v>-0.29586220000000002</v>
      </c>
      <c r="AH913">
        <v>0.58298673095661402</v>
      </c>
      <c r="AI913">
        <v>116.656494416584</v>
      </c>
      <c r="AJ913">
        <v>81.559075674658601</v>
      </c>
      <c r="AK913">
        <v>0.65946384234650002</v>
      </c>
      <c r="AL913">
        <v>79.302729659424003</v>
      </c>
      <c r="AM913">
        <v>86.836991059455798</v>
      </c>
      <c r="AN913">
        <v>0.999999989313065</v>
      </c>
    </row>
    <row r="914" spans="1:40" x14ac:dyDescent="0.25">
      <c r="A914" t="str">
        <f>"20190303162758570"</f>
        <v>20190303162758570</v>
      </c>
      <c r="B914" t="str">
        <f>"1551601678562125"</f>
        <v>1551601678562125</v>
      </c>
      <c r="C914" t="s">
        <v>40</v>
      </c>
      <c r="D914">
        <v>4.8093959999999996</v>
      </c>
      <c r="E914">
        <v>0.5343909</v>
      </c>
      <c r="F914" t="s">
        <v>44</v>
      </c>
      <c r="G914">
        <v>-273.46179999999998</v>
      </c>
      <c r="H914">
        <v>0.87002769999999996</v>
      </c>
      <c r="I914">
        <v>368.72199999999998</v>
      </c>
      <c r="J914">
        <v>-273.98390000000001</v>
      </c>
      <c r="K914">
        <v>1.10959599999999</v>
      </c>
      <c r="L914">
        <v>368.80040000000002</v>
      </c>
      <c r="M914">
        <v>0.99989760000000005</v>
      </c>
      <c r="N914">
        <v>-9.6886679999999992E-3</v>
      </c>
      <c r="O914">
        <v>1.052433E-2</v>
      </c>
      <c r="P914">
        <v>0.98316789999999998</v>
      </c>
      <c r="Q914">
        <v>0.17700949999999999</v>
      </c>
      <c r="R914">
        <v>-4.5258369999999999E-2</v>
      </c>
      <c r="S914">
        <v>3.2295229999999999</v>
      </c>
      <c r="T914">
        <v>-1.0826549999999999</v>
      </c>
      <c r="U914">
        <v>-0.34658810000000001</v>
      </c>
      <c r="V914">
        <v>5.561075E-2</v>
      </c>
      <c r="W914">
        <v>0.1865193</v>
      </c>
      <c r="X914">
        <v>0.98087610000000003</v>
      </c>
      <c r="Y914">
        <v>0.1104673</v>
      </c>
      <c r="Z914">
        <v>-2.1853520000000001E-2</v>
      </c>
      <c r="AA914">
        <v>0.99363950000000001</v>
      </c>
      <c r="AB914">
        <v>38</v>
      </c>
      <c r="AC914">
        <v>0.52210000000002299</v>
      </c>
      <c r="AD914">
        <v>-0.23956829999999901</v>
      </c>
      <c r="AE914">
        <v>-7.8400000000044601E-2</v>
      </c>
      <c r="AF914">
        <v>6.9566555482455203E-2</v>
      </c>
      <c r="AG914">
        <v>-0.23956829999999901</v>
      </c>
      <c r="AH914">
        <v>0.43224454995664602</v>
      </c>
      <c r="AI914">
        <v>118.68751697297699</v>
      </c>
      <c r="AJ914">
        <v>80.857072707459693</v>
      </c>
      <c r="AK914">
        <v>0.499066956403454</v>
      </c>
      <c r="AL914">
        <v>79.250275810644595</v>
      </c>
      <c r="AM914">
        <v>86.755090728579404</v>
      </c>
      <c r="AN914">
        <v>0.99999996416963</v>
      </c>
    </row>
    <row r="915" spans="1:40" x14ac:dyDescent="0.25">
      <c r="A915" t="str">
        <f>"20190303162758583"</f>
        <v>20190303162758583</v>
      </c>
      <c r="B915" t="str">
        <f>"1551601678572858"</f>
        <v>1551601678572858</v>
      </c>
      <c r="C915" t="s">
        <v>40</v>
      </c>
      <c r="D915">
        <v>4.8544700000000001</v>
      </c>
      <c r="E915">
        <v>0.5343909</v>
      </c>
      <c r="F915" t="s">
        <v>44</v>
      </c>
      <c r="G915">
        <v>-273.11509999999998</v>
      </c>
      <c r="H915">
        <v>0.88869699999999996</v>
      </c>
      <c r="I915">
        <v>368.69240000000002</v>
      </c>
      <c r="J915">
        <v>-273.77080000000001</v>
      </c>
      <c r="K915">
        <v>1.1106279999999999</v>
      </c>
      <c r="L915">
        <v>368.80259999999998</v>
      </c>
      <c r="M915">
        <v>0.99989499999999998</v>
      </c>
      <c r="N915">
        <v>-9.9655360000000005E-3</v>
      </c>
      <c r="O915">
        <v>1.0522760000000001E-2</v>
      </c>
      <c r="P915">
        <v>0.98302199999999995</v>
      </c>
      <c r="Q915">
        <v>0.17751510000000001</v>
      </c>
      <c r="R915">
        <v>-4.643912E-2</v>
      </c>
      <c r="S915">
        <v>3.178741</v>
      </c>
      <c r="T915">
        <v>-0.80830970000000002</v>
      </c>
      <c r="U915">
        <v>-0.39434809999999998</v>
      </c>
      <c r="V915">
        <v>5.6788690000000003E-2</v>
      </c>
      <c r="W915">
        <v>0.18729509999999999</v>
      </c>
      <c r="X915">
        <v>0.9806608</v>
      </c>
      <c r="Y915">
        <v>0.12903399999999901</v>
      </c>
      <c r="Z915">
        <v>-1.926748E-2</v>
      </c>
      <c r="AA915">
        <v>0.99145300000000003</v>
      </c>
      <c r="AB915">
        <v>38</v>
      </c>
      <c r="AC915">
        <v>0.65570000000002404</v>
      </c>
      <c r="AD915">
        <v>-0.22193099999999999</v>
      </c>
      <c r="AE915">
        <v>-0.11019999999996299</v>
      </c>
      <c r="AF915">
        <v>0.105356162989991</v>
      </c>
      <c r="AG915">
        <v>-0.22193099999999999</v>
      </c>
      <c r="AH915">
        <v>0.58889460239756697</v>
      </c>
      <c r="AI915">
        <v>110.35335527481099</v>
      </c>
      <c r="AJ915">
        <v>79.856810229507701</v>
      </c>
      <c r="AK915">
        <v>0.63808317841325501</v>
      </c>
      <c r="AL915">
        <v>79.205028842724701</v>
      </c>
      <c r="AM915">
        <v>86.6857831869346</v>
      </c>
      <c r="AN915">
        <v>1.00000000722628</v>
      </c>
    </row>
    <row r="916" spans="1:40" x14ac:dyDescent="0.25">
      <c r="A916" t="str">
        <f>"20190303162758595"</f>
        <v>20190303162758595</v>
      </c>
      <c r="B916" t="str">
        <f>"1551601678582619"</f>
        <v>1551601678582619</v>
      </c>
      <c r="C916" t="s">
        <v>40</v>
      </c>
      <c r="D916">
        <v>4.8791690000000001</v>
      </c>
      <c r="E916">
        <v>0.55490550000000005</v>
      </c>
      <c r="F916" t="s">
        <v>44</v>
      </c>
      <c r="G916">
        <v>-272.78899999999999</v>
      </c>
      <c r="H916">
        <v>0.86147309999999999</v>
      </c>
      <c r="I916">
        <v>368.67939999999999</v>
      </c>
      <c r="J916">
        <v>-273.56900000000002</v>
      </c>
      <c r="K916">
        <v>1.111504</v>
      </c>
      <c r="L916">
        <v>368.80470000000003</v>
      </c>
      <c r="M916">
        <v>0.99989249999999996</v>
      </c>
      <c r="N916">
        <v>-1.0216329999999999E-2</v>
      </c>
      <c r="O916">
        <v>1.0520460000000001E-2</v>
      </c>
      <c r="P916">
        <v>0.98287340000000001</v>
      </c>
      <c r="Q916">
        <v>0.17799609999999999</v>
      </c>
      <c r="R916">
        <v>-4.7723710000000003E-2</v>
      </c>
      <c r="S916">
        <v>3.1786500000000002</v>
      </c>
      <c r="T916">
        <v>-0.80664559999999996</v>
      </c>
      <c r="U916">
        <v>-0.39834589999999998</v>
      </c>
      <c r="V916">
        <v>5.8069629999999997E-2</v>
      </c>
      <c r="W916">
        <v>0.1880201</v>
      </c>
      <c r="X916">
        <v>0.98044710000000002</v>
      </c>
      <c r="Y916">
        <v>0.13023889999999999</v>
      </c>
      <c r="Z916">
        <v>-1.9398869999999999E-2</v>
      </c>
      <c r="AA916">
        <v>0.99129279999999997</v>
      </c>
      <c r="AB916">
        <v>38</v>
      </c>
      <c r="AC916">
        <v>0.780000000000029</v>
      </c>
      <c r="AD916">
        <v>-0.2500309</v>
      </c>
      <c r="AE916">
        <v>-0.12530000000003799</v>
      </c>
      <c r="AF916">
        <v>0.12134450053224501</v>
      </c>
      <c r="AG916">
        <v>-0.2500309</v>
      </c>
      <c r="AH916">
        <v>0.70774452087617401</v>
      </c>
      <c r="AI916">
        <v>109.198001692823</v>
      </c>
      <c r="AJ916">
        <v>80.271094852171004</v>
      </c>
      <c r="AK916">
        <v>0.76035665683577403</v>
      </c>
      <c r="AL916">
        <v>79.162738861004598</v>
      </c>
      <c r="AM916">
        <v>86.610462276414196</v>
      </c>
      <c r="AN916">
        <v>1.0000000779153699</v>
      </c>
    </row>
    <row r="917" spans="1:40" x14ac:dyDescent="0.25">
      <c r="A917" t="str">
        <f>"20190303162758607"</f>
        <v>20190303162758607</v>
      </c>
      <c r="B917" t="str">
        <f>"1551601678602139"</f>
        <v>1551601678602139</v>
      </c>
      <c r="C917" t="s">
        <v>40</v>
      </c>
      <c r="D917">
        <v>4.8682460000000001</v>
      </c>
      <c r="E917">
        <v>0.55806319999999998</v>
      </c>
      <c r="F917" t="s">
        <v>41</v>
      </c>
      <c r="G917">
        <v>-262.59179999999998</v>
      </c>
      <c r="H917" s="1">
        <v>-3.6652359999999998E-6</v>
      </c>
      <c r="I917">
        <v>366.77030000000002</v>
      </c>
      <c r="J917">
        <v>-273.38560000000001</v>
      </c>
      <c r="K917">
        <v>1.112271</v>
      </c>
      <c r="L917">
        <v>368.80669999999998</v>
      </c>
      <c r="M917">
        <v>0.99989019999999995</v>
      </c>
      <c r="N917">
        <v>-1.044051E-2</v>
      </c>
      <c r="O917">
        <v>1.051826E-2</v>
      </c>
      <c r="P917">
        <v>0.98277760000000003</v>
      </c>
      <c r="Q917">
        <v>0.1782502</v>
      </c>
      <c r="R917">
        <v>-4.8738469999999999E-2</v>
      </c>
      <c r="S917">
        <v>3.0810849999999999</v>
      </c>
      <c r="T917">
        <v>-0.31197629999999998</v>
      </c>
      <c r="U917">
        <v>-0.57101440000000003</v>
      </c>
      <c r="V917">
        <v>5.9081660000000001E-2</v>
      </c>
      <c r="W917">
        <v>0.1884931</v>
      </c>
      <c r="X917">
        <v>0.98029569999999999</v>
      </c>
      <c r="Y917">
        <v>0.191469</v>
      </c>
      <c r="Z917">
        <v>-1.1543629999999999E-2</v>
      </c>
      <c r="AA917">
        <v>0.98143080000000005</v>
      </c>
      <c r="AB917">
        <v>38</v>
      </c>
      <c r="AC917">
        <v>10.793799999999999</v>
      </c>
      <c r="AD917">
        <v>-1.112274665236</v>
      </c>
      <c r="AE917">
        <v>-2.0363999999999498</v>
      </c>
      <c r="AF917">
        <v>2.1280053278516098</v>
      </c>
      <c r="AG917">
        <v>-1.112274665236</v>
      </c>
      <c r="AH917">
        <v>10.6624513996892</v>
      </c>
      <c r="AI917">
        <v>95.841009004758803</v>
      </c>
      <c r="AJ917">
        <v>78.713242814214595</v>
      </c>
      <c r="AK917">
        <v>10.9294753514075</v>
      </c>
      <c r="AL917">
        <v>79.135143442149797</v>
      </c>
      <c r="AM917">
        <v>86.550999884379095</v>
      </c>
      <c r="AN917">
        <v>0.99999997536722696</v>
      </c>
    </row>
    <row r="918" spans="1:40" x14ac:dyDescent="0.25">
      <c r="A918" t="str">
        <f>"20190303162758618"</f>
        <v>20190303162758618</v>
      </c>
      <c r="B918" t="str">
        <f>"1551601678612875"</f>
        <v>1551601678612875</v>
      </c>
      <c r="C918" t="s">
        <v>40</v>
      </c>
      <c r="D918">
        <v>4.9064969999999999</v>
      </c>
      <c r="E918">
        <v>0.55762639999999997</v>
      </c>
      <c r="F918" t="s">
        <v>41</v>
      </c>
      <c r="G918">
        <v>-257.9991</v>
      </c>
      <c r="H918" s="1">
        <v>-1.6844299999999999E-6</v>
      </c>
      <c r="I918">
        <v>365.79239999999999</v>
      </c>
      <c r="J918">
        <v>-273.16469999999998</v>
      </c>
      <c r="K918">
        <v>1.1131120000000001</v>
      </c>
      <c r="L918">
        <v>368.80900000000003</v>
      </c>
      <c r="M918">
        <v>0.99988750000000004</v>
      </c>
      <c r="N918">
        <v>-1.06994E-2</v>
      </c>
      <c r="O918">
        <v>1.0514890000000001E-2</v>
      </c>
      <c r="P918">
        <v>0.98264839999999998</v>
      </c>
      <c r="Q918">
        <v>0.17865590000000001</v>
      </c>
      <c r="R918">
        <v>-4.9840990000000002E-2</v>
      </c>
      <c r="S918">
        <v>3.0629270000000002</v>
      </c>
      <c r="T918">
        <v>-0.22141469999999999</v>
      </c>
      <c r="U918">
        <v>-0.60003660000000003</v>
      </c>
      <c r="V918">
        <v>6.018006E-2</v>
      </c>
      <c r="W918">
        <v>0.1891505</v>
      </c>
      <c r="X918">
        <v>0.98010220000000003</v>
      </c>
      <c r="Y918">
        <v>0.20195279999999999</v>
      </c>
      <c r="Z918">
        <v>-8.9545939999999997E-3</v>
      </c>
      <c r="AA918">
        <v>0.97935430000000001</v>
      </c>
      <c r="AB918">
        <v>38</v>
      </c>
      <c r="AC918">
        <v>15.1655999999999</v>
      </c>
      <c r="AD918">
        <v>-1.11311368442999</v>
      </c>
      <c r="AE918">
        <v>-3.0166000000000301</v>
      </c>
      <c r="AF918">
        <v>3.1595338501974202</v>
      </c>
      <c r="AG918">
        <v>-1.11311368442999</v>
      </c>
      <c r="AH918">
        <v>15.0550234370989</v>
      </c>
      <c r="AI918">
        <v>94.138711204338705</v>
      </c>
      <c r="AJ918">
        <v>78.147587910483693</v>
      </c>
      <c r="AK918">
        <v>15.4232100068892</v>
      </c>
      <c r="AL918">
        <v>79.096786793976605</v>
      </c>
      <c r="AM918">
        <v>86.486346069415006</v>
      </c>
      <c r="AN918">
        <v>0.99999993685834399</v>
      </c>
    </row>
    <row r="919" spans="1:40" x14ac:dyDescent="0.25">
      <c r="A919" t="str">
        <f>"20190303162758630"</f>
        <v>20190303162758630</v>
      </c>
      <c r="B919" t="str">
        <f>"1551601678622635"</f>
        <v>1551601678622635</v>
      </c>
      <c r="C919" t="s">
        <v>40</v>
      </c>
      <c r="D919">
        <v>4.8508430000000002</v>
      </c>
      <c r="E919">
        <v>0.55824940000000001</v>
      </c>
      <c r="F919" t="s">
        <v>41</v>
      </c>
      <c r="G919">
        <v>-256.86040000000003</v>
      </c>
      <c r="H919" s="1">
        <v>-2.120189E-6</v>
      </c>
      <c r="I919">
        <v>365.61110000000002</v>
      </c>
      <c r="J919">
        <v>-272.976</v>
      </c>
      <c r="K919">
        <v>1.113772</v>
      </c>
      <c r="L919">
        <v>368.8109</v>
      </c>
      <c r="M919">
        <v>0.99988529999999998</v>
      </c>
      <c r="N919">
        <v>-1.091082E-2</v>
      </c>
      <c r="O919">
        <v>1.051068E-2</v>
      </c>
      <c r="P919">
        <v>0.98248500000000005</v>
      </c>
      <c r="Q919">
        <v>0.17917729999999901</v>
      </c>
      <c r="R919">
        <v>-5.1177599999999997E-2</v>
      </c>
      <c r="S919">
        <v>3.0605470000000001</v>
      </c>
      <c r="T919">
        <v>-0.20894589999999999</v>
      </c>
      <c r="U919">
        <v>-0.60028079999999995</v>
      </c>
      <c r="V919">
        <v>6.1511129999999997E-2</v>
      </c>
      <c r="W919">
        <v>0.18987670000000001</v>
      </c>
      <c r="X919">
        <v>0.97987919999999995</v>
      </c>
      <c r="Y919">
        <v>0.2022272</v>
      </c>
      <c r="Z919">
        <v>-8.5420540000000003E-3</v>
      </c>
      <c r="AA919">
        <v>0.97930139999999999</v>
      </c>
      <c r="AB919">
        <v>38</v>
      </c>
      <c r="AC919">
        <v>16.115599999999901</v>
      </c>
      <c r="AD919">
        <v>-1.1137741201889999</v>
      </c>
      <c r="AE919">
        <v>-3.1997999999999802</v>
      </c>
      <c r="AF919">
        <v>3.35360855345</v>
      </c>
      <c r="AG919">
        <v>-1.1137741201889999</v>
      </c>
      <c r="AH919">
        <v>16.0075171222955</v>
      </c>
      <c r="AI919">
        <v>93.895813542059201</v>
      </c>
      <c r="AJ919">
        <v>78.167545908861399</v>
      </c>
      <c r="AK919">
        <v>16.392918823112598</v>
      </c>
      <c r="AL919">
        <v>79.054411507604996</v>
      </c>
      <c r="AM919">
        <v>86.408016687696602</v>
      </c>
      <c r="AN919">
        <v>1.0000000134547</v>
      </c>
    </row>
    <row r="920" spans="1:40" x14ac:dyDescent="0.25">
      <c r="A920" t="str">
        <f>"20190303162758642"</f>
        <v>20190303162758642</v>
      </c>
      <c r="B920" t="str">
        <f>"1551601678632395"</f>
        <v>1551601678632395</v>
      </c>
      <c r="C920" t="s">
        <v>40</v>
      </c>
      <c r="D920">
        <v>4.8511819999999997</v>
      </c>
      <c r="E920">
        <v>0.55827729999999998</v>
      </c>
      <c r="F920" t="s">
        <v>41</v>
      </c>
      <c r="G920">
        <v>-255.8826</v>
      </c>
      <c r="H920" s="1">
        <v>-2.5075830000000001E-6</v>
      </c>
      <c r="I920">
        <v>365.40570000000002</v>
      </c>
      <c r="J920">
        <v>-272.78019999999998</v>
      </c>
      <c r="K920">
        <v>1.1144259999999999</v>
      </c>
      <c r="L920">
        <v>368.81299999999999</v>
      </c>
      <c r="M920">
        <v>0.99988299999999997</v>
      </c>
      <c r="N920">
        <v>-1.112513E-2</v>
      </c>
      <c r="O920">
        <v>1.050595E-2</v>
      </c>
      <c r="P920">
        <v>0.98236040000000002</v>
      </c>
      <c r="Q920">
        <v>0.17946519999999999</v>
      </c>
      <c r="R920">
        <v>-5.2541879999999999E-2</v>
      </c>
      <c r="S920">
        <v>3.0581049999999999</v>
      </c>
      <c r="T920">
        <v>-0.1992604</v>
      </c>
      <c r="U920">
        <v>-0.60922240000000005</v>
      </c>
      <c r="V920">
        <v>6.2869969999999997E-2</v>
      </c>
      <c r="W920">
        <v>0.19037290000000001</v>
      </c>
      <c r="X920">
        <v>0.97969660000000003</v>
      </c>
      <c r="Y920">
        <v>0.2051625</v>
      </c>
      <c r="Z920">
        <v>-8.3276340000000004E-3</v>
      </c>
      <c r="AA920">
        <v>0.97869249999999997</v>
      </c>
      <c r="AB920">
        <v>38</v>
      </c>
      <c r="AC920">
        <v>16.897599999999901</v>
      </c>
      <c r="AD920">
        <v>-1.1144285075829901</v>
      </c>
      <c r="AE920">
        <v>-3.4073000000000202</v>
      </c>
      <c r="AF920">
        <v>3.5697278441907598</v>
      </c>
      <c r="AG920">
        <v>-1.1144285075829901</v>
      </c>
      <c r="AH920">
        <v>16.790688103580901</v>
      </c>
      <c r="AI920">
        <v>93.714477500183904</v>
      </c>
      <c r="AJ920">
        <v>77.997528817583003</v>
      </c>
      <c r="AK920">
        <v>17.202096231908399</v>
      </c>
      <c r="AL920">
        <v>79.025452446587707</v>
      </c>
      <c r="AM920">
        <v>86.3281986173984</v>
      </c>
      <c r="AN920">
        <v>0.999999951116884</v>
      </c>
    </row>
    <row r="921" spans="1:40" x14ac:dyDescent="0.25">
      <c r="A921" t="str">
        <f>"20190303162758658"</f>
        <v>20190303162758658</v>
      </c>
      <c r="B921" t="str">
        <f>"1551601678652891"</f>
        <v>1551601678652891</v>
      </c>
      <c r="C921" t="s">
        <v>40</v>
      </c>
      <c r="D921">
        <v>4.8686059999999998</v>
      </c>
      <c r="E921">
        <v>0.5581045</v>
      </c>
      <c r="F921" t="s">
        <v>41</v>
      </c>
      <c r="G921">
        <v>-255.16399999999999</v>
      </c>
      <c r="H921" s="1">
        <v>-2.8269719999999999E-6</v>
      </c>
      <c r="I921">
        <v>365.27530000000002</v>
      </c>
      <c r="J921">
        <v>-272.5145</v>
      </c>
      <c r="K921">
        <v>1.1152139999999999</v>
      </c>
      <c r="L921">
        <v>368.81580000000002</v>
      </c>
      <c r="M921">
        <v>0.99988010000000005</v>
      </c>
      <c r="N921">
        <v>-1.139341E-2</v>
      </c>
      <c r="O921">
        <v>1.0496810000000001E-2</v>
      </c>
      <c r="P921">
        <v>0.98199619999999999</v>
      </c>
      <c r="Q921">
        <v>0.1806577</v>
      </c>
      <c r="R921">
        <v>-5.519893E-2</v>
      </c>
      <c r="S921">
        <v>3.0563349999999998</v>
      </c>
      <c r="T921">
        <v>-0.1933472</v>
      </c>
      <c r="U921">
        <v>-0.61376949999999997</v>
      </c>
      <c r="V921">
        <v>6.5515329999999997E-2</v>
      </c>
      <c r="W921">
        <v>0.1918233</v>
      </c>
      <c r="X921">
        <v>0.97924029999999995</v>
      </c>
      <c r="Y921">
        <v>0.20668420000000001</v>
      </c>
      <c r="Z921">
        <v>-8.1957950000000005E-3</v>
      </c>
      <c r="AA921">
        <v>0.9783733</v>
      </c>
      <c r="AB921">
        <v>38</v>
      </c>
      <c r="AC921">
        <v>17.350499999999901</v>
      </c>
      <c r="AD921">
        <v>-1.115216826972</v>
      </c>
      <c r="AE921">
        <v>-3.5405000000000002</v>
      </c>
      <c r="AF921">
        <v>3.7077359126413101</v>
      </c>
      <c r="AG921">
        <v>-1.115216826972</v>
      </c>
      <c r="AH921">
        <v>17.243984121035901</v>
      </c>
      <c r="AI921">
        <v>93.617867073982694</v>
      </c>
      <c r="AJ921">
        <v>77.865232732994897</v>
      </c>
      <c r="AK921">
        <v>17.673313286862498</v>
      </c>
      <c r="AL921">
        <v>78.940790952347797</v>
      </c>
      <c r="AM921">
        <v>86.172373546531205</v>
      </c>
      <c r="AN921">
        <v>1.00000000101599</v>
      </c>
    </row>
    <row r="922" spans="1:40" x14ac:dyDescent="0.25">
      <c r="A922" t="str">
        <f>"20190303162758672"</f>
        <v>20190303162758672</v>
      </c>
      <c r="B922" t="str">
        <f>"1551601678662652"</f>
        <v>1551601678662652</v>
      </c>
      <c r="C922" t="s">
        <v>40</v>
      </c>
      <c r="D922">
        <v>4.8972569999999997</v>
      </c>
      <c r="E922">
        <v>0.55764559999999996</v>
      </c>
      <c r="F922" t="s">
        <v>41</v>
      </c>
      <c r="G922">
        <v>-254.17259999999999</v>
      </c>
      <c r="H922" s="1">
        <v>-3.285678E-6</v>
      </c>
      <c r="I922">
        <v>365.08710000000002</v>
      </c>
      <c r="J922">
        <v>-272.28660000000002</v>
      </c>
      <c r="K922">
        <v>1.1158239999999999</v>
      </c>
      <c r="L922">
        <v>368.81810000000002</v>
      </c>
      <c r="M922">
        <v>0.99987769999999998</v>
      </c>
      <c r="N922">
        <v>-1.1609690000000001E-2</v>
      </c>
      <c r="O922">
        <v>1.0486809999999999E-2</v>
      </c>
      <c r="P922">
        <v>0.9818422</v>
      </c>
      <c r="Q922">
        <v>0.1810512</v>
      </c>
      <c r="R922">
        <v>-5.6625019999999998E-2</v>
      </c>
      <c r="S922">
        <v>3.05423</v>
      </c>
      <c r="T922">
        <v>-0.1857008</v>
      </c>
      <c r="U922">
        <v>-0.62088009999999905</v>
      </c>
      <c r="V922">
        <v>6.6931130000000005E-2</v>
      </c>
      <c r="W922">
        <v>0.1924266</v>
      </c>
      <c r="X922">
        <v>0.97902610000000001</v>
      </c>
      <c r="Y922">
        <v>0.20902090000000001</v>
      </c>
      <c r="Z922">
        <v>-8.021696E-3</v>
      </c>
      <c r="AA922">
        <v>0.97787829999999998</v>
      </c>
      <c r="AB922">
        <v>38</v>
      </c>
      <c r="AC922">
        <v>18.114000000000001</v>
      </c>
      <c r="AD922">
        <v>-1.1158272856779901</v>
      </c>
      <c r="AE922">
        <v>-3.7309999999999901</v>
      </c>
      <c r="AF922">
        <v>3.90654522701255</v>
      </c>
      <c r="AG922">
        <v>-1.1158272856779901</v>
      </c>
      <c r="AH922">
        <v>18.0083217263231</v>
      </c>
      <c r="AI922">
        <v>93.465220702560899</v>
      </c>
      <c r="AJ922">
        <v>77.760466769810094</v>
      </c>
      <c r="AK922">
        <v>18.460926779035699</v>
      </c>
      <c r="AL922">
        <v>78.905567523019798</v>
      </c>
      <c r="AM922">
        <v>86.089058786304705</v>
      </c>
      <c r="AN922">
        <v>0.99999993851592095</v>
      </c>
    </row>
    <row r="923" spans="1:40" x14ac:dyDescent="0.25">
      <c r="A923" t="str">
        <f>"20190303162758687"</f>
        <v>20190303162758687</v>
      </c>
      <c r="B923" t="str">
        <f>"1551601678672411"</f>
        <v>1551601678672411</v>
      </c>
      <c r="C923" t="s">
        <v>40</v>
      </c>
      <c r="D923">
        <v>4.888344</v>
      </c>
      <c r="E923">
        <v>0.55757179999999995</v>
      </c>
      <c r="F923" t="s">
        <v>41</v>
      </c>
      <c r="G923">
        <v>-254.00460000000001</v>
      </c>
      <c r="H923" s="1">
        <v>-3.3560000000000001E-6</v>
      </c>
      <c r="I923">
        <v>365.09679999999997</v>
      </c>
      <c r="J923">
        <v>-272.04349999999999</v>
      </c>
      <c r="K923">
        <v>1.1164179999999999</v>
      </c>
      <c r="L923">
        <v>368.82069999999999</v>
      </c>
      <c r="M923">
        <v>0.99987519999999996</v>
      </c>
      <c r="N923">
        <v>-1.182826E-2</v>
      </c>
      <c r="O923">
        <v>1.047409E-2</v>
      </c>
      <c r="P923">
        <v>0.98168160000000004</v>
      </c>
      <c r="Q923">
        <v>0.1815341</v>
      </c>
      <c r="R923">
        <v>-5.7850899999999997E-2</v>
      </c>
      <c r="S923">
        <v>3.0540470000000002</v>
      </c>
      <c r="T923">
        <v>-0.1864007</v>
      </c>
      <c r="U923">
        <v>-0.6216431</v>
      </c>
      <c r="V923">
        <v>6.8144159999999995E-2</v>
      </c>
      <c r="W923">
        <v>0.1931205</v>
      </c>
      <c r="X923">
        <v>0.97880579999999995</v>
      </c>
      <c r="Y923">
        <v>0.2092495</v>
      </c>
      <c r="Z923">
        <v>-8.0764800000000005E-3</v>
      </c>
      <c r="AA923">
        <v>0.9778289</v>
      </c>
      <c r="AB923">
        <v>38</v>
      </c>
      <c r="AC923">
        <v>18.038899999999899</v>
      </c>
      <c r="AD923">
        <v>-1.116421356</v>
      </c>
      <c r="AE923">
        <v>-3.7239000000000102</v>
      </c>
      <c r="AF923">
        <v>3.8983284237848799</v>
      </c>
      <c r="AG923">
        <v>-1.116421356</v>
      </c>
      <c r="AH923">
        <v>17.933021400905002</v>
      </c>
      <c r="AI923">
        <v>93.481257446791901</v>
      </c>
      <c r="AJ923">
        <v>77.735697590829801</v>
      </c>
      <c r="AK923">
        <v>18.385772154281099</v>
      </c>
      <c r="AL923">
        <v>78.865050403179595</v>
      </c>
      <c r="AM923">
        <v>86.017511327798104</v>
      </c>
      <c r="AN923">
        <v>0.99999997408799701</v>
      </c>
    </row>
    <row r="924" spans="1:40" x14ac:dyDescent="0.25">
      <c r="A924" t="str">
        <f>"20190303162758699"</f>
        <v>20190303162758699</v>
      </c>
      <c r="B924" t="str">
        <f>"1551601678692907"</f>
        <v>1551601678692907</v>
      </c>
      <c r="C924" t="s">
        <v>40</v>
      </c>
      <c r="D924">
        <v>4.8687659999999999</v>
      </c>
      <c r="E924">
        <v>0.55733299999999997</v>
      </c>
      <c r="F924" t="s">
        <v>41</v>
      </c>
      <c r="G924">
        <v>-253.7834</v>
      </c>
      <c r="H924" s="1">
        <v>-3.4529340000000001E-6</v>
      </c>
      <c r="I924">
        <v>365.08550000000002</v>
      </c>
      <c r="J924">
        <v>-271.81470000000002</v>
      </c>
      <c r="K924">
        <v>1.1169150000000001</v>
      </c>
      <c r="L924">
        <v>368.82310000000001</v>
      </c>
      <c r="M924">
        <v>0.99987309999999996</v>
      </c>
      <c r="N924">
        <v>-1.2019220000000001E-2</v>
      </c>
      <c r="O924">
        <v>1.045959E-2</v>
      </c>
      <c r="P924">
        <v>0.98158460000000003</v>
      </c>
      <c r="Q924">
        <v>0.18161450000000001</v>
      </c>
      <c r="R924">
        <v>-5.9228749999999997E-2</v>
      </c>
      <c r="S924">
        <v>3.0536799999999999</v>
      </c>
      <c r="T924">
        <v>-0.1867009</v>
      </c>
      <c r="U924">
        <v>-0.62463380000000002</v>
      </c>
      <c r="V924">
        <v>6.9508269999999997E-2</v>
      </c>
      <c r="W924">
        <v>0.19338620000000001</v>
      </c>
      <c r="X924">
        <v>0.97865740000000001</v>
      </c>
      <c r="Y924">
        <v>0.2101731</v>
      </c>
      <c r="Z924">
        <v>-8.1389940000000001E-3</v>
      </c>
      <c r="AA924">
        <v>0.97763029999999995</v>
      </c>
      <c r="AB924">
        <v>38</v>
      </c>
      <c r="AC924">
        <v>18.031300000000002</v>
      </c>
      <c r="AD924">
        <v>-1.1169184529339999</v>
      </c>
      <c r="AE924">
        <v>-3.73759999999998</v>
      </c>
      <c r="AF924">
        <v>3.9116186655679002</v>
      </c>
      <c r="AG924">
        <v>-1.1169184529339999</v>
      </c>
      <c r="AH924">
        <v>17.9252715558086</v>
      </c>
      <c r="AI924">
        <v>93.483702025034503</v>
      </c>
      <c r="AJ924">
        <v>77.689999971157704</v>
      </c>
      <c r="AK924">
        <v>18.3810671008188</v>
      </c>
      <c r="AL924">
        <v>78.849534309622598</v>
      </c>
      <c r="AM924">
        <v>85.937440228517005</v>
      </c>
      <c r="AN924">
        <v>0.99999996426179505</v>
      </c>
    </row>
    <row r="925" spans="1:40" x14ac:dyDescent="0.25">
      <c r="A925" t="str">
        <f>"20190303162758728"</f>
        <v>20190303162758728</v>
      </c>
      <c r="B925" t="str">
        <f>"1551601678722187"</f>
        <v>1551601678722187</v>
      </c>
      <c r="C925" t="s">
        <v>40</v>
      </c>
      <c r="D925">
        <v>4.9285139999999998</v>
      </c>
      <c r="E925">
        <v>0.55712490000000003</v>
      </c>
      <c r="F925" t="s">
        <v>41</v>
      </c>
      <c r="G925">
        <v>-253.8167</v>
      </c>
      <c r="H925" s="1">
        <v>-3.4311020000000001E-6</v>
      </c>
      <c r="I925">
        <v>365.12799999999999</v>
      </c>
      <c r="J925">
        <v>-271.3433</v>
      </c>
      <c r="K925">
        <v>1.1177859999999999</v>
      </c>
      <c r="L925">
        <v>368.8279</v>
      </c>
      <c r="M925">
        <v>0.99986909999999896</v>
      </c>
      <c r="N925">
        <v>-1.2375890000000001E-2</v>
      </c>
      <c r="O925">
        <v>1.04251E-2</v>
      </c>
      <c r="P925">
        <v>0.98128510000000002</v>
      </c>
      <c r="Q925">
        <v>0.1816372</v>
      </c>
      <c r="R925">
        <v>-6.3934290000000005E-2</v>
      </c>
      <c r="S925">
        <v>3.053528</v>
      </c>
      <c r="T925">
        <v>-0.18949469999999999</v>
      </c>
      <c r="U925">
        <v>-0.62689209999999995</v>
      </c>
      <c r="V925">
        <v>7.4179629999999996E-2</v>
      </c>
      <c r="W925">
        <v>0.19375200000000001</v>
      </c>
      <c r="X925">
        <v>0.97824199999999994</v>
      </c>
      <c r="Y925">
        <v>0.2108264</v>
      </c>
      <c r="Z925">
        <v>-8.2999749999999994E-3</v>
      </c>
      <c r="AA925">
        <v>0.97748829999999998</v>
      </c>
      <c r="AB925">
        <v>38</v>
      </c>
      <c r="AC925">
        <v>17.526599999999998</v>
      </c>
      <c r="AD925">
        <v>-1.117789431102</v>
      </c>
      <c r="AE925">
        <v>-3.6998999999999498</v>
      </c>
      <c r="AF925">
        <v>3.8673701340918201</v>
      </c>
      <c r="AG925">
        <v>-1.117789431102</v>
      </c>
      <c r="AH925">
        <v>17.4192430913617</v>
      </c>
      <c r="AI925">
        <v>93.584578639300204</v>
      </c>
      <c r="AJ925">
        <v>77.482391413025496</v>
      </c>
      <c r="AK925">
        <v>17.878367790217901</v>
      </c>
      <c r="AL925">
        <v>78.828171113418307</v>
      </c>
      <c r="AM925">
        <v>85.663586953760699</v>
      </c>
      <c r="AN925">
        <v>0.99999993278746602</v>
      </c>
    </row>
    <row r="926" spans="1:40" x14ac:dyDescent="0.25">
      <c r="A926" t="str">
        <f>"20190303162758741"</f>
        <v>20190303162758741</v>
      </c>
      <c r="B926" t="str">
        <f>"1551601678732923"</f>
        <v>1551601678732923</v>
      </c>
      <c r="C926" t="s">
        <v>40</v>
      </c>
      <c r="D926">
        <v>4.9108609999999997</v>
      </c>
      <c r="E926">
        <v>0.55695629999999996</v>
      </c>
      <c r="F926" t="s">
        <v>41</v>
      </c>
      <c r="G926">
        <v>-253.62190000000001</v>
      </c>
      <c r="H926" s="1">
        <v>-3.5162599999999999E-6</v>
      </c>
      <c r="I926">
        <v>365.1189</v>
      </c>
      <c r="J926">
        <v>-271.10820000000001</v>
      </c>
      <c r="K926">
        <v>1.1181669999999999</v>
      </c>
      <c r="L926">
        <v>368.8304</v>
      </c>
      <c r="M926">
        <v>0.99986739999999996</v>
      </c>
      <c r="N926">
        <v>-1.253626E-2</v>
      </c>
      <c r="O926">
        <v>1.040581E-2</v>
      </c>
      <c r="P926">
        <v>0.98124889999999998</v>
      </c>
      <c r="Q926">
        <v>0.18127740000000001</v>
      </c>
      <c r="R926">
        <v>-6.5494129999999998E-2</v>
      </c>
      <c r="S926">
        <v>3.0512389999999998</v>
      </c>
      <c r="T926">
        <v>-0.19245889999999999</v>
      </c>
      <c r="U926">
        <v>-0.63861080000000003</v>
      </c>
      <c r="V926">
        <v>7.5721200000000002E-2</v>
      </c>
      <c r="W926">
        <v>0.19354759999999999</v>
      </c>
      <c r="X926">
        <v>0.97816440000000004</v>
      </c>
      <c r="Y926">
        <v>0.2145261</v>
      </c>
      <c r="Z926">
        <v>-8.5673629999999997E-3</v>
      </c>
      <c r="AA926">
        <v>0.97668069999999896</v>
      </c>
      <c r="AB926">
        <v>37</v>
      </c>
      <c r="AC926">
        <v>17.4863</v>
      </c>
      <c r="AD926">
        <v>-1.11817051626</v>
      </c>
      <c r="AE926">
        <v>-3.7115</v>
      </c>
      <c r="AF926">
        <v>3.8780983590046398</v>
      </c>
      <c r="AG926">
        <v>-1.11817051626</v>
      </c>
      <c r="AH926">
        <v>17.3787301802092</v>
      </c>
      <c r="AI926">
        <v>93.593272103670202</v>
      </c>
      <c r="AJ926">
        <v>77.420437008654105</v>
      </c>
      <c r="AK926">
        <v>17.841250372719401</v>
      </c>
      <c r="AL926">
        <v>78.8401089079521</v>
      </c>
      <c r="AM926">
        <v>85.573474174622802</v>
      </c>
      <c r="AN926">
        <v>0.99999998351127894</v>
      </c>
    </row>
    <row r="927" spans="1:40" x14ac:dyDescent="0.25">
      <c r="A927" t="str">
        <f>"20190303162758755"</f>
        <v>20190303162758755</v>
      </c>
      <c r="B927" t="str">
        <f>"1551601678742683"</f>
        <v>1551601678742683</v>
      </c>
      <c r="C927" t="s">
        <v>40</v>
      </c>
      <c r="D927">
        <v>4.9348140000000003</v>
      </c>
      <c r="E927">
        <v>0.55676400000000004</v>
      </c>
      <c r="F927" t="s">
        <v>41</v>
      </c>
      <c r="G927">
        <v>-253.71770000000001</v>
      </c>
      <c r="H927" s="1">
        <v>-3.465763E-6</v>
      </c>
      <c r="I927">
        <v>365.17200000000003</v>
      </c>
      <c r="J927">
        <v>-270.8938</v>
      </c>
      <c r="K927">
        <v>1.1184689999999999</v>
      </c>
      <c r="L927">
        <v>368.83260000000001</v>
      </c>
      <c r="M927">
        <v>0.99986589999999997</v>
      </c>
      <c r="N927">
        <v>-1.266806E-2</v>
      </c>
      <c r="O927">
        <v>1.0386640000000001E-2</v>
      </c>
      <c r="P927">
        <v>0.98113700000000004</v>
      </c>
      <c r="Q927">
        <v>0.18130250000000001</v>
      </c>
      <c r="R927">
        <v>-6.7082409999999995E-2</v>
      </c>
      <c r="S927">
        <v>3.0507200000000001</v>
      </c>
      <c r="T927">
        <v>-0.19615379999999999</v>
      </c>
      <c r="U927">
        <v>-0.64175419999999905</v>
      </c>
      <c r="V927">
        <v>7.7290189999999995E-2</v>
      </c>
      <c r="W927">
        <v>0.1936996</v>
      </c>
      <c r="X927">
        <v>0.97801159999999998</v>
      </c>
      <c r="Y927">
        <v>0.21548320000000001</v>
      </c>
      <c r="Z927">
        <v>-8.7571160000000006E-3</v>
      </c>
      <c r="AA927">
        <v>0.97646829999999996</v>
      </c>
      <c r="AB927">
        <v>37</v>
      </c>
      <c r="AC927">
        <v>17.176099999999899</v>
      </c>
      <c r="AD927">
        <v>-1.1184724657629901</v>
      </c>
      <c r="AE927">
        <v>-3.66060000000004</v>
      </c>
      <c r="AF927">
        <v>3.82331098316594</v>
      </c>
      <c r="AG927">
        <v>-1.1184724657629901</v>
      </c>
      <c r="AH927">
        <v>17.067919493573498</v>
      </c>
      <c r="AI927">
        <v>93.6588521735314</v>
      </c>
      <c r="AJ927">
        <v>77.373853004141196</v>
      </c>
      <c r="AK927">
        <v>17.526624414580599</v>
      </c>
      <c r="AL927">
        <v>78.831232137584905</v>
      </c>
      <c r="AM927">
        <v>85.481426784040394</v>
      </c>
      <c r="AN927">
        <v>0.99999999912247794</v>
      </c>
    </row>
    <row r="928" spans="1:40" x14ac:dyDescent="0.25">
      <c r="A928" t="str">
        <f>"20190303162758769"</f>
        <v>20190303162758769</v>
      </c>
      <c r="B928" t="str">
        <f>"1551601678762203"</f>
        <v>1551601678762203</v>
      </c>
      <c r="C928" t="s">
        <v>40</v>
      </c>
      <c r="D928">
        <v>4.9180529999999996</v>
      </c>
      <c r="E928">
        <v>0.55643659999999995</v>
      </c>
      <c r="F928" t="s">
        <v>41</v>
      </c>
      <c r="G928">
        <v>-253.72669999999999</v>
      </c>
      <c r="H928" s="1">
        <v>-3.4567650000000002E-6</v>
      </c>
      <c r="I928">
        <v>365.20089999999999</v>
      </c>
      <c r="J928">
        <v>-270.64879999999999</v>
      </c>
      <c r="K928">
        <v>1.11879</v>
      </c>
      <c r="L928">
        <v>368.83510000000001</v>
      </c>
      <c r="M928">
        <v>0.99986430000000004</v>
      </c>
      <c r="N928">
        <v>-1.2810490000000001E-2</v>
      </c>
      <c r="O928">
        <v>1.036405E-2</v>
      </c>
      <c r="P928">
        <v>0.98089320000000002</v>
      </c>
      <c r="Q928">
        <v>0.18132239999999999</v>
      </c>
      <c r="R928">
        <v>-7.0505269999999995E-2</v>
      </c>
      <c r="S928">
        <v>3.050262</v>
      </c>
      <c r="T928">
        <v>-0.1987295</v>
      </c>
      <c r="U928">
        <v>-0.6452637</v>
      </c>
      <c r="V928">
        <v>8.0689220000000006E-2</v>
      </c>
      <c r="W928">
        <v>0.1938549</v>
      </c>
      <c r="X928">
        <v>0.97770630000000003</v>
      </c>
      <c r="Y928">
        <v>0.21654979999999999</v>
      </c>
      <c r="Z928">
        <v>-8.9100740000000005E-3</v>
      </c>
      <c r="AA928">
        <v>0.97623090000000001</v>
      </c>
      <c r="AB928">
        <v>37</v>
      </c>
      <c r="AC928">
        <v>16.9221</v>
      </c>
      <c r="AD928">
        <v>-1.118793456765</v>
      </c>
      <c r="AE928">
        <v>-3.6342000000000199</v>
      </c>
      <c r="AF928">
        <v>3.7935497233078599</v>
      </c>
      <c r="AG928">
        <v>-1.118793456765</v>
      </c>
      <c r="AH928">
        <v>16.813270480367901</v>
      </c>
      <c r="AI928">
        <v>93.713890848245399</v>
      </c>
      <c r="AJ928">
        <v>77.285356531053196</v>
      </c>
      <c r="AK928">
        <v>17.272196807242601</v>
      </c>
      <c r="AL928">
        <v>78.822162658628699</v>
      </c>
      <c r="AM928">
        <v>85.282122792220406</v>
      </c>
      <c r="AN928">
        <v>1.00000004076895</v>
      </c>
    </row>
    <row r="929" spans="1:40" x14ac:dyDescent="0.25">
      <c r="A929" t="str">
        <f>"20190303162758780"</f>
        <v>20190303162758780</v>
      </c>
      <c r="B929" t="str">
        <f>"1551601678771963"</f>
        <v>1551601678771963</v>
      </c>
      <c r="C929" t="s">
        <v>40</v>
      </c>
      <c r="D929">
        <v>4.9579870000000001</v>
      </c>
      <c r="E929">
        <v>0.55617059999999996</v>
      </c>
      <c r="F929" t="s">
        <v>41</v>
      </c>
      <c r="G929">
        <v>-253.80549999999999</v>
      </c>
      <c r="H929" s="1">
        <v>-3.4180370000000001E-6</v>
      </c>
      <c r="I929">
        <v>365.22879999999998</v>
      </c>
      <c r="J929">
        <v>-270.4615</v>
      </c>
      <c r="K929">
        <v>1.1190100000000001</v>
      </c>
      <c r="L929">
        <v>368.83699999999999</v>
      </c>
      <c r="M929">
        <v>0.9998631</v>
      </c>
      <c r="N929">
        <v>-1.2912659999999999E-2</v>
      </c>
      <c r="O929">
        <v>1.0346609999999999E-2</v>
      </c>
      <c r="P929">
        <v>0.98077389999999998</v>
      </c>
      <c r="Q929">
        <v>0.1813977</v>
      </c>
      <c r="R929">
        <v>-7.1958729999999999E-2</v>
      </c>
      <c r="S929">
        <v>3.0489809999999999</v>
      </c>
      <c r="T929">
        <v>-0.2025228</v>
      </c>
      <c r="U929">
        <v>-0.65280150000000003</v>
      </c>
      <c r="V929">
        <v>8.2124610000000001E-2</v>
      </c>
      <c r="W929">
        <v>0.19402749999999999</v>
      </c>
      <c r="X929">
        <v>0.97755250000000005</v>
      </c>
      <c r="Y929">
        <v>0.21889819999999999</v>
      </c>
      <c r="Z929">
        <v>-9.1588480000000007E-3</v>
      </c>
      <c r="AA929">
        <v>0.97570469999999998</v>
      </c>
      <c r="AB929">
        <v>37</v>
      </c>
      <c r="AC929">
        <v>16.655999999999999</v>
      </c>
      <c r="AD929">
        <v>-1.1190134180369999</v>
      </c>
      <c r="AE929">
        <v>-3.6082000000000001</v>
      </c>
      <c r="AF929">
        <v>3.76412591741849</v>
      </c>
      <c r="AG929">
        <v>-1.1190134180369999</v>
      </c>
      <c r="AH929">
        <v>16.546435281054698</v>
      </c>
      <c r="AI929">
        <v>93.772842352371896</v>
      </c>
      <c r="AJ929">
        <v>77.183971669110207</v>
      </c>
      <c r="AK929">
        <v>17.006038793971399</v>
      </c>
      <c r="AL929">
        <v>78.812081617011401</v>
      </c>
      <c r="AM929">
        <v>85.197833002529293</v>
      </c>
      <c r="AN929">
        <v>1.00000000629007</v>
      </c>
    </row>
    <row r="930" spans="1:40" x14ac:dyDescent="0.25">
      <c r="A930" t="str">
        <f>"20190303162758792"</f>
        <v>20190303162758792</v>
      </c>
      <c r="B930" t="str">
        <f>"1551601678782699"</f>
        <v>1551601678782699</v>
      </c>
      <c r="C930" t="s">
        <v>40</v>
      </c>
      <c r="D930">
        <v>4.9865459999999997</v>
      </c>
      <c r="E930">
        <v>0.55572500000000002</v>
      </c>
      <c r="F930" t="s">
        <v>41</v>
      </c>
      <c r="G930">
        <v>-253.8246</v>
      </c>
      <c r="H930" s="1">
        <v>-3.4037889999999998E-6</v>
      </c>
      <c r="I930">
        <v>365.2629</v>
      </c>
      <c r="J930">
        <v>-270.27420000000001</v>
      </c>
      <c r="K930">
        <v>1.1192070000000001</v>
      </c>
      <c r="L930">
        <v>368.83890000000002</v>
      </c>
      <c r="M930">
        <v>0.99986209999999998</v>
      </c>
      <c r="N930">
        <v>-1.3006780000000001E-2</v>
      </c>
      <c r="O930">
        <v>1.032833E-2</v>
      </c>
      <c r="P930">
        <v>0.98066260000000005</v>
      </c>
      <c r="Q930">
        <v>0.1815367</v>
      </c>
      <c r="R930">
        <v>-7.3111949999999995E-2</v>
      </c>
      <c r="S930">
        <v>3.0487060000000001</v>
      </c>
      <c r="T930">
        <v>-0.2050565</v>
      </c>
      <c r="U930">
        <v>-0.65493769999999996</v>
      </c>
      <c r="V930">
        <v>8.3259269999999996E-2</v>
      </c>
      <c r="W930">
        <v>0.19425729999999999</v>
      </c>
      <c r="X930">
        <v>0.97741089999999997</v>
      </c>
      <c r="Y930">
        <v>0.21953639999999999</v>
      </c>
      <c r="Z930">
        <v>-9.2911460000000001E-3</v>
      </c>
      <c r="AA930">
        <v>0.97556010000000004</v>
      </c>
      <c r="AB930">
        <v>37</v>
      </c>
      <c r="AC930">
        <v>16.4496</v>
      </c>
      <c r="AD930">
        <v>-1.1192104037890001</v>
      </c>
      <c r="AE930">
        <v>-3.5760000000000201</v>
      </c>
      <c r="AF930">
        <v>3.7292358877534499</v>
      </c>
      <c r="AG930">
        <v>-1.1192104037890001</v>
      </c>
      <c r="AH930">
        <v>16.3395583148497</v>
      </c>
      <c r="AI930">
        <v>93.820525960502707</v>
      </c>
      <c r="AJ930">
        <v>77.143395986976699</v>
      </c>
      <c r="AK930">
        <v>16.797053258200702</v>
      </c>
      <c r="AL930">
        <v>78.798660009960102</v>
      </c>
      <c r="AM930">
        <v>85.131099547783904</v>
      </c>
      <c r="AN930">
        <v>1.00000003604151</v>
      </c>
    </row>
    <row r="931" spans="1:40" x14ac:dyDescent="0.25">
      <c r="A931" t="str">
        <f>"20190303162758805"</f>
        <v>20190303162758805</v>
      </c>
      <c r="B931" t="str">
        <f>"1551601678792459"</f>
        <v>1551601678792459</v>
      </c>
      <c r="C931" t="s">
        <v>40</v>
      </c>
      <c r="D931">
        <v>4.9442870000000001</v>
      </c>
      <c r="E931">
        <v>0.55572500000000002</v>
      </c>
      <c r="F931" t="s">
        <v>41</v>
      </c>
      <c r="G931">
        <v>-253.54580000000001</v>
      </c>
      <c r="H931" s="1">
        <v>-3.5266159999999998E-6</v>
      </c>
      <c r="I931">
        <v>365.24459999999999</v>
      </c>
      <c r="J931">
        <v>-270.065</v>
      </c>
      <c r="K931">
        <v>1.119415</v>
      </c>
      <c r="L931">
        <v>368.84109999999998</v>
      </c>
      <c r="M931">
        <v>0.999861</v>
      </c>
      <c r="N931">
        <v>-1.310826E-2</v>
      </c>
      <c r="O931">
        <v>1.030768E-2</v>
      </c>
      <c r="P931">
        <v>0.98054980000000003</v>
      </c>
      <c r="Q931">
        <v>0.18161269999999999</v>
      </c>
      <c r="R931">
        <v>-7.4424799999999999E-2</v>
      </c>
      <c r="S931">
        <v>3.0480649999999998</v>
      </c>
      <c r="T931">
        <v>-0.20392930000000001</v>
      </c>
      <c r="U931">
        <v>-0.65490719999999902</v>
      </c>
      <c r="V931">
        <v>8.4551249999999994E-2</v>
      </c>
      <c r="W931">
        <v>0.19442980000000001</v>
      </c>
      <c r="X931">
        <v>0.97726570000000001</v>
      </c>
      <c r="Y931">
        <v>0.2195541</v>
      </c>
      <c r="Z931">
        <v>-9.2588570000000005E-3</v>
      </c>
      <c r="AA931">
        <v>0.97555639999999999</v>
      </c>
      <c r="AB931">
        <v>37</v>
      </c>
      <c r="AC931">
        <v>16.519199999999898</v>
      </c>
      <c r="AD931">
        <v>-1.1194185266159999</v>
      </c>
      <c r="AE931">
        <v>-3.59649999999999</v>
      </c>
      <c r="AF931">
        <v>3.75015656876064</v>
      </c>
      <c r="AG931">
        <v>-1.1194185266159999</v>
      </c>
      <c r="AH931">
        <v>16.4093051877507</v>
      </c>
      <c r="AI931">
        <v>93.804789139407603</v>
      </c>
      <c r="AJ931">
        <v>77.126796174902694</v>
      </c>
      <c r="AK931">
        <v>16.869560423220602</v>
      </c>
      <c r="AL931">
        <v>78.788584593561595</v>
      </c>
      <c r="AM931">
        <v>85.055186848586303</v>
      </c>
      <c r="AN931">
        <v>1.0000000547005401</v>
      </c>
    </row>
    <row r="932" spans="1:40" x14ac:dyDescent="0.25">
      <c r="A932" t="str">
        <f>"20190303162758817"</f>
        <v>20190303162758817</v>
      </c>
      <c r="B932" t="str">
        <f>"1551601678802219"</f>
        <v>1551601678802219</v>
      </c>
      <c r="C932" t="s">
        <v>40</v>
      </c>
      <c r="D932">
        <v>4.9692590000000001</v>
      </c>
      <c r="E932">
        <v>0.53887299999999905</v>
      </c>
      <c r="F932" t="s">
        <v>41</v>
      </c>
      <c r="G932">
        <v>-253.3296</v>
      </c>
      <c r="H932" s="1">
        <v>-3.623158E-6</v>
      </c>
      <c r="I932">
        <v>365.22320000000002</v>
      </c>
      <c r="J932">
        <v>-269.84530000000001</v>
      </c>
      <c r="K932">
        <v>1.11959599999999</v>
      </c>
      <c r="L932">
        <v>368.8433</v>
      </c>
      <c r="M932">
        <v>0.99985999999999997</v>
      </c>
      <c r="N932">
        <v>-1.3205150000000001E-2</v>
      </c>
      <c r="O932">
        <v>1.0286089999999999E-2</v>
      </c>
      <c r="P932">
        <v>0.98051129999999997</v>
      </c>
      <c r="Q932">
        <v>0.1813678</v>
      </c>
      <c r="R932">
        <v>-7.5524259999999996E-2</v>
      </c>
      <c r="S932">
        <v>3.047272</v>
      </c>
      <c r="T932">
        <v>-0.2038286</v>
      </c>
      <c r="U932">
        <v>-0.65875240000000002</v>
      </c>
      <c r="V932">
        <v>8.5629350000000007E-2</v>
      </c>
      <c r="W932">
        <v>0.19427920000000001</v>
      </c>
      <c r="X932">
        <v>0.97720169999999995</v>
      </c>
      <c r="Y932">
        <v>0.22075800000000001</v>
      </c>
      <c r="Z932">
        <v>-9.3125919999999997E-3</v>
      </c>
      <c r="AA932">
        <v>0.97528419999999905</v>
      </c>
      <c r="AB932">
        <v>37</v>
      </c>
      <c r="AC932">
        <v>16.515699999999999</v>
      </c>
      <c r="AD932">
        <v>-1.1195996231580001</v>
      </c>
      <c r="AE932">
        <v>-3.6200999999999701</v>
      </c>
      <c r="AF932">
        <v>3.7732601635491601</v>
      </c>
      <c r="AG932">
        <v>-1.1195996231580001</v>
      </c>
      <c r="AH932">
        <v>16.405650394997402</v>
      </c>
      <c r="AI932">
        <v>93.805042100944803</v>
      </c>
      <c r="AJ932">
        <v>77.047366266018997</v>
      </c>
      <c r="AK932">
        <v>16.871169504835201</v>
      </c>
      <c r="AL932">
        <v>78.7973802018833</v>
      </c>
      <c r="AM932">
        <v>84.992128583287794</v>
      </c>
      <c r="AN932">
        <v>0.99999997780847505</v>
      </c>
    </row>
    <row r="933" spans="1:40" x14ac:dyDescent="0.25">
      <c r="A933" t="str">
        <f>"20190303162758831"</f>
        <v>20190303162758831</v>
      </c>
      <c r="B933" t="str">
        <f>"1551601678822715"</f>
        <v>1551601678822715</v>
      </c>
      <c r="C933" t="s">
        <v>40</v>
      </c>
      <c r="D933">
        <v>4.9468439999999996</v>
      </c>
      <c r="E933">
        <v>0.5365318</v>
      </c>
      <c r="F933" t="s">
        <v>41</v>
      </c>
      <c r="G933">
        <v>-245.97640000000001</v>
      </c>
      <c r="H933" s="1">
        <v>-2.8378460000000002E-6</v>
      </c>
      <c r="I933">
        <v>364.6986</v>
      </c>
      <c r="J933">
        <v>-269.62310000000002</v>
      </c>
      <c r="K933">
        <v>1.1197699999999999</v>
      </c>
      <c r="L933">
        <v>368.84559999999999</v>
      </c>
      <c r="M933">
        <v>0.99985900000000005</v>
      </c>
      <c r="N933">
        <v>-1.3297299999999901E-2</v>
      </c>
      <c r="O933">
        <v>1.026412E-2</v>
      </c>
      <c r="P933">
        <v>0.9804522</v>
      </c>
      <c r="Q933">
        <v>0.181224</v>
      </c>
      <c r="R933">
        <v>-7.6627459999999994E-2</v>
      </c>
      <c r="S933">
        <v>3.0453489999999999</v>
      </c>
      <c r="T933">
        <v>-0.14284539999999901</v>
      </c>
      <c r="U933">
        <v>-0.52880859999999996</v>
      </c>
      <c r="V933">
        <v>8.6710739999999994E-2</v>
      </c>
      <c r="W933">
        <v>0.19422400000000001</v>
      </c>
      <c r="X933">
        <v>0.97711729999999997</v>
      </c>
      <c r="Y933">
        <v>0.18093419999999999</v>
      </c>
      <c r="Z933">
        <v>-5.7647840000000002E-3</v>
      </c>
      <c r="AA933">
        <v>0.98347830000000003</v>
      </c>
      <c r="AB933">
        <v>37</v>
      </c>
      <c r="AC933">
        <v>23.646699999999999</v>
      </c>
      <c r="AD933">
        <v>-1.1197728378459999</v>
      </c>
      <c r="AE933">
        <v>-4.1469999999999896</v>
      </c>
      <c r="AF933">
        <v>4.3799867653207203</v>
      </c>
      <c r="AG933">
        <v>-1.1197728378459999</v>
      </c>
      <c r="AH933">
        <v>23.551647996045201</v>
      </c>
      <c r="AI933">
        <v>92.676282195852195</v>
      </c>
      <c r="AJ933">
        <v>79.464849385802196</v>
      </c>
      <c r="AK933">
        <v>23.981624186080101</v>
      </c>
      <c r="AL933">
        <v>78.800604212525499</v>
      </c>
      <c r="AM933">
        <v>84.928777492676303</v>
      </c>
      <c r="AN933">
        <v>0.999999966283318</v>
      </c>
    </row>
    <row r="934" spans="1:40" x14ac:dyDescent="0.25">
      <c r="A934" t="str">
        <f>"20190303162758842"</f>
        <v>20190303162758842</v>
      </c>
      <c r="B934" t="str">
        <f>"1551601678832475"</f>
        <v>1551601678832475</v>
      </c>
      <c r="C934" t="s">
        <v>40</v>
      </c>
      <c r="D934">
        <v>4.9596359999999997</v>
      </c>
      <c r="E934">
        <v>0.53618929999999998</v>
      </c>
      <c r="F934" t="s">
        <v>41</v>
      </c>
      <c r="G934">
        <v>-244.49619999999999</v>
      </c>
      <c r="H934" s="1">
        <v>-3.4706849999999999E-6</v>
      </c>
      <c r="I934">
        <v>364.60719999999998</v>
      </c>
      <c r="J934">
        <v>-269.4307</v>
      </c>
      <c r="K934">
        <v>1.1199110000000001</v>
      </c>
      <c r="L934">
        <v>368.84750000000003</v>
      </c>
      <c r="M934">
        <v>0.99985809999999997</v>
      </c>
      <c r="N934">
        <v>-1.337348E-2</v>
      </c>
      <c r="O934">
        <v>1.024482E-2</v>
      </c>
      <c r="P934">
        <v>0.98033740000000003</v>
      </c>
      <c r="Q934">
        <v>0.1812974</v>
      </c>
      <c r="R934">
        <v>-7.7910919999999995E-2</v>
      </c>
      <c r="S934">
        <v>3.0447389999999999</v>
      </c>
      <c r="T934">
        <v>-0.1356879</v>
      </c>
      <c r="U934">
        <v>-0.51358029999999999</v>
      </c>
      <c r="V934">
        <v>8.797423E-2</v>
      </c>
      <c r="W934">
        <v>0.19436999999999999</v>
      </c>
      <c r="X934">
        <v>0.97697540000000005</v>
      </c>
      <c r="Y934">
        <v>0.1761954</v>
      </c>
      <c r="Z934">
        <v>-5.4011019999999996E-3</v>
      </c>
      <c r="AA934">
        <v>0.9843404</v>
      </c>
      <c r="AB934">
        <v>37</v>
      </c>
      <c r="AC934">
        <v>24.9345</v>
      </c>
      <c r="AD934">
        <v>-1.1199144706849999</v>
      </c>
      <c r="AE934">
        <v>-4.2403000000000404</v>
      </c>
      <c r="AF934">
        <v>4.4867530520370797</v>
      </c>
      <c r="AG934">
        <v>-1.1199144706849999</v>
      </c>
      <c r="AH934">
        <v>24.841043099636899</v>
      </c>
      <c r="AI934">
        <v>92.540282726900301</v>
      </c>
      <c r="AJ934">
        <v>79.761702206597406</v>
      </c>
      <c r="AK934">
        <v>25.267817152449702</v>
      </c>
      <c r="AL934">
        <v>78.792077431717402</v>
      </c>
      <c r="AM934">
        <v>84.854533580122904</v>
      </c>
      <c r="AN934">
        <v>1.00000004712462</v>
      </c>
    </row>
    <row r="935" spans="1:40" x14ac:dyDescent="0.25">
      <c r="A935" t="str">
        <f>"20190303162758854"</f>
        <v>20190303162758854</v>
      </c>
      <c r="B935" t="str">
        <f>"1551601678842236"</f>
        <v>1551601678842236</v>
      </c>
      <c r="C935" t="s">
        <v>40</v>
      </c>
      <c r="D935">
        <v>4.9288129999999999</v>
      </c>
      <c r="E935">
        <v>0.53624769999999999</v>
      </c>
      <c r="F935" t="s">
        <v>41</v>
      </c>
      <c r="G935">
        <v>-244.50389999999999</v>
      </c>
      <c r="H935" s="1">
        <v>-3.4627630000000002E-6</v>
      </c>
      <c r="I935">
        <v>364.63139999999999</v>
      </c>
      <c r="J935">
        <v>-269.24119999999999</v>
      </c>
      <c r="K935">
        <v>1.120031</v>
      </c>
      <c r="L935">
        <v>368.8494</v>
      </c>
      <c r="M935">
        <v>0.99985740000000001</v>
      </c>
      <c r="N935">
        <v>-1.344133E-2</v>
      </c>
      <c r="O935">
        <v>1.022641E-2</v>
      </c>
      <c r="P935">
        <v>0.98022100000000001</v>
      </c>
      <c r="Q935">
        <v>0.1813679</v>
      </c>
      <c r="R935">
        <v>-7.920133E-2</v>
      </c>
      <c r="S935">
        <v>3.0445250000000001</v>
      </c>
      <c r="T935">
        <v>-0.13678509999999999</v>
      </c>
      <c r="U935">
        <v>-0.51495360000000001</v>
      </c>
      <c r="V935">
        <v>8.9245759999999993E-2</v>
      </c>
      <c r="W935">
        <v>0.1945047</v>
      </c>
      <c r="X935">
        <v>0.97683319999999996</v>
      </c>
      <c r="Y935">
        <v>0.1766162</v>
      </c>
      <c r="Z935">
        <v>-5.4534329999999997E-3</v>
      </c>
      <c r="AA935">
        <v>0.98426469999999999</v>
      </c>
      <c r="AB935">
        <v>37</v>
      </c>
      <c r="AC935">
        <v>24.737300000000001</v>
      </c>
      <c r="AD935">
        <v>-1.1200344627629999</v>
      </c>
      <c r="AE935">
        <v>-4.2180000000000097</v>
      </c>
      <c r="AF935">
        <v>4.4618874822041601</v>
      </c>
      <c r="AG935">
        <v>-1.1200344627629999</v>
      </c>
      <c r="AH935">
        <v>24.6437744321859</v>
      </c>
      <c r="AI935">
        <v>92.560668614678207</v>
      </c>
      <c r="AJ935">
        <v>79.737466999111504</v>
      </c>
      <c r="AK935">
        <v>25.0694741741043</v>
      </c>
      <c r="AL935">
        <v>78.784208908473602</v>
      </c>
      <c r="AM935">
        <v>84.779816153137403</v>
      </c>
      <c r="AN935">
        <v>0.999999992311153</v>
      </c>
    </row>
    <row r="936" spans="1:40" x14ac:dyDescent="0.25">
      <c r="A936" t="str">
        <f>"20190303162758866"</f>
        <v>20190303162758866</v>
      </c>
      <c r="B936" t="str">
        <f>"1551601678862733"</f>
        <v>1551601678862733</v>
      </c>
      <c r="C936" t="s">
        <v>40</v>
      </c>
      <c r="D936">
        <v>4.9234749999999998</v>
      </c>
      <c r="E936">
        <v>0.53592119999999999</v>
      </c>
      <c r="F936" t="s">
        <v>41</v>
      </c>
      <c r="G936">
        <v>-243.73259999999999</v>
      </c>
      <c r="H936" s="1">
        <v>-3.8507409999999999E-6</v>
      </c>
      <c r="I936">
        <v>364.49970000000002</v>
      </c>
      <c r="J936">
        <v>-269.03539999999998</v>
      </c>
      <c r="K936">
        <v>1.120152</v>
      </c>
      <c r="L936">
        <v>368.85149999999999</v>
      </c>
      <c r="M936">
        <v>0.99985659999999998</v>
      </c>
      <c r="N936">
        <v>-1.3512629999999999E-2</v>
      </c>
      <c r="O936">
        <v>1.0206299999999899E-2</v>
      </c>
      <c r="P936">
        <v>0.98002809999999996</v>
      </c>
      <c r="Q936">
        <v>0.18171290000000001</v>
      </c>
      <c r="R936">
        <v>-8.0781640000000002E-2</v>
      </c>
      <c r="S936">
        <v>3.0433650000000001</v>
      </c>
      <c r="T936">
        <v>-0.1336282</v>
      </c>
      <c r="U936">
        <v>-0.51895139999999995</v>
      </c>
      <c r="V936">
        <v>9.0804720000000005E-2</v>
      </c>
      <c r="W936">
        <v>0.1949158</v>
      </c>
      <c r="X936">
        <v>0.97660760000000002</v>
      </c>
      <c r="Y936">
        <v>0.1779221</v>
      </c>
      <c r="Z936">
        <v>-5.3957469999999898E-3</v>
      </c>
      <c r="AA936">
        <v>0.98402979999999995</v>
      </c>
      <c r="AB936">
        <v>37</v>
      </c>
      <c r="AC936">
        <v>25.302799999999898</v>
      </c>
      <c r="AD936">
        <v>-1.1201558507410001</v>
      </c>
      <c r="AE936">
        <v>-4.3517999999999599</v>
      </c>
      <c r="AF936">
        <v>4.6010865395683203</v>
      </c>
      <c r="AG936">
        <v>-1.1201558507410001</v>
      </c>
      <c r="AH936">
        <v>25.209075799956398</v>
      </c>
      <c r="AI936">
        <v>92.502948635637097</v>
      </c>
      <c r="AJ936">
        <v>79.656396596472803</v>
      </c>
      <c r="AK936">
        <v>25.649995110379599</v>
      </c>
      <c r="AL936">
        <v>78.760195496095406</v>
      </c>
      <c r="AM936">
        <v>84.687926264912505</v>
      </c>
      <c r="AN936">
        <v>1.00000003532083</v>
      </c>
    </row>
    <row r="937" spans="1:40" x14ac:dyDescent="0.25">
      <c r="A937" t="str">
        <f>"20190303162758879"</f>
        <v>20190303162758879</v>
      </c>
      <c r="B937" t="str">
        <f>"1551601678872491"</f>
        <v>1551601678872491</v>
      </c>
      <c r="C937" t="s">
        <v>40</v>
      </c>
      <c r="D937">
        <v>4.8883289999999997</v>
      </c>
      <c r="E937">
        <v>0.53575069999999902</v>
      </c>
      <c r="F937" t="s">
        <v>41</v>
      </c>
      <c r="G937">
        <v>-243.5369</v>
      </c>
      <c r="H937" s="1">
        <v>-3.9461500000000003E-6</v>
      </c>
      <c r="I937">
        <v>364.48320000000001</v>
      </c>
      <c r="J937">
        <v>-268.80790000000002</v>
      </c>
      <c r="K937">
        <v>1.1202700000000001</v>
      </c>
      <c r="L937">
        <v>368.85379999999998</v>
      </c>
      <c r="M937">
        <v>0.99985599999999997</v>
      </c>
      <c r="N937">
        <v>-1.3585140000000001E-2</v>
      </c>
      <c r="O937">
        <v>1.0183620000000001E-2</v>
      </c>
      <c r="P937">
        <v>0.97967309999999996</v>
      </c>
      <c r="Q937">
        <v>0.1823274</v>
      </c>
      <c r="R937">
        <v>-8.3651929999999999E-2</v>
      </c>
      <c r="S937">
        <v>3.0429379999999999</v>
      </c>
      <c r="T937">
        <v>-0.1336772</v>
      </c>
      <c r="U937">
        <v>-0.52130129999999997</v>
      </c>
      <c r="V937">
        <v>9.3649220000000005E-2</v>
      </c>
      <c r="W937">
        <v>0.1955962</v>
      </c>
      <c r="X937">
        <v>0.97620280000000004</v>
      </c>
      <c r="Y937">
        <v>0.1786596</v>
      </c>
      <c r="Z937">
        <v>-5.4239459999999998E-3</v>
      </c>
      <c r="AA937">
        <v>0.98389599999999999</v>
      </c>
      <c r="AB937">
        <v>37</v>
      </c>
      <c r="AC937">
        <v>25.271000000000001</v>
      </c>
      <c r="AD937">
        <v>-1.12027394615</v>
      </c>
      <c r="AE937">
        <v>-4.3705999999999596</v>
      </c>
      <c r="AF937">
        <v>4.6189338585050104</v>
      </c>
      <c r="AG937">
        <v>-1.12027394615</v>
      </c>
      <c r="AH937">
        <v>25.177135933740001</v>
      </c>
      <c r="AI937">
        <v>92.505966956685299</v>
      </c>
      <c r="AJ937">
        <v>79.604260678013603</v>
      </c>
      <c r="AK937">
        <v>25.621821510768701</v>
      </c>
      <c r="AL937">
        <v>78.720445717748802</v>
      </c>
      <c r="AM937">
        <v>84.520262380464303</v>
      </c>
      <c r="AN937">
        <v>0.99999997829444398</v>
      </c>
    </row>
    <row r="938" spans="1:40" x14ac:dyDescent="0.25">
      <c r="A938" t="str">
        <f>"20190303162758892"</f>
        <v>20190303162758892</v>
      </c>
      <c r="B938" t="str">
        <f>"1551601678882251"</f>
        <v>1551601678882251</v>
      </c>
      <c r="C938" t="s">
        <v>40</v>
      </c>
      <c r="D938">
        <v>4.87568</v>
      </c>
      <c r="E938">
        <v>0.53570209999999996</v>
      </c>
      <c r="F938" t="s">
        <v>41</v>
      </c>
      <c r="G938">
        <v>-243.18979999999999</v>
      </c>
      <c r="H938" s="1">
        <v>-4.1250369999999999E-6</v>
      </c>
      <c r="I938">
        <v>364.3999</v>
      </c>
      <c r="J938">
        <v>-268.61399999999998</v>
      </c>
      <c r="K938">
        <v>1.1203620000000001</v>
      </c>
      <c r="L938">
        <v>368.85570000000001</v>
      </c>
      <c r="M938">
        <v>0.9998553</v>
      </c>
      <c r="N938">
        <v>-1.364075E-2</v>
      </c>
      <c r="O938">
        <v>1.016499E-2</v>
      </c>
      <c r="P938">
        <v>0.97955300000000001</v>
      </c>
      <c r="Q938">
        <v>0.1823002</v>
      </c>
      <c r="R938">
        <v>-8.5102159999999996E-2</v>
      </c>
      <c r="S938">
        <v>3.0418400000000001</v>
      </c>
      <c r="T938">
        <v>-0.1330189</v>
      </c>
      <c r="U938">
        <v>-0.52883910000000001</v>
      </c>
      <c r="V938">
        <v>9.5080200000000004E-2</v>
      </c>
      <c r="W938">
        <v>0.19562099999999999</v>
      </c>
      <c r="X938">
        <v>0.97605949999999997</v>
      </c>
      <c r="Y938">
        <v>0.18106630000000001</v>
      </c>
      <c r="Z938">
        <v>-5.4761609999999898E-3</v>
      </c>
      <c r="AA938">
        <v>0.98345570000000004</v>
      </c>
      <c r="AB938">
        <v>37</v>
      </c>
      <c r="AC938">
        <v>25.424199999999999</v>
      </c>
      <c r="AD938">
        <v>-1.1203661250370001</v>
      </c>
      <c r="AE938">
        <v>-4.4558000000000098</v>
      </c>
      <c r="AF938">
        <v>4.7051658842539803</v>
      </c>
      <c r="AG938">
        <v>-1.1203661250370001</v>
      </c>
      <c r="AH938">
        <v>25.329866750356398</v>
      </c>
      <c r="AI938">
        <v>92.490060048621004</v>
      </c>
      <c r="AJ938">
        <v>79.476924672405801</v>
      </c>
      <c r="AK938">
        <v>25.7875155035007</v>
      </c>
      <c r="AL938">
        <v>78.718996855105402</v>
      </c>
      <c r="AM938">
        <v>84.436240534835406</v>
      </c>
      <c r="AN938">
        <v>0.99999998380664401</v>
      </c>
    </row>
    <row r="939" spans="1:40" x14ac:dyDescent="0.25">
      <c r="A939" t="str">
        <f>"20190303162758904"</f>
        <v>20190303162758904</v>
      </c>
      <c r="B939" t="str">
        <f>"1551601678892012"</f>
        <v>1551601678892012</v>
      </c>
      <c r="C939" t="s">
        <v>40</v>
      </c>
      <c r="D939">
        <v>4.8911959999999999</v>
      </c>
      <c r="E939">
        <v>0.53555069999999905</v>
      </c>
      <c r="F939" t="s">
        <v>41</v>
      </c>
      <c r="G939">
        <v>-243.12960000000001</v>
      </c>
      <c r="H939" s="1">
        <v>-4.1551269999999999E-6</v>
      </c>
      <c r="I939">
        <v>364.39069999999998</v>
      </c>
      <c r="J939">
        <v>-268.40539999999999</v>
      </c>
      <c r="K939">
        <v>1.1204510000000001</v>
      </c>
      <c r="L939">
        <v>368.8578</v>
      </c>
      <c r="M939">
        <v>0.99985480000000004</v>
      </c>
      <c r="N939">
        <v>-1.369717E-2</v>
      </c>
      <c r="O939">
        <v>1.0144739999999999E-2</v>
      </c>
      <c r="P939">
        <v>0.97941460000000002</v>
      </c>
      <c r="Q939">
        <v>0.18243129999999999</v>
      </c>
      <c r="R939">
        <v>-8.6406899999999995E-2</v>
      </c>
      <c r="S939">
        <v>3.0411990000000002</v>
      </c>
      <c r="T939">
        <v>-0.1336997</v>
      </c>
      <c r="U939">
        <v>-0.53283689999999995</v>
      </c>
      <c r="V939">
        <v>9.6363980000000002E-2</v>
      </c>
      <c r="W939">
        <v>0.19580429999999999</v>
      </c>
      <c r="X939">
        <v>0.97589680000000001</v>
      </c>
      <c r="Y939">
        <v>0.18233189999999999</v>
      </c>
      <c r="Z939">
        <v>-5.5393939999999996E-3</v>
      </c>
      <c r="AA939">
        <v>0.98322140000000002</v>
      </c>
      <c r="AB939">
        <v>37</v>
      </c>
      <c r="AC939">
        <v>25.275799999999901</v>
      </c>
      <c r="AD939">
        <v>-1.1204551551269999</v>
      </c>
      <c r="AE939">
        <v>-4.4671000000000101</v>
      </c>
      <c r="AF939">
        <v>4.7143271307749002</v>
      </c>
      <c r="AG939">
        <v>-1.1204551551269999</v>
      </c>
      <c r="AH939">
        <v>25.1811931184345</v>
      </c>
      <c r="AI939">
        <v>92.504283446798794</v>
      </c>
      <c r="AJ939">
        <v>79.396054172024407</v>
      </c>
      <c r="AK939">
        <v>25.643182074744601</v>
      </c>
      <c r="AL939">
        <v>78.708287072706696</v>
      </c>
      <c r="AM939">
        <v>84.360665142671095</v>
      </c>
      <c r="AN939">
        <v>0.99999995239508399</v>
      </c>
    </row>
    <row r="940" spans="1:40" x14ac:dyDescent="0.25">
      <c r="A940" t="str">
        <f>"20190303162758918"</f>
        <v>20190303162758918</v>
      </c>
      <c r="B940" t="str">
        <f>"1551601678912507"</f>
        <v>1551601678912507</v>
      </c>
      <c r="C940" t="s">
        <v>40</v>
      </c>
      <c r="D940">
        <v>4.8747879999999997</v>
      </c>
      <c r="E940">
        <v>0.53528450000000005</v>
      </c>
      <c r="F940" t="s">
        <v>41</v>
      </c>
      <c r="G940">
        <v>-243.13730000000001</v>
      </c>
      <c r="H940" s="1">
        <v>-4.1489479999999998E-6</v>
      </c>
      <c r="I940">
        <v>364.4049</v>
      </c>
      <c r="J940">
        <v>-268.16789999999997</v>
      </c>
      <c r="K940">
        <v>1.1205350000000001</v>
      </c>
      <c r="L940">
        <v>368.86020000000002</v>
      </c>
      <c r="M940">
        <v>0.99985429999999997</v>
      </c>
      <c r="N940">
        <v>-1.3750099999999999E-2</v>
      </c>
      <c r="O940">
        <v>1.012125E-2</v>
      </c>
      <c r="P940">
        <v>0.97938590000000003</v>
      </c>
      <c r="Q940">
        <v>0.18199709999999999</v>
      </c>
      <c r="R940">
        <v>-8.7639640000000005E-2</v>
      </c>
      <c r="S940">
        <v>3.040924</v>
      </c>
      <c r="T940">
        <v>-0.13484279999999901</v>
      </c>
      <c r="U940">
        <v>-0.5358887</v>
      </c>
      <c r="V940">
        <v>9.7573270000000004E-2</v>
      </c>
      <c r="W940">
        <v>0.1954214</v>
      </c>
      <c r="X940">
        <v>0.97585339999999998</v>
      </c>
      <c r="Y940">
        <v>0.1832761</v>
      </c>
      <c r="Z940">
        <v>-5.6082079999999999E-3</v>
      </c>
      <c r="AA940">
        <v>0.98304550000000002</v>
      </c>
      <c r="AB940">
        <v>37</v>
      </c>
      <c r="AC940">
        <v>25.0305999999999</v>
      </c>
      <c r="AD940">
        <v>-1.1205391489480001</v>
      </c>
      <c r="AE940">
        <v>-4.4553000000000198</v>
      </c>
      <c r="AF940">
        <v>4.6993081429167702</v>
      </c>
      <c r="AG940">
        <v>-1.1205391489480001</v>
      </c>
      <c r="AH940">
        <v>24.935781914517602</v>
      </c>
      <c r="AI940">
        <v>92.528519121876201</v>
      </c>
      <c r="AJ940">
        <v>79.327416274425204</v>
      </c>
      <c r="AK940">
        <v>25.399455204684799</v>
      </c>
      <c r="AL940">
        <v>78.7306579183645</v>
      </c>
      <c r="AM940">
        <v>84.290108518884296</v>
      </c>
      <c r="AN940">
        <v>0.99999996244400502</v>
      </c>
    </row>
    <row r="941" spans="1:40" x14ac:dyDescent="0.25">
      <c r="A941" t="str">
        <f>"20190303162758931"</f>
        <v>20190303162758931</v>
      </c>
      <c r="B941" t="str">
        <f>"1551601678922267"</f>
        <v>1551601678922267</v>
      </c>
      <c r="C941" t="s">
        <v>40</v>
      </c>
      <c r="D941">
        <v>4.8571739999999997</v>
      </c>
      <c r="E941">
        <v>0.53516200000000003</v>
      </c>
      <c r="F941" t="s">
        <v>41</v>
      </c>
      <c r="G941">
        <v>-243.46340000000001</v>
      </c>
      <c r="H941" s="1">
        <v>-3.9790399999999998E-6</v>
      </c>
      <c r="I941">
        <v>364.49380000000002</v>
      </c>
      <c r="J941">
        <v>-267.95940000000002</v>
      </c>
      <c r="K941">
        <v>1.120603</v>
      </c>
      <c r="L941">
        <v>368.8623</v>
      </c>
      <c r="M941">
        <v>0.99985389999999996</v>
      </c>
      <c r="N941">
        <v>-1.379112E-2</v>
      </c>
      <c r="O941">
        <v>1.010081E-2</v>
      </c>
      <c r="P941">
        <v>0.97935499999999998</v>
      </c>
      <c r="Q941">
        <v>0.1817144</v>
      </c>
      <c r="R941">
        <v>-8.8566190000000003E-2</v>
      </c>
      <c r="S941">
        <v>3.0406490000000002</v>
      </c>
      <c r="T941">
        <v>-0.13791639999999999</v>
      </c>
      <c r="U941">
        <v>-0.53741459999999996</v>
      </c>
      <c r="V941">
        <v>9.8479549999999999E-2</v>
      </c>
      <c r="W941">
        <v>0.1951782</v>
      </c>
      <c r="X941">
        <v>0.97581110000000004</v>
      </c>
      <c r="Y941">
        <v>0.18373919999999999</v>
      </c>
      <c r="Z941">
        <v>-5.7268110000000001E-3</v>
      </c>
      <c r="AA941">
        <v>0.98295840000000001</v>
      </c>
      <c r="AB941">
        <v>37</v>
      </c>
      <c r="AC941">
        <v>24.495999999999999</v>
      </c>
      <c r="AD941">
        <v>-1.12060697904</v>
      </c>
      <c r="AE941">
        <v>-4.3684999999999796</v>
      </c>
      <c r="AF941">
        <v>4.6063872122972596</v>
      </c>
      <c r="AG941">
        <v>-1.12060697904</v>
      </c>
      <c r="AH941">
        <v>24.401129183579201</v>
      </c>
      <c r="AI941">
        <v>92.583852413522607</v>
      </c>
      <c r="AJ941">
        <v>79.309644729288806</v>
      </c>
      <c r="AK941">
        <v>24.8573866000593</v>
      </c>
      <c r="AL941">
        <v>78.744866584616005</v>
      </c>
      <c r="AM941">
        <v>84.237181089675502</v>
      </c>
      <c r="AN941">
        <v>1.00000002720332</v>
      </c>
    </row>
    <row r="942" spans="1:40" x14ac:dyDescent="0.25">
      <c r="A942" t="str">
        <f>"20190303162758946"</f>
        <v>20190303162758946</v>
      </c>
      <c r="B942" t="str">
        <f>"1551601678933004"</f>
        <v>1551601678933004</v>
      </c>
      <c r="C942" t="s">
        <v>40</v>
      </c>
      <c r="D942">
        <v>4.8602160000000003</v>
      </c>
      <c r="E942">
        <v>0.53509600000000002</v>
      </c>
      <c r="F942" t="s">
        <v>41</v>
      </c>
      <c r="G942">
        <v>-243.5325</v>
      </c>
      <c r="H942" s="1">
        <v>-3.9399990000000002E-6</v>
      </c>
      <c r="I942">
        <v>364.52960000000002</v>
      </c>
      <c r="J942">
        <v>-267.69959999999998</v>
      </c>
      <c r="K942">
        <v>1.120679</v>
      </c>
      <c r="L942">
        <v>368.86489999999998</v>
      </c>
      <c r="M942">
        <v>0.99985360000000001</v>
      </c>
      <c r="N942">
        <v>-1.38345E-2</v>
      </c>
      <c r="O942">
        <v>1.007535E-2</v>
      </c>
      <c r="P942">
        <v>0.97933320000000001</v>
      </c>
      <c r="Q942">
        <v>0.18125160000000001</v>
      </c>
      <c r="R942">
        <v>-8.9748229999999998E-2</v>
      </c>
      <c r="S942">
        <v>3.0403440000000002</v>
      </c>
      <c r="T942">
        <v>-0.13947870000000001</v>
      </c>
      <c r="U942">
        <v>-0.53927609999999904</v>
      </c>
      <c r="V942">
        <v>9.9636569999999994E-2</v>
      </c>
      <c r="W942">
        <v>0.19475719999999999</v>
      </c>
      <c r="X942">
        <v>0.97577769999999997</v>
      </c>
      <c r="Y942">
        <v>0.18430869999999999</v>
      </c>
      <c r="Z942">
        <v>-5.7987339999999998E-3</v>
      </c>
      <c r="AA942">
        <v>0.98285129999999998</v>
      </c>
      <c r="AB942">
        <v>37</v>
      </c>
      <c r="AC942">
        <v>24.167099999999898</v>
      </c>
      <c r="AD942">
        <v>-1.1206829399989999</v>
      </c>
      <c r="AE942">
        <v>-4.3352999999999602</v>
      </c>
      <c r="AF942">
        <v>4.5690762327910699</v>
      </c>
      <c r="AG942">
        <v>-1.1206829399989999</v>
      </c>
      <c r="AH942">
        <v>24.0720389296335</v>
      </c>
      <c r="AI942">
        <v>92.618812162412496</v>
      </c>
      <c r="AJ942">
        <v>79.252626275383903</v>
      </c>
      <c r="AK942">
        <v>24.527442714291499</v>
      </c>
      <c r="AL942">
        <v>78.7694593730223</v>
      </c>
      <c r="AM942">
        <v>84.1697401989246</v>
      </c>
      <c r="AN942">
        <v>0.99999996642524602</v>
      </c>
    </row>
    <row r="943" spans="1:40" x14ac:dyDescent="0.25">
      <c r="A943" t="str">
        <f>"20190303162758959"</f>
        <v>20190303162758959</v>
      </c>
      <c r="B943" t="str">
        <f>"1551601678952524"</f>
        <v>1551601678952524</v>
      </c>
      <c r="C943" t="s">
        <v>40</v>
      </c>
      <c r="D943">
        <v>4.8585770000000004</v>
      </c>
      <c r="E943">
        <v>0.53505360000000002</v>
      </c>
      <c r="F943" t="s">
        <v>41</v>
      </c>
      <c r="G943">
        <v>-243.51259999999999</v>
      </c>
      <c r="H943" s="1">
        <v>-3.9458920000000004E-6</v>
      </c>
      <c r="I943">
        <v>364.5496</v>
      </c>
      <c r="J943">
        <v>-267.47820000000002</v>
      </c>
      <c r="K943">
        <v>1.120733</v>
      </c>
      <c r="L943">
        <v>368.86709999999999</v>
      </c>
      <c r="M943">
        <v>0.9998534</v>
      </c>
      <c r="N943">
        <v>-1.386074E-2</v>
      </c>
      <c r="O943">
        <v>1.005406E-2</v>
      </c>
      <c r="P943">
        <v>0.97931639999999998</v>
      </c>
      <c r="Q943">
        <v>0.1804366</v>
      </c>
      <c r="R943">
        <v>-9.1552990000000001E-2</v>
      </c>
      <c r="S943">
        <v>3.0396730000000001</v>
      </c>
      <c r="T943">
        <v>-0.14084059999999901</v>
      </c>
      <c r="U943">
        <v>-0.54232789999999997</v>
      </c>
      <c r="V943">
        <v>0.10142039999999999</v>
      </c>
      <c r="W943">
        <v>0.19396720000000001</v>
      </c>
      <c r="X943">
        <v>0.97575129999999999</v>
      </c>
      <c r="Y943">
        <v>0.18527560000000001</v>
      </c>
      <c r="Z943">
        <v>-5.8753210000000002E-3</v>
      </c>
      <c r="AA943">
        <v>0.98266909999999996</v>
      </c>
      <c r="AB943">
        <v>37</v>
      </c>
      <c r="AC943">
        <v>23.965599999999998</v>
      </c>
      <c r="AD943">
        <v>-1.120736945892</v>
      </c>
      <c r="AE943">
        <v>-4.3174999999999901</v>
      </c>
      <c r="AF943">
        <v>4.5486217401644096</v>
      </c>
      <c r="AG943">
        <v>-1.120736945892</v>
      </c>
      <c r="AH943">
        <v>23.870414457108399</v>
      </c>
      <c r="AI943">
        <v>92.640666942620896</v>
      </c>
      <c r="AJ943">
        <v>79.211356614467405</v>
      </c>
      <c r="AK943">
        <v>24.325762010492401</v>
      </c>
      <c r="AL943">
        <v>78.815603228521297</v>
      </c>
      <c r="AM943">
        <v>84.065937836001595</v>
      </c>
      <c r="AN943">
        <v>0.99999998583184402</v>
      </c>
    </row>
    <row r="944" spans="1:40" x14ac:dyDescent="0.25">
      <c r="A944" t="str">
        <f>"20190303162758972"</f>
        <v>20190303162758972</v>
      </c>
      <c r="B944" t="str">
        <f>"1551601678962284"</f>
        <v>1551601678962284</v>
      </c>
      <c r="C944" t="s">
        <v>40</v>
      </c>
      <c r="D944">
        <v>4.8150829999999996</v>
      </c>
      <c r="E944">
        <v>0.53498059999999903</v>
      </c>
      <c r="F944" t="s">
        <v>41</v>
      </c>
      <c r="G944">
        <v>-243.6534</v>
      </c>
      <c r="H944" s="1">
        <v>-3.8750699999999898E-6</v>
      </c>
      <c r="I944">
        <v>364.57350000000002</v>
      </c>
      <c r="J944">
        <v>-267.2758</v>
      </c>
      <c r="K944">
        <v>1.1207750000000001</v>
      </c>
      <c r="L944">
        <v>368.8691</v>
      </c>
      <c r="M944">
        <v>0.99985349999999995</v>
      </c>
      <c r="N944">
        <v>-1.387527E-2</v>
      </c>
      <c r="O944">
        <v>1.003399E-2</v>
      </c>
      <c r="P944">
        <v>0.97928789999999999</v>
      </c>
      <c r="Q944">
        <v>0.1801365</v>
      </c>
      <c r="R944">
        <v>-9.2447539999999995E-2</v>
      </c>
      <c r="S944">
        <v>3.0384829999999998</v>
      </c>
      <c r="T944">
        <v>-0.14293249999999999</v>
      </c>
      <c r="U944">
        <v>-0.54757690000000003</v>
      </c>
      <c r="V944">
        <v>0.10229480000000001</v>
      </c>
      <c r="W944">
        <v>0.19367999999999999</v>
      </c>
      <c r="X944">
        <v>0.9757171</v>
      </c>
      <c r="Y944">
        <v>0.1869575</v>
      </c>
      <c r="Z944">
        <v>-5.9982450000000001E-3</v>
      </c>
      <c r="AA944">
        <v>0.98234969999999999</v>
      </c>
      <c r="AB944">
        <v>37</v>
      </c>
      <c r="AC944">
        <v>23.622399999999999</v>
      </c>
      <c r="AD944">
        <v>-1.1207788750700001</v>
      </c>
      <c r="AE944">
        <v>-4.2955999999999701</v>
      </c>
      <c r="AF944">
        <v>4.5225785949005104</v>
      </c>
      <c r="AG944">
        <v>-1.1207788750700001</v>
      </c>
      <c r="AH944">
        <v>23.526838740915199</v>
      </c>
      <c r="AI944">
        <v>92.678446746843207</v>
      </c>
      <c r="AJ944">
        <v>79.118731914307801</v>
      </c>
      <c r="AK944">
        <v>23.983786264368</v>
      </c>
      <c r="AL944">
        <v>78.8323769785721</v>
      </c>
      <c r="AM944">
        <v>84.014938591334001</v>
      </c>
      <c r="AN944">
        <v>1.00000001386972</v>
      </c>
    </row>
    <row r="945" spans="1:40" x14ac:dyDescent="0.25">
      <c r="A945" t="str">
        <f>"20190303162758983"</f>
        <v>20190303162758983</v>
      </c>
      <c r="B945" t="str">
        <f>"1551601678972044"</f>
        <v>1551601678972044</v>
      </c>
      <c r="C945" t="s">
        <v>40</v>
      </c>
      <c r="D945">
        <v>4.8186559999999998</v>
      </c>
      <c r="E945">
        <v>0.5349467</v>
      </c>
      <c r="F945" t="s">
        <v>41</v>
      </c>
      <c r="G945">
        <v>-243.6326</v>
      </c>
      <c r="H945" s="1">
        <v>-3.8813079999999998E-6</v>
      </c>
      <c r="I945">
        <v>364.59379999999999</v>
      </c>
      <c r="J945">
        <v>-267.08920000000001</v>
      </c>
      <c r="K945">
        <v>1.1208089999999999</v>
      </c>
      <c r="L945">
        <v>368.87099999999998</v>
      </c>
      <c r="M945">
        <v>0.99985360000000001</v>
      </c>
      <c r="N945">
        <v>-1.388529E-2</v>
      </c>
      <c r="O945">
        <v>1.001544E-2</v>
      </c>
      <c r="P945">
        <v>0.9792324</v>
      </c>
      <c r="Q945">
        <v>0.1800167</v>
      </c>
      <c r="R945">
        <v>-9.3264559999999996E-2</v>
      </c>
      <c r="S945">
        <v>3.0380859999999998</v>
      </c>
      <c r="T945">
        <v>-0.14401729999999999</v>
      </c>
      <c r="U945">
        <v>-0.54937740000000002</v>
      </c>
      <c r="V945">
        <v>0.10309309999999999</v>
      </c>
      <c r="W945">
        <v>0.19356960000000001</v>
      </c>
      <c r="X945">
        <v>0.97565500000000005</v>
      </c>
      <c r="Y945">
        <v>0.18752099999999999</v>
      </c>
      <c r="Z945">
        <v>-6.0527230000000003E-3</v>
      </c>
      <c r="AA945">
        <v>0.9822419</v>
      </c>
      <c r="AB945">
        <v>37</v>
      </c>
      <c r="AC945">
        <v>23.456600000000002</v>
      </c>
      <c r="AD945">
        <v>-1.1208128813079901</v>
      </c>
      <c r="AE945">
        <v>-4.2771999999999899</v>
      </c>
      <c r="AF945">
        <v>4.5019882286514203</v>
      </c>
      <c r="AG945">
        <v>-1.1208128813079901</v>
      </c>
      <c r="AH945">
        <v>23.360960713572599</v>
      </c>
      <c r="AI945">
        <v>92.697277467202198</v>
      </c>
      <c r="AJ945">
        <v>79.092015587070804</v>
      </c>
      <c r="AK945">
        <v>23.817191374864201</v>
      </c>
      <c r="AL945">
        <v>78.838824608306297</v>
      </c>
      <c r="AM945">
        <v>83.968193579634004</v>
      </c>
      <c r="AN945">
        <v>1.0000000281683801</v>
      </c>
    </row>
    <row r="946" spans="1:40" x14ac:dyDescent="0.25">
      <c r="A946" t="str">
        <f>"20190303162758995"</f>
        <v>20190303162758995</v>
      </c>
      <c r="B946" t="str">
        <f>"1551601678982779"</f>
        <v>1551601678982779</v>
      </c>
      <c r="C946" t="s">
        <v>40</v>
      </c>
      <c r="D946">
        <v>4.782743</v>
      </c>
      <c r="E946">
        <v>0.53484430000000005</v>
      </c>
      <c r="F946" t="s">
        <v>41</v>
      </c>
      <c r="G946">
        <v>-243.39150000000001</v>
      </c>
      <c r="H946" s="1">
        <v>-3.9996179999999999E-6</v>
      </c>
      <c r="I946">
        <v>364.56939999999997</v>
      </c>
      <c r="J946">
        <v>-266.90120000000002</v>
      </c>
      <c r="K946">
        <v>1.120838</v>
      </c>
      <c r="L946">
        <v>368.87279999999998</v>
      </c>
      <c r="M946">
        <v>0.99985380000000001</v>
      </c>
      <c r="N946">
        <v>-1.3884290000000001E-2</v>
      </c>
      <c r="O946">
        <v>9.997199E-3</v>
      </c>
      <c r="P946">
        <v>0.97916689999999995</v>
      </c>
      <c r="Q946">
        <v>0.1800311</v>
      </c>
      <c r="R946">
        <v>-9.3924110000000005E-2</v>
      </c>
      <c r="S946">
        <v>3.037506</v>
      </c>
      <c r="T946">
        <v>-0.1436627</v>
      </c>
      <c r="U946">
        <v>-0.55136109999999905</v>
      </c>
      <c r="V946">
        <v>0.103734199999999</v>
      </c>
      <c r="W946">
        <v>0.19358130000000001</v>
      </c>
      <c r="X946">
        <v>0.97558469999999997</v>
      </c>
      <c r="Y946">
        <v>0.18815709999999999</v>
      </c>
      <c r="Z946">
        <v>-6.0601229999999997E-3</v>
      </c>
      <c r="AA946">
        <v>0.9821202</v>
      </c>
      <c r="AB946">
        <v>37</v>
      </c>
      <c r="AC946">
        <v>23.509699999999999</v>
      </c>
      <c r="AD946">
        <v>-1.1208419996179999</v>
      </c>
      <c r="AE946">
        <v>-4.3034000000000097</v>
      </c>
      <c r="AF946">
        <v>4.5282796953930902</v>
      </c>
      <c r="AG946">
        <v>-1.1208419996179999</v>
      </c>
      <c r="AH946">
        <v>23.414004775576899</v>
      </c>
      <c r="AI946">
        <v>92.690902394380601</v>
      </c>
      <c r="AJ946">
        <v>79.054106193939901</v>
      </c>
      <c r="AK946">
        <v>23.874195764853599</v>
      </c>
      <c r="AL946">
        <v>78.838141066430495</v>
      </c>
      <c r="AM946">
        <v>83.930528904286206</v>
      </c>
      <c r="AN946">
        <v>1.00000000541671</v>
      </c>
    </row>
    <row r="947" spans="1:40" x14ac:dyDescent="0.25">
      <c r="A947" t="str">
        <f>"20190303162759008"</f>
        <v>20190303162759008</v>
      </c>
      <c r="B947" t="str">
        <f>"1551601679002299"</f>
        <v>1551601679002299</v>
      </c>
      <c r="C947" t="s">
        <v>40</v>
      </c>
      <c r="D947">
        <v>4.7594859999999999</v>
      </c>
      <c r="E947">
        <v>0.53466459999999905</v>
      </c>
      <c r="F947" t="s">
        <v>41</v>
      </c>
      <c r="G947">
        <v>-243.31720000000001</v>
      </c>
      <c r="H947" s="1">
        <v>-4.0325900000000003E-6</v>
      </c>
      <c r="I947">
        <v>364.5813</v>
      </c>
      <c r="J947">
        <v>-266.6866</v>
      </c>
      <c r="K947">
        <v>1.1208670000000001</v>
      </c>
      <c r="L947">
        <v>368.87490000000003</v>
      </c>
      <c r="M947">
        <v>0.99985400000000002</v>
      </c>
      <c r="N947">
        <v>-1.3880180000000001E-2</v>
      </c>
      <c r="O947">
        <v>9.9760630000000003E-3</v>
      </c>
      <c r="P947">
        <v>0.97912940000000004</v>
      </c>
      <c r="Q947">
        <v>0.1799376</v>
      </c>
      <c r="R947">
        <v>-9.4492270000000003E-2</v>
      </c>
      <c r="S947">
        <v>3.0373839999999999</v>
      </c>
      <c r="T947">
        <v>-0.14435339999999999</v>
      </c>
      <c r="U947">
        <v>-0.55270390000000003</v>
      </c>
      <c r="V947">
        <v>0.1042815</v>
      </c>
      <c r="W947">
        <v>0.19348299999999999</v>
      </c>
      <c r="X947">
        <v>0.97554580000000002</v>
      </c>
      <c r="Y947">
        <v>0.1885607</v>
      </c>
      <c r="Z947">
        <v>-6.0949019999999897E-3</v>
      </c>
      <c r="AA947">
        <v>0.98204259999999999</v>
      </c>
      <c r="AB947">
        <v>37</v>
      </c>
      <c r="AC947">
        <v>23.369399999999899</v>
      </c>
      <c r="AD947">
        <v>-1.12087103259</v>
      </c>
      <c r="AE947">
        <v>-4.2936000000000201</v>
      </c>
      <c r="AF947">
        <v>4.5164925698960197</v>
      </c>
      <c r="AG947">
        <v>-1.12087103259</v>
      </c>
      <c r="AH947">
        <v>23.273607607993402</v>
      </c>
      <c r="AI947">
        <v>92.706847884528599</v>
      </c>
      <c r="AJ947">
        <v>79.017646629921501</v>
      </c>
      <c r="AK947">
        <v>23.7342762286208</v>
      </c>
      <c r="AL947">
        <v>78.843881208509003</v>
      </c>
      <c r="AM947">
        <v>83.898505921314296</v>
      </c>
      <c r="AN947">
        <v>0.99999995521444396</v>
      </c>
    </row>
    <row r="948" spans="1:40" x14ac:dyDescent="0.25">
      <c r="A948" t="str">
        <f>"20190303162759019"</f>
        <v>20190303162759019</v>
      </c>
      <c r="B948" t="str">
        <f>"1551601679012059"</f>
        <v>1551601679012059</v>
      </c>
      <c r="C948" t="s">
        <v>40</v>
      </c>
      <c r="D948">
        <v>4.7939930000000004</v>
      </c>
      <c r="E948">
        <v>0.53462200000000004</v>
      </c>
      <c r="F948" t="s">
        <v>41</v>
      </c>
      <c r="G948">
        <v>-243.2988</v>
      </c>
      <c r="H948" s="1">
        <v>-4.0350819999999996E-6</v>
      </c>
      <c r="I948">
        <v>364.6164</v>
      </c>
      <c r="J948">
        <v>-266.47550000000001</v>
      </c>
      <c r="K948">
        <v>1.120892</v>
      </c>
      <c r="L948">
        <v>368.87700000000001</v>
      </c>
      <c r="M948">
        <v>0.99985429999999997</v>
      </c>
      <c r="N948">
        <v>-1.3871059999999999E-2</v>
      </c>
      <c r="O948">
        <v>9.9549660000000009E-3</v>
      </c>
      <c r="P948">
        <v>0.97912900000000003</v>
      </c>
      <c r="Q948">
        <v>0.17972360000000001</v>
      </c>
      <c r="R948">
        <v>-9.4902630000000002E-2</v>
      </c>
      <c r="S948">
        <v>3.0372919999999999</v>
      </c>
      <c r="T948">
        <v>-0.14556379999999999</v>
      </c>
      <c r="U948">
        <v>-0.55303959999999996</v>
      </c>
      <c r="V948">
        <v>0.10467129999999999</v>
      </c>
      <c r="W948">
        <v>0.19326080000000001</v>
      </c>
      <c r="X948">
        <v>0.97554810000000003</v>
      </c>
      <c r="Y948">
        <v>0.18864610000000001</v>
      </c>
      <c r="Z948">
        <v>-6.1373069999999998E-3</v>
      </c>
      <c r="AA948">
        <v>0.98202599999999995</v>
      </c>
      <c r="AB948">
        <v>37</v>
      </c>
      <c r="AC948">
        <v>23.1767</v>
      </c>
      <c r="AD948">
        <v>-1.1208960350820001</v>
      </c>
      <c r="AE948">
        <v>-4.2605999999999504</v>
      </c>
      <c r="AF948">
        <v>4.4809959157248196</v>
      </c>
      <c r="AG948">
        <v>-1.1208960350820001</v>
      </c>
      <c r="AH948">
        <v>23.080911969023798</v>
      </c>
      <c r="AI948">
        <v>92.729431386998797</v>
      </c>
      <c r="AJ948">
        <v>79.013106132227307</v>
      </c>
      <c r="AK948">
        <v>23.538568980293402</v>
      </c>
      <c r="AL948">
        <v>78.856857263228704</v>
      </c>
      <c r="AM948">
        <v>83.875886107659298</v>
      </c>
      <c r="AN948">
        <v>0.99999995663696895</v>
      </c>
    </row>
    <row r="949" spans="1:40" x14ac:dyDescent="0.25">
      <c r="A949" t="str">
        <f>"20190303162759031"</f>
        <v>20190303162759031</v>
      </c>
      <c r="B949" t="str">
        <f>"1551601679022796"</f>
        <v>1551601679022796</v>
      </c>
      <c r="C949" t="s">
        <v>40</v>
      </c>
      <c r="D949">
        <v>4.8107769999999999</v>
      </c>
      <c r="E949">
        <v>0.53460010000000002</v>
      </c>
      <c r="F949" t="s">
        <v>41</v>
      </c>
      <c r="G949">
        <v>-243.28380000000001</v>
      </c>
      <c r="H949" s="1">
        <v>-4.0360180000000001E-6</v>
      </c>
      <c r="I949">
        <v>364.65109999999999</v>
      </c>
      <c r="J949">
        <v>-266.28559999999999</v>
      </c>
      <c r="K949">
        <v>1.1209100000000001</v>
      </c>
      <c r="L949">
        <v>368.87889999999999</v>
      </c>
      <c r="M949">
        <v>0.99985460000000004</v>
      </c>
      <c r="N949">
        <v>-1.3860529999999999E-2</v>
      </c>
      <c r="O949">
        <v>9.9362579999999999E-3</v>
      </c>
      <c r="P949">
        <v>0.97919290000000003</v>
      </c>
      <c r="Q949">
        <v>0.1792628</v>
      </c>
      <c r="R949">
        <v>-9.5112379999999996E-2</v>
      </c>
      <c r="S949">
        <v>3.0372620000000001</v>
      </c>
      <c r="T949">
        <v>-0.14679610000000001</v>
      </c>
      <c r="U949">
        <v>-0.55343629999999999</v>
      </c>
      <c r="V949">
        <v>0.1048636</v>
      </c>
      <c r="W949">
        <v>0.19279019999999999</v>
      </c>
      <c r="X949">
        <v>0.97562059999999995</v>
      </c>
      <c r="Y949">
        <v>0.18874930000000001</v>
      </c>
      <c r="Z949">
        <v>-6.180881E-3</v>
      </c>
      <c r="AA949">
        <v>0.98200580000000004</v>
      </c>
      <c r="AB949">
        <v>37</v>
      </c>
      <c r="AC949">
        <v>23.0017999999999</v>
      </c>
      <c r="AD949">
        <v>-1.1209140360179899</v>
      </c>
      <c r="AE949">
        <v>-4.2278000000000002</v>
      </c>
      <c r="AF949">
        <v>4.44595195458683</v>
      </c>
      <c r="AG949">
        <v>-1.1209140360179899</v>
      </c>
      <c r="AH949">
        <v>22.9060328972663</v>
      </c>
      <c r="AI949">
        <v>92.750306310226506</v>
      </c>
      <c r="AJ949">
        <v>79.015739431314501</v>
      </c>
      <c r="AK949">
        <v>23.360421232274099</v>
      </c>
      <c r="AL949">
        <v>78.884337895545698</v>
      </c>
      <c r="AM949">
        <v>83.865173186207599</v>
      </c>
      <c r="AN949">
        <v>0.99999999548267904</v>
      </c>
    </row>
    <row r="950" spans="1:40" x14ac:dyDescent="0.25">
      <c r="A950" t="str">
        <f>"20190303162759044"</f>
        <v>20190303162759044</v>
      </c>
      <c r="B950" t="str">
        <f>"1551601679032556"</f>
        <v>1551601679032556</v>
      </c>
      <c r="C950" t="s">
        <v>40</v>
      </c>
      <c r="D950">
        <v>4.7816850000000004</v>
      </c>
      <c r="E950">
        <v>0.53458530000000004</v>
      </c>
      <c r="F950" t="s">
        <v>41</v>
      </c>
      <c r="G950">
        <v>-243.21690000000001</v>
      </c>
      <c r="H950" s="1">
        <v>-4.0635269999999998E-6</v>
      </c>
      <c r="I950">
        <v>364.67439999999999</v>
      </c>
      <c r="J950">
        <v>-266.0942</v>
      </c>
      <c r="K950">
        <v>1.1209260000000001</v>
      </c>
      <c r="L950">
        <v>368.88080000000002</v>
      </c>
      <c r="M950">
        <v>0.99985500000000005</v>
      </c>
      <c r="N950">
        <v>-1.3849240000000001E-2</v>
      </c>
      <c r="O950">
        <v>9.9173769999999998E-3</v>
      </c>
      <c r="P950">
        <v>0.97931100000000004</v>
      </c>
      <c r="Q950">
        <v>0.17865049999999999</v>
      </c>
      <c r="R950">
        <v>-9.5047900000000005E-2</v>
      </c>
      <c r="S950">
        <v>3.0369869999999999</v>
      </c>
      <c r="T950">
        <v>-0.14756820000000001</v>
      </c>
      <c r="U950">
        <v>-0.55352780000000001</v>
      </c>
      <c r="V950">
        <v>0.10478179999999999</v>
      </c>
      <c r="W950">
        <v>0.19216829999999999</v>
      </c>
      <c r="X950">
        <v>0.97575210000000001</v>
      </c>
      <c r="Y950">
        <v>0.18877240000000001</v>
      </c>
      <c r="Z950">
        <v>-6.2066869999999998E-3</v>
      </c>
      <c r="AA950">
        <v>0.98200120000000002</v>
      </c>
      <c r="AB950">
        <v>37</v>
      </c>
      <c r="AC950">
        <v>22.877299999999899</v>
      </c>
      <c r="AD950">
        <v>-1.1209300635269901</v>
      </c>
      <c r="AE950">
        <v>-4.2064000000000297</v>
      </c>
      <c r="AF950">
        <v>4.42282676312308</v>
      </c>
      <c r="AG950">
        <v>-1.1209300635269901</v>
      </c>
      <c r="AH950">
        <v>22.781549943372699</v>
      </c>
      <c r="AI950">
        <v>92.765327253662406</v>
      </c>
      <c r="AJ950">
        <v>79.013227633354504</v>
      </c>
      <c r="AK950">
        <v>23.233960028507799</v>
      </c>
      <c r="AL950">
        <v>78.920649408844696</v>
      </c>
      <c r="AM950">
        <v>83.870742123453098</v>
      </c>
      <c r="AN950">
        <v>1.00000002089526</v>
      </c>
    </row>
    <row r="951" spans="1:40" x14ac:dyDescent="0.25">
      <c r="A951" t="str">
        <f>"20190303162759055"</f>
        <v>20190303162759055</v>
      </c>
      <c r="B951" t="str">
        <f>"1551601679052076"</f>
        <v>1551601679052076</v>
      </c>
      <c r="C951" t="s">
        <v>40</v>
      </c>
      <c r="D951">
        <v>4.8179220000000003</v>
      </c>
      <c r="E951">
        <v>0.53453609999999996</v>
      </c>
      <c r="F951" t="s">
        <v>41</v>
      </c>
      <c r="G951">
        <v>-243.36179999999999</v>
      </c>
      <c r="H951" s="1">
        <v>-3.9832180000000003E-6</v>
      </c>
      <c r="I951">
        <v>364.74099999999999</v>
      </c>
      <c r="J951">
        <v>-265.88909999999998</v>
      </c>
      <c r="K951">
        <v>1.120943</v>
      </c>
      <c r="L951">
        <v>368.88279999999997</v>
      </c>
      <c r="M951">
        <v>0.99985539999999995</v>
      </c>
      <c r="N951">
        <v>-1.383618E-2</v>
      </c>
      <c r="O951">
        <v>9.8964880000000002E-3</v>
      </c>
      <c r="P951">
        <v>0.97938360000000002</v>
      </c>
      <c r="Q951">
        <v>0.17844579999999999</v>
      </c>
      <c r="R951">
        <v>-9.4683130000000004E-2</v>
      </c>
      <c r="S951">
        <v>3.0370180000000002</v>
      </c>
      <c r="T951">
        <v>-0.14975459999999999</v>
      </c>
      <c r="U951">
        <v>-0.55307010000000001</v>
      </c>
      <c r="V951">
        <v>0.1043975</v>
      </c>
      <c r="W951">
        <v>0.1919526</v>
      </c>
      <c r="X951">
        <v>0.97583569999999997</v>
      </c>
      <c r="Y951">
        <v>0.1885995</v>
      </c>
      <c r="Z951">
        <v>-6.2737820000000003E-3</v>
      </c>
      <c r="AA951">
        <v>0.98203399999999996</v>
      </c>
      <c r="AB951">
        <v>37</v>
      </c>
      <c r="AC951">
        <v>22.5273</v>
      </c>
      <c r="AD951">
        <v>-1.1209469832179999</v>
      </c>
      <c r="AE951">
        <v>-4.1417999999999804</v>
      </c>
      <c r="AF951">
        <v>4.3541312599086499</v>
      </c>
      <c r="AG951">
        <v>-1.1209469832179999</v>
      </c>
      <c r="AH951">
        <v>22.431478969619398</v>
      </c>
      <c r="AI951">
        <v>92.808474495939294</v>
      </c>
      <c r="AJ951">
        <v>79.015030602867199</v>
      </c>
      <c r="AK951">
        <v>22.877636021498699</v>
      </c>
      <c r="AL951">
        <v>78.933242050745307</v>
      </c>
      <c r="AM951">
        <v>83.893570973495102</v>
      </c>
      <c r="AN951">
        <v>0.99999997602374902</v>
      </c>
    </row>
    <row r="952" spans="1:40" x14ac:dyDescent="0.25">
      <c r="A952" t="str">
        <f>"20190303162759071"</f>
        <v>20190303162759071</v>
      </c>
      <c r="B952" t="str">
        <f>"1551601679062811"</f>
        <v>1551601679062811</v>
      </c>
      <c r="C952" t="s">
        <v>40</v>
      </c>
      <c r="D952">
        <v>4.7900080000000003</v>
      </c>
      <c r="E952">
        <v>0.53453919999999999</v>
      </c>
      <c r="F952" t="s">
        <v>41</v>
      </c>
      <c r="G952">
        <v>-243.11779999999999</v>
      </c>
      <c r="H952" s="1">
        <v>-4.0971589999999998E-6</v>
      </c>
      <c r="I952">
        <v>364.74880000000002</v>
      </c>
      <c r="J952">
        <v>-265.64760000000001</v>
      </c>
      <c r="K952">
        <v>1.120962</v>
      </c>
      <c r="L952">
        <v>368.88510000000002</v>
      </c>
      <c r="M952">
        <v>0.99985579999999996</v>
      </c>
      <c r="N952">
        <v>-1.382073E-2</v>
      </c>
      <c r="O952">
        <v>9.8722749999999998E-3</v>
      </c>
      <c r="P952">
        <v>0.97940439999999995</v>
      </c>
      <c r="Q952">
        <v>0.1786469</v>
      </c>
      <c r="R952">
        <v>-9.4087619999999997E-2</v>
      </c>
      <c r="S952">
        <v>3.0370789999999999</v>
      </c>
      <c r="T952">
        <v>-0.14950439999999901</v>
      </c>
      <c r="U952">
        <v>-0.55136109999999905</v>
      </c>
      <c r="V952">
        <v>0.1037785</v>
      </c>
      <c r="W952">
        <v>0.19213830000000001</v>
      </c>
      <c r="X952">
        <v>0.97586519999999999</v>
      </c>
      <c r="Y952">
        <v>0.18803909999999999</v>
      </c>
      <c r="Z952">
        <v>-6.2456090000000001E-3</v>
      </c>
      <c r="AA952">
        <v>0.98214170000000001</v>
      </c>
      <c r="AB952">
        <v>37</v>
      </c>
      <c r="AC952">
        <v>22.529800000000002</v>
      </c>
      <c r="AD952">
        <v>-1.1209660971590001</v>
      </c>
      <c r="AE952">
        <v>-4.1363000000000003</v>
      </c>
      <c r="AF952">
        <v>4.3481270185382401</v>
      </c>
      <c r="AG952">
        <v>-1.1209660971590001</v>
      </c>
      <c r="AH952">
        <v>22.434137518197701</v>
      </c>
      <c r="AI952">
        <v>92.808342346020098</v>
      </c>
      <c r="AJ952">
        <v>79.031079344645306</v>
      </c>
      <c r="AK952">
        <v>22.879101812477799</v>
      </c>
      <c r="AL952">
        <v>78.922400642282</v>
      </c>
      <c r="AM952">
        <v>83.929688576548202</v>
      </c>
      <c r="AN952">
        <v>0.99999999598009004</v>
      </c>
    </row>
    <row r="953" spans="1:40" x14ac:dyDescent="0.25">
      <c r="A953" t="str">
        <f>"20190303162759086"</f>
        <v>20190303162759086</v>
      </c>
      <c r="B953" t="str">
        <f>"1551601679072572"</f>
        <v>1551601679072572</v>
      </c>
      <c r="C953" t="s">
        <v>40</v>
      </c>
      <c r="D953">
        <v>4.7661959999999999</v>
      </c>
      <c r="E953">
        <v>0.53450419999999998</v>
      </c>
      <c r="F953" t="s">
        <v>41</v>
      </c>
      <c r="G953">
        <v>-242.76310000000001</v>
      </c>
      <c r="H953" s="1">
        <v>-4.2659260000000004E-6</v>
      </c>
      <c r="I953">
        <v>364.74259999999998</v>
      </c>
      <c r="J953">
        <v>-265.41050000000001</v>
      </c>
      <c r="K953">
        <v>1.1209750000000001</v>
      </c>
      <c r="L953">
        <v>368.88749999999999</v>
      </c>
      <c r="M953">
        <v>0.99985639999999998</v>
      </c>
      <c r="N953">
        <v>-1.380547E-2</v>
      </c>
      <c r="O953">
        <v>9.8482410000000006E-3</v>
      </c>
      <c r="P953">
        <v>0.97934010000000005</v>
      </c>
      <c r="Q953">
        <v>0.17921889999999999</v>
      </c>
      <c r="R953">
        <v>-9.3669169999999996E-2</v>
      </c>
      <c r="S953">
        <v>3.0374150000000002</v>
      </c>
      <c r="T953">
        <v>-0.14878359999999999</v>
      </c>
      <c r="U953">
        <v>-0.54983519999999997</v>
      </c>
      <c r="V953">
        <v>0.10333630000000001</v>
      </c>
      <c r="W953">
        <v>0.19269520000000001</v>
      </c>
      <c r="X953">
        <v>0.97580239999999996</v>
      </c>
      <c r="Y953">
        <v>0.1875221</v>
      </c>
      <c r="Z953">
        <v>-6.2025040000000002E-3</v>
      </c>
      <c r="AA953">
        <v>0.98224080000000002</v>
      </c>
      <c r="AB953">
        <v>37</v>
      </c>
      <c r="AC953">
        <v>22.647400000000001</v>
      </c>
      <c r="AD953">
        <v>-1.1209792659260001</v>
      </c>
      <c r="AE953">
        <v>-4.1448999999999998</v>
      </c>
      <c r="AF953">
        <v>4.3574277063133904</v>
      </c>
      <c r="AG953">
        <v>-1.1209792659260001</v>
      </c>
      <c r="AH953">
        <v>22.552016890625801</v>
      </c>
      <c r="AI953">
        <v>92.794031768867001</v>
      </c>
      <c r="AJ953">
        <v>79.064253059430499</v>
      </c>
      <c r="AK953">
        <v>22.996461392254599</v>
      </c>
      <c r="AL953">
        <v>78.889885928619506</v>
      </c>
      <c r="AM953">
        <v>83.954976125542501</v>
      </c>
      <c r="AN953">
        <v>1.00000007742324</v>
      </c>
    </row>
    <row r="954" spans="1:40" x14ac:dyDescent="0.25">
      <c r="A954" t="str">
        <f>"20190303162759097"</f>
        <v>20190303162759097</v>
      </c>
      <c r="B954" t="str">
        <f>"1551601679092091"</f>
        <v>1551601679092091</v>
      </c>
      <c r="C954" t="s">
        <v>40</v>
      </c>
      <c r="D954">
        <v>4.7808849999999996</v>
      </c>
      <c r="E954">
        <v>0.53445929999999997</v>
      </c>
      <c r="F954" t="s">
        <v>41</v>
      </c>
      <c r="G954">
        <v>-242.15090000000001</v>
      </c>
      <c r="H954" s="1">
        <v>-4.5651090000000002E-6</v>
      </c>
      <c r="I954">
        <v>364.68729999999999</v>
      </c>
      <c r="J954">
        <v>-265.19600000000003</v>
      </c>
      <c r="K954">
        <v>1.1209899999999999</v>
      </c>
      <c r="L954">
        <v>368.88959999999997</v>
      </c>
      <c r="M954">
        <v>0.99985670000000004</v>
      </c>
      <c r="N954">
        <v>-1.379171E-2</v>
      </c>
      <c r="O954">
        <v>9.8258709999999999E-3</v>
      </c>
      <c r="P954">
        <v>0.97926610000000003</v>
      </c>
      <c r="Q954">
        <v>0.179868</v>
      </c>
      <c r="R954">
        <v>-9.3195780000000006E-2</v>
      </c>
      <c r="S954">
        <v>3.0376280000000002</v>
      </c>
      <c r="T954">
        <v>-0.14639649999999901</v>
      </c>
      <c r="U954">
        <v>-0.54852290000000004</v>
      </c>
      <c r="V954">
        <v>0.1028403</v>
      </c>
      <c r="W954">
        <v>0.19332959999999999</v>
      </c>
      <c r="X954">
        <v>0.97572919999999996</v>
      </c>
      <c r="Y954">
        <v>0.187086</v>
      </c>
      <c r="Z954">
        <v>-6.1062490000000002E-3</v>
      </c>
      <c r="AA954">
        <v>0.98232450000000004</v>
      </c>
      <c r="AB954">
        <v>37</v>
      </c>
      <c r="AC954">
        <v>23.045099999999898</v>
      </c>
      <c r="AD954">
        <v>-1.1209945651090001</v>
      </c>
      <c r="AE954">
        <v>-4.2022999999999797</v>
      </c>
      <c r="AF954">
        <v>4.4184383804681104</v>
      </c>
      <c r="AG954">
        <v>-1.1209945651090001</v>
      </c>
      <c r="AH954">
        <v>22.950135312540102</v>
      </c>
      <c r="AI954">
        <v>92.746029121651205</v>
      </c>
      <c r="AJ954">
        <v>79.102554328766999</v>
      </c>
      <c r="AK954">
        <v>23.398460150208599</v>
      </c>
      <c r="AL954">
        <v>78.8528396546793</v>
      </c>
      <c r="AM954">
        <v>83.983330064495306</v>
      </c>
      <c r="AN954">
        <v>0.99999996663644397</v>
      </c>
    </row>
    <row r="955" spans="1:40" x14ac:dyDescent="0.25">
      <c r="A955" t="str">
        <f>"20190303162759111"</f>
        <v>20190303162759111</v>
      </c>
      <c r="B955" t="str">
        <f>"1551601679102828"</f>
        <v>1551601679102828</v>
      </c>
      <c r="C955" t="s">
        <v>40</v>
      </c>
      <c r="D955">
        <v>4.8065309999999997</v>
      </c>
      <c r="E955">
        <v>0.53449930000000001</v>
      </c>
      <c r="F955" t="s">
        <v>41</v>
      </c>
      <c r="G955">
        <v>-241.37020000000001</v>
      </c>
      <c r="H955" s="1">
        <v>-4.9493030000000001E-6</v>
      </c>
      <c r="I955">
        <v>364.60199999999998</v>
      </c>
      <c r="J955">
        <v>-264.98559999999998</v>
      </c>
      <c r="K955">
        <v>1.121005</v>
      </c>
      <c r="L955">
        <v>368.89159999999998</v>
      </c>
      <c r="M955">
        <v>0.999857</v>
      </c>
      <c r="N955">
        <v>-1.377859E-2</v>
      </c>
      <c r="O955">
        <v>9.804152E-3</v>
      </c>
      <c r="P955">
        <v>0.97917829999999995</v>
      </c>
      <c r="Q955">
        <v>0.1805271</v>
      </c>
      <c r="R955">
        <v>-9.284336E-2</v>
      </c>
      <c r="S955">
        <v>3.03775</v>
      </c>
      <c r="T955">
        <v>-0.14292489999999999</v>
      </c>
      <c r="U955">
        <v>-0.54666139999999996</v>
      </c>
      <c r="V955">
        <v>0.10246570000000001</v>
      </c>
      <c r="W955">
        <v>0.1939747</v>
      </c>
      <c r="X955">
        <v>0.97564059999999997</v>
      </c>
      <c r="Y955">
        <v>0.18648729999999999</v>
      </c>
      <c r="Z955">
        <v>-5.9692479999999999E-3</v>
      </c>
      <c r="AA955">
        <v>0.98243919999999996</v>
      </c>
      <c r="AB955">
        <v>37</v>
      </c>
      <c r="AC955">
        <v>23.615399999999902</v>
      </c>
      <c r="AD955">
        <v>-1.1210099493029999</v>
      </c>
      <c r="AE955">
        <v>-4.2896000000000001</v>
      </c>
      <c r="AF955">
        <v>4.5111043390573604</v>
      </c>
      <c r="AG955">
        <v>-1.1210099493029999</v>
      </c>
      <c r="AH955">
        <v>23.520897012147501</v>
      </c>
      <c r="AI955">
        <v>92.679891605846706</v>
      </c>
      <c r="AJ955">
        <v>79.143005429851002</v>
      </c>
      <c r="AK955">
        <v>23.975807012910899</v>
      </c>
      <c r="AL955">
        <v>78.815165262128602</v>
      </c>
      <c r="AM955">
        <v>84.004545694578695</v>
      </c>
      <c r="AN955">
        <v>0.99999999214246904</v>
      </c>
    </row>
    <row r="956" spans="1:40" x14ac:dyDescent="0.25">
      <c r="A956" t="str">
        <f>"20190303162759127"</f>
        <v>20190303162759127</v>
      </c>
      <c r="B956" t="str">
        <f>"1551601679122348"</f>
        <v>1551601679122348</v>
      </c>
      <c r="C956" t="s">
        <v>40</v>
      </c>
      <c r="D956">
        <v>4.8080170000000004</v>
      </c>
      <c r="E956">
        <v>0.53458609999999995</v>
      </c>
      <c r="F956" t="s">
        <v>41</v>
      </c>
      <c r="G956">
        <v>-240.7337</v>
      </c>
      <c r="H956" s="1">
        <v>-5.2628909999999996E-6</v>
      </c>
      <c r="I956">
        <v>364.53039999999999</v>
      </c>
      <c r="J956">
        <v>-264.72910000000002</v>
      </c>
      <c r="K956">
        <v>1.1210209999999901</v>
      </c>
      <c r="L956">
        <v>368.89409999999998</v>
      </c>
      <c r="M956">
        <v>0.99985749999999995</v>
      </c>
      <c r="N956">
        <v>-1.3763070000000001E-2</v>
      </c>
      <c r="O956">
        <v>9.7774420000000008E-3</v>
      </c>
      <c r="P956">
        <v>0.97918059999999996</v>
      </c>
      <c r="Q956">
        <v>0.1807829</v>
      </c>
      <c r="R956">
        <v>-9.2319540000000005E-2</v>
      </c>
      <c r="S956">
        <v>3.0378720000000001</v>
      </c>
      <c r="T956">
        <v>-0.1404214</v>
      </c>
      <c r="U956">
        <v>-0.54629519999999998</v>
      </c>
      <c r="V956">
        <v>0.1019158</v>
      </c>
      <c r="W956">
        <v>0.19421559999999999</v>
      </c>
      <c r="X956">
        <v>0.97565029999999997</v>
      </c>
      <c r="Y956">
        <v>0.18634800000000001</v>
      </c>
      <c r="Z956">
        <v>-5.8786219999999896E-3</v>
      </c>
      <c r="AA956">
        <v>0.98246619999999996</v>
      </c>
      <c r="AB956">
        <v>37</v>
      </c>
      <c r="AC956">
        <v>23.9954</v>
      </c>
      <c r="AD956">
        <v>-1.1210262628909899</v>
      </c>
      <c r="AE956">
        <v>-4.3636999999999899</v>
      </c>
      <c r="AF956">
        <v>4.5884330776086903</v>
      </c>
      <c r="AG956">
        <v>-1.1210262628909899</v>
      </c>
      <c r="AH956">
        <v>23.901086247787202</v>
      </c>
      <c r="AI956">
        <v>92.637272202218696</v>
      </c>
      <c r="AJ956">
        <v>79.132805165877798</v>
      </c>
      <c r="AK956">
        <v>24.363340120228699</v>
      </c>
      <c r="AL956">
        <v>78.801095434551698</v>
      </c>
      <c r="AM956">
        <v>84.0365477120517</v>
      </c>
      <c r="AN956">
        <v>1.0000000187315401</v>
      </c>
    </row>
    <row r="957" spans="1:40" x14ac:dyDescent="0.25">
      <c r="A957" t="str">
        <f>"20190303162759139"</f>
        <v>20190303162759139</v>
      </c>
      <c r="B957" t="str">
        <f>"1551601679132108"</f>
        <v>1551601679132108</v>
      </c>
      <c r="C957" t="s">
        <v>40</v>
      </c>
      <c r="D957">
        <v>4.816738</v>
      </c>
      <c r="E957">
        <v>0.53467529999999996</v>
      </c>
      <c r="F957" t="s">
        <v>41</v>
      </c>
      <c r="G957">
        <v>-240.10929999999999</v>
      </c>
      <c r="H957" s="1">
        <v>-5.5681070000000001E-6</v>
      </c>
      <c r="I957">
        <v>364.47370000000001</v>
      </c>
      <c r="J957">
        <v>-264.49419999999998</v>
      </c>
      <c r="K957">
        <v>1.121035</v>
      </c>
      <c r="L957">
        <v>368.89640000000003</v>
      </c>
      <c r="M957">
        <v>0.99985800000000002</v>
      </c>
      <c r="N957">
        <v>-1.374941E-2</v>
      </c>
      <c r="O957">
        <v>9.752864E-3</v>
      </c>
      <c r="P957">
        <v>0.97900339999999997</v>
      </c>
      <c r="Q957">
        <v>0.18231720000000001</v>
      </c>
      <c r="R957">
        <v>-9.1174069999999996E-2</v>
      </c>
      <c r="S957">
        <v>3.037903</v>
      </c>
      <c r="T957">
        <v>-0.13832630000000001</v>
      </c>
      <c r="U957">
        <v>-0.545440699999999</v>
      </c>
      <c r="V957">
        <v>0.10074470000000001</v>
      </c>
      <c r="W957">
        <v>0.19573460000000001</v>
      </c>
      <c r="X957">
        <v>0.97546829999999995</v>
      </c>
      <c r="Y957">
        <v>0.1860617</v>
      </c>
      <c r="Z957">
        <v>-5.7979240000000003E-3</v>
      </c>
      <c r="AA957">
        <v>0.98252090000000003</v>
      </c>
      <c r="AB957">
        <v>37</v>
      </c>
      <c r="AC957">
        <v>24.384899999999899</v>
      </c>
      <c r="AD957">
        <v>-1.1210405681069999</v>
      </c>
      <c r="AE957">
        <v>-4.4227000000000096</v>
      </c>
      <c r="AF957">
        <v>4.6508182653275396</v>
      </c>
      <c r="AG957">
        <v>-1.1210405681069999</v>
      </c>
      <c r="AH957">
        <v>24.290898344209399</v>
      </c>
      <c r="AI957">
        <v>92.595287165926393</v>
      </c>
      <c r="AJ957">
        <v>79.161128798547693</v>
      </c>
      <c r="AK957">
        <v>24.757515724748298</v>
      </c>
      <c r="AL957">
        <v>78.712359546810603</v>
      </c>
      <c r="AM957">
        <v>84.103495284656603</v>
      </c>
      <c r="AN957">
        <v>0.99999996626006904</v>
      </c>
    </row>
    <row r="958" spans="1:40" x14ac:dyDescent="0.25">
      <c r="A958" t="str">
        <f>"20190303162759156"</f>
        <v>20190303162759156</v>
      </c>
      <c r="B958" t="str">
        <f>"1551601679152603"</f>
        <v>1551601679152603</v>
      </c>
      <c r="C958" t="s">
        <v>40</v>
      </c>
      <c r="D958">
        <v>4.8230589999999998</v>
      </c>
      <c r="E958">
        <v>0.53478249999999905</v>
      </c>
      <c r="F958" t="s">
        <v>41</v>
      </c>
      <c r="G958">
        <v>-238.91929999999999</v>
      </c>
      <c r="H958" s="1">
        <v>-1.760893E-6</v>
      </c>
      <c r="I958">
        <v>364.32819999999998</v>
      </c>
      <c r="J958">
        <v>-264.23849999999999</v>
      </c>
      <c r="K958">
        <v>1.121049</v>
      </c>
      <c r="L958">
        <v>368.89879999999999</v>
      </c>
      <c r="M958">
        <v>0.99985849999999998</v>
      </c>
      <c r="N958">
        <v>-1.373542E-2</v>
      </c>
      <c r="O958">
        <v>9.7263190000000006E-3</v>
      </c>
      <c r="P958">
        <v>0.97893200000000002</v>
      </c>
      <c r="Q958">
        <v>0.18290229999999999</v>
      </c>
      <c r="R958">
        <v>-9.0772489999999997E-2</v>
      </c>
      <c r="S958">
        <v>3.038605</v>
      </c>
      <c r="T958">
        <v>-0.13319230000000001</v>
      </c>
      <c r="U958">
        <v>-0.54275509999999905</v>
      </c>
      <c r="V958">
        <v>0.1003165</v>
      </c>
      <c r="W958">
        <v>0.1963046</v>
      </c>
      <c r="X958">
        <v>0.97539790000000004</v>
      </c>
      <c r="Y958">
        <v>0.18517210000000001</v>
      </c>
      <c r="Z958">
        <v>-5.5975390000000003E-3</v>
      </c>
      <c r="AA958">
        <v>0.98269019999999996</v>
      </c>
      <c r="AB958">
        <v>37</v>
      </c>
      <c r="AC958">
        <v>25.319199999999899</v>
      </c>
      <c r="AD958">
        <v>-1.121050760893</v>
      </c>
      <c r="AE958">
        <v>-4.5706000000000104</v>
      </c>
      <c r="AF958">
        <v>4.8075421786157904</v>
      </c>
      <c r="AG958">
        <v>-1.121050760893</v>
      </c>
      <c r="AH958">
        <v>25.225650468770102</v>
      </c>
      <c r="AI958">
        <v>92.499669904361099</v>
      </c>
      <c r="AJ958">
        <v>79.209879979204104</v>
      </c>
      <c r="AK958">
        <v>25.7041369857116</v>
      </c>
      <c r="AL958">
        <v>78.679054993361305</v>
      </c>
      <c r="AM958">
        <v>84.127961183429804</v>
      </c>
      <c r="AN958">
        <v>0.99999997973890897</v>
      </c>
    </row>
    <row r="959" spans="1:40" x14ac:dyDescent="0.25">
      <c r="A959" t="str">
        <f>"20190303162759170"</f>
        <v>20190303162759170</v>
      </c>
      <c r="B959" t="str">
        <f>"1551601679162364"</f>
        <v>1551601679162364</v>
      </c>
      <c r="C959" t="s">
        <v>40</v>
      </c>
      <c r="D959">
        <v>4.831906</v>
      </c>
      <c r="E959">
        <v>0.53483340000000001</v>
      </c>
      <c r="F959" t="s">
        <v>41</v>
      </c>
      <c r="G959">
        <v>-238.2148</v>
      </c>
      <c r="H959" s="1">
        <v>-2.02044E-6</v>
      </c>
      <c r="I959">
        <v>364.25380000000001</v>
      </c>
      <c r="J959">
        <v>-264.0077</v>
      </c>
      <c r="K959">
        <v>1.121065</v>
      </c>
      <c r="L959">
        <v>368.90109999999999</v>
      </c>
      <c r="M959">
        <v>0.99985869999999999</v>
      </c>
      <c r="N959">
        <v>-1.372346E-2</v>
      </c>
      <c r="O959">
        <v>9.7027390000000002E-3</v>
      </c>
      <c r="P959">
        <v>0.97880449999999997</v>
      </c>
      <c r="Q959">
        <v>0.1839684</v>
      </c>
      <c r="R959">
        <v>-8.9984480000000006E-2</v>
      </c>
      <c r="S959">
        <v>3.0387270000000002</v>
      </c>
      <c r="T959">
        <v>-0.1309023</v>
      </c>
      <c r="U959">
        <v>-0.54238889999999995</v>
      </c>
      <c r="V959">
        <v>9.9504510000000004E-2</v>
      </c>
      <c r="W959">
        <v>0.1973579</v>
      </c>
      <c r="X959">
        <v>0.97526849999999998</v>
      </c>
      <c r="Y959">
        <v>0.18503459999999999</v>
      </c>
      <c r="Z959">
        <v>-5.5153969999999896E-3</v>
      </c>
      <c r="AA959">
        <v>0.98271660000000005</v>
      </c>
      <c r="AB959">
        <v>37</v>
      </c>
      <c r="AC959">
        <v>25.792899999999999</v>
      </c>
      <c r="AD959">
        <v>-1.12106702044</v>
      </c>
      <c r="AE959">
        <v>-4.6472999999999702</v>
      </c>
      <c r="AF959">
        <v>4.8884220460835204</v>
      </c>
      <c r="AG959">
        <v>-1.12106702044</v>
      </c>
      <c r="AH959">
        <v>25.699566476091199</v>
      </c>
      <c r="AI959">
        <v>92.453832240248502</v>
      </c>
      <c r="AJ959">
        <v>79.2301891592858</v>
      </c>
      <c r="AK959">
        <v>26.184368971277198</v>
      </c>
      <c r="AL959">
        <v>78.617501051245895</v>
      </c>
      <c r="AM959">
        <v>84.174395454116905</v>
      </c>
      <c r="AN959">
        <v>0.99999996764749899</v>
      </c>
    </row>
    <row r="960" spans="1:40" x14ac:dyDescent="0.25">
      <c r="A960" t="str">
        <f>"20190303162759182"</f>
        <v>20190303162759182</v>
      </c>
      <c r="B960" t="str">
        <f>"1551601679172124"</f>
        <v>1551601679172124</v>
      </c>
      <c r="C960" t="s">
        <v>40</v>
      </c>
      <c r="D960">
        <v>4.8448029999999997</v>
      </c>
      <c r="E960">
        <v>0.53492090000000003</v>
      </c>
      <c r="F960" t="s">
        <v>41</v>
      </c>
      <c r="G960">
        <v>-237.23759999999999</v>
      </c>
      <c r="H960" s="1">
        <v>-2.3839019999999998E-6</v>
      </c>
      <c r="I960">
        <v>364.13749999999999</v>
      </c>
      <c r="J960">
        <v>-263.8073</v>
      </c>
      <c r="K960">
        <v>1.121084</v>
      </c>
      <c r="L960">
        <v>368.90300000000002</v>
      </c>
      <c r="M960">
        <v>0.9998591</v>
      </c>
      <c r="N960">
        <v>-1.371351E-2</v>
      </c>
      <c r="O960">
        <v>9.6821240000000003E-3</v>
      </c>
      <c r="P960">
        <v>0.97871609999999998</v>
      </c>
      <c r="Q960">
        <v>0.184527</v>
      </c>
      <c r="R960">
        <v>-8.9804690000000006E-2</v>
      </c>
      <c r="S960">
        <v>3.039215</v>
      </c>
      <c r="T960">
        <v>-0.12727479999999999</v>
      </c>
      <c r="U960">
        <v>-0.540802</v>
      </c>
      <c r="V960">
        <v>9.9303820000000001E-2</v>
      </c>
      <c r="W960">
        <v>0.19790530000000001</v>
      </c>
      <c r="X960">
        <v>0.97517810000000005</v>
      </c>
      <c r="Y960">
        <v>0.1845012</v>
      </c>
      <c r="Z960">
        <v>-5.3777259999999898E-3</v>
      </c>
      <c r="AA960">
        <v>0.98281759999999996</v>
      </c>
      <c r="AB960">
        <v>37</v>
      </c>
      <c r="AC960">
        <v>26.569700000000001</v>
      </c>
      <c r="AD960">
        <v>-1.121086383902</v>
      </c>
      <c r="AE960">
        <v>-4.7655000000000296</v>
      </c>
      <c r="AF960">
        <v>5.0139036232916698</v>
      </c>
      <c r="AG960">
        <v>-1.121086383902</v>
      </c>
      <c r="AH960">
        <v>26.476641367491599</v>
      </c>
      <c r="AI960">
        <v>92.382306509348396</v>
      </c>
      <c r="AJ960">
        <v>79.276829538561898</v>
      </c>
      <c r="AK960">
        <v>26.970513571799</v>
      </c>
      <c r="AL960">
        <v>78.5855071421703</v>
      </c>
      <c r="AM960">
        <v>84.185529244027094</v>
      </c>
      <c r="AN960">
        <v>1.00000004157714</v>
      </c>
    </row>
    <row r="961" spans="1:40" x14ac:dyDescent="0.25">
      <c r="A961" t="str">
        <f>"20190303162759196"</f>
        <v>20190303162759196</v>
      </c>
      <c r="B961" t="str">
        <f>"1551601679182859"</f>
        <v>1551601679182859</v>
      </c>
      <c r="C961" t="s">
        <v>40</v>
      </c>
      <c r="D961">
        <v>4.8580459999999999</v>
      </c>
      <c r="E961">
        <v>0.53500239999999999</v>
      </c>
      <c r="F961" t="s">
        <v>41</v>
      </c>
      <c r="G961">
        <v>-236.67410000000001</v>
      </c>
      <c r="H961" s="1">
        <v>-2.593591E-6</v>
      </c>
      <c r="I961">
        <v>364.0702</v>
      </c>
      <c r="J961">
        <v>-263.57839999999999</v>
      </c>
      <c r="K961">
        <v>1.121095</v>
      </c>
      <c r="L961">
        <v>368.90519999999998</v>
      </c>
      <c r="M961">
        <v>0.99985959999999996</v>
      </c>
      <c r="N961">
        <v>-1.370306E-2</v>
      </c>
      <c r="O961">
        <v>9.6584180000000002E-3</v>
      </c>
      <c r="P961">
        <v>0.97860760000000002</v>
      </c>
      <c r="Q961">
        <v>0.18522159999999999</v>
      </c>
      <c r="R961">
        <v>-8.9558219999999994E-2</v>
      </c>
      <c r="S961">
        <v>3.0392459999999999</v>
      </c>
      <c r="T961">
        <v>-0.12557460000000001</v>
      </c>
      <c r="U961">
        <v>-0.54132080000000005</v>
      </c>
      <c r="V961">
        <v>9.9032980000000007E-2</v>
      </c>
      <c r="W961">
        <v>0.1985886</v>
      </c>
      <c r="X961">
        <v>0.97506669999999995</v>
      </c>
      <c r="Y961">
        <v>0.18464369999999999</v>
      </c>
      <c r="Z961">
        <v>-5.3235019999999999E-3</v>
      </c>
      <c r="AA961">
        <v>0.98279110000000003</v>
      </c>
      <c r="AB961">
        <v>37</v>
      </c>
      <c r="AC961">
        <v>26.9042999999999</v>
      </c>
      <c r="AD961">
        <v>-1.1210975935909999</v>
      </c>
      <c r="AE961">
        <v>-4.8349999999999804</v>
      </c>
      <c r="AF961">
        <v>5.0860967009161202</v>
      </c>
      <c r="AG961">
        <v>-1.1210975935909999</v>
      </c>
      <c r="AH961">
        <v>26.8112441397843</v>
      </c>
      <c r="AI961">
        <v>92.352490992489805</v>
      </c>
      <c r="AJ961">
        <v>79.258616057793006</v>
      </c>
      <c r="AK961">
        <v>27.312415707669299</v>
      </c>
      <c r="AL961">
        <v>78.545563859224202</v>
      </c>
      <c r="AM961">
        <v>84.200621365065302</v>
      </c>
      <c r="AN961">
        <v>1.0000000163132601</v>
      </c>
    </row>
    <row r="962" spans="1:40" x14ac:dyDescent="0.25">
      <c r="A962" t="str">
        <f>"20190303162759208"</f>
        <v>20190303162759208</v>
      </c>
      <c r="B962" t="str">
        <f>"1551601679202380"</f>
        <v>1551601679202380</v>
      </c>
      <c r="C962" t="s">
        <v>40</v>
      </c>
      <c r="D962">
        <v>4.8444979999999997</v>
      </c>
      <c r="E962">
        <v>0.53517109999999901</v>
      </c>
      <c r="F962" t="s">
        <v>41</v>
      </c>
      <c r="G962">
        <v>-235.99780000000001</v>
      </c>
      <c r="H962" s="1">
        <v>-2.8438230000000002E-6</v>
      </c>
      <c r="I962">
        <v>363.9948</v>
      </c>
      <c r="J962">
        <v>-263.39100000000002</v>
      </c>
      <c r="K962">
        <v>1.121103</v>
      </c>
      <c r="L962">
        <v>368.90690000000001</v>
      </c>
      <c r="M962">
        <v>0.99985970000000002</v>
      </c>
      <c r="N962">
        <v>-1.369574E-2</v>
      </c>
      <c r="O962">
        <v>9.6393369999999996E-3</v>
      </c>
      <c r="P962">
        <v>0.97849019999999998</v>
      </c>
      <c r="Q962">
        <v>0.18577260000000001</v>
      </c>
      <c r="R962">
        <v>-8.9696940000000003E-2</v>
      </c>
      <c r="S962">
        <v>3.0394899999999998</v>
      </c>
      <c r="T962">
        <v>-0.12354859999999999</v>
      </c>
      <c r="U962">
        <v>-0.54113769999999894</v>
      </c>
      <c r="V962">
        <v>9.9152299999999999E-2</v>
      </c>
      <c r="W962">
        <v>0.19913069999999999</v>
      </c>
      <c r="X962">
        <v>0.97494400000000003</v>
      </c>
      <c r="Y962">
        <v>0.18456</v>
      </c>
      <c r="Z962">
        <v>-5.2524140000000004E-3</v>
      </c>
      <c r="AA962">
        <v>0.98280719999999999</v>
      </c>
      <c r="AB962">
        <v>37</v>
      </c>
      <c r="AC962">
        <v>27.393199999999901</v>
      </c>
      <c r="AD962">
        <v>-1.1211058438229999</v>
      </c>
      <c r="AE962">
        <v>-4.9120999999999997</v>
      </c>
      <c r="AF962">
        <v>5.1675629318180096</v>
      </c>
      <c r="AG962">
        <v>-1.1211058438229999</v>
      </c>
      <c r="AH962">
        <v>27.300270605097801</v>
      </c>
      <c r="AI962">
        <v>92.310588953590695</v>
      </c>
      <c r="AJ962">
        <v>79.281513974131798</v>
      </c>
      <c r="AK962">
        <v>27.807649308758901</v>
      </c>
      <c r="AL962">
        <v>78.513870755102801</v>
      </c>
      <c r="AM962">
        <v>84.192955938110998</v>
      </c>
      <c r="AN962">
        <v>1.0000000087068801</v>
      </c>
    </row>
    <row r="963" spans="1:40" x14ac:dyDescent="0.25">
      <c r="A963" t="str">
        <f>"20190303162759218"</f>
        <v>20190303162759218</v>
      </c>
      <c r="B963" t="str">
        <f>"1551601679213116"</f>
        <v>1551601679213116</v>
      </c>
      <c r="C963" t="s">
        <v>40</v>
      </c>
      <c r="D963">
        <v>4.8652819999999997</v>
      </c>
      <c r="E963">
        <v>0.53517109999999901</v>
      </c>
      <c r="F963" t="s">
        <v>41</v>
      </c>
      <c r="G963">
        <v>-235.5522</v>
      </c>
      <c r="H963" s="1">
        <v>-3.0099620000000002E-6</v>
      </c>
      <c r="I963">
        <v>363.9402</v>
      </c>
      <c r="J963">
        <v>-263.19279999999998</v>
      </c>
      <c r="K963">
        <v>1.1211120000000001</v>
      </c>
      <c r="L963">
        <v>368.90879999999999</v>
      </c>
      <c r="M963">
        <v>0.99986010000000003</v>
      </c>
      <c r="N963">
        <v>-1.36899E-2</v>
      </c>
      <c r="O963">
        <v>9.619051E-3</v>
      </c>
      <c r="P963">
        <v>0.97837759999999996</v>
      </c>
      <c r="Q963">
        <v>0.18634310000000001</v>
      </c>
      <c r="R963">
        <v>-8.9743630000000005E-2</v>
      </c>
      <c r="S963">
        <v>3.0394899999999998</v>
      </c>
      <c r="T963">
        <v>-0.122404</v>
      </c>
      <c r="U963">
        <v>-0.54226680000000005</v>
      </c>
      <c r="V963">
        <v>9.9177929999999997E-2</v>
      </c>
      <c r="W963">
        <v>0.1996937</v>
      </c>
      <c r="X963">
        <v>0.97482619999999998</v>
      </c>
      <c r="Y963">
        <v>0.1848969</v>
      </c>
      <c r="Z963">
        <v>-5.2223080000000002E-3</v>
      </c>
      <c r="AA963">
        <v>0.98274399999999995</v>
      </c>
      <c r="AB963">
        <v>37</v>
      </c>
      <c r="AC963">
        <v>27.6405999999999</v>
      </c>
      <c r="AD963">
        <v>-1.121115009962</v>
      </c>
      <c r="AE963">
        <v>-4.9685999999999799</v>
      </c>
      <c r="AF963">
        <v>5.2259429799298296</v>
      </c>
      <c r="AG963">
        <v>-1.121115009962</v>
      </c>
      <c r="AH963">
        <v>27.547621911938201</v>
      </c>
      <c r="AI963">
        <v>92.289707378107394</v>
      </c>
      <c r="AJ963">
        <v>79.258304243712701</v>
      </c>
      <c r="AK963">
        <v>28.0613408784779</v>
      </c>
      <c r="AL963">
        <v>78.480951722877506</v>
      </c>
      <c r="AM963">
        <v>84.190768015556998</v>
      </c>
      <c r="AN963">
        <v>0.99999997791260697</v>
      </c>
    </row>
    <row r="964" spans="1:40" x14ac:dyDescent="0.25">
      <c r="A964" t="str">
        <f>"20190303162759232"</f>
        <v>20190303162759232</v>
      </c>
      <c r="B964" t="str">
        <f>"1551601679222876"</f>
        <v>1551601679222876</v>
      </c>
      <c r="C964" t="s">
        <v>40</v>
      </c>
      <c r="D964">
        <v>4.8818060000000001</v>
      </c>
      <c r="E964">
        <v>0.53922119999999996</v>
      </c>
      <c r="F964" t="s">
        <v>41</v>
      </c>
      <c r="G964">
        <v>-234.94290000000001</v>
      </c>
      <c r="H964" s="1">
        <v>-3.2372090000000001E-6</v>
      </c>
      <c r="I964">
        <v>363.86540000000002</v>
      </c>
      <c r="J964">
        <v>-262.99990000000003</v>
      </c>
      <c r="K964">
        <v>1.121119</v>
      </c>
      <c r="L964">
        <v>368.91070000000002</v>
      </c>
      <c r="M964">
        <v>0.99986019999999998</v>
      </c>
      <c r="N964">
        <v>-1.3686139999999999E-2</v>
      </c>
      <c r="O964">
        <v>9.5992920000000006E-3</v>
      </c>
      <c r="P964">
        <v>0.97826639999999998</v>
      </c>
      <c r="Q964">
        <v>0.1868097</v>
      </c>
      <c r="R964">
        <v>-8.9983579999999994E-2</v>
      </c>
      <c r="S964">
        <v>3.03952</v>
      </c>
      <c r="T964">
        <v>-0.120625</v>
      </c>
      <c r="U964">
        <v>-0.54263309999999998</v>
      </c>
      <c r="V964">
        <v>9.9397669999999994E-2</v>
      </c>
      <c r="W964">
        <v>0.2001549</v>
      </c>
      <c r="X964">
        <v>0.9747093</v>
      </c>
      <c r="Y964">
        <v>0.18499550000000001</v>
      </c>
      <c r="Z964">
        <v>-5.1648170000000004E-3</v>
      </c>
      <c r="AA964">
        <v>0.98272579999999998</v>
      </c>
      <c r="AB964">
        <v>37</v>
      </c>
      <c r="AC964">
        <v>28.056999999999999</v>
      </c>
      <c r="AD964">
        <v>-1.1211222372089999</v>
      </c>
      <c r="AE964">
        <v>-5.0452999999999903</v>
      </c>
      <c r="AF964">
        <v>5.3062130307898503</v>
      </c>
      <c r="AG964">
        <v>-1.1211222372089999</v>
      </c>
      <c r="AH964">
        <v>27.964019639101899</v>
      </c>
      <c r="AI964">
        <v>92.255643696610505</v>
      </c>
      <c r="AJ964">
        <v>79.255778702474402</v>
      </c>
      <c r="AK964">
        <v>28.485069881869101</v>
      </c>
      <c r="AL964">
        <v>78.453983280408394</v>
      </c>
      <c r="AM964">
        <v>84.177291863339505</v>
      </c>
      <c r="AN964">
        <v>1.0000000501509601</v>
      </c>
    </row>
    <row r="965" spans="1:40" x14ac:dyDescent="0.25">
      <c r="A965" t="str">
        <f>"20190303162759245"</f>
        <v>20190303162759245</v>
      </c>
      <c r="B965" t="str">
        <f>"1551601679232636"</f>
        <v>1551601679232636</v>
      </c>
      <c r="C965" t="s">
        <v>40</v>
      </c>
      <c r="D965">
        <v>4.8974820000000001</v>
      </c>
      <c r="E965">
        <v>0.53885569999999905</v>
      </c>
      <c r="F965" t="s">
        <v>41</v>
      </c>
      <c r="G965">
        <v>-236.10249999999999</v>
      </c>
      <c r="H965" s="1">
        <v>-2.8554779999999998E-6</v>
      </c>
      <c r="I965">
        <v>363.81700000000001</v>
      </c>
      <c r="J965">
        <v>-262.77659999999997</v>
      </c>
      <c r="K965">
        <v>1.121127</v>
      </c>
      <c r="L965">
        <v>368.9128</v>
      </c>
      <c r="M965">
        <v>0.99986050000000004</v>
      </c>
      <c r="N965">
        <v>-1.3683300000000001E-2</v>
      </c>
      <c r="O965">
        <v>9.5760110000000006E-3</v>
      </c>
      <c r="P965">
        <v>0.97821400000000003</v>
      </c>
      <c r="Q965">
        <v>0.186969</v>
      </c>
      <c r="R965">
        <v>-9.022268E-2</v>
      </c>
      <c r="S965">
        <v>3.0378720000000001</v>
      </c>
      <c r="T965">
        <v>-0.12662219999999999</v>
      </c>
      <c r="U965">
        <v>-0.57528690000000005</v>
      </c>
      <c r="V965">
        <v>9.9613370000000007E-2</v>
      </c>
      <c r="W965">
        <v>0.20031089999999999</v>
      </c>
      <c r="X965">
        <v>0.97465520000000005</v>
      </c>
      <c r="Y965">
        <v>0.1952431</v>
      </c>
      <c r="Z965">
        <v>-5.6455280000000004E-3</v>
      </c>
      <c r="AA965">
        <v>0.98073860000000002</v>
      </c>
      <c r="AB965">
        <v>37</v>
      </c>
      <c r="AC965">
        <v>26.6740999999999</v>
      </c>
      <c r="AD965">
        <v>-1.121129855478</v>
      </c>
      <c r="AE965">
        <v>-5.0958000000000503</v>
      </c>
      <c r="AF965">
        <v>5.3419170860249903</v>
      </c>
      <c r="AG965">
        <v>-1.121129855478</v>
      </c>
      <c r="AH965">
        <v>26.578774581614201</v>
      </c>
      <c r="AI965">
        <v>92.368084195278698</v>
      </c>
      <c r="AJ965">
        <v>78.635849242151906</v>
      </c>
      <c r="AK965">
        <v>27.133452942209001</v>
      </c>
      <c r="AL965">
        <v>78.444860026491</v>
      </c>
      <c r="AM965">
        <v>84.164421611690798</v>
      </c>
      <c r="AN965">
        <v>1.0000000195143</v>
      </c>
    </row>
    <row r="966" spans="1:40" x14ac:dyDescent="0.25">
      <c r="A966" t="str">
        <f>"20190303162759259"</f>
        <v>20190303162759259</v>
      </c>
      <c r="B966" t="str">
        <f>"1551601679252155"</f>
        <v>1551601679252155</v>
      </c>
      <c r="C966" t="s">
        <v>40</v>
      </c>
      <c r="D966">
        <v>4.8934730000000002</v>
      </c>
      <c r="E966">
        <v>0.53866990000000003</v>
      </c>
      <c r="F966" t="s">
        <v>41</v>
      </c>
      <c r="G966">
        <v>-237.57329999999999</v>
      </c>
      <c r="H966" s="1">
        <v>-2.2634170000000001E-6</v>
      </c>
      <c r="I966">
        <v>364.16109999999998</v>
      </c>
      <c r="J966">
        <v>-262.53289999999998</v>
      </c>
      <c r="K966">
        <v>1.1211359999999999</v>
      </c>
      <c r="L966">
        <v>368.9151</v>
      </c>
      <c r="M966">
        <v>0.99986090000000005</v>
      </c>
      <c r="N966">
        <v>-1.3684119999999999E-2</v>
      </c>
      <c r="O966">
        <v>9.5504979999999993E-3</v>
      </c>
      <c r="P966">
        <v>0.97798779999999996</v>
      </c>
      <c r="Q966">
        <v>0.1877819</v>
      </c>
      <c r="R966">
        <v>-9.0984380000000004E-2</v>
      </c>
      <c r="S966">
        <v>3.0397340000000002</v>
      </c>
      <c r="T966">
        <v>-0.13521720000000001</v>
      </c>
      <c r="U966">
        <v>-0.57308959999999998</v>
      </c>
      <c r="V966">
        <v>0.10034800000000001</v>
      </c>
      <c r="W966">
        <v>0.20112140000000001</v>
      </c>
      <c r="X966">
        <v>0.97441290000000003</v>
      </c>
      <c r="Y966">
        <v>0.1943975</v>
      </c>
      <c r="Z966">
        <v>-5.9180209999999999E-3</v>
      </c>
      <c r="AA966">
        <v>0.98090500000000003</v>
      </c>
      <c r="AB966">
        <v>37</v>
      </c>
      <c r="AC966">
        <v>24.959599999999899</v>
      </c>
      <c r="AD966">
        <v>-1.121138263417</v>
      </c>
      <c r="AE966">
        <v>-4.7540000000000102</v>
      </c>
      <c r="AF966">
        <v>4.9824811304946701</v>
      </c>
      <c r="AG966">
        <v>-1.121138263417</v>
      </c>
      <c r="AH966">
        <v>24.864642583102199</v>
      </c>
      <c r="AI966">
        <v>92.531442604293304</v>
      </c>
      <c r="AJ966">
        <v>78.668903553369802</v>
      </c>
      <c r="AK966">
        <v>25.383705797358498</v>
      </c>
      <c r="AL966">
        <v>78.397457116902402</v>
      </c>
      <c r="AM966">
        <v>84.120234105737396</v>
      </c>
      <c r="AN966">
        <v>1.00000001916418</v>
      </c>
    </row>
    <row r="967" spans="1:40" x14ac:dyDescent="0.25">
      <c r="A967" t="str">
        <f>"20190303162759272"</f>
        <v>20190303162759272</v>
      </c>
      <c r="B967" t="str">
        <f>"1551601679262892"</f>
        <v>1551601679262892</v>
      </c>
      <c r="C967" t="s">
        <v>40</v>
      </c>
      <c r="D967">
        <v>4.9068009999999997</v>
      </c>
      <c r="E967">
        <v>0.53870359999999995</v>
      </c>
      <c r="F967" t="s">
        <v>41</v>
      </c>
      <c r="G967">
        <v>-237.7612</v>
      </c>
      <c r="H967" s="1">
        <v>-2.1792650000000001E-6</v>
      </c>
      <c r="I967">
        <v>364.23700000000002</v>
      </c>
      <c r="J967">
        <v>-262.33699999999999</v>
      </c>
      <c r="K967">
        <v>1.1211439999999999</v>
      </c>
      <c r="L967">
        <v>368.91699999999997</v>
      </c>
      <c r="M967">
        <v>0.999861</v>
      </c>
      <c r="N967">
        <v>-1.368666E-2</v>
      </c>
      <c r="O967">
        <v>9.5301569999999992E-3</v>
      </c>
      <c r="P967">
        <v>0.97782420000000003</v>
      </c>
      <c r="Q967">
        <v>0.18835479999999999</v>
      </c>
      <c r="R967">
        <v>-9.1557600000000003E-2</v>
      </c>
      <c r="S967">
        <v>3.0404969999999998</v>
      </c>
      <c r="T967">
        <v>-0.13760899999999901</v>
      </c>
      <c r="U967">
        <v>-0.57418819999999904</v>
      </c>
      <c r="V967">
        <v>0.10089969999999999</v>
      </c>
      <c r="W967">
        <v>0.20169400000000001</v>
      </c>
      <c r="X967">
        <v>0.97423760000000004</v>
      </c>
      <c r="Y967">
        <v>0.1946669</v>
      </c>
      <c r="Z967">
        <v>-6.0073849999999996E-3</v>
      </c>
      <c r="AA967">
        <v>0.98085100000000003</v>
      </c>
      <c r="AB967">
        <v>37</v>
      </c>
      <c r="AC967">
        <v>24.575799999999902</v>
      </c>
      <c r="AD967">
        <v>-1.1211461792649999</v>
      </c>
      <c r="AE967">
        <v>-4.68</v>
      </c>
      <c r="AF967">
        <v>4.9041713030694201</v>
      </c>
      <c r="AG967">
        <v>-1.1211461792649999</v>
      </c>
      <c r="AH967">
        <v>24.4809122587045</v>
      </c>
      <c r="AI967">
        <v>92.571116050086601</v>
      </c>
      <c r="AJ967">
        <v>78.672090461880302</v>
      </c>
      <c r="AK967">
        <v>24.992457461072501</v>
      </c>
      <c r="AL967">
        <v>78.3639636629633</v>
      </c>
      <c r="AM967">
        <v>84.087080045604196</v>
      </c>
      <c r="AN967">
        <v>1.0000000601749199</v>
      </c>
    </row>
    <row r="968" spans="1:40" x14ac:dyDescent="0.25">
      <c r="A968" t="str">
        <f>"20190303162759285"</f>
        <v>20190303162759285</v>
      </c>
      <c r="B968" t="str">
        <f>"1551601679272653"</f>
        <v>1551601679272653</v>
      </c>
      <c r="C968" t="s">
        <v>40</v>
      </c>
      <c r="D968">
        <v>4.9155389999999999</v>
      </c>
      <c r="E968">
        <v>0.53865929999999995</v>
      </c>
      <c r="F968" t="s">
        <v>41</v>
      </c>
      <c r="G968">
        <v>-237.73070000000001</v>
      </c>
      <c r="H968" s="1">
        <v>-2.185013E-6</v>
      </c>
      <c r="I968">
        <v>364.25439999999998</v>
      </c>
      <c r="J968">
        <v>-262.1311</v>
      </c>
      <c r="K968">
        <v>1.121156</v>
      </c>
      <c r="L968">
        <v>368.91890000000001</v>
      </c>
      <c r="M968">
        <v>0.99986109999999995</v>
      </c>
      <c r="N968">
        <v>-1.369015E-2</v>
      </c>
      <c r="O968">
        <v>9.5086770000000001E-3</v>
      </c>
      <c r="P968">
        <v>0.97765709999999995</v>
      </c>
      <c r="Q968">
        <v>0.18904180000000001</v>
      </c>
      <c r="R968">
        <v>-9.1924800000000001E-2</v>
      </c>
      <c r="S968">
        <v>3.0407709999999999</v>
      </c>
      <c r="T968">
        <v>-0.1385469</v>
      </c>
      <c r="U968">
        <v>-0.57617189999999996</v>
      </c>
      <c r="V968">
        <v>0.1012444</v>
      </c>
      <c r="W968">
        <v>0.20238239999999999</v>
      </c>
      <c r="X968">
        <v>0.97405900000000001</v>
      </c>
      <c r="Y968">
        <v>0.19524359999999999</v>
      </c>
      <c r="Z968">
        <v>-6.0560249999999996E-3</v>
      </c>
      <c r="AA968">
        <v>0.9807361</v>
      </c>
      <c r="AB968">
        <v>37</v>
      </c>
      <c r="AC968">
        <v>24.400399999999902</v>
      </c>
      <c r="AD968">
        <v>-1.1211581850129999</v>
      </c>
      <c r="AE968">
        <v>-4.6645000000000296</v>
      </c>
      <c r="AF968">
        <v>4.8863736946720904</v>
      </c>
      <c r="AG968">
        <v>-1.1211581850129999</v>
      </c>
      <c r="AH968">
        <v>24.305433573193699</v>
      </c>
      <c r="AI968">
        <v>92.589325107977402</v>
      </c>
      <c r="AJ968">
        <v>78.632762084982403</v>
      </c>
      <c r="AK968">
        <v>24.817085742301298</v>
      </c>
      <c r="AL968">
        <v>78.323690013557396</v>
      </c>
      <c r="AM968">
        <v>84.065943709615397</v>
      </c>
      <c r="AN968">
        <v>0.99999999992105904</v>
      </c>
    </row>
    <row r="969" spans="1:40" x14ac:dyDescent="0.25">
      <c r="A969" t="str">
        <f>"20190303162759296"</f>
        <v>20190303162759296</v>
      </c>
      <c r="B969" t="str">
        <f>"1551601679282412"</f>
        <v>1551601679282412</v>
      </c>
      <c r="C969" t="s">
        <v>40</v>
      </c>
      <c r="D969">
        <v>4.9216179999999996</v>
      </c>
      <c r="E969">
        <v>0.53869299999999998</v>
      </c>
      <c r="F969" t="s">
        <v>41</v>
      </c>
      <c r="G969">
        <v>-237.43899999999999</v>
      </c>
      <c r="H969" s="1">
        <v>-2.2897580000000002E-6</v>
      </c>
      <c r="I969">
        <v>364.23390000000001</v>
      </c>
      <c r="J969">
        <v>-261.93900000000002</v>
      </c>
      <c r="K969">
        <v>1.1211599999999999</v>
      </c>
      <c r="L969">
        <v>368.92070000000001</v>
      </c>
      <c r="M969">
        <v>0.99986120000000001</v>
      </c>
      <c r="N969">
        <v>-1.369428E-2</v>
      </c>
      <c r="O969">
        <v>9.488682E-3</v>
      </c>
      <c r="P969">
        <v>0.97754350000000001</v>
      </c>
      <c r="Q969">
        <v>0.18923509999999999</v>
      </c>
      <c r="R969">
        <v>-9.2729599999999995E-2</v>
      </c>
      <c r="S969">
        <v>3.0410460000000001</v>
      </c>
      <c r="T969">
        <v>-0.1380796</v>
      </c>
      <c r="U969">
        <v>-0.57699579999999995</v>
      </c>
      <c r="V969">
        <v>0.1020287</v>
      </c>
      <c r="W969">
        <v>0.20257800000000001</v>
      </c>
      <c r="X969">
        <v>0.97393649999999998</v>
      </c>
      <c r="Y969">
        <v>0.19546569999999999</v>
      </c>
      <c r="Z969">
        <v>-6.0454790000000003E-3</v>
      </c>
      <c r="AA969">
        <v>0.98069189999999995</v>
      </c>
      <c r="AB969">
        <v>37</v>
      </c>
      <c r="AC969">
        <v>24.5</v>
      </c>
      <c r="AD969">
        <v>-1.121162289758</v>
      </c>
      <c r="AE969">
        <v>-4.6867999999999999</v>
      </c>
      <c r="AF969">
        <v>4.9091659511071803</v>
      </c>
      <c r="AG969">
        <v>-1.121162289758</v>
      </c>
      <c r="AH969">
        <v>24.405117740000399</v>
      </c>
      <c r="AI969">
        <v>92.578716467378698</v>
      </c>
      <c r="AJ969">
        <v>78.626552995726001</v>
      </c>
      <c r="AK969">
        <v>24.919203179852399</v>
      </c>
      <c r="AL969">
        <v>78.312245956789397</v>
      </c>
      <c r="AM969">
        <v>84.019560083313493</v>
      </c>
      <c r="AN969">
        <v>1.0000000038699699</v>
      </c>
    </row>
    <row r="970" spans="1:40" x14ac:dyDescent="0.25">
      <c r="A970" t="str">
        <f>"20190303162759307"</f>
        <v>20190303162759307</v>
      </c>
      <c r="B970" t="str">
        <f>"1551601679302908"</f>
        <v>1551601679302908</v>
      </c>
      <c r="C970" t="s">
        <v>40</v>
      </c>
      <c r="D970">
        <v>4.923152</v>
      </c>
      <c r="E970">
        <v>0.53871769999999997</v>
      </c>
      <c r="F970" t="s">
        <v>41</v>
      </c>
      <c r="G970">
        <v>-237.6891</v>
      </c>
      <c r="H970" s="1">
        <v>-2.18769E-6</v>
      </c>
      <c r="I970">
        <v>364.29750000000001</v>
      </c>
      <c r="J970">
        <v>-261.7527</v>
      </c>
      <c r="K970">
        <v>1.1211660000000001</v>
      </c>
      <c r="L970">
        <v>368.92250000000001</v>
      </c>
      <c r="M970">
        <v>0.99986120000000001</v>
      </c>
      <c r="N970">
        <v>-1.369832E-2</v>
      </c>
      <c r="O970">
        <v>9.4694029999999995E-3</v>
      </c>
      <c r="P970">
        <v>0.97749529999999996</v>
      </c>
      <c r="Q970">
        <v>0.18928229999999999</v>
      </c>
      <c r="R970">
        <v>-9.3140669999999995E-2</v>
      </c>
      <c r="S970">
        <v>3.0411380000000001</v>
      </c>
      <c r="T970">
        <v>-0.14060259999999999</v>
      </c>
      <c r="U970">
        <v>-0.57977290000000004</v>
      </c>
      <c r="V970">
        <v>0.10242039999999999</v>
      </c>
      <c r="W970">
        <v>0.20262839999999999</v>
      </c>
      <c r="X970">
        <v>0.97388490000000005</v>
      </c>
      <c r="Y970">
        <v>0.1962959</v>
      </c>
      <c r="Z970">
        <v>-6.1575980000000002E-3</v>
      </c>
      <c r="AA970">
        <v>0.98052539999999999</v>
      </c>
      <c r="AB970">
        <v>37</v>
      </c>
      <c r="AC970">
        <v>24.063600000000001</v>
      </c>
      <c r="AD970">
        <v>-1.1211681876899999</v>
      </c>
      <c r="AE970">
        <v>-4.625</v>
      </c>
      <c r="AF970">
        <v>4.8425442182292597</v>
      </c>
      <c r="AG970">
        <v>-1.1211681876899999</v>
      </c>
      <c r="AH970">
        <v>23.968543381913701</v>
      </c>
      <c r="AI970">
        <v>92.625185923823196</v>
      </c>
      <c r="AJ970">
        <v>78.577862328840297</v>
      </c>
      <c r="AK970">
        <v>24.478527824631801</v>
      </c>
      <c r="AL970">
        <v>78.309297078140304</v>
      </c>
      <c r="AM970">
        <v>83.996452080186003</v>
      </c>
      <c r="AN970">
        <v>1.0000000026353599</v>
      </c>
    </row>
    <row r="971" spans="1:40" x14ac:dyDescent="0.25">
      <c r="A971" t="str">
        <f>"20190303162759321"</f>
        <v>20190303162759321</v>
      </c>
      <c r="B971" t="str">
        <f>"1551601679312668"</f>
        <v>1551601679312668</v>
      </c>
      <c r="C971" t="s">
        <v>40</v>
      </c>
      <c r="D971">
        <v>4.9501039999999996</v>
      </c>
      <c r="E971">
        <v>0.53868879999999997</v>
      </c>
      <c r="F971" t="s">
        <v>41</v>
      </c>
      <c r="G971">
        <v>-238.36</v>
      </c>
      <c r="H971" s="1">
        <v>-1.9175400000000001E-6</v>
      </c>
      <c r="I971">
        <v>364.45479999999998</v>
      </c>
      <c r="J971">
        <v>-261.52659999999997</v>
      </c>
      <c r="K971">
        <v>1.12117</v>
      </c>
      <c r="L971">
        <v>368.92450000000002</v>
      </c>
      <c r="M971">
        <v>0.99986160000000002</v>
      </c>
      <c r="N971">
        <v>-1.370333E-2</v>
      </c>
      <c r="O971">
        <v>9.4457050000000004E-3</v>
      </c>
      <c r="P971">
        <v>0.97738119999999995</v>
      </c>
      <c r="Q971">
        <v>0.18951599999999999</v>
      </c>
      <c r="R971">
        <v>-9.3860559999999996E-2</v>
      </c>
      <c r="S971">
        <v>3.0419619999999998</v>
      </c>
      <c r="T971">
        <v>-0.1457947</v>
      </c>
      <c r="U971">
        <v>-0.58096309999999995</v>
      </c>
      <c r="V971">
        <v>0.10311620000000001</v>
      </c>
      <c r="W971">
        <v>0.2028652</v>
      </c>
      <c r="X971">
        <v>0.97376220000000002</v>
      </c>
      <c r="Y971">
        <v>0.19657569999999999</v>
      </c>
      <c r="Z971">
        <v>-6.3461940000000003E-3</v>
      </c>
      <c r="AA971">
        <v>0.98046809999999995</v>
      </c>
      <c r="AB971">
        <v>37</v>
      </c>
      <c r="AC971">
        <v>23.166599999999899</v>
      </c>
      <c r="AD971">
        <v>-1.1211719175399999</v>
      </c>
      <c r="AE971">
        <v>-4.4697000000000404</v>
      </c>
      <c r="AF971">
        <v>4.6777829621701397</v>
      </c>
      <c r="AG971">
        <v>-1.1211719175399999</v>
      </c>
      <c r="AH971">
        <v>23.071245247127099</v>
      </c>
      <c r="AI971">
        <v>92.726764509814601</v>
      </c>
      <c r="AJ971">
        <v>78.538434810304196</v>
      </c>
      <c r="AK971">
        <v>23.567372300766401</v>
      </c>
      <c r="AL971">
        <v>78.295442015461006</v>
      </c>
      <c r="AM971">
        <v>83.955211508296401</v>
      </c>
      <c r="AN971">
        <v>1.0000000311111501</v>
      </c>
    </row>
    <row r="972" spans="1:40" x14ac:dyDescent="0.25">
      <c r="A972" t="str">
        <f>"20190303162759336"</f>
        <v>20190303162759336</v>
      </c>
      <c r="B972" t="str">
        <f>"1551601679322427"</f>
        <v>1551601679322427</v>
      </c>
      <c r="C972" t="s">
        <v>40</v>
      </c>
      <c r="D972">
        <v>4.9510589999999999</v>
      </c>
      <c r="E972">
        <v>0.53869250000000002</v>
      </c>
      <c r="F972" t="s">
        <v>41</v>
      </c>
      <c r="G972">
        <v>-238.42580000000001</v>
      </c>
      <c r="H972" s="1">
        <v>-1.8835400000000001E-6</v>
      </c>
      <c r="I972">
        <v>364.4984</v>
      </c>
      <c r="J972">
        <v>-261.31040000000002</v>
      </c>
      <c r="K972">
        <v>1.121173</v>
      </c>
      <c r="L972">
        <v>368.92649999999998</v>
      </c>
      <c r="M972">
        <v>0.99986180000000002</v>
      </c>
      <c r="N972">
        <v>-1.3708E-2</v>
      </c>
      <c r="O972">
        <v>9.4233219999999996E-3</v>
      </c>
      <c r="P972">
        <v>0.97732430000000003</v>
      </c>
      <c r="Q972">
        <v>0.18947829999999999</v>
      </c>
      <c r="R972">
        <v>-9.452663E-2</v>
      </c>
      <c r="S972">
        <v>3.0420530000000001</v>
      </c>
      <c r="T972">
        <v>-0.1476421</v>
      </c>
      <c r="U972">
        <v>-0.58285520000000002</v>
      </c>
      <c r="V972">
        <v>0.1037598</v>
      </c>
      <c r="W972">
        <v>0.2028316</v>
      </c>
      <c r="X972">
        <v>0.97370080000000003</v>
      </c>
      <c r="Y972">
        <v>0.19712930000000001</v>
      </c>
      <c r="Z972">
        <v>-6.4273630000000002E-3</v>
      </c>
      <c r="AA972">
        <v>0.98035649999999996</v>
      </c>
      <c r="AB972">
        <v>37</v>
      </c>
      <c r="AC972">
        <v>22.884599999999999</v>
      </c>
      <c r="AD972">
        <v>-1.1211748835399999</v>
      </c>
      <c r="AE972">
        <v>-4.4280999999999704</v>
      </c>
      <c r="AF972">
        <v>4.6328537599780502</v>
      </c>
      <c r="AG972">
        <v>-1.1211748835399999</v>
      </c>
      <c r="AH972">
        <v>22.789126457926599</v>
      </c>
      <c r="AI972">
        <v>92.760186608306597</v>
      </c>
      <c r="AJ972">
        <v>78.508803606039706</v>
      </c>
      <c r="AK972">
        <v>23.282281928457898</v>
      </c>
      <c r="AL972">
        <v>78.297407669150601</v>
      </c>
      <c r="AM972">
        <v>83.917384220772206</v>
      </c>
      <c r="AN972">
        <v>1.00000000098762</v>
      </c>
    </row>
    <row r="973" spans="1:40" x14ac:dyDescent="0.25">
      <c r="A973" t="str">
        <f>"20190303162759350"</f>
        <v>20190303162759350</v>
      </c>
      <c r="B973" t="str">
        <f>"1551601679341947"</f>
        <v>1551601679341947</v>
      </c>
      <c r="C973" t="s">
        <v>40</v>
      </c>
      <c r="D973">
        <v>4.9779080000000002</v>
      </c>
      <c r="E973">
        <v>0.53867390000000004</v>
      </c>
      <c r="F973" t="s">
        <v>41</v>
      </c>
      <c r="G973">
        <v>-238.48929999999999</v>
      </c>
      <c r="H973" s="1">
        <v>-1.8503699999999999E-6</v>
      </c>
      <c r="I973">
        <v>364.54180000000002</v>
      </c>
      <c r="J973">
        <v>-261.05149999999998</v>
      </c>
      <c r="K973">
        <v>1.121173</v>
      </c>
      <c r="L973">
        <v>368.92899999999997</v>
      </c>
      <c r="M973">
        <v>0.99986180000000002</v>
      </c>
      <c r="N973">
        <v>-1.371494E-2</v>
      </c>
      <c r="O973">
        <v>9.3967479999999999E-3</v>
      </c>
      <c r="P973">
        <v>0.97722169999999997</v>
      </c>
      <c r="Q973">
        <v>0.18949750000000001</v>
      </c>
      <c r="R973">
        <v>-9.5545329999999998E-2</v>
      </c>
      <c r="S973">
        <v>3.0420530000000001</v>
      </c>
      <c r="T973">
        <v>-0.14945240000000001</v>
      </c>
      <c r="U973">
        <v>-0.58447269999999996</v>
      </c>
      <c r="V973">
        <v>0.1047516</v>
      </c>
      <c r="W973">
        <v>0.20285539999999999</v>
      </c>
      <c r="X973">
        <v>0.9735897</v>
      </c>
      <c r="Y973">
        <v>0.19759879999999999</v>
      </c>
      <c r="Z973">
        <v>-6.5051390000000001E-3</v>
      </c>
      <c r="AA973">
        <v>0.98026139999999995</v>
      </c>
      <c r="AB973">
        <v>37</v>
      </c>
      <c r="AC973">
        <v>22.562199999999901</v>
      </c>
      <c r="AD973">
        <v>-1.1211748503700001</v>
      </c>
      <c r="AE973">
        <v>-4.3872</v>
      </c>
      <c r="AF973">
        <v>4.5881205836929997</v>
      </c>
      <c r="AG973">
        <v>-1.1211748503700001</v>
      </c>
      <c r="AH973">
        <v>22.466517768340999</v>
      </c>
      <c r="AI973">
        <v>92.799251416341804</v>
      </c>
      <c r="AJ973">
        <v>78.457748294394307</v>
      </c>
      <c r="AK973">
        <v>22.9576197409659</v>
      </c>
      <c r="AL973">
        <v>78.296015749810493</v>
      </c>
      <c r="AM973">
        <v>83.858989571973595</v>
      </c>
      <c r="AN973">
        <v>1.0000000574789001</v>
      </c>
    </row>
    <row r="974" spans="1:40" x14ac:dyDescent="0.25">
      <c r="A974" t="str">
        <f>"20190303162759372"</f>
        <v>20190303162759372</v>
      </c>
      <c r="B974" t="str">
        <f>"1551601679362443"</f>
        <v>1551601679362443</v>
      </c>
      <c r="C974" t="s">
        <v>40</v>
      </c>
      <c r="D974">
        <v>5.2412489999999998</v>
      </c>
      <c r="E974">
        <v>0.53723969999999999</v>
      </c>
      <c r="F974" t="s">
        <v>41</v>
      </c>
      <c r="G974">
        <v>-238.68879999999999</v>
      </c>
      <c r="H974" s="1">
        <v>-1.76419999999999E-6</v>
      </c>
      <c r="I974">
        <v>364.61059999999998</v>
      </c>
      <c r="J974">
        <v>-260.70609999999999</v>
      </c>
      <c r="K974">
        <v>1.121181</v>
      </c>
      <c r="L974">
        <v>368.93220000000002</v>
      </c>
      <c r="M974">
        <v>0.99986200000000003</v>
      </c>
      <c r="N974">
        <v>-1.372751E-2</v>
      </c>
      <c r="O974">
        <v>9.3612539999999994E-3</v>
      </c>
      <c r="P974">
        <v>0.97713609999999995</v>
      </c>
      <c r="Q974">
        <v>0.18931819999999999</v>
      </c>
      <c r="R974">
        <v>-9.6765439999999994E-2</v>
      </c>
      <c r="S974">
        <v>3.042084</v>
      </c>
      <c r="T974">
        <v>-0.15251679999999901</v>
      </c>
      <c r="U974">
        <v>-0.58743290000000004</v>
      </c>
      <c r="V974">
        <v>0.10593619999999999</v>
      </c>
      <c r="W974">
        <v>0.2026868</v>
      </c>
      <c r="X974">
        <v>0.97349660000000005</v>
      </c>
      <c r="Y974">
        <v>0.19846929999999999</v>
      </c>
      <c r="Z974">
        <v>-6.6400829999999997E-3</v>
      </c>
      <c r="AA974">
        <v>0.98008459999999997</v>
      </c>
      <c r="AB974">
        <v>37</v>
      </c>
      <c r="AC974">
        <v>22.017299999999999</v>
      </c>
      <c r="AD974">
        <v>-1.1211827642000001</v>
      </c>
      <c r="AE974">
        <v>-4.3216000000000401</v>
      </c>
      <c r="AF974">
        <v>4.5162627430688396</v>
      </c>
      <c r="AG974">
        <v>-1.1211827642000001</v>
      </c>
      <c r="AH974">
        <v>21.921140029001801</v>
      </c>
      <c r="AI974">
        <v>92.867783347836493</v>
      </c>
      <c r="AJ974">
        <v>78.358626118059306</v>
      </c>
      <c r="AK974">
        <v>22.409597500318402</v>
      </c>
      <c r="AL974">
        <v>78.305880352048803</v>
      </c>
      <c r="AM974">
        <v>83.789493329918102</v>
      </c>
      <c r="AN974">
        <v>1.0000000237881099</v>
      </c>
    </row>
    <row r="975" spans="1:40" x14ac:dyDescent="0.25">
      <c r="A975" t="str">
        <f>"20190303162759384"</f>
        <v>20190303162759384</v>
      </c>
      <c r="B975" t="str">
        <f>"1551601679372204"</f>
        <v>1551601679372204</v>
      </c>
      <c r="C975" t="s">
        <v>40</v>
      </c>
      <c r="D975">
        <v>5.2634679999999996</v>
      </c>
      <c r="E975">
        <v>0.53723969999999999</v>
      </c>
      <c r="F975" t="s">
        <v>41</v>
      </c>
      <c r="G975">
        <v>-239.1386</v>
      </c>
      <c r="H975" s="1">
        <v>-1.553467E-6</v>
      </c>
      <c r="I975">
        <v>364.8272</v>
      </c>
      <c r="J975">
        <v>-260.49160000000001</v>
      </c>
      <c r="K975">
        <v>1.121181</v>
      </c>
      <c r="L975">
        <v>368.9341</v>
      </c>
      <c r="M975">
        <v>0.99986209999999998</v>
      </c>
      <c r="N975">
        <v>-1.3736450000000001E-2</v>
      </c>
      <c r="O975">
        <v>9.3387239999999996E-3</v>
      </c>
      <c r="P975">
        <v>0.97710379999999997</v>
      </c>
      <c r="Q975">
        <v>0.18936269999999999</v>
      </c>
      <c r="R975">
        <v>-9.7004699999999999E-2</v>
      </c>
      <c r="S975">
        <v>3.043488</v>
      </c>
      <c r="T975">
        <v>-0.15821499999999999</v>
      </c>
      <c r="U975">
        <v>-0.57925419999999905</v>
      </c>
      <c r="V975">
        <v>0.1061531</v>
      </c>
      <c r="W975">
        <v>0.20273959999999999</v>
      </c>
      <c r="X975">
        <v>0.97346189999999999</v>
      </c>
      <c r="Y975">
        <v>0.19580500000000001</v>
      </c>
      <c r="Z975">
        <v>-6.7527079999999996E-3</v>
      </c>
      <c r="AA975">
        <v>0.98061960000000004</v>
      </c>
      <c r="AB975">
        <v>37</v>
      </c>
      <c r="AC975">
        <v>21.353000000000002</v>
      </c>
      <c r="AD975">
        <v>-1.1211825534669999</v>
      </c>
      <c r="AE975">
        <v>-4.1068999999999898</v>
      </c>
      <c r="AF975">
        <v>4.29473131489687</v>
      </c>
      <c r="AG975">
        <v>-1.1211825534669999</v>
      </c>
      <c r="AH975">
        <v>21.2571966545881</v>
      </c>
      <c r="AI975">
        <v>92.959504019828003</v>
      </c>
      <c r="AJ975">
        <v>78.577912128455594</v>
      </c>
      <c r="AK975">
        <v>21.715666625668799</v>
      </c>
      <c r="AL975">
        <v>78.302790099893699</v>
      </c>
      <c r="AM975">
        <v>83.776657153797302</v>
      </c>
      <c r="AN975">
        <v>0.99999994839968798</v>
      </c>
    </row>
    <row r="976" spans="1:40" x14ac:dyDescent="0.25">
      <c r="A976" t="str">
        <f>"20190303162759396"</f>
        <v>20190303162759396</v>
      </c>
      <c r="B976" t="str">
        <f>"1551601679381963"</f>
        <v>1551601679381963</v>
      </c>
      <c r="C976" t="s">
        <v>40</v>
      </c>
      <c r="D976">
        <v>5.1038389999999998</v>
      </c>
      <c r="E976">
        <v>0.47633560000000003</v>
      </c>
      <c r="F976" t="s">
        <v>41</v>
      </c>
      <c r="G976">
        <v>-238.92019999999999</v>
      </c>
      <c r="H976" s="1">
        <v>-1.628554E-6</v>
      </c>
      <c r="I976">
        <v>364.8245</v>
      </c>
      <c r="J976">
        <v>-260.29300000000001</v>
      </c>
      <c r="K976">
        <v>1.1211850000000001</v>
      </c>
      <c r="L976">
        <v>368.93599999999998</v>
      </c>
      <c r="M976">
        <v>0.99986229999999998</v>
      </c>
      <c r="N976">
        <v>-1.3744910000000001E-2</v>
      </c>
      <c r="O976">
        <v>9.3178649999999998E-3</v>
      </c>
      <c r="P976">
        <v>0.97714480000000004</v>
      </c>
      <c r="Q976">
        <v>0.1891332</v>
      </c>
      <c r="R976">
        <v>-9.7040360000000006E-2</v>
      </c>
      <c r="S976">
        <v>3.0434269999999999</v>
      </c>
      <c r="T976">
        <v>-0.15818209999999999</v>
      </c>
      <c r="U976">
        <v>-0.57980350000000003</v>
      </c>
      <c r="V976">
        <v>0.10616879999999999</v>
      </c>
      <c r="W976">
        <v>0.2025187</v>
      </c>
      <c r="X976">
        <v>0.97350619999999999</v>
      </c>
      <c r="Y976">
        <v>0.19595870000000001</v>
      </c>
      <c r="Z976">
        <v>-6.7565949999999998E-3</v>
      </c>
      <c r="AA976">
        <v>0.98058889999999999</v>
      </c>
      <c r="AB976">
        <v>37</v>
      </c>
      <c r="AC976">
        <v>21.372800000000002</v>
      </c>
      <c r="AD976">
        <v>-1.121186628554</v>
      </c>
      <c r="AE976">
        <v>-4.1114999999999702</v>
      </c>
      <c r="AF976">
        <v>4.2990806582168899</v>
      </c>
      <c r="AG976">
        <v>-1.121186628554</v>
      </c>
      <c r="AH976">
        <v>21.277094983771299</v>
      </c>
      <c r="AI976">
        <v>92.956743070730894</v>
      </c>
      <c r="AJ976">
        <v>78.577060536368705</v>
      </c>
      <c r="AK976">
        <v>21.736005265695098</v>
      </c>
      <c r="AL976">
        <v>78.315715226039899</v>
      </c>
      <c r="AM976">
        <v>83.776024963474995</v>
      </c>
      <c r="AN976">
        <v>0.99999997969078402</v>
      </c>
    </row>
    <row r="977" spans="1:40" x14ac:dyDescent="0.25">
      <c r="A977" t="str">
        <f>"20190303162759408"</f>
        <v>20190303162759408</v>
      </c>
      <c r="B977" t="str">
        <f>"1551601679402459"</f>
        <v>1551601679402459</v>
      </c>
      <c r="C977" t="s">
        <v>40</v>
      </c>
      <c r="D977">
        <v>5.2688990000000002</v>
      </c>
      <c r="E977">
        <v>0.45627469999999998</v>
      </c>
      <c r="F977" t="s">
        <v>41</v>
      </c>
      <c r="G977">
        <v>-230.00069999999999</v>
      </c>
      <c r="H977" s="1">
        <v>-4.561159E-6</v>
      </c>
      <c r="I977">
        <v>367.9862</v>
      </c>
      <c r="J977">
        <v>-260.11130000000003</v>
      </c>
      <c r="K977">
        <v>1.1211869999999999</v>
      </c>
      <c r="L977">
        <v>368.93770000000001</v>
      </c>
      <c r="M977">
        <v>0.99986220000000003</v>
      </c>
      <c r="N977">
        <v>-1.3752449999999999E-2</v>
      </c>
      <c r="O977">
        <v>9.2990380000000008E-3</v>
      </c>
      <c r="P977">
        <v>0.97716329999999996</v>
      </c>
      <c r="Q977">
        <v>0.1890481</v>
      </c>
      <c r="R977">
        <v>-9.7020910000000002E-2</v>
      </c>
      <c r="S977">
        <v>3.0826419999999999</v>
      </c>
      <c r="T977">
        <v>-0.11409569999999999</v>
      </c>
      <c r="U977">
        <v>-9.6649170000000006E-2</v>
      </c>
      <c r="V977">
        <v>0.1061308</v>
      </c>
      <c r="W977">
        <v>0.2024417</v>
      </c>
      <c r="X977">
        <v>0.97352640000000001</v>
      </c>
      <c r="Y977">
        <v>4.05907E-2</v>
      </c>
      <c r="Z977">
        <v>-1.246217E-3</v>
      </c>
      <c r="AA977">
        <v>0.99917509999999998</v>
      </c>
      <c r="AB977">
        <v>37</v>
      </c>
      <c r="AC977">
        <v>30.110600000000002</v>
      </c>
      <c r="AD977">
        <v>-1.121191561159</v>
      </c>
      <c r="AE977">
        <v>-0.95150000000001</v>
      </c>
      <c r="AF977">
        <v>1.22978154991307</v>
      </c>
      <c r="AG977">
        <v>-1.121191561159</v>
      </c>
      <c r="AH977">
        <v>30.058813929787799</v>
      </c>
      <c r="AI977">
        <v>92.134354217468498</v>
      </c>
      <c r="AJ977">
        <v>87.657192374876203</v>
      </c>
      <c r="AK977">
        <v>30.104845590750401</v>
      </c>
      <c r="AL977">
        <v>78.320220796078303</v>
      </c>
      <c r="AM977">
        <v>83.778363262982595</v>
      </c>
      <c r="AN977">
        <v>1.0000000200522401</v>
      </c>
    </row>
    <row r="978" spans="1:40" x14ac:dyDescent="0.25">
      <c r="A978" t="str">
        <f>"20190303162759420"</f>
        <v>20190303162759420</v>
      </c>
      <c r="B978" t="str">
        <f>"1551601679412220"</f>
        <v>1551601679412220</v>
      </c>
      <c r="C978" t="s">
        <v>40</v>
      </c>
      <c r="D978">
        <v>5.2715399999999999</v>
      </c>
      <c r="E978">
        <v>0.45003480000000001</v>
      </c>
      <c r="F978" t="s">
        <v>41</v>
      </c>
      <c r="G978">
        <v>-239.67160000000001</v>
      </c>
      <c r="H978" s="1">
        <v>-1.6957729999999999E-7</v>
      </c>
      <c r="I978">
        <v>369.35509999999999</v>
      </c>
      <c r="J978">
        <v>-259.91269999999997</v>
      </c>
      <c r="K978">
        <v>1.1211880000000001</v>
      </c>
      <c r="L978">
        <v>368.93950000000001</v>
      </c>
      <c r="M978">
        <v>0.99986240000000004</v>
      </c>
      <c r="N978">
        <v>-1.3760410000000001E-2</v>
      </c>
      <c r="O978">
        <v>9.2781819999999994E-3</v>
      </c>
      <c r="P978">
        <v>0.97722220000000004</v>
      </c>
      <c r="Q978">
        <v>0.1887305</v>
      </c>
      <c r="R978">
        <v>-9.7046809999999997E-2</v>
      </c>
      <c r="S978">
        <v>3.1094059999999999</v>
      </c>
      <c r="T978">
        <v>-0.17056079999999901</v>
      </c>
      <c r="U978">
        <v>6.3507079999999994E-2</v>
      </c>
      <c r="V978">
        <v>0.106137</v>
      </c>
      <c r="W978">
        <v>0.2021326</v>
      </c>
      <c r="X978">
        <v>0.97358999999999996</v>
      </c>
      <c r="Y978">
        <v>-1.1128819999999999E-2</v>
      </c>
      <c r="Z978" s="1">
        <v>7.2842519999999896E-7</v>
      </c>
      <c r="AA978">
        <v>0.99993810000000005</v>
      </c>
      <c r="AB978">
        <v>37</v>
      </c>
      <c r="AC978">
        <v>20.2410999999999</v>
      </c>
      <c r="AD978">
        <v>-1.1211881695772901</v>
      </c>
      <c r="AE978">
        <v>0.41559999999998298</v>
      </c>
      <c r="AF978">
        <v>-0.22706733679465499</v>
      </c>
      <c r="AG978">
        <v>-1.1211881695772901</v>
      </c>
      <c r="AH978">
        <v>20.182187346206899</v>
      </c>
      <c r="AI978">
        <v>93.179503472186894</v>
      </c>
      <c r="AJ978">
        <v>90.644600653885306</v>
      </c>
      <c r="AK978">
        <v>20.214581582719799</v>
      </c>
      <c r="AL978">
        <v>78.338305368924495</v>
      </c>
      <c r="AM978">
        <v>83.778405920894897</v>
      </c>
      <c r="AN978">
        <v>1.0000000694258699</v>
      </c>
    </row>
    <row r="979" spans="1:40" x14ac:dyDescent="0.25">
      <c r="A979" t="str">
        <f>"20190303162759431"</f>
        <v>20190303162759431</v>
      </c>
      <c r="B979" t="str">
        <f>"1551601679421980"</f>
        <v>1551601679421980</v>
      </c>
      <c r="C979" t="s">
        <v>40</v>
      </c>
      <c r="D979">
        <v>5.1766120000000004</v>
      </c>
      <c r="E979">
        <v>0.44735940000000002</v>
      </c>
      <c r="F979" t="s">
        <v>41</v>
      </c>
      <c r="G979">
        <v>-241.48390000000001</v>
      </c>
      <c r="H979" s="1">
        <v>-4.0075089999999998E-6</v>
      </c>
      <c r="I979">
        <v>369.60860000000002</v>
      </c>
      <c r="J979">
        <v>-259.72320000000002</v>
      </c>
      <c r="K979">
        <v>1.1211880000000001</v>
      </c>
      <c r="L979">
        <v>368.94119999999998</v>
      </c>
      <c r="M979">
        <v>0.99986260000000005</v>
      </c>
      <c r="N979">
        <v>-1.376751E-2</v>
      </c>
      <c r="O979">
        <v>9.2583449999999994E-3</v>
      </c>
      <c r="P979">
        <v>0.97721990000000003</v>
      </c>
      <c r="Q979">
        <v>0.1887289</v>
      </c>
      <c r="R979">
        <v>-9.7073880000000001E-2</v>
      </c>
      <c r="S979">
        <v>3.1177670000000002</v>
      </c>
      <c r="T979">
        <v>-0.1896815</v>
      </c>
      <c r="U979">
        <v>0.1131897</v>
      </c>
      <c r="V979">
        <v>0.10614460000000001</v>
      </c>
      <c r="W979">
        <v>0.20213819999999999</v>
      </c>
      <c r="X979">
        <v>0.97358789999999995</v>
      </c>
      <c r="Y979">
        <v>-2.6975269999999999E-2</v>
      </c>
      <c r="Z979">
        <v>5.7032839999999997E-4</v>
      </c>
      <c r="AA979">
        <v>0.99963590000000002</v>
      </c>
      <c r="AB979">
        <v>37</v>
      </c>
      <c r="AC979">
        <v>18.2393</v>
      </c>
      <c r="AD979">
        <v>-1.1211920075089901</v>
      </c>
      <c r="AE979">
        <v>0.66740000000004296</v>
      </c>
      <c r="AF979">
        <v>-0.49661563514431201</v>
      </c>
      <c r="AG979">
        <v>-1.1211920075089901</v>
      </c>
      <c r="AH979">
        <v>18.176107315126199</v>
      </c>
      <c r="AI979">
        <v>93.528500513939804</v>
      </c>
      <c r="AJ979">
        <v>91.565071231242797</v>
      </c>
      <c r="AK979">
        <v>18.217425057832799</v>
      </c>
      <c r="AL979">
        <v>78.337976497280394</v>
      </c>
      <c r="AM979">
        <v>83.777950598761194</v>
      </c>
      <c r="AN979">
        <v>0.99999996351740394</v>
      </c>
    </row>
    <row r="980" spans="1:40" x14ac:dyDescent="0.25">
      <c r="A980" t="str">
        <f>"20190303162759446"</f>
        <v>20190303162759446</v>
      </c>
      <c r="B980" t="str">
        <f>"1551601679432716"</f>
        <v>1551601679432716</v>
      </c>
      <c r="C980" t="s">
        <v>40</v>
      </c>
      <c r="D980">
        <v>5.1641250000000003</v>
      </c>
      <c r="E980">
        <v>0.44580530000000002</v>
      </c>
      <c r="F980" t="s">
        <v>41</v>
      </c>
      <c r="G980">
        <v>-242.17679999999999</v>
      </c>
      <c r="H980" s="1">
        <v>-3.7000999999999999E-6</v>
      </c>
      <c r="I980">
        <v>369.69729999999998</v>
      </c>
      <c r="J980">
        <v>-259.48939999999999</v>
      </c>
      <c r="K980">
        <v>1.121191</v>
      </c>
      <c r="L980">
        <v>368.9434</v>
      </c>
      <c r="M980">
        <v>0.99986249999999999</v>
      </c>
      <c r="N980">
        <v>-1.3775900000000001E-2</v>
      </c>
      <c r="O980">
        <v>9.2340870000000002E-3</v>
      </c>
      <c r="P980">
        <v>0.97718939999999999</v>
      </c>
      <c r="Q980">
        <v>0.18901960000000001</v>
      </c>
      <c r="R980">
        <v>-9.6812460000000003E-2</v>
      </c>
      <c r="S980">
        <v>3.1217959999999998</v>
      </c>
      <c r="T980">
        <v>-0.1994792</v>
      </c>
      <c r="U980">
        <v>0.13452149999999999</v>
      </c>
      <c r="V980">
        <v>0.10585940000000001</v>
      </c>
      <c r="W980">
        <v>0.20243649999999999</v>
      </c>
      <c r="X980">
        <v>0.97355700000000001</v>
      </c>
      <c r="Y980">
        <v>-3.3750870000000002E-2</v>
      </c>
      <c r="Z980">
        <v>8.4752799999999995E-4</v>
      </c>
      <c r="AA980">
        <v>0.99942989999999998</v>
      </c>
      <c r="AB980">
        <v>37</v>
      </c>
      <c r="AC980">
        <v>17.3126</v>
      </c>
      <c r="AD980">
        <v>-1.1211947001</v>
      </c>
      <c r="AE980">
        <v>0.75389999999998702</v>
      </c>
      <c r="AF980">
        <v>-0.59151047903846199</v>
      </c>
      <c r="AG980">
        <v>-1.1211947001</v>
      </c>
      <c r="AH980">
        <v>17.2466270180199</v>
      </c>
      <c r="AI980">
        <v>93.717356747713694</v>
      </c>
      <c r="AJ980">
        <v>91.964313061764997</v>
      </c>
      <c r="AK980">
        <v>17.293151988606301</v>
      </c>
      <c r="AL980">
        <v>78.320524685457997</v>
      </c>
      <c r="AM980">
        <v>83.794342603813405</v>
      </c>
      <c r="AN980">
        <v>0.99999999067480505</v>
      </c>
    </row>
    <row r="981" spans="1:40" x14ac:dyDescent="0.25">
      <c r="A981" t="str">
        <f>"20190303162759459"</f>
        <v>20190303162759459</v>
      </c>
      <c r="B981" t="str">
        <f>"1551601679452236"</f>
        <v>1551601679452236</v>
      </c>
      <c r="C981" t="s">
        <v>40</v>
      </c>
      <c r="D981">
        <v>5.1175439999999996</v>
      </c>
      <c r="E981">
        <v>0.44504929999999898</v>
      </c>
      <c r="F981" t="s">
        <v>41</v>
      </c>
      <c r="G981">
        <v>-242.87739999999999</v>
      </c>
      <c r="H981" s="1">
        <v>-3.3775030000000001E-6</v>
      </c>
      <c r="I981">
        <v>369.7296</v>
      </c>
      <c r="J981">
        <v>-259.27359999999999</v>
      </c>
      <c r="K981">
        <v>1.1211990000000001</v>
      </c>
      <c r="L981">
        <v>368.94529999999997</v>
      </c>
      <c r="M981">
        <v>0.99986260000000005</v>
      </c>
      <c r="N981">
        <v>-1.378309E-2</v>
      </c>
      <c r="O981">
        <v>9.2113850000000008E-3</v>
      </c>
      <c r="P981">
        <v>0.97715289999999999</v>
      </c>
      <c r="Q981">
        <v>0.18921109999999999</v>
      </c>
      <c r="R981">
        <v>-9.6805409999999995E-2</v>
      </c>
      <c r="S981">
        <v>3.1254879999999998</v>
      </c>
      <c r="T981">
        <v>-0.2109491</v>
      </c>
      <c r="U981">
        <v>0.14791869999999999</v>
      </c>
      <c r="V981">
        <v>0.10582999999999999</v>
      </c>
      <c r="W981">
        <v>0.20263410000000001</v>
      </c>
      <c r="X981">
        <v>0.97351909999999997</v>
      </c>
      <c r="Y981">
        <v>-3.7979060000000002E-2</v>
      </c>
      <c r="Z981">
        <v>1.047922E-3</v>
      </c>
      <c r="AA981">
        <v>0.999278</v>
      </c>
      <c r="AB981">
        <v>36</v>
      </c>
      <c r="AC981">
        <v>16.396199999999901</v>
      </c>
      <c r="AD981">
        <v>-1.121202377503</v>
      </c>
      <c r="AE981">
        <v>0.78430000000002997</v>
      </c>
      <c r="AF981">
        <v>-0.63028015360201695</v>
      </c>
      <c r="AG981">
        <v>-1.121202377503</v>
      </c>
      <c r="AH981">
        <v>16.3265594678731</v>
      </c>
      <c r="AI981">
        <v>93.925620162247398</v>
      </c>
      <c r="AJ981">
        <v>92.210782326833794</v>
      </c>
      <c r="AK981">
        <v>16.377145413695899</v>
      </c>
      <c r="AL981">
        <v>78.308963574734406</v>
      </c>
      <c r="AM981">
        <v>83.795812998266499</v>
      </c>
      <c r="AN981">
        <v>1.0000000027238101</v>
      </c>
    </row>
    <row r="982" spans="1:40" x14ac:dyDescent="0.25">
      <c r="A982" t="str">
        <f>"20190303162759472"</f>
        <v>20190303162759472</v>
      </c>
      <c r="B982" t="str">
        <f>"1551601679462974"</f>
        <v>1551601679462974</v>
      </c>
      <c r="C982" t="s">
        <v>40</v>
      </c>
      <c r="D982">
        <v>5.1129639999999998</v>
      </c>
      <c r="E982">
        <v>0.44488440000000001</v>
      </c>
      <c r="F982" t="s">
        <v>41</v>
      </c>
      <c r="G982">
        <v>-242.4177</v>
      </c>
      <c r="H982" s="1">
        <v>-3.6072419999999998E-6</v>
      </c>
      <c r="I982">
        <v>369.77629999999999</v>
      </c>
      <c r="J982">
        <v>-259.06319999999999</v>
      </c>
      <c r="K982">
        <v>1.1212029999999999</v>
      </c>
      <c r="L982">
        <v>368.94729999999998</v>
      </c>
      <c r="M982">
        <v>0.99986280000000005</v>
      </c>
      <c r="N982">
        <v>-1.3789539999999999E-2</v>
      </c>
      <c r="O982">
        <v>9.1885049999999996E-3</v>
      </c>
      <c r="P982">
        <v>0.97704049999999998</v>
      </c>
      <c r="Q982">
        <v>0.1902018</v>
      </c>
      <c r="R982">
        <v>-9.5996349999999994E-2</v>
      </c>
      <c r="S982">
        <v>3.1256710000000001</v>
      </c>
      <c r="T982">
        <v>-0.20791029999999999</v>
      </c>
      <c r="U982">
        <v>0.15408329999999901</v>
      </c>
      <c r="V982">
        <v>0.10499799999999999</v>
      </c>
      <c r="W982">
        <v>0.20363000000000001</v>
      </c>
      <c r="X982">
        <v>0.97340139999999997</v>
      </c>
      <c r="Y982">
        <v>-3.9962249999999998E-2</v>
      </c>
      <c r="Z982">
        <v>1.1193170000000001E-3</v>
      </c>
      <c r="AA982">
        <v>0.99920059999999999</v>
      </c>
      <c r="AB982">
        <v>36</v>
      </c>
      <c r="AC982">
        <v>16.645499999999998</v>
      </c>
      <c r="AD982">
        <v>-1.1212066072419999</v>
      </c>
      <c r="AE982">
        <v>0.82900000000000695</v>
      </c>
      <c r="AF982">
        <v>-0.67295749281786499</v>
      </c>
      <c r="AG982">
        <v>-1.1212066072419999</v>
      </c>
      <c r="AH982">
        <v>16.577388123241398</v>
      </c>
      <c r="AI982">
        <v>93.866115257322093</v>
      </c>
      <c r="AJ982">
        <v>92.324640315078099</v>
      </c>
      <c r="AK982">
        <v>16.628883697706399</v>
      </c>
      <c r="AL982">
        <v>78.250687953123006</v>
      </c>
      <c r="AM982">
        <v>83.843473674604596</v>
      </c>
      <c r="AN982">
        <v>1.00000002121297</v>
      </c>
    </row>
    <row r="983" spans="1:40" x14ac:dyDescent="0.25">
      <c r="A983" t="str">
        <f>"20190303162759485"</f>
        <v>20190303162759485</v>
      </c>
      <c r="B983" t="str">
        <f>"1551601679472732"</f>
        <v>1551601679472732</v>
      </c>
      <c r="C983" t="s">
        <v>40</v>
      </c>
      <c r="D983">
        <v>5.1238029999999997</v>
      </c>
      <c r="E983">
        <v>0.44496229999999998</v>
      </c>
      <c r="F983" t="s">
        <v>41</v>
      </c>
      <c r="G983">
        <v>-241.87</v>
      </c>
      <c r="H983" s="1">
        <v>-3.8764279999999998E-6</v>
      </c>
      <c r="I983">
        <v>369.815</v>
      </c>
      <c r="J983">
        <v>-258.86090000000002</v>
      </c>
      <c r="K983">
        <v>1.1212089999999999</v>
      </c>
      <c r="L983">
        <v>368.94909999999999</v>
      </c>
      <c r="M983">
        <v>0.99986280000000005</v>
      </c>
      <c r="N983">
        <v>-1.3795450000000001E-2</v>
      </c>
      <c r="O983">
        <v>9.1661620000000003E-3</v>
      </c>
      <c r="P983">
        <v>0.97703439999999997</v>
      </c>
      <c r="Q983">
        <v>0.19040190000000001</v>
      </c>
      <c r="R983">
        <v>-9.566057E-2</v>
      </c>
      <c r="S983">
        <v>3.1256710000000001</v>
      </c>
      <c r="T983">
        <v>-0.20383190000000001</v>
      </c>
      <c r="U983">
        <v>0.15774540000000001</v>
      </c>
      <c r="V983">
        <v>0.1046406</v>
      </c>
      <c r="W983">
        <v>0.20383580000000001</v>
      </c>
      <c r="X983">
        <v>0.97339679999999995</v>
      </c>
      <c r="Y983">
        <v>-4.1152389999999997E-2</v>
      </c>
      <c r="Z983">
        <v>1.1535499999999999E-3</v>
      </c>
      <c r="AA983">
        <v>0.99915220000000005</v>
      </c>
      <c r="AB983">
        <v>36</v>
      </c>
      <c r="AC983">
        <v>16.9909</v>
      </c>
      <c r="AD983">
        <v>-1.121212876428</v>
      </c>
      <c r="AE983">
        <v>0.86590000000001</v>
      </c>
      <c r="AF983">
        <v>-0.70703659739164304</v>
      </c>
      <c r="AG983">
        <v>-1.121212876428</v>
      </c>
      <c r="AH983">
        <v>16.9246156208138</v>
      </c>
      <c r="AI983">
        <v>93.786868580063597</v>
      </c>
      <c r="AJ983">
        <v>92.392176717733093</v>
      </c>
      <c r="AK983">
        <v>16.976443472547899</v>
      </c>
      <c r="AL983">
        <v>78.238643734545093</v>
      </c>
      <c r="AM983">
        <v>83.864240823792102</v>
      </c>
      <c r="AN983">
        <v>1.00000000939011</v>
      </c>
    </row>
    <row r="984" spans="1:40" x14ac:dyDescent="0.25">
      <c r="A984" t="str">
        <f>"20190303162759497"</f>
        <v>20190303162759497</v>
      </c>
      <c r="B984" t="str">
        <f>"1551601679482492"</f>
        <v>1551601679482492</v>
      </c>
      <c r="C984" t="s">
        <v>40</v>
      </c>
      <c r="D984">
        <v>5.1735490000000004</v>
      </c>
      <c r="E984">
        <v>0.44463730000000001</v>
      </c>
      <c r="F984" t="s">
        <v>41</v>
      </c>
      <c r="G984">
        <v>-241.91470000000001</v>
      </c>
      <c r="H984" s="1">
        <v>-3.8536069999999998E-6</v>
      </c>
      <c r="I984">
        <v>369.80849999999998</v>
      </c>
      <c r="J984">
        <v>-258.66719999999998</v>
      </c>
      <c r="K984">
        <v>1.1212120000000001</v>
      </c>
      <c r="L984">
        <v>368.95080000000002</v>
      </c>
      <c r="M984">
        <v>0.9998631</v>
      </c>
      <c r="N984">
        <v>-1.38006E-2</v>
      </c>
      <c r="O984">
        <v>9.1434610000000003E-3</v>
      </c>
      <c r="P984">
        <v>0.97700920000000002</v>
      </c>
      <c r="Q984">
        <v>0.19074260000000001</v>
      </c>
      <c r="R984">
        <v>-9.5238649999999994E-2</v>
      </c>
      <c r="S984">
        <v>3.1263580000000002</v>
      </c>
      <c r="T984">
        <v>-0.20684920000000001</v>
      </c>
      <c r="U984">
        <v>0.15853879999999901</v>
      </c>
      <c r="V984">
        <v>0.1041969</v>
      </c>
      <c r="W984">
        <v>0.2041808</v>
      </c>
      <c r="X984">
        <v>0.97337209999999996</v>
      </c>
      <c r="Y984">
        <v>-4.1413859999999997E-2</v>
      </c>
      <c r="Z984">
        <v>1.176142E-3</v>
      </c>
      <c r="AA984">
        <v>0.99914139999999996</v>
      </c>
      <c r="AB984">
        <v>36</v>
      </c>
      <c r="AC984">
        <v>16.752499999999898</v>
      </c>
      <c r="AD984">
        <v>-1.121215853607</v>
      </c>
      <c r="AE984">
        <v>0.85769999999996505</v>
      </c>
      <c r="AF984">
        <v>-0.70134037542990402</v>
      </c>
      <c r="AG984">
        <v>-1.121215853607</v>
      </c>
      <c r="AH984">
        <v>16.685098942781199</v>
      </c>
      <c r="AI984">
        <v>93.841036758930201</v>
      </c>
      <c r="AJ984">
        <v>92.406950202166797</v>
      </c>
      <c r="AK984">
        <v>16.737429015323301</v>
      </c>
      <c r="AL984">
        <v>78.218452157956307</v>
      </c>
      <c r="AM984">
        <v>83.889906764610501</v>
      </c>
      <c r="AN984">
        <v>1.00000001905832</v>
      </c>
    </row>
    <row r="985" spans="1:40" x14ac:dyDescent="0.25">
      <c r="A985" t="str">
        <f>"20190303162759509"</f>
        <v>20190303162759509</v>
      </c>
      <c r="B985" t="str">
        <f>"1551601679502014"</f>
        <v>1551601679502014</v>
      </c>
      <c r="C985" t="s">
        <v>40</v>
      </c>
      <c r="D985">
        <v>5.1412740000000001</v>
      </c>
      <c r="E985">
        <v>0.44412370000000001</v>
      </c>
      <c r="F985" t="s">
        <v>41</v>
      </c>
      <c r="G985">
        <v>-241.85169999999999</v>
      </c>
      <c r="H985" s="1">
        <v>-3.8872020000000003E-6</v>
      </c>
      <c r="I985">
        <v>369.8229</v>
      </c>
      <c r="J985">
        <v>-258.4572</v>
      </c>
      <c r="K985">
        <v>1.1212139999999999</v>
      </c>
      <c r="L985">
        <v>368.95280000000002</v>
      </c>
      <c r="M985">
        <v>0.99986319999999995</v>
      </c>
      <c r="N985">
        <v>-1.380588E-2</v>
      </c>
      <c r="O985">
        <v>9.1177089999999999E-3</v>
      </c>
      <c r="P985">
        <v>0.97699809999999998</v>
      </c>
      <c r="Q985">
        <v>0.1910598</v>
      </c>
      <c r="R985">
        <v>-9.4716309999999998E-2</v>
      </c>
      <c r="S985">
        <v>3.1271059999999999</v>
      </c>
      <c r="T985">
        <v>-0.20850750000000001</v>
      </c>
      <c r="U985">
        <v>0.16217039999999999</v>
      </c>
      <c r="V985">
        <v>0.10365000000000001</v>
      </c>
      <c r="W985">
        <v>0.20450289999999999</v>
      </c>
      <c r="X985">
        <v>0.97336290000000003</v>
      </c>
      <c r="Y985">
        <v>-4.258029E-2</v>
      </c>
      <c r="Z985">
        <v>1.230458E-3</v>
      </c>
      <c r="AA985">
        <v>0.99909230000000004</v>
      </c>
      <c r="AB985">
        <v>36</v>
      </c>
      <c r="AC985">
        <v>16.605499999999999</v>
      </c>
      <c r="AD985">
        <v>-1.121217887202</v>
      </c>
      <c r="AE985">
        <v>0.870099999999979</v>
      </c>
      <c r="AF985">
        <v>-0.71539269523175997</v>
      </c>
      <c r="AG985">
        <v>-1.121217887202</v>
      </c>
      <c r="AH985">
        <v>16.537554294160302</v>
      </c>
      <c r="AI985">
        <v>93.875007333833807</v>
      </c>
      <c r="AJ985">
        <v>92.476995227527397</v>
      </c>
      <c r="AK985">
        <v>16.590949891168702</v>
      </c>
      <c r="AL985">
        <v>78.199599719148395</v>
      </c>
      <c r="AM985">
        <v>83.921679192008298</v>
      </c>
      <c r="AN985">
        <v>1.0000000468524</v>
      </c>
    </row>
    <row r="986" spans="1:40" x14ac:dyDescent="0.25">
      <c r="A986" t="str">
        <f>"20190303162759522"</f>
        <v>20190303162759522</v>
      </c>
      <c r="B986" t="str">
        <f>"1551601679512747"</f>
        <v>1551601679512747</v>
      </c>
      <c r="C986" t="s">
        <v>40</v>
      </c>
      <c r="D986">
        <v>5.1500219999999999</v>
      </c>
      <c r="E986">
        <v>0.44380310000000001</v>
      </c>
      <c r="F986" t="s">
        <v>41</v>
      </c>
      <c r="G986">
        <v>-241.8587</v>
      </c>
      <c r="H986" s="1">
        <v>-3.889193E-6</v>
      </c>
      <c r="I986">
        <v>369.84289999999999</v>
      </c>
      <c r="J986">
        <v>-258.24900000000002</v>
      </c>
      <c r="K986">
        <v>1.121208</v>
      </c>
      <c r="L986">
        <v>368.95460000000003</v>
      </c>
      <c r="M986">
        <v>0.99986330000000001</v>
      </c>
      <c r="N986">
        <v>-1.381081E-2</v>
      </c>
      <c r="O986">
        <v>9.0909400000000005E-3</v>
      </c>
      <c r="P986">
        <v>0.97698510000000005</v>
      </c>
      <c r="Q986">
        <v>0.1913995</v>
      </c>
      <c r="R986">
        <v>-9.4163570000000002E-2</v>
      </c>
      <c r="S986">
        <v>3.1282199999999998</v>
      </c>
      <c r="T986">
        <v>-0.2113101</v>
      </c>
      <c r="U986">
        <v>0.16775509999999999</v>
      </c>
      <c r="V986">
        <v>0.103072</v>
      </c>
      <c r="W986">
        <v>0.2048469</v>
      </c>
      <c r="X986">
        <v>0.97335190000000005</v>
      </c>
      <c r="Y986">
        <v>-4.436006E-2</v>
      </c>
      <c r="Z986">
        <v>1.314911E-3</v>
      </c>
      <c r="AA986">
        <v>0.99901470000000003</v>
      </c>
      <c r="AB986">
        <v>36</v>
      </c>
      <c r="AC986">
        <v>16.3903</v>
      </c>
      <c r="AD986">
        <v>-1.1212118891930001</v>
      </c>
      <c r="AE986">
        <v>0.88829999999995801</v>
      </c>
      <c r="AF986">
        <v>-0.73581267119843197</v>
      </c>
      <c r="AG986">
        <v>-1.1212118891930001</v>
      </c>
      <c r="AH986">
        <v>16.321545456336199</v>
      </c>
      <c r="AI986">
        <v>93.925796523333503</v>
      </c>
      <c r="AJ986">
        <v>92.581277244241406</v>
      </c>
      <c r="AK986">
        <v>16.376549773099701</v>
      </c>
      <c r="AL986">
        <v>78.179463195607099</v>
      </c>
      <c r="AM986">
        <v>83.955255250166203</v>
      </c>
      <c r="AN986">
        <v>1.00000000542861</v>
      </c>
    </row>
    <row r="987" spans="1:40" x14ac:dyDescent="0.25">
      <c r="A987" t="str">
        <f>"20190303162759538"</f>
        <v>20190303162759538</v>
      </c>
      <c r="B987" t="str">
        <f>"1551601679522508"</f>
        <v>1551601679522508</v>
      </c>
      <c r="C987" t="s">
        <v>40</v>
      </c>
      <c r="D987">
        <v>5.142099</v>
      </c>
      <c r="E987">
        <v>0.44355709999999998</v>
      </c>
      <c r="F987" t="s">
        <v>41</v>
      </c>
      <c r="G987">
        <v>-241.67449999999999</v>
      </c>
      <c r="H987" s="1">
        <v>-3.9821329999999998E-6</v>
      </c>
      <c r="I987">
        <v>369.8648</v>
      </c>
      <c r="J987">
        <v>-257.99770000000001</v>
      </c>
      <c r="K987">
        <v>1.121211</v>
      </c>
      <c r="L987">
        <v>368.95679999999999</v>
      </c>
      <c r="M987">
        <v>0.99986350000000002</v>
      </c>
      <c r="N987">
        <v>-1.3816E-2</v>
      </c>
      <c r="O987">
        <v>9.0554490000000001E-3</v>
      </c>
      <c r="P987">
        <v>0.9770472</v>
      </c>
      <c r="Q987">
        <v>0.19142690000000001</v>
      </c>
      <c r="R987">
        <v>-9.3458849999999996E-2</v>
      </c>
      <c r="S987">
        <v>3.1286930000000002</v>
      </c>
      <c r="T987">
        <v>-0.2116458</v>
      </c>
      <c r="U987">
        <v>0.17181399999999999</v>
      </c>
      <c r="V987">
        <v>0.1023348</v>
      </c>
      <c r="W987">
        <v>0.2048796</v>
      </c>
      <c r="X987">
        <v>0.97342280000000003</v>
      </c>
      <c r="Y987">
        <v>-4.5675670000000002E-2</v>
      </c>
      <c r="Z987">
        <v>1.371745E-3</v>
      </c>
      <c r="AA987">
        <v>0.99895540000000005</v>
      </c>
      <c r="AB987">
        <v>36</v>
      </c>
      <c r="AC987">
        <v>16.3232</v>
      </c>
      <c r="AD987">
        <v>-1.121214982133</v>
      </c>
      <c r="AE987">
        <v>0.90800000000001502</v>
      </c>
      <c r="AF987">
        <v>-0.75657615074887896</v>
      </c>
      <c r="AG987">
        <v>-1.121214982133</v>
      </c>
      <c r="AH987">
        <v>16.254300874177702</v>
      </c>
      <c r="AI987">
        <v>93.941734425960405</v>
      </c>
      <c r="AJ987">
        <v>92.664978065524593</v>
      </c>
      <c r="AK987">
        <v>16.3104821331663</v>
      </c>
      <c r="AL987">
        <v>78.1775490161764</v>
      </c>
      <c r="AM987">
        <v>83.998606229464102</v>
      </c>
      <c r="AN987">
        <v>1.00000000467352</v>
      </c>
    </row>
    <row r="988" spans="1:40" x14ac:dyDescent="0.25">
      <c r="A988" t="str">
        <f>"20190303162759551"</f>
        <v>20190303162759551</v>
      </c>
      <c r="B988" t="str">
        <f>"1551601679542028"</f>
        <v>1551601679542028</v>
      </c>
      <c r="C988" t="s">
        <v>40</v>
      </c>
      <c r="D988">
        <v>5.1829499999999999</v>
      </c>
      <c r="E988">
        <v>0.44351990000000002</v>
      </c>
      <c r="F988" t="s">
        <v>41</v>
      </c>
      <c r="G988">
        <v>-241.52080000000001</v>
      </c>
      <c r="H988" s="1">
        <v>-4.0595580000000002E-6</v>
      </c>
      <c r="I988">
        <v>369.88279999999997</v>
      </c>
      <c r="J988">
        <v>-257.78050000000002</v>
      </c>
      <c r="K988">
        <v>1.1212169999999999</v>
      </c>
      <c r="L988">
        <v>368.9588</v>
      </c>
      <c r="M988">
        <v>0.99986370000000002</v>
      </c>
      <c r="N988">
        <v>-1.3820030000000001E-2</v>
      </c>
      <c r="O988">
        <v>9.0221710000000007E-3</v>
      </c>
      <c r="P988">
        <v>0.97699179999999997</v>
      </c>
      <c r="Q988">
        <v>0.19205340000000001</v>
      </c>
      <c r="R988">
        <v>-9.2749659999999998E-2</v>
      </c>
      <c r="S988">
        <v>3.1290439999999999</v>
      </c>
      <c r="T988">
        <v>-0.2129248</v>
      </c>
      <c r="U988">
        <v>0.17584229999999901</v>
      </c>
      <c r="V988">
        <v>0.1015942</v>
      </c>
      <c r="W988">
        <v>0.20550860000000001</v>
      </c>
      <c r="X988">
        <v>0.97336780000000001</v>
      </c>
      <c r="Y988">
        <v>-4.6979989999999999E-2</v>
      </c>
      <c r="Z988">
        <v>1.4324839999999999E-3</v>
      </c>
      <c r="AA988">
        <v>0.99889479999999997</v>
      </c>
      <c r="AB988">
        <v>36</v>
      </c>
      <c r="AC988">
        <v>16.259699999999999</v>
      </c>
      <c r="AD988">
        <v>-1.1212210595580001</v>
      </c>
      <c r="AE988">
        <v>0.92399999999997795</v>
      </c>
      <c r="AF988">
        <v>-0.77358395722850704</v>
      </c>
      <c r="AG988">
        <v>-1.1212210595580001</v>
      </c>
      <c r="AH988">
        <v>16.1906355011904</v>
      </c>
      <c r="AI988">
        <v>93.956977517680201</v>
      </c>
      <c r="AJ988">
        <v>92.7354956853045</v>
      </c>
      <c r="AK988">
        <v>16.247838217304</v>
      </c>
      <c r="AL988">
        <v>78.140726619368095</v>
      </c>
      <c r="AM988">
        <v>84.041390672321299</v>
      </c>
      <c r="AN988">
        <v>1.0000000201122199</v>
      </c>
    </row>
    <row r="989" spans="1:40" x14ac:dyDescent="0.25">
      <c r="A989" t="str">
        <f>"20190303162759583"</f>
        <v>20190303162759583</v>
      </c>
      <c r="B989" t="str">
        <f>"1551601679572284"</f>
        <v>1551601679572284</v>
      </c>
      <c r="C989" t="s">
        <v>40</v>
      </c>
      <c r="D989">
        <v>5.1994309999999997</v>
      </c>
      <c r="E989">
        <v>0.44345010000000001</v>
      </c>
      <c r="F989" t="s">
        <v>41</v>
      </c>
      <c r="G989">
        <v>-241.0384</v>
      </c>
      <c r="H989" s="1">
        <v>-4.2947879999999996E-6</v>
      </c>
      <c r="I989">
        <v>369.90989999999999</v>
      </c>
      <c r="J989">
        <v>-257.25020000000001</v>
      </c>
      <c r="K989">
        <v>1.1212120000000001</v>
      </c>
      <c r="L989">
        <v>368.96350000000001</v>
      </c>
      <c r="M989">
        <v>0.99986450000000004</v>
      </c>
      <c r="N989">
        <v>-1.382827E-2</v>
      </c>
      <c r="O989">
        <v>8.9316829999999993E-3</v>
      </c>
      <c r="P989">
        <v>0.97694060000000005</v>
      </c>
      <c r="Q989">
        <v>0.1926281</v>
      </c>
      <c r="R989">
        <v>-9.2095209999999997E-2</v>
      </c>
      <c r="S989">
        <v>3.128708</v>
      </c>
      <c r="T989">
        <v>-0.20953079999999999</v>
      </c>
      <c r="U989">
        <v>0.17773439999999999</v>
      </c>
      <c r="V989">
        <v>0.10085529999999999</v>
      </c>
      <c r="W989">
        <v>0.2060891</v>
      </c>
      <c r="X989">
        <v>0.97332189999999996</v>
      </c>
      <c r="Y989">
        <v>-4.7679739999999998E-2</v>
      </c>
      <c r="Z989">
        <v>1.4502390000000001E-3</v>
      </c>
      <c r="AA989">
        <v>0.99886160000000002</v>
      </c>
      <c r="AB989">
        <v>36</v>
      </c>
      <c r="AC989">
        <v>16.2118</v>
      </c>
      <c r="AD989">
        <v>-1.121216294788</v>
      </c>
      <c r="AE989">
        <v>0.94639999999998203</v>
      </c>
      <c r="AF989">
        <v>-0.79774693472617897</v>
      </c>
      <c r="AG989">
        <v>-1.121216294788</v>
      </c>
      <c r="AH989">
        <v>16.142656050849201</v>
      </c>
      <c r="AI989">
        <v>93.968369840334205</v>
      </c>
      <c r="AJ989">
        <v>92.829173703759096</v>
      </c>
      <c r="AK989">
        <v>16.2011996632219</v>
      </c>
      <c r="AL989">
        <v>78.106738825332798</v>
      </c>
      <c r="AM989">
        <v>84.084142529520605</v>
      </c>
      <c r="AN989">
        <v>1.00000001484825</v>
      </c>
    </row>
    <row r="990" spans="1:40" x14ac:dyDescent="0.25">
      <c r="A990" t="str">
        <f>"20190303162759595"</f>
        <v>20190303162759595</v>
      </c>
      <c r="B990" t="str">
        <f>"1551601679582044"</f>
        <v>1551601679582044</v>
      </c>
      <c r="C990" t="s">
        <v>40</v>
      </c>
      <c r="D990">
        <v>5.2031879999999999</v>
      </c>
      <c r="E990">
        <v>0.44346390000000002</v>
      </c>
      <c r="F990" t="s">
        <v>41</v>
      </c>
      <c r="G990">
        <v>-240.40360000000001</v>
      </c>
      <c r="H990" s="1">
        <v>-4.6022760000000001E-6</v>
      </c>
      <c r="I990">
        <v>369.93770000000001</v>
      </c>
      <c r="J990">
        <v>-257.05900000000003</v>
      </c>
      <c r="K990">
        <v>1.1212089999999999</v>
      </c>
      <c r="L990">
        <v>368.96510000000001</v>
      </c>
      <c r="M990">
        <v>0.99986489999999995</v>
      </c>
      <c r="N990">
        <v>-1.383058E-2</v>
      </c>
      <c r="O990">
        <v>8.8952049999999998E-3</v>
      </c>
      <c r="P990">
        <v>0.97699080000000005</v>
      </c>
      <c r="Q990">
        <v>0.19249150000000001</v>
      </c>
      <c r="R990">
        <v>-9.1849330000000007E-2</v>
      </c>
      <c r="S990">
        <v>3.1289220000000002</v>
      </c>
      <c r="T990">
        <v>-0.20824309999999999</v>
      </c>
      <c r="U990">
        <v>0.18093870000000001</v>
      </c>
      <c r="V990">
        <v>0.1005754</v>
      </c>
      <c r="W990">
        <v>0.2059552</v>
      </c>
      <c r="X990">
        <v>0.9733792</v>
      </c>
      <c r="Y990">
        <v>-4.8730299999999997E-2</v>
      </c>
      <c r="Z990">
        <v>1.48820299999999E-3</v>
      </c>
      <c r="AA990">
        <v>0.99881089999999995</v>
      </c>
      <c r="AB990">
        <v>36</v>
      </c>
      <c r="AC990">
        <v>16.6554</v>
      </c>
      <c r="AD990">
        <v>-1.121213602276</v>
      </c>
      <c r="AE990">
        <v>0.97260000000000002</v>
      </c>
      <c r="AF990">
        <v>-0.82068764396274896</v>
      </c>
      <c r="AG990">
        <v>-1.121213602276</v>
      </c>
      <c r="AH990">
        <v>16.5884737886716</v>
      </c>
      <c r="AI990">
        <v>93.862026832957895</v>
      </c>
      <c r="AJ990">
        <v>92.832305809825598</v>
      </c>
      <c r="AK990">
        <v>16.6465645341111</v>
      </c>
      <c r="AL990">
        <v>78.114578877615699</v>
      </c>
      <c r="AM990">
        <v>84.1007894734677</v>
      </c>
      <c r="AN990">
        <v>1.0000000112424099</v>
      </c>
    </row>
    <row r="991" spans="1:40" x14ac:dyDescent="0.25">
      <c r="A991" t="str">
        <f>"20190303162759619"</f>
        <v>20190303162759619</v>
      </c>
      <c r="B991" t="str">
        <f>"1551601679612300"</f>
        <v>1551601679612300</v>
      </c>
      <c r="C991" t="s">
        <v>40</v>
      </c>
      <c r="D991">
        <v>5.1758689999999996</v>
      </c>
      <c r="E991">
        <v>0.44356010000000001</v>
      </c>
      <c r="F991" t="s">
        <v>41</v>
      </c>
      <c r="G991">
        <v>-240.22499999999999</v>
      </c>
      <c r="H991" s="1">
        <v>-4.6827220000000003E-6</v>
      </c>
      <c r="I991">
        <v>369.94240000000002</v>
      </c>
      <c r="J991">
        <v>-256.67959999999999</v>
      </c>
      <c r="K991">
        <v>1.121208</v>
      </c>
      <c r="L991">
        <v>368.96850000000001</v>
      </c>
      <c r="M991">
        <v>0.99986540000000002</v>
      </c>
      <c r="N991">
        <v>-1.3834600000000001E-2</v>
      </c>
      <c r="O991">
        <v>8.8202390000000006E-3</v>
      </c>
      <c r="P991">
        <v>0.97705600000000004</v>
      </c>
      <c r="Q991">
        <v>0.19234399999999999</v>
      </c>
      <c r="R991">
        <v>-9.1463359999999994E-2</v>
      </c>
      <c r="S991">
        <v>3.1288149999999999</v>
      </c>
      <c r="T991">
        <v>-0.20839299999999999</v>
      </c>
      <c r="U991">
        <v>0.18164060000000001</v>
      </c>
      <c r="V991">
        <v>0.100119</v>
      </c>
      <c r="W991">
        <v>0.20581099999999999</v>
      </c>
      <c r="X991">
        <v>0.97345669999999995</v>
      </c>
      <c r="Y991">
        <v>-4.9029410000000002E-2</v>
      </c>
      <c r="Z991">
        <v>1.5050679999999901E-3</v>
      </c>
      <c r="AA991">
        <v>0.99879620000000002</v>
      </c>
      <c r="AB991">
        <v>36</v>
      </c>
      <c r="AC991">
        <v>16.454599999999999</v>
      </c>
      <c r="AD991">
        <v>-1.1212126827219999</v>
      </c>
      <c r="AE991">
        <v>0.97390000000001398</v>
      </c>
      <c r="AF991">
        <v>-0.82489805911449499</v>
      </c>
      <c r="AG991">
        <v>-1.1212126827219999</v>
      </c>
      <c r="AH991">
        <v>16.3867321986326</v>
      </c>
      <c r="AI991">
        <v>93.909255553596793</v>
      </c>
      <c r="AJ991">
        <v>92.881801865881201</v>
      </c>
      <c r="AK991">
        <v>16.4457461623828</v>
      </c>
      <c r="AL991">
        <v>78.123021239886796</v>
      </c>
      <c r="AM991">
        <v>84.127836190084096</v>
      </c>
      <c r="AN991">
        <v>0.99999996432844396</v>
      </c>
    </row>
    <row r="992" spans="1:40" x14ac:dyDescent="0.25">
      <c r="A992" t="str">
        <f>"20190303162759629"</f>
        <v>20190303162759629</v>
      </c>
      <c r="B992" t="str">
        <f>"1551601679622060"</f>
        <v>1551601679622060</v>
      </c>
      <c r="C992" t="s">
        <v>40</v>
      </c>
      <c r="D992">
        <v>5.085788</v>
      </c>
      <c r="E992">
        <v>0.44356580000000001</v>
      </c>
      <c r="F992" t="s">
        <v>41</v>
      </c>
      <c r="G992">
        <v>-239.7688</v>
      </c>
      <c r="H992" s="1">
        <v>-1.715135E-7</v>
      </c>
      <c r="I992">
        <v>369.95460000000003</v>
      </c>
      <c r="J992">
        <v>-256.50409999999999</v>
      </c>
      <c r="K992">
        <v>1.1212059999999999</v>
      </c>
      <c r="L992">
        <v>368.97</v>
      </c>
      <c r="M992">
        <v>0.99986569999999997</v>
      </c>
      <c r="N992">
        <v>-1.383612E-2</v>
      </c>
      <c r="O992">
        <v>8.7837809999999992E-3</v>
      </c>
      <c r="P992">
        <v>0.97710109999999994</v>
      </c>
      <c r="Q992">
        <v>0.19237409999999999</v>
      </c>
      <c r="R992">
        <v>-9.0917510000000007E-2</v>
      </c>
      <c r="S992">
        <v>3.1283569999999998</v>
      </c>
      <c r="T992">
        <v>-0.2074125</v>
      </c>
      <c r="U992">
        <v>0.18243409999999999</v>
      </c>
      <c r="V992">
        <v>9.9538740000000001E-2</v>
      </c>
      <c r="W992">
        <v>0.20584369999999999</v>
      </c>
      <c r="X992">
        <v>0.97350930000000002</v>
      </c>
      <c r="Y992">
        <v>-4.9326870000000002E-2</v>
      </c>
      <c r="Z992">
        <v>1.514175E-3</v>
      </c>
      <c r="AA992">
        <v>0.99878160000000005</v>
      </c>
      <c r="AB992">
        <v>36</v>
      </c>
      <c r="AC992">
        <v>16.735299999999899</v>
      </c>
      <c r="AD992">
        <v>-1.1212061715135</v>
      </c>
      <c r="AE992">
        <v>0.98460000000000003</v>
      </c>
      <c r="AF992">
        <v>-0.83381901657187696</v>
      </c>
      <c r="AG992">
        <v>-1.1212061715135</v>
      </c>
      <c r="AH992">
        <v>16.6687435558004</v>
      </c>
      <c r="AI992">
        <v>93.843354891633496</v>
      </c>
      <c r="AJ992">
        <v>92.863714453028706</v>
      </c>
      <c r="AK992">
        <v>16.7272044634026</v>
      </c>
      <c r="AL992">
        <v>78.121106782943599</v>
      </c>
      <c r="AM992">
        <v>84.161947008477796</v>
      </c>
      <c r="AN992">
        <v>0.99999997338848301</v>
      </c>
    </row>
    <row r="993" spans="1:40" x14ac:dyDescent="0.25">
      <c r="A993" t="str">
        <f>"20190303162759643"</f>
        <v>20190303162759643</v>
      </c>
      <c r="B993" t="str">
        <f>"1551601679632796"</f>
        <v>1551601679632796</v>
      </c>
      <c r="C993" t="s">
        <v>40</v>
      </c>
      <c r="D993">
        <v>5.0837560000000002</v>
      </c>
      <c r="E993">
        <v>0.44345069999999998</v>
      </c>
      <c r="F993" t="s">
        <v>41</v>
      </c>
      <c r="G993">
        <v>-239.49709999999999</v>
      </c>
      <c r="H993" s="1">
        <v>-2.9313189999999999E-7</v>
      </c>
      <c r="I993">
        <v>369.97359999999998</v>
      </c>
      <c r="J993">
        <v>-256.28949999999998</v>
      </c>
      <c r="K993">
        <v>1.121205</v>
      </c>
      <c r="L993">
        <v>368.97179999999997</v>
      </c>
      <c r="M993">
        <v>0.99986609999999998</v>
      </c>
      <c r="N993">
        <v>-1.3837800000000001E-2</v>
      </c>
      <c r="O993">
        <v>8.7386169999999902E-3</v>
      </c>
      <c r="P993">
        <v>0.97711519999999996</v>
      </c>
      <c r="Q993">
        <v>0.19254389999999999</v>
      </c>
      <c r="R993">
        <v>-9.0405520000000003E-2</v>
      </c>
      <c r="S993">
        <v>3.1280519999999998</v>
      </c>
      <c r="T993">
        <v>-0.20621900000000001</v>
      </c>
      <c r="U993">
        <v>0.18460080000000001</v>
      </c>
      <c r="V993">
        <v>9.8983740000000001E-2</v>
      </c>
      <c r="W993">
        <v>0.2060149</v>
      </c>
      <c r="X993">
        <v>0.97352969999999905</v>
      </c>
      <c r="Y993">
        <v>-5.0066270000000003E-2</v>
      </c>
      <c r="Z993">
        <v>1.5400800000000001E-3</v>
      </c>
      <c r="AA993">
        <v>0.99874470000000004</v>
      </c>
      <c r="AB993">
        <v>36</v>
      </c>
      <c r="AC993">
        <v>16.792399999999901</v>
      </c>
      <c r="AD993">
        <v>-1.1212052931318901</v>
      </c>
      <c r="AE993">
        <v>1.0018</v>
      </c>
      <c r="AF993">
        <v>-0.85122400337817195</v>
      </c>
      <c r="AG993">
        <v>-1.1212052931318901</v>
      </c>
      <c r="AH993">
        <v>16.726212076443201</v>
      </c>
      <c r="AI993">
        <v>93.830019177185605</v>
      </c>
      <c r="AJ993">
        <v>92.913361525262104</v>
      </c>
      <c r="AK993">
        <v>16.785346408085399</v>
      </c>
      <c r="AL993">
        <v>78.111083202511594</v>
      </c>
      <c r="AM993">
        <v>84.194396200121005</v>
      </c>
      <c r="AN993">
        <v>0.99999999829424302</v>
      </c>
    </row>
    <row r="994" spans="1:40" x14ac:dyDescent="0.25">
      <c r="A994" t="str">
        <f>"20190303162759658"</f>
        <v>20190303162759658</v>
      </c>
      <c r="B994" t="str">
        <f>"1551601679652316"</f>
        <v>1551601679652316</v>
      </c>
      <c r="C994" t="s">
        <v>40</v>
      </c>
      <c r="D994">
        <v>4.9937449999999997</v>
      </c>
      <c r="E994">
        <v>0.44357029999999997</v>
      </c>
      <c r="F994" t="s">
        <v>41</v>
      </c>
      <c r="G994">
        <v>-239.18729999999999</v>
      </c>
      <c r="H994" s="1">
        <v>-4.3157500000000002E-7</v>
      </c>
      <c r="I994">
        <v>369.99439999999998</v>
      </c>
      <c r="J994">
        <v>-256.06479999999999</v>
      </c>
      <c r="K994">
        <v>1.1212040000000001</v>
      </c>
      <c r="L994">
        <v>368.97370000000001</v>
      </c>
      <c r="M994">
        <v>0.99986649999999999</v>
      </c>
      <c r="N994">
        <v>-1.383914E-2</v>
      </c>
      <c r="O994">
        <v>8.6893490000000007E-3</v>
      </c>
      <c r="P994">
        <v>0.97714409999999896</v>
      </c>
      <c r="Q994">
        <v>0.19264629999999999</v>
      </c>
      <c r="R994">
        <v>-8.9871619999999999E-2</v>
      </c>
      <c r="S994">
        <v>3.1279750000000002</v>
      </c>
      <c r="T994">
        <v>-0.20506579999999999</v>
      </c>
      <c r="U994">
        <v>0.18704219999999999</v>
      </c>
      <c r="V994">
        <v>9.8403160000000003E-2</v>
      </c>
      <c r="W994">
        <v>0.20611850000000001</v>
      </c>
      <c r="X994">
        <v>0.97356670000000001</v>
      </c>
      <c r="Y994">
        <v>-5.0892640000000003E-2</v>
      </c>
      <c r="Z994">
        <v>1.5694540000000001E-3</v>
      </c>
      <c r="AA994">
        <v>0.99870289999999995</v>
      </c>
      <c r="AB994">
        <v>36</v>
      </c>
      <c r="AC994">
        <v>16.877499999999898</v>
      </c>
      <c r="AD994">
        <v>-1.121204431575</v>
      </c>
      <c r="AE994">
        <v>1.02069999999997</v>
      </c>
      <c r="AF994">
        <v>-0.870166704371232</v>
      </c>
      <c r="AG994">
        <v>-1.121204431575</v>
      </c>
      <c r="AH994">
        <v>16.811809302813501</v>
      </c>
      <c r="AI994">
        <v>93.810404593189801</v>
      </c>
      <c r="AJ994">
        <v>92.962942752543896</v>
      </c>
      <c r="AK994">
        <v>16.8716099262918</v>
      </c>
      <c r="AL994">
        <v>78.105018019287698</v>
      </c>
      <c r="AM994">
        <v>84.228435731834907</v>
      </c>
      <c r="AN994">
        <v>1.00000006864456</v>
      </c>
    </row>
    <row r="995" spans="1:40" x14ac:dyDescent="0.25">
      <c r="A995" t="str">
        <f>"20190303162759672"</f>
        <v>20190303162759672</v>
      </c>
      <c r="B995" t="str">
        <f>"1551601679663053"</f>
        <v>1551601679663053</v>
      </c>
      <c r="C995" t="s">
        <v>40</v>
      </c>
      <c r="D995">
        <v>4.9695549999999997</v>
      </c>
      <c r="E995">
        <v>0.44359939999999998</v>
      </c>
      <c r="F995" t="s">
        <v>41</v>
      </c>
      <c r="G995">
        <v>-238.8272</v>
      </c>
      <c r="H995" s="1">
        <v>-5.9020600000000004E-7</v>
      </c>
      <c r="I995">
        <v>370.01010000000002</v>
      </c>
      <c r="J995">
        <v>-255.81399999999999</v>
      </c>
      <c r="K995">
        <v>1.121202</v>
      </c>
      <c r="L995">
        <v>368.97590000000002</v>
      </c>
      <c r="M995">
        <v>0.99986699999999995</v>
      </c>
      <c r="N995">
        <v>-1.3840369999999999E-2</v>
      </c>
      <c r="O995">
        <v>8.6332790000000006E-3</v>
      </c>
      <c r="P995">
        <v>0.97718490000000002</v>
      </c>
      <c r="Q995">
        <v>0.192714</v>
      </c>
      <c r="R995">
        <v>-8.9281020000000003E-2</v>
      </c>
      <c r="S995">
        <v>3.1275789999999999</v>
      </c>
      <c r="T995">
        <v>-0.20343030000000001</v>
      </c>
      <c r="U995">
        <v>0.1880493</v>
      </c>
      <c r="V995">
        <v>9.7759100000000002E-2</v>
      </c>
      <c r="W995">
        <v>0.20618800000000001</v>
      </c>
      <c r="X995">
        <v>0.97361679999999995</v>
      </c>
      <c r="Y995">
        <v>-5.1277219999999998E-2</v>
      </c>
      <c r="Z995">
        <v>1.5789090000000001E-3</v>
      </c>
      <c r="AA995">
        <v>0.99868319999999999</v>
      </c>
      <c r="AB995">
        <v>36</v>
      </c>
      <c r="AC995">
        <v>16.986799999999999</v>
      </c>
      <c r="AD995">
        <v>-1.1212025902060001</v>
      </c>
      <c r="AE995">
        <v>1.03419999999999</v>
      </c>
      <c r="AF995">
        <v>-0.88366011361829999</v>
      </c>
      <c r="AG995">
        <v>-1.1212025902060001</v>
      </c>
      <c r="AH995">
        <v>16.921648063127499</v>
      </c>
      <c r="AI995">
        <v>93.785646827349396</v>
      </c>
      <c r="AJ995">
        <v>92.989309748719805</v>
      </c>
      <c r="AK995">
        <v>16.981758554903301</v>
      </c>
      <c r="AL995">
        <v>78.1009477583235</v>
      </c>
      <c r="AM995">
        <v>84.266251832751905</v>
      </c>
      <c r="AN995">
        <v>1.00000000310952</v>
      </c>
    </row>
    <row r="996" spans="1:40" x14ac:dyDescent="0.25">
      <c r="A996" t="str">
        <f>"20190303162759686"</f>
        <v>20190303162759686</v>
      </c>
      <c r="B996" t="str">
        <f>"1551601679672813"</f>
        <v>1551601679672813</v>
      </c>
      <c r="C996" t="s">
        <v>40</v>
      </c>
      <c r="D996">
        <v>4.9511799999999999</v>
      </c>
      <c r="E996">
        <v>0.44364199999999998</v>
      </c>
      <c r="F996" t="s">
        <v>41</v>
      </c>
      <c r="G996">
        <v>-238.46979999999999</v>
      </c>
      <c r="H996" s="1">
        <v>-7.4827640000000004E-7</v>
      </c>
      <c r="I996">
        <v>370.02789999999999</v>
      </c>
      <c r="J996">
        <v>-255.59809999999999</v>
      </c>
      <c r="K996">
        <v>1.121197</v>
      </c>
      <c r="L996">
        <v>368.97770000000003</v>
      </c>
      <c r="M996">
        <v>0.99986750000000002</v>
      </c>
      <c r="N996">
        <v>-1.384122E-2</v>
      </c>
      <c r="O996">
        <v>8.5837109999999904E-3</v>
      </c>
      <c r="P996">
        <v>0.97732589999999997</v>
      </c>
      <c r="Q996">
        <v>0.19251969999999999</v>
      </c>
      <c r="R996">
        <v>-8.8151980000000005E-2</v>
      </c>
      <c r="S996">
        <v>3.1272579999999999</v>
      </c>
      <c r="T996">
        <v>-0.20215810000000001</v>
      </c>
      <c r="U996">
        <v>0.18969730000000001</v>
      </c>
      <c r="V996">
        <v>9.6583950000000002E-2</v>
      </c>
      <c r="W996">
        <v>0.20599629999999999</v>
      </c>
      <c r="X996">
        <v>0.97377469999999999</v>
      </c>
      <c r="Y996">
        <v>-5.1856970000000002E-2</v>
      </c>
      <c r="Z996">
        <v>1.59738E-3</v>
      </c>
      <c r="AA996">
        <v>0.99865320000000002</v>
      </c>
      <c r="AB996">
        <v>36</v>
      </c>
      <c r="AC996">
        <v>17.1282999999999</v>
      </c>
      <c r="AD996">
        <v>-1.1211977482764</v>
      </c>
      <c r="AE996">
        <v>1.0501999999999601</v>
      </c>
      <c r="AF996">
        <v>-0.89928399243547896</v>
      </c>
      <c r="AG996">
        <v>-1.1211977482764</v>
      </c>
      <c r="AH996">
        <v>17.063842124496901</v>
      </c>
      <c r="AI996">
        <v>93.754081126338605</v>
      </c>
      <c r="AJ996">
        <v>93.0167622344633</v>
      </c>
      <c r="AK996">
        <v>17.124266528512901</v>
      </c>
      <c r="AL996">
        <v>78.112172895399695</v>
      </c>
      <c r="AM996">
        <v>84.335638108248901</v>
      </c>
      <c r="AN996">
        <v>1.0000000506856801</v>
      </c>
    </row>
    <row r="997" spans="1:40" x14ac:dyDescent="0.25">
      <c r="A997" t="str">
        <f>"20190303162759699"</f>
        <v>20190303162759699</v>
      </c>
      <c r="B997" t="str">
        <f>"1551601679692840"</f>
        <v>1551601679692840</v>
      </c>
      <c r="C997" t="s">
        <v>40</v>
      </c>
      <c r="D997">
        <v>4.7979269999999996</v>
      </c>
      <c r="E997">
        <v>0.44378919999999999</v>
      </c>
      <c r="F997" t="s">
        <v>41</v>
      </c>
      <c r="G997">
        <v>-238.24440000000001</v>
      </c>
      <c r="H997" s="1">
        <v>-8.5069260000000001E-7</v>
      </c>
      <c r="I997">
        <v>370.04939999999999</v>
      </c>
      <c r="J997">
        <v>-255.36279999999999</v>
      </c>
      <c r="K997">
        <v>1.121197</v>
      </c>
      <c r="L997">
        <v>368.97969999999998</v>
      </c>
      <c r="M997">
        <v>0.99986790000000003</v>
      </c>
      <c r="N997">
        <v>-1.3841869999999999E-2</v>
      </c>
      <c r="O997">
        <v>8.5284719999999901E-3</v>
      </c>
      <c r="P997">
        <v>0.97738910000000001</v>
      </c>
      <c r="Q997">
        <v>0.19238730000000001</v>
      </c>
      <c r="R997">
        <v>-8.7736980000000006E-2</v>
      </c>
      <c r="S997">
        <v>3.1268310000000001</v>
      </c>
      <c r="T997">
        <v>-0.202019</v>
      </c>
      <c r="U997">
        <v>0.19311519999999999</v>
      </c>
      <c r="V997">
        <v>9.6116759999999996E-2</v>
      </c>
      <c r="W997">
        <v>0.2058651</v>
      </c>
      <c r="X997">
        <v>0.97384859999999895</v>
      </c>
      <c r="Y997">
        <v>-5.3005070000000001E-2</v>
      </c>
      <c r="Z997">
        <v>1.6445330000000001E-3</v>
      </c>
      <c r="AA997">
        <v>0.99859290000000001</v>
      </c>
      <c r="AB997">
        <v>36</v>
      </c>
      <c r="AC997">
        <v>17.118399999999902</v>
      </c>
      <c r="AD997">
        <v>-1.1211978506925999</v>
      </c>
      <c r="AE997">
        <v>1.0697000000000101</v>
      </c>
      <c r="AF997">
        <v>-0.91972322468591505</v>
      </c>
      <c r="AG997">
        <v>-1.1211978506925999</v>
      </c>
      <c r="AH997">
        <v>17.054027099562798</v>
      </c>
      <c r="AI997">
        <v>93.7559911692627</v>
      </c>
      <c r="AJ997">
        <v>93.086969414897396</v>
      </c>
      <c r="AK997">
        <v>17.115572317134099</v>
      </c>
      <c r="AL997">
        <v>78.119853937922301</v>
      </c>
      <c r="AM997">
        <v>84.363285533054395</v>
      </c>
      <c r="AN997">
        <v>0.99999998333643303</v>
      </c>
    </row>
    <row r="998" spans="1:40" x14ac:dyDescent="0.25">
      <c r="A998" t="str">
        <f>"20190303162759719"</f>
        <v>20190303162759719</v>
      </c>
      <c r="B998" t="str">
        <f>"1551601679712359"</f>
        <v>1551601679712359</v>
      </c>
      <c r="C998" t="s">
        <v>40</v>
      </c>
      <c r="D998">
        <v>4.848954</v>
      </c>
      <c r="E998">
        <v>0.44380360000000002</v>
      </c>
      <c r="F998" t="s">
        <v>41</v>
      </c>
      <c r="G998">
        <v>-237.85210000000001</v>
      </c>
      <c r="H998" s="1">
        <v>-1.022225E-6</v>
      </c>
      <c r="I998">
        <v>370.06150000000002</v>
      </c>
      <c r="J998">
        <v>-255.0659</v>
      </c>
      <c r="K998">
        <v>1.1211990000000001</v>
      </c>
      <c r="L998">
        <v>368.9821</v>
      </c>
      <c r="M998">
        <v>0.9998686</v>
      </c>
      <c r="N998">
        <v>-1.384236E-2</v>
      </c>
      <c r="O998">
        <v>8.4552140000000008E-3</v>
      </c>
      <c r="P998">
        <v>0.97735000000000005</v>
      </c>
      <c r="Q998">
        <v>0.19286249999999999</v>
      </c>
      <c r="R998">
        <v>-8.7126899999999993E-2</v>
      </c>
      <c r="S998">
        <v>3.12616</v>
      </c>
      <c r="T998">
        <v>-0.20016439999999999</v>
      </c>
      <c r="U998">
        <v>0.19314580000000001</v>
      </c>
      <c r="V998">
        <v>9.5436859999999998E-2</v>
      </c>
      <c r="W998">
        <v>0.20633969999999999</v>
      </c>
      <c r="X998">
        <v>0.97381499999999999</v>
      </c>
      <c r="Y998">
        <v>-5.3102740000000002E-2</v>
      </c>
      <c r="Z998">
        <v>1.641638E-3</v>
      </c>
      <c r="AA998">
        <v>0.99858769999999997</v>
      </c>
      <c r="AB998">
        <v>36</v>
      </c>
      <c r="AC998">
        <v>17.2137999999999</v>
      </c>
      <c r="AD998">
        <v>-1.121200022225</v>
      </c>
      <c r="AE998">
        <v>1.0794000000000199</v>
      </c>
      <c r="AF998">
        <v>-0.92987167588089303</v>
      </c>
      <c r="AG998">
        <v>-1.121200022225</v>
      </c>
      <c r="AH998">
        <v>17.149840284156902</v>
      </c>
      <c r="AI998">
        <v>93.735015549210701</v>
      </c>
      <c r="AJ998">
        <v>93.103562712299805</v>
      </c>
      <c r="AK998">
        <v>17.2115883228578</v>
      </c>
      <c r="AL998">
        <v>78.092064457649897</v>
      </c>
      <c r="AM998">
        <v>84.402711927087594</v>
      </c>
      <c r="AN998">
        <v>0.99999996013387404</v>
      </c>
    </row>
    <row r="999" spans="1:40" x14ac:dyDescent="0.25">
      <c r="A999" t="str">
        <f>"20190303162759735"</f>
        <v>20190303162759735</v>
      </c>
      <c r="B999" t="str">
        <f>"1551601679722120"</f>
        <v>1551601679722120</v>
      </c>
      <c r="C999" t="s">
        <v>40</v>
      </c>
      <c r="D999">
        <v>4.8327410000000004</v>
      </c>
      <c r="E999">
        <v>0.40931699999999999</v>
      </c>
      <c r="F999" t="s">
        <v>41</v>
      </c>
      <c r="G999">
        <v>-237.42320000000001</v>
      </c>
      <c r="H999" s="1">
        <v>-1.2108680000000001E-6</v>
      </c>
      <c r="I999">
        <v>370.07909999999998</v>
      </c>
      <c r="J999">
        <v>-254.8107</v>
      </c>
      <c r="K999">
        <v>1.121197</v>
      </c>
      <c r="L999">
        <v>368.98430000000002</v>
      </c>
      <c r="M999">
        <v>0.99986909999999896</v>
      </c>
      <c r="N999">
        <v>-1.3842520000000001E-2</v>
      </c>
      <c r="O999">
        <v>8.3893500000000003E-3</v>
      </c>
      <c r="P999">
        <v>0.97731630000000003</v>
      </c>
      <c r="Q999">
        <v>0.1930627</v>
      </c>
      <c r="R999">
        <v>-8.7064580000000003E-2</v>
      </c>
      <c r="S999">
        <v>3.1260829999999999</v>
      </c>
      <c r="T999">
        <v>-0.19866230000000001</v>
      </c>
      <c r="U999">
        <v>0.1943665</v>
      </c>
      <c r="V999">
        <v>9.5311549999999995E-2</v>
      </c>
      <c r="W999">
        <v>0.2065389</v>
      </c>
      <c r="X999">
        <v>0.97378509999999996</v>
      </c>
      <c r="Y999">
        <v>-5.3558849999999998E-2</v>
      </c>
      <c r="Z999">
        <v>1.653891E-3</v>
      </c>
      <c r="AA999">
        <v>0.99856330000000004</v>
      </c>
      <c r="AB999">
        <v>36</v>
      </c>
      <c r="AC999">
        <v>17.3874999999999</v>
      </c>
      <c r="AD999">
        <v>-1.1211982108679901</v>
      </c>
      <c r="AE999">
        <v>1.09479999999996</v>
      </c>
      <c r="AF999">
        <v>-0.94496398168042295</v>
      </c>
      <c r="AG999">
        <v>-1.1211982108679901</v>
      </c>
      <c r="AH999">
        <v>17.324322465175701</v>
      </c>
      <c r="AI999">
        <v>93.697432213840798</v>
      </c>
      <c r="AJ999">
        <v>93.122133555522694</v>
      </c>
      <c r="AK999">
        <v>17.386264441567601</v>
      </c>
      <c r="AL999">
        <v>78.080400538013905</v>
      </c>
      <c r="AM999">
        <v>84.4098441169387</v>
      </c>
      <c r="AN999">
        <v>1.00000001487931</v>
      </c>
    </row>
    <row r="1000" spans="1:40" x14ac:dyDescent="0.25">
      <c r="A1000" t="str">
        <f>"20190303162759752"</f>
        <v>20190303162759752</v>
      </c>
      <c r="B1000" t="str">
        <f>"1551601679742616"</f>
        <v>1551601679742616</v>
      </c>
      <c r="C1000" t="s">
        <v>40</v>
      </c>
      <c r="D1000">
        <v>4.708609</v>
      </c>
      <c r="E1000">
        <v>0.36497439999999998</v>
      </c>
      <c r="F1000" t="s">
        <v>41</v>
      </c>
      <c r="G1000">
        <v>-232.70310000000001</v>
      </c>
      <c r="H1000" s="1">
        <v>-3.8206840000000001E-6</v>
      </c>
      <c r="I1000">
        <v>372.27730000000003</v>
      </c>
      <c r="J1000">
        <v>-254.5317</v>
      </c>
      <c r="K1000">
        <v>1.1211960000000001</v>
      </c>
      <c r="L1000">
        <v>368.98649999999998</v>
      </c>
      <c r="M1000">
        <v>0.99986960000000003</v>
      </c>
      <c r="N1000">
        <v>-1.3842510000000001E-2</v>
      </c>
      <c r="O1000">
        <v>8.3135199999999996E-3</v>
      </c>
      <c r="P1000">
        <v>0.97724319999999998</v>
      </c>
      <c r="Q1000">
        <v>0.19332589999999999</v>
      </c>
      <c r="R1000">
        <v>-8.7298529999999999E-2</v>
      </c>
      <c r="S1000">
        <v>3.142792</v>
      </c>
      <c r="T1000">
        <v>-0.15938769999999999</v>
      </c>
      <c r="U1000">
        <v>0.46813959999999999</v>
      </c>
      <c r="V1000">
        <v>9.5473440000000007E-2</v>
      </c>
      <c r="W1000">
        <v>0.2067997</v>
      </c>
      <c r="X1000">
        <v>0.97371390000000002</v>
      </c>
      <c r="Y1000">
        <v>-0.1388848</v>
      </c>
      <c r="Z1000">
        <v>4.1630529999999999E-3</v>
      </c>
      <c r="AA1000">
        <v>0.99029979999999995</v>
      </c>
      <c r="AB1000">
        <v>36</v>
      </c>
      <c r="AC1000">
        <v>21.828599999999899</v>
      </c>
      <c r="AD1000">
        <v>-1.1211998206839999</v>
      </c>
      <c r="AE1000">
        <v>3.2908000000000399</v>
      </c>
      <c r="AF1000">
        <v>-3.1011964756664598</v>
      </c>
      <c r="AG1000">
        <v>-1.1211998206839999</v>
      </c>
      <c r="AH1000">
        <v>21.798973370217102</v>
      </c>
      <c r="AI1000">
        <v>92.915034714776098</v>
      </c>
      <c r="AJ1000">
        <v>98.096762055658502</v>
      </c>
      <c r="AK1000">
        <v>22.0469895589857</v>
      </c>
      <c r="AL1000">
        <v>78.065128218603107</v>
      </c>
      <c r="AM1000">
        <v>84.400002485315198</v>
      </c>
      <c r="AN1000">
        <v>1.00000002635936</v>
      </c>
    </row>
    <row r="1001" spans="1:40" x14ac:dyDescent="0.25">
      <c r="A1001" t="str">
        <f>"20190303162759773"</f>
        <v>20190303162759773</v>
      </c>
      <c r="B1001" t="str">
        <f>"1551601679762136"</f>
        <v>1551601679762136</v>
      </c>
      <c r="C1001" t="s">
        <v>40</v>
      </c>
      <c r="D1001">
        <v>4.6302029999999998</v>
      </c>
      <c r="E1001">
        <v>0.36435450000000003</v>
      </c>
      <c r="F1001" t="s">
        <v>41</v>
      </c>
      <c r="G1001">
        <v>-239.6534</v>
      </c>
      <c r="H1001" s="1">
        <v>-9.8123219999999994E-7</v>
      </c>
      <c r="I1001">
        <v>372.81169999999997</v>
      </c>
      <c r="J1001">
        <v>-254.1824</v>
      </c>
      <c r="K1001">
        <v>1.121192</v>
      </c>
      <c r="L1001">
        <v>368.98930000000001</v>
      </c>
      <c r="M1001">
        <v>0.9998705</v>
      </c>
      <c r="N1001">
        <v>-1.3842200000000001E-2</v>
      </c>
      <c r="O1001">
        <v>8.2111890000000007E-3</v>
      </c>
      <c r="P1001">
        <v>0.97720249999999997</v>
      </c>
      <c r="Q1001">
        <v>0.19322439999999999</v>
      </c>
      <c r="R1001">
        <v>-8.7974819999999995E-2</v>
      </c>
      <c r="S1001">
        <v>3.1907199999999998</v>
      </c>
      <c r="T1001">
        <v>-0.24044360000000001</v>
      </c>
      <c r="U1001">
        <v>0.82034300000000004</v>
      </c>
      <c r="V1001">
        <v>9.6052700000000005E-2</v>
      </c>
      <c r="W1001">
        <v>0.20669609999999999</v>
      </c>
      <c r="X1001">
        <v>0.97367890000000001</v>
      </c>
      <c r="Y1001">
        <v>-0.2402948</v>
      </c>
      <c r="Z1001">
        <v>1.0093380000000001E-2</v>
      </c>
      <c r="AA1001">
        <v>0.9706475</v>
      </c>
      <c r="AB1001">
        <v>36</v>
      </c>
      <c r="AC1001">
        <v>14.5289999999999</v>
      </c>
      <c r="AD1001">
        <v>-1.1211929812321999</v>
      </c>
      <c r="AE1001">
        <v>3.8223999999999498</v>
      </c>
      <c r="AF1001">
        <v>-3.6824495392364498</v>
      </c>
      <c r="AG1001">
        <v>-1.1211929812321999</v>
      </c>
      <c r="AH1001">
        <v>14.479255852781399</v>
      </c>
      <c r="AI1001">
        <v>94.291741630432497</v>
      </c>
      <c r="AJ1001">
        <v>104.26928016084101</v>
      </c>
      <c r="AK1001">
        <v>14.9822013856606</v>
      </c>
      <c r="AL1001">
        <v>78.071194817958002</v>
      </c>
      <c r="AM1001">
        <v>84.366042685204903</v>
      </c>
      <c r="AN1001">
        <v>0.999999999618855</v>
      </c>
    </row>
    <row r="1002" spans="1:40" x14ac:dyDescent="0.25">
      <c r="A1002" t="str">
        <f>"20190303162759787"</f>
        <v>20190303162759787</v>
      </c>
      <c r="B1002" t="str">
        <f>"1551601679782632"</f>
        <v>1551601679782632</v>
      </c>
      <c r="C1002" t="s">
        <v>40</v>
      </c>
      <c r="D1002">
        <v>4.563326</v>
      </c>
      <c r="E1002">
        <v>0.3656568</v>
      </c>
      <c r="F1002" t="s">
        <v>41</v>
      </c>
      <c r="G1002">
        <v>-240.2175</v>
      </c>
      <c r="H1002" s="1">
        <v>-5.1547949999999998E-6</v>
      </c>
      <c r="I1002">
        <v>372.58730000000003</v>
      </c>
      <c r="J1002">
        <v>-253.9693</v>
      </c>
      <c r="K1002">
        <v>1.121189</v>
      </c>
      <c r="L1002">
        <v>368.99099999999999</v>
      </c>
      <c r="M1002">
        <v>0.99987099999999995</v>
      </c>
      <c r="N1002">
        <v>-1.3841829999999999E-2</v>
      </c>
      <c r="O1002">
        <v>8.144297E-3</v>
      </c>
      <c r="P1002">
        <v>0.97713139999999998</v>
      </c>
      <c r="Q1002">
        <v>0.19336490000000001</v>
      </c>
      <c r="R1002">
        <v>-8.8454130000000006E-2</v>
      </c>
      <c r="S1002">
        <v>3.1948240000000001</v>
      </c>
      <c r="T1002">
        <v>-0.25650139999999999</v>
      </c>
      <c r="U1002">
        <v>0.82312009999999902</v>
      </c>
      <c r="V1002">
        <v>9.6468449999999997E-2</v>
      </c>
      <c r="W1002">
        <v>0.2068342</v>
      </c>
      <c r="X1002">
        <v>0.97360849999999999</v>
      </c>
      <c r="Y1002">
        <v>-0.24075679999999999</v>
      </c>
      <c r="Z1002">
        <v>1.065962E-2</v>
      </c>
      <c r="AA1002">
        <v>0.97052689999999997</v>
      </c>
      <c r="AB1002">
        <v>36</v>
      </c>
      <c r="AC1002">
        <v>13.751799999999999</v>
      </c>
      <c r="AD1002">
        <v>-1.121194154795</v>
      </c>
      <c r="AE1002">
        <v>3.5963000000000398</v>
      </c>
      <c r="AF1002">
        <v>-3.4626276150323401</v>
      </c>
      <c r="AG1002">
        <v>-1.121194154795</v>
      </c>
      <c r="AH1002">
        <v>13.695426418096501</v>
      </c>
      <c r="AI1002">
        <v>94.537986989771397</v>
      </c>
      <c r="AJ1002">
        <v>104.18880148650101</v>
      </c>
      <c r="AK1002">
        <v>14.1707999458967</v>
      </c>
      <c r="AL1002">
        <v>78.063107873334701</v>
      </c>
      <c r="AM1002">
        <v>84.341408349050198</v>
      </c>
      <c r="AN1002">
        <v>1.00000002970364</v>
      </c>
    </row>
    <row r="1003" spans="1:40" x14ac:dyDescent="0.25">
      <c r="A1003" t="str">
        <f>"20190303162759799"</f>
        <v>20190303162759799</v>
      </c>
      <c r="B1003" t="str">
        <f>"1551601679792900"</f>
        <v>1551601679792900</v>
      </c>
      <c r="C1003" t="s">
        <v>40</v>
      </c>
      <c r="D1003">
        <v>4.5489129999999998</v>
      </c>
      <c r="E1003">
        <v>0.36585069999999997</v>
      </c>
      <c r="F1003" t="s">
        <v>41</v>
      </c>
      <c r="G1003">
        <v>-240.32929999999999</v>
      </c>
      <c r="H1003" s="1">
        <v>-5.0876469999999996E-6</v>
      </c>
      <c r="I1003">
        <v>372.45100000000002</v>
      </c>
      <c r="J1003">
        <v>-253.76070000000001</v>
      </c>
      <c r="K1003">
        <v>1.121186</v>
      </c>
      <c r="L1003">
        <v>368.99259999999998</v>
      </c>
      <c r="M1003">
        <v>0.99987170000000003</v>
      </c>
      <c r="N1003">
        <v>-1.384138E-2</v>
      </c>
      <c r="O1003">
        <v>8.0740569999999904E-3</v>
      </c>
      <c r="P1003">
        <v>0.97709190000000001</v>
      </c>
      <c r="Q1003">
        <v>0.19329250000000001</v>
      </c>
      <c r="R1003">
        <v>-8.9048169999999996E-2</v>
      </c>
      <c r="S1003">
        <v>3.1956020000000001</v>
      </c>
      <c r="T1003">
        <v>-0.26267580000000001</v>
      </c>
      <c r="U1003">
        <v>0.81060790000000005</v>
      </c>
      <c r="V1003">
        <v>9.6996280000000004E-2</v>
      </c>
      <c r="W1003">
        <v>0.2067591</v>
      </c>
      <c r="X1003">
        <v>0.97357199999999999</v>
      </c>
      <c r="Y1003">
        <v>-0.23717440000000001</v>
      </c>
      <c r="Z1003">
        <v>1.070832E-2</v>
      </c>
      <c r="AA1003">
        <v>0.9714081</v>
      </c>
      <c r="AB1003">
        <v>36</v>
      </c>
      <c r="AC1003">
        <v>13.4314</v>
      </c>
      <c r="AD1003">
        <v>-1.1211910876469999</v>
      </c>
      <c r="AE1003">
        <v>3.4583999999999802</v>
      </c>
      <c r="AF1003">
        <v>-3.32808236027285</v>
      </c>
      <c r="AG1003">
        <v>-1.1211910876469999</v>
      </c>
      <c r="AH1003">
        <v>13.371506901567701</v>
      </c>
      <c r="AI1003">
        <v>94.651731079904494</v>
      </c>
      <c r="AJ1003">
        <v>103.97656432302</v>
      </c>
      <c r="AK1003">
        <v>13.8249918072472</v>
      </c>
      <c r="AL1003">
        <v>78.067505753585905</v>
      </c>
      <c r="AM1003">
        <v>84.310437868810595</v>
      </c>
      <c r="AN1003">
        <v>1.00000002147532</v>
      </c>
    </row>
    <row r="1004" spans="1:40" x14ac:dyDescent="0.25">
      <c r="A1004" t="str">
        <f>"20190303162759812"</f>
        <v>20190303162759812</v>
      </c>
      <c r="B1004" t="str">
        <f>"1551601679802660"</f>
        <v>1551601679802660</v>
      </c>
      <c r="C1004" t="s">
        <v>40</v>
      </c>
      <c r="D1004">
        <v>4.5561939999999996</v>
      </c>
      <c r="E1004">
        <v>0.36635030000000002</v>
      </c>
      <c r="F1004" t="s">
        <v>41</v>
      </c>
      <c r="G1004">
        <v>-240.3107</v>
      </c>
      <c r="H1004" s="1">
        <v>-5.0834520000000001E-6</v>
      </c>
      <c r="I1004">
        <v>372.38690000000003</v>
      </c>
      <c r="J1004">
        <v>-253.5719</v>
      </c>
      <c r="K1004">
        <v>1.1211799999999901</v>
      </c>
      <c r="L1004">
        <v>368.9941</v>
      </c>
      <c r="M1004">
        <v>0.99987230000000005</v>
      </c>
      <c r="N1004">
        <v>-1.384087E-2</v>
      </c>
      <c r="O1004">
        <v>8.006081E-3</v>
      </c>
      <c r="P1004">
        <v>0.97696590000000005</v>
      </c>
      <c r="Q1004">
        <v>0.19367719999999999</v>
      </c>
      <c r="R1004">
        <v>-8.9595190000000005E-2</v>
      </c>
      <c r="S1004">
        <v>3.1965789999999998</v>
      </c>
      <c r="T1004">
        <v>-0.2664666</v>
      </c>
      <c r="U1004">
        <v>0.80670169999999997</v>
      </c>
      <c r="V1004">
        <v>9.7478640000000005E-2</v>
      </c>
      <c r="W1004">
        <v>0.2071402</v>
      </c>
      <c r="X1004">
        <v>0.97344280000000005</v>
      </c>
      <c r="Y1004">
        <v>-0.2360352</v>
      </c>
      <c r="Z1004">
        <v>1.078513E-2</v>
      </c>
      <c r="AA1004">
        <v>0.97168460000000001</v>
      </c>
      <c r="AB1004">
        <v>36</v>
      </c>
      <c r="AC1004">
        <v>13.261200000000001</v>
      </c>
      <c r="AD1004">
        <v>-1.1211850834520001</v>
      </c>
      <c r="AE1004">
        <v>3.3928000000000198</v>
      </c>
      <c r="AF1004">
        <v>-3.2646088081463098</v>
      </c>
      <c r="AG1004">
        <v>-1.1211850834520001</v>
      </c>
      <c r="AH1004">
        <v>13.1993867546493</v>
      </c>
      <c r="AI1004">
        <v>94.713807388131599</v>
      </c>
      <c r="AJ1004">
        <v>103.89219067162099</v>
      </c>
      <c r="AK1004">
        <v>13.643259777648201</v>
      </c>
      <c r="AL1004">
        <v>78.045187107731294</v>
      </c>
      <c r="AM1004">
        <v>84.281576986597997</v>
      </c>
      <c r="AN1004">
        <v>1.0000000162920599</v>
      </c>
    </row>
    <row r="1005" spans="1:40" x14ac:dyDescent="0.25">
      <c r="A1005" t="str">
        <f>"20190303162759827"</f>
        <v>20190303162759827</v>
      </c>
      <c r="B1005" t="str">
        <f>"1551601679822179"</f>
        <v>1551601679822179</v>
      </c>
      <c r="C1005" t="s">
        <v>40</v>
      </c>
      <c r="D1005">
        <v>4.4829059999999998</v>
      </c>
      <c r="E1005">
        <v>0.36687389999999998</v>
      </c>
      <c r="F1005" t="s">
        <v>41</v>
      </c>
      <c r="G1005">
        <v>-240.16820000000001</v>
      </c>
      <c r="H1005" s="1">
        <v>-5.1321810000000003E-6</v>
      </c>
      <c r="I1005">
        <v>372.35320000000002</v>
      </c>
      <c r="J1005">
        <v>-253.33029999999999</v>
      </c>
      <c r="K1005">
        <v>1.1211739999999999</v>
      </c>
      <c r="L1005">
        <v>368.99599999999998</v>
      </c>
      <c r="M1005">
        <v>0.99987300000000001</v>
      </c>
      <c r="N1005">
        <v>-1.3840150000000001E-2</v>
      </c>
      <c r="O1005">
        <v>7.9142859999999995E-3</v>
      </c>
      <c r="P1005">
        <v>0.97690670000000002</v>
      </c>
      <c r="Q1005">
        <v>0.19372919999999999</v>
      </c>
      <c r="R1005">
        <v>-9.0124629999999997E-2</v>
      </c>
      <c r="S1005">
        <v>3.1972499999999999</v>
      </c>
      <c r="T1005">
        <v>-0.26744190000000001</v>
      </c>
      <c r="U1005">
        <v>0.80126949999999997</v>
      </c>
      <c r="V1005">
        <v>9.7922090000000003E-2</v>
      </c>
      <c r="W1005">
        <v>0.20718919999999999</v>
      </c>
      <c r="X1005">
        <v>0.97338780000000003</v>
      </c>
      <c r="Y1005">
        <v>-0.2345227</v>
      </c>
      <c r="Z1005">
        <v>1.075108E-2</v>
      </c>
      <c r="AA1005">
        <v>0.9720512</v>
      </c>
      <c r="AB1005">
        <v>36</v>
      </c>
      <c r="AC1005">
        <v>13.162099999999899</v>
      </c>
      <c r="AD1005">
        <v>-1.1211791321809901</v>
      </c>
      <c r="AE1005">
        <v>3.3572000000000299</v>
      </c>
      <c r="AF1005">
        <v>-3.2309047113421099</v>
      </c>
      <c r="AG1005">
        <v>-1.1211791321809901</v>
      </c>
      <c r="AH1005">
        <v>13.099018981112399</v>
      </c>
      <c r="AI1005">
        <v>94.750482171256294</v>
      </c>
      <c r="AJ1005">
        <v>103.855581960081</v>
      </c>
      <c r="AK1005">
        <v>13.5380975830341</v>
      </c>
      <c r="AL1005">
        <v>78.042316611671097</v>
      </c>
      <c r="AM1005">
        <v>84.255413904018098</v>
      </c>
      <c r="AN1005">
        <v>0.99999995474772296</v>
      </c>
    </row>
    <row r="1006" spans="1:40" x14ac:dyDescent="0.25">
      <c r="A1006" t="str">
        <f>"20190303162759839"</f>
        <v>20190303162759839</v>
      </c>
      <c r="B1006" t="str">
        <f>"1551601679831940"</f>
        <v>1551601679831940</v>
      </c>
      <c r="C1006" t="s">
        <v>40</v>
      </c>
      <c r="D1006">
        <v>4.5816520000000001</v>
      </c>
      <c r="E1006">
        <v>0.3674462</v>
      </c>
      <c r="F1006" t="s">
        <v>41</v>
      </c>
      <c r="G1006">
        <v>-239.8777</v>
      </c>
      <c r="H1006" s="1">
        <v>-7.5988129999999995E-7</v>
      </c>
      <c r="I1006">
        <v>372.34160000000003</v>
      </c>
      <c r="J1006">
        <v>-253.10550000000001</v>
      </c>
      <c r="K1006">
        <v>1.121167</v>
      </c>
      <c r="L1006">
        <v>368.99770000000001</v>
      </c>
      <c r="M1006">
        <v>0.99987360000000003</v>
      </c>
      <c r="N1006">
        <v>-1.383939E-2</v>
      </c>
      <c r="O1006">
        <v>7.8220019999999998E-3</v>
      </c>
      <c r="P1006">
        <v>0.97676249999999998</v>
      </c>
      <c r="Q1006">
        <v>0.19386539999999999</v>
      </c>
      <c r="R1006">
        <v>-9.1385670000000002E-2</v>
      </c>
      <c r="S1006">
        <v>3.1971129999999999</v>
      </c>
      <c r="T1006">
        <v>-0.26645459999999999</v>
      </c>
      <c r="U1006">
        <v>0.79510499999999995</v>
      </c>
      <c r="V1006">
        <v>9.9095989999999995E-2</v>
      </c>
      <c r="W1006">
        <v>0.2073198</v>
      </c>
      <c r="X1006">
        <v>0.97324120000000003</v>
      </c>
      <c r="Y1006">
        <v>-0.2328692</v>
      </c>
      <c r="Z1006">
        <v>1.0646869999999999E-2</v>
      </c>
      <c r="AA1006">
        <v>0.97244980000000003</v>
      </c>
      <c r="AB1006">
        <v>36</v>
      </c>
      <c r="AC1006">
        <v>13.2278</v>
      </c>
      <c r="AD1006">
        <v>-1.1211677598812999</v>
      </c>
      <c r="AE1006">
        <v>3.3439000000000099</v>
      </c>
      <c r="AF1006">
        <v>-3.2185864495459802</v>
      </c>
      <c r="AG1006">
        <v>-1.1211677598812999</v>
      </c>
      <c r="AH1006">
        <v>13.1646596475317</v>
      </c>
      <c r="AI1006">
        <v>94.729216113006203</v>
      </c>
      <c r="AJ1006">
        <v>103.738562102712</v>
      </c>
      <c r="AK1006">
        <v>13.598697713911699</v>
      </c>
      <c r="AL1006">
        <v>78.034667936471394</v>
      </c>
      <c r="AM1006">
        <v>84.186146444022896</v>
      </c>
      <c r="AN1006">
        <v>0.99999997404177898</v>
      </c>
    </row>
    <row r="1007" spans="1:40" x14ac:dyDescent="0.25">
      <c r="A1007" t="str">
        <f>"20190303162759853"</f>
        <v>20190303162759853</v>
      </c>
      <c r="B1007" t="str">
        <f>"1551601679842676"</f>
        <v>1551601679842676</v>
      </c>
      <c r="C1007" t="s">
        <v>40</v>
      </c>
      <c r="D1007">
        <v>4.5465030000000004</v>
      </c>
      <c r="E1007">
        <v>0.36784489999999997</v>
      </c>
      <c r="F1007" t="s">
        <v>41</v>
      </c>
      <c r="G1007">
        <v>-239.2501</v>
      </c>
      <c r="H1007" s="1">
        <v>-1.046375E-6</v>
      </c>
      <c r="I1007">
        <v>372.40629999999999</v>
      </c>
      <c r="J1007">
        <v>-252.9102</v>
      </c>
      <c r="K1007">
        <v>1.1211610000000001</v>
      </c>
      <c r="L1007">
        <v>368.9991</v>
      </c>
      <c r="M1007">
        <v>0.9998745</v>
      </c>
      <c r="N1007">
        <v>-1.3838639999999999E-2</v>
      </c>
      <c r="O1007">
        <v>7.7348549999999997E-3</v>
      </c>
      <c r="P1007">
        <v>0.97665650000000004</v>
      </c>
      <c r="Q1007">
        <v>0.19387750000000001</v>
      </c>
      <c r="R1007">
        <v>-9.2488849999999997E-2</v>
      </c>
      <c r="S1007">
        <v>3.1962739999999998</v>
      </c>
      <c r="T1007">
        <v>-0.25863839999999999</v>
      </c>
      <c r="U1007">
        <v>0.7863464</v>
      </c>
      <c r="V1007">
        <v>0.1001171</v>
      </c>
      <c r="W1007">
        <v>0.20732780000000001</v>
      </c>
      <c r="X1007">
        <v>0.97313499999999997</v>
      </c>
      <c r="Y1007">
        <v>-0.23055580000000001</v>
      </c>
      <c r="Z1007">
        <v>1.0288240000000001E-2</v>
      </c>
      <c r="AA1007">
        <v>0.97300469999999895</v>
      </c>
      <c r="AB1007">
        <v>36</v>
      </c>
      <c r="AC1007">
        <v>13.6601</v>
      </c>
      <c r="AD1007">
        <v>-1.1211620463750001</v>
      </c>
      <c r="AE1007">
        <v>3.40719999999998</v>
      </c>
      <c r="AF1007">
        <v>-3.2806237880001601</v>
      </c>
      <c r="AG1007">
        <v>-1.1211620463750001</v>
      </c>
      <c r="AH1007">
        <v>13.599799901785399</v>
      </c>
      <c r="AI1007">
        <v>94.581941145886802</v>
      </c>
      <c r="AJ1007">
        <v>103.562127531093</v>
      </c>
      <c r="AK1007">
        <v>14.0347445342345</v>
      </c>
      <c r="AL1007">
        <v>78.034199575036595</v>
      </c>
      <c r="AM1007">
        <v>84.126019231349602</v>
      </c>
      <c r="AN1007">
        <v>0.99999998929512401</v>
      </c>
    </row>
    <row r="1008" spans="1:40" x14ac:dyDescent="0.25">
      <c r="A1008" t="str">
        <f>"20190303162759865"</f>
        <v>20190303162759865</v>
      </c>
      <c r="B1008" t="str">
        <f>"1551601679852435"</f>
        <v>1551601679852435</v>
      </c>
      <c r="C1008" t="s">
        <v>40</v>
      </c>
      <c r="D1008">
        <v>4.5292190000000003</v>
      </c>
      <c r="E1008">
        <v>0.36809360000000002</v>
      </c>
      <c r="F1008" t="s">
        <v>41</v>
      </c>
      <c r="G1008">
        <v>-238.80430000000001</v>
      </c>
      <c r="H1008" s="1">
        <v>-1.2462429999999999E-6</v>
      </c>
      <c r="I1008">
        <v>372.43880000000001</v>
      </c>
      <c r="J1008">
        <v>-252.71260000000001</v>
      </c>
      <c r="K1008">
        <v>1.121156</v>
      </c>
      <c r="L1008">
        <v>369.00060000000002</v>
      </c>
      <c r="M1008">
        <v>0.99987510000000002</v>
      </c>
      <c r="N1008">
        <v>-1.383785E-2</v>
      </c>
      <c r="O1008">
        <v>7.6437099999999997E-3</v>
      </c>
      <c r="P1008">
        <v>0.97658040000000002</v>
      </c>
      <c r="Q1008">
        <v>0.19361110000000001</v>
      </c>
      <c r="R1008">
        <v>-9.3837199999999996E-2</v>
      </c>
      <c r="S1008">
        <v>3.1959230000000001</v>
      </c>
      <c r="T1008">
        <v>-0.25401620000000003</v>
      </c>
      <c r="U1008">
        <v>0.7793274</v>
      </c>
      <c r="V1008">
        <v>0.1013799</v>
      </c>
      <c r="W1008">
        <v>0.20705670000000001</v>
      </c>
      <c r="X1008">
        <v>0.97306199999999998</v>
      </c>
      <c r="Y1008">
        <v>-0.22868540000000001</v>
      </c>
      <c r="Z1008">
        <v>1.0057770000000001E-2</v>
      </c>
      <c r="AA1008">
        <v>0.97344850000000005</v>
      </c>
      <c r="AB1008">
        <v>36</v>
      </c>
      <c r="AC1008">
        <v>13.908299999999899</v>
      </c>
      <c r="AD1008">
        <v>-1.1211572462429999</v>
      </c>
      <c r="AE1008">
        <v>3.4381999999999899</v>
      </c>
      <c r="AF1008">
        <v>-3.3114992339210598</v>
      </c>
      <c r="AG1008">
        <v>-1.1211572462429999</v>
      </c>
      <c r="AH1008">
        <v>13.849365314085899</v>
      </c>
      <c r="AI1008">
        <v>94.501852781993904</v>
      </c>
      <c r="AJ1008">
        <v>103.447419475415</v>
      </c>
      <c r="AK1008">
        <v>14.2838349314905</v>
      </c>
      <c r="AL1008">
        <v>78.050077230026702</v>
      </c>
      <c r="AM1008">
        <v>84.052014181698397</v>
      </c>
      <c r="AN1008">
        <v>1.00000000849144</v>
      </c>
    </row>
    <row r="1009" spans="1:40" x14ac:dyDescent="0.25">
      <c r="A1009" t="str">
        <f>"20190303162759876"</f>
        <v>20190303162759876</v>
      </c>
      <c r="B1009" t="str">
        <f>"1551601679862195"</f>
        <v>1551601679862195</v>
      </c>
      <c r="C1009" t="s">
        <v>40</v>
      </c>
      <c r="D1009">
        <v>4.5052960000000004</v>
      </c>
      <c r="E1009">
        <v>0.3682106</v>
      </c>
      <c r="F1009" t="s">
        <v>41</v>
      </c>
      <c r="G1009">
        <v>-238.41499999999999</v>
      </c>
      <c r="H1009" s="1">
        <v>-1.41902E-6</v>
      </c>
      <c r="I1009">
        <v>372.46039999999999</v>
      </c>
      <c r="J1009">
        <v>-252.52690000000001</v>
      </c>
      <c r="K1009">
        <v>1.121148</v>
      </c>
      <c r="L1009">
        <v>369.00189999999998</v>
      </c>
      <c r="M1009">
        <v>0.99987579999999998</v>
      </c>
      <c r="N1009">
        <v>-1.383702E-2</v>
      </c>
      <c r="O1009">
        <v>7.5508989999999998E-3</v>
      </c>
      <c r="P1009">
        <v>0.97642200000000001</v>
      </c>
      <c r="Q1009">
        <v>0.19345780000000001</v>
      </c>
      <c r="R1009">
        <v>-9.5783380000000001E-2</v>
      </c>
      <c r="S1009">
        <v>3.1959230000000001</v>
      </c>
      <c r="T1009">
        <v>-0.25060959999999999</v>
      </c>
      <c r="U1009">
        <v>0.77337650000000002</v>
      </c>
      <c r="V1009">
        <v>0.1032381</v>
      </c>
      <c r="W1009">
        <v>0.20689769999999999</v>
      </c>
      <c r="X1009">
        <v>0.97290049999999995</v>
      </c>
      <c r="Y1009">
        <v>-0.22708809999999999</v>
      </c>
      <c r="Z1009">
        <v>9.8805000000000004E-3</v>
      </c>
      <c r="AA1009">
        <v>0.97382409999999997</v>
      </c>
      <c r="AB1009">
        <v>36</v>
      </c>
      <c r="AC1009">
        <v>14.1119</v>
      </c>
      <c r="AD1009">
        <v>-1.12114941902</v>
      </c>
      <c r="AE1009">
        <v>3.4585000000000101</v>
      </c>
      <c r="AF1009">
        <v>-3.3319942473739999</v>
      </c>
      <c r="AG1009">
        <v>-1.12114941902</v>
      </c>
      <c r="AH1009">
        <v>14.0539347563235</v>
      </c>
      <c r="AI1009">
        <v>94.438570238984099</v>
      </c>
      <c r="AJ1009">
        <v>103.337774300616</v>
      </c>
      <c r="AK1009">
        <v>14.4869680685539</v>
      </c>
      <c r="AL1009">
        <v>78.059389680276993</v>
      </c>
      <c r="AM1009">
        <v>83.942798259991804</v>
      </c>
      <c r="AN1009">
        <v>1.0000000732285701</v>
      </c>
    </row>
    <row r="1010" spans="1:40" x14ac:dyDescent="0.25">
      <c r="A1010" t="str">
        <f>"20190303162759889"</f>
        <v>20190303162759889</v>
      </c>
      <c r="B1010" t="str">
        <f>"1551601679882692"</f>
        <v>1551601679882692</v>
      </c>
      <c r="C1010" t="s">
        <v>40</v>
      </c>
      <c r="D1010">
        <v>4.6308590000000001</v>
      </c>
      <c r="E1010">
        <v>0.36878759999999999</v>
      </c>
      <c r="F1010" t="s">
        <v>41</v>
      </c>
      <c r="G1010">
        <v>-238.03630000000001</v>
      </c>
      <c r="H1010" s="1">
        <v>-1.585535E-6</v>
      </c>
      <c r="I1010">
        <v>372.47570000000002</v>
      </c>
      <c r="J1010">
        <v>-252.32390000000001</v>
      </c>
      <c r="K1010">
        <v>1.121132</v>
      </c>
      <c r="L1010">
        <v>369.00330000000002</v>
      </c>
      <c r="M1010">
        <v>0.9998766</v>
      </c>
      <c r="N1010">
        <v>-1.3836090000000001E-2</v>
      </c>
      <c r="O1010">
        <v>7.4456219999999998E-3</v>
      </c>
      <c r="P1010">
        <v>0.97628479999999995</v>
      </c>
      <c r="Q1010">
        <v>0.19323180000000001</v>
      </c>
      <c r="R1010">
        <v>-9.7620029999999997E-2</v>
      </c>
      <c r="S1010">
        <v>3.196625</v>
      </c>
      <c r="T1010">
        <v>-0.2473243</v>
      </c>
      <c r="U1010">
        <v>0.76632690000000003</v>
      </c>
      <c r="V1010">
        <v>0.104975</v>
      </c>
      <c r="W1010">
        <v>0.2066663</v>
      </c>
      <c r="X1010">
        <v>0.97276379999999996</v>
      </c>
      <c r="Y1010">
        <v>-0.2251359</v>
      </c>
      <c r="Z1010">
        <v>9.691837E-3</v>
      </c>
      <c r="AA1010">
        <v>0.97427920000000001</v>
      </c>
      <c r="AB1010">
        <v>36</v>
      </c>
      <c r="AC1010">
        <v>14.2875999999999</v>
      </c>
      <c r="AD1010">
        <v>-1.121133585535</v>
      </c>
      <c r="AE1010">
        <v>3.4723999999999902</v>
      </c>
      <c r="AF1010">
        <v>-3.3464572725697002</v>
      </c>
      <c r="AG1010">
        <v>-1.121133585535</v>
      </c>
      <c r="AH1010">
        <v>14.230325819805101</v>
      </c>
      <c r="AI1010">
        <v>94.385584246453902</v>
      </c>
      <c r="AJ1010">
        <v>103.233443902929</v>
      </c>
      <c r="AK1010">
        <v>14.661442280060999</v>
      </c>
      <c r="AL1010">
        <v>78.072940647078198</v>
      </c>
      <c r="AM1010">
        <v>83.840808488165294</v>
      </c>
      <c r="AN1010">
        <v>1.0000000603855601</v>
      </c>
    </row>
    <row r="1011" spans="1:40" x14ac:dyDescent="0.25">
      <c r="A1011" t="str">
        <f>"20190303162759900"</f>
        <v>20190303162759900</v>
      </c>
      <c r="B1011" t="str">
        <f>"1551601679892452"</f>
        <v>1551601679892452</v>
      </c>
      <c r="C1011" t="s">
        <v>40</v>
      </c>
      <c r="D1011">
        <v>4.745012</v>
      </c>
      <c r="E1011">
        <v>0.36878759999999999</v>
      </c>
      <c r="F1011" t="s">
        <v>41</v>
      </c>
      <c r="G1011">
        <v>-237.8227</v>
      </c>
      <c r="H1011" s="1">
        <v>-1.6651829999999999E-6</v>
      </c>
      <c r="I1011">
        <v>372.43060000000003</v>
      </c>
      <c r="J1011">
        <v>-252.13749999999999</v>
      </c>
      <c r="K1011">
        <v>1.1211249999999999</v>
      </c>
      <c r="L1011">
        <v>369.00459999999998</v>
      </c>
      <c r="M1011">
        <v>0.99987740000000003</v>
      </c>
      <c r="N1011">
        <v>-1.3835190000000001E-2</v>
      </c>
      <c r="O1011">
        <v>7.3452469999999897E-3</v>
      </c>
      <c r="P1011">
        <v>0.97612080000000001</v>
      </c>
      <c r="Q1011">
        <v>0.19300400000000001</v>
      </c>
      <c r="R1011">
        <v>-9.9689330000000007E-2</v>
      </c>
      <c r="S1011">
        <v>3.197327</v>
      </c>
      <c r="T1011">
        <v>-0.2471933</v>
      </c>
      <c r="U1011">
        <v>0.75567629999999997</v>
      </c>
      <c r="V1011">
        <v>0.1069488</v>
      </c>
      <c r="W1011">
        <v>0.20643249999999999</v>
      </c>
      <c r="X1011">
        <v>0.97259839999999997</v>
      </c>
      <c r="Y1011">
        <v>-0.22212299999999999</v>
      </c>
      <c r="Z1011">
        <v>9.5586620000000008E-3</v>
      </c>
      <c r="AA1011">
        <v>0.97497180000000006</v>
      </c>
      <c r="AB1011">
        <v>36</v>
      </c>
      <c r="AC1011">
        <v>14.3147999999999</v>
      </c>
      <c r="AD1011">
        <v>-1.1211266651830001</v>
      </c>
      <c r="AE1011">
        <v>3.4260000000000401</v>
      </c>
      <c r="AF1011">
        <v>-3.3015971759889799</v>
      </c>
      <c r="AG1011">
        <v>-1.1211266651830001</v>
      </c>
      <c r="AH1011">
        <v>14.256868158780801</v>
      </c>
      <c r="AI1011">
        <v>94.380884751705395</v>
      </c>
      <c r="AJ1011">
        <v>103.038681966985</v>
      </c>
      <c r="AK1011">
        <v>14.6770487022678</v>
      </c>
      <c r="AL1011">
        <v>78.086631326014199</v>
      </c>
      <c r="AM1011">
        <v>83.724856527849894</v>
      </c>
      <c r="AN1011">
        <v>1.0000000352801199</v>
      </c>
    </row>
    <row r="1012" spans="1:40" x14ac:dyDescent="0.25">
      <c r="A1012" t="str">
        <f>"20190303162759911"</f>
        <v>20190303162759911</v>
      </c>
      <c r="B1012" t="str">
        <f>"1551601679902211"</f>
        <v>1551601679902211</v>
      </c>
      <c r="C1012" t="s">
        <v>40</v>
      </c>
      <c r="D1012">
        <v>4.6258309999999998</v>
      </c>
      <c r="E1012">
        <v>0.4292879</v>
      </c>
      <c r="F1012" t="s">
        <v>41</v>
      </c>
      <c r="G1012">
        <v>-237.68279999999999</v>
      </c>
      <c r="H1012" s="1">
        <v>-1.7141159999999901E-6</v>
      </c>
      <c r="I1012">
        <v>372.38889999999998</v>
      </c>
      <c r="J1012">
        <v>-251.9545</v>
      </c>
      <c r="K1012">
        <v>1.1211169999999999</v>
      </c>
      <c r="L1012">
        <v>369.00580000000002</v>
      </c>
      <c r="M1012">
        <v>0.99987820000000005</v>
      </c>
      <c r="N1012">
        <v>-1.3834249999999999E-2</v>
      </c>
      <c r="O1012">
        <v>7.2411309999999996E-3</v>
      </c>
      <c r="P1012">
        <v>0.97584380000000004</v>
      </c>
      <c r="Q1012">
        <v>0.19315399999999999</v>
      </c>
      <c r="R1012">
        <v>-0.1020822</v>
      </c>
      <c r="S1012">
        <v>3.1989589999999999</v>
      </c>
      <c r="T1012">
        <v>-0.24811469999999999</v>
      </c>
      <c r="U1012">
        <v>0.74899289999999996</v>
      </c>
      <c r="V1012">
        <v>0.10924150000000001</v>
      </c>
      <c r="W1012">
        <v>0.2065748</v>
      </c>
      <c r="X1012">
        <v>0.97231330000000005</v>
      </c>
      <c r="Y1012">
        <v>-0.2201842</v>
      </c>
      <c r="Z1012">
        <v>9.5043390000000005E-3</v>
      </c>
      <c r="AA1012">
        <v>0.97541199999999995</v>
      </c>
      <c r="AB1012">
        <v>36</v>
      </c>
      <c r="AC1012">
        <v>14.271699999999999</v>
      </c>
      <c r="AD1012">
        <v>-1.1211187141159999</v>
      </c>
      <c r="AE1012">
        <v>3.38309999999995</v>
      </c>
      <c r="AF1012">
        <v>-3.26060762101014</v>
      </c>
      <c r="AG1012">
        <v>-1.1211187141159999</v>
      </c>
      <c r="AH1012">
        <v>14.212785464734401</v>
      </c>
      <c r="AI1012">
        <v>94.396463714976207</v>
      </c>
      <c r="AJ1012">
        <v>102.920855370483</v>
      </c>
      <c r="AK1012">
        <v>14.6250381160493</v>
      </c>
      <c r="AL1012">
        <v>78.078298143981698</v>
      </c>
      <c r="AM1012">
        <v>83.589578116962201</v>
      </c>
      <c r="AN1012">
        <v>1.0000000033370899</v>
      </c>
    </row>
    <row r="1013" spans="1:40" x14ac:dyDescent="0.25">
      <c r="A1013" t="str">
        <f>"20190303162759924"</f>
        <v>20190303162759924</v>
      </c>
      <c r="B1013" t="str">
        <f>"1551601679911972"</f>
        <v>1551601679911972</v>
      </c>
      <c r="C1013" t="s">
        <v>40</v>
      </c>
      <c r="D1013">
        <v>4.6210820000000004</v>
      </c>
      <c r="E1013">
        <v>0.4292879</v>
      </c>
      <c r="F1013" t="s">
        <v>41</v>
      </c>
      <c r="G1013">
        <v>-232.04069999999999</v>
      </c>
      <c r="H1013" s="1">
        <v>-3.6747280000000001E-6</v>
      </c>
      <c r="I1013">
        <v>370.66090000000003</v>
      </c>
      <c r="J1013">
        <v>-251.76310000000001</v>
      </c>
      <c r="K1013">
        <v>1.1211150000000001</v>
      </c>
      <c r="L1013">
        <v>369.00709999999998</v>
      </c>
      <c r="M1013">
        <v>0.99987910000000002</v>
      </c>
      <c r="N1013">
        <v>-1.383326E-2</v>
      </c>
      <c r="O1013">
        <v>7.1306980000000004E-3</v>
      </c>
      <c r="P1013">
        <v>0.97562349999999998</v>
      </c>
      <c r="Q1013">
        <v>0.19301280000000001</v>
      </c>
      <c r="R1013">
        <v>-0.10442800000000001</v>
      </c>
      <c r="S1013">
        <v>3.1364749999999999</v>
      </c>
      <c r="T1013">
        <v>-0.17657900000000001</v>
      </c>
      <c r="U1013">
        <v>0.2606812</v>
      </c>
      <c r="V1013">
        <v>0.111481399999999</v>
      </c>
      <c r="W1013">
        <v>0.20642640000000001</v>
      </c>
      <c r="X1013">
        <v>0.97209049999999997</v>
      </c>
      <c r="Y1013">
        <v>-7.5576340000000006E-2</v>
      </c>
      <c r="Z1013">
        <v>2.344273E-3</v>
      </c>
      <c r="AA1013">
        <v>0.99713719999999995</v>
      </c>
      <c r="AB1013">
        <v>36</v>
      </c>
      <c r="AC1013">
        <v>19.7224</v>
      </c>
      <c r="AD1013">
        <v>-1.12111867472799</v>
      </c>
      <c r="AE1013">
        <v>1.6538000000000399</v>
      </c>
      <c r="AF1013">
        <v>-1.50827032472245</v>
      </c>
      <c r="AG1013">
        <v>-1.12111867472799</v>
      </c>
      <c r="AH1013">
        <v>19.6705737215803</v>
      </c>
      <c r="AI1013">
        <v>93.252500773191201</v>
      </c>
      <c r="AJ1013">
        <v>94.384659158431802</v>
      </c>
      <c r="AK1013">
        <v>19.760143141976201</v>
      </c>
      <c r="AL1013">
        <v>78.086987501102001</v>
      </c>
      <c r="AM1013">
        <v>83.457779667830394</v>
      </c>
      <c r="AN1013">
        <v>0.99999995067658298</v>
      </c>
    </row>
    <row r="1014" spans="1:40" x14ac:dyDescent="0.25">
      <c r="A1014" t="str">
        <f>"20190303162759938"</f>
        <v>20190303162759938</v>
      </c>
      <c r="B1014" t="str">
        <f>"1551601679932468"</f>
        <v>1551601679932468</v>
      </c>
      <c r="C1014" t="s">
        <v>40</v>
      </c>
      <c r="D1014">
        <v>4.5061780000000002</v>
      </c>
      <c r="E1014">
        <v>0.5153432</v>
      </c>
      <c r="F1014" t="s">
        <v>41</v>
      </c>
      <c r="G1014">
        <v>-231.90309999999999</v>
      </c>
      <c r="H1014" s="1">
        <v>-3.7202579999999999E-6</v>
      </c>
      <c r="I1014">
        <v>370.61</v>
      </c>
      <c r="J1014">
        <v>-251.5454</v>
      </c>
      <c r="K1014">
        <v>1.1211089999999999</v>
      </c>
      <c r="L1014">
        <v>369.00850000000003</v>
      </c>
      <c r="M1014">
        <v>0.99987999999999999</v>
      </c>
      <c r="N1014">
        <v>-1.383206E-2</v>
      </c>
      <c r="O1014">
        <v>6.9995860000000003E-3</v>
      </c>
      <c r="P1014">
        <v>0.97527730000000001</v>
      </c>
      <c r="Q1014">
        <v>0.1929913</v>
      </c>
      <c r="R1014">
        <v>-0.1076531</v>
      </c>
      <c r="S1014">
        <v>3.1371000000000002</v>
      </c>
      <c r="T1014">
        <v>-0.17709179999999999</v>
      </c>
      <c r="U1014">
        <v>0.25320429999999999</v>
      </c>
      <c r="V1014">
        <v>0.114579399999999</v>
      </c>
      <c r="W1014">
        <v>0.2063952</v>
      </c>
      <c r="X1014">
        <v>0.97173690000000001</v>
      </c>
      <c r="Y1014">
        <v>-7.3333399999999896E-2</v>
      </c>
      <c r="Z1014">
        <v>2.2758600000000002E-3</v>
      </c>
      <c r="AA1014">
        <v>0.99730490000000005</v>
      </c>
      <c r="AB1014">
        <v>36</v>
      </c>
      <c r="AC1014">
        <v>19.642299999999999</v>
      </c>
      <c r="AD1014">
        <v>-1.121112720258</v>
      </c>
      <c r="AE1014">
        <v>1.6014999999999799</v>
      </c>
      <c r="AF1014">
        <v>-1.4592372655325401</v>
      </c>
      <c r="AG1014">
        <v>-1.121112720258</v>
      </c>
      <c r="AH1014">
        <v>19.5896335071794</v>
      </c>
      <c r="AI1014">
        <v>93.266428551774595</v>
      </c>
      <c r="AJ1014">
        <v>94.260110723891202</v>
      </c>
      <c r="AK1014">
        <v>19.675873756310001</v>
      </c>
      <c r="AL1014">
        <v>78.088815191413104</v>
      </c>
      <c r="AM1014">
        <v>83.275193282129095</v>
      </c>
      <c r="AN1014">
        <v>1.0000000101544999</v>
      </c>
    </row>
    <row r="1015" spans="1:40" x14ac:dyDescent="0.25">
      <c r="A1015" t="str">
        <f>"20190303162759952"</f>
        <v>20190303162759952</v>
      </c>
      <c r="B1015" t="str">
        <f>"1551601679942227"</f>
        <v>1551601679942227</v>
      </c>
      <c r="C1015" t="s">
        <v>40</v>
      </c>
      <c r="D1015">
        <v>4.4666030000000001</v>
      </c>
      <c r="E1015">
        <v>0.52447749999999904</v>
      </c>
      <c r="F1015" t="s">
        <v>46</v>
      </c>
      <c r="G1015">
        <v>-199.0368</v>
      </c>
      <c r="H1015" s="1">
        <v>-9.7503610000000007E-6</v>
      </c>
      <c r="I1015">
        <v>361.40570000000002</v>
      </c>
      <c r="J1015">
        <v>-251.30709999999999</v>
      </c>
      <c r="K1015">
        <v>1.1211</v>
      </c>
      <c r="L1015">
        <v>369.01</v>
      </c>
      <c r="M1015">
        <v>0.99988089999999996</v>
      </c>
      <c r="N1015">
        <v>-1.383071E-2</v>
      </c>
      <c r="O1015">
        <v>6.8532829999999999E-3</v>
      </c>
      <c r="P1015">
        <v>0.97451399999999999</v>
      </c>
      <c r="Q1015">
        <v>0.19298870000000001</v>
      </c>
      <c r="R1015">
        <v>-0.1143594</v>
      </c>
      <c r="S1015">
        <v>3.040314</v>
      </c>
      <c r="T1015">
        <v>-6.4914109999999997E-2</v>
      </c>
      <c r="U1015">
        <v>-0.4402161</v>
      </c>
      <c r="V1015">
        <v>0.121140899999999</v>
      </c>
      <c r="W1015">
        <v>0.20637559999999999</v>
      </c>
      <c r="X1015">
        <v>0.9709449</v>
      </c>
      <c r="Y1015">
        <v>0.15002270000000001</v>
      </c>
      <c r="Z1015">
        <v>-2.6874569999999999E-3</v>
      </c>
      <c r="AA1015">
        <v>0.98867890000000003</v>
      </c>
      <c r="AB1015">
        <v>36</v>
      </c>
      <c r="AC1015">
        <v>52.270299999999899</v>
      </c>
      <c r="AD1015">
        <v>-1.1211097503609999</v>
      </c>
      <c r="AE1015">
        <v>-7.6042999999999603</v>
      </c>
      <c r="AF1015">
        <v>7.9587933976164296</v>
      </c>
      <c r="AG1015">
        <v>-1.1211097503609999</v>
      </c>
      <c r="AH1015">
        <v>52.193439930089802</v>
      </c>
      <c r="AI1015">
        <v>91.2164611735394</v>
      </c>
      <c r="AJ1015">
        <v>81.329956156592701</v>
      </c>
      <c r="AK1015">
        <v>52.808658865324198</v>
      </c>
      <c r="AL1015">
        <v>78.089962803979105</v>
      </c>
      <c r="AM1015">
        <v>82.888185640685506</v>
      </c>
      <c r="AN1015">
        <v>1.0000000023820901</v>
      </c>
    </row>
    <row r="1016" spans="1:40" x14ac:dyDescent="0.25">
      <c r="A1016" t="str">
        <f>"20190303162759968"</f>
        <v>20190303162759968</v>
      </c>
      <c r="B1016" t="str">
        <f>"1551601679962724"</f>
        <v>1551601679962724</v>
      </c>
      <c r="C1016" t="s">
        <v>40</v>
      </c>
      <c r="D1016">
        <v>4.4269759999999998</v>
      </c>
      <c r="E1016">
        <v>0.53296940000000004</v>
      </c>
      <c r="F1016" t="s">
        <v>41</v>
      </c>
      <c r="G1016">
        <v>-216.4503</v>
      </c>
      <c r="H1016" s="1">
        <v>-2.983695E-6</v>
      </c>
      <c r="I1016">
        <v>362.89030000000002</v>
      </c>
      <c r="J1016">
        <v>-251.07259999999999</v>
      </c>
      <c r="K1016">
        <v>1.1210910000000001</v>
      </c>
      <c r="L1016">
        <v>369.01150000000001</v>
      </c>
      <c r="M1016">
        <v>0.99988200000000005</v>
      </c>
      <c r="N1016">
        <v>-1.382938E-2</v>
      </c>
      <c r="O1016">
        <v>6.7065809999999997E-3</v>
      </c>
      <c r="P1016">
        <v>0.97408150000000004</v>
      </c>
      <c r="Q1016">
        <v>0.19316749999999999</v>
      </c>
      <c r="R1016">
        <v>-0.1176944</v>
      </c>
      <c r="S1016">
        <v>3.0352939999999999</v>
      </c>
      <c r="T1016">
        <v>-9.7624180000000005E-2</v>
      </c>
      <c r="U1016">
        <v>-0.53289790000000004</v>
      </c>
      <c r="V1016">
        <v>0.1243327</v>
      </c>
      <c r="W1016">
        <v>0.20654400000000001</v>
      </c>
      <c r="X1016">
        <v>0.97050550000000002</v>
      </c>
      <c r="Y1016">
        <v>0.17939379999999999</v>
      </c>
      <c r="Z1016">
        <v>-4.2347009999999996E-3</v>
      </c>
      <c r="AA1016">
        <v>0.98376819999999998</v>
      </c>
      <c r="AB1016">
        <v>36</v>
      </c>
      <c r="AC1016">
        <v>34.622300000000003</v>
      </c>
      <c r="AD1016">
        <v>-1.121093983695</v>
      </c>
      <c r="AE1016">
        <v>-6.1211999999999804</v>
      </c>
      <c r="AF1016">
        <v>6.34682875015063</v>
      </c>
      <c r="AG1016">
        <v>-1.121093983695</v>
      </c>
      <c r="AH1016">
        <v>34.545341748854298</v>
      </c>
      <c r="AI1016">
        <v>91.828180137936798</v>
      </c>
      <c r="AJ1016">
        <v>79.589455304104106</v>
      </c>
      <c r="AK1016">
        <v>35.141424607564701</v>
      </c>
      <c r="AL1016">
        <v>78.080101527185704</v>
      </c>
      <c r="AM1016">
        <v>82.699530791028593</v>
      </c>
      <c r="AN1016">
        <v>0.99999998487776898</v>
      </c>
    </row>
    <row r="1017" spans="1:40" x14ac:dyDescent="0.25">
      <c r="A1017" t="str">
        <f>"20190303162759980"</f>
        <v>20190303162759980</v>
      </c>
      <c r="B1017" t="str">
        <f>"1551601679972483"</f>
        <v>1551601679972483</v>
      </c>
      <c r="C1017" t="s">
        <v>40</v>
      </c>
      <c r="D1017">
        <v>4.3740649999999999</v>
      </c>
      <c r="E1017">
        <v>0.53455949999999997</v>
      </c>
      <c r="F1017" t="s">
        <v>41</v>
      </c>
      <c r="G1017">
        <v>-225.31440000000001</v>
      </c>
      <c r="H1017" s="1">
        <v>-3.121588E-6</v>
      </c>
      <c r="I1017">
        <v>363.82479999999998</v>
      </c>
      <c r="J1017">
        <v>-250.85059999999999</v>
      </c>
      <c r="K1017">
        <v>1.121094</v>
      </c>
      <c r="L1017">
        <v>369.01280000000003</v>
      </c>
      <c r="M1017">
        <v>0.99988290000000002</v>
      </c>
      <c r="N1017">
        <v>-1.3828200000000001E-2</v>
      </c>
      <c r="O1017">
        <v>6.56568E-3</v>
      </c>
      <c r="P1017">
        <v>0.97370140000000005</v>
      </c>
      <c r="Q1017">
        <v>0.19294059999999999</v>
      </c>
      <c r="R1017">
        <v>-0.1211603</v>
      </c>
      <c r="S1017">
        <v>3.0322269999999998</v>
      </c>
      <c r="T1017">
        <v>-0.13197339999999999</v>
      </c>
      <c r="U1017">
        <v>-0.61056519999999903</v>
      </c>
      <c r="V1017">
        <v>0.12766079999999999</v>
      </c>
      <c r="W1017">
        <v>0.20630789999999999</v>
      </c>
      <c r="X1017">
        <v>0.97012359999999997</v>
      </c>
      <c r="Y1017">
        <v>0.2035806</v>
      </c>
      <c r="Z1017">
        <v>-5.9997139999999997E-3</v>
      </c>
      <c r="AA1017">
        <v>0.97903980000000002</v>
      </c>
      <c r="AB1017">
        <v>36</v>
      </c>
      <c r="AC1017">
        <v>25.536199999999901</v>
      </c>
      <c r="AD1017">
        <v>-1.1210971215879999</v>
      </c>
      <c r="AE1017">
        <v>-5.1880000000000397</v>
      </c>
      <c r="AF1017">
        <v>5.34567180764809</v>
      </c>
      <c r="AG1017">
        <v>-1.1210971215879999</v>
      </c>
      <c r="AH1017">
        <v>25.454467035026099</v>
      </c>
      <c r="AI1017">
        <v>92.468091601187197</v>
      </c>
      <c r="AJ1017">
        <v>78.139716994865395</v>
      </c>
      <c r="AK1017">
        <v>26.033880960554999</v>
      </c>
      <c r="AL1017">
        <v>78.093927183425507</v>
      </c>
      <c r="AM1017">
        <v>82.503390088685705</v>
      </c>
      <c r="AN1017">
        <v>1.0000000143679999</v>
      </c>
    </row>
    <row r="1018" spans="1:40" x14ac:dyDescent="0.25">
      <c r="A1018" t="str">
        <f>"20190303162759992"</f>
        <v>20190303162759992</v>
      </c>
      <c r="B1018" t="str">
        <f>"1551601679982244"</f>
        <v>1551601679982244</v>
      </c>
      <c r="C1018" t="s">
        <v>40</v>
      </c>
      <c r="D1018">
        <v>4.3815019999999896</v>
      </c>
      <c r="E1018">
        <v>0.53465430000000003</v>
      </c>
      <c r="F1018" t="s">
        <v>41</v>
      </c>
      <c r="G1018">
        <v>-226.90369999999999</v>
      </c>
      <c r="H1018" s="1">
        <v>-2.5327779999999999E-6</v>
      </c>
      <c r="I1018">
        <v>364.005</v>
      </c>
      <c r="J1018">
        <v>-250.66630000000001</v>
      </c>
      <c r="K1018">
        <v>1.1210910000000001</v>
      </c>
      <c r="L1018">
        <v>369.01389999999998</v>
      </c>
      <c r="M1018">
        <v>0.99988370000000004</v>
      </c>
      <c r="N1018">
        <v>-1.38271E-2</v>
      </c>
      <c r="O1018">
        <v>6.4478670000000004E-3</v>
      </c>
      <c r="P1018">
        <v>0.97331570000000001</v>
      </c>
      <c r="Q1018">
        <v>0.1927963</v>
      </c>
      <c r="R1018">
        <v>-0.1244455</v>
      </c>
      <c r="S1018">
        <v>3.0303040000000001</v>
      </c>
      <c r="T1018">
        <v>-0.141866299999999</v>
      </c>
      <c r="U1018">
        <v>-0.63369750000000002</v>
      </c>
      <c r="V1018">
        <v>0.1308301</v>
      </c>
      <c r="W1018">
        <v>0.206154</v>
      </c>
      <c r="X1018">
        <v>0.96973399999999998</v>
      </c>
      <c r="Y1018">
        <v>0.2107077</v>
      </c>
      <c r="Z1018">
        <v>-6.5606319999999899E-3</v>
      </c>
      <c r="AA1018">
        <v>0.97752709999999998</v>
      </c>
      <c r="AB1018">
        <v>36</v>
      </c>
      <c r="AC1018">
        <v>23.762599999999999</v>
      </c>
      <c r="AD1018">
        <v>-1.1210935327779901</v>
      </c>
      <c r="AE1018">
        <v>-5.0088999999999801</v>
      </c>
      <c r="AF1018">
        <v>5.1510508749364403</v>
      </c>
      <c r="AG1018">
        <v>-1.1210935327779901</v>
      </c>
      <c r="AH1018">
        <v>23.679341720226599</v>
      </c>
      <c r="AI1018">
        <v>92.6487772419528</v>
      </c>
      <c r="AJ1018">
        <v>77.727445113240506</v>
      </c>
      <c r="AK1018">
        <v>24.2590477992992</v>
      </c>
      <c r="AL1018">
        <v>78.102938654118404</v>
      </c>
      <c r="AM1018">
        <v>82.316425930416102</v>
      </c>
      <c r="AN1018">
        <v>1.000000008769</v>
      </c>
    </row>
    <row r="1019" spans="1:40" x14ac:dyDescent="0.25">
      <c r="A1019" t="str">
        <f>"20190303162800006"</f>
        <v>20190303162800006</v>
      </c>
      <c r="B1019" t="str">
        <f>"1551601679992004"</f>
        <v>1551601679992004</v>
      </c>
      <c r="C1019" t="s">
        <v>40</v>
      </c>
      <c r="D1019">
        <v>4.3940219999999997</v>
      </c>
      <c r="E1019">
        <v>0.53501109999999996</v>
      </c>
      <c r="F1019" t="s">
        <v>41</v>
      </c>
      <c r="G1019">
        <v>-227.72800000000001</v>
      </c>
      <c r="H1019" s="1">
        <v>-2.218491E-6</v>
      </c>
      <c r="I1019">
        <v>364.13200000000001</v>
      </c>
      <c r="J1019">
        <v>-250.45179999999999</v>
      </c>
      <c r="K1019">
        <v>1.1210880000000001</v>
      </c>
      <c r="L1019">
        <v>369.01519999999999</v>
      </c>
      <c r="M1019">
        <v>0.99988449999999995</v>
      </c>
      <c r="N1019">
        <v>-1.3825749999999999E-2</v>
      </c>
      <c r="O1019">
        <v>6.3103869999999998E-3</v>
      </c>
      <c r="P1019">
        <v>0.97297630000000002</v>
      </c>
      <c r="Q1019">
        <v>0.19263730000000001</v>
      </c>
      <c r="R1019">
        <v>-0.12731120000000001</v>
      </c>
      <c r="S1019">
        <v>3.0291600000000001</v>
      </c>
      <c r="T1019">
        <v>-0.1480476</v>
      </c>
      <c r="U1019">
        <v>-0.64468380000000003</v>
      </c>
      <c r="V1019">
        <v>0.13356119999999999</v>
      </c>
      <c r="W1019">
        <v>0.2059869</v>
      </c>
      <c r="X1019">
        <v>0.96939710000000001</v>
      </c>
      <c r="Y1019">
        <v>0.21401249999999999</v>
      </c>
      <c r="Z1019">
        <v>-6.8845659999999999E-3</v>
      </c>
      <c r="AA1019">
        <v>0.97680670000000003</v>
      </c>
      <c r="AB1019">
        <v>36</v>
      </c>
      <c r="AC1019">
        <v>22.723800000000001</v>
      </c>
      <c r="AD1019">
        <v>-1.1210902184910001</v>
      </c>
      <c r="AE1019">
        <v>-4.8832000000000404</v>
      </c>
      <c r="AF1019">
        <v>5.01484512685649</v>
      </c>
      <c r="AG1019">
        <v>-1.1210902184910001</v>
      </c>
      <c r="AH1019">
        <v>22.639856794702101</v>
      </c>
      <c r="AI1019">
        <v>92.767899947378098</v>
      </c>
      <c r="AJ1019">
        <v>77.510349414200405</v>
      </c>
      <c r="AK1019">
        <v>23.215697934995799</v>
      </c>
      <c r="AL1019">
        <v>78.112722273697798</v>
      </c>
      <c r="AM1019">
        <v>82.155314237980903</v>
      </c>
      <c r="AN1019">
        <v>0.999999967302729</v>
      </c>
    </row>
    <row r="1020" spans="1:40" x14ac:dyDescent="0.25">
      <c r="A1020" t="str">
        <f>"20190303162800019"</f>
        <v>20190303162800019</v>
      </c>
      <c r="B1020" t="str">
        <f>"1551601680012500"</f>
        <v>1551601680012500</v>
      </c>
      <c r="C1020" t="s">
        <v>40</v>
      </c>
      <c r="D1020">
        <v>4.4134419999999999</v>
      </c>
      <c r="E1020">
        <v>0.53499110000000005</v>
      </c>
      <c r="F1020" t="s">
        <v>41</v>
      </c>
      <c r="G1020">
        <v>-227.80709999999999</v>
      </c>
      <c r="H1020" s="1">
        <v>-2.198223E-6</v>
      </c>
      <c r="I1020">
        <v>364.10700000000003</v>
      </c>
      <c r="J1020">
        <v>-250.23269999999999</v>
      </c>
      <c r="K1020">
        <v>1.121086</v>
      </c>
      <c r="L1020">
        <v>369.01639999999998</v>
      </c>
      <c r="M1020">
        <v>0.99988540000000004</v>
      </c>
      <c r="N1020">
        <v>-1.382423E-2</v>
      </c>
      <c r="O1020">
        <v>6.1693420000000004E-3</v>
      </c>
      <c r="P1020">
        <v>0.97215859999999998</v>
      </c>
      <c r="Q1020">
        <v>0.19284399999999999</v>
      </c>
      <c r="R1020">
        <v>-0.1331135</v>
      </c>
      <c r="S1020">
        <v>3.027145</v>
      </c>
      <c r="T1020">
        <v>-0.14986739999999901</v>
      </c>
      <c r="U1020">
        <v>-0.65612789999999999</v>
      </c>
      <c r="V1020">
        <v>0.1392225</v>
      </c>
      <c r="W1020">
        <v>0.20617640000000001</v>
      </c>
      <c r="X1020">
        <v>0.96855999999999998</v>
      </c>
      <c r="Y1020">
        <v>0.21752299999999999</v>
      </c>
      <c r="Z1020">
        <v>-7.0591450000000002E-3</v>
      </c>
      <c r="AA1020">
        <v>0.97602960000000005</v>
      </c>
      <c r="AB1020">
        <v>36</v>
      </c>
      <c r="AC1020">
        <v>22.425599999999999</v>
      </c>
      <c r="AD1020">
        <v>-1.1210881982230001</v>
      </c>
      <c r="AE1020">
        <v>-4.9093999999999998</v>
      </c>
      <c r="AF1020">
        <v>5.0356616790049804</v>
      </c>
      <c r="AG1020">
        <v>-1.1210881982230001</v>
      </c>
      <c r="AH1020">
        <v>22.341601135160801</v>
      </c>
      <c r="AI1020">
        <v>92.802470522692403</v>
      </c>
      <c r="AJ1020">
        <v>77.298134401363797</v>
      </c>
      <c r="AK1020">
        <v>22.929497782904299</v>
      </c>
      <c r="AL1020">
        <v>78.101627465168903</v>
      </c>
      <c r="AM1020">
        <v>81.820233781923207</v>
      </c>
      <c r="AN1020">
        <v>1.0000000430116001</v>
      </c>
    </row>
    <row r="1021" spans="1:40" x14ac:dyDescent="0.25">
      <c r="A1021" t="str">
        <f>"20190303162800041"</f>
        <v>20190303162800041</v>
      </c>
      <c r="B1021" t="str">
        <f>"1551601680032020"</f>
        <v>1551601680032020</v>
      </c>
      <c r="C1021" t="s">
        <v>40</v>
      </c>
      <c r="D1021">
        <v>4.4090389999999999</v>
      </c>
      <c r="E1021">
        <v>0.53477189999999997</v>
      </c>
      <c r="F1021" t="s">
        <v>41</v>
      </c>
      <c r="G1021">
        <v>-227.71950000000001</v>
      </c>
      <c r="H1021" s="1">
        <v>-2.2564289999999999E-6</v>
      </c>
      <c r="I1021">
        <v>364.00040000000001</v>
      </c>
      <c r="J1021">
        <v>-249.88800000000001</v>
      </c>
      <c r="K1021">
        <v>1.1210880000000001</v>
      </c>
      <c r="L1021">
        <v>369.01830000000001</v>
      </c>
      <c r="M1021">
        <v>0.99988679999999996</v>
      </c>
      <c r="N1021">
        <v>-1.3821780000000001E-2</v>
      </c>
      <c r="O1021">
        <v>5.9474769999999996E-3</v>
      </c>
      <c r="P1021">
        <v>0.97123619999999999</v>
      </c>
      <c r="Q1021">
        <v>0.1933986</v>
      </c>
      <c r="R1021">
        <v>-0.1389145</v>
      </c>
      <c r="S1021">
        <v>3.0235289999999999</v>
      </c>
      <c r="T1021">
        <v>-0.1505618</v>
      </c>
      <c r="U1021">
        <v>-0.67364499999999905</v>
      </c>
      <c r="V1021">
        <v>0.14480409999999999</v>
      </c>
      <c r="W1021">
        <v>0.20671249999999999</v>
      </c>
      <c r="X1021">
        <v>0.96762689999999996</v>
      </c>
      <c r="Y1021">
        <v>0.2229275</v>
      </c>
      <c r="Z1021">
        <v>-7.2518499999999998E-3</v>
      </c>
      <c r="AA1021">
        <v>0.97480800000000001</v>
      </c>
      <c r="AB1021">
        <v>36</v>
      </c>
      <c r="AC1021">
        <v>22.168499999999899</v>
      </c>
      <c r="AD1021">
        <v>-1.121090256429</v>
      </c>
      <c r="AE1021">
        <v>-5.0178999999999903</v>
      </c>
      <c r="AF1021">
        <v>5.1371726984665402</v>
      </c>
      <c r="AG1021">
        <v>-1.121090256429</v>
      </c>
      <c r="AH1021">
        <v>22.0845336361261</v>
      </c>
      <c r="AI1021">
        <v>92.830600830411896</v>
      </c>
      <c r="AJ1021">
        <v>76.905068180502596</v>
      </c>
      <c r="AK1021">
        <v>22.701850422864599</v>
      </c>
      <c r="AL1021">
        <v>78.070235051864699</v>
      </c>
      <c r="AM1021">
        <v>81.488920940780503</v>
      </c>
      <c r="AN1021">
        <v>1.00000005131833</v>
      </c>
    </row>
    <row r="1022" spans="1:40" x14ac:dyDescent="0.25">
      <c r="A1022" t="str">
        <f>"20190303162800054"</f>
        <v>20190303162800054</v>
      </c>
      <c r="B1022" t="str">
        <f>"1551601680042756"</f>
        <v>1551601680042756</v>
      </c>
      <c r="C1022" t="s">
        <v>40</v>
      </c>
      <c r="D1022">
        <v>4.3775959999999996</v>
      </c>
      <c r="E1022">
        <v>0.53457670000000002</v>
      </c>
      <c r="F1022" t="s">
        <v>41</v>
      </c>
      <c r="G1022">
        <v>-227.18440000000001</v>
      </c>
      <c r="H1022" s="1">
        <v>-2.4829590000000001E-6</v>
      </c>
      <c r="I1022">
        <v>363.83330000000001</v>
      </c>
      <c r="J1022">
        <v>-249.68870000000001</v>
      </c>
      <c r="K1022">
        <v>1.1210910000000001</v>
      </c>
      <c r="L1022">
        <v>369.01929999999999</v>
      </c>
      <c r="M1022">
        <v>0.99988770000000005</v>
      </c>
      <c r="N1022">
        <v>-1.382034E-2</v>
      </c>
      <c r="O1022">
        <v>5.8192640000000002E-3</v>
      </c>
      <c r="P1022">
        <v>0.97075219999999995</v>
      </c>
      <c r="Q1022">
        <v>0.19384870000000001</v>
      </c>
      <c r="R1022">
        <v>-0.14164499999999999</v>
      </c>
      <c r="S1022">
        <v>3.019882</v>
      </c>
      <c r="T1022">
        <v>-0.149119899999999</v>
      </c>
      <c r="U1022">
        <v>-0.68966669999999997</v>
      </c>
      <c r="V1022">
        <v>0.14740799999999901</v>
      </c>
      <c r="W1022">
        <v>0.2071519</v>
      </c>
      <c r="X1022">
        <v>0.96713959999999999</v>
      </c>
      <c r="Y1022">
        <v>0.22796839999999999</v>
      </c>
      <c r="Z1022">
        <v>-7.3544739999999997E-3</v>
      </c>
      <c r="AA1022">
        <v>0.97364070000000003</v>
      </c>
      <c r="AB1022">
        <v>36</v>
      </c>
      <c r="AC1022">
        <v>22.504300000000001</v>
      </c>
      <c r="AD1022">
        <v>-1.121093482959</v>
      </c>
      <c r="AE1022">
        <v>-5.1859999999999697</v>
      </c>
      <c r="AF1022">
        <v>5.3043829570321002</v>
      </c>
      <c r="AG1022">
        <v>-1.121093482959</v>
      </c>
      <c r="AH1022">
        <v>22.420900795598499</v>
      </c>
      <c r="AI1022">
        <v>92.785755426104402</v>
      </c>
      <c r="AJ1022">
        <v>76.689577529020795</v>
      </c>
      <c r="AK1022">
        <v>23.0670787408908</v>
      </c>
      <c r="AL1022">
        <v>78.044501893399101</v>
      </c>
      <c r="AM1022">
        <v>81.333875969966996</v>
      </c>
      <c r="AN1022">
        <v>1.00000001701288</v>
      </c>
    </row>
    <row r="1023" spans="1:40" x14ac:dyDescent="0.25">
      <c r="A1023" t="str">
        <f>"20190303162800067"</f>
        <v>20190303162800067</v>
      </c>
      <c r="B1023" t="str">
        <f>"1551601680062276"</f>
        <v>1551601680062276</v>
      </c>
      <c r="C1023" t="s">
        <v>40</v>
      </c>
      <c r="D1023">
        <v>4.3825599999999998</v>
      </c>
      <c r="E1023">
        <v>0.53428850000000006</v>
      </c>
      <c r="F1023" t="s">
        <v>41</v>
      </c>
      <c r="G1023">
        <v>-226.80940000000001</v>
      </c>
      <c r="H1023" s="1">
        <v>-2.6351770000000002E-6</v>
      </c>
      <c r="I1023">
        <v>363.74079999999998</v>
      </c>
      <c r="J1023">
        <v>-249.48519999999999</v>
      </c>
      <c r="K1023">
        <v>1.121092</v>
      </c>
      <c r="L1023">
        <v>369.0204</v>
      </c>
      <c r="M1023">
        <v>0.99988840000000001</v>
      </c>
      <c r="N1023">
        <v>-1.3818850000000001E-2</v>
      </c>
      <c r="O1023">
        <v>5.6884319999999898E-3</v>
      </c>
      <c r="P1023">
        <v>0.97025039999999996</v>
      </c>
      <c r="Q1023">
        <v>0.19421350000000001</v>
      </c>
      <c r="R1023">
        <v>-0.14455319999999999</v>
      </c>
      <c r="S1023">
        <v>3.0183409999999999</v>
      </c>
      <c r="T1023">
        <v>-0.14789920000000001</v>
      </c>
      <c r="U1023">
        <v>-0.69635009999999997</v>
      </c>
      <c r="V1023">
        <v>0.15018689999999901</v>
      </c>
      <c r="W1023">
        <v>0.20750689999999999</v>
      </c>
      <c r="X1023">
        <v>0.96663580000000004</v>
      </c>
      <c r="Y1023">
        <v>0.22999829999999999</v>
      </c>
      <c r="Z1023">
        <v>-7.3671839999999997E-3</v>
      </c>
      <c r="AA1023">
        <v>0.97316309999999995</v>
      </c>
      <c r="AB1023">
        <v>36</v>
      </c>
      <c r="AC1023">
        <v>22.675799999999899</v>
      </c>
      <c r="AD1023">
        <v>-1.1210946351769999</v>
      </c>
      <c r="AE1023">
        <v>-5.2796000000000101</v>
      </c>
      <c r="AF1023">
        <v>5.3960052547242601</v>
      </c>
      <c r="AG1023">
        <v>-1.1210946351769999</v>
      </c>
      <c r="AH1023">
        <v>22.593012599678399</v>
      </c>
      <c r="AI1023">
        <v>92.763170727864605</v>
      </c>
      <c r="AJ1023">
        <v>76.567390174132001</v>
      </c>
      <c r="AK1023">
        <v>23.255492775240501</v>
      </c>
      <c r="AL1023">
        <v>78.023709833463997</v>
      </c>
      <c r="AM1023">
        <v>81.168525835461097</v>
      </c>
      <c r="AN1023">
        <v>0.99999999416042995</v>
      </c>
    </row>
    <row r="1024" spans="1:40" x14ac:dyDescent="0.25">
      <c r="A1024" t="str">
        <f>"20190303162800077"</f>
        <v>20190303162800077</v>
      </c>
      <c r="B1024" t="str">
        <f>"1551601680072035"</f>
        <v>1551601680072035</v>
      </c>
      <c r="C1024" t="s">
        <v>40</v>
      </c>
      <c r="D1024">
        <v>4.4064189999999996</v>
      </c>
      <c r="E1024">
        <v>0.53401580000000004</v>
      </c>
      <c r="F1024" t="s">
        <v>41</v>
      </c>
      <c r="G1024">
        <v>-226.78030000000001</v>
      </c>
      <c r="H1024" s="1">
        <v>-2.6481250000000002E-6</v>
      </c>
      <c r="I1024">
        <v>363.7294</v>
      </c>
      <c r="J1024">
        <v>-249.29830000000001</v>
      </c>
      <c r="K1024">
        <v>1.1210880000000001</v>
      </c>
      <c r="L1024">
        <v>369.0213</v>
      </c>
      <c r="M1024">
        <v>0.99988909999999998</v>
      </c>
      <c r="N1024">
        <v>-1.381748E-2</v>
      </c>
      <c r="O1024">
        <v>5.5680959999999998E-3</v>
      </c>
      <c r="P1024">
        <v>0.96978220000000004</v>
      </c>
      <c r="Q1024">
        <v>0.19447390000000001</v>
      </c>
      <c r="R1024">
        <v>-0.14731759999999999</v>
      </c>
      <c r="S1024">
        <v>3.0170590000000002</v>
      </c>
      <c r="T1024">
        <v>-0.1489722</v>
      </c>
      <c r="U1024">
        <v>-0.70306400000000002</v>
      </c>
      <c r="V1024">
        <v>0.15283269999999999</v>
      </c>
      <c r="W1024">
        <v>0.20775779999999999</v>
      </c>
      <c r="X1024">
        <v>0.96616709999999995</v>
      </c>
      <c r="Y1024">
        <v>0.2320188</v>
      </c>
      <c r="Z1024">
        <v>-7.4698519999999999E-3</v>
      </c>
      <c r="AA1024">
        <v>0.97268259999999995</v>
      </c>
      <c r="AB1024">
        <v>36</v>
      </c>
      <c r="AC1024">
        <v>22.518000000000001</v>
      </c>
      <c r="AD1024">
        <v>-1.12109064812499</v>
      </c>
      <c r="AE1024">
        <v>-5.2918999999999903</v>
      </c>
      <c r="AF1024">
        <v>5.4045173118760896</v>
      </c>
      <c r="AG1024">
        <v>-1.12109064812499</v>
      </c>
      <c r="AH1024">
        <v>22.4354822305894</v>
      </c>
      <c r="AI1024">
        <v>92.781236547102296</v>
      </c>
      <c r="AJ1024">
        <v>76.455978403937394</v>
      </c>
      <c r="AK1024">
        <v>23.104469579169599</v>
      </c>
      <c r="AL1024">
        <v>78.009014144152104</v>
      </c>
      <c r="AM1024">
        <v>81.011173404433904</v>
      </c>
      <c r="AN1024">
        <v>1.00000000138627</v>
      </c>
    </row>
    <row r="1025" spans="1:40" x14ac:dyDescent="0.25">
      <c r="A1025" t="str">
        <f>"20190303162800089"</f>
        <v>20190303162800089</v>
      </c>
      <c r="B1025" t="str">
        <f>"1551601680082772"</f>
        <v>1551601680082772</v>
      </c>
      <c r="C1025" t="s">
        <v>40</v>
      </c>
      <c r="D1025">
        <v>4.3947760000000002</v>
      </c>
      <c r="E1025">
        <v>0.53373930000000003</v>
      </c>
      <c r="F1025" t="s">
        <v>41</v>
      </c>
      <c r="G1025">
        <v>-226.55170000000001</v>
      </c>
      <c r="H1025" s="1">
        <v>-2.7411049999999998E-6</v>
      </c>
      <c r="I1025">
        <v>363.67239999999998</v>
      </c>
      <c r="J1025">
        <v>-249.11590000000001</v>
      </c>
      <c r="K1025">
        <v>1.121089</v>
      </c>
      <c r="L1025">
        <v>369.0222</v>
      </c>
      <c r="M1025">
        <v>0.99988969999999999</v>
      </c>
      <c r="N1025">
        <v>-1.3816129999999999E-2</v>
      </c>
      <c r="O1025">
        <v>5.4509199999999997E-3</v>
      </c>
      <c r="P1025">
        <v>0.9694121</v>
      </c>
      <c r="Q1025">
        <v>0.19427949999999999</v>
      </c>
      <c r="R1025">
        <v>-0.1499858</v>
      </c>
      <c r="S1025">
        <v>3.0155789999999998</v>
      </c>
      <c r="T1025">
        <v>-0.1486249</v>
      </c>
      <c r="U1025">
        <v>-0.70910640000000003</v>
      </c>
      <c r="V1025">
        <v>0.155385299999999</v>
      </c>
      <c r="W1025">
        <v>0.2075554</v>
      </c>
      <c r="X1025">
        <v>0.96580339999999998</v>
      </c>
      <c r="Y1025">
        <v>0.23385629999999999</v>
      </c>
      <c r="Z1025">
        <v>-7.5112180000000001E-3</v>
      </c>
      <c r="AA1025">
        <v>0.97224219999999895</v>
      </c>
      <c r="AB1025">
        <v>36</v>
      </c>
      <c r="AC1025">
        <v>22.5642</v>
      </c>
      <c r="AD1025">
        <v>-1.1210917411049901</v>
      </c>
      <c r="AE1025">
        <v>-5.3498000000000099</v>
      </c>
      <c r="AF1025">
        <v>5.4599670038075896</v>
      </c>
      <c r="AG1025">
        <v>-1.1210917411049901</v>
      </c>
      <c r="AH1025">
        <v>22.482155893934301</v>
      </c>
      <c r="AI1025">
        <v>92.774229534835996</v>
      </c>
      <c r="AJ1025">
        <v>76.349545108215906</v>
      </c>
      <c r="AK1025">
        <v>23.162802507766798</v>
      </c>
      <c r="AL1025">
        <v>78.020869473985101</v>
      </c>
      <c r="AM1025">
        <v>80.860172031895402</v>
      </c>
      <c r="AN1025">
        <v>1.0000000214883999</v>
      </c>
    </row>
    <row r="1026" spans="1:40" x14ac:dyDescent="0.25">
      <c r="A1026" t="str">
        <f>"20190303162800101"</f>
        <v>20190303162800101</v>
      </c>
      <c r="B1026" t="str">
        <f>"1551601680092532"</f>
        <v>1551601680092532</v>
      </c>
      <c r="C1026" t="s">
        <v>40</v>
      </c>
      <c r="D1026">
        <v>4.4180989999999998</v>
      </c>
      <c r="E1026">
        <v>0.53342369999999995</v>
      </c>
      <c r="F1026" t="s">
        <v>41</v>
      </c>
      <c r="G1026">
        <v>-226.4717</v>
      </c>
      <c r="H1026" s="1">
        <v>-2.7749610000000001E-6</v>
      </c>
      <c r="I1026">
        <v>363.6474</v>
      </c>
      <c r="J1026">
        <v>-248.92509999999999</v>
      </c>
      <c r="K1026">
        <v>1.121084</v>
      </c>
      <c r="L1026">
        <v>369.0231</v>
      </c>
      <c r="M1026">
        <v>0.99989039999999996</v>
      </c>
      <c r="N1026">
        <v>-1.3814720000000001E-2</v>
      </c>
      <c r="O1026">
        <v>5.3285590000000001E-3</v>
      </c>
      <c r="P1026">
        <v>0.96907860000000001</v>
      </c>
      <c r="Q1026">
        <v>0.19413169999999999</v>
      </c>
      <c r="R1026">
        <v>-0.15231449999999999</v>
      </c>
      <c r="S1026">
        <v>3.013855</v>
      </c>
      <c r="T1026">
        <v>-0.1492125</v>
      </c>
      <c r="U1026">
        <v>-0.71536250000000001</v>
      </c>
      <c r="V1026">
        <v>0.15759389999999901</v>
      </c>
      <c r="W1026">
        <v>0.2074001</v>
      </c>
      <c r="X1026">
        <v>0.96547879999999997</v>
      </c>
      <c r="Y1026">
        <v>0.2357668</v>
      </c>
      <c r="Z1026">
        <v>-7.5925840000000003E-3</v>
      </c>
      <c r="AA1026">
        <v>0.97177999999999998</v>
      </c>
      <c r="AB1026">
        <v>36</v>
      </c>
      <c r="AC1026">
        <v>22.453399999999899</v>
      </c>
      <c r="AD1026">
        <v>-1.1210867749609901</v>
      </c>
      <c r="AE1026">
        <v>-5.3756999999999904</v>
      </c>
      <c r="AF1026">
        <v>5.4823530323145002</v>
      </c>
      <c r="AG1026">
        <v>-1.1210867749609901</v>
      </c>
      <c r="AH1026">
        <v>22.371685640935901</v>
      </c>
      <c r="AI1026">
        <v>92.786485091479094</v>
      </c>
      <c r="AJ1026">
        <v>76.230582516459506</v>
      </c>
      <c r="AK1026">
        <v>23.060905202198299</v>
      </c>
      <c r="AL1026">
        <v>78.029964886666093</v>
      </c>
      <c r="AM1026">
        <v>80.729438230997701</v>
      </c>
      <c r="AN1026">
        <v>0.99999997602332902</v>
      </c>
    </row>
    <row r="1027" spans="1:40" x14ac:dyDescent="0.25">
      <c r="A1027" t="str">
        <f>"20190303162800114"</f>
        <v>20190303162800114</v>
      </c>
      <c r="B1027" t="str">
        <f>"1551601680102292"</f>
        <v>1551601680102292</v>
      </c>
      <c r="C1027" t="s">
        <v>40</v>
      </c>
      <c r="D1027">
        <v>4.4084320000000004</v>
      </c>
      <c r="E1027">
        <v>0.53303269999999903</v>
      </c>
      <c r="F1027" t="s">
        <v>41</v>
      </c>
      <c r="G1027">
        <v>-226.34979999999999</v>
      </c>
      <c r="H1027" s="1">
        <v>-2.8217649999999999E-6</v>
      </c>
      <c r="I1027">
        <v>363.62740000000002</v>
      </c>
      <c r="J1027">
        <v>-248.73869999999999</v>
      </c>
      <c r="K1027">
        <v>1.121089</v>
      </c>
      <c r="L1027">
        <v>369.024</v>
      </c>
      <c r="M1027">
        <v>0.99989099999999997</v>
      </c>
      <c r="N1027">
        <v>-1.381332E-2</v>
      </c>
      <c r="O1027">
        <v>5.2095350000000004E-3</v>
      </c>
      <c r="P1027">
        <v>0.96889040000000004</v>
      </c>
      <c r="Q1027">
        <v>0.19348879999999999</v>
      </c>
      <c r="R1027">
        <v>-0.15431719999999999</v>
      </c>
      <c r="S1027">
        <v>3.012527</v>
      </c>
      <c r="T1027">
        <v>-0.14960100000000001</v>
      </c>
      <c r="U1027">
        <v>-0.72000120000000001</v>
      </c>
      <c r="V1027">
        <v>0.15948010000000001</v>
      </c>
      <c r="W1027">
        <v>0.20675260000000001</v>
      </c>
      <c r="X1027">
        <v>0.96530800000000005</v>
      </c>
      <c r="Y1027">
        <v>0.23715919999999999</v>
      </c>
      <c r="Z1027">
        <v>-7.6495309999999898E-3</v>
      </c>
      <c r="AA1027">
        <v>0.97144070000000005</v>
      </c>
      <c r="AB1027">
        <v>36</v>
      </c>
      <c r="AC1027">
        <v>22.3889</v>
      </c>
      <c r="AD1027">
        <v>-1.1210918217649899</v>
      </c>
      <c r="AE1027">
        <v>-5.3965999999999701</v>
      </c>
      <c r="AF1027">
        <v>5.5001400583262496</v>
      </c>
      <c r="AG1027">
        <v>-1.1210918217649899</v>
      </c>
      <c r="AH1027">
        <v>22.307617694428899</v>
      </c>
      <c r="AI1027">
        <v>92.793517131330006</v>
      </c>
      <c r="AJ1027">
        <v>76.149473005571195</v>
      </c>
      <c r="AK1027">
        <v>23.003004037186798</v>
      </c>
      <c r="AL1027">
        <v>78.067886593565703</v>
      </c>
      <c r="AM1027">
        <v>80.6188116366245</v>
      </c>
      <c r="AN1027">
        <v>1.0000000373833799</v>
      </c>
    </row>
    <row r="1028" spans="1:40" x14ac:dyDescent="0.25">
      <c r="A1028" t="str">
        <f>"20190303162800127"</f>
        <v>20190303162800127</v>
      </c>
      <c r="B1028" t="str">
        <f>"1551601680122789"</f>
        <v>1551601680122789</v>
      </c>
      <c r="C1028" t="s">
        <v>40</v>
      </c>
      <c r="D1028">
        <v>4.4248779999999996</v>
      </c>
      <c r="E1028">
        <v>0.53237100000000004</v>
      </c>
      <c r="F1028" t="s">
        <v>41</v>
      </c>
      <c r="G1028">
        <v>-226.46430000000001</v>
      </c>
      <c r="H1028" s="1">
        <v>-2.7705029999999999E-6</v>
      </c>
      <c r="I1028">
        <v>363.6737</v>
      </c>
      <c r="J1028">
        <v>-248.53479999999999</v>
      </c>
      <c r="K1028">
        <v>1.1210880000000001</v>
      </c>
      <c r="L1028">
        <v>369.0249</v>
      </c>
      <c r="M1028">
        <v>0.9998918</v>
      </c>
      <c r="N1028">
        <v>-1.3811820000000001E-2</v>
      </c>
      <c r="O1028">
        <v>5.0790100000000001E-3</v>
      </c>
      <c r="P1028">
        <v>0.96857329999999997</v>
      </c>
      <c r="Q1028">
        <v>0.19345709999999999</v>
      </c>
      <c r="R1028">
        <v>-0.15633569999999999</v>
      </c>
      <c r="S1028">
        <v>3.0113979999999998</v>
      </c>
      <c r="T1028">
        <v>-0.1515658</v>
      </c>
      <c r="U1028">
        <v>-0.72332759999999996</v>
      </c>
      <c r="V1028">
        <v>0.16137070000000001</v>
      </c>
      <c r="W1028">
        <v>0.2067138</v>
      </c>
      <c r="X1028">
        <v>0.96500200000000003</v>
      </c>
      <c r="Y1028">
        <v>0.23811950000000001</v>
      </c>
      <c r="Z1028">
        <v>-7.7563930000000003E-3</v>
      </c>
      <c r="AA1028">
        <v>0.97120490000000004</v>
      </c>
      <c r="AB1028">
        <v>36</v>
      </c>
      <c r="AC1028">
        <v>22.0704999999999</v>
      </c>
      <c r="AD1028">
        <v>-1.12109077050299</v>
      </c>
      <c r="AE1028">
        <v>-5.3512000000000004</v>
      </c>
      <c r="AF1028">
        <v>5.4499566015608698</v>
      </c>
      <c r="AG1028">
        <v>-1.12109077050299</v>
      </c>
      <c r="AH1028">
        <v>21.989446436451299</v>
      </c>
      <c r="AI1028">
        <v>92.833022134865402</v>
      </c>
      <c r="AJ1028">
        <v>76.080068223641703</v>
      </c>
      <c r="AK1028">
        <v>22.682473984470199</v>
      </c>
      <c r="AL1028">
        <v>78.070158047255006</v>
      </c>
      <c r="AM1028">
        <v>80.506656691162306</v>
      </c>
      <c r="AN1028">
        <v>0.99999997896646398</v>
      </c>
    </row>
    <row r="1029" spans="1:40" x14ac:dyDescent="0.25">
      <c r="A1029" t="str">
        <f>"20190303162800138"</f>
        <v>20190303162800138</v>
      </c>
      <c r="B1029" t="str">
        <f>"1551601680132548"</f>
        <v>1551601680132548</v>
      </c>
      <c r="C1029" t="s">
        <v>40</v>
      </c>
      <c r="D1029">
        <v>4.4157520000000003</v>
      </c>
      <c r="E1029">
        <v>0.53206750000000003</v>
      </c>
      <c r="F1029" t="s">
        <v>41</v>
      </c>
      <c r="G1029">
        <v>-226.45140000000001</v>
      </c>
      <c r="H1029" s="1">
        <v>-2.7648959999999999E-6</v>
      </c>
      <c r="I1029">
        <v>363.71120000000002</v>
      </c>
      <c r="J1029">
        <v>-248.3383</v>
      </c>
      <c r="K1029">
        <v>1.121089</v>
      </c>
      <c r="L1029">
        <v>369.0258</v>
      </c>
      <c r="M1029">
        <v>0.99989229999999996</v>
      </c>
      <c r="N1029">
        <v>-1.381047E-2</v>
      </c>
      <c r="O1029">
        <v>4.9536129999999999E-3</v>
      </c>
      <c r="P1029">
        <v>0.96829180000000004</v>
      </c>
      <c r="Q1029">
        <v>0.1934601</v>
      </c>
      <c r="R1029">
        <v>-0.15806429999999999</v>
      </c>
      <c r="S1029">
        <v>3.0109409999999999</v>
      </c>
      <c r="T1029">
        <v>-0.1528534</v>
      </c>
      <c r="U1029">
        <v>-0.72448729999999995</v>
      </c>
      <c r="V1029">
        <v>0.16297679999999901</v>
      </c>
      <c r="W1029">
        <v>0.20671059999999999</v>
      </c>
      <c r="X1029">
        <v>0.96473279999999995</v>
      </c>
      <c r="Y1029">
        <v>0.2383788</v>
      </c>
      <c r="Z1029">
        <v>-7.8129540000000004E-3</v>
      </c>
      <c r="AA1029">
        <v>0.97114080000000003</v>
      </c>
      <c r="AB1029">
        <v>36</v>
      </c>
      <c r="AC1029">
        <v>21.886900000000001</v>
      </c>
      <c r="AD1029">
        <v>-1.1210917648959999</v>
      </c>
      <c r="AE1029">
        <v>-5.31459999999998</v>
      </c>
      <c r="AF1029">
        <v>5.4095615629789098</v>
      </c>
      <c r="AG1029">
        <v>-1.1210917648959999</v>
      </c>
      <c r="AH1029">
        <v>21.806274926002001</v>
      </c>
      <c r="AI1029">
        <v>92.856629790409301</v>
      </c>
      <c r="AJ1029">
        <v>76.067684404989706</v>
      </c>
      <c r="AK1029">
        <v>22.495195691466201</v>
      </c>
      <c r="AL1029">
        <v>78.070346209517098</v>
      </c>
      <c r="AM1029">
        <v>80.411290536863504</v>
      </c>
      <c r="AN1029">
        <v>1.0000000424432101</v>
      </c>
    </row>
    <row r="1030" spans="1:40" x14ac:dyDescent="0.25">
      <c r="A1030" t="str">
        <f>"20190303162800154"</f>
        <v>20190303162800154</v>
      </c>
      <c r="B1030" t="str">
        <f>"1551601680142307"</f>
        <v>1551601680142307</v>
      </c>
      <c r="C1030" t="s">
        <v>40</v>
      </c>
      <c r="D1030">
        <v>4.4204889999999999</v>
      </c>
      <c r="E1030">
        <v>0.53179350000000003</v>
      </c>
      <c r="F1030" t="s">
        <v>41</v>
      </c>
      <c r="G1030">
        <v>-226.2578</v>
      </c>
      <c r="H1030" s="1">
        <v>-2.835936E-6</v>
      </c>
      <c r="I1030">
        <v>363.6918</v>
      </c>
      <c r="J1030">
        <v>-248.10290000000001</v>
      </c>
      <c r="K1030">
        <v>1.121094</v>
      </c>
      <c r="L1030">
        <v>369.02679999999998</v>
      </c>
      <c r="M1030">
        <v>0.99989320000000004</v>
      </c>
      <c r="N1030">
        <v>-1.3808849999999999E-2</v>
      </c>
      <c r="O1030">
        <v>4.8029479999999996E-3</v>
      </c>
      <c r="P1030">
        <v>0.96766129999999995</v>
      </c>
      <c r="Q1030">
        <v>0.194212</v>
      </c>
      <c r="R1030">
        <v>-0.160976799999999</v>
      </c>
      <c r="S1030">
        <v>3.0100859999999998</v>
      </c>
      <c r="T1030">
        <v>-0.15283039999999901</v>
      </c>
      <c r="U1030">
        <v>-0.72714230000000002</v>
      </c>
      <c r="V1030">
        <v>0.1657409</v>
      </c>
      <c r="W1030">
        <v>0.20745050000000001</v>
      </c>
      <c r="X1030">
        <v>0.96410280000000004</v>
      </c>
      <c r="Y1030">
        <v>0.2391036</v>
      </c>
      <c r="Z1030">
        <v>-7.8308159999999905E-3</v>
      </c>
      <c r="AA1030">
        <v>0.97096249999999995</v>
      </c>
      <c r="AB1030">
        <v>36</v>
      </c>
      <c r="AC1030">
        <v>21.845099999999999</v>
      </c>
      <c r="AD1030">
        <v>-1.1210968359360001</v>
      </c>
      <c r="AE1030">
        <v>-5.3349999999999804</v>
      </c>
      <c r="AF1030">
        <v>5.4263819085282199</v>
      </c>
      <c r="AG1030">
        <v>-1.1210968359360001</v>
      </c>
      <c r="AH1030">
        <v>21.7651240075629</v>
      </c>
      <c r="AI1030">
        <v>92.861203802164596</v>
      </c>
      <c r="AJ1030">
        <v>76.000676582533202</v>
      </c>
      <c r="AK1030">
        <v>22.459365569787099</v>
      </c>
      <c r="AL1030">
        <v>78.0270130556151</v>
      </c>
      <c r="AM1030">
        <v>80.245512524151096</v>
      </c>
      <c r="AN1030">
        <v>0.99999998242544896</v>
      </c>
    </row>
    <row r="1031" spans="1:40" x14ac:dyDescent="0.25">
      <c r="A1031" t="str">
        <f>"20190303162800169"</f>
        <v>20190303162800169</v>
      </c>
      <c r="B1031" t="str">
        <f>"1551601680164757"</f>
        <v>1551601680164757</v>
      </c>
      <c r="C1031" t="s">
        <v>40</v>
      </c>
      <c r="D1031">
        <v>4.4120080000000002</v>
      </c>
      <c r="E1031">
        <v>0.53122349999999996</v>
      </c>
      <c r="F1031" t="s">
        <v>41</v>
      </c>
      <c r="G1031">
        <v>-225.7304</v>
      </c>
      <c r="H1031" s="1">
        <v>-3.0474510000000002E-6</v>
      </c>
      <c r="I1031">
        <v>363.57139999999998</v>
      </c>
      <c r="J1031">
        <v>-247.8595</v>
      </c>
      <c r="K1031">
        <v>1.121094</v>
      </c>
      <c r="L1031">
        <v>369.02780000000001</v>
      </c>
      <c r="M1031">
        <v>0.99989399999999995</v>
      </c>
      <c r="N1031">
        <v>-1.3807140000000001E-2</v>
      </c>
      <c r="O1031">
        <v>4.6472190000000002E-3</v>
      </c>
      <c r="P1031">
        <v>0.96742530000000004</v>
      </c>
      <c r="Q1031">
        <v>0.19439999999999999</v>
      </c>
      <c r="R1031">
        <v>-0.1621639</v>
      </c>
      <c r="S1031">
        <v>3.0084689999999998</v>
      </c>
      <c r="T1031">
        <v>-0.15075539999999901</v>
      </c>
      <c r="U1031">
        <v>-0.7335815</v>
      </c>
      <c r="V1031">
        <v>0.16677649999999999</v>
      </c>
      <c r="W1031">
        <v>0.20763329999999999</v>
      </c>
      <c r="X1031">
        <v>0.96388479999999999</v>
      </c>
      <c r="Y1031">
        <v>0.2410397</v>
      </c>
      <c r="Z1031">
        <v>-7.8041339999999999E-3</v>
      </c>
      <c r="AA1031">
        <v>0.97048389999999995</v>
      </c>
      <c r="AB1031">
        <v>36</v>
      </c>
      <c r="AC1031">
        <v>22.129099999999902</v>
      </c>
      <c r="AD1031">
        <v>-1.121097047451</v>
      </c>
      <c r="AE1031">
        <v>-5.4564000000000297</v>
      </c>
      <c r="AF1031">
        <v>5.5457716130919801</v>
      </c>
      <c r="AG1031">
        <v>-1.121097047451</v>
      </c>
      <c r="AH1031">
        <v>22.050151051406399</v>
      </c>
      <c r="AI1031">
        <v>92.822823941567407</v>
      </c>
      <c r="AJ1031">
        <v>75.882509313167802</v>
      </c>
      <c r="AK1031">
        <v>22.764481166154901</v>
      </c>
      <c r="AL1031">
        <v>78.016305839170101</v>
      </c>
      <c r="AM1031">
        <v>80.183568645369803</v>
      </c>
      <c r="AN1031">
        <v>0.99999994794608804</v>
      </c>
    </row>
    <row r="1032" spans="1:40" x14ac:dyDescent="0.25">
      <c r="A1032" t="str">
        <f>"20190303162800184"</f>
        <v>20190303162800184</v>
      </c>
      <c r="B1032" t="str">
        <f>"1551601680172564"</f>
        <v>1551601680172564</v>
      </c>
      <c r="C1032" t="s">
        <v>40</v>
      </c>
      <c r="D1032">
        <v>4.4348020000000004</v>
      </c>
      <c r="E1032">
        <v>0.53098049999999997</v>
      </c>
      <c r="F1032" t="s">
        <v>41</v>
      </c>
      <c r="G1032">
        <v>-225.3535</v>
      </c>
      <c r="H1032" s="1">
        <v>-3.1821110000000001E-6</v>
      </c>
      <c r="I1032">
        <v>363.54730000000001</v>
      </c>
      <c r="J1032">
        <v>-247.6191</v>
      </c>
      <c r="K1032">
        <v>1.121092</v>
      </c>
      <c r="L1032">
        <v>369.02870000000001</v>
      </c>
      <c r="M1032">
        <v>0.99989470000000003</v>
      </c>
      <c r="N1032">
        <v>-1.380543E-2</v>
      </c>
      <c r="O1032">
        <v>4.4933400000000002E-3</v>
      </c>
      <c r="P1032">
        <v>0.96724679999999996</v>
      </c>
      <c r="Q1032">
        <v>0.19451099999999999</v>
      </c>
      <c r="R1032">
        <v>-0.16309319999999999</v>
      </c>
      <c r="S1032">
        <v>3.0083160000000002</v>
      </c>
      <c r="T1032">
        <v>-0.14985319999999999</v>
      </c>
      <c r="U1032">
        <v>-0.73254390000000003</v>
      </c>
      <c r="V1032">
        <v>0.16755629999999999</v>
      </c>
      <c r="W1032">
        <v>0.20774010000000001</v>
      </c>
      <c r="X1032">
        <v>0.96372659999999999</v>
      </c>
      <c r="Y1032">
        <v>0.24059030000000001</v>
      </c>
      <c r="Z1032">
        <v>-7.7478410000000001E-3</v>
      </c>
      <c r="AA1032">
        <v>0.97059580000000001</v>
      </c>
      <c r="AB1032">
        <v>36</v>
      </c>
      <c r="AC1032">
        <v>22.265599999999999</v>
      </c>
      <c r="AD1032">
        <v>-1.121095182111</v>
      </c>
      <c r="AE1032">
        <v>-5.4813999999999998</v>
      </c>
      <c r="AF1032">
        <v>5.5680913831580501</v>
      </c>
      <c r="AG1032">
        <v>-1.121095182111</v>
      </c>
      <c r="AH1032">
        <v>22.187706578054399</v>
      </c>
      <c r="AI1032">
        <v>92.805713111329993</v>
      </c>
      <c r="AJ1032">
        <v>75.912328890501897</v>
      </c>
      <c r="AK1032">
        <v>22.9031617741392</v>
      </c>
      <c r="AL1032">
        <v>78.0100510183875</v>
      </c>
      <c r="AM1032">
        <v>80.136981830543704</v>
      </c>
      <c r="AN1032">
        <v>1.0000000111826299</v>
      </c>
    </row>
    <row r="1033" spans="1:40" x14ac:dyDescent="0.25">
      <c r="A1033" t="str">
        <f>"20190303162800198"</f>
        <v>20190303162800198</v>
      </c>
      <c r="B1033" t="str">
        <f>"1551601680192083"</f>
        <v>1551601680192083</v>
      </c>
      <c r="C1033" t="s">
        <v>40</v>
      </c>
      <c r="D1033">
        <v>4.429271</v>
      </c>
      <c r="E1033">
        <v>0.53035769999999904</v>
      </c>
      <c r="F1033" t="s">
        <v>41</v>
      </c>
      <c r="G1033">
        <v>-225.00550000000001</v>
      </c>
      <c r="H1033" s="1">
        <v>-3.3085440000000001E-6</v>
      </c>
      <c r="I1033">
        <v>363.51729999999998</v>
      </c>
      <c r="J1033">
        <v>-247.3817</v>
      </c>
      <c r="K1033">
        <v>1.121095</v>
      </c>
      <c r="L1033">
        <v>369.02960000000002</v>
      </c>
      <c r="M1033">
        <v>0.99989530000000004</v>
      </c>
      <c r="N1033">
        <v>-1.380372E-2</v>
      </c>
      <c r="O1033">
        <v>4.340956E-3</v>
      </c>
      <c r="P1033">
        <v>0.96705700000000006</v>
      </c>
      <c r="Q1033">
        <v>0.19464100000000001</v>
      </c>
      <c r="R1033">
        <v>-0.1640607</v>
      </c>
      <c r="S1033">
        <v>3.0079500000000001</v>
      </c>
      <c r="T1033">
        <v>-0.149122</v>
      </c>
      <c r="U1033">
        <v>-0.73309329999999995</v>
      </c>
      <c r="V1033">
        <v>0.16837550000000001</v>
      </c>
      <c r="W1033">
        <v>0.2078661</v>
      </c>
      <c r="X1033">
        <v>0.96355659999999999</v>
      </c>
      <c r="Y1033">
        <v>0.24063999999999999</v>
      </c>
      <c r="Z1033">
        <v>-7.7146109999999997E-3</v>
      </c>
      <c r="AA1033">
        <v>0.9705838</v>
      </c>
      <c r="AB1033">
        <v>36</v>
      </c>
      <c r="AC1033">
        <v>22.376199999999901</v>
      </c>
      <c r="AD1033">
        <v>-1.1210983085440001</v>
      </c>
      <c r="AE1033">
        <v>-5.5123000000000397</v>
      </c>
      <c r="AF1033">
        <v>5.5961474813395897</v>
      </c>
      <c r="AG1033">
        <v>-1.1210983085440001</v>
      </c>
      <c r="AH1033">
        <v>22.2992843766086</v>
      </c>
      <c r="AI1033">
        <v>92.791702714936605</v>
      </c>
      <c r="AJ1033">
        <v>75.912195426309196</v>
      </c>
      <c r="AK1033">
        <v>23.018075761435501</v>
      </c>
      <c r="AL1033">
        <v>78.002670176300697</v>
      </c>
      <c r="AM1033">
        <v>80.088000511762004</v>
      </c>
      <c r="AN1033">
        <v>0.999999972966509</v>
      </c>
    </row>
    <row r="1034" spans="1:40" x14ac:dyDescent="0.25">
      <c r="A1034" t="str">
        <f>"20190303162800210"</f>
        <v>20190303162800210</v>
      </c>
      <c r="B1034" t="str">
        <f>"1551601680202820"</f>
        <v>1551601680202820</v>
      </c>
      <c r="C1034" t="s">
        <v>40</v>
      </c>
      <c r="D1034">
        <v>4.4377009999999997</v>
      </c>
      <c r="E1034">
        <v>0.53009490000000004</v>
      </c>
      <c r="F1034" t="s">
        <v>41</v>
      </c>
      <c r="G1034">
        <v>-224.60769999999999</v>
      </c>
      <c r="H1034" s="1">
        <v>-3.4493749999999999E-6</v>
      </c>
      <c r="I1034">
        <v>363.49680000000001</v>
      </c>
      <c r="J1034">
        <v>-247.20410000000001</v>
      </c>
      <c r="K1034">
        <v>1.1210960000000001</v>
      </c>
      <c r="L1034">
        <v>369.03030000000001</v>
      </c>
      <c r="M1034">
        <v>0.99989589999999995</v>
      </c>
      <c r="N1034">
        <v>-1.3802450000000001E-2</v>
      </c>
      <c r="O1034">
        <v>4.2272469999999999E-3</v>
      </c>
      <c r="P1034">
        <v>0.96706579999999998</v>
      </c>
      <c r="Q1034">
        <v>0.194525</v>
      </c>
      <c r="R1034">
        <v>-0.16414589999999901</v>
      </c>
      <c r="S1034">
        <v>3.0080260000000001</v>
      </c>
      <c r="T1034">
        <v>-0.14807609999999999</v>
      </c>
      <c r="U1034">
        <v>-0.73077389999999998</v>
      </c>
      <c r="V1034">
        <v>0.168351</v>
      </c>
      <c r="W1034">
        <v>0.20774899999999999</v>
      </c>
      <c r="X1034">
        <v>0.96358619999999995</v>
      </c>
      <c r="Y1034">
        <v>0.23982319999999999</v>
      </c>
      <c r="Z1034">
        <v>-7.6425399999999998E-3</v>
      </c>
      <c r="AA1034">
        <v>0.9707865</v>
      </c>
      <c r="AB1034">
        <v>36</v>
      </c>
      <c r="AC1034">
        <v>22.596399999999999</v>
      </c>
      <c r="AD1034">
        <v>-1.1210994493749999</v>
      </c>
      <c r="AE1034">
        <v>-5.5335000000000001</v>
      </c>
      <c r="AF1034">
        <v>5.6159383532893399</v>
      </c>
      <c r="AG1034">
        <v>-1.1210994493749999</v>
      </c>
      <c r="AH1034">
        <v>22.520505168707398</v>
      </c>
      <c r="AI1034">
        <v>92.765356149193195</v>
      </c>
      <c r="AJ1034">
        <v>75.997734641166005</v>
      </c>
      <c r="AK1034">
        <v>23.237228333368702</v>
      </c>
      <c r="AL1034">
        <v>78.009530008794599</v>
      </c>
      <c r="AM1034">
        <v>80.089712592806805</v>
      </c>
      <c r="AN1034">
        <v>1.00000003551621</v>
      </c>
    </row>
    <row r="1035" spans="1:40" x14ac:dyDescent="0.25">
      <c r="A1035" t="str">
        <f>"20190303162800222"</f>
        <v>20190303162800222</v>
      </c>
      <c r="B1035" t="str">
        <f>"1551601680212580"</f>
        <v>1551601680212580</v>
      </c>
      <c r="C1035" t="s">
        <v>40</v>
      </c>
      <c r="D1035">
        <v>4.4033810000000004</v>
      </c>
      <c r="E1035">
        <v>0.52990280000000001</v>
      </c>
      <c r="F1035" t="s">
        <v>41</v>
      </c>
      <c r="G1035">
        <v>-224.54130000000001</v>
      </c>
      <c r="H1035" s="1">
        <v>-3.460004E-6</v>
      </c>
      <c r="I1035">
        <v>363.54169999999999</v>
      </c>
      <c r="J1035">
        <v>-247.00919999999999</v>
      </c>
      <c r="K1035">
        <v>1.121094</v>
      </c>
      <c r="L1035">
        <v>369.03100000000001</v>
      </c>
      <c r="M1035">
        <v>0.99989640000000002</v>
      </c>
      <c r="N1035">
        <v>-1.380107E-2</v>
      </c>
      <c r="O1035">
        <v>4.1024520000000004E-3</v>
      </c>
      <c r="P1035">
        <v>0.96706769999999997</v>
      </c>
      <c r="Q1035">
        <v>0.19443530000000001</v>
      </c>
      <c r="R1035">
        <v>-0.16424079999999999</v>
      </c>
      <c r="S1035">
        <v>3.0084230000000001</v>
      </c>
      <c r="T1035">
        <v>-0.14882229999999999</v>
      </c>
      <c r="U1035">
        <v>-0.72857669999999997</v>
      </c>
      <c r="V1035">
        <v>0.16832510000000001</v>
      </c>
      <c r="W1035">
        <v>0.2076585</v>
      </c>
      <c r="X1035">
        <v>0.96361019999999997</v>
      </c>
      <c r="Y1035">
        <v>0.23900109999999999</v>
      </c>
      <c r="Z1035">
        <v>-7.6421010000000001E-3</v>
      </c>
      <c r="AA1035">
        <v>0.9709892</v>
      </c>
      <c r="AB1035">
        <v>35</v>
      </c>
      <c r="AC1035">
        <v>22.467899999999901</v>
      </c>
      <c r="AD1035">
        <v>-1.121097460004</v>
      </c>
      <c r="AE1035">
        <v>-5.4893000000000098</v>
      </c>
      <c r="AF1035">
        <v>5.5683529954421997</v>
      </c>
      <c r="AG1035">
        <v>-1.121097460004</v>
      </c>
      <c r="AH1035">
        <v>22.392576944942899</v>
      </c>
      <c r="AI1035">
        <v>92.781580964762398</v>
      </c>
      <c r="AJ1035">
        <v>76.035521741185605</v>
      </c>
      <c r="AK1035">
        <v>23.101751380184702</v>
      </c>
      <c r="AL1035">
        <v>78.014830504737205</v>
      </c>
      <c r="AM1035">
        <v>80.091448922772102</v>
      </c>
      <c r="AN1035">
        <v>1.0000000047281401</v>
      </c>
    </row>
    <row r="1036" spans="1:40" x14ac:dyDescent="0.25">
      <c r="A1036" t="str">
        <f>"20190303162800236"</f>
        <v>20190303162800236</v>
      </c>
      <c r="B1036" t="str">
        <f>"1551601680222340"</f>
        <v>1551601680222340</v>
      </c>
      <c r="C1036" t="s">
        <v>40</v>
      </c>
      <c r="D1036">
        <v>4.3979780000000002</v>
      </c>
      <c r="E1036">
        <v>0.52972790000000003</v>
      </c>
      <c r="F1036" t="s">
        <v>41</v>
      </c>
      <c r="G1036">
        <v>-224.3734</v>
      </c>
      <c r="H1036" s="1">
        <v>-3.5114719999999998E-6</v>
      </c>
      <c r="I1036">
        <v>363.56310000000002</v>
      </c>
      <c r="J1036">
        <v>-246.81129999999999</v>
      </c>
      <c r="K1036">
        <v>1.121094</v>
      </c>
      <c r="L1036">
        <v>369.03160000000003</v>
      </c>
      <c r="M1036">
        <v>0.99989700000000004</v>
      </c>
      <c r="N1036">
        <v>-1.379965E-2</v>
      </c>
      <c r="O1036">
        <v>3.9759259999999899E-3</v>
      </c>
      <c r="P1036">
        <v>0.96719069999999996</v>
      </c>
      <c r="Q1036">
        <v>0.193775</v>
      </c>
      <c r="R1036">
        <v>-0.1642972</v>
      </c>
      <c r="S1036">
        <v>3.0087130000000002</v>
      </c>
      <c r="T1036">
        <v>-0.14901389999999901</v>
      </c>
      <c r="U1036">
        <v>-0.72677609999999904</v>
      </c>
      <c r="V1036">
        <v>0.1682594</v>
      </c>
      <c r="W1036">
        <v>0.20699890000000001</v>
      </c>
      <c r="X1036">
        <v>0.96376360000000005</v>
      </c>
      <c r="Y1036">
        <v>0.23830809999999999</v>
      </c>
      <c r="Z1036">
        <v>-7.6231980000000003E-3</v>
      </c>
      <c r="AA1036">
        <v>0.97115969999999996</v>
      </c>
      <c r="AB1036">
        <v>35</v>
      </c>
      <c r="AC1036">
        <v>22.4378999999999</v>
      </c>
      <c r="AD1036">
        <v>-1.1210975114720001</v>
      </c>
      <c r="AE1036">
        <v>-5.4684999999999997</v>
      </c>
      <c r="AF1036">
        <v>5.5446109349805699</v>
      </c>
      <c r="AG1036">
        <v>-1.1210975114720001</v>
      </c>
      <c r="AH1036">
        <v>22.3632796437888</v>
      </c>
      <c r="AI1036">
        <v>92.785698052224106</v>
      </c>
      <c r="AJ1036">
        <v>76.075236078845407</v>
      </c>
      <c r="AK1036">
        <v>23.067636343518899</v>
      </c>
      <c r="AL1036">
        <v>78.053462444370396</v>
      </c>
      <c r="AM1036">
        <v>80.096785087048303</v>
      </c>
      <c r="AN1036">
        <v>1.0000000234872599</v>
      </c>
    </row>
    <row r="1037" spans="1:40" x14ac:dyDescent="0.25">
      <c r="A1037" t="str">
        <f>"20190303162800247"</f>
        <v>20190303162800247</v>
      </c>
      <c r="B1037" t="str">
        <f>"1551601680242836"</f>
        <v>1551601680242836</v>
      </c>
      <c r="C1037" t="s">
        <v>40</v>
      </c>
      <c r="D1037">
        <v>4.4207269999999896</v>
      </c>
      <c r="E1037">
        <v>0.52951910000000002</v>
      </c>
      <c r="F1037" t="s">
        <v>41</v>
      </c>
      <c r="G1037">
        <v>-224.483</v>
      </c>
      <c r="H1037" s="1">
        <v>-3.450536E-6</v>
      </c>
      <c r="I1037">
        <v>363.65190000000001</v>
      </c>
      <c r="J1037">
        <v>-246.61189999999999</v>
      </c>
      <c r="K1037">
        <v>1.121084</v>
      </c>
      <c r="L1037">
        <v>369.03230000000002</v>
      </c>
      <c r="M1037">
        <v>0.99989740000000005</v>
      </c>
      <c r="N1037">
        <v>-1.379822E-2</v>
      </c>
      <c r="O1037">
        <v>3.848448E-3</v>
      </c>
      <c r="P1037">
        <v>0.96720079999999997</v>
      </c>
      <c r="Q1037">
        <v>0.19342599999999999</v>
      </c>
      <c r="R1037">
        <v>-0.16464970000000001</v>
      </c>
      <c r="S1037">
        <v>3.0089109999999999</v>
      </c>
      <c r="T1037">
        <v>-0.1510754</v>
      </c>
      <c r="U1037">
        <v>-0.72494510000000001</v>
      </c>
      <c r="V1037">
        <v>0.1684882</v>
      </c>
      <c r="W1037">
        <v>0.20664850000000001</v>
      </c>
      <c r="X1037">
        <v>0.96379879999999996</v>
      </c>
      <c r="Y1037">
        <v>0.23760329999999999</v>
      </c>
      <c r="Z1037">
        <v>-7.6790590000000002E-3</v>
      </c>
      <c r="AA1037">
        <v>0.97133190000000003</v>
      </c>
      <c r="AB1037">
        <v>35</v>
      </c>
      <c r="AC1037">
        <v>22.128899999999899</v>
      </c>
      <c r="AD1037">
        <v>-1.121087450536</v>
      </c>
      <c r="AE1037">
        <v>-5.3803999999999998</v>
      </c>
      <c r="AF1037">
        <v>5.4523173223011003</v>
      </c>
      <c r="AG1037">
        <v>-1.121087450536</v>
      </c>
      <c r="AH1037">
        <v>22.054582037864598</v>
      </c>
      <c r="AI1037">
        <v>92.825071446533201</v>
      </c>
      <c r="AJ1037">
        <v>76.113807307903798</v>
      </c>
      <c r="AK1037">
        <v>22.746190672719599</v>
      </c>
      <c r="AL1037">
        <v>78.073982300304806</v>
      </c>
      <c r="AM1037">
        <v>80.083940763542699</v>
      </c>
      <c r="AN1037">
        <v>1.0000000014864601</v>
      </c>
    </row>
    <row r="1038" spans="1:40" x14ac:dyDescent="0.25">
      <c r="A1038" t="str">
        <f>"20190303162800258"</f>
        <v>20190303162800258</v>
      </c>
      <c r="B1038" t="str">
        <f>"1551601680252596"</f>
        <v>1551601680252596</v>
      </c>
      <c r="C1038" t="s">
        <v>40</v>
      </c>
      <c r="D1038">
        <v>4.3812410000000002</v>
      </c>
      <c r="E1038">
        <v>0.52938439999999998</v>
      </c>
      <c r="F1038" t="s">
        <v>41</v>
      </c>
      <c r="G1038">
        <v>-224.52019999999999</v>
      </c>
      <c r="H1038" s="1">
        <v>-3.4201059999999998E-6</v>
      </c>
      <c r="I1038">
        <v>363.71870000000001</v>
      </c>
      <c r="J1038">
        <v>-246.42410000000001</v>
      </c>
      <c r="K1038">
        <v>1.1210819999999999</v>
      </c>
      <c r="L1038">
        <v>369.03289999999998</v>
      </c>
      <c r="M1038">
        <v>0.99989790000000001</v>
      </c>
      <c r="N1038">
        <v>-1.3796889999999999E-2</v>
      </c>
      <c r="O1038">
        <v>3.7281229999999999E-3</v>
      </c>
      <c r="P1038">
        <v>0.96729100000000001</v>
      </c>
      <c r="Q1038">
        <v>0.192908</v>
      </c>
      <c r="R1038">
        <v>-0.16472629999999999</v>
      </c>
      <c r="S1038">
        <v>3.0090940000000002</v>
      </c>
      <c r="T1038">
        <v>-0.152702</v>
      </c>
      <c r="U1038">
        <v>-0.72375489999999998</v>
      </c>
      <c r="V1038">
        <v>0.16844870000000001</v>
      </c>
      <c r="W1038">
        <v>0.20613110000000001</v>
      </c>
      <c r="X1038">
        <v>0.96391649999999995</v>
      </c>
      <c r="Y1038">
        <v>0.2371036</v>
      </c>
      <c r="Z1038">
        <v>-7.7236419999999898E-3</v>
      </c>
      <c r="AA1038">
        <v>0.97145369999999998</v>
      </c>
      <c r="AB1038">
        <v>35</v>
      </c>
      <c r="AC1038">
        <v>21.9039</v>
      </c>
      <c r="AD1038">
        <v>-1.1210854201060001</v>
      </c>
      <c r="AE1038">
        <v>-5.3141999999999703</v>
      </c>
      <c r="AF1038">
        <v>5.38251505966198</v>
      </c>
      <c r="AG1038">
        <v>-1.1210854201060001</v>
      </c>
      <c r="AH1038">
        <v>21.8299271845984</v>
      </c>
      <c r="AI1038">
        <v>92.854524938107403</v>
      </c>
      <c r="AJ1038">
        <v>76.149092436543299</v>
      </c>
      <c r="AK1038">
        <v>22.5116419163848</v>
      </c>
      <c r="AL1038">
        <v>78.104279504749599</v>
      </c>
      <c r="AM1038">
        <v>80.087405854840597</v>
      </c>
      <c r="AN1038">
        <v>1.0000000069455699</v>
      </c>
    </row>
    <row r="1039" spans="1:40" x14ac:dyDescent="0.25">
      <c r="A1039" t="str">
        <f>"20190303162800270"</f>
        <v>20190303162800270</v>
      </c>
      <c r="B1039" t="str">
        <f>"1551601680262356"</f>
        <v>1551601680262356</v>
      </c>
      <c r="C1039" t="s">
        <v>40</v>
      </c>
      <c r="D1039">
        <v>4.399057</v>
      </c>
      <c r="E1039">
        <v>0.52925669999999903</v>
      </c>
      <c r="F1039" t="s">
        <v>41</v>
      </c>
      <c r="G1039">
        <v>-224.57919999999999</v>
      </c>
      <c r="H1039" s="1">
        <v>-3.3812100000000002E-6</v>
      </c>
      <c r="I1039">
        <v>363.7894</v>
      </c>
      <c r="J1039">
        <v>-246.25489999999999</v>
      </c>
      <c r="K1039">
        <v>1.121084</v>
      </c>
      <c r="L1039">
        <v>369.03339999999997</v>
      </c>
      <c r="M1039">
        <v>0.99989839999999997</v>
      </c>
      <c r="N1039">
        <v>-1.3795689999999999E-2</v>
      </c>
      <c r="O1039">
        <v>3.6197769999999998E-3</v>
      </c>
      <c r="P1039">
        <v>0.96731199999999995</v>
      </c>
      <c r="Q1039">
        <v>0.1924997</v>
      </c>
      <c r="R1039">
        <v>-0.16508100000000001</v>
      </c>
      <c r="S1039">
        <v>3.0092620000000001</v>
      </c>
      <c r="T1039">
        <v>-0.1544353</v>
      </c>
      <c r="U1039">
        <v>-0.72232059999999998</v>
      </c>
      <c r="V1039">
        <v>0.1686984</v>
      </c>
      <c r="W1039">
        <v>0.20572190000000001</v>
      </c>
      <c r="X1039">
        <v>0.96396020000000004</v>
      </c>
      <c r="Y1039">
        <v>0.23654169999999999</v>
      </c>
      <c r="Z1039">
        <v>-7.7706040000000004E-3</v>
      </c>
      <c r="AA1039">
        <v>0.97159030000000002</v>
      </c>
      <c r="AB1039">
        <v>35</v>
      </c>
      <c r="AC1039">
        <v>21.675699999999999</v>
      </c>
      <c r="AD1039">
        <v>-1.12108738121</v>
      </c>
      <c r="AE1039">
        <v>-5.2439999999999696</v>
      </c>
      <c r="AF1039">
        <v>5.3090176606083501</v>
      </c>
      <c r="AG1039">
        <v>-1.12108738121</v>
      </c>
      <c r="AH1039">
        <v>21.601982796563899</v>
      </c>
      <c r="AI1039">
        <v>92.885135496581299</v>
      </c>
      <c r="AJ1039">
        <v>76.192341446160995</v>
      </c>
      <c r="AK1039">
        <v>22.273036752540101</v>
      </c>
      <c r="AL1039">
        <v>78.128237857940903</v>
      </c>
      <c r="AM1039">
        <v>80.073445084896804</v>
      </c>
      <c r="AN1039">
        <v>0.99999995874310399</v>
      </c>
    </row>
    <row r="1040" spans="1:40" x14ac:dyDescent="0.25">
      <c r="A1040" t="str">
        <f>"20190303162800281"</f>
        <v>20190303162800281</v>
      </c>
      <c r="B1040" t="str">
        <f>"1551601680272117"</f>
        <v>1551601680272117</v>
      </c>
      <c r="C1040" t="s">
        <v>40</v>
      </c>
      <c r="D1040">
        <v>4.4071030000000002</v>
      </c>
      <c r="E1040">
        <v>0.52915129999999999</v>
      </c>
      <c r="F1040" t="s">
        <v>41</v>
      </c>
      <c r="G1040">
        <v>-224.59540000000001</v>
      </c>
      <c r="H1040" s="1">
        <v>-3.3640209999999998E-6</v>
      </c>
      <c r="I1040">
        <v>363.83330000000001</v>
      </c>
      <c r="J1040">
        <v>-246.06729999999999</v>
      </c>
      <c r="K1040">
        <v>1.1210819999999999</v>
      </c>
      <c r="L1040">
        <v>369.03399999999999</v>
      </c>
      <c r="M1040">
        <v>0.99989870000000003</v>
      </c>
      <c r="N1040">
        <v>-1.379435E-2</v>
      </c>
      <c r="O1040">
        <v>3.499809E-3</v>
      </c>
      <c r="P1040">
        <v>0.96728099999999995</v>
      </c>
      <c r="Q1040">
        <v>0.19235189999999999</v>
      </c>
      <c r="R1040">
        <v>-0.16543350000000001</v>
      </c>
      <c r="S1040">
        <v>3.009125</v>
      </c>
      <c r="T1040">
        <v>-0.15575049999999999</v>
      </c>
      <c r="U1040">
        <v>-0.72244259999999905</v>
      </c>
      <c r="V1040">
        <v>0.16893469999999999</v>
      </c>
      <c r="W1040">
        <v>0.20557300000000001</v>
      </c>
      <c r="X1040">
        <v>0.96395059999999999</v>
      </c>
      <c r="Y1040">
        <v>0.2364668</v>
      </c>
      <c r="Z1040">
        <v>-7.8162319999999993E-3</v>
      </c>
      <c r="AA1040">
        <v>0.97160809999999997</v>
      </c>
      <c r="AB1040">
        <v>35</v>
      </c>
      <c r="AC1040">
        <v>21.471899999999899</v>
      </c>
      <c r="AD1040">
        <v>-1.1210853640209999</v>
      </c>
      <c r="AE1040">
        <v>-5.2006999999999799</v>
      </c>
      <c r="AF1040">
        <v>5.2622724797937499</v>
      </c>
      <c r="AG1040">
        <v>-1.1210853640209999</v>
      </c>
      <c r="AH1040">
        <v>21.398464184933999</v>
      </c>
      <c r="AI1040">
        <v>92.912420384766094</v>
      </c>
      <c r="AJ1040">
        <v>76.184078181319705</v>
      </c>
      <c r="AK1040">
        <v>22.064510271449901</v>
      </c>
      <c r="AL1040">
        <v>78.136955728442103</v>
      </c>
      <c r="AM1040">
        <v>80.059720832256403</v>
      </c>
      <c r="AN1040">
        <v>0.99999997521672401</v>
      </c>
    </row>
    <row r="1041" spans="1:40" x14ac:dyDescent="0.25">
      <c r="A1041" t="str">
        <f>"20190303162800292"</f>
        <v>20190303162800292</v>
      </c>
      <c r="B1041" t="str">
        <f>"1551601680282851"</f>
        <v>1551601680282851</v>
      </c>
      <c r="C1041" t="s">
        <v>40</v>
      </c>
      <c r="D1041">
        <v>4.4287289999999997</v>
      </c>
      <c r="E1041">
        <v>0.52904289999999998</v>
      </c>
      <c r="F1041" t="s">
        <v>41</v>
      </c>
      <c r="G1041">
        <v>-224.523</v>
      </c>
      <c r="H1041" s="1">
        <v>-3.380397E-6</v>
      </c>
      <c r="I1041">
        <v>363.86430000000001</v>
      </c>
      <c r="J1041">
        <v>-245.90020000000001</v>
      </c>
      <c r="K1041">
        <v>1.1210819999999999</v>
      </c>
      <c r="L1041">
        <v>369.03449999999998</v>
      </c>
      <c r="M1041">
        <v>0.99989919999999999</v>
      </c>
      <c r="N1041">
        <v>-1.379316E-2</v>
      </c>
      <c r="O1041">
        <v>3.39157E-3</v>
      </c>
      <c r="P1041">
        <v>0.96723460000000006</v>
      </c>
      <c r="Q1041">
        <v>0.1922373</v>
      </c>
      <c r="R1041">
        <v>-0.16583800000000001</v>
      </c>
      <c r="S1041">
        <v>3.009109</v>
      </c>
      <c r="T1041">
        <v>-0.1565822</v>
      </c>
      <c r="U1041">
        <v>-0.72204590000000002</v>
      </c>
      <c r="V1041">
        <v>0.16923479999999999</v>
      </c>
      <c r="W1041">
        <v>0.20545640000000001</v>
      </c>
      <c r="X1041">
        <v>0.96392290000000003</v>
      </c>
      <c r="Y1041">
        <v>0.23623839999999999</v>
      </c>
      <c r="Z1041">
        <v>-7.8377840000000004E-3</v>
      </c>
      <c r="AA1041">
        <v>0.97166350000000001</v>
      </c>
      <c r="AB1041">
        <v>35</v>
      </c>
      <c r="AC1041">
        <v>21.377199999999998</v>
      </c>
      <c r="AD1041">
        <v>-1.121085380397</v>
      </c>
      <c r="AE1041">
        <v>-5.1701999999999604</v>
      </c>
      <c r="AF1041">
        <v>5.2290927331091002</v>
      </c>
      <c r="AG1041">
        <v>-1.121085380397</v>
      </c>
      <c r="AH1041">
        <v>21.304185861350799</v>
      </c>
      <c r="AI1041">
        <v>92.925604000199797</v>
      </c>
      <c r="AJ1041">
        <v>76.209428676023606</v>
      </c>
      <c r="AK1041">
        <v>21.965167389678001</v>
      </c>
      <c r="AL1041">
        <v>78.143783074220394</v>
      </c>
      <c r="AM1041">
        <v>80.042135358804202</v>
      </c>
      <c r="AN1041">
        <v>1.0000000534882001</v>
      </c>
    </row>
    <row r="1042" spans="1:40" x14ac:dyDescent="0.25">
      <c r="A1042" t="str">
        <f>"20190303162800306"</f>
        <v>20190303162800306</v>
      </c>
      <c r="B1042" t="str">
        <f>"1551601680302372"</f>
        <v>1551601680302372</v>
      </c>
      <c r="C1042" t="s">
        <v>40</v>
      </c>
      <c r="D1042">
        <v>4.4293250000000004</v>
      </c>
      <c r="E1042">
        <v>0.52890780000000004</v>
      </c>
      <c r="F1042" t="s">
        <v>41</v>
      </c>
      <c r="G1042">
        <v>-224.42439999999999</v>
      </c>
      <c r="H1042" s="1">
        <v>-3.4088580000000002E-6</v>
      </c>
      <c r="I1042">
        <v>363.88339999999999</v>
      </c>
      <c r="J1042">
        <v>-245.6891</v>
      </c>
      <c r="K1042">
        <v>1.1210800000000001</v>
      </c>
      <c r="L1042">
        <v>369.0351</v>
      </c>
      <c r="M1042">
        <v>0.9998996</v>
      </c>
      <c r="N1042">
        <v>-1.3791670000000001E-2</v>
      </c>
      <c r="O1042">
        <v>3.2534019999999999E-3</v>
      </c>
      <c r="P1042">
        <v>0.96716829999999998</v>
      </c>
      <c r="Q1042">
        <v>0.1922963</v>
      </c>
      <c r="R1042">
        <v>-0.16615579999999999</v>
      </c>
      <c r="S1042">
        <v>3.009109</v>
      </c>
      <c r="T1042">
        <v>-0.1570821</v>
      </c>
      <c r="U1042">
        <v>-0.72174069999999901</v>
      </c>
      <c r="V1042">
        <v>0.16941919999999999</v>
      </c>
      <c r="W1042">
        <v>0.20551240000000001</v>
      </c>
      <c r="X1042">
        <v>0.96387849999999997</v>
      </c>
      <c r="Y1042">
        <v>0.2360092</v>
      </c>
      <c r="Z1042">
        <v>-7.8448029999999992E-3</v>
      </c>
      <c r="AA1042">
        <v>0.97171909999999895</v>
      </c>
      <c r="AB1042">
        <v>35</v>
      </c>
      <c r="AC1042">
        <v>21.264700000000001</v>
      </c>
      <c r="AD1042">
        <v>-1.121083408858</v>
      </c>
      <c r="AE1042">
        <v>-5.1516999999999999</v>
      </c>
      <c r="AF1042">
        <v>5.2071912198166999</v>
      </c>
      <c r="AG1042">
        <v>-1.121083408858</v>
      </c>
      <c r="AH1042">
        <v>21.192188345484801</v>
      </c>
      <c r="AI1042">
        <v>92.940853839480297</v>
      </c>
      <c r="AJ1042">
        <v>76.195179693528701</v>
      </c>
      <c r="AK1042">
        <v>21.851327540446</v>
      </c>
      <c r="AL1042">
        <v>78.140503752189801</v>
      </c>
      <c r="AM1042">
        <v>80.031052710446701</v>
      </c>
      <c r="AN1042">
        <v>0.99999998732232398</v>
      </c>
    </row>
    <row r="1043" spans="1:40" x14ac:dyDescent="0.25">
      <c r="A1043" t="str">
        <f>"20190303162800317"</f>
        <v>20190303162800317</v>
      </c>
      <c r="B1043" t="str">
        <f>"1551601680312132"</f>
        <v>1551601680312132</v>
      </c>
      <c r="C1043" t="s">
        <v>40</v>
      </c>
      <c r="D1043">
        <v>4.4200730000000004</v>
      </c>
      <c r="E1043">
        <v>0.52885660000000001</v>
      </c>
      <c r="F1043" t="s">
        <v>41</v>
      </c>
      <c r="G1043">
        <v>-224.28129999999999</v>
      </c>
      <c r="H1043" s="1">
        <v>-3.4526970000000001E-6</v>
      </c>
      <c r="I1043">
        <v>363.90179999999998</v>
      </c>
      <c r="J1043">
        <v>-245.49799999999999</v>
      </c>
      <c r="K1043">
        <v>1.121073</v>
      </c>
      <c r="L1043">
        <v>369.03559999999999</v>
      </c>
      <c r="M1043">
        <v>0.99990009999999996</v>
      </c>
      <c r="N1043">
        <v>-1.379029E-2</v>
      </c>
      <c r="O1043">
        <v>3.1242729999999999E-3</v>
      </c>
      <c r="P1043">
        <v>0.96712819999999999</v>
      </c>
      <c r="Q1043">
        <v>0.1921466</v>
      </c>
      <c r="R1043">
        <v>-0.16656209999999999</v>
      </c>
      <c r="S1043">
        <v>3.009201</v>
      </c>
      <c r="T1043">
        <v>-0.157585</v>
      </c>
      <c r="U1043">
        <v>-0.72155760000000002</v>
      </c>
      <c r="V1043">
        <v>0.16970180000000001</v>
      </c>
      <c r="W1043">
        <v>0.20536019999999999</v>
      </c>
      <c r="X1043">
        <v>0.96386119999999997</v>
      </c>
      <c r="Y1043">
        <v>0.23581930000000001</v>
      </c>
      <c r="Z1043">
        <v>-7.8533040000000002E-3</v>
      </c>
      <c r="AA1043">
        <v>0.9717652</v>
      </c>
      <c r="AB1043">
        <v>35</v>
      </c>
      <c r="AC1043">
        <v>21.216699999999999</v>
      </c>
      <c r="AD1043">
        <v>-1.1210764526970001</v>
      </c>
      <c r="AE1043">
        <v>-5.1337999999999999</v>
      </c>
      <c r="AF1043">
        <v>5.1863885488111299</v>
      </c>
      <c r="AG1043">
        <v>-1.1210764526970001</v>
      </c>
      <c r="AH1043">
        <v>21.144784705725801</v>
      </c>
      <c r="AI1043">
        <v>92.947711924387505</v>
      </c>
      <c r="AJ1043">
        <v>76.2185767638138</v>
      </c>
      <c r="AK1043">
        <v>21.800398134977399</v>
      </c>
      <c r="AL1043">
        <v>78.149413930779104</v>
      </c>
      <c r="AM1043">
        <v>80.014582763625299</v>
      </c>
      <c r="AN1043">
        <v>0.99999996276635905</v>
      </c>
    </row>
    <row r="1044" spans="1:40" x14ac:dyDescent="0.25">
      <c r="A1044" t="str">
        <f>"20190303162800332"</f>
        <v>20190303162800332</v>
      </c>
      <c r="B1044" t="str">
        <f>"1551601680322867"</f>
        <v>1551601680322867</v>
      </c>
      <c r="C1044" t="s">
        <v>40</v>
      </c>
      <c r="D1044">
        <v>4.432048</v>
      </c>
      <c r="E1044">
        <v>0.52881160000000005</v>
      </c>
      <c r="F1044" t="s">
        <v>41</v>
      </c>
      <c r="G1044">
        <v>-224.21860000000001</v>
      </c>
      <c r="H1044" s="1">
        <v>-3.4714450000000001E-6</v>
      </c>
      <c r="I1044">
        <v>363.92860000000002</v>
      </c>
      <c r="J1044">
        <v>-245.26769999999999</v>
      </c>
      <c r="K1044">
        <v>1.1210629999999999</v>
      </c>
      <c r="L1044">
        <v>369.03609999999998</v>
      </c>
      <c r="M1044">
        <v>0.99990049999999997</v>
      </c>
      <c r="N1044">
        <v>-1.3788659999999999E-2</v>
      </c>
      <c r="O1044">
        <v>2.9646529999999998E-3</v>
      </c>
      <c r="P1044">
        <v>0.96712849999999995</v>
      </c>
      <c r="Q1044">
        <v>0.19134000000000001</v>
      </c>
      <c r="R1044">
        <v>-0.16748650000000001</v>
      </c>
      <c r="S1044">
        <v>3.009109</v>
      </c>
      <c r="T1044">
        <v>-0.15853</v>
      </c>
      <c r="U1044">
        <v>-0.72216800000000003</v>
      </c>
      <c r="V1044">
        <v>0.1704735</v>
      </c>
      <c r="W1044">
        <v>0.20455000000000001</v>
      </c>
      <c r="X1044">
        <v>0.96389729999999996</v>
      </c>
      <c r="Y1044">
        <v>0.23585310000000001</v>
      </c>
      <c r="Z1044">
        <v>-7.8856039999999992E-3</v>
      </c>
      <c r="AA1044">
        <v>0.97175670000000003</v>
      </c>
      <c r="AB1044">
        <v>35</v>
      </c>
      <c r="AC1044">
        <v>21.0490999999999</v>
      </c>
      <c r="AD1044">
        <v>-1.1210664714449901</v>
      </c>
      <c r="AE1044">
        <v>-5.1074999999999502</v>
      </c>
      <c r="AF1044">
        <v>5.1560743647408103</v>
      </c>
      <c r="AG1044">
        <v>-1.1210664714449901</v>
      </c>
      <c r="AH1044">
        <v>20.9776678511715</v>
      </c>
      <c r="AI1044">
        <v>92.970776797840102</v>
      </c>
      <c r="AJ1044">
        <v>76.191075108397499</v>
      </c>
      <c r="AK1044">
        <v>21.631098940234398</v>
      </c>
      <c r="AL1044">
        <v>78.196841779854097</v>
      </c>
      <c r="AM1044">
        <v>79.970463171377801</v>
      </c>
      <c r="AN1044">
        <v>0.99999996082476905</v>
      </c>
    </row>
    <row r="1045" spans="1:40" x14ac:dyDescent="0.25">
      <c r="A1045" t="str">
        <f>"20190303162800345"</f>
        <v>20190303162800345</v>
      </c>
      <c r="B1045" t="str">
        <f>"1551601680332628"</f>
        <v>1551601680332628</v>
      </c>
      <c r="C1045" t="s">
        <v>40</v>
      </c>
      <c r="D1045">
        <v>4.4319829999999998</v>
      </c>
      <c r="E1045">
        <v>0.52877959999999902</v>
      </c>
      <c r="F1045" t="s">
        <v>41</v>
      </c>
      <c r="G1045">
        <v>-224.37960000000001</v>
      </c>
      <c r="H1045" s="1">
        <v>-3.3917270000000002E-6</v>
      </c>
      <c r="I1045">
        <v>364.0052</v>
      </c>
      <c r="J1045">
        <v>-245.08090000000001</v>
      </c>
      <c r="K1045">
        <v>1.121057</v>
      </c>
      <c r="L1045">
        <v>369.03660000000002</v>
      </c>
      <c r="M1045">
        <v>0.99990089999999998</v>
      </c>
      <c r="N1045">
        <v>-1.378734E-2</v>
      </c>
      <c r="O1045">
        <v>2.832626E-3</v>
      </c>
      <c r="P1045">
        <v>0.96704489999999999</v>
      </c>
      <c r="Q1045">
        <v>0.19115280000000001</v>
      </c>
      <c r="R1045">
        <v>-0.16818179999999999</v>
      </c>
      <c r="S1045">
        <v>3.0084529999999998</v>
      </c>
      <c r="T1045">
        <v>-0.161463</v>
      </c>
      <c r="U1045">
        <v>-0.72457890000000003</v>
      </c>
      <c r="V1045">
        <v>0.1710431</v>
      </c>
      <c r="W1045">
        <v>0.2043586</v>
      </c>
      <c r="X1045">
        <v>0.96383700000000005</v>
      </c>
      <c r="Y1045">
        <v>0.2364947</v>
      </c>
      <c r="Z1045">
        <v>-8.0186370000000003E-3</v>
      </c>
      <c r="AA1045">
        <v>0.97159969999999996</v>
      </c>
      <c r="AB1045">
        <v>35</v>
      </c>
      <c r="AC1045">
        <v>20.7013</v>
      </c>
      <c r="AD1045">
        <v>-1.1210603917269999</v>
      </c>
      <c r="AE1045">
        <v>-5.0314000000000103</v>
      </c>
      <c r="AF1045">
        <v>5.0759686080326203</v>
      </c>
      <c r="AG1045">
        <v>-1.1210603917269999</v>
      </c>
      <c r="AH1045">
        <v>20.629837602547202</v>
      </c>
      <c r="AI1045">
        <v>93.020574777650097</v>
      </c>
      <c r="AJ1045">
        <v>76.176966871896397</v>
      </c>
      <c r="AK1045">
        <v>21.274689967637599</v>
      </c>
      <c r="AL1045">
        <v>78.208044966662698</v>
      </c>
      <c r="AM1045">
        <v>79.937018721815704</v>
      </c>
      <c r="AN1045">
        <v>0.99999997101028404</v>
      </c>
    </row>
    <row r="1046" spans="1:40" x14ac:dyDescent="0.25">
      <c r="A1046" t="str">
        <f>"20190303162800358"</f>
        <v>20190303162800358</v>
      </c>
      <c r="B1046" t="str">
        <f>"1551601680352148"</f>
        <v>1551601680352148</v>
      </c>
      <c r="C1046" t="s">
        <v>40</v>
      </c>
      <c r="D1046">
        <v>4.4503469999999998</v>
      </c>
      <c r="E1046">
        <v>0.52870419999999996</v>
      </c>
      <c r="F1046" t="s">
        <v>41</v>
      </c>
      <c r="G1046">
        <v>-224.2861</v>
      </c>
      <c r="H1046" s="1">
        <v>-3.4266400000000002E-6</v>
      </c>
      <c r="I1046">
        <v>364.0179</v>
      </c>
      <c r="J1046">
        <v>-244.84809999999999</v>
      </c>
      <c r="K1046">
        <v>1.121049</v>
      </c>
      <c r="L1046">
        <v>369.03699999999998</v>
      </c>
      <c r="M1046">
        <v>0.99990159999999995</v>
      </c>
      <c r="N1046">
        <v>-1.37857E-2</v>
      </c>
      <c r="O1046">
        <v>2.6599689999999999E-3</v>
      </c>
      <c r="P1046">
        <v>0.96695690000000001</v>
      </c>
      <c r="Q1046">
        <v>0.19060759999999999</v>
      </c>
      <c r="R1046">
        <v>-0.16930309999999901</v>
      </c>
      <c r="S1046">
        <v>3.0080260000000001</v>
      </c>
      <c r="T1046">
        <v>-0.162164</v>
      </c>
      <c r="U1046">
        <v>-0.72595209999999999</v>
      </c>
      <c r="V1046">
        <v>0.17200019999999999</v>
      </c>
      <c r="W1046">
        <v>0.20380780000000001</v>
      </c>
      <c r="X1046">
        <v>0.96378330000000001</v>
      </c>
      <c r="Y1046">
        <v>0.23677400000000001</v>
      </c>
      <c r="Z1046">
        <v>-8.0493960000000003E-3</v>
      </c>
      <c r="AA1046">
        <v>0.97153140000000004</v>
      </c>
      <c r="AB1046">
        <v>35</v>
      </c>
      <c r="AC1046">
        <v>20.561999999999902</v>
      </c>
      <c r="AD1046">
        <v>-1.1210524266399999</v>
      </c>
      <c r="AE1046">
        <v>-5.0190999999999804</v>
      </c>
      <c r="AF1046">
        <v>5.0595878240154297</v>
      </c>
      <c r="AG1046">
        <v>-1.1210524266399999</v>
      </c>
      <c r="AH1046">
        <v>20.4910907536179</v>
      </c>
      <c r="AI1046">
        <v>93.040356357543203</v>
      </c>
      <c r="AJ1046">
        <v>76.130157429540901</v>
      </c>
      <c r="AK1046">
        <v>21.136248195107999</v>
      </c>
      <c r="AL1046">
        <v>78.240281930795405</v>
      </c>
      <c r="AM1046">
        <v>79.881317811055993</v>
      </c>
      <c r="AN1046">
        <v>0.99999996874988395</v>
      </c>
    </row>
    <row r="1047" spans="1:40" x14ac:dyDescent="0.25">
      <c r="A1047" t="str">
        <f>"20190303162800372"</f>
        <v>20190303162800372</v>
      </c>
      <c r="B1047" t="str">
        <f>"1551601680362884"</f>
        <v>1551601680362884</v>
      </c>
      <c r="C1047" t="s">
        <v>40</v>
      </c>
      <c r="D1047">
        <v>4.4730049999999997</v>
      </c>
      <c r="E1047">
        <v>0.52868499999999996</v>
      </c>
      <c r="F1047" t="s">
        <v>41</v>
      </c>
      <c r="G1047">
        <v>-224.31540000000001</v>
      </c>
      <c r="H1047" s="1">
        <v>-3.4060320000000001E-6</v>
      </c>
      <c r="I1047">
        <v>364.06319999999999</v>
      </c>
      <c r="J1047">
        <v>-244.64699999999999</v>
      </c>
      <c r="K1047">
        <v>1.12104</v>
      </c>
      <c r="L1047">
        <v>369.03739999999999</v>
      </c>
      <c r="M1047">
        <v>0.99990179999999995</v>
      </c>
      <c r="N1047">
        <v>-1.3784279999999999E-2</v>
      </c>
      <c r="O1047">
        <v>2.5068109999999998E-3</v>
      </c>
      <c r="P1047">
        <v>0.96678960000000003</v>
      </c>
      <c r="Q1047">
        <v>0.19032540000000001</v>
      </c>
      <c r="R1047">
        <v>-0.17057069999999999</v>
      </c>
      <c r="S1047">
        <v>3.0073089999999998</v>
      </c>
      <c r="T1047">
        <v>-0.164193899999999</v>
      </c>
      <c r="U1047">
        <v>-0.7284851</v>
      </c>
      <c r="V1047">
        <v>0.17312239999999901</v>
      </c>
      <c r="W1047">
        <v>0.2035188</v>
      </c>
      <c r="X1047">
        <v>0.96364340000000004</v>
      </c>
      <c r="Y1047">
        <v>0.2374406</v>
      </c>
      <c r="Z1047">
        <v>-8.1470940000000006E-3</v>
      </c>
      <c r="AA1047">
        <v>0.97136789999999995</v>
      </c>
      <c r="AB1047">
        <v>35</v>
      </c>
      <c r="AC1047">
        <v>20.331600000000002</v>
      </c>
      <c r="AD1047">
        <v>-1.121043406032</v>
      </c>
      <c r="AE1047">
        <v>-4.97419999999999</v>
      </c>
      <c r="AF1047">
        <v>5.0107832509561501</v>
      </c>
      <c r="AG1047">
        <v>-1.121043406032</v>
      </c>
      <c r="AH1047">
        <v>20.260946977581199</v>
      </c>
      <c r="AI1047">
        <v>93.074518162953197</v>
      </c>
      <c r="AJ1047">
        <v>76.108778401290806</v>
      </c>
      <c r="AK1047">
        <v>20.901451134661102</v>
      </c>
      <c r="AL1047">
        <v>78.257194486818307</v>
      </c>
      <c r="AM1047">
        <v>79.815229128503404</v>
      </c>
      <c r="AN1047">
        <v>0.99999993484937799</v>
      </c>
    </row>
    <row r="1048" spans="1:40" x14ac:dyDescent="0.25">
      <c r="A1048" t="str">
        <f>"20190303162800386"</f>
        <v>20190303162800386</v>
      </c>
      <c r="B1048" t="str">
        <f>"1551601680382404"</f>
        <v>1551601680382404</v>
      </c>
      <c r="C1048" t="s">
        <v>40</v>
      </c>
      <c r="D1048">
        <v>4.4744640000000002</v>
      </c>
      <c r="E1048">
        <v>0.52866480000000005</v>
      </c>
      <c r="F1048" t="s">
        <v>41</v>
      </c>
      <c r="G1048">
        <v>-224.2192</v>
      </c>
      <c r="H1048" s="1">
        <v>-3.4470819999999999E-6</v>
      </c>
      <c r="I1048">
        <v>364.06439999999998</v>
      </c>
      <c r="J1048">
        <v>-244.42420000000001</v>
      </c>
      <c r="K1048">
        <v>1.121035</v>
      </c>
      <c r="L1048">
        <v>369.0378</v>
      </c>
      <c r="M1048">
        <v>0.99990239999999997</v>
      </c>
      <c r="N1048">
        <v>-1.37827E-2</v>
      </c>
      <c r="O1048">
        <v>2.3336149999999998E-3</v>
      </c>
      <c r="P1048">
        <v>0.96662409999999999</v>
      </c>
      <c r="Q1048">
        <v>0.18991269999999999</v>
      </c>
      <c r="R1048">
        <v>-0.17196330000000001</v>
      </c>
      <c r="S1048">
        <v>3.0063780000000002</v>
      </c>
      <c r="T1048">
        <v>-0.16498460000000001</v>
      </c>
      <c r="U1048">
        <v>-0.73187259999999998</v>
      </c>
      <c r="V1048">
        <v>0.17435059999999999</v>
      </c>
      <c r="W1048">
        <v>0.2030991</v>
      </c>
      <c r="X1048">
        <v>0.96351059999999999</v>
      </c>
      <c r="Y1048">
        <v>0.2383692</v>
      </c>
      <c r="Z1048">
        <v>-8.2041979999999994E-3</v>
      </c>
      <c r="AA1048">
        <v>0.97114</v>
      </c>
      <c r="AB1048">
        <v>35</v>
      </c>
      <c r="AC1048">
        <v>20.204999999999998</v>
      </c>
      <c r="AD1048">
        <v>-1.1210384470819901</v>
      </c>
      <c r="AE1048">
        <v>-4.9734000000000202</v>
      </c>
      <c r="AF1048">
        <v>5.0060115305414596</v>
      </c>
      <c r="AG1048">
        <v>-1.1210384470819901</v>
      </c>
      <c r="AH1048">
        <v>20.134895767748599</v>
      </c>
      <c r="AI1048">
        <v>93.092769070792102</v>
      </c>
      <c r="AJ1048">
        <v>76.0380001366361</v>
      </c>
      <c r="AK1048">
        <v>20.7781352922213</v>
      </c>
      <c r="AL1048">
        <v>78.281755557504198</v>
      </c>
      <c r="AM1048">
        <v>79.7431189587343</v>
      </c>
      <c r="AN1048">
        <v>1.0000000262267601</v>
      </c>
    </row>
    <row r="1049" spans="1:40" x14ac:dyDescent="0.25">
      <c r="A1049" t="str">
        <f>"20190303162800398"</f>
        <v>20190303162800398</v>
      </c>
      <c r="B1049" t="str">
        <f>"1551601680392164"</f>
        <v>1551601680392164</v>
      </c>
      <c r="C1049" t="s">
        <v>40</v>
      </c>
      <c r="D1049">
        <v>4.4864670000000002</v>
      </c>
      <c r="E1049">
        <v>0.52858380000000005</v>
      </c>
      <c r="F1049" t="s">
        <v>41</v>
      </c>
      <c r="G1049">
        <v>-224.10059999999999</v>
      </c>
      <c r="H1049" s="1">
        <v>-3.4988899999999998E-6</v>
      </c>
      <c r="I1049">
        <v>364.05930000000001</v>
      </c>
      <c r="J1049">
        <v>-244.20740000000001</v>
      </c>
      <c r="K1049">
        <v>1.1210340000000001</v>
      </c>
      <c r="L1049">
        <v>369.03809999999999</v>
      </c>
      <c r="M1049">
        <v>0.99990279999999998</v>
      </c>
      <c r="N1049">
        <v>-1.3781140000000001E-2</v>
      </c>
      <c r="O1049">
        <v>2.160613E-3</v>
      </c>
      <c r="P1049">
        <v>0.96633610000000003</v>
      </c>
      <c r="Q1049">
        <v>0.1892771</v>
      </c>
      <c r="R1049">
        <v>-0.17426749999999999</v>
      </c>
      <c r="S1049">
        <v>3.005188</v>
      </c>
      <c r="T1049">
        <v>-0.16576340000000001</v>
      </c>
      <c r="U1049">
        <v>-0.73614499999999905</v>
      </c>
      <c r="V1049">
        <v>0.17648949999999999</v>
      </c>
      <c r="W1049">
        <v>0.2024543</v>
      </c>
      <c r="X1049">
        <v>0.96325680000000002</v>
      </c>
      <c r="Y1049">
        <v>0.23958650000000001</v>
      </c>
      <c r="Z1049">
        <v>-8.2712469999999903E-3</v>
      </c>
      <c r="AA1049">
        <v>0.97083980000000003</v>
      </c>
      <c r="AB1049">
        <v>35</v>
      </c>
      <c r="AC1049">
        <v>20.1068</v>
      </c>
      <c r="AD1049">
        <v>-1.12103749889</v>
      </c>
      <c r="AE1049">
        <v>-4.9787999999999704</v>
      </c>
      <c r="AF1049">
        <v>5.0075686511789099</v>
      </c>
      <c r="AG1049">
        <v>-1.12103749889</v>
      </c>
      <c r="AH1049">
        <v>20.037306739688901</v>
      </c>
      <c r="AI1049">
        <v>93.106862045309796</v>
      </c>
      <c r="AJ1049">
        <v>75.968487941365396</v>
      </c>
      <c r="AK1049">
        <v>20.683958282944001</v>
      </c>
      <c r="AL1049">
        <v>78.319483070277897</v>
      </c>
      <c r="AM1049">
        <v>79.6173332232635</v>
      </c>
      <c r="AN1049">
        <v>0.99999997497248905</v>
      </c>
    </row>
    <row r="1050" spans="1:40" x14ac:dyDescent="0.25">
      <c r="A1050" t="str">
        <f>"20190303162800411"</f>
        <v>20190303162800411</v>
      </c>
      <c r="B1050" t="str">
        <f>"1551601680402901"</f>
        <v>1551601680402901</v>
      </c>
      <c r="C1050" t="s">
        <v>40</v>
      </c>
      <c r="D1050">
        <v>4.4938229999999999</v>
      </c>
      <c r="E1050">
        <v>0.52858380000000005</v>
      </c>
      <c r="F1050" t="s">
        <v>41</v>
      </c>
      <c r="G1050">
        <v>-224.10810000000001</v>
      </c>
      <c r="H1050" s="1">
        <v>-3.4946270000000001E-6</v>
      </c>
      <c r="I1050">
        <v>364.06509999999997</v>
      </c>
      <c r="J1050">
        <v>-244.01759999999999</v>
      </c>
      <c r="K1050">
        <v>1.12103</v>
      </c>
      <c r="L1050">
        <v>369.03840000000002</v>
      </c>
      <c r="M1050">
        <v>0.99990310000000004</v>
      </c>
      <c r="N1050">
        <v>-1.377976E-2</v>
      </c>
      <c r="O1050">
        <v>2.006117E-3</v>
      </c>
      <c r="P1050">
        <v>0.96622410000000003</v>
      </c>
      <c r="Q1050">
        <v>0.18917780000000001</v>
      </c>
      <c r="R1050">
        <v>-0.1749936</v>
      </c>
      <c r="S1050">
        <v>3.0032960000000002</v>
      </c>
      <c r="T1050">
        <v>-0.16750779999999901</v>
      </c>
      <c r="U1050">
        <v>-0.74307250000000002</v>
      </c>
      <c r="V1050">
        <v>0.17706849999999999</v>
      </c>
      <c r="W1050">
        <v>0.2023501</v>
      </c>
      <c r="X1050">
        <v>0.96317240000000004</v>
      </c>
      <c r="Y1050">
        <v>0.24167630000000001</v>
      </c>
      <c r="Z1050">
        <v>-8.4090799999999993E-3</v>
      </c>
      <c r="AA1050">
        <v>0.97032050000000003</v>
      </c>
      <c r="AB1050">
        <v>35</v>
      </c>
      <c r="AC1050">
        <v>19.909499999999898</v>
      </c>
      <c r="AD1050">
        <v>-1.121033494627</v>
      </c>
      <c r="AE1050">
        <v>-4.9733000000000498</v>
      </c>
      <c r="AF1050">
        <v>4.9983185362188696</v>
      </c>
      <c r="AG1050">
        <v>-1.121033494627</v>
      </c>
      <c r="AH1050">
        <v>19.8402744202618</v>
      </c>
      <c r="AI1050">
        <v>93.136153963371996</v>
      </c>
      <c r="AJ1050">
        <v>75.859841293344999</v>
      </c>
      <c r="AK1050">
        <v>20.490885616704801</v>
      </c>
      <c r="AL1050">
        <v>78.325579108998696</v>
      </c>
      <c r="AM1050">
        <v>79.583122948548606</v>
      </c>
      <c r="AN1050">
        <v>0.99999994439200801</v>
      </c>
    </row>
    <row r="1051" spans="1:40" x14ac:dyDescent="0.25">
      <c r="A1051" t="str">
        <f>"20190303162800425"</f>
        <v>20190303162800425</v>
      </c>
      <c r="B1051" t="str">
        <f>"1551601680412660"</f>
        <v>1551601680412660</v>
      </c>
      <c r="C1051" t="s">
        <v>40</v>
      </c>
      <c r="D1051">
        <v>4.5134059999999998</v>
      </c>
      <c r="E1051">
        <v>0.51056080000000004</v>
      </c>
      <c r="F1051" t="s">
        <v>41</v>
      </c>
      <c r="G1051">
        <v>-223.95609999999999</v>
      </c>
      <c r="H1051" s="1">
        <v>-3.5611020000000001E-6</v>
      </c>
      <c r="I1051">
        <v>364.05779999999999</v>
      </c>
      <c r="J1051">
        <v>-243.80869999999999</v>
      </c>
      <c r="K1051">
        <v>1.1210290000000001</v>
      </c>
      <c r="L1051">
        <v>369.03859999999997</v>
      </c>
      <c r="M1051">
        <v>0.9999034</v>
      </c>
      <c r="N1051">
        <v>-1.3778250000000001E-2</v>
      </c>
      <c r="O1051">
        <v>1.83428E-3</v>
      </c>
      <c r="P1051">
        <v>0.9661168</v>
      </c>
      <c r="Q1051">
        <v>0.18936919999999999</v>
      </c>
      <c r="R1051">
        <v>-0.17537829999999999</v>
      </c>
      <c r="S1051">
        <v>3.0027159999999999</v>
      </c>
      <c r="T1051">
        <v>-0.16779079999999999</v>
      </c>
      <c r="U1051">
        <v>-0.74545289999999997</v>
      </c>
      <c r="V1051">
        <v>0.17728910000000001</v>
      </c>
      <c r="W1051">
        <v>0.20253650000000001</v>
      </c>
      <c r="X1051">
        <v>0.96309270000000002</v>
      </c>
      <c r="Y1051">
        <v>0.24227560000000001</v>
      </c>
      <c r="Z1051">
        <v>-8.4346300000000003E-3</v>
      </c>
      <c r="AA1051">
        <v>0.9701708</v>
      </c>
      <c r="AB1051">
        <v>35</v>
      </c>
      <c r="AC1051">
        <v>19.852599999999899</v>
      </c>
      <c r="AD1051">
        <v>-1.121032561102</v>
      </c>
      <c r="AE1051">
        <v>-4.9807999999999799</v>
      </c>
      <c r="AF1051">
        <v>5.0022047430438104</v>
      </c>
      <c r="AG1051">
        <v>-1.121032561102</v>
      </c>
      <c r="AH1051">
        <v>19.784081471419501</v>
      </c>
      <c r="AI1051">
        <v>93.144362039788206</v>
      </c>
      <c r="AJ1051">
        <v>75.810717495460807</v>
      </c>
      <c r="AK1051">
        <v>20.437432469910298</v>
      </c>
      <c r="AL1051">
        <v>78.314674064489694</v>
      </c>
      <c r="AM1051">
        <v>79.569585595303394</v>
      </c>
      <c r="AN1051">
        <v>1.0000000038021699</v>
      </c>
    </row>
    <row r="1052" spans="1:40" x14ac:dyDescent="0.25">
      <c r="A1052" t="str">
        <f>"20190303162800439"</f>
        <v>20190303162800439</v>
      </c>
      <c r="B1052" t="str">
        <f>"1551601680432180"</f>
        <v>1551601680432180</v>
      </c>
      <c r="C1052" t="s">
        <v>40</v>
      </c>
      <c r="D1052">
        <v>4.5745459999999998</v>
      </c>
      <c r="E1052">
        <v>0.50810979999999994</v>
      </c>
      <c r="F1052" t="s">
        <v>41</v>
      </c>
      <c r="G1052">
        <v>-220.37039999999999</v>
      </c>
      <c r="H1052" s="1">
        <v>-5.0487420000000004E-6</v>
      </c>
      <c r="I1052">
        <v>364.34339999999997</v>
      </c>
      <c r="J1052">
        <v>-243.59370000000001</v>
      </c>
      <c r="K1052">
        <v>1.1210279999999999</v>
      </c>
      <c r="L1052">
        <v>369.03879999999998</v>
      </c>
      <c r="M1052">
        <v>0.99990369999999995</v>
      </c>
      <c r="N1052">
        <v>-1.3776679999999999E-2</v>
      </c>
      <c r="O1052">
        <v>1.65298299999999E-3</v>
      </c>
      <c r="P1052">
        <v>0.96596660000000001</v>
      </c>
      <c r="Q1052">
        <v>0.1895636</v>
      </c>
      <c r="R1052">
        <v>-0.17599489999999901</v>
      </c>
      <c r="S1052">
        <v>3.02359</v>
      </c>
      <c r="T1052">
        <v>-0.14461479999999999</v>
      </c>
      <c r="U1052">
        <v>-0.60568239999999995</v>
      </c>
      <c r="V1052">
        <v>0.1777321</v>
      </c>
      <c r="W1052">
        <v>0.20272599999999999</v>
      </c>
      <c r="X1052">
        <v>0.96297120000000003</v>
      </c>
      <c r="Y1052">
        <v>0.1977545</v>
      </c>
      <c r="Z1052">
        <v>-6.1124109999999999E-3</v>
      </c>
      <c r="AA1052">
        <v>0.98023249999999995</v>
      </c>
      <c r="AB1052">
        <v>35</v>
      </c>
      <c r="AC1052">
        <v>23.223299999999998</v>
      </c>
      <c r="AD1052">
        <v>-1.1210330487419999</v>
      </c>
      <c r="AE1052">
        <v>-4.6954000000000002</v>
      </c>
      <c r="AF1052">
        <v>4.7232112676770797</v>
      </c>
      <c r="AG1052">
        <v>-1.1210330487419999</v>
      </c>
      <c r="AH1052">
        <v>23.1636504925876</v>
      </c>
      <c r="AI1052">
        <v>92.714957198945697</v>
      </c>
      <c r="AJ1052">
        <v>78.475030947828401</v>
      </c>
      <c r="AK1052">
        <v>23.6668574998506</v>
      </c>
      <c r="AL1052">
        <v>78.303586829542894</v>
      </c>
      <c r="AM1052">
        <v>79.542806631162605</v>
      </c>
      <c r="AN1052">
        <v>1.00000003123792</v>
      </c>
    </row>
    <row r="1053" spans="1:40" x14ac:dyDescent="0.25">
      <c r="A1053" t="str">
        <f>"20190303162800452"</f>
        <v>20190303162800452</v>
      </c>
      <c r="B1053" t="str">
        <f>"1551601680442916"</f>
        <v>1551601680442916</v>
      </c>
      <c r="C1053" t="s">
        <v>40</v>
      </c>
      <c r="D1053">
        <v>4.538627</v>
      </c>
      <c r="E1053">
        <v>0.50786290000000001</v>
      </c>
      <c r="F1053" t="s">
        <v>41</v>
      </c>
      <c r="G1053">
        <v>-218.6807</v>
      </c>
      <c r="H1053" s="1">
        <v>-1.878659E-6</v>
      </c>
      <c r="I1053">
        <v>364.1909</v>
      </c>
      <c r="J1053">
        <v>-243.38210000000001</v>
      </c>
      <c r="K1053">
        <v>1.1210279999999999</v>
      </c>
      <c r="L1053">
        <v>369.03899999999999</v>
      </c>
      <c r="M1053">
        <v>0.99990400000000002</v>
      </c>
      <c r="N1053">
        <v>-1.377512E-2</v>
      </c>
      <c r="O1053">
        <v>1.4725280000000001E-3</v>
      </c>
      <c r="P1053">
        <v>0.96582369999999995</v>
      </c>
      <c r="Q1053">
        <v>0.1898639</v>
      </c>
      <c r="R1053">
        <v>-0.17645559999999999</v>
      </c>
      <c r="S1053">
        <v>3.0251619999999999</v>
      </c>
      <c r="T1053">
        <v>-0.13612479999999999</v>
      </c>
      <c r="U1053">
        <v>-0.58868409999999904</v>
      </c>
      <c r="V1053">
        <v>0.17802000000000001</v>
      </c>
      <c r="W1053">
        <v>0.20302200000000001</v>
      </c>
      <c r="X1053">
        <v>0.96285560000000003</v>
      </c>
      <c r="Y1053">
        <v>0.19221089999999999</v>
      </c>
      <c r="Z1053">
        <v>-5.6648250000000001E-3</v>
      </c>
      <c r="AA1053">
        <v>0.98133729999999997</v>
      </c>
      <c r="AB1053">
        <v>35</v>
      </c>
      <c r="AC1053">
        <v>24.7014</v>
      </c>
      <c r="AD1053">
        <v>-1.1210298786590001</v>
      </c>
      <c r="AE1053">
        <v>-4.8480999999999801</v>
      </c>
      <c r="AF1053">
        <v>4.8748037796918302</v>
      </c>
      <c r="AG1053">
        <v>-1.1210298786590001</v>
      </c>
      <c r="AH1053">
        <v>24.645355851554701</v>
      </c>
      <c r="AI1053">
        <v>92.554953663178395</v>
      </c>
      <c r="AJ1053">
        <v>78.811427766969402</v>
      </c>
      <c r="AK1053">
        <v>25.1478425501892</v>
      </c>
      <c r="AL1053">
        <v>78.286266500564395</v>
      </c>
      <c r="AM1053">
        <v>79.525012421668393</v>
      </c>
      <c r="AN1053">
        <v>0.99999997966767895</v>
      </c>
    </row>
    <row r="1054" spans="1:40" x14ac:dyDescent="0.25">
      <c r="A1054" t="str">
        <f>"20190303162800469"</f>
        <v>20190303162800469</v>
      </c>
      <c r="B1054" t="str">
        <f>"1551601680462436"</f>
        <v>1551601680462436</v>
      </c>
      <c r="C1054" t="s">
        <v>40</v>
      </c>
      <c r="D1054">
        <v>4.5501319999999996</v>
      </c>
      <c r="E1054">
        <v>0.50786350000000002</v>
      </c>
      <c r="F1054" t="s">
        <v>41</v>
      </c>
      <c r="G1054">
        <v>-218.4314</v>
      </c>
      <c r="H1054" s="1">
        <v>-1.9632940000000002E-6</v>
      </c>
      <c r="I1054">
        <v>364.19150000000002</v>
      </c>
      <c r="J1054">
        <v>-243.13380000000001</v>
      </c>
      <c r="K1054">
        <v>1.121032</v>
      </c>
      <c r="L1054">
        <v>369.03910000000002</v>
      </c>
      <c r="M1054">
        <v>0.99990429999999997</v>
      </c>
      <c r="N1054">
        <v>-1.3773290000000001E-2</v>
      </c>
      <c r="O1054">
        <v>1.2588709999999999E-3</v>
      </c>
      <c r="P1054">
        <v>0.96545939999999997</v>
      </c>
      <c r="Q1054">
        <v>0.19115170000000001</v>
      </c>
      <c r="R1054">
        <v>-0.17705670000000001</v>
      </c>
      <c r="S1054">
        <v>3.0254970000000001</v>
      </c>
      <c r="T1054">
        <v>-0.13593469999999999</v>
      </c>
      <c r="U1054">
        <v>-0.58779910000000002</v>
      </c>
      <c r="V1054">
        <v>0.17841699999999999</v>
      </c>
      <c r="W1054">
        <v>0.20430219999999999</v>
      </c>
      <c r="X1054">
        <v>0.96251129999999996</v>
      </c>
      <c r="Y1054">
        <v>0.1917056</v>
      </c>
      <c r="Z1054">
        <v>-5.6368399999999997E-3</v>
      </c>
      <c r="AA1054">
        <v>0.98143630000000004</v>
      </c>
      <c r="AB1054">
        <v>35</v>
      </c>
      <c r="AC1054">
        <v>24.702400000000001</v>
      </c>
      <c r="AD1054">
        <v>-1.1210339632940001</v>
      </c>
      <c r="AE1054">
        <v>-4.8475999999999999</v>
      </c>
      <c r="AF1054">
        <v>4.8690403645633999</v>
      </c>
      <c r="AG1054">
        <v>-1.1210339632940001</v>
      </c>
      <c r="AH1054">
        <v>24.647398647485801</v>
      </c>
      <c r="AI1054">
        <v>92.5548729397145</v>
      </c>
      <c r="AJ1054">
        <v>78.825225644862002</v>
      </c>
      <c r="AK1054">
        <v>25.148728224438901</v>
      </c>
      <c r="AL1054">
        <v>78.211346546953706</v>
      </c>
      <c r="AM1054">
        <v>79.498499382682994</v>
      </c>
      <c r="AN1054">
        <v>1.0000000087207599</v>
      </c>
    </row>
    <row r="1055" spans="1:40" x14ac:dyDescent="0.25">
      <c r="A1055" t="str">
        <f>"20190303162800482"</f>
        <v>20190303162800482</v>
      </c>
      <c r="B1055" t="str">
        <f>"1551601680472197"</f>
        <v>1551601680472197</v>
      </c>
      <c r="C1055" t="s">
        <v>40</v>
      </c>
      <c r="D1055">
        <v>4.6259050000000004</v>
      </c>
      <c r="E1055">
        <v>0.50826510000000003</v>
      </c>
      <c r="F1055" t="s">
        <v>41</v>
      </c>
      <c r="G1055">
        <v>-217.85</v>
      </c>
      <c r="H1055" s="1">
        <v>-2.1818360000000002E-6</v>
      </c>
      <c r="I1055">
        <v>364.1139</v>
      </c>
      <c r="J1055">
        <v>-242.90469999999999</v>
      </c>
      <c r="K1055">
        <v>1.1210340000000001</v>
      </c>
      <c r="L1055">
        <v>369.03919999999999</v>
      </c>
      <c r="M1055">
        <v>0.99990469999999998</v>
      </c>
      <c r="N1055">
        <v>-1.377158E-2</v>
      </c>
      <c r="O1055">
        <v>1.0605370000000001E-3</v>
      </c>
      <c r="P1055">
        <v>0.96520779999999995</v>
      </c>
      <c r="Q1055">
        <v>0.19195419999999999</v>
      </c>
      <c r="R1055">
        <v>-0.1775611</v>
      </c>
      <c r="S1055">
        <v>3.0257719999999999</v>
      </c>
      <c r="T1055">
        <v>-0.13415650000000001</v>
      </c>
      <c r="U1055">
        <v>-0.58941650000000001</v>
      </c>
      <c r="V1055">
        <v>0.17873139999999901</v>
      </c>
      <c r="W1055">
        <v>0.2050979</v>
      </c>
      <c r="X1055">
        <v>0.96228369999999996</v>
      </c>
      <c r="Y1055">
        <v>0.19200519999999999</v>
      </c>
      <c r="Z1055">
        <v>-5.5823169999999998E-3</v>
      </c>
      <c r="AA1055">
        <v>0.98137799999999997</v>
      </c>
      <c r="AB1055">
        <v>35</v>
      </c>
      <c r="AC1055">
        <v>25.0547</v>
      </c>
      <c r="AD1055">
        <v>-1.121036181836</v>
      </c>
      <c r="AE1055">
        <v>-4.9252999999999902</v>
      </c>
      <c r="AF1055">
        <v>4.9423448235563496</v>
      </c>
      <c r="AG1055">
        <v>-1.121036181836</v>
      </c>
      <c r="AH1055">
        <v>25.001272046441098</v>
      </c>
      <c r="AI1055">
        <v>92.518697586427706</v>
      </c>
      <c r="AJ1055">
        <v>78.817732105761905</v>
      </c>
      <c r="AK1055">
        <v>25.509745165643601</v>
      </c>
      <c r="AL1055">
        <v>78.164769807175801</v>
      </c>
      <c r="AM1055">
        <v>79.477974200517906</v>
      </c>
      <c r="AN1055">
        <v>0.99999999060803002</v>
      </c>
    </row>
    <row r="1056" spans="1:40" x14ac:dyDescent="0.25">
      <c r="A1056" t="str">
        <f>"20190303162800495"</f>
        <v>20190303162800495</v>
      </c>
      <c r="B1056" t="str">
        <f>"1551601680481956"</f>
        <v>1551601680481956</v>
      </c>
      <c r="C1056" t="s">
        <v>40</v>
      </c>
      <c r="D1056">
        <v>4.5710739999999896</v>
      </c>
      <c r="E1056">
        <v>0.50817809999999997</v>
      </c>
      <c r="F1056" t="s">
        <v>41</v>
      </c>
      <c r="G1056">
        <v>-218.2527</v>
      </c>
      <c r="H1056" s="1">
        <v>-2.0219340000000002E-6</v>
      </c>
      <c r="I1056">
        <v>364.19970000000001</v>
      </c>
      <c r="J1056">
        <v>-242.7209</v>
      </c>
      <c r="K1056">
        <v>1.121035</v>
      </c>
      <c r="L1056">
        <v>369.03930000000003</v>
      </c>
      <c r="M1056">
        <v>0.99990480000000004</v>
      </c>
      <c r="N1056">
        <v>-1.377023E-2</v>
      </c>
      <c r="O1056">
        <v>9.0048259999999996E-4</v>
      </c>
      <c r="P1056">
        <v>0.96504509999999999</v>
      </c>
      <c r="Q1056">
        <v>0.19248580000000001</v>
      </c>
      <c r="R1056">
        <v>-0.1778689</v>
      </c>
      <c r="S1056">
        <v>3.0262150000000001</v>
      </c>
      <c r="T1056">
        <v>-0.13761509999999999</v>
      </c>
      <c r="U1056">
        <v>-0.59408570000000005</v>
      </c>
      <c r="V1056">
        <v>0.17888579999999901</v>
      </c>
      <c r="W1056">
        <v>0.20562569999999999</v>
      </c>
      <c r="X1056">
        <v>0.96214230000000001</v>
      </c>
      <c r="Y1056">
        <v>0.19326699999999999</v>
      </c>
      <c r="Z1056">
        <v>-5.7230579999999996E-3</v>
      </c>
      <c r="AA1056">
        <v>0.98112949999999999</v>
      </c>
      <c r="AB1056">
        <v>35</v>
      </c>
      <c r="AC1056">
        <v>24.4682</v>
      </c>
      <c r="AD1056">
        <v>-1.121037021934</v>
      </c>
      <c r="AE1056">
        <v>-4.8396000000000097</v>
      </c>
      <c r="AF1056">
        <v>4.8518322031169303</v>
      </c>
      <c r="AG1056">
        <v>-1.121037021934</v>
      </c>
      <c r="AH1056">
        <v>24.4145123086323</v>
      </c>
      <c r="AI1056">
        <v>92.578638583152099</v>
      </c>
      <c r="AJ1056">
        <v>78.7601956449802</v>
      </c>
      <c r="AK1056">
        <v>24.917171007161102</v>
      </c>
      <c r="AL1056">
        <v>78.133869801052796</v>
      </c>
      <c r="AM1056">
        <v>79.467574793015004</v>
      </c>
      <c r="AN1056">
        <v>0.999999931695707</v>
      </c>
    </row>
    <row r="1057" spans="1:40" x14ac:dyDescent="0.25">
      <c r="A1057" t="str">
        <f>"20190303162800508"</f>
        <v>20190303162800508</v>
      </c>
      <c r="B1057" t="str">
        <f>"1551601680502453"</f>
        <v>1551601680502453</v>
      </c>
      <c r="C1057" t="s">
        <v>40</v>
      </c>
      <c r="D1057">
        <v>4.5830909999999996</v>
      </c>
      <c r="E1057">
        <v>0.50810180000000005</v>
      </c>
      <c r="F1057" t="s">
        <v>41</v>
      </c>
      <c r="G1057">
        <v>-217.79230000000001</v>
      </c>
      <c r="H1057" s="1">
        <v>-2.193927E-6</v>
      </c>
      <c r="I1057">
        <v>364.1422</v>
      </c>
      <c r="J1057">
        <v>-242.50970000000001</v>
      </c>
      <c r="K1057">
        <v>1.1210329999999999</v>
      </c>
      <c r="L1057">
        <v>369.03930000000003</v>
      </c>
      <c r="M1057">
        <v>0.99990489999999999</v>
      </c>
      <c r="N1057">
        <v>-1.376962E-2</v>
      </c>
      <c r="O1057">
        <v>7.1657909999999999E-4</v>
      </c>
      <c r="P1057">
        <v>0.9649276</v>
      </c>
      <c r="Q1057">
        <v>0.1927596</v>
      </c>
      <c r="R1057">
        <v>-0.17820949999999999</v>
      </c>
      <c r="S1057">
        <v>3.0262150000000001</v>
      </c>
      <c r="T1057">
        <v>-0.136088299999999</v>
      </c>
      <c r="U1057">
        <v>-0.59448239999999997</v>
      </c>
      <c r="V1057">
        <v>0.17905009999999999</v>
      </c>
      <c r="W1057">
        <v>0.20589640000000001</v>
      </c>
      <c r="X1057">
        <v>0.96205390000000002</v>
      </c>
      <c r="Y1057">
        <v>0.19321540000000001</v>
      </c>
      <c r="Z1057">
        <v>-5.667086E-3</v>
      </c>
      <c r="AA1057">
        <v>0.98114000000000001</v>
      </c>
      <c r="AB1057">
        <v>35</v>
      </c>
      <c r="AC1057">
        <v>24.717400000000001</v>
      </c>
      <c r="AD1057">
        <v>-1.121035193927</v>
      </c>
      <c r="AE1057">
        <v>-4.8971000000000204</v>
      </c>
      <c r="AF1057">
        <v>4.9051037222805096</v>
      </c>
      <c r="AG1057">
        <v>-1.121035193927</v>
      </c>
      <c r="AH1057">
        <v>24.665064594774801</v>
      </c>
      <c r="AI1057">
        <v>92.552406182426594</v>
      </c>
      <c r="AJ1057">
        <v>78.752419285581496</v>
      </c>
      <c r="AK1057">
        <v>25.173044589337401</v>
      </c>
      <c r="AL1057">
        <v>78.118021354187704</v>
      </c>
      <c r="AM1057">
        <v>79.457170955534806</v>
      </c>
      <c r="AN1057">
        <v>0.99999998617408903</v>
      </c>
    </row>
    <row r="1058" spans="1:40" x14ac:dyDescent="0.25">
      <c r="A1058" t="str">
        <f>"20190303162800520"</f>
        <v>20190303162800520</v>
      </c>
      <c r="B1058" t="str">
        <f>"1551601680512212"</f>
        <v>1551601680512212</v>
      </c>
      <c r="C1058" t="s">
        <v>40</v>
      </c>
      <c r="D1058">
        <v>4.6154519999999897</v>
      </c>
      <c r="E1058">
        <v>0.50797929999999902</v>
      </c>
      <c r="F1058" t="s">
        <v>41</v>
      </c>
      <c r="G1058">
        <v>-217.55699999999999</v>
      </c>
      <c r="H1058" s="1">
        <v>-2.2752280000000002E-6</v>
      </c>
      <c r="I1058">
        <v>364.13749999999999</v>
      </c>
      <c r="J1058">
        <v>-242.29060000000001</v>
      </c>
      <c r="K1058">
        <v>1.1210310000000001</v>
      </c>
      <c r="L1058">
        <v>369.03919999999999</v>
      </c>
      <c r="M1058">
        <v>0.99990520000000005</v>
      </c>
      <c r="N1058">
        <v>-1.3770859999999999E-2</v>
      </c>
      <c r="O1058">
        <v>5.256309E-4</v>
      </c>
      <c r="P1058">
        <v>0.96507489999999996</v>
      </c>
      <c r="Q1058">
        <v>0.1919815</v>
      </c>
      <c r="R1058">
        <v>-0.1782523</v>
      </c>
      <c r="S1058">
        <v>3.0263979999999999</v>
      </c>
      <c r="T1058">
        <v>-0.135965</v>
      </c>
      <c r="U1058">
        <v>-0.59451290000000001</v>
      </c>
      <c r="V1058">
        <v>0.17890919999999999</v>
      </c>
      <c r="W1058">
        <v>0.20512130000000001</v>
      </c>
      <c r="X1058">
        <v>0.96224569999999998</v>
      </c>
      <c r="Y1058">
        <v>0.19302710000000001</v>
      </c>
      <c r="Z1058">
        <v>-5.6516369999999897E-3</v>
      </c>
      <c r="AA1058">
        <v>0.98117719999999997</v>
      </c>
      <c r="AB1058">
        <v>35</v>
      </c>
      <c r="AC1058">
        <v>24.733599999999999</v>
      </c>
      <c r="AD1058">
        <v>-1.1210332752279999</v>
      </c>
      <c r="AE1058">
        <v>-4.9016999999999999</v>
      </c>
      <c r="AF1058">
        <v>4.9050057739408102</v>
      </c>
      <c r="AG1058">
        <v>-1.1210332752279999</v>
      </c>
      <c r="AH1058">
        <v>24.682231497609902</v>
      </c>
      <c r="AI1058">
        <v>92.550698240024602</v>
      </c>
      <c r="AJ1058">
        <v>78.760261664988604</v>
      </c>
      <c r="AK1058">
        <v>25.1898461477669</v>
      </c>
      <c r="AL1058">
        <v>78.163400294935798</v>
      </c>
      <c r="AM1058">
        <v>79.467334480501194</v>
      </c>
      <c r="AN1058">
        <v>1.0000000183633999</v>
      </c>
    </row>
    <row r="1059" spans="1:40" x14ac:dyDescent="0.25">
      <c r="A1059" t="str">
        <f>"20190303162800535"</f>
        <v>20190303162800535</v>
      </c>
      <c r="B1059" t="str">
        <f>"1551601680521972"</f>
        <v>1551601680521972</v>
      </c>
      <c r="C1059" t="s">
        <v>40</v>
      </c>
      <c r="D1059">
        <v>4.6721629999999896</v>
      </c>
      <c r="E1059">
        <v>0.50798900000000002</v>
      </c>
      <c r="F1059" t="s">
        <v>41</v>
      </c>
      <c r="G1059">
        <v>-218.33690000000001</v>
      </c>
      <c r="H1059" s="1">
        <v>-1.954942E-6</v>
      </c>
      <c r="I1059">
        <v>364.34390000000002</v>
      </c>
      <c r="J1059">
        <v>-242.0823</v>
      </c>
      <c r="K1059">
        <v>1.1210310000000001</v>
      </c>
      <c r="L1059">
        <v>369.03919999999999</v>
      </c>
      <c r="M1059">
        <v>0.99990520000000005</v>
      </c>
      <c r="N1059">
        <v>-1.3774079999999999E-2</v>
      </c>
      <c r="O1059">
        <v>3.433873E-4</v>
      </c>
      <c r="P1059">
        <v>0.96516829999999998</v>
      </c>
      <c r="Q1059">
        <v>0.19138630000000001</v>
      </c>
      <c r="R1059">
        <v>-0.17838679999999901</v>
      </c>
      <c r="S1059">
        <v>3.0271759999999999</v>
      </c>
      <c r="T1059">
        <v>-0.1416714</v>
      </c>
      <c r="U1059">
        <v>-0.59338380000000002</v>
      </c>
      <c r="V1059">
        <v>0.1788679</v>
      </c>
      <c r="W1059">
        <v>0.20453089999999999</v>
      </c>
      <c r="X1059">
        <v>0.96237899999999998</v>
      </c>
      <c r="Y1059">
        <v>0.19243060000000001</v>
      </c>
      <c r="Z1059">
        <v>-5.8080190000000002E-3</v>
      </c>
      <c r="AA1059">
        <v>0.98129339999999998</v>
      </c>
      <c r="AB1059">
        <v>35</v>
      </c>
      <c r="AC1059">
        <v>23.745399999999901</v>
      </c>
      <c r="AD1059">
        <v>-1.1210329549419999</v>
      </c>
      <c r="AE1059">
        <v>-4.6952999999999703</v>
      </c>
      <c r="AF1059">
        <v>4.69338720011981</v>
      </c>
      <c r="AG1059">
        <v>-1.1210329549419999</v>
      </c>
      <c r="AH1059">
        <v>23.692965492743198</v>
      </c>
      <c r="AI1059">
        <v>92.657369899643896</v>
      </c>
      <c r="AJ1059">
        <v>78.795221059104094</v>
      </c>
      <c r="AK1059">
        <v>24.1793550810734</v>
      </c>
      <c r="AL1059">
        <v>78.197959961336593</v>
      </c>
      <c r="AM1059">
        <v>79.471137429814704</v>
      </c>
      <c r="AN1059">
        <v>0.99999997717310896</v>
      </c>
    </row>
    <row r="1060" spans="1:40" x14ac:dyDescent="0.25">
      <c r="A1060" t="str">
        <f>"20190303162800547"</f>
        <v>20190303162800547</v>
      </c>
      <c r="B1060" t="str">
        <f>"1551601680532708"</f>
        <v>1551601680532708</v>
      </c>
      <c r="C1060" t="s">
        <v>40</v>
      </c>
      <c r="D1060">
        <v>4.6319269999999904</v>
      </c>
      <c r="E1060">
        <v>0.50800699999999999</v>
      </c>
      <c r="F1060" t="s">
        <v>41</v>
      </c>
      <c r="G1060">
        <v>-218.8767</v>
      </c>
      <c r="H1060" s="1">
        <v>-1.7323220000000001E-6</v>
      </c>
      <c r="I1060">
        <v>364.49009999999998</v>
      </c>
      <c r="J1060">
        <v>-241.8974</v>
      </c>
      <c r="K1060">
        <v>1.121024</v>
      </c>
      <c r="L1060">
        <v>369.03910000000002</v>
      </c>
      <c r="M1060">
        <v>0.99990509999999999</v>
      </c>
      <c r="N1060">
        <v>-1.3777330000000001E-2</v>
      </c>
      <c r="O1060">
        <v>1.817112E-4</v>
      </c>
      <c r="P1060">
        <v>0.96516360000000001</v>
      </c>
      <c r="Q1060">
        <v>0.19130430000000001</v>
      </c>
      <c r="R1060">
        <v>-0.17849849999999901</v>
      </c>
      <c r="S1060">
        <v>3.027603</v>
      </c>
      <c r="T1060">
        <v>-0.14625929999999901</v>
      </c>
      <c r="U1060">
        <v>-0.59350590000000003</v>
      </c>
      <c r="V1060">
        <v>0.17882410000000001</v>
      </c>
      <c r="W1060">
        <v>0.20445199999999999</v>
      </c>
      <c r="X1060">
        <v>0.96240400000000004</v>
      </c>
      <c r="Y1060">
        <v>0.19226889999999999</v>
      </c>
      <c r="Z1060">
        <v>-5.9419390000000002E-3</v>
      </c>
      <c r="AA1060">
        <v>0.98132430000000004</v>
      </c>
      <c r="AB1060">
        <v>35</v>
      </c>
      <c r="AC1060">
        <v>23.020700000000001</v>
      </c>
      <c r="AD1060">
        <v>-1.1210257323219901</v>
      </c>
      <c r="AE1060">
        <v>-4.5490000000000297</v>
      </c>
      <c r="AF1060">
        <v>4.5428157086694103</v>
      </c>
      <c r="AG1060">
        <v>-1.1210257323219901</v>
      </c>
      <c r="AH1060">
        <v>22.967456011615599</v>
      </c>
      <c r="AI1060">
        <v>92.741324328460806</v>
      </c>
      <c r="AJ1060">
        <v>78.811674378973706</v>
      </c>
      <c r="AK1060">
        <v>23.439238658731199</v>
      </c>
      <c r="AL1060">
        <v>78.202579289678795</v>
      </c>
      <c r="AM1060">
        <v>79.473925364636202</v>
      </c>
      <c r="AN1060">
        <v>1.0000000691304001</v>
      </c>
    </row>
    <row r="1061" spans="1:40" x14ac:dyDescent="0.25">
      <c r="A1061" t="str">
        <f>"20190303162800560"</f>
        <v>20190303162800560</v>
      </c>
      <c r="B1061" t="str">
        <f>"1551601680552228"</f>
        <v>1551601680552228</v>
      </c>
      <c r="C1061" t="s">
        <v>40</v>
      </c>
      <c r="D1061">
        <v>4.6298510000000004</v>
      </c>
      <c r="E1061">
        <v>0.50773210000000002</v>
      </c>
      <c r="F1061" t="s">
        <v>41</v>
      </c>
      <c r="G1061">
        <v>-219.10220000000001</v>
      </c>
      <c r="H1061" s="1">
        <v>-1.635152E-6</v>
      </c>
      <c r="I1061">
        <v>364.56689999999998</v>
      </c>
      <c r="J1061">
        <v>-241.68340000000001</v>
      </c>
      <c r="K1061">
        <v>1.1210249999999999</v>
      </c>
      <c r="L1061">
        <v>369.03899999999999</v>
      </c>
      <c r="M1061">
        <v>0.99990520000000005</v>
      </c>
      <c r="N1061">
        <v>-1.37816E-2</v>
      </c>
      <c r="O1061" s="1">
        <v>-6.13571299999999E-6</v>
      </c>
      <c r="P1061">
        <v>0.9651904</v>
      </c>
      <c r="Q1061">
        <v>0.1911572</v>
      </c>
      <c r="R1061">
        <v>-0.17851439999999999</v>
      </c>
      <c r="S1061">
        <v>3.0279240000000001</v>
      </c>
      <c r="T1061">
        <v>-0.1489075</v>
      </c>
      <c r="U1061">
        <v>-0.59405520000000001</v>
      </c>
      <c r="V1061">
        <v>0.1786585</v>
      </c>
      <c r="W1061">
        <v>0.20430960000000001</v>
      </c>
      <c r="X1061">
        <v>0.96246489999999996</v>
      </c>
      <c r="Y1061">
        <v>0.1922276</v>
      </c>
      <c r="Z1061">
        <v>-6.0172699999999999E-3</v>
      </c>
      <c r="AA1061">
        <v>0.98133190000000003</v>
      </c>
      <c r="AB1061">
        <v>35</v>
      </c>
      <c r="AC1061">
        <v>22.5811999999999</v>
      </c>
      <c r="AD1061">
        <v>-1.121026635152</v>
      </c>
      <c r="AE1061">
        <v>-4.47210000000001</v>
      </c>
      <c r="AF1061">
        <v>4.4613811138928803</v>
      </c>
      <c r="AG1061">
        <v>-1.121026635152</v>
      </c>
      <c r="AH1061">
        <v>22.5278019725408</v>
      </c>
      <c r="AI1061">
        <v>92.794612070184797</v>
      </c>
      <c r="AJ1061">
        <v>78.798149288029904</v>
      </c>
      <c r="AK1061">
        <v>22.992661522193</v>
      </c>
      <c r="AL1061">
        <v>78.210913055001896</v>
      </c>
      <c r="AM1061">
        <v>79.484106064152797</v>
      </c>
      <c r="AN1061">
        <v>0.99999997800320894</v>
      </c>
    </row>
    <row r="1062" spans="1:40" x14ac:dyDescent="0.25">
      <c r="A1062" t="str">
        <f>"20190303162800575"</f>
        <v>20190303162800575</v>
      </c>
      <c r="B1062" t="str">
        <f>"1551601680562964"</f>
        <v>1551601680562964</v>
      </c>
      <c r="C1062" t="s">
        <v>40</v>
      </c>
      <c r="D1062">
        <v>4.6760869999999999</v>
      </c>
      <c r="E1062">
        <v>0.50774390000000003</v>
      </c>
      <c r="F1062" t="s">
        <v>41</v>
      </c>
      <c r="G1062">
        <v>-219.26669999999999</v>
      </c>
      <c r="H1062" s="1">
        <v>-1.5546140000000001E-6</v>
      </c>
      <c r="I1062">
        <v>364.6592</v>
      </c>
      <c r="J1062">
        <v>-241.4622</v>
      </c>
      <c r="K1062">
        <v>1.1210260000000001</v>
      </c>
      <c r="L1062">
        <v>369.03879999999998</v>
      </c>
      <c r="M1062">
        <v>0.99990489999999999</v>
      </c>
      <c r="N1062">
        <v>-1.378586E-2</v>
      </c>
      <c r="O1062">
        <v>-2.00416E-4</v>
      </c>
      <c r="P1062">
        <v>0.96517949999999997</v>
      </c>
      <c r="Q1062">
        <v>0.1911842</v>
      </c>
      <c r="R1062">
        <v>-0.1785437</v>
      </c>
      <c r="S1062">
        <v>3.028778</v>
      </c>
      <c r="T1062">
        <v>-0.15146470000000001</v>
      </c>
      <c r="U1062">
        <v>-0.59176640000000003</v>
      </c>
      <c r="V1062">
        <v>0.17850050000000001</v>
      </c>
      <c r="W1062">
        <v>0.20434089999999999</v>
      </c>
      <c r="X1062">
        <v>0.9624876</v>
      </c>
      <c r="Y1062">
        <v>0.19126319999999999</v>
      </c>
      <c r="Z1062">
        <v>-6.0593359999999898E-3</v>
      </c>
      <c r="AA1062">
        <v>0.98152010000000001</v>
      </c>
      <c r="AB1062">
        <v>35</v>
      </c>
      <c r="AC1062">
        <v>22.195499999999999</v>
      </c>
      <c r="AD1062">
        <v>-1.1210275546140001</v>
      </c>
      <c r="AE1062">
        <v>-4.3795999999999804</v>
      </c>
      <c r="AF1062">
        <v>4.3644349165621596</v>
      </c>
      <c r="AG1062">
        <v>-1.1210275546140001</v>
      </c>
      <c r="AH1062">
        <v>22.142010872006601</v>
      </c>
      <c r="AI1062">
        <v>92.843727940151098</v>
      </c>
      <c r="AJ1062">
        <v>78.849314136014797</v>
      </c>
      <c r="AK1062">
        <v>22.595876623294998</v>
      </c>
      <c r="AL1062">
        <v>78.209081382544895</v>
      </c>
      <c r="AM1062">
        <v>79.493441094428206</v>
      </c>
      <c r="AN1062">
        <v>1.0000000060334</v>
      </c>
    </row>
    <row r="1063" spans="1:40" x14ac:dyDescent="0.25">
      <c r="A1063" t="str">
        <f>"20190303162800590"</f>
        <v>20190303162800590</v>
      </c>
      <c r="B1063" t="str">
        <f>"1551601680582484"</f>
        <v>1551601680582484</v>
      </c>
      <c r="C1063" t="s">
        <v>40</v>
      </c>
      <c r="D1063">
        <v>4.6736279999999999</v>
      </c>
      <c r="E1063">
        <v>0.50779039999999998</v>
      </c>
      <c r="F1063" t="s">
        <v>41</v>
      </c>
      <c r="G1063">
        <v>-219.2987</v>
      </c>
      <c r="H1063" s="1">
        <v>-1.5312179999999999E-6</v>
      </c>
      <c r="I1063">
        <v>364.70620000000002</v>
      </c>
      <c r="J1063">
        <v>-241.21879999999999</v>
      </c>
      <c r="K1063">
        <v>1.121024</v>
      </c>
      <c r="L1063">
        <v>369.0385</v>
      </c>
      <c r="M1063">
        <v>0.99990480000000004</v>
      </c>
      <c r="N1063">
        <v>-1.3790449999999999E-2</v>
      </c>
      <c r="O1063">
        <v>-4.1407059999999999E-4</v>
      </c>
      <c r="P1063">
        <v>0.96514140000000004</v>
      </c>
      <c r="Q1063">
        <v>0.19129389999999999</v>
      </c>
      <c r="R1063">
        <v>-0.1786315</v>
      </c>
      <c r="S1063">
        <v>3.0290530000000002</v>
      </c>
      <c r="T1063">
        <v>-0.15320909999999999</v>
      </c>
      <c r="U1063">
        <v>-0.59213260000000001</v>
      </c>
      <c r="V1063">
        <v>0.1783825</v>
      </c>
      <c r="W1063">
        <v>0.2044552</v>
      </c>
      <c r="X1063">
        <v>0.96248520000000004</v>
      </c>
      <c r="Y1063">
        <v>0.19114519999999999</v>
      </c>
      <c r="Z1063">
        <v>-6.1021259999999898E-3</v>
      </c>
      <c r="AA1063">
        <v>0.98154280000000005</v>
      </c>
      <c r="AB1063">
        <v>35</v>
      </c>
      <c r="AC1063">
        <v>21.920099999999898</v>
      </c>
      <c r="AD1063">
        <v>-1.121025531218</v>
      </c>
      <c r="AE1063">
        <v>-4.3322999999999698</v>
      </c>
      <c r="AF1063">
        <v>4.3123675332231999</v>
      </c>
      <c r="AG1063">
        <v>-1.121025531218</v>
      </c>
      <c r="AH1063">
        <v>21.8668505990432</v>
      </c>
      <c r="AI1063">
        <v>92.879392660425594</v>
      </c>
      <c r="AJ1063">
        <v>78.843841670004693</v>
      </c>
      <c r="AK1063">
        <v>22.316190694294502</v>
      </c>
      <c r="AL1063">
        <v>78.202391191264795</v>
      </c>
      <c r="AM1063">
        <v>79.500206481291002</v>
      </c>
      <c r="AN1063">
        <v>1.00000000266616</v>
      </c>
    </row>
    <row r="1064" spans="1:40" x14ac:dyDescent="0.25">
      <c r="A1064" t="str">
        <f>"20190303162800605"</f>
        <v>20190303162800605</v>
      </c>
      <c r="B1064" t="str">
        <f>"1551601680592245"</f>
        <v>1551601680592245</v>
      </c>
      <c r="C1064" t="s">
        <v>40</v>
      </c>
      <c r="D1064">
        <v>4.7139340000000001</v>
      </c>
      <c r="E1064">
        <v>0.50777079999999997</v>
      </c>
      <c r="F1064" t="s">
        <v>41</v>
      </c>
      <c r="G1064">
        <v>-218.97409999999999</v>
      </c>
      <c r="H1064" s="1">
        <v>-1.6476600000000001E-6</v>
      </c>
      <c r="I1064">
        <v>364.68369999999999</v>
      </c>
      <c r="J1064">
        <v>-240.98150000000001</v>
      </c>
      <c r="K1064">
        <v>1.1210260000000001</v>
      </c>
      <c r="L1064">
        <v>369.03820000000002</v>
      </c>
      <c r="M1064">
        <v>0.99990469999999998</v>
      </c>
      <c r="N1064">
        <v>-1.379476E-2</v>
      </c>
      <c r="O1064">
        <v>-6.2236019999999895E-4</v>
      </c>
      <c r="P1064">
        <v>0.96512690000000001</v>
      </c>
      <c r="Q1064">
        <v>0.19109029999999999</v>
      </c>
      <c r="R1064">
        <v>-0.17892649999999999</v>
      </c>
      <c r="S1064">
        <v>3.0288539999999999</v>
      </c>
      <c r="T1064">
        <v>-0.15263940000000001</v>
      </c>
      <c r="U1064">
        <v>-0.5929565</v>
      </c>
      <c r="V1064">
        <v>0.17847679999999999</v>
      </c>
      <c r="W1064">
        <v>0.20425550000000001</v>
      </c>
      <c r="X1064">
        <v>0.96251010000000004</v>
      </c>
      <c r="Y1064">
        <v>0.1912121</v>
      </c>
      <c r="Z1064">
        <v>-6.0796449999999998E-3</v>
      </c>
      <c r="AA1064">
        <v>0.98152989999999996</v>
      </c>
      <c r="AB1064">
        <v>35</v>
      </c>
      <c r="AC1064">
        <v>22.007400000000001</v>
      </c>
      <c r="AD1064">
        <v>-1.1210276476600001</v>
      </c>
      <c r="AE1064">
        <v>-4.35450000000003</v>
      </c>
      <c r="AF1064">
        <v>4.3299893874109499</v>
      </c>
      <c r="AG1064">
        <v>-1.1210276476600001</v>
      </c>
      <c r="AH1064">
        <v>21.955283956669899</v>
      </c>
      <c r="AI1064">
        <v>92.867815100759501</v>
      </c>
      <c r="AJ1064">
        <v>78.843384775416396</v>
      </c>
      <c r="AK1064">
        <v>22.4062492331919</v>
      </c>
      <c r="AL1064">
        <v>78.2140796152744</v>
      </c>
      <c r="AM1064">
        <v>79.495045129603795</v>
      </c>
      <c r="AN1064">
        <v>0.999999985010249</v>
      </c>
    </row>
    <row r="1065" spans="1:40" x14ac:dyDescent="0.25">
      <c r="A1065" t="str">
        <f>"20190303162800618"</f>
        <v>20190303162800618</v>
      </c>
      <c r="B1065" t="str">
        <f>"1551601680612741"</f>
        <v>1551601680612741</v>
      </c>
      <c r="C1065" t="s">
        <v>40</v>
      </c>
      <c r="D1065">
        <v>4.7590969999999997</v>
      </c>
      <c r="E1065">
        <v>0.50788350000000004</v>
      </c>
      <c r="F1065" t="s">
        <v>41</v>
      </c>
      <c r="G1065">
        <v>-219.06209999999999</v>
      </c>
      <c r="H1065" s="1">
        <v>-1.601784E-6</v>
      </c>
      <c r="I1065">
        <v>364.74360000000001</v>
      </c>
      <c r="J1065">
        <v>-240.77260000000001</v>
      </c>
      <c r="K1065">
        <v>1.121032</v>
      </c>
      <c r="L1065">
        <v>369.03789999999998</v>
      </c>
      <c r="M1065">
        <v>0.99990460000000003</v>
      </c>
      <c r="N1065">
        <v>-1.379814E-2</v>
      </c>
      <c r="O1065">
        <v>-8.0560660000000004E-4</v>
      </c>
      <c r="P1065">
        <v>0.96505770000000002</v>
      </c>
      <c r="Q1065">
        <v>0.19104109999999999</v>
      </c>
      <c r="R1065">
        <v>-0.17935309999999999</v>
      </c>
      <c r="S1065">
        <v>3.0290530000000002</v>
      </c>
      <c r="T1065">
        <v>-0.15491460000000001</v>
      </c>
      <c r="U1065">
        <v>-0.59347530000000004</v>
      </c>
      <c r="V1065">
        <v>0.17872639999999901</v>
      </c>
      <c r="W1065">
        <v>0.2042088</v>
      </c>
      <c r="X1065">
        <v>0.96247369999999999</v>
      </c>
      <c r="Y1065">
        <v>0.19117419999999999</v>
      </c>
      <c r="Z1065">
        <v>-6.1421849999999997E-3</v>
      </c>
      <c r="AA1065">
        <v>0.98153690000000005</v>
      </c>
      <c r="AB1065">
        <v>35</v>
      </c>
      <c r="AC1065">
        <v>21.7105</v>
      </c>
      <c r="AD1065">
        <v>-1.1210336017839999</v>
      </c>
      <c r="AE1065">
        <v>-4.2942999999999598</v>
      </c>
      <c r="AF1065">
        <v>4.2658612886346798</v>
      </c>
      <c r="AG1065">
        <v>-1.1210336017839999</v>
      </c>
      <c r="AH1065">
        <v>21.658380783359299</v>
      </c>
      <c r="AI1065">
        <v>92.907218563109097</v>
      </c>
      <c r="AJ1065">
        <v>78.857577222756404</v>
      </c>
      <c r="AK1065">
        <v>22.102935258177599</v>
      </c>
      <c r="AL1065">
        <v>78.216813018951996</v>
      </c>
      <c r="AM1065">
        <v>79.480292685554005</v>
      </c>
      <c r="AN1065">
        <v>0.99999999162304498</v>
      </c>
    </row>
    <row r="1066" spans="1:40" x14ac:dyDescent="0.25">
      <c r="A1066" t="str">
        <f>"20190303162800631"</f>
        <v>20190303162800631</v>
      </c>
      <c r="B1066" t="str">
        <f>"1551601680622501"</f>
        <v>1551601680622501</v>
      </c>
      <c r="C1066" t="s">
        <v>40</v>
      </c>
      <c r="D1066">
        <v>4.7634439999999998</v>
      </c>
      <c r="E1066">
        <v>0.50784759999999995</v>
      </c>
      <c r="F1066" t="s">
        <v>41</v>
      </c>
      <c r="G1066">
        <v>-219.17410000000001</v>
      </c>
      <c r="H1066" s="1">
        <v>-1.5511550000000001E-6</v>
      </c>
      <c r="I1066">
        <v>364.79070000000002</v>
      </c>
      <c r="J1066">
        <v>-240.5763</v>
      </c>
      <c r="K1066">
        <v>1.1210340000000001</v>
      </c>
      <c r="L1066">
        <v>369.0376</v>
      </c>
      <c r="M1066">
        <v>0.99990429999999997</v>
      </c>
      <c r="N1066">
        <v>-1.380105E-2</v>
      </c>
      <c r="O1066">
        <v>-9.776438000000001E-4</v>
      </c>
      <c r="P1066">
        <v>0.96491720000000003</v>
      </c>
      <c r="Q1066">
        <v>0.19103390000000001</v>
      </c>
      <c r="R1066">
        <v>-0.18011489999999999</v>
      </c>
      <c r="S1066">
        <v>3.0290370000000002</v>
      </c>
      <c r="T1066">
        <v>-0.15721650000000001</v>
      </c>
      <c r="U1066">
        <v>-0.59564209999999995</v>
      </c>
      <c r="V1066">
        <v>0.17932239999999999</v>
      </c>
      <c r="W1066">
        <v>0.2042023</v>
      </c>
      <c r="X1066">
        <v>0.96236429999999995</v>
      </c>
      <c r="Y1066">
        <v>0.1916735</v>
      </c>
      <c r="Z1066">
        <v>-6.2233089999999998E-3</v>
      </c>
      <c r="AA1066">
        <v>0.98143899999999995</v>
      </c>
      <c r="AB1066">
        <v>35</v>
      </c>
      <c r="AC1066">
        <v>21.402200000000001</v>
      </c>
      <c r="AD1066">
        <v>-1.1210355511550001</v>
      </c>
      <c r="AE1066">
        <v>-4.2468999999999797</v>
      </c>
      <c r="AF1066">
        <v>4.2148464512516401</v>
      </c>
      <c r="AG1066">
        <v>-1.1210355511550001</v>
      </c>
      <c r="AH1066">
        <v>21.3499852340905</v>
      </c>
      <c r="AI1066">
        <v>92.948889595224998</v>
      </c>
      <c r="AJ1066">
        <v>78.832450094083995</v>
      </c>
      <c r="AK1066">
        <v>21.790904543191001</v>
      </c>
      <c r="AL1066">
        <v>78.217194444954103</v>
      </c>
      <c r="AM1066">
        <v>79.444826643909906</v>
      </c>
      <c r="AN1066">
        <v>1.00000007419076</v>
      </c>
    </row>
    <row r="1067" spans="1:40" x14ac:dyDescent="0.25">
      <c r="A1067" t="str">
        <f>"20190303162800645"</f>
        <v>20190303162800645</v>
      </c>
      <c r="B1067" t="str">
        <f>"1551601680632260"</f>
        <v>1551601680632260</v>
      </c>
      <c r="C1067" t="s">
        <v>40</v>
      </c>
      <c r="D1067">
        <v>4.7550179999999997</v>
      </c>
      <c r="E1067">
        <v>0.50788230000000001</v>
      </c>
      <c r="F1067" t="s">
        <v>41</v>
      </c>
      <c r="G1067">
        <v>-219.19649999999999</v>
      </c>
      <c r="H1067" s="1">
        <v>-1.537088E-6</v>
      </c>
      <c r="I1067">
        <v>364.81479999999999</v>
      </c>
      <c r="J1067">
        <v>-240.35310000000001</v>
      </c>
      <c r="K1067">
        <v>1.121032</v>
      </c>
      <c r="L1067">
        <v>369.03719999999998</v>
      </c>
      <c r="M1067">
        <v>0.99990409999999996</v>
      </c>
      <c r="N1067">
        <v>-1.380412E-2</v>
      </c>
      <c r="O1067">
        <v>-1.1730460000000001E-3</v>
      </c>
      <c r="P1067">
        <v>0.96467389999999997</v>
      </c>
      <c r="Q1067">
        <v>0.19117290000000001</v>
      </c>
      <c r="R1067">
        <v>-0.18126590000000001</v>
      </c>
      <c r="S1067">
        <v>3.02887</v>
      </c>
      <c r="T1067">
        <v>-0.1588166</v>
      </c>
      <c r="U1067">
        <v>-0.59823609999999905</v>
      </c>
      <c r="V1067">
        <v>0.18028559999999999</v>
      </c>
      <c r="W1067">
        <v>0.20434040000000001</v>
      </c>
      <c r="X1067">
        <v>0.96215490000000004</v>
      </c>
      <c r="Y1067">
        <v>0.1922944</v>
      </c>
      <c r="Z1067">
        <v>-6.2861069999999896E-3</v>
      </c>
      <c r="AA1067">
        <v>0.9813172</v>
      </c>
      <c r="AB1067">
        <v>35</v>
      </c>
      <c r="AC1067">
        <v>21.156600000000001</v>
      </c>
      <c r="AD1067">
        <v>-1.121033537088</v>
      </c>
      <c r="AE1067">
        <v>-4.2223999999999897</v>
      </c>
      <c r="AF1067">
        <v>4.1862736403059797</v>
      </c>
      <c r="AG1067">
        <v>-1.121033537088</v>
      </c>
      <c r="AH1067">
        <v>21.104554230308</v>
      </c>
      <c r="AI1067">
        <v>92.9825820696758</v>
      </c>
      <c r="AJ1067">
        <v>78.780514218830206</v>
      </c>
      <c r="AK1067">
        <v>21.544925445283098</v>
      </c>
      <c r="AL1067">
        <v>78.209110266209393</v>
      </c>
      <c r="AM1067">
        <v>79.387158589375801</v>
      </c>
      <c r="AN1067">
        <v>0.999999974116764</v>
      </c>
    </row>
    <row r="1068" spans="1:40" x14ac:dyDescent="0.25">
      <c r="A1068" t="str">
        <f>"20190303162800659"</f>
        <v>20190303162800659</v>
      </c>
      <c r="B1068" t="str">
        <f>"1551601680652756"</f>
        <v>1551601680652756</v>
      </c>
      <c r="C1068" t="s">
        <v>40</v>
      </c>
      <c r="D1068">
        <v>4.744262</v>
      </c>
      <c r="E1068">
        <v>0.50781659999999995</v>
      </c>
      <c r="F1068" t="s">
        <v>41</v>
      </c>
      <c r="G1068">
        <v>-219.0385</v>
      </c>
      <c r="H1068" s="1">
        <v>-1.595163E-6</v>
      </c>
      <c r="I1068">
        <v>364.7987</v>
      </c>
      <c r="J1068">
        <v>-240.13509999999999</v>
      </c>
      <c r="K1068">
        <v>1.1210329999999999</v>
      </c>
      <c r="L1068">
        <v>369.0367</v>
      </c>
      <c r="M1068">
        <v>0.99990380000000001</v>
      </c>
      <c r="N1068">
        <v>-1.3806779999999999E-2</v>
      </c>
      <c r="O1068">
        <v>-1.3643869999999999E-3</v>
      </c>
      <c r="P1068">
        <v>0.96452389999999999</v>
      </c>
      <c r="Q1068">
        <v>0.19124720000000001</v>
      </c>
      <c r="R1068">
        <v>-0.1819848</v>
      </c>
      <c r="S1068">
        <v>3.0282749999999998</v>
      </c>
      <c r="T1068">
        <v>-0.15926989999999999</v>
      </c>
      <c r="U1068">
        <v>-0.60217290000000001</v>
      </c>
      <c r="V1068">
        <v>0.18081990000000001</v>
      </c>
      <c r="W1068">
        <v>0.2044156</v>
      </c>
      <c r="X1068">
        <v>0.96203870000000002</v>
      </c>
      <c r="Y1068">
        <v>0.19336729999999999</v>
      </c>
      <c r="Z1068">
        <v>-6.3289929999999998E-3</v>
      </c>
      <c r="AA1068">
        <v>0.98110600000000003</v>
      </c>
      <c r="AB1068">
        <v>35</v>
      </c>
      <c r="AC1068">
        <v>21.096599999999899</v>
      </c>
      <c r="AD1068">
        <v>-1.1210345951630001</v>
      </c>
      <c r="AE1068">
        <v>-4.2380000000000004</v>
      </c>
      <c r="AF1068">
        <v>4.1978159434534801</v>
      </c>
      <c r="AG1068">
        <v>-1.1210345951630001</v>
      </c>
      <c r="AH1068">
        <v>21.045243537349101</v>
      </c>
      <c r="AI1068">
        <v>92.990342709876899</v>
      </c>
      <c r="AJ1068">
        <v>78.719475595328603</v>
      </c>
      <c r="AK1068">
        <v>21.4890821768869</v>
      </c>
      <c r="AL1068">
        <v>78.204709229167705</v>
      </c>
      <c r="AM1068">
        <v>79.355167427040797</v>
      </c>
      <c r="AN1068">
        <v>1.0000000170285299</v>
      </c>
    </row>
    <row r="1069" spans="1:40" x14ac:dyDescent="0.25">
      <c r="A1069" t="str">
        <f>"20190303162800674"</f>
        <v>20190303162800674</v>
      </c>
      <c r="B1069" t="str">
        <f>"1551601680662517"</f>
        <v>1551601680662517</v>
      </c>
      <c r="C1069" t="s">
        <v>40</v>
      </c>
      <c r="D1069">
        <v>4.8215339999999998</v>
      </c>
      <c r="E1069">
        <v>0.50793049999999995</v>
      </c>
      <c r="F1069" t="s">
        <v>41</v>
      </c>
      <c r="G1069">
        <v>-219.11969999999999</v>
      </c>
      <c r="H1069" s="1">
        <v>-1.5555779999999901E-6</v>
      </c>
      <c r="I1069">
        <v>364.84359999999998</v>
      </c>
      <c r="J1069">
        <v>-239.9135</v>
      </c>
      <c r="K1069">
        <v>1.1210340000000001</v>
      </c>
      <c r="L1069">
        <v>369.03629999999998</v>
      </c>
      <c r="M1069">
        <v>0.99990349999999995</v>
      </c>
      <c r="N1069">
        <v>-1.3809180000000001E-2</v>
      </c>
      <c r="O1069">
        <v>-1.558352E-3</v>
      </c>
      <c r="P1069">
        <v>0.96432580000000001</v>
      </c>
      <c r="Q1069">
        <v>0.19141040000000001</v>
      </c>
      <c r="R1069">
        <v>-0.18286189999999999</v>
      </c>
      <c r="S1069">
        <v>3.028381</v>
      </c>
      <c r="T1069">
        <v>-0.1615441</v>
      </c>
      <c r="U1069">
        <v>-0.60424800000000001</v>
      </c>
      <c r="V1069">
        <v>0.18151030000000001</v>
      </c>
      <c r="W1069">
        <v>0.2045785</v>
      </c>
      <c r="X1069">
        <v>0.96187409999999995</v>
      </c>
      <c r="Y1069">
        <v>0.19380800000000001</v>
      </c>
      <c r="Z1069">
        <v>-6.4067019999999898E-3</v>
      </c>
      <c r="AA1069">
        <v>0.98101850000000002</v>
      </c>
      <c r="AB1069">
        <v>35</v>
      </c>
      <c r="AC1069">
        <v>20.793800000000001</v>
      </c>
      <c r="AD1069">
        <v>-1.1210355555780001</v>
      </c>
      <c r="AE1069">
        <v>-4.1927000000000003</v>
      </c>
      <c r="AF1069">
        <v>4.1487006233955599</v>
      </c>
      <c r="AG1069">
        <v>-1.1210355555780001</v>
      </c>
      <c r="AH1069">
        <v>20.742376533397099</v>
      </c>
      <c r="AI1069">
        <v>93.033610645051397</v>
      </c>
      <c r="AJ1069">
        <v>78.689469082299297</v>
      </c>
      <c r="AK1069">
        <v>21.182885115882002</v>
      </c>
      <c r="AL1069">
        <v>78.195174855639195</v>
      </c>
      <c r="AM1069">
        <v>79.313671441848598</v>
      </c>
      <c r="AN1069">
        <v>1.00000006795957</v>
      </c>
    </row>
    <row r="1070" spans="1:40" x14ac:dyDescent="0.25">
      <c r="A1070" t="str">
        <f>"20190303162800687"</f>
        <v>20190303162800687</v>
      </c>
      <c r="B1070" t="str">
        <f>"1551601680682037"</f>
        <v>1551601680682037</v>
      </c>
      <c r="C1070" t="s">
        <v>40</v>
      </c>
      <c r="D1070">
        <v>4.7991809999999999</v>
      </c>
      <c r="E1070">
        <v>0.50803329999999902</v>
      </c>
      <c r="F1070" t="s">
        <v>41</v>
      </c>
      <c r="G1070">
        <v>-218.93199999999999</v>
      </c>
      <c r="H1070" s="1">
        <v>-1.6248559999999999E-6</v>
      </c>
      <c r="I1070">
        <v>364.82319999999999</v>
      </c>
      <c r="J1070">
        <v>-239.70609999999999</v>
      </c>
      <c r="K1070">
        <v>1.121035</v>
      </c>
      <c r="L1070">
        <v>369.03579999999999</v>
      </c>
      <c r="M1070">
        <v>0.99990330000000005</v>
      </c>
      <c r="N1070">
        <v>-1.3811199999999999E-2</v>
      </c>
      <c r="O1070">
        <v>-1.739916E-3</v>
      </c>
      <c r="P1070">
        <v>0.96419739999999998</v>
      </c>
      <c r="Q1070">
        <v>0.1914284</v>
      </c>
      <c r="R1070">
        <v>-0.18351880000000001</v>
      </c>
      <c r="S1070">
        <v>3.0277859999999999</v>
      </c>
      <c r="T1070">
        <v>-0.1617739</v>
      </c>
      <c r="U1070">
        <v>-0.60797119999999905</v>
      </c>
      <c r="V1070">
        <v>0.1819924</v>
      </c>
      <c r="W1070">
        <v>0.20459669999999999</v>
      </c>
      <c r="X1070">
        <v>0.9617791</v>
      </c>
      <c r="Y1070">
        <v>0.1948241</v>
      </c>
      <c r="Z1070">
        <v>-6.4414210000000001E-3</v>
      </c>
      <c r="AA1070">
        <v>0.98081700000000005</v>
      </c>
      <c r="AB1070">
        <v>35</v>
      </c>
      <c r="AC1070">
        <v>20.774099999999901</v>
      </c>
      <c r="AD1070">
        <v>-1.121036624856</v>
      </c>
      <c r="AE1070">
        <v>-4.2126000000000001</v>
      </c>
      <c r="AF1070">
        <v>4.1647960099041397</v>
      </c>
      <c r="AG1070">
        <v>-1.121036624856</v>
      </c>
      <c r="AH1070">
        <v>20.723435129218</v>
      </c>
      <c r="AI1070">
        <v>93.035820667685698</v>
      </c>
      <c r="AJ1070">
        <v>78.636618903494295</v>
      </c>
      <c r="AK1070">
        <v>21.1674989659451</v>
      </c>
      <c r="AL1070">
        <v>78.194109207415806</v>
      </c>
      <c r="AM1070">
        <v>79.284910473246697</v>
      </c>
      <c r="AN1070">
        <v>1.00000004025272</v>
      </c>
    </row>
    <row r="1071" spans="1:40" x14ac:dyDescent="0.25">
      <c r="A1071" t="str">
        <f>"20190303162800700"</f>
        <v>20190303162800700</v>
      </c>
      <c r="B1071" t="str">
        <f>"1551601680692772"</f>
        <v>1551601680692772</v>
      </c>
      <c r="C1071" t="s">
        <v>40</v>
      </c>
      <c r="D1071">
        <v>4.841431</v>
      </c>
      <c r="E1071">
        <v>0.50809490000000002</v>
      </c>
      <c r="F1071" t="s">
        <v>41</v>
      </c>
      <c r="G1071">
        <v>-218.76669999999999</v>
      </c>
      <c r="H1071" s="1">
        <v>-1.6843990000000001E-6</v>
      </c>
      <c r="I1071">
        <v>364.8109</v>
      </c>
      <c r="J1071">
        <v>-239.48859999999999</v>
      </c>
      <c r="K1071">
        <v>1.121038</v>
      </c>
      <c r="L1071">
        <v>369.03519999999997</v>
      </c>
      <c r="M1071">
        <v>0.99990279999999998</v>
      </c>
      <c r="N1071">
        <v>-1.381304E-2</v>
      </c>
      <c r="O1071">
        <v>-1.9304159999999999E-3</v>
      </c>
      <c r="P1071">
        <v>0.96395469999999905</v>
      </c>
      <c r="Q1071">
        <v>0.191607</v>
      </c>
      <c r="R1071">
        <v>-0.1846043</v>
      </c>
      <c r="S1071">
        <v>3.0273129999999999</v>
      </c>
      <c r="T1071">
        <v>-0.16207299999999999</v>
      </c>
      <c r="U1071">
        <v>-0.6108093</v>
      </c>
      <c r="V1071">
        <v>0.18289469999999999</v>
      </c>
      <c r="W1071">
        <v>0.20477310000000001</v>
      </c>
      <c r="X1071">
        <v>0.96157029999999999</v>
      </c>
      <c r="Y1071">
        <v>0.19554830000000001</v>
      </c>
      <c r="Z1071">
        <v>-6.4681309999999898E-3</v>
      </c>
      <c r="AA1071">
        <v>0.98067280000000001</v>
      </c>
      <c r="AB1071">
        <v>35</v>
      </c>
      <c r="AC1071">
        <v>20.721900000000002</v>
      </c>
      <c r="AD1071">
        <v>-1.121039684399</v>
      </c>
      <c r="AE1071">
        <v>-4.2242999999999702</v>
      </c>
      <c r="AF1071">
        <v>4.1725617109180497</v>
      </c>
      <c r="AG1071">
        <v>-1.121039684399</v>
      </c>
      <c r="AH1071">
        <v>20.671929601175499</v>
      </c>
      <c r="AI1071">
        <v>93.042863470104606</v>
      </c>
      <c r="AJ1071">
        <v>78.588362678933606</v>
      </c>
      <c r="AK1071">
        <v>21.118609675860998</v>
      </c>
      <c r="AL1071">
        <v>78.183782749705799</v>
      </c>
      <c r="AM1071">
        <v>79.230741738309206</v>
      </c>
      <c r="AN1071">
        <v>0.99999996780689404</v>
      </c>
    </row>
    <row r="1072" spans="1:40" x14ac:dyDescent="0.25">
      <c r="A1072" t="str">
        <f>"20190303162800715"</f>
        <v>20190303162800715</v>
      </c>
      <c r="B1072" t="str">
        <f>"1551601680702532"</f>
        <v>1551601680702532</v>
      </c>
      <c r="C1072" t="s">
        <v>40</v>
      </c>
      <c r="D1072">
        <v>4.8369350000000004</v>
      </c>
      <c r="E1072">
        <v>0.50811870000000003</v>
      </c>
      <c r="F1072" t="s">
        <v>41</v>
      </c>
      <c r="G1072">
        <v>-218.4418</v>
      </c>
      <c r="H1072" s="1">
        <v>-1.8086600000000001E-6</v>
      </c>
      <c r="I1072">
        <v>364.75940000000003</v>
      </c>
      <c r="J1072">
        <v>-239.28110000000001</v>
      </c>
      <c r="K1072">
        <v>1.1210359999999999</v>
      </c>
      <c r="L1072">
        <v>369.03460000000001</v>
      </c>
      <c r="M1072">
        <v>0.99990250000000003</v>
      </c>
      <c r="N1072">
        <v>-1.3814480000000001E-2</v>
      </c>
      <c r="O1072">
        <v>-2.112212E-3</v>
      </c>
      <c r="P1072">
        <v>0.96373750000000002</v>
      </c>
      <c r="Q1072">
        <v>0.19204879999999999</v>
      </c>
      <c r="R1072">
        <v>-0.185278</v>
      </c>
      <c r="S1072">
        <v>3.0264739999999999</v>
      </c>
      <c r="T1072">
        <v>-0.1612016</v>
      </c>
      <c r="U1072">
        <v>-0.61483759999999998</v>
      </c>
      <c r="V1072">
        <v>0.1833939</v>
      </c>
      <c r="W1072">
        <v>0.20521320000000001</v>
      </c>
      <c r="X1072">
        <v>0.96138140000000005</v>
      </c>
      <c r="Y1072">
        <v>0.19667780000000001</v>
      </c>
      <c r="Z1072">
        <v>-6.4724500000000003E-3</v>
      </c>
      <c r="AA1072">
        <v>0.98044679999999995</v>
      </c>
      <c r="AB1072">
        <v>35</v>
      </c>
      <c r="AC1072">
        <v>20.839300000000001</v>
      </c>
      <c r="AD1072">
        <v>-1.1210378086599999</v>
      </c>
      <c r="AE1072">
        <v>-4.2751999999999803</v>
      </c>
      <c r="AF1072">
        <v>4.2194519792423497</v>
      </c>
      <c r="AG1072">
        <v>-1.1210378086599999</v>
      </c>
      <c r="AH1072">
        <v>20.790549872619199</v>
      </c>
      <c r="AI1072">
        <v>93.024881728374297</v>
      </c>
      <c r="AJ1072">
        <v>78.527612268754396</v>
      </c>
      <c r="AK1072">
        <v>21.243998323748801</v>
      </c>
      <c r="AL1072">
        <v>78.158020002160498</v>
      </c>
      <c r="AM1072">
        <v>79.199966087893301</v>
      </c>
      <c r="AN1072">
        <v>0.99999998813870405</v>
      </c>
    </row>
    <row r="1073" spans="1:40" x14ac:dyDescent="0.25">
      <c r="A1073" t="str">
        <f>"20190303162800728"</f>
        <v>20190303162800728</v>
      </c>
      <c r="B1073" t="str">
        <f>"1551601680722053"</f>
        <v>1551601680722053</v>
      </c>
      <c r="C1073" t="s">
        <v>40</v>
      </c>
      <c r="D1073">
        <v>4.8848279999999997</v>
      </c>
      <c r="E1073">
        <v>0.50809409999999999</v>
      </c>
      <c r="F1073" t="s">
        <v>41</v>
      </c>
      <c r="G1073">
        <v>-218.10769999999999</v>
      </c>
      <c r="H1073" s="1">
        <v>-1.934051E-6</v>
      </c>
      <c r="I1073">
        <v>364.71550000000002</v>
      </c>
      <c r="J1073">
        <v>-239.06659999999999</v>
      </c>
      <c r="K1073">
        <v>1.1210370000000001</v>
      </c>
      <c r="L1073">
        <v>369.03399999999999</v>
      </c>
      <c r="M1073">
        <v>0.99990199999999996</v>
      </c>
      <c r="N1073">
        <v>-1.381578E-2</v>
      </c>
      <c r="O1073">
        <v>-2.3002040000000001E-3</v>
      </c>
      <c r="P1073">
        <v>0.96348849999999997</v>
      </c>
      <c r="Q1073">
        <v>0.1924468</v>
      </c>
      <c r="R1073">
        <v>-0.18615709999999999</v>
      </c>
      <c r="S1073">
        <v>3.026138</v>
      </c>
      <c r="T1073">
        <v>-0.16021939999999901</v>
      </c>
      <c r="U1073">
        <v>-0.61727909999999997</v>
      </c>
      <c r="V1073">
        <v>0.1840926</v>
      </c>
      <c r="W1073">
        <v>0.2056094</v>
      </c>
      <c r="X1073">
        <v>0.9611632</v>
      </c>
      <c r="Y1073">
        <v>0.19727700000000001</v>
      </c>
      <c r="Z1073">
        <v>-6.4545760000000001E-3</v>
      </c>
      <c r="AA1073">
        <v>0.98032649999999999</v>
      </c>
      <c r="AB1073">
        <v>35</v>
      </c>
      <c r="AC1073">
        <v>20.9589</v>
      </c>
      <c r="AD1073">
        <v>-1.1210389340510001</v>
      </c>
      <c r="AE1073">
        <v>-4.31849999999997</v>
      </c>
      <c r="AF1073">
        <v>4.2585869724793799</v>
      </c>
      <c r="AG1073">
        <v>-1.1210389340510001</v>
      </c>
      <c r="AH1073">
        <v>20.911389744125099</v>
      </c>
      <c r="AI1073">
        <v>93.007027703629802</v>
      </c>
      <c r="AJ1073">
        <v>78.489169416691595</v>
      </c>
      <c r="AK1073">
        <v>21.370037723984801</v>
      </c>
      <c r="AL1073">
        <v>78.1348249827128</v>
      </c>
      <c r="AM1073">
        <v>79.157390308941501</v>
      </c>
      <c r="AN1073">
        <v>1.00000000388868</v>
      </c>
    </row>
    <row r="1074" spans="1:40" x14ac:dyDescent="0.25">
      <c r="A1074" t="str">
        <f>"20190303162800746"</f>
        <v>20190303162800746</v>
      </c>
      <c r="B1074" t="str">
        <f>"1551601680732788"</f>
        <v>1551601680732788</v>
      </c>
      <c r="C1074" t="s">
        <v>40</v>
      </c>
      <c r="D1074">
        <v>4.8647109999999998</v>
      </c>
      <c r="E1074">
        <v>0.50813359999999996</v>
      </c>
      <c r="F1074" t="s">
        <v>41</v>
      </c>
      <c r="G1074">
        <v>-217.59059999999999</v>
      </c>
      <c r="H1074" s="1">
        <v>-2.1326990000000001E-6</v>
      </c>
      <c r="I1074">
        <v>364.6302</v>
      </c>
      <c r="J1074">
        <v>-238.7963</v>
      </c>
      <c r="K1074">
        <v>1.121043</v>
      </c>
      <c r="L1074">
        <v>369.03309999999999</v>
      </c>
      <c r="M1074">
        <v>0.99990140000000005</v>
      </c>
      <c r="N1074">
        <v>-1.3817579999999999E-2</v>
      </c>
      <c r="O1074">
        <v>-2.5381420000000002E-3</v>
      </c>
      <c r="P1074">
        <v>0.96294659999999999</v>
      </c>
      <c r="Q1074">
        <v>0.19325220000000001</v>
      </c>
      <c r="R1074">
        <v>-0.18811620000000001</v>
      </c>
      <c r="S1074">
        <v>3.0253450000000002</v>
      </c>
      <c r="T1074">
        <v>-0.15792139999999999</v>
      </c>
      <c r="U1074">
        <v>-0.6203613</v>
      </c>
      <c r="V1074">
        <v>0.18582419999999999</v>
      </c>
      <c r="W1074">
        <v>0.20640819999999999</v>
      </c>
      <c r="X1074">
        <v>0.96065860000000003</v>
      </c>
      <c r="Y1074">
        <v>0.19805990000000001</v>
      </c>
      <c r="Z1074">
        <v>-6.4000280000000003E-3</v>
      </c>
      <c r="AA1074">
        <v>0.98016899999999996</v>
      </c>
      <c r="AB1074">
        <v>35</v>
      </c>
      <c r="AC1074">
        <v>21.2057</v>
      </c>
      <c r="AD1074">
        <v>-1.1210451326989901</v>
      </c>
      <c r="AE1074">
        <v>-4.4028999999999803</v>
      </c>
      <c r="AF1074">
        <v>4.33743658380694</v>
      </c>
      <c r="AG1074">
        <v>-1.1210451326989901</v>
      </c>
      <c r="AH1074">
        <v>21.160114975284401</v>
      </c>
      <c r="AI1074">
        <v>92.9709867430944</v>
      </c>
      <c r="AJ1074">
        <v>78.415879370894103</v>
      </c>
      <c r="AK1074">
        <v>21.629160040911199</v>
      </c>
      <c r="AL1074">
        <v>78.088053373340998</v>
      </c>
      <c r="AM1074">
        <v>79.052245289323395</v>
      </c>
      <c r="AN1074">
        <v>0.99999996204341901</v>
      </c>
    </row>
    <row r="1075" spans="1:40" x14ac:dyDescent="0.25">
      <c r="A1075" t="str">
        <f>"20190303162800761"</f>
        <v>20190303162800761</v>
      </c>
      <c r="B1075" t="str">
        <f>"1551601680753284"</f>
        <v>1551601680753284</v>
      </c>
      <c r="C1075" t="s">
        <v>40</v>
      </c>
      <c r="D1075">
        <v>4.9027820000000002</v>
      </c>
      <c r="E1075">
        <v>0.50824650000000005</v>
      </c>
      <c r="F1075" t="s">
        <v>41</v>
      </c>
      <c r="G1075">
        <v>-217.05260000000001</v>
      </c>
      <c r="H1075" s="1">
        <v>-2.345207E-6</v>
      </c>
      <c r="I1075">
        <v>364.5197</v>
      </c>
      <c r="J1075">
        <v>-238.56020000000001</v>
      </c>
      <c r="K1075">
        <v>1.121046</v>
      </c>
      <c r="L1075">
        <v>369.03230000000002</v>
      </c>
      <c r="M1075">
        <v>0.99990080000000003</v>
      </c>
      <c r="N1075">
        <v>-1.382159E-2</v>
      </c>
      <c r="O1075">
        <v>-2.7458220000000002E-3</v>
      </c>
      <c r="P1075">
        <v>0.96273260000000005</v>
      </c>
      <c r="Q1075">
        <v>0.19333449999999999</v>
      </c>
      <c r="R1075">
        <v>-0.18912390000000001</v>
      </c>
      <c r="S1075">
        <v>3.0240939999999998</v>
      </c>
      <c r="T1075">
        <v>-0.15591350000000001</v>
      </c>
      <c r="U1075">
        <v>-0.6277161</v>
      </c>
      <c r="V1075">
        <v>0.1866324</v>
      </c>
      <c r="W1075">
        <v>0.2064918</v>
      </c>
      <c r="X1075">
        <v>0.960484</v>
      </c>
      <c r="Y1075">
        <v>0.20022599999999999</v>
      </c>
      <c r="Z1075">
        <v>-6.4008919999999896E-3</v>
      </c>
      <c r="AA1075">
        <v>0.97972879999999996</v>
      </c>
      <c r="AB1075">
        <v>35</v>
      </c>
      <c r="AC1075">
        <v>21.5076</v>
      </c>
      <c r="AD1075">
        <v>-1.1210483452069999</v>
      </c>
      <c r="AE1075">
        <v>-4.5126000000000097</v>
      </c>
      <c r="AF1075">
        <v>4.44196204928289</v>
      </c>
      <c r="AG1075">
        <v>-1.1210483452069999</v>
      </c>
      <c r="AH1075">
        <v>21.464055260427401</v>
      </c>
      <c r="AI1075">
        <v>92.927862213209707</v>
      </c>
      <c r="AJ1075">
        <v>78.307756114416506</v>
      </c>
      <c r="AK1075">
        <v>21.947515678596599</v>
      </c>
      <c r="AL1075">
        <v>78.083158628455607</v>
      </c>
      <c r="AM1075">
        <v>79.003838461429794</v>
      </c>
      <c r="AN1075">
        <v>1.0000000152264901</v>
      </c>
    </row>
    <row r="1076" spans="1:40" x14ac:dyDescent="0.25">
      <c r="A1076" t="str">
        <f>"20190303162800781"</f>
        <v>20190303162800781</v>
      </c>
      <c r="B1076" t="str">
        <f>"1551601680772804"</f>
        <v>1551601680772804</v>
      </c>
      <c r="C1076" t="s">
        <v>40</v>
      </c>
      <c r="D1076">
        <v>4.9163709999999998</v>
      </c>
      <c r="E1076">
        <v>0.50836789999999998</v>
      </c>
      <c r="F1076" t="s">
        <v>41</v>
      </c>
      <c r="G1076">
        <v>-216.81110000000001</v>
      </c>
      <c r="H1076" s="1">
        <v>-2.436212E-6</v>
      </c>
      <c r="I1076">
        <v>364.48649999999998</v>
      </c>
      <c r="J1076">
        <v>-238.25880000000001</v>
      </c>
      <c r="K1076">
        <v>1.121046</v>
      </c>
      <c r="L1076">
        <v>369.03120000000001</v>
      </c>
      <c r="M1076">
        <v>0.99989989999999995</v>
      </c>
      <c r="N1076">
        <v>-1.382941E-2</v>
      </c>
      <c r="O1076">
        <v>-3.0114619999999999E-3</v>
      </c>
      <c r="P1076">
        <v>0.96232629999999997</v>
      </c>
      <c r="Q1076">
        <v>0.19310089999999999</v>
      </c>
      <c r="R1076">
        <v>-0.19141820000000001</v>
      </c>
      <c r="S1076">
        <v>3.023285</v>
      </c>
      <c r="T1076">
        <v>-0.155834</v>
      </c>
      <c r="U1076">
        <v>-0.63189700000000004</v>
      </c>
      <c r="V1076">
        <v>0.18867159999999999</v>
      </c>
      <c r="W1076">
        <v>0.20625940000000001</v>
      </c>
      <c r="X1076">
        <v>0.96013550000000003</v>
      </c>
      <c r="Y1076">
        <v>0.20131479999999999</v>
      </c>
      <c r="Z1076">
        <v>-6.4254339999999998E-3</v>
      </c>
      <c r="AA1076">
        <v>0.97950550000000003</v>
      </c>
      <c r="AB1076">
        <v>35</v>
      </c>
      <c r="AC1076">
        <v>21.447700000000001</v>
      </c>
      <c r="AD1076">
        <v>-1.1210484362119999</v>
      </c>
      <c r="AE1076">
        <v>-4.5447000000000299</v>
      </c>
      <c r="AF1076">
        <v>4.4684010066988797</v>
      </c>
      <c r="AG1076">
        <v>-1.1210484362119999</v>
      </c>
      <c r="AH1076">
        <v>21.405322941554001</v>
      </c>
      <c r="AI1076">
        <v>92.934829308311294</v>
      </c>
      <c r="AJ1076">
        <v>78.208730600563499</v>
      </c>
      <c r="AK1076">
        <v>21.895460885426001</v>
      </c>
      <c r="AL1076">
        <v>78.096767485713997</v>
      </c>
      <c r="AM1076">
        <v>78.882733202065594</v>
      </c>
      <c r="AN1076">
        <v>1.0000000455475799</v>
      </c>
    </row>
    <row r="1077" spans="1:40" x14ac:dyDescent="0.25">
      <c r="A1077" t="str">
        <f>"20190303162800802"</f>
        <v>20190303162800802</v>
      </c>
      <c r="B1077" t="str">
        <f>"1551601680792325"</f>
        <v>1551601680792325</v>
      </c>
      <c r="C1077" t="s">
        <v>40</v>
      </c>
      <c r="D1077">
        <v>4.9867730000000003</v>
      </c>
      <c r="E1077">
        <v>0.50844250000000002</v>
      </c>
      <c r="F1077" t="s">
        <v>41</v>
      </c>
      <c r="G1077">
        <v>-216.71379999999999</v>
      </c>
      <c r="H1077" s="1">
        <v>-2.4750750000000002E-6</v>
      </c>
      <c r="I1077">
        <v>364.46480000000003</v>
      </c>
      <c r="J1077">
        <v>-237.9297</v>
      </c>
      <c r="K1077">
        <v>1.1210500000000001</v>
      </c>
      <c r="L1077">
        <v>369.0299</v>
      </c>
      <c r="M1077">
        <v>0.99989890000000003</v>
      </c>
      <c r="N1077">
        <v>-1.3838919999999999E-2</v>
      </c>
      <c r="O1077">
        <v>-3.3037129999999998E-3</v>
      </c>
      <c r="P1077">
        <v>0.96179570000000003</v>
      </c>
      <c r="Q1077">
        <v>0.19281110000000001</v>
      </c>
      <c r="R1077">
        <v>-0.19435330000000001</v>
      </c>
      <c r="S1077">
        <v>3.0216219999999998</v>
      </c>
      <c r="T1077">
        <v>-0.15722329999999901</v>
      </c>
      <c r="U1077">
        <v>-0.64041139999999996</v>
      </c>
      <c r="V1077">
        <v>0.1913272</v>
      </c>
      <c r="W1077">
        <v>0.2059696</v>
      </c>
      <c r="X1077">
        <v>0.95967199999999997</v>
      </c>
      <c r="Y1077">
        <v>0.2037696</v>
      </c>
      <c r="Z1077">
        <v>-6.5417009999999996E-3</v>
      </c>
      <c r="AA1077">
        <v>0.97899700000000001</v>
      </c>
      <c r="AB1077">
        <v>35</v>
      </c>
      <c r="AC1077">
        <v>21.215900000000001</v>
      </c>
      <c r="AD1077">
        <v>-1.1210524750749999</v>
      </c>
      <c r="AE1077">
        <v>-4.56509999999997</v>
      </c>
      <c r="AF1077">
        <v>4.4830140538417496</v>
      </c>
      <c r="AG1077">
        <v>-1.1210524750749999</v>
      </c>
      <c r="AH1077">
        <v>21.174362893446801</v>
      </c>
      <c r="AI1077">
        <v>92.965026218526603</v>
      </c>
      <c r="AJ1077">
        <v>78.045924426714805</v>
      </c>
      <c r="AK1077">
        <v>21.672743656542199</v>
      </c>
      <c r="AL1077">
        <v>78.113735130553593</v>
      </c>
      <c r="AM1077">
        <v>78.724929423762703</v>
      </c>
      <c r="AN1077">
        <v>0.99999996058399898</v>
      </c>
    </row>
    <row r="1078" spans="1:40" x14ac:dyDescent="0.25">
      <c r="A1078" t="str">
        <f>"20190303162800815"</f>
        <v>20190303162800815</v>
      </c>
      <c r="B1078" t="str">
        <f>"1551601680802084"</f>
        <v>1551601680802084</v>
      </c>
      <c r="C1078" t="s">
        <v>40</v>
      </c>
      <c r="D1078">
        <v>4.9959020000000001</v>
      </c>
      <c r="E1078">
        <v>0.50856889999999999</v>
      </c>
      <c r="F1078" t="s">
        <v>41</v>
      </c>
      <c r="G1078">
        <v>-216.6815</v>
      </c>
      <c r="H1078" s="1">
        <v>-2.489636E-6</v>
      </c>
      <c r="I1078">
        <v>364.45150000000001</v>
      </c>
      <c r="J1078">
        <v>-237.72020000000001</v>
      </c>
      <c r="K1078">
        <v>1.1210469999999999</v>
      </c>
      <c r="L1078">
        <v>369.029</v>
      </c>
      <c r="M1078">
        <v>0.99989799999999995</v>
      </c>
      <c r="N1078">
        <v>-1.384464E-2</v>
      </c>
      <c r="O1078">
        <v>-3.4919909999999998E-3</v>
      </c>
      <c r="P1078">
        <v>0.96155800000000002</v>
      </c>
      <c r="Q1078">
        <v>0.1926667</v>
      </c>
      <c r="R1078">
        <v>-0.1956667</v>
      </c>
      <c r="S1078">
        <v>3.0195919999999998</v>
      </c>
      <c r="T1078">
        <v>-0.1593127</v>
      </c>
      <c r="U1078">
        <v>-0.65063479999999996</v>
      </c>
      <c r="V1078">
        <v>0.19246060000000001</v>
      </c>
      <c r="W1078">
        <v>0.20582739999999999</v>
      </c>
      <c r="X1078">
        <v>0.95947590000000005</v>
      </c>
      <c r="Y1078">
        <v>0.20687420000000001</v>
      </c>
      <c r="Z1078">
        <v>-6.7071240000000001E-3</v>
      </c>
      <c r="AA1078">
        <v>0.97834460000000001</v>
      </c>
      <c r="AB1078">
        <v>35</v>
      </c>
      <c r="AC1078">
        <v>21.038699999999999</v>
      </c>
      <c r="AD1078">
        <v>-1.1210494896359999</v>
      </c>
      <c r="AE1078">
        <v>-4.5774999999999801</v>
      </c>
      <c r="AF1078">
        <v>4.4918209023504199</v>
      </c>
      <c r="AG1078">
        <v>-1.1210494896359999</v>
      </c>
      <c r="AH1078">
        <v>20.9976338959878</v>
      </c>
      <c r="AI1078">
        <v>92.988591316660006</v>
      </c>
      <c r="AJ1078">
        <v>77.925259962088404</v>
      </c>
      <c r="AK1078">
        <v>21.501949590838102</v>
      </c>
      <c r="AL1078">
        <v>78.122061483951697</v>
      </c>
      <c r="AM1078">
        <v>78.657605387377501</v>
      </c>
      <c r="AN1078">
        <v>1.0000000019119599</v>
      </c>
    </row>
    <row r="1079" spans="1:40" x14ac:dyDescent="0.25">
      <c r="A1079" t="str">
        <f>"20190303162800847"</f>
        <v>20190303162800847</v>
      </c>
      <c r="B1079" t="str">
        <f>"1551601680842103"</f>
        <v>1551601680842103</v>
      </c>
      <c r="C1079" t="s">
        <v>40</v>
      </c>
      <c r="D1079">
        <v>4.9458719999999996</v>
      </c>
      <c r="E1079">
        <v>0.50855620000000001</v>
      </c>
      <c r="F1079" t="s">
        <v>41</v>
      </c>
      <c r="G1079">
        <v>-216.51580000000001</v>
      </c>
      <c r="H1079" s="1">
        <v>-2.5537100000000001E-6</v>
      </c>
      <c r="I1079">
        <v>364.42259999999999</v>
      </c>
      <c r="J1079">
        <v>-237.21180000000001</v>
      </c>
      <c r="K1079">
        <v>1.121048</v>
      </c>
      <c r="L1079">
        <v>369.02670000000001</v>
      </c>
      <c r="M1079">
        <v>0.99989620000000001</v>
      </c>
      <c r="N1079">
        <v>-1.3857309999999999E-2</v>
      </c>
      <c r="O1079">
        <v>-3.9554990000000003E-3</v>
      </c>
      <c r="P1079">
        <v>0.96071300000000004</v>
      </c>
      <c r="Q1079">
        <v>0.19281019999999999</v>
      </c>
      <c r="R1079">
        <v>-0.19963690000000001</v>
      </c>
      <c r="S1079">
        <v>3.018478</v>
      </c>
      <c r="T1079">
        <v>-0.15958269999999999</v>
      </c>
      <c r="U1079">
        <v>-0.65573119999999996</v>
      </c>
      <c r="V1079">
        <v>0.1959901</v>
      </c>
      <c r="W1079">
        <v>0.20596829999999999</v>
      </c>
      <c r="X1079">
        <v>0.95873090000000005</v>
      </c>
      <c r="Y1079">
        <v>0.20807</v>
      </c>
      <c r="Z1079">
        <v>-6.7402879999999997E-3</v>
      </c>
      <c r="AA1079">
        <v>0.97809069999999998</v>
      </c>
      <c r="AB1079">
        <v>35</v>
      </c>
      <c r="AC1079">
        <v>20.696000000000002</v>
      </c>
      <c r="AD1079">
        <v>-1.12105055371</v>
      </c>
      <c r="AE1079">
        <v>-4.6041000000000096</v>
      </c>
      <c r="AF1079">
        <v>4.5095854088243197</v>
      </c>
      <c r="AG1079">
        <v>-1.12105055371</v>
      </c>
      <c r="AH1079">
        <v>20.656301342283399</v>
      </c>
      <c r="AI1079">
        <v>93.035136793063302</v>
      </c>
      <c r="AJ1079">
        <v>77.684687183306707</v>
      </c>
      <c r="AK1079">
        <v>21.172527011357801</v>
      </c>
      <c r="AL1079">
        <v>78.113811713528094</v>
      </c>
      <c r="AM1079">
        <v>78.446405644020103</v>
      </c>
      <c r="AN1079">
        <v>0.99999999925885497</v>
      </c>
    </row>
    <row r="1080" spans="1:40" x14ac:dyDescent="0.25">
      <c r="A1080" t="str">
        <f>"20190303162800859"</f>
        <v>20190303162800859</v>
      </c>
      <c r="B1080" t="str">
        <f>"1551601680852836"</f>
        <v>1551601680852836</v>
      </c>
      <c r="C1080" t="s">
        <v>40</v>
      </c>
      <c r="D1080">
        <v>6.4927609999999998</v>
      </c>
      <c r="E1080">
        <v>0.50852779999999997</v>
      </c>
      <c r="F1080" t="s">
        <v>41</v>
      </c>
      <c r="G1080">
        <v>-216.16730000000001</v>
      </c>
      <c r="H1080" s="1">
        <v>-2.6898920000000001E-6</v>
      </c>
      <c r="I1080">
        <v>364.35649999999998</v>
      </c>
      <c r="J1080">
        <v>-237.01660000000001</v>
      </c>
      <c r="K1080">
        <v>1.121048</v>
      </c>
      <c r="L1080">
        <v>369.0258</v>
      </c>
      <c r="M1080">
        <v>0.99989530000000004</v>
      </c>
      <c r="N1080">
        <v>-1.3861689999999999E-2</v>
      </c>
      <c r="O1080">
        <v>-4.1366420000000003E-3</v>
      </c>
      <c r="P1080">
        <v>0.96046509999999996</v>
      </c>
      <c r="Q1080">
        <v>0.1927459</v>
      </c>
      <c r="R1080">
        <v>-0.20088739999999999</v>
      </c>
      <c r="S1080">
        <v>3.015854</v>
      </c>
      <c r="T1080">
        <v>-0.16065570000000001</v>
      </c>
      <c r="U1080">
        <v>-0.66928100000000001</v>
      </c>
      <c r="V1080">
        <v>0.19706860000000001</v>
      </c>
      <c r="W1080">
        <v>0.205903</v>
      </c>
      <c r="X1080">
        <v>0.95852389999999998</v>
      </c>
      <c r="Y1080">
        <v>0.2122481</v>
      </c>
      <c r="Z1080">
        <v>-6.9106819999999996E-3</v>
      </c>
      <c r="AA1080">
        <v>0.97719140000000004</v>
      </c>
      <c r="AB1080">
        <v>35</v>
      </c>
      <c r="AC1080">
        <v>20.849299999999999</v>
      </c>
      <c r="AD1080">
        <v>-1.1210506898919901</v>
      </c>
      <c r="AE1080">
        <v>-4.6693000000000202</v>
      </c>
      <c r="AF1080">
        <v>4.5704230636652099</v>
      </c>
      <c r="AG1080">
        <v>-1.1210506898919901</v>
      </c>
      <c r="AH1080">
        <v>20.8111445732542</v>
      </c>
      <c r="AI1080">
        <v>93.011780234554905</v>
      </c>
      <c r="AJ1080">
        <v>77.613666895747102</v>
      </c>
      <c r="AK1080">
        <v>21.336570954093801</v>
      </c>
      <c r="AL1080">
        <v>78.117635965040506</v>
      </c>
      <c r="AM1080">
        <v>78.382111114208101</v>
      </c>
      <c r="AN1080">
        <v>1.00000007269308</v>
      </c>
    </row>
    <row r="1081" spans="1:40" x14ac:dyDescent="0.25">
      <c r="A1081" t="str">
        <f>"20190303162800873"</f>
        <v>20190303162800873</v>
      </c>
      <c r="B1081" t="str">
        <f>"1551601680862599"</f>
        <v>1551601680862599</v>
      </c>
      <c r="C1081" t="s">
        <v>40</v>
      </c>
      <c r="D1081">
        <v>4.9810939999999997</v>
      </c>
      <c r="E1081">
        <v>0.50844120000000004</v>
      </c>
      <c r="F1081" t="s">
        <v>41</v>
      </c>
      <c r="G1081">
        <v>-215.9084</v>
      </c>
      <c r="H1081" s="1">
        <v>-2.7897819999999999E-6</v>
      </c>
      <c r="I1081">
        <v>364.31220000000002</v>
      </c>
      <c r="J1081">
        <v>-236.82490000000001</v>
      </c>
      <c r="K1081">
        <v>1.1210450000000001</v>
      </c>
      <c r="L1081">
        <v>369.02480000000003</v>
      </c>
      <c r="M1081">
        <v>0.99989459999999997</v>
      </c>
      <c r="N1081">
        <v>-1.386567E-2</v>
      </c>
      <c r="O1081">
        <v>-4.3183960000000004E-3</v>
      </c>
      <c r="P1081">
        <v>0.960206</v>
      </c>
      <c r="Q1081">
        <v>0.19298609999999999</v>
      </c>
      <c r="R1081">
        <v>-0.20189399999999999</v>
      </c>
      <c r="S1081">
        <v>3.014786</v>
      </c>
      <c r="T1081">
        <v>-0.1601139</v>
      </c>
      <c r="U1081">
        <v>-0.67321779999999998</v>
      </c>
      <c r="V1081">
        <v>0.1979033</v>
      </c>
      <c r="W1081">
        <v>0.2061414</v>
      </c>
      <c r="X1081">
        <v>0.95830059999999995</v>
      </c>
      <c r="Y1081">
        <v>0.21335960000000001</v>
      </c>
      <c r="Z1081">
        <v>-6.9242649999999998E-3</v>
      </c>
      <c r="AA1081">
        <v>0.97694919999999996</v>
      </c>
      <c r="AB1081">
        <v>35</v>
      </c>
      <c r="AC1081">
        <v>20.916499999999999</v>
      </c>
      <c r="AD1081">
        <v>-1.1210477897819999</v>
      </c>
      <c r="AE1081">
        <v>-4.7126000000000001</v>
      </c>
      <c r="AF1081">
        <v>4.60961989365798</v>
      </c>
      <c r="AG1081">
        <v>-1.1210477897819999</v>
      </c>
      <c r="AH1081">
        <v>20.879577313217101</v>
      </c>
      <c r="AI1081">
        <v>93.001191165304704</v>
      </c>
      <c r="AJ1081">
        <v>77.550414073239097</v>
      </c>
      <c r="AK1081">
        <v>21.4117279192875</v>
      </c>
      <c r="AL1081">
        <v>78.103676520398196</v>
      </c>
      <c r="AM1081">
        <v>78.331604839148198</v>
      </c>
      <c r="AN1081">
        <v>1.0000000164525999</v>
      </c>
    </row>
    <row r="1082" spans="1:40" x14ac:dyDescent="0.25">
      <c r="A1082" t="str">
        <f>"20190303162800890"</f>
        <v>20190303162800890</v>
      </c>
      <c r="B1082" t="str">
        <f>"1551601680882116"</f>
        <v>1551601680882116</v>
      </c>
      <c r="C1082" t="s">
        <v>40</v>
      </c>
      <c r="D1082">
        <v>5.1703099999999997</v>
      </c>
      <c r="E1082">
        <v>0.5013301</v>
      </c>
      <c r="F1082" t="s">
        <v>41</v>
      </c>
      <c r="G1082">
        <v>-215.52459999999999</v>
      </c>
      <c r="H1082" s="1">
        <v>-2.9375400000000001E-6</v>
      </c>
      <c r="I1082">
        <v>364.24779999999998</v>
      </c>
      <c r="J1082">
        <v>-236.54640000000001</v>
      </c>
      <c r="K1082">
        <v>1.1210370000000001</v>
      </c>
      <c r="L1082">
        <v>369.02330000000001</v>
      </c>
      <c r="M1082">
        <v>0.99989340000000004</v>
      </c>
      <c r="N1082">
        <v>-1.387101E-2</v>
      </c>
      <c r="O1082">
        <v>-4.5890230000000002E-3</v>
      </c>
      <c r="P1082">
        <v>0.95980279999999996</v>
      </c>
      <c r="Q1082">
        <v>0.19266759999999999</v>
      </c>
      <c r="R1082">
        <v>-0.2041038</v>
      </c>
      <c r="S1082">
        <v>3.014084</v>
      </c>
      <c r="T1082">
        <v>-0.15863239999999901</v>
      </c>
      <c r="U1082">
        <v>-0.67596440000000002</v>
      </c>
      <c r="V1082">
        <v>0.1998577</v>
      </c>
      <c r="W1082">
        <v>0.205819</v>
      </c>
      <c r="X1082">
        <v>0.95796420000000004</v>
      </c>
      <c r="Y1082">
        <v>0.2139962</v>
      </c>
      <c r="Z1082">
        <v>-6.8867479999999998E-3</v>
      </c>
      <c r="AA1082">
        <v>0.97681019999999996</v>
      </c>
      <c r="AB1082">
        <v>35</v>
      </c>
      <c r="AC1082">
        <v>21.021799999999999</v>
      </c>
      <c r="AD1082">
        <v>-1.12103993754</v>
      </c>
      <c r="AE1082">
        <v>-4.7755000000000196</v>
      </c>
      <c r="AF1082">
        <v>4.6663518565405298</v>
      </c>
      <c r="AG1082">
        <v>-1.12103993754</v>
      </c>
      <c r="AH1082">
        <v>20.986741855777101</v>
      </c>
      <c r="AI1082">
        <v>92.984881325361997</v>
      </c>
      <c r="AJ1082">
        <v>77.464346457419794</v>
      </c>
      <c r="AK1082">
        <v>21.528467291277899</v>
      </c>
      <c r="AL1082">
        <v>78.122553091787907</v>
      </c>
      <c r="AM1082">
        <v>78.215557243537205</v>
      </c>
      <c r="AN1082">
        <v>0.99999998474596496</v>
      </c>
    </row>
    <row r="1083" spans="1:40" x14ac:dyDescent="0.25">
      <c r="A1083" t="str">
        <f>"20190303162800904"</f>
        <v>20190303162800904</v>
      </c>
      <c r="B1083" t="str">
        <f>"1551601680892852"</f>
        <v>1551601680892852</v>
      </c>
      <c r="C1083" t="s">
        <v>40</v>
      </c>
      <c r="D1083">
        <v>4.9620639999999998</v>
      </c>
      <c r="E1083">
        <v>0.50201099999999999</v>
      </c>
      <c r="F1083" t="s">
        <v>46</v>
      </c>
      <c r="G1083">
        <v>-206.77090000000001</v>
      </c>
      <c r="H1083" s="1">
        <v>-5.2649049999999997E-6</v>
      </c>
      <c r="I1083">
        <v>362.82490000000001</v>
      </c>
      <c r="J1083">
        <v>-236.34270000000001</v>
      </c>
      <c r="K1083">
        <v>1.12103</v>
      </c>
      <c r="L1083">
        <v>369.0222</v>
      </c>
      <c r="M1083">
        <v>0.99989229999999996</v>
      </c>
      <c r="N1083">
        <v>-1.3874620000000001E-2</v>
      </c>
      <c r="O1083">
        <v>-4.7922800000000003E-3</v>
      </c>
      <c r="P1083">
        <v>0.95955000000000001</v>
      </c>
      <c r="Q1083">
        <v>0.1927034</v>
      </c>
      <c r="R1083">
        <v>-0.20525350000000001</v>
      </c>
      <c r="S1083">
        <v>3.0149539999999999</v>
      </c>
      <c r="T1083">
        <v>-0.11351260000000001</v>
      </c>
      <c r="U1083">
        <v>-0.62762450000000003</v>
      </c>
      <c r="V1083">
        <v>0.20081679999999999</v>
      </c>
      <c r="W1083">
        <v>0.2058516</v>
      </c>
      <c r="X1083">
        <v>0.95775659999999896</v>
      </c>
      <c r="Y1083">
        <v>0.1989216</v>
      </c>
      <c r="Z1083">
        <v>-4.9863889999999999E-3</v>
      </c>
      <c r="AA1083">
        <v>0.9800027</v>
      </c>
      <c r="AB1083">
        <v>35</v>
      </c>
      <c r="AC1083">
        <v>29.5718</v>
      </c>
      <c r="AD1083">
        <v>-1.1210352649049999</v>
      </c>
      <c r="AE1083">
        <v>-6.1972999999999798</v>
      </c>
      <c r="AF1083">
        <v>6.0471741356266602</v>
      </c>
      <c r="AG1083">
        <v>-1.1210352649049999</v>
      </c>
      <c r="AH1083">
        <v>29.560468669628801</v>
      </c>
      <c r="AI1083">
        <v>92.127788908807005</v>
      </c>
      <c r="AJ1083">
        <v>78.4385396915049</v>
      </c>
      <c r="AK1083">
        <v>30.193481797564498</v>
      </c>
      <c r="AL1083">
        <v>78.120644399890594</v>
      </c>
      <c r="AM1083">
        <v>78.158103374367201</v>
      </c>
      <c r="AN1083">
        <v>0.99999998661417899</v>
      </c>
    </row>
    <row r="1084" spans="1:40" x14ac:dyDescent="0.25">
      <c r="A1084" t="str">
        <f>"20190303162800918"</f>
        <v>20190303162800918</v>
      </c>
      <c r="B1084" t="str">
        <f>"1551601680912374"</f>
        <v>1551601680912374</v>
      </c>
      <c r="C1084" t="s">
        <v>40</v>
      </c>
      <c r="D1084">
        <v>4.961938</v>
      </c>
      <c r="E1084">
        <v>0.50235580000000002</v>
      </c>
      <c r="F1084" t="s">
        <v>46</v>
      </c>
      <c r="G1084">
        <v>-207.6609</v>
      </c>
      <c r="H1084" s="1">
        <v>-5.5414540000000002E-6</v>
      </c>
      <c r="I1084">
        <v>362.96170000000001</v>
      </c>
      <c r="J1084">
        <v>-236.11150000000001</v>
      </c>
      <c r="K1084">
        <v>1.1210230000000001</v>
      </c>
      <c r="L1084">
        <v>369.02080000000001</v>
      </c>
      <c r="M1084">
        <v>0.99989099999999997</v>
      </c>
      <c r="N1084">
        <v>-1.387819E-2</v>
      </c>
      <c r="O1084">
        <v>-5.0328959999999898E-3</v>
      </c>
      <c r="P1084">
        <v>0.95939450000000004</v>
      </c>
      <c r="Q1084">
        <v>0.1924283</v>
      </c>
      <c r="R1084">
        <v>-0.20623710000000001</v>
      </c>
      <c r="S1084">
        <v>3.0139010000000002</v>
      </c>
      <c r="T1084">
        <v>-0.117799</v>
      </c>
      <c r="U1084">
        <v>-0.63684079999999998</v>
      </c>
      <c r="V1084">
        <v>0.2015738</v>
      </c>
      <c r="W1084">
        <v>0.20557400000000001</v>
      </c>
      <c r="X1084">
        <v>0.95765719999999999</v>
      </c>
      <c r="Y1084">
        <v>0.20160900000000001</v>
      </c>
      <c r="Z1084">
        <v>-5.1851509999999998E-3</v>
      </c>
      <c r="AA1084">
        <v>0.9794524</v>
      </c>
      <c r="AB1084">
        <v>35</v>
      </c>
      <c r="AC1084">
        <v>28.450600000000001</v>
      </c>
      <c r="AD1084">
        <v>-1.12102854145399</v>
      </c>
      <c r="AE1084">
        <v>-6.0590999999999999</v>
      </c>
      <c r="AF1084">
        <v>5.9070473652373297</v>
      </c>
      <c r="AG1084">
        <v>-1.12102854145399</v>
      </c>
      <c r="AH1084">
        <v>28.4385003637347</v>
      </c>
      <c r="AI1084">
        <v>92.210267441283506</v>
      </c>
      <c r="AJ1084">
        <v>78.265777092712497</v>
      </c>
      <c r="AK1084">
        <v>29.067132925420299</v>
      </c>
      <c r="AL1084">
        <v>78.136897354325697</v>
      </c>
      <c r="AM1084">
        <v>78.113532866118305</v>
      </c>
      <c r="AN1084">
        <v>0.99999998951713998</v>
      </c>
    </row>
    <row r="1085" spans="1:40" x14ac:dyDescent="0.25">
      <c r="A1085" t="str">
        <f>"20190303162800931"</f>
        <v>20190303162800931</v>
      </c>
      <c r="B1085" t="str">
        <f>"1551601680922133"</f>
        <v>1551601680922133</v>
      </c>
      <c r="C1085" t="s">
        <v>40</v>
      </c>
      <c r="D1085">
        <v>5.2246459999999999</v>
      </c>
      <c r="E1085">
        <v>0.50274039999999998</v>
      </c>
      <c r="F1085" t="s">
        <v>46</v>
      </c>
      <c r="G1085">
        <v>-208.58590000000001</v>
      </c>
      <c r="H1085" s="1">
        <v>-5.8214260000000002E-6</v>
      </c>
      <c r="I1085">
        <v>363.15170000000001</v>
      </c>
      <c r="J1085">
        <v>-235.90889999999999</v>
      </c>
      <c r="K1085">
        <v>1.1210150000000001</v>
      </c>
      <c r="L1085">
        <v>369.01960000000003</v>
      </c>
      <c r="M1085">
        <v>0.9998899</v>
      </c>
      <c r="N1085">
        <v>-1.3880999999999999E-2</v>
      </c>
      <c r="O1085">
        <v>-5.2510930000000001E-3</v>
      </c>
      <c r="P1085">
        <v>0.95917490000000005</v>
      </c>
      <c r="Q1085">
        <v>0.1923782</v>
      </c>
      <c r="R1085">
        <v>-0.20730270000000001</v>
      </c>
      <c r="S1085">
        <v>3.013458</v>
      </c>
      <c r="T1085">
        <v>-0.1227283</v>
      </c>
      <c r="U1085">
        <v>-0.6425476</v>
      </c>
      <c r="V1085">
        <v>0.20243520000000001</v>
      </c>
      <c r="W1085">
        <v>0.2055189</v>
      </c>
      <c r="X1085">
        <v>0.95748730000000004</v>
      </c>
      <c r="Y1085">
        <v>0.20318269999999999</v>
      </c>
      <c r="Z1085">
        <v>-5.3772560000000004E-3</v>
      </c>
      <c r="AA1085">
        <v>0.9791261</v>
      </c>
      <c r="AB1085">
        <v>35</v>
      </c>
      <c r="AC1085">
        <v>27.322999999999901</v>
      </c>
      <c r="AD1085">
        <v>-1.12102082142599</v>
      </c>
      <c r="AE1085">
        <v>-5.8679000000000103</v>
      </c>
      <c r="AF1085">
        <v>5.7151333182937796</v>
      </c>
      <c r="AG1085">
        <v>-1.12102082142599</v>
      </c>
      <c r="AH1085">
        <v>27.309494845046501</v>
      </c>
      <c r="AI1085">
        <v>92.300813884538599</v>
      </c>
      <c r="AJ1085">
        <v>78.180134642112293</v>
      </c>
      <c r="AK1085">
        <v>27.923609100894598</v>
      </c>
      <c r="AL1085">
        <v>78.140123106994295</v>
      </c>
      <c r="AM1085">
        <v>78.062134298123297</v>
      </c>
      <c r="AN1085">
        <v>0.99999997905876903</v>
      </c>
    </row>
    <row r="1086" spans="1:40" x14ac:dyDescent="0.25">
      <c r="A1086" t="str">
        <f>"20190303162800948"</f>
        <v>20190303162800948</v>
      </c>
      <c r="B1086" t="str">
        <f>"1551601680932868"</f>
        <v>1551601680932868</v>
      </c>
      <c r="C1086" t="s">
        <v>40</v>
      </c>
      <c r="D1086">
        <v>4.9885890000000002</v>
      </c>
      <c r="E1086">
        <v>0.50280619999999998</v>
      </c>
      <c r="F1086" t="s">
        <v>46</v>
      </c>
      <c r="G1086">
        <v>-208.9872</v>
      </c>
      <c r="H1086" s="1">
        <v>-5.9454139999999998E-6</v>
      </c>
      <c r="I1086">
        <v>363.21800000000002</v>
      </c>
      <c r="J1086">
        <v>-235.6686</v>
      </c>
      <c r="K1086">
        <v>1.121003</v>
      </c>
      <c r="L1086">
        <v>369.0181</v>
      </c>
      <c r="M1086">
        <v>0.99988849999999996</v>
      </c>
      <c r="N1086">
        <v>-1.388493E-2</v>
      </c>
      <c r="O1086">
        <v>-5.5183369999999999E-3</v>
      </c>
      <c r="P1086">
        <v>0.95877920000000005</v>
      </c>
      <c r="Q1086">
        <v>0.1925317</v>
      </c>
      <c r="R1086">
        <v>-0.20898530000000001</v>
      </c>
      <c r="S1086">
        <v>3.012527</v>
      </c>
      <c r="T1086">
        <v>-0.12544179999999999</v>
      </c>
      <c r="U1086">
        <v>-0.64920040000000001</v>
      </c>
      <c r="V1086">
        <v>0.20386879999999999</v>
      </c>
      <c r="W1086">
        <v>0.2056645</v>
      </c>
      <c r="X1086">
        <v>0.9571518</v>
      </c>
      <c r="Y1086">
        <v>0.20503930000000001</v>
      </c>
      <c r="Z1086">
        <v>-5.5079090000000001E-3</v>
      </c>
      <c r="AA1086">
        <v>0.9787382</v>
      </c>
      <c r="AB1086">
        <v>35</v>
      </c>
      <c r="AC1086">
        <v>26.6814</v>
      </c>
      <c r="AD1086">
        <v>-1.121008945414</v>
      </c>
      <c r="AE1086">
        <v>-5.80009999999998</v>
      </c>
      <c r="AF1086">
        <v>5.6432484153987401</v>
      </c>
      <c r="AG1086">
        <v>-1.121008945414</v>
      </c>
      <c r="AH1086">
        <v>26.668052638326799</v>
      </c>
      <c r="AI1086">
        <v>92.354959836911902</v>
      </c>
      <c r="AJ1086">
        <v>78.051854755451302</v>
      </c>
      <c r="AK1086">
        <v>27.281641175966101</v>
      </c>
      <c r="AL1086">
        <v>78.131598648078693</v>
      </c>
      <c r="AM1086">
        <v>77.975952925418696</v>
      </c>
      <c r="AN1086">
        <v>0.99999997120846396</v>
      </c>
    </row>
    <row r="1087" spans="1:40" x14ac:dyDescent="0.25">
      <c r="A1087" t="str">
        <f>"20190303162800970"</f>
        <v>20190303162800970</v>
      </c>
      <c r="B1087" t="str">
        <f>"1551601680962148"</f>
        <v>1551601680962148</v>
      </c>
      <c r="C1087" t="s">
        <v>40</v>
      </c>
      <c r="D1087">
        <v>4.9957469999999997</v>
      </c>
      <c r="E1087">
        <v>0.50279870000000004</v>
      </c>
      <c r="F1087" t="s">
        <v>46</v>
      </c>
      <c r="G1087">
        <v>-208.61770000000001</v>
      </c>
      <c r="H1087" s="1">
        <v>-5.8351189999999997E-6</v>
      </c>
      <c r="I1087">
        <v>363.13209999999998</v>
      </c>
      <c r="J1087">
        <v>-235.3168</v>
      </c>
      <c r="K1087">
        <v>1.1209899999999999</v>
      </c>
      <c r="L1087">
        <v>369.01569999999998</v>
      </c>
      <c r="M1087">
        <v>0.99988589999999999</v>
      </c>
      <c r="N1087">
        <v>-1.38946E-2</v>
      </c>
      <c r="O1087">
        <v>-5.9317830000000004E-3</v>
      </c>
      <c r="P1087">
        <v>0.95823460000000005</v>
      </c>
      <c r="Q1087">
        <v>0.1928298</v>
      </c>
      <c r="R1087">
        <v>-0.21119550000000001</v>
      </c>
      <c r="S1087">
        <v>3.011215</v>
      </c>
      <c r="T1087">
        <v>-0.1247867</v>
      </c>
      <c r="U1087">
        <v>-0.65521240000000003</v>
      </c>
      <c r="V1087">
        <v>0.20569490000000001</v>
      </c>
      <c r="W1087">
        <v>0.2059552</v>
      </c>
      <c r="X1087">
        <v>0.95669850000000001</v>
      </c>
      <c r="Y1087">
        <v>0.2065891</v>
      </c>
      <c r="Z1087">
        <v>-5.5206659999999996E-3</v>
      </c>
      <c r="AA1087">
        <v>0.97841219999999995</v>
      </c>
      <c r="AB1087">
        <v>34</v>
      </c>
      <c r="AC1087">
        <v>26.699099999999898</v>
      </c>
      <c r="AD1087">
        <v>-1.1209958351189999</v>
      </c>
      <c r="AE1087">
        <v>-5.8836000000000004</v>
      </c>
      <c r="AF1087">
        <v>5.71549898763584</v>
      </c>
      <c r="AG1087">
        <v>-1.1209958351189999</v>
      </c>
      <c r="AH1087">
        <v>26.6886646642049</v>
      </c>
      <c r="AI1087">
        <v>92.351898303801505</v>
      </c>
      <c r="AJ1087">
        <v>77.912428308575798</v>
      </c>
      <c r="AK1087">
        <v>27.316815002822</v>
      </c>
      <c r="AL1087">
        <v>78.114578477926599</v>
      </c>
      <c r="AM1087">
        <v>77.865849499536196</v>
      </c>
      <c r="AN1087">
        <v>0.99999997809764896</v>
      </c>
    </row>
    <row r="1088" spans="1:40" x14ac:dyDescent="0.25">
      <c r="A1088" t="str">
        <f>"20190303162800986"</f>
        <v>20190303162800986</v>
      </c>
      <c r="B1088" t="str">
        <f>"1551601680972884"</f>
        <v>1551601680972884</v>
      </c>
      <c r="C1088" t="s">
        <v>40</v>
      </c>
      <c r="D1088">
        <v>5.233714</v>
      </c>
      <c r="E1088">
        <v>0.50274030000000003</v>
      </c>
      <c r="F1088" t="s">
        <v>46</v>
      </c>
      <c r="G1088">
        <v>-207.93020000000001</v>
      </c>
      <c r="H1088" s="1">
        <v>-5.6278539999999999E-6</v>
      </c>
      <c r="I1088">
        <v>362.98579999999998</v>
      </c>
      <c r="J1088">
        <v>-235.0744</v>
      </c>
      <c r="K1088">
        <v>1.120984</v>
      </c>
      <c r="L1088">
        <v>369.01400000000001</v>
      </c>
      <c r="M1088">
        <v>0.99988390000000005</v>
      </c>
      <c r="N1088">
        <v>-1.3903479999999999E-2</v>
      </c>
      <c r="O1088">
        <v>-6.2305750000000003E-3</v>
      </c>
      <c r="P1088">
        <v>0.95807929999999997</v>
      </c>
      <c r="Q1088">
        <v>0.1927604</v>
      </c>
      <c r="R1088">
        <v>-0.2119617</v>
      </c>
      <c r="S1088">
        <v>3.009506</v>
      </c>
      <c r="T1088">
        <v>-0.12318610000000001</v>
      </c>
      <c r="U1088">
        <v>-0.662628199999999</v>
      </c>
      <c r="V1088">
        <v>0.206182</v>
      </c>
      <c r="W1088">
        <v>0.2058857</v>
      </c>
      <c r="X1088">
        <v>0.95660869999999998</v>
      </c>
      <c r="Y1088">
        <v>0.20871490000000001</v>
      </c>
      <c r="Z1088">
        <v>-5.5220269999999997E-3</v>
      </c>
      <c r="AA1088">
        <v>0.97796090000000002</v>
      </c>
      <c r="AB1088">
        <v>34</v>
      </c>
      <c r="AC1088">
        <v>27.144199999999898</v>
      </c>
      <c r="AD1088">
        <v>-1.1209896278539999</v>
      </c>
      <c r="AE1088">
        <v>-6.0282000000000204</v>
      </c>
      <c r="AF1088">
        <v>5.8494353851193104</v>
      </c>
      <c r="AG1088">
        <v>-1.1209896278539999</v>
      </c>
      <c r="AH1088">
        <v>27.137129049761</v>
      </c>
      <c r="AI1088">
        <v>92.3123983852729</v>
      </c>
      <c r="AJ1088">
        <v>77.8359479553</v>
      </c>
      <c r="AK1088">
        <v>27.783021526353501</v>
      </c>
      <c r="AL1088">
        <v>78.118648873191304</v>
      </c>
      <c r="AM1088">
        <v>77.836861707921599</v>
      </c>
      <c r="AN1088">
        <v>1.0000000717520801</v>
      </c>
    </row>
    <row r="1089" spans="1:40" x14ac:dyDescent="0.25">
      <c r="A1089" t="str">
        <f>"20190303162801002"</f>
        <v>20190303162801002</v>
      </c>
      <c r="B1089" t="str">
        <f>"1551601680992404"</f>
        <v>1551601680992404</v>
      </c>
      <c r="C1089" t="s">
        <v>40</v>
      </c>
      <c r="D1089">
        <v>5.050389</v>
      </c>
      <c r="E1089">
        <v>0.50279189999999996</v>
      </c>
      <c r="F1089" t="s">
        <v>46</v>
      </c>
      <c r="G1089">
        <v>-207.5916</v>
      </c>
      <c r="H1089" s="1">
        <v>-5.5207759999999999E-6</v>
      </c>
      <c r="I1089">
        <v>362.94560000000001</v>
      </c>
      <c r="J1089">
        <v>-234.82509999999999</v>
      </c>
      <c r="K1089">
        <v>1.1209769999999999</v>
      </c>
      <c r="L1089">
        <v>369.01209999999998</v>
      </c>
      <c r="M1089">
        <v>0.99988169999999998</v>
      </c>
      <c r="N1089">
        <v>-1.391565E-2</v>
      </c>
      <c r="O1089">
        <v>-6.5500189999999998E-3</v>
      </c>
      <c r="P1089">
        <v>0.95781939999999999</v>
      </c>
      <c r="Q1089">
        <v>0.1928656</v>
      </c>
      <c r="R1089">
        <v>-0.21303720000000001</v>
      </c>
      <c r="S1089">
        <v>3.008972</v>
      </c>
      <c r="T1089">
        <v>-0.1227323</v>
      </c>
      <c r="U1089">
        <v>-0.66439820000000005</v>
      </c>
      <c r="V1089">
        <v>0.2069598</v>
      </c>
      <c r="W1089">
        <v>0.2059925</v>
      </c>
      <c r="X1089">
        <v>0.95641759999999998</v>
      </c>
      <c r="Y1089">
        <v>0.2089887</v>
      </c>
      <c r="Z1089">
        <v>-5.5082789999999996E-3</v>
      </c>
      <c r="AA1089">
        <v>0.97790250000000001</v>
      </c>
      <c r="AB1089">
        <v>34</v>
      </c>
      <c r="AC1089">
        <v>27.2334999999999</v>
      </c>
      <c r="AD1089">
        <v>-1.120982520776</v>
      </c>
      <c r="AE1089">
        <v>-6.0664999999999596</v>
      </c>
      <c r="AF1089">
        <v>5.8784835551864898</v>
      </c>
      <c r="AG1089">
        <v>-1.120982520776</v>
      </c>
      <c r="AH1089">
        <v>27.228702578840799</v>
      </c>
      <c r="AI1089">
        <v>92.304453067673407</v>
      </c>
      <c r="AJ1089">
        <v>77.817229784573101</v>
      </c>
      <c r="AK1089">
        <v>27.878583444060698</v>
      </c>
      <c r="AL1089">
        <v>78.112394143395093</v>
      </c>
      <c r="AM1089">
        <v>77.789985154552298</v>
      </c>
      <c r="AN1089">
        <v>0.99999994723102303</v>
      </c>
    </row>
    <row r="1090" spans="1:40" x14ac:dyDescent="0.25">
      <c r="A1090" t="str">
        <f>"20190303162801027"</f>
        <v>20190303162801027</v>
      </c>
      <c r="B1090" t="str">
        <f>"1551601681022662"</f>
        <v>1551601681022662</v>
      </c>
      <c r="C1090" t="s">
        <v>40</v>
      </c>
      <c r="D1090">
        <v>5.04101</v>
      </c>
      <c r="E1090">
        <v>0.5027604</v>
      </c>
      <c r="F1090" t="s">
        <v>46</v>
      </c>
      <c r="G1090">
        <v>-207.5539</v>
      </c>
      <c r="H1090" s="1">
        <v>-5.50686299999999E-6</v>
      </c>
      <c r="I1090">
        <v>362.9538</v>
      </c>
      <c r="J1090">
        <v>-234.4478</v>
      </c>
      <c r="K1090">
        <v>1.120968</v>
      </c>
      <c r="L1090">
        <v>369.00909999999999</v>
      </c>
      <c r="M1090">
        <v>0.99987800000000004</v>
      </c>
      <c r="N1090">
        <v>-1.393721E-2</v>
      </c>
      <c r="O1090">
        <v>-7.0583340000000003E-3</v>
      </c>
      <c r="P1090">
        <v>0.95758310000000002</v>
      </c>
      <c r="Q1090">
        <v>0.19286300000000001</v>
      </c>
      <c r="R1090">
        <v>-0.21409929999999999</v>
      </c>
      <c r="S1090">
        <v>3.008362</v>
      </c>
      <c r="T1090">
        <v>-0.1236587</v>
      </c>
      <c r="U1090">
        <v>-0.66830440000000002</v>
      </c>
      <c r="V1090">
        <v>0.2075456</v>
      </c>
      <c r="W1090">
        <v>0.2059986</v>
      </c>
      <c r="X1090">
        <v>0.95628939999999996</v>
      </c>
      <c r="Y1090">
        <v>0.20974000000000001</v>
      </c>
      <c r="Z1090">
        <v>-5.5478250000000002E-3</v>
      </c>
      <c r="AA1090">
        <v>0.97774150000000004</v>
      </c>
      <c r="AB1090">
        <v>34</v>
      </c>
      <c r="AC1090">
        <v>26.893899999999999</v>
      </c>
      <c r="AD1090">
        <v>-1.120973506863</v>
      </c>
      <c r="AE1090">
        <v>-6.0552999999999804</v>
      </c>
      <c r="AF1090">
        <v>5.8556222475539403</v>
      </c>
      <c r="AG1090">
        <v>-1.120973506863</v>
      </c>
      <c r="AH1090">
        <v>26.891509064760999</v>
      </c>
      <c r="AI1090">
        <v>92.332402093620004</v>
      </c>
      <c r="AJ1090">
        <v>77.715611246589901</v>
      </c>
      <c r="AK1090">
        <v>27.5444759124087</v>
      </c>
      <c r="AL1090">
        <v>78.112037710954795</v>
      </c>
      <c r="AM1090">
        <v>77.754873977880493</v>
      </c>
      <c r="AN1090">
        <v>1.0000000079168301</v>
      </c>
    </row>
    <row r="1091" spans="1:40" x14ac:dyDescent="0.25">
      <c r="A1091" t="str">
        <f>"20190303162801049"</f>
        <v>20190303162801049</v>
      </c>
      <c r="B1091" t="str">
        <f>"1551601681042181"</f>
        <v>1551601681042181</v>
      </c>
      <c r="C1091" t="s">
        <v>40</v>
      </c>
      <c r="D1091">
        <v>5.3058940000000003</v>
      </c>
      <c r="E1091">
        <v>0.50271080000000001</v>
      </c>
      <c r="F1091" t="s">
        <v>46</v>
      </c>
      <c r="G1091">
        <v>-207.29310000000001</v>
      </c>
      <c r="H1091" s="1">
        <v>-5.4208370000000002E-6</v>
      </c>
      <c r="I1091">
        <v>362.94569999999999</v>
      </c>
      <c r="J1091">
        <v>-234.1131</v>
      </c>
      <c r="K1091">
        <v>1.1209559999999901</v>
      </c>
      <c r="L1091">
        <v>369.00619999999998</v>
      </c>
      <c r="M1091">
        <v>0.99987420000000005</v>
      </c>
      <c r="N1091">
        <v>-1.395618E-2</v>
      </c>
      <c r="O1091">
        <v>-7.5290369999999997E-3</v>
      </c>
      <c r="P1091">
        <v>0.95731719999999998</v>
      </c>
      <c r="Q1091">
        <v>0.19333819999999999</v>
      </c>
      <c r="R1091">
        <v>-0.2148583</v>
      </c>
      <c r="S1091">
        <v>3.0077509999999998</v>
      </c>
      <c r="T1091">
        <v>-0.124163</v>
      </c>
      <c r="U1091">
        <v>-0.67160030000000004</v>
      </c>
      <c r="V1091">
        <v>0.20786370000000001</v>
      </c>
      <c r="W1091">
        <v>0.206481</v>
      </c>
      <c r="X1091">
        <v>0.95611630000000003</v>
      </c>
      <c r="Y1091">
        <v>0.21034030000000001</v>
      </c>
      <c r="Z1091">
        <v>-5.5704329999999996E-3</v>
      </c>
      <c r="AA1091">
        <v>0.97761240000000005</v>
      </c>
      <c r="AB1091">
        <v>34</v>
      </c>
      <c r="AC1091">
        <v>26.82</v>
      </c>
      <c r="AD1091">
        <v>-1.12096142083699</v>
      </c>
      <c r="AE1091">
        <v>-6.0604999999999896</v>
      </c>
      <c r="AF1091">
        <v>5.8486591681387399</v>
      </c>
      <c r="AG1091">
        <v>-1.12096142083699</v>
      </c>
      <c r="AH1091">
        <v>26.820298069921101</v>
      </c>
      <c r="AI1091">
        <v>92.338408052305695</v>
      </c>
      <c r="AJ1091">
        <v>77.698188075915098</v>
      </c>
      <c r="AK1091">
        <v>27.4734736997612</v>
      </c>
      <c r="AL1091">
        <v>78.083791473971303</v>
      </c>
      <c r="AM1091">
        <v>77.7345207103305</v>
      </c>
      <c r="AN1091">
        <v>1.00000005013218</v>
      </c>
    </row>
    <row r="1092" spans="1:40" x14ac:dyDescent="0.25">
      <c r="A1092" t="str">
        <f>"20190303162801059"</f>
        <v>20190303162801059</v>
      </c>
      <c r="B1092" t="str">
        <f>"1551601681052917"</f>
        <v>1551601681052917</v>
      </c>
      <c r="C1092" t="s">
        <v>40</v>
      </c>
      <c r="D1092">
        <v>5.0209199999999896</v>
      </c>
      <c r="E1092">
        <v>0.50047980000000003</v>
      </c>
      <c r="F1092" t="s">
        <v>46</v>
      </c>
      <c r="G1092">
        <v>-207.2011</v>
      </c>
      <c r="H1092" s="1">
        <v>-5.3837429999999898E-6</v>
      </c>
      <c r="I1092">
        <v>362.98610000000002</v>
      </c>
      <c r="J1092">
        <v>-233.93879999999999</v>
      </c>
      <c r="K1092">
        <v>1.1209499999999999</v>
      </c>
      <c r="L1092">
        <v>369.00470000000001</v>
      </c>
      <c r="M1092">
        <v>0.99987230000000005</v>
      </c>
      <c r="N1092">
        <v>-1.396558E-2</v>
      </c>
      <c r="O1092">
        <v>-7.78041699999999E-3</v>
      </c>
      <c r="P1092">
        <v>0.95725400000000005</v>
      </c>
      <c r="Q1092">
        <v>0.19333339999999999</v>
      </c>
      <c r="R1092">
        <v>-0.21514559999999999</v>
      </c>
      <c r="S1092">
        <v>3.0080260000000001</v>
      </c>
      <c r="T1092">
        <v>-0.12529309999999999</v>
      </c>
      <c r="U1092">
        <v>-0.67288210000000004</v>
      </c>
      <c r="V1092">
        <v>0.2079143</v>
      </c>
      <c r="W1092">
        <v>0.206481</v>
      </c>
      <c r="X1092">
        <v>0.95610519999999999</v>
      </c>
      <c r="Y1092">
        <v>0.21046860000000001</v>
      </c>
      <c r="Z1092">
        <v>-5.6039109999999996E-3</v>
      </c>
      <c r="AA1092">
        <v>0.97758449999999997</v>
      </c>
      <c r="AB1092">
        <v>34</v>
      </c>
      <c r="AC1092">
        <v>26.737699999999901</v>
      </c>
      <c r="AD1092">
        <v>-1.120955383743</v>
      </c>
      <c r="AE1092">
        <v>-6.0185999999999904</v>
      </c>
      <c r="AF1092">
        <v>5.8006633031650798</v>
      </c>
      <c r="AG1092">
        <v>-1.120955383743</v>
      </c>
      <c r="AH1092">
        <v>26.738991428390101</v>
      </c>
      <c r="AI1092">
        <v>92.346048822441503</v>
      </c>
      <c r="AJ1092">
        <v>77.760110887851795</v>
      </c>
      <c r="AK1092">
        <v>27.383898523339301</v>
      </c>
      <c r="AL1092">
        <v>78.083790341694296</v>
      </c>
      <c r="AM1092">
        <v>77.731487242138599</v>
      </c>
      <c r="AN1092">
        <v>0.99999995648626305</v>
      </c>
    </row>
    <row r="1093" spans="1:40" x14ac:dyDescent="0.25">
      <c r="A1093" t="str">
        <f>"20190303162801073"</f>
        <v>20190303162801073</v>
      </c>
      <c r="B1093" t="str">
        <f>"1551601681062678"</f>
        <v>1551601681062678</v>
      </c>
      <c r="C1093" t="s">
        <v>40</v>
      </c>
      <c r="D1093">
        <v>5.0755410000000003</v>
      </c>
      <c r="E1093">
        <v>0.50036449999999999</v>
      </c>
      <c r="F1093" t="s">
        <v>41</v>
      </c>
      <c r="G1093">
        <v>-215.12870000000001</v>
      </c>
      <c r="H1093" s="1">
        <v>-2.9049349999999998E-6</v>
      </c>
      <c r="I1093">
        <v>364.92129999999997</v>
      </c>
      <c r="J1093">
        <v>-233.744</v>
      </c>
      <c r="K1093">
        <v>1.1209439999999999</v>
      </c>
      <c r="L1093">
        <v>369.00290000000001</v>
      </c>
      <c r="M1093">
        <v>0.99986980000000003</v>
      </c>
      <c r="N1093">
        <v>-1.397544E-2</v>
      </c>
      <c r="O1093">
        <v>-8.0660119999999991E-3</v>
      </c>
      <c r="P1093">
        <v>0.95721480000000003</v>
      </c>
      <c r="Q1093">
        <v>0.1931698</v>
      </c>
      <c r="R1093">
        <v>-0.21546580000000001</v>
      </c>
      <c r="S1093">
        <v>3.0228579999999998</v>
      </c>
      <c r="T1093">
        <v>-0.18014059999999901</v>
      </c>
      <c r="U1093">
        <v>-0.65621949999999996</v>
      </c>
      <c r="V1093">
        <v>0.20796500000000001</v>
      </c>
      <c r="W1093">
        <v>0.2063229</v>
      </c>
      <c r="X1093">
        <v>0.95612839999999999</v>
      </c>
      <c r="Y1093">
        <v>0.20383309999999999</v>
      </c>
      <c r="Z1093">
        <v>-7.0774899999999996E-3</v>
      </c>
      <c r="AA1093">
        <v>0.97898010000000002</v>
      </c>
      <c r="AB1093">
        <v>34</v>
      </c>
      <c r="AC1093">
        <v>18.615300000000001</v>
      </c>
      <c r="AD1093">
        <v>-1.120946904935</v>
      </c>
      <c r="AE1093">
        <v>-4.0816000000000301</v>
      </c>
      <c r="AF1093">
        <v>3.91774709449261</v>
      </c>
      <c r="AG1093">
        <v>-1.120946904935</v>
      </c>
      <c r="AH1093">
        <v>18.583327152766302</v>
      </c>
      <c r="AI1093">
        <v>93.377830075248099</v>
      </c>
      <c r="AJ1093">
        <v>78.095200477283299</v>
      </c>
      <c r="AK1093">
        <v>19.0248603760141</v>
      </c>
      <c r="AL1093">
        <v>78.093049265716004</v>
      </c>
      <c r="AM1093">
        <v>77.728874939850002</v>
      </c>
      <c r="AN1093">
        <v>1.0000000487879801</v>
      </c>
    </row>
    <row r="1094" spans="1:40" x14ac:dyDescent="0.25">
      <c r="A1094" t="str">
        <f>"20190303162801086"</f>
        <v>20190303162801086</v>
      </c>
      <c r="B1094" t="str">
        <f>"1551601681072436"</f>
        <v>1551601681072436</v>
      </c>
      <c r="C1094" t="s">
        <v>40</v>
      </c>
      <c r="D1094">
        <v>5.3038720000000001</v>
      </c>
      <c r="E1094">
        <v>0.50068409999999997</v>
      </c>
      <c r="F1094" t="s">
        <v>41</v>
      </c>
      <c r="G1094">
        <v>-215.08269999999999</v>
      </c>
      <c r="H1094" s="1">
        <v>-2.918889E-6</v>
      </c>
      <c r="I1094">
        <v>364.95370000000003</v>
      </c>
      <c r="J1094">
        <v>-233.54470000000001</v>
      </c>
      <c r="K1094">
        <v>1.120932</v>
      </c>
      <c r="L1094">
        <v>369.00099999999998</v>
      </c>
      <c r="M1094">
        <v>0.99986730000000001</v>
      </c>
      <c r="N1094">
        <v>-1.398566E-2</v>
      </c>
      <c r="O1094">
        <v>-8.3601839999999997E-3</v>
      </c>
      <c r="P1094">
        <v>0.95706270000000004</v>
      </c>
      <c r="Q1094">
        <v>0.19302430000000001</v>
      </c>
      <c r="R1094">
        <v>-0.2162704</v>
      </c>
      <c r="S1094">
        <v>3.0230709999999998</v>
      </c>
      <c r="T1094">
        <v>-0.1815901</v>
      </c>
      <c r="U1094">
        <v>-0.65594479999999999</v>
      </c>
      <c r="V1094">
        <v>0.20849239999999999</v>
      </c>
      <c r="W1094">
        <v>0.20618149999999999</v>
      </c>
      <c r="X1094">
        <v>0.956044</v>
      </c>
      <c r="Y1094">
        <v>0.2034408</v>
      </c>
      <c r="Z1094">
        <v>-7.0948819999999899E-3</v>
      </c>
      <c r="AA1094">
        <v>0.97906150000000003</v>
      </c>
      <c r="AB1094">
        <v>34</v>
      </c>
      <c r="AC1094">
        <v>18.462</v>
      </c>
      <c r="AD1094">
        <v>-1.1209349188889901</v>
      </c>
      <c r="AE1094">
        <v>-4.0472999999999502</v>
      </c>
      <c r="AF1094">
        <v>3.8791533214493401</v>
      </c>
      <c r="AG1094">
        <v>-1.1209349188889901</v>
      </c>
      <c r="AH1094">
        <v>18.430367803358202</v>
      </c>
      <c r="AI1094">
        <v>93.405997695379</v>
      </c>
      <c r="AJ1094">
        <v>78.114092911876298</v>
      </c>
      <c r="AK1094">
        <v>18.867506007704399</v>
      </c>
      <c r="AL1094">
        <v>78.101328452487394</v>
      </c>
      <c r="AM1094">
        <v>77.697648821154502</v>
      </c>
      <c r="AN1094">
        <v>1.0000000108680001</v>
      </c>
    </row>
    <row r="1095" spans="1:40" x14ac:dyDescent="0.25">
      <c r="A1095" t="str">
        <f>"20190303162801098"</f>
        <v>20190303162801098</v>
      </c>
      <c r="B1095" t="str">
        <f>"1551601681092932"</f>
        <v>1551601681092932</v>
      </c>
      <c r="C1095" t="s">
        <v>40</v>
      </c>
      <c r="D1095">
        <v>5.3021659999999997</v>
      </c>
      <c r="E1095">
        <v>0.50082689999999996</v>
      </c>
      <c r="F1095" t="s">
        <v>41</v>
      </c>
      <c r="G1095">
        <v>-215.136</v>
      </c>
      <c r="H1095" s="1">
        <v>-2.8918509999999999E-6</v>
      </c>
      <c r="I1095">
        <v>364.97750000000002</v>
      </c>
      <c r="J1095">
        <v>-233.3503</v>
      </c>
      <c r="K1095">
        <v>1.1209290000000001</v>
      </c>
      <c r="L1095">
        <v>368.9991</v>
      </c>
      <c r="M1095">
        <v>0.99986459999999999</v>
      </c>
      <c r="N1095">
        <v>-1.399711E-2</v>
      </c>
      <c r="O1095">
        <v>-8.6505219999999904E-3</v>
      </c>
      <c r="P1095">
        <v>0.95700070000000004</v>
      </c>
      <c r="Q1095">
        <v>0.1927277</v>
      </c>
      <c r="R1095">
        <v>-0.21680859999999999</v>
      </c>
      <c r="S1095">
        <v>3.0224000000000002</v>
      </c>
      <c r="T1095">
        <v>-0.18403720000000001</v>
      </c>
      <c r="U1095">
        <v>-0.66058349999999999</v>
      </c>
      <c r="V1095">
        <v>0.2087553</v>
      </c>
      <c r="W1095">
        <v>0.20589270000000001</v>
      </c>
      <c r="X1095">
        <v>0.95604880000000003</v>
      </c>
      <c r="Y1095">
        <v>0.20462330000000001</v>
      </c>
      <c r="Z1095">
        <v>-7.2017269999999998E-3</v>
      </c>
      <c r="AA1095">
        <v>0.97881430000000003</v>
      </c>
      <c r="AB1095">
        <v>34</v>
      </c>
      <c r="AC1095">
        <v>18.214300000000001</v>
      </c>
      <c r="AD1095">
        <v>-1.1209318918510001</v>
      </c>
      <c r="AE1095">
        <v>-4.0215999999999701</v>
      </c>
      <c r="AF1095">
        <v>3.84996752955779</v>
      </c>
      <c r="AG1095">
        <v>-1.1209318918510001</v>
      </c>
      <c r="AH1095">
        <v>18.1827476420655</v>
      </c>
      <c r="AI1095">
        <v>93.451383532299403</v>
      </c>
      <c r="AJ1095">
        <v>78.044913674708795</v>
      </c>
      <c r="AK1095">
        <v>18.6196415137311</v>
      </c>
      <c r="AL1095">
        <v>78.118237476780394</v>
      </c>
      <c r="AM1095">
        <v>77.6826693114877</v>
      </c>
      <c r="AN1095">
        <v>0.99999994358640798</v>
      </c>
    </row>
    <row r="1096" spans="1:40" x14ac:dyDescent="0.25">
      <c r="A1096" t="str">
        <f>"20190303162801111"</f>
        <v>20190303162801111</v>
      </c>
      <c r="B1096" t="str">
        <f>"1551601681102693"</f>
        <v>1551601681102693</v>
      </c>
      <c r="C1096" t="s">
        <v>40</v>
      </c>
      <c r="D1096">
        <v>5.3010089999999996</v>
      </c>
      <c r="E1096">
        <v>0.50092950000000003</v>
      </c>
      <c r="F1096" t="s">
        <v>41</v>
      </c>
      <c r="G1096">
        <v>-215.11269999999999</v>
      </c>
      <c r="H1096" s="1">
        <v>-2.8986780000000001E-6</v>
      </c>
      <c r="I1096">
        <v>364.99520000000001</v>
      </c>
      <c r="J1096">
        <v>-233.15190000000001</v>
      </c>
      <c r="K1096">
        <v>1.1209249999999999</v>
      </c>
      <c r="L1096">
        <v>368.99709999999999</v>
      </c>
      <c r="M1096">
        <v>0.99986180000000002</v>
      </c>
      <c r="N1096">
        <v>-1.400962E-2</v>
      </c>
      <c r="O1096">
        <v>-8.9487149999999994E-3</v>
      </c>
      <c r="P1096">
        <v>0.95689900000000006</v>
      </c>
      <c r="Q1096">
        <v>0.19249839999999999</v>
      </c>
      <c r="R1096">
        <v>-0.21745999999999999</v>
      </c>
      <c r="S1096">
        <v>3.0218959999999999</v>
      </c>
      <c r="T1096">
        <v>-0.18573329999999999</v>
      </c>
      <c r="U1096">
        <v>-0.66342159999999994</v>
      </c>
      <c r="V1096">
        <v>0.2091238</v>
      </c>
      <c r="W1096">
        <v>0.20567199999999999</v>
      </c>
      <c r="X1096">
        <v>0.95601579999999997</v>
      </c>
      <c r="Y1096">
        <v>0.2052341</v>
      </c>
      <c r="Z1096">
        <v>-7.2643680000000002E-3</v>
      </c>
      <c r="AA1096">
        <v>0.97868599999999994</v>
      </c>
      <c r="AB1096">
        <v>34</v>
      </c>
      <c r="AC1096">
        <v>18.039200000000001</v>
      </c>
      <c r="AD1096">
        <v>-1.120927898678</v>
      </c>
      <c r="AE1096">
        <v>-4.0018999999999698</v>
      </c>
      <c r="AF1096">
        <v>3.8262154761635898</v>
      </c>
      <c r="AG1096">
        <v>-1.120927898678</v>
      </c>
      <c r="AH1096">
        <v>18.008022121291202</v>
      </c>
      <c r="AI1096">
        <v>93.484257712197703</v>
      </c>
      <c r="AJ1096">
        <v>78.004590005452599</v>
      </c>
      <c r="AK1096">
        <v>18.4441119315889</v>
      </c>
      <c r="AL1096">
        <v>78.131159558934002</v>
      </c>
      <c r="AM1096">
        <v>77.661179035999496</v>
      </c>
      <c r="AN1096">
        <v>0.99999997258003903</v>
      </c>
    </row>
    <row r="1097" spans="1:40" x14ac:dyDescent="0.25">
      <c r="A1097" t="str">
        <f>"20190303162801127"</f>
        <v>20190303162801127</v>
      </c>
      <c r="B1097" t="str">
        <f>"1551601681122213"</f>
        <v>1551601681122213</v>
      </c>
      <c r="C1097" t="s">
        <v>40</v>
      </c>
      <c r="D1097">
        <v>5.2963190000000004</v>
      </c>
      <c r="E1097">
        <v>0.50087329999999997</v>
      </c>
      <c r="F1097" t="s">
        <v>41</v>
      </c>
      <c r="G1097">
        <v>-215.0547</v>
      </c>
      <c r="H1097" s="1">
        <v>-2.921058E-6</v>
      </c>
      <c r="I1097">
        <v>365.00940000000003</v>
      </c>
      <c r="J1097">
        <v>-232.93090000000001</v>
      </c>
      <c r="K1097">
        <v>1.1209229999999999</v>
      </c>
      <c r="L1097">
        <v>368.9948</v>
      </c>
      <c r="M1097">
        <v>0.99985860000000004</v>
      </c>
      <c r="N1097">
        <v>-1.402404E-2</v>
      </c>
      <c r="O1097">
        <v>-9.2826769999999996E-3</v>
      </c>
      <c r="P1097">
        <v>0.95669789999999999</v>
      </c>
      <c r="Q1097">
        <v>0.1921167</v>
      </c>
      <c r="R1097">
        <v>-0.21867919999999999</v>
      </c>
      <c r="S1097">
        <v>3.0214840000000001</v>
      </c>
      <c r="T1097">
        <v>-0.18714739999999999</v>
      </c>
      <c r="U1097">
        <v>-0.66577149999999996</v>
      </c>
      <c r="V1097">
        <v>0.2100264</v>
      </c>
      <c r="W1097">
        <v>0.2052986</v>
      </c>
      <c r="X1097">
        <v>0.95589820000000003</v>
      </c>
      <c r="Y1097">
        <v>0.20565439999999999</v>
      </c>
      <c r="Z1097">
        <v>-7.3096669999999997E-3</v>
      </c>
      <c r="AA1097">
        <v>0.97859739999999995</v>
      </c>
      <c r="AB1097">
        <v>34</v>
      </c>
      <c r="AC1097">
        <v>17.876200000000001</v>
      </c>
      <c r="AD1097">
        <v>-1.12092592105799</v>
      </c>
      <c r="AE1097">
        <v>-3.9853999999999701</v>
      </c>
      <c r="AF1097">
        <v>3.8050203708180801</v>
      </c>
      <c r="AG1097">
        <v>-1.12092592105799</v>
      </c>
      <c r="AH1097">
        <v>17.845583733706501</v>
      </c>
      <c r="AI1097">
        <v>93.515354656732299</v>
      </c>
      <c r="AJ1097">
        <v>77.963681902844897</v>
      </c>
      <c r="AK1097">
        <v>18.281124520651598</v>
      </c>
      <c r="AL1097">
        <v>78.153020472751194</v>
      </c>
      <c r="AM1097">
        <v>77.608087691598101</v>
      </c>
      <c r="AN1097">
        <v>0.999999986311079</v>
      </c>
    </row>
    <row r="1098" spans="1:40" x14ac:dyDescent="0.25">
      <c r="A1098" t="str">
        <f>"20190303162801138"</f>
        <v>20190303162801138</v>
      </c>
      <c r="B1098" t="str">
        <f>"1551601681132949"</f>
        <v>1551601681132949</v>
      </c>
      <c r="C1098" t="s">
        <v>40</v>
      </c>
      <c r="D1098">
        <v>5.1673419999999997</v>
      </c>
      <c r="E1098">
        <v>0.50101850000000003</v>
      </c>
      <c r="F1098" t="s">
        <v>41</v>
      </c>
      <c r="G1098">
        <v>-215.00299999999999</v>
      </c>
      <c r="H1098" s="1">
        <v>-2.9416489999999998E-6</v>
      </c>
      <c r="I1098">
        <v>365.01830000000001</v>
      </c>
      <c r="J1098">
        <v>-232.7253</v>
      </c>
      <c r="K1098">
        <v>1.1209229999999999</v>
      </c>
      <c r="L1098">
        <v>368.99259999999998</v>
      </c>
      <c r="M1098">
        <v>0.99985559999999996</v>
      </c>
      <c r="N1098">
        <v>-1.4037239999999999E-2</v>
      </c>
      <c r="O1098">
        <v>-9.5950229999999994E-3</v>
      </c>
      <c r="P1098">
        <v>0.9566306</v>
      </c>
      <c r="Q1098">
        <v>0.19166169999999999</v>
      </c>
      <c r="R1098">
        <v>-0.2193717</v>
      </c>
      <c r="S1098">
        <v>3.0205989999999998</v>
      </c>
      <c r="T1098">
        <v>-0.1888599</v>
      </c>
      <c r="U1098">
        <v>-0.66998290000000005</v>
      </c>
      <c r="V1098">
        <v>0.210421</v>
      </c>
      <c r="W1098">
        <v>0.2048548</v>
      </c>
      <c r="X1098">
        <v>0.95590660000000005</v>
      </c>
      <c r="Y1098">
        <v>0.20669989999999999</v>
      </c>
      <c r="Z1098">
        <v>-7.3891929999999996E-3</v>
      </c>
      <c r="AA1098">
        <v>0.97837649999999998</v>
      </c>
      <c r="AB1098">
        <v>34</v>
      </c>
      <c r="AC1098">
        <v>17.722300000000001</v>
      </c>
      <c r="AD1098">
        <v>-1.1209259416489901</v>
      </c>
      <c r="AE1098">
        <v>-3.9742999999999702</v>
      </c>
      <c r="AF1098">
        <v>3.7896199638520098</v>
      </c>
      <c r="AG1098">
        <v>-1.1209259416489901</v>
      </c>
      <c r="AH1098">
        <v>17.6922325705434</v>
      </c>
      <c r="AI1098">
        <v>93.545040805316205</v>
      </c>
      <c r="AJ1098">
        <v>77.910112645752406</v>
      </c>
      <c r="AK1098">
        <v>18.128231788215999</v>
      </c>
      <c r="AL1098">
        <v>78.179000172749298</v>
      </c>
      <c r="AM1098">
        <v>77.585632567396402</v>
      </c>
      <c r="AN1098">
        <v>0.99999995712379897</v>
      </c>
    </row>
    <row r="1099" spans="1:40" x14ac:dyDescent="0.25">
      <c r="A1099" t="str">
        <f>"20190303162801153"</f>
        <v>20190303162801153</v>
      </c>
      <c r="B1099" t="str">
        <f>"1551601681142709"</f>
        <v>1551601681142709</v>
      </c>
      <c r="C1099" t="s">
        <v>40</v>
      </c>
      <c r="D1099">
        <v>5.1725719999999997</v>
      </c>
      <c r="E1099">
        <v>0.50130209999999997</v>
      </c>
      <c r="F1099" t="s">
        <v>41</v>
      </c>
      <c r="G1099">
        <v>-214.96950000000001</v>
      </c>
      <c r="H1099" s="1">
        <v>-2.953464E-6</v>
      </c>
      <c r="I1099">
        <v>365.03269999999998</v>
      </c>
      <c r="J1099">
        <v>-232.5256</v>
      </c>
      <c r="K1099">
        <v>1.1209209999999901</v>
      </c>
      <c r="L1099">
        <v>368.99040000000002</v>
      </c>
      <c r="M1099">
        <v>0.99985239999999997</v>
      </c>
      <c r="N1099">
        <v>-1.4049300000000001E-2</v>
      </c>
      <c r="O1099">
        <v>-9.8982919999999995E-3</v>
      </c>
      <c r="P1099">
        <v>0.95647139999999997</v>
      </c>
      <c r="Q1099">
        <v>0.19158800000000001</v>
      </c>
      <c r="R1099">
        <v>-0.22012909999999999</v>
      </c>
      <c r="S1099">
        <v>3.0197449999999999</v>
      </c>
      <c r="T1099">
        <v>-0.19063620000000001</v>
      </c>
      <c r="U1099">
        <v>-0.67346189999999995</v>
      </c>
      <c r="V1099">
        <v>0.2108901</v>
      </c>
      <c r="W1099">
        <v>0.20478940000000001</v>
      </c>
      <c r="X1099">
        <v>0.95581729999999998</v>
      </c>
      <c r="Y1099">
        <v>0.20752609999999999</v>
      </c>
      <c r="Z1099">
        <v>-7.4629149999999997E-3</v>
      </c>
      <c r="AA1099">
        <v>0.97820099999999999</v>
      </c>
      <c r="AB1099">
        <v>34</v>
      </c>
      <c r="AC1099">
        <v>17.556099999999901</v>
      </c>
      <c r="AD1099">
        <v>-1.1209239534640001</v>
      </c>
      <c r="AE1099">
        <v>-3.95770000000004</v>
      </c>
      <c r="AF1099">
        <v>3.7690916019117102</v>
      </c>
      <c r="AG1099">
        <v>-1.1209239534640001</v>
      </c>
      <c r="AH1099">
        <v>17.526425530553201</v>
      </c>
      <c r="AI1099">
        <v>93.577859104301695</v>
      </c>
      <c r="AJ1099">
        <v>77.863276057227296</v>
      </c>
      <c r="AK1099">
        <v>17.962129993157198</v>
      </c>
      <c r="AL1099">
        <v>78.182829255381606</v>
      </c>
      <c r="AM1099">
        <v>77.5576914223969</v>
      </c>
      <c r="AN1099">
        <v>1.0000000218048199</v>
      </c>
    </row>
    <row r="1100" spans="1:40" x14ac:dyDescent="0.25">
      <c r="A1100" t="str">
        <f>"20190303162801167"</f>
        <v>20190303162801167</v>
      </c>
      <c r="B1100" t="str">
        <f>"1551601681162228"</f>
        <v>1551601681162228</v>
      </c>
      <c r="C1100" t="s">
        <v>40</v>
      </c>
      <c r="D1100">
        <v>5.1779679999999999</v>
      </c>
      <c r="E1100">
        <v>0.50122149999999999</v>
      </c>
      <c r="F1100" t="s">
        <v>41</v>
      </c>
      <c r="G1100">
        <v>-214.941</v>
      </c>
      <c r="H1100" s="1">
        <v>-2.9640459999999999E-6</v>
      </c>
      <c r="I1100">
        <v>365.04199999999997</v>
      </c>
      <c r="J1100">
        <v>-232.3022</v>
      </c>
      <c r="K1100">
        <v>1.120922</v>
      </c>
      <c r="L1100">
        <v>368.98790000000002</v>
      </c>
      <c r="M1100">
        <v>0.99984870000000003</v>
      </c>
      <c r="N1100">
        <v>-1.406291E-2</v>
      </c>
      <c r="O1100">
        <v>-1.02384E-2</v>
      </c>
      <c r="P1100">
        <v>0.9564028</v>
      </c>
      <c r="Q1100">
        <v>0.19121740000000001</v>
      </c>
      <c r="R1100">
        <v>-0.22074840000000001</v>
      </c>
      <c r="S1100">
        <v>3.0190579999999998</v>
      </c>
      <c r="T1100">
        <v>-0.19244790000000001</v>
      </c>
      <c r="U1100">
        <v>-0.67788700000000002</v>
      </c>
      <c r="V1100">
        <v>0.2111847</v>
      </c>
      <c r="W1100">
        <v>0.20443049999999999</v>
      </c>
      <c r="X1100">
        <v>0.95582909999999999</v>
      </c>
      <c r="Y1100">
        <v>0.20859549999999999</v>
      </c>
      <c r="Z1100">
        <v>-7.545169E-3</v>
      </c>
      <c r="AA1100">
        <v>0.97797290000000003</v>
      </c>
      <c r="AB1100">
        <v>34</v>
      </c>
      <c r="AC1100">
        <v>17.3612</v>
      </c>
      <c r="AD1100">
        <v>-1.1209249640459999</v>
      </c>
      <c r="AE1100">
        <v>-3.9459000000000501</v>
      </c>
      <c r="AF1100">
        <v>3.75304805992499</v>
      </c>
      <c r="AG1100">
        <v>-1.1209249640459999</v>
      </c>
      <c r="AH1100">
        <v>17.331991803088801</v>
      </c>
      <c r="AI1100">
        <v>93.616787433463102</v>
      </c>
      <c r="AJ1100">
        <v>77.781877268017595</v>
      </c>
      <c r="AK1100">
        <v>17.769068134752199</v>
      </c>
      <c r="AL1100">
        <v>78.203837351565795</v>
      </c>
      <c r="AM1100">
        <v>77.541001723207799</v>
      </c>
      <c r="AN1100">
        <v>1.00000003762557</v>
      </c>
    </row>
    <row r="1101" spans="1:40" x14ac:dyDescent="0.25">
      <c r="A1101" t="str">
        <f>"20190303162801181"</f>
        <v>20190303162801181</v>
      </c>
      <c r="B1101" t="str">
        <f>"1551601681172964"</f>
        <v>1551601681172964</v>
      </c>
      <c r="C1101" t="s">
        <v>40</v>
      </c>
      <c r="D1101">
        <v>5.360271</v>
      </c>
      <c r="E1101">
        <v>0.50134339999999999</v>
      </c>
      <c r="F1101" t="s">
        <v>41</v>
      </c>
      <c r="G1101">
        <v>-214.9016</v>
      </c>
      <c r="H1101" s="1">
        <v>-2.9751729999999998E-6</v>
      </c>
      <c r="I1101">
        <v>365.07459999999998</v>
      </c>
      <c r="J1101">
        <v>-232.07679999999999</v>
      </c>
      <c r="K1101">
        <v>1.120919</v>
      </c>
      <c r="L1101">
        <v>368.98520000000002</v>
      </c>
      <c r="M1101">
        <v>0.99984510000000004</v>
      </c>
      <c r="N1101">
        <v>-1.407802E-2</v>
      </c>
      <c r="O1101">
        <v>-1.0582080000000001E-2</v>
      </c>
      <c r="P1101">
        <v>0.95626129999999998</v>
      </c>
      <c r="Q1101">
        <v>0.1909103</v>
      </c>
      <c r="R1101">
        <v>-0.22162580000000001</v>
      </c>
      <c r="S1101">
        <v>3.0189360000000001</v>
      </c>
      <c r="T1101">
        <v>-0.1944748</v>
      </c>
      <c r="U1101">
        <v>-0.67892459999999999</v>
      </c>
      <c r="V1101">
        <v>0.21173429999999999</v>
      </c>
      <c r="W1101">
        <v>0.20413600000000001</v>
      </c>
      <c r="X1101">
        <v>0.95577040000000002</v>
      </c>
      <c r="Y1101">
        <v>0.20857890000000001</v>
      </c>
      <c r="Z1101">
        <v>-7.5915080000000003E-3</v>
      </c>
      <c r="AA1101">
        <v>0.97797610000000001</v>
      </c>
      <c r="AB1101">
        <v>34</v>
      </c>
      <c r="AC1101">
        <v>17.175199999999901</v>
      </c>
      <c r="AD1101">
        <v>-1.120921975173</v>
      </c>
      <c r="AE1101">
        <v>-3.91060000000004</v>
      </c>
      <c r="AF1101">
        <v>3.7135757196253598</v>
      </c>
      <c r="AG1101">
        <v>-1.120921975173</v>
      </c>
      <c r="AH1101">
        <v>17.146191782287801</v>
      </c>
      <c r="AI1101">
        <v>93.655830862840503</v>
      </c>
      <c r="AJ1101">
        <v>77.779449610580798</v>
      </c>
      <c r="AK1101">
        <v>17.579505207337601</v>
      </c>
      <c r="AL1101">
        <v>78.221073875098995</v>
      </c>
      <c r="AM1101">
        <v>77.508850916710699</v>
      </c>
      <c r="AN1101">
        <v>0.99999998890432495</v>
      </c>
    </row>
    <row r="1102" spans="1:40" x14ac:dyDescent="0.25">
      <c r="A1102" t="str">
        <f>"20190303162801197"</f>
        <v>20190303162801197</v>
      </c>
      <c r="B1102" t="str">
        <f>"1551601681182725"</f>
        <v>1551601681182725</v>
      </c>
      <c r="C1102" t="s">
        <v>40</v>
      </c>
      <c r="D1102">
        <v>5.4219999999999997</v>
      </c>
      <c r="E1102">
        <v>0.50128329999999999</v>
      </c>
      <c r="F1102" t="s">
        <v>41</v>
      </c>
      <c r="G1102">
        <v>-214.80279999999999</v>
      </c>
      <c r="H1102" s="1">
        <v>-3.0162489999999999E-6</v>
      </c>
      <c r="I1102">
        <v>365.08190000000002</v>
      </c>
      <c r="J1102">
        <v>-231.85079999999999</v>
      </c>
      <c r="K1102">
        <v>1.120922</v>
      </c>
      <c r="L1102">
        <v>368.98250000000002</v>
      </c>
      <c r="M1102">
        <v>0.99984110000000004</v>
      </c>
      <c r="N1102">
        <v>-1.409441E-2</v>
      </c>
      <c r="O1102">
        <v>-1.092541E-2</v>
      </c>
      <c r="P1102">
        <v>0.95624629999999999</v>
      </c>
      <c r="Q1102">
        <v>0.19046260000000001</v>
      </c>
      <c r="R1102">
        <v>-0.22207569999999999</v>
      </c>
      <c r="S1102">
        <v>3.018265</v>
      </c>
      <c r="T1102">
        <v>-0.19585659999999999</v>
      </c>
      <c r="U1102">
        <v>-0.68200680000000002</v>
      </c>
      <c r="V1102">
        <v>0.21185519999999999</v>
      </c>
      <c r="W1102">
        <v>0.2037042</v>
      </c>
      <c r="X1102">
        <v>0.95583580000000001</v>
      </c>
      <c r="Y1102">
        <v>0.20923240000000001</v>
      </c>
      <c r="Z1102">
        <v>-7.6448549999999999E-3</v>
      </c>
      <c r="AA1102">
        <v>0.97783609999999999</v>
      </c>
      <c r="AB1102">
        <v>34</v>
      </c>
      <c r="AC1102">
        <v>17.047999999999998</v>
      </c>
      <c r="AD1102">
        <v>-1.1209250162490001</v>
      </c>
      <c r="AE1102">
        <v>-3.9005999999999901</v>
      </c>
      <c r="AF1102">
        <v>3.6988966651722701</v>
      </c>
      <c r="AG1102">
        <v>-1.1209250162490001</v>
      </c>
      <c r="AH1102">
        <v>17.019682810737599</v>
      </c>
      <c r="AI1102">
        <v>93.682371712664207</v>
      </c>
      <c r="AJ1102">
        <v>77.738551358547198</v>
      </c>
      <c r="AK1102">
        <v>17.4530201515323</v>
      </c>
      <c r="AL1102">
        <v>78.246345954942996</v>
      </c>
      <c r="AM1102">
        <v>77.502770805129202</v>
      </c>
      <c r="AN1102">
        <v>1.00000005171315</v>
      </c>
    </row>
    <row r="1103" spans="1:40" x14ac:dyDescent="0.25">
      <c r="A1103" t="str">
        <f>"20190303162801214"</f>
        <v>20190303162801214</v>
      </c>
      <c r="B1103" t="str">
        <f>"1551601681202244"</f>
        <v>1551601681202244</v>
      </c>
      <c r="C1103" t="s">
        <v>40</v>
      </c>
      <c r="D1103">
        <v>5.1210389999999997</v>
      </c>
      <c r="E1103">
        <v>0.50139339999999999</v>
      </c>
      <c r="F1103" t="s">
        <v>41</v>
      </c>
      <c r="G1103">
        <v>-214.767</v>
      </c>
      <c r="H1103" s="1">
        <v>-3.025199E-6</v>
      </c>
      <c r="I1103">
        <v>365.11799999999999</v>
      </c>
      <c r="J1103">
        <v>-231.57329999999999</v>
      </c>
      <c r="K1103">
        <v>1.1209279999999999</v>
      </c>
      <c r="L1103">
        <v>368.97899999999998</v>
      </c>
      <c r="M1103">
        <v>0.99983599999999995</v>
      </c>
      <c r="N1103">
        <v>-1.4116780000000001E-2</v>
      </c>
      <c r="O1103">
        <v>-1.13483E-2</v>
      </c>
      <c r="P1103">
        <v>0.95609460000000002</v>
      </c>
      <c r="Q1103">
        <v>0.19038240000000001</v>
      </c>
      <c r="R1103">
        <v>-0.22279640000000001</v>
      </c>
      <c r="S1103">
        <v>3.0181429999999998</v>
      </c>
      <c r="T1103">
        <v>-0.1980296</v>
      </c>
      <c r="U1103">
        <v>-0.68270869999999995</v>
      </c>
      <c r="V1103">
        <v>0.21217259999999999</v>
      </c>
      <c r="W1103">
        <v>0.20364350000000001</v>
      </c>
      <c r="X1103">
        <v>0.95577829999999997</v>
      </c>
      <c r="Y1103">
        <v>0.20903459999999999</v>
      </c>
      <c r="Z1103">
        <v>-7.6847599999999997E-3</v>
      </c>
      <c r="AA1103">
        <v>0.97787800000000002</v>
      </c>
      <c r="AB1103">
        <v>34</v>
      </c>
      <c r="AC1103">
        <v>16.806299999999901</v>
      </c>
      <c r="AD1103">
        <v>-1.1209310251989999</v>
      </c>
      <c r="AE1103">
        <v>-3.86099999999999</v>
      </c>
      <c r="AF1103">
        <v>3.65456707224563</v>
      </c>
      <c r="AG1103">
        <v>-1.1209310251989999</v>
      </c>
      <c r="AH1103">
        <v>16.778141911665401</v>
      </c>
      <c r="AI1103">
        <v>93.734878184582598</v>
      </c>
      <c r="AJ1103">
        <v>77.711930158042193</v>
      </c>
      <c r="AK1103">
        <v>17.208090912613699</v>
      </c>
      <c r="AL1103">
        <v>78.249897927370696</v>
      </c>
      <c r="AM1103">
        <v>77.483907829788095</v>
      </c>
      <c r="AN1103">
        <v>1.0000000230169399</v>
      </c>
    </row>
    <row r="1104" spans="1:40" x14ac:dyDescent="0.25">
      <c r="A1104" t="str">
        <f>"20190303162801227"</f>
        <v>20190303162801227</v>
      </c>
      <c r="B1104" t="str">
        <f>"1551601681222742"</f>
        <v>1551601681222742</v>
      </c>
      <c r="C1104" t="s">
        <v>40</v>
      </c>
      <c r="D1104">
        <v>5.1700179999999998</v>
      </c>
      <c r="E1104">
        <v>0.50159189999999998</v>
      </c>
      <c r="F1104" t="s">
        <v>41</v>
      </c>
      <c r="G1104">
        <v>-214.58959999999999</v>
      </c>
      <c r="H1104" s="1">
        <v>-3.1011310000000001E-6</v>
      </c>
      <c r="I1104">
        <v>365.1191</v>
      </c>
      <c r="J1104">
        <v>-231.3861</v>
      </c>
      <c r="K1104">
        <v>1.12093</v>
      </c>
      <c r="L1104">
        <v>368.97660000000002</v>
      </c>
      <c r="M1104">
        <v>0.99983259999999996</v>
      </c>
      <c r="N1104">
        <v>-1.4133E-2</v>
      </c>
      <c r="O1104">
        <v>-1.1634530000000001E-2</v>
      </c>
      <c r="P1104">
        <v>0.95604160000000005</v>
      </c>
      <c r="Q1104">
        <v>0.19021589999999999</v>
      </c>
      <c r="R1104">
        <v>-0.22316630000000001</v>
      </c>
      <c r="S1104">
        <v>3.0176090000000002</v>
      </c>
      <c r="T1104">
        <v>-0.19916220000000001</v>
      </c>
      <c r="U1104">
        <v>-0.68582149999999997</v>
      </c>
      <c r="V1104">
        <v>0.21226880000000001</v>
      </c>
      <c r="W1104">
        <v>0.20349220000000001</v>
      </c>
      <c r="X1104">
        <v>0.95578909999999995</v>
      </c>
      <c r="Y1104">
        <v>0.2097444</v>
      </c>
      <c r="Z1104">
        <v>-7.7351819999999898E-3</v>
      </c>
      <c r="AA1104">
        <v>0.97772559999999997</v>
      </c>
      <c r="AB1104">
        <v>34</v>
      </c>
      <c r="AC1104">
        <v>16.796500000000002</v>
      </c>
      <c r="AD1104">
        <v>-1.120933101131</v>
      </c>
      <c r="AE1104">
        <v>-3.8575000000000101</v>
      </c>
      <c r="AF1104">
        <v>3.64637374659545</v>
      </c>
      <c r="AG1104">
        <v>-1.120933101131</v>
      </c>
      <c r="AH1104">
        <v>16.769303876671302</v>
      </c>
      <c r="AI1104">
        <v>93.737137356561405</v>
      </c>
      <c r="AJ1104">
        <v>77.732378434529096</v>
      </c>
      <c r="AK1104">
        <v>17.1977348806526</v>
      </c>
      <c r="AL1104">
        <v>78.258751444207306</v>
      </c>
      <c r="AM1104">
        <v>77.478548938700698</v>
      </c>
      <c r="AN1104">
        <v>0.999999961296544</v>
      </c>
    </row>
    <row r="1105" spans="1:40" x14ac:dyDescent="0.25">
      <c r="A1105" t="str">
        <f>"20190303162801240"</f>
        <v>20190303162801240</v>
      </c>
      <c r="B1105" t="str">
        <f>"1551601681232500"</f>
        <v>1551601681232500</v>
      </c>
      <c r="C1105" t="s">
        <v>40</v>
      </c>
      <c r="D1105">
        <v>5.2421819999999997</v>
      </c>
      <c r="E1105">
        <v>0.50171279999999996</v>
      </c>
      <c r="F1105" t="s">
        <v>41</v>
      </c>
      <c r="G1105">
        <v>-214.51089999999999</v>
      </c>
      <c r="H1105" s="1">
        <v>-3.1336980000000001E-6</v>
      </c>
      <c r="I1105">
        <v>365.12580000000003</v>
      </c>
      <c r="J1105">
        <v>-231.17859999999999</v>
      </c>
      <c r="K1105">
        <v>1.120932</v>
      </c>
      <c r="L1105">
        <v>368.97390000000001</v>
      </c>
      <c r="M1105">
        <v>0.99982850000000001</v>
      </c>
      <c r="N1105">
        <v>-1.4151749999999999E-2</v>
      </c>
      <c r="O1105">
        <v>-1.1952870000000001E-2</v>
      </c>
      <c r="P1105">
        <v>0.95587630000000001</v>
      </c>
      <c r="Q1105">
        <v>0.19001799999999999</v>
      </c>
      <c r="R1105">
        <v>-0.2240404</v>
      </c>
      <c r="S1105">
        <v>3.0171049999999999</v>
      </c>
      <c r="T1105">
        <v>-0.2004098</v>
      </c>
      <c r="U1105">
        <v>-0.68847659999999999</v>
      </c>
      <c r="V1105">
        <v>0.21284059999999999</v>
      </c>
      <c r="W1105">
        <v>0.2033092</v>
      </c>
      <c r="X1105">
        <v>0.95570089999999996</v>
      </c>
      <c r="Y1105">
        <v>0.21027940000000001</v>
      </c>
      <c r="Z1105">
        <v>-7.7808590000000002E-3</v>
      </c>
      <c r="AA1105">
        <v>0.97761030000000004</v>
      </c>
      <c r="AB1105">
        <v>34</v>
      </c>
      <c r="AC1105">
        <v>16.6676999999999</v>
      </c>
      <c r="AD1105">
        <v>-1.120935133698</v>
      </c>
      <c r="AE1105">
        <v>-3.8480999999999801</v>
      </c>
      <c r="AF1105">
        <v>3.6329784354762098</v>
      </c>
      <c r="AG1105">
        <v>-1.120935133698</v>
      </c>
      <c r="AH1105">
        <v>16.6410536699589</v>
      </c>
      <c r="AI1105">
        <v>93.765183057823407</v>
      </c>
      <c r="AJ1105">
        <v>77.6847437406186</v>
      </c>
      <c r="AK1105">
        <v>17.069847542759302</v>
      </c>
      <c r="AL1105">
        <v>78.269460672447494</v>
      </c>
      <c r="AM1105">
        <v>77.444765241614704</v>
      </c>
      <c r="AN1105">
        <v>0.99999998103690402</v>
      </c>
    </row>
    <row r="1106" spans="1:40" x14ac:dyDescent="0.25">
      <c r="A1106" t="str">
        <f>"20190303162801266"</f>
        <v>20190303162801266</v>
      </c>
      <c r="B1106" t="str">
        <f>"1551601681252997"</f>
        <v>1551601681252997</v>
      </c>
      <c r="C1106" t="s">
        <v>40</v>
      </c>
      <c r="D1106">
        <v>5.2580879999999999</v>
      </c>
      <c r="E1106">
        <v>0.5017161</v>
      </c>
      <c r="F1106" t="s">
        <v>41</v>
      </c>
      <c r="G1106">
        <v>-214.3571</v>
      </c>
      <c r="H1106" s="1">
        <v>-3.2018590000000001E-6</v>
      </c>
      <c r="I1106">
        <v>365.11360000000002</v>
      </c>
      <c r="J1106">
        <v>-230.79249999999999</v>
      </c>
      <c r="K1106">
        <v>1.120933</v>
      </c>
      <c r="L1106">
        <v>368.96870000000001</v>
      </c>
      <c r="M1106">
        <v>0.9998205</v>
      </c>
      <c r="N1106">
        <v>-1.4185420000000001E-2</v>
      </c>
      <c r="O1106">
        <v>-1.255618E-2</v>
      </c>
      <c r="P1106">
        <v>0.95580600000000004</v>
      </c>
      <c r="Q1106">
        <v>0.18889980000000001</v>
      </c>
      <c r="R1106">
        <v>-0.22528119999999999</v>
      </c>
      <c r="S1106">
        <v>3.0162049999999998</v>
      </c>
      <c r="T1106">
        <v>-0.20098949999999999</v>
      </c>
      <c r="U1106">
        <v>-0.69216919999999904</v>
      </c>
      <c r="V1106">
        <v>0.2135059</v>
      </c>
      <c r="W1106">
        <v>0.20221990000000001</v>
      </c>
      <c r="X1106">
        <v>0.95578370000000001</v>
      </c>
      <c r="Y1106">
        <v>0.2108862</v>
      </c>
      <c r="Z1106">
        <v>-7.7967549999999998E-3</v>
      </c>
      <c r="AA1106">
        <v>0.97747949999999995</v>
      </c>
      <c r="AB1106">
        <v>34</v>
      </c>
      <c r="AC1106">
        <v>16.435399999999898</v>
      </c>
      <c r="AD1106">
        <v>-1.1209362018589999</v>
      </c>
      <c r="AE1106">
        <v>-3.85509999999999</v>
      </c>
      <c r="AF1106">
        <v>3.6323941570336098</v>
      </c>
      <c r="AG1106">
        <v>-1.1209362018589999</v>
      </c>
      <c r="AH1106">
        <v>16.4101617447674</v>
      </c>
      <c r="AI1106">
        <v>93.815584599791194</v>
      </c>
      <c r="AJ1106">
        <v>77.518807822694797</v>
      </c>
      <c r="AK1106">
        <v>16.8447081829908</v>
      </c>
      <c r="AL1106">
        <v>78.333197973519404</v>
      </c>
      <c r="AM1106">
        <v>77.407826014730006</v>
      </c>
      <c r="AN1106">
        <v>1.00000006923825</v>
      </c>
    </row>
    <row r="1107" spans="1:40" x14ac:dyDescent="0.25">
      <c r="A1107" t="str">
        <f>"20190303162801282"</f>
        <v>20190303162801282</v>
      </c>
      <c r="B1107" t="str">
        <f>"1551601681272517"</f>
        <v>1551601681272517</v>
      </c>
      <c r="C1107" t="s">
        <v>40</v>
      </c>
      <c r="D1107">
        <v>5.3723419999999997</v>
      </c>
      <c r="E1107">
        <v>0.48402869999999998</v>
      </c>
      <c r="F1107" t="s">
        <v>41</v>
      </c>
      <c r="G1107">
        <v>-214.29169999999999</v>
      </c>
      <c r="H1107" s="1">
        <v>-3.2214429999999999E-6</v>
      </c>
      <c r="I1107">
        <v>365.16120000000001</v>
      </c>
      <c r="J1107">
        <v>-230.54230000000001</v>
      </c>
      <c r="K1107">
        <v>1.1209229999999999</v>
      </c>
      <c r="L1107">
        <v>368.96510000000001</v>
      </c>
      <c r="M1107">
        <v>0.99981509999999996</v>
      </c>
      <c r="N1107">
        <v>-1.4205570000000001E-2</v>
      </c>
      <c r="O1107">
        <v>-1.2960589999999999E-2</v>
      </c>
      <c r="P1107">
        <v>0.95558299999999996</v>
      </c>
      <c r="Q1107">
        <v>0.18814</v>
      </c>
      <c r="R1107">
        <v>-0.22685830000000001</v>
      </c>
      <c r="S1107">
        <v>3.015228</v>
      </c>
      <c r="T1107">
        <v>-0.20482990000000001</v>
      </c>
      <c r="U1107">
        <v>-0.69573969999999996</v>
      </c>
      <c r="V1107">
        <v>0.21470120000000001</v>
      </c>
      <c r="W1107">
        <v>0.20147219999999999</v>
      </c>
      <c r="X1107">
        <v>0.95567380000000002</v>
      </c>
      <c r="Y1107">
        <v>0.2116391</v>
      </c>
      <c r="Z1107">
        <v>-7.9261739999999994E-3</v>
      </c>
      <c r="AA1107">
        <v>0.97731570000000001</v>
      </c>
      <c r="AB1107">
        <v>34</v>
      </c>
      <c r="AC1107">
        <v>16.250599999999999</v>
      </c>
      <c r="AD1107">
        <v>-1.12092622144299</v>
      </c>
      <c r="AE1107">
        <v>-3.8038999999999898</v>
      </c>
      <c r="AF1107">
        <v>3.5768077521988002</v>
      </c>
      <c r="AG1107">
        <v>-1.12092622144299</v>
      </c>
      <c r="AH1107">
        <v>16.2253521355549</v>
      </c>
      <c r="AI1107">
        <v>93.859613085760998</v>
      </c>
      <c r="AJ1107">
        <v>77.568230511156699</v>
      </c>
      <c r="AK1107">
        <v>16.652689909226801</v>
      </c>
      <c r="AL1107">
        <v>78.376937887133494</v>
      </c>
      <c r="AM1107">
        <v>77.338186901339398</v>
      </c>
      <c r="AN1107">
        <v>1.00000003233035</v>
      </c>
    </row>
    <row r="1108" spans="1:40" x14ac:dyDescent="0.25">
      <c r="A1108" t="str">
        <f>"20190303162801295"</f>
        <v>20190303162801295</v>
      </c>
      <c r="B1108" t="str">
        <f>"1551601681283254"</f>
        <v>1551601681283254</v>
      </c>
      <c r="C1108" t="s">
        <v>40</v>
      </c>
      <c r="D1108">
        <v>5.4309409999999998</v>
      </c>
      <c r="E1108">
        <v>0.48274400000000001</v>
      </c>
      <c r="F1108" t="s">
        <v>41</v>
      </c>
      <c r="G1108">
        <v>-212.85380000000001</v>
      </c>
      <c r="H1108" s="1">
        <v>-3.7429659999999999E-6</v>
      </c>
      <c r="I1108">
        <v>365.6986</v>
      </c>
      <c r="J1108">
        <v>-230.34530000000001</v>
      </c>
      <c r="K1108">
        <v>1.1209119999999999</v>
      </c>
      <c r="L1108">
        <v>368.9622</v>
      </c>
      <c r="M1108">
        <v>0.99981070000000005</v>
      </c>
      <c r="N1108">
        <v>-1.421998E-2</v>
      </c>
      <c r="O1108">
        <v>-1.3293849999999999E-2</v>
      </c>
      <c r="P1108">
        <v>0.95546500000000001</v>
      </c>
      <c r="Q1108">
        <v>0.18764600000000001</v>
      </c>
      <c r="R1108">
        <v>-0.2277632</v>
      </c>
      <c r="S1108">
        <v>3.0439759999999998</v>
      </c>
      <c r="T1108">
        <v>-0.19289780000000001</v>
      </c>
      <c r="U1108">
        <v>-0.56213380000000002</v>
      </c>
      <c r="V1108">
        <v>0.21529309999999999</v>
      </c>
      <c r="W1108">
        <v>0.20098450000000001</v>
      </c>
      <c r="X1108">
        <v>0.95564329999999997</v>
      </c>
      <c r="Y1108">
        <v>0.1681243</v>
      </c>
      <c r="Z1108">
        <v>-5.8371999999999999E-3</v>
      </c>
      <c r="AA1108">
        <v>0.98574850000000003</v>
      </c>
      <c r="AB1108">
        <v>34</v>
      </c>
      <c r="AC1108">
        <v>17.491499999999998</v>
      </c>
      <c r="AD1108">
        <v>-1.1209157429659999</v>
      </c>
      <c r="AE1108">
        <v>-3.2635999999999901</v>
      </c>
      <c r="AF1108">
        <v>3.0187785765950599</v>
      </c>
      <c r="AG1108">
        <v>-1.1209157429659999</v>
      </c>
      <c r="AH1108">
        <v>17.464037590524999</v>
      </c>
      <c r="AI1108">
        <v>93.618925702767598</v>
      </c>
      <c r="AJ1108">
        <v>80.192942179238401</v>
      </c>
      <c r="AK1108">
        <v>17.758437013448301</v>
      </c>
      <c r="AL1108">
        <v>78.405464218995505</v>
      </c>
      <c r="AM1108">
        <v>77.304017985745105</v>
      </c>
      <c r="AN1108">
        <v>1.00000000249137</v>
      </c>
    </row>
    <row r="1109" spans="1:40" x14ac:dyDescent="0.25">
      <c r="A1109" t="str">
        <f>"20190303162801308"</f>
        <v>20190303162801308</v>
      </c>
      <c r="B1109" t="str">
        <f>"1551601681302773"</f>
        <v>1551601681302773</v>
      </c>
      <c r="C1109" t="s">
        <v>40</v>
      </c>
      <c r="D1109">
        <v>5.3747280000000002</v>
      </c>
      <c r="E1109">
        <v>0.48203859999999898</v>
      </c>
      <c r="F1109" t="s">
        <v>41</v>
      </c>
      <c r="G1109">
        <v>-213.6266</v>
      </c>
      <c r="H1109" s="1">
        <v>-3.3722659999999998E-6</v>
      </c>
      <c r="I1109">
        <v>365.9196</v>
      </c>
      <c r="J1109">
        <v>-230.1463</v>
      </c>
      <c r="K1109">
        <v>1.1208959999999999</v>
      </c>
      <c r="L1109">
        <v>368.95929999999998</v>
      </c>
      <c r="M1109">
        <v>0.99980570000000002</v>
      </c>
      <c r="N1109">
        <v>-1.4233890000000001E-2</v>
      </c>
      <c r="O1109">
        <v>-1.364604E-2</v>
      </c>
      <c r="P1109">
        <v>0.95525009999999999</v>
      </c>
      <c r="Q1109">
        <v>0.1874362</v>
      </c>
      <c r="R1109">
        <v>-0.22883429999999999</v>
      </c>
      <c r="S1109">
        <v>3.0477289999999999</v>
      </c>
      <c r="T1109">
        <v>-0.20433519999999999</v>
      </c>
      <c r="U1109">
        <v>-0.55465699999999996</v>
      </c>
      <c r="V1109">
        <v>0.21603729999999999</v>
      </c>
      <c r="W1109">
        <v>0.2007767</v>
      </c>
      <c r="X1109">
        <v>0.95551900000000001</v>
      </c>
      <c r="Y1109">
        <v>0.1651869</v>
      </c>
      <c r="Z1109">
        <v>-5.9595960000000002E-3</v>
      </c>
      <c r="AA1109">
        <v>0.98624429999999996</v>
      </c>
      <c r="AB1109">
        <v>34</v>
      </c>
      <c r="AC1109">
        <v>16.5197</v>
      </c>
      <c r="AD1109">
        <v>-1.1208993722659999</v>
      </c>
      <c r="AE1109">
        <v>-3.0396999999999799</v>
      </c>
      <c r="AF1109">
        <v>2.8014901331729098</v>
      </c>
      <c r="AG1109">
        <v>-1.1208993722659999</v>
      </c>
      <c r="AH1109">
        <v>16.4862297797285</v>
      </c>
      <c r="AI1109">
        <v>93.834751805844306</v>
      </c>
      <c r="AJ1109">
        <v>80.355903086949098</v>
      </c>
      <c r="AK1109">
        <v>16.760087551054699</v>
      </c>
      <c r="AL1109">
        <v>78.417617750355305</v>
      </c>
      <c r="AM1109">
        <v>77.259958591590703</v>
      </c>
      <c r="AN1109">
        <v>0.99999997880758895</v>
      </c>
    </row>
    <row r="1110" spans="1:40" x14ac:dyDescent="0.25">
      <c r="A1110" t="str">
        <f>"20190303162801321"</f>
        <v>20190303162801321</v>
      </c>
      <c r="B1110" t="str">
        <f>"1551601681312533"</f>
        <v>1551601681312533</v>
      </c>
      <c r="C1110" t="s">
        <v>40</v>
      </c>
      <c r="D1110">
        <v>5.3791739999999999</v>
      </c>
      <c r="E1110">
        <v>0.48203499999999999</v>
      </c>
      <c r="F1110" t="s">
        <v>41</v>
      </c>
      <c r="G1110">
        <v>-214.0258</v>
      </c>
      <c r="H1110" s="1">
        <v>-3.1799689999999998E-6</v>
      </c>
      <c r="I1110">
        <v>366.03820000000002</v>
      </c>
      <c r="J1110">
        <v>-229.94649999999999</v>
      </c>
      <c r="K1110">
        <v>1.12087</v>
      </c>
      <c r="L1110">
        <v>368.95620000000002</v>
      </c>
      <c r="M1110">
        <v>0.99980029999999998</v>
      </c>
      <c r="N1110">
        <v>-1.4247070000000001E-2</v>
      </c>
      <c r="O1110">
        <v>-1.4020049999999999E-2</v>
      </c>
      <c r="P1110">
        <v>0.95511500000000005</v>
      </c>
      <c r="Q1110">
        <v>0.18692839999999999</v>
      </c>
      <c r="R1110">
        <v>-0.22981260000000001</v>
      </c>
      <c r="S1110">
        <v>3.0497589999999999</v>
      </c>
      <c r="T1110">
        <v>-0.21205579999999999</v>
      </c>
      <c r="U1110">
        <v>-0.55261229999999995</v>
      </c>
      <c r="V1110">
        <v>0.21666949999999999</v>
      </c>
      <c r="W1110">
        <v>0.2002679</v>
      </c>
      <c r="X1110">
        <v>0.95548270000000002</v>
      </c>
      <c r="Y1110">
        <v>0.16403770000000001</v>
      </c>
      <c r="Z1110">
        <v>-6.062418E-3</v>
      </c>
      <c r="AA1110">
        <v>0.98643550000000002</v>
      </c>
      <c r="AB1110">
        <v>34</v>
      </c>
      <c r="AC1110">
        <v>15.920699999999901</v>
      </c>
      <c r="AD1110">
        <v>-1.1208731799689999</v>
      </c>
      <c r="AE1110">
        <v>-2.9180000000000001</v>
      </c>
      <c r="AF1110">
        <v>2.68162162497162</v>
      </c>
      <c r="AG1110">
        <v>-1.1208731799689999</v>
      </c>
      <c r="AH1110">
        <v>15.8838775017658</v>
      </c>
      <c r="AI1110">
        <v>93.980342857183601</v>
      </c>
      <c r="AJ1110">
        <v>80.417307721952895</v>
      </c>
      <c r="AK1110">
        <v>16.147600927574</v>
      </c>
      <c r="AL1110">
        <v>78.4473750222581</v>
      </c>
      <c r="AM1110">
        <v>77.223429267017096</v>
      </c>
      <c r="AN1110">
        <v>1.0000000469999699</v>
      </c>
    </row>
    <row r="1111" spans="1:40" x14ac:dyDescent="0.25">
      <c r="A1111" t="str">
        <f>"20190303162801334"</f>
        <v>20190303162801334</v>
      </c>
      <c r="B1111" t="str">
        <f>"1551601681322294"</f>
        <v>1551601681322294</v>
      </c>
      <c r="C1111" t="s">
        <v>40</v>
      </c>
      <c r="D1111">
        <v>5.4387220000000003</v>
      </c>
      <c r="E1111">
        <v>0.48194399999999998</v>
      </c>
      <c r="F1111" t="s">
        <v>41</v>
      </c>
      <c r="G1111">
        <v>-214.1601</v>
      </c>
      <c r="H1111" s="1">
        <v>-3.1149699999999998E-6</v>
      </c>
      <c r="I1111">
        <v>366.0797</v>
      </c>
      <c r="J1111">
        <v>-229.76320000000001</v>
      </c>
      <c r="K1111">
        <v>1.1208340000000001</v>
      </c>
      <c r="L1111">
        <v>368.95319999999998</v>
      </c>
      <c r="M1111">
        <v>0.99979470000000004</v>
      </c>
      <c r="N1111">
        <v>-1.4255820000000001E-2</v>
      </c>
      <c r="O1111">
        <v>-1.440313E-2</v>
      </c>
      <c r="P1111">
        <v>0.95516029999999996</v>
      </c>
      <c r="Q1111">
        <v>0.1858901</v>
      </c>
      <c r="R1111">
        <v>-0.2304648</v>
      </c>
      <c r="S1111">
        <v>3.0496669999999999</v>
      </c>
      <c r="T1111">
        <v>-0.21653339999999999</v>
      </c>
      <c r="U1111">
        <v>-0.55569460000000004</v>
      </c>
      <c r="V1111">
        <v>0.21696799999999999</v>
      </c>
      <c r="W1111">
        <v>0.1992227</v>
      </c>
      <c r="X1111">
        <v>0.95563339999999997</v>
      </c>
      <c r="Y1111">
        <v>0.16461199999999901</v>
      </c>
      <c r="Z1111">
        <v>-6.1646210000000003E-3</v>
      </c>
      <c r="AA1111">
        <v>0.98633919999999997</v>
      </c>
      <c r="AB1111">
        <v>34</v>
      </c>
      <c r="AC1111">
        <v>15.6031</v>
      </c>
      <c r="AD1111">
        <v>-1.12083711497</v>
      </c>
      <c r="AE1111">
        <v>-2.8734999999999702</v>
      </c>
      <c r="AF1111">
        <v>2.63529310519325</v>
      </c>
      <c r="AG1111">
        <v>-1.12083711497</v>
      </c>
      <c r="AH1111">
        <v>15.5651885901525</v>
      </c>
      <c r="AI1111">
        <v>94.0611184901082</v>
      </c>
      <c r="AJ1111">
        <v>80.390557957952097</v>
      </c>
      <c r="AK1111">
        <v>15.8264380526885</v>
      </c>
      <c r="AL1111">
        <v>78.508491622256201</v>
      </c>
      <c r="AM1111">
        <v>77.208357327009594</v>
      </c>
      <c r="AN1111">
        <v>0.99999999620742497</v>
      </c>
    </row>
    <row r="1112" spans="1:40" x14ac:dyDescent="0.25">
      <c r="A1112" t="str">
        <f>"20190303162801350"</f>
        <v>20190303162801350</v>
      </c>
      <c r="B1112" t="str">
        <f>"1551601681342789"</f>
        <v>1551601681342789</v>
      </c>
      <c r="C1112" t="s">
        <v>40</v>
      </c>
      <c r="D1112">
        <v>5.3778430000000004</v>
      </c>
      <c r="E1112">
        <v>0.4819563</v>
      </c>
      <c r="F1112" t="s">
        <v>41</v>
      </c>
      <c r="G1112">
        <v>-214.31569999999999</v>
      </c>
      <c r="H1112" s="1">
        <v>-3.0398629999999999E-6</v>
      </c>
      <c r="I1112">
        <v>366.1268</v>
      </c>
      <c r="J1112">
        <v>-229.52289999999999</v>
      </c>
      <c r="K1112">
        <v>1.1207609999999999</v>
      </c>
      <c r="L1112">
        <v>368.94929999999999</v>
      </c>
      <c r="M1112">
        <v>0.99978650000000002</v>
      </c>
      <c r="N1112">
        <v>-1.426505E-2</v>
      </c>
      <c r="O1112">
        <v>-1.4950069999999999E-2</v>
      </c>
      <c r="P1112">
        <v>0.95562400000000003</v>
      </c>
      <c r="Q1112">
        <v>0.18310609999999999</v>
      </c>
      <c r="R1112">
        <v>-0.2307698</v>
      </c>
      <c r="S1112">
        <v>3.0492859999999999</v>
      </c>
      <c r="T1112">
        <v>-0.22124849999999999</v>
      </c>
      <c r="U1112">
        <v>-0.55792240000000004</v>
      </c>
      <c r="V1112">
        <v>0.2167637</v>
      </c>
      <c r="W1112">
        <v>0.19642809999999999</v>
      </c>
      <c r="X1112">
        <v>0.9562581</v>
      </c>
      <c r="Y1112">
        <v>0.16477359999999999</v>
      </c>
      <c r="Z1112">
        <v>-6.2451059999999899E-3</v>
      </c>
      <c r="AA1112">
        <v>0.98631159999999996</v>
      </c>
      <c r="AB1112">
        <v>34</v>
      </c>
      <c r="AC1112">
        <v>15.2072</v>
      </c>
      <c r="AD1112">
        <v>-1.1207640398630001</v>
      </c>
      <c r="AE1112">
        <v>-2.82249999999999</v>
      </c>
      <c r="AF1112">
        <v>2.58125912600718</v>
      </c>
      <c r="AG1112">
        <v>-1.1207640398630001</v>
      </c>
      <c r="AH1112">
        <v>15.168057367445799</v>
      </c>
      <c r="AI1112">
        <v>94.166210210099393</v>
      </c>
      <c r="AJ1112">
        <v>80.342081484604194</v>
      </c>
      <c r="AK1112">
        <v>15.426891294449799</v>
      </c>
      <c r="AL1112">
        <v>78.671839004941504</v>
      </c>
      <c r="AM1112">
        <v>77.2280813230294</v>
      </c>
      <c r="AN1112">
        <v>1.00000002696145</v>
      </c>
    </row>
    <row r="1113" spans="1:40" x14ac:dyDescent="0.25">
      <c r="A1113" t="str">
        <f>"20190303162801364"</f>
        <v>20190303162801364</v>
      </c>
      <c r="B1113" t="str">
        <f>"1551601681352549"</f>
        <v>1551601681352549</v>
      </c>
      <c r="C1113" t="s">
        <v>40</v>
      </c>
      <c r="D1113">
        <v>5.3777109999999997</v>
      </c>
      <c r="E1113">
        <v>0.48182419999999998</v>
      </c>
      <c r="F1113" t="s">
        <v>41</v>
      </c>
      <c r="G1113">
        <v>-214.6199</v>
      </c>
      <c r="H1113" s="1">
        <v>-2.894385E-6</v>
      </c>
      <c r="I1113">
        <v>366.21120000000002</v>
      </c>
      <c r="J1113">
        <v>-229.316</v>
      </c>
      <c r="K1113">
        <v>1.1206959999999999</v>
      </c>
      <c r="L1113">
        <v>368.94580000000002</v>
      </c>
      <c r="M1113">
        <v>0.99977859999999996</v>
      </c>
      <c r="N1113">
        <v>-1.427088E-2</v>
      </c>
      <c r="O1113">
        <v>-1.546895E-2</v>
      </c>
      <c r="P1113">
        <v>0.95591999999999999</v>
      </c>
      <c r="Q1113">
        <v>0.18149219999999999</v>
      </c>
      <c r="R1113">
        <v>-0.2308202</v>
      </c>
      <c r="S1113">
        <v>3.0479889999999998</v>
      </c>
      <c r="T1113">
        <v>-0.22921929999999999</v>
      </c>
      <c r="U1113">
        <v>-0.55999759999999998</v>
      </c>
      <c r="V1113">
        <v>0.216337</v>
      </c>
      <c r="W1113">
        <v>0.19479560000000001</v>
      </c>
      <c r="X1113">
        <v>0.95668850000000005</v>
      </c>
      <c r="Y1113">
        <v>0.1649542</v>
      </c>
      <c r="Z1113">
        <v>-6.3985379999999996E-3</v>
      </c>
      <c r="AA1113">
        <v>0.98628039999999995</v>
      </c>
      <c r="AB1113">
        <v>34</v>
      </c>
      <c r="AC1113">
        <v>14.6960999999999</v>
      </c>
      <c r="AD1113">
        <v>-1.12069889438499</v>
      </c>
      <c r="AE1113">
        <v>-2.7345999999999999</v>
      </c>
      <c r="AF1113">
        <v>2.49290448297001</v>
      </c>
      <c r="AG1113">
        <v>-1.12069889438499</v>
      </c>
      <c r="AH1113">
        <v>14.6542795192158</v>
      </c>
      <c r="AI1113">
        <v>94.311530608147706</v>
      </c>
      <c r="AJ1113">
        <v>80.345582318036193</v>
      </c>
      <c r="AK1113">
        <v>14.9069932246713</v>
      </c>
      <c r="AL1113">
        <v>78.767216120528801</v>
      </c>
      <c r="AM1113">
        <v>77.257948293652106</v>
      </c>
      <c r="AN1113">
        <v>0.999999954690304</v>
      </c>
    </row>
    <row r="1114" spans="1:40" x14ac:dyDescent="0.25">
      <c r="A1114" t="str">
        <f>"20190303162801382"</f>
        <v>20190303162801382</v>
      </c>
      <c r="B1114" t="str">
        <f>"1551601681372069"</f>
        <v>1551601681372069</v>
      </c>
      <c r="C1114" t="s">
        <v>40</v>
      </c>
      <c r="D1114">
        <v>5.3216510000000001</v>
      </c>
      <c r="E1114">
        <v>0.48184389999999999</v>
      </c>
      <c r="F1114" t="s">
        <v>41</v>
      </c>
      <c r="G1114">
        <v>-214.7388</v>
      </c>
      <c r="H1114" s="1">
        <v>-2.8326389999999998E-6</v>
      </c>
      <c r="I1114">
        <v>366.27179999999998</v>
      </c>
      <c r="J1114">
        <v>-229.02709999999999</v>
      </c>
      <c r="K1114">
        <v>1.120584</v>
      </c>
      <c r="L1114">
        <v>368.94049999999999</v>
      </c>
      <c r="M1114">
        <v>0.99976500000000001</v>
      </c>
      <c r="N1114">
        <v>-1.427698E-2</v>
      </c>
      <c r="O1114">
        <v>-1.6311559999999999E-2</v>
      </c>
      <c r="P1114">
        <v>0.95635999999999999</v>
      </c>
      <c r="Q1114">
        <v>0.18057019999999999</v>
      </c>
      <c r="R1114">
        <v>-0.2297187</v>
      </c>
      <c r="S1114">
        <v>3.0478209999999999</v>
      </c>
      <c r="T1114">
        <v>-0.23431679999999999</v>
      </c>
      <c r="U1114">
        <v>-0.55908199999999997</v>
      </c>
      <c r="V1114">
        <v>0.2144674</v>
      </c>
      <c r="W1114">
        <v>0.19383719999999999</v>
      </c>
      <c r="X1114">
        <v>0.95730400000000004</v>
      </c>
      <c r="Y1114">
        <v>0.1638307</v>
      </c>
      <c r="Z1114">
        <v>-6.4072259999999898E-3</v>
      </c>
      <c r="AA1114">
        <v>0.98646769999999995</v>
      </c>
      <c r="AB1114">
        <v>34</v>
      </c>
      <c r="AC1114">
        <v>14.2882999999999</v>
      </c>
      <c r="AD1114">
        <v>-1.1205868326390001</v>
      </c>
      <c r="AE1114">
        <v>-2.6686999999999999</v>
      </c>
      <c r="AF1114">
        <v>2.4208683686624299</v>
      </c>
      <c r="AG1114">
        <v>-1.1205868326390001</v>
      </c>
      <c r="AH1114">
        <v>14.2452678773146</v>
      </c>
      <c r="AI1114">
        <v>94.434520953400806</v>
      </c>
      <c r="AJ1114">
        <v>80.355188222418505</v>
      </c>
      <c r="AK1114">
        <v>14.492893962363899</v>
      </c>
      <c r="AL1114">
        <v>78.823196360333</v>
      </c>
      <c r="AM1114">
        <v>77.372379069229098</v>
      </c>
      <c r="AN1114">
        <v>1.00000003709129</v>
      </c>
    </row>
    <row r="1115" spans="1:40" x14ac:dyDescent="0.25">
      <c r="A1115" t="str">
        <f>"20190303162801406"</f>
        <v>20190303162801406</v>
      </c>
      <c r="B1115" t="str">
        <f>"1551601681392566"</f>
        <v>1551601681392566</v>
      </c>
      <c r="C1115" t="s">
        <v>40</v>
      </c>
      <c r="D1115">
        <v>5.3830200000000001</v>
      </c>
      <c r="E1115">
        <v>0.48188419999999998</v>
      </c>
      <c r="F1115" t="s">
        <v>41</v>
      </c>
      <c r="G1115">
        <v>-214.62260000000001</v>
      </c>
      <c r="H1115" s="1">
        <v>-2.8763770000000001E-6</v>
      </c>
      <c r="I1115">
        <v>366.3064</v>
      </c>
      <c r="J1115">
        <v>-228.7022</v>
      </c>
      <c r="K1115">
        <v>1.1204499999999999</v>
      </c>
      <c r="L1115">
        <v>368.9341</v>
      </c>
      <c r="M1115">
        <v>0.99974609999999997</v>
      </c>
      <c r="N1115">
        <v>-1.428255E-2</v>
      </c>
      <c r="O1115">
        <v>-1.742838E-2</v>
      </c>
      <c r="P1115">
        <v>0.95630309999999996</v>
      </c>
      <c r="Q1115">
        <v>0.1829751</v>
      </c>
      <c r="R1115">
        <v>-0.2280459</v>
      </c>
      <c r="S1115">
        <v>3.047806</v>
      </c>
      <c r="T1115">
        <v>-0.2370998</v>
      </c>
      <c r="U1115">
        <v>-0.55734249999999996</v>
      </c>
      <c r="V1115">
        <v>0.21179539999999999</v>
      </c>
      <c r="W1115">
        <v>0.19618169999999999</v>
      </c>
      <c r="X1115">
        <v>0.95742119999999997</v>
      </c>
      <c r="Y1115">
        <v>0.1621812</v>
      </c>
      <c r="Z1115">
        <v>-6.321615E-3</v>
      </c>
      <c r="AA1115">
        <v>0.98674079999999997</v>
      </c>
      <c r="AB1115">
        <v>34</v>
      </c>
      <c r="AC1115">
        <v>14.079599999999999</v>
      </c>
      <c r="AD1115">
        <v>-1.1204528763770001</v>
      </c>
      <c r="AE1115">
        <v>-2.6276999999999999</v>
      </c>
      <c r="AF1115">
        <v>2.3674031331349301</v>
      </c>
      <c r="AG1115">
        <v>-1.1204528763770001</v>
      </c>
      <c r="AH1115">
        <v>14.037356537531901</v>
      </c>
      <c r="AI1115">
        <v>94.500351101233093</v>
      </c>
      <c r="AJ1115">
        <v>80.427136388622003</v>
      </c>
      <c r="AK1115">
        <v>14.279614518772901</v>
      </c>
      <c r="AL1115">
        <v>78.686235971345397</v>
      </c>
      <c r="AM1115">
        <v>77.5262281244147</v>
      </c>
      <c r="AN1115">
        <v>0.99999995254274299</v>
      </c>
    </row>
    <row r="1116" spans="1:40" x14ac:dyDescent="0.25">
      <c r="A1116" t="str">
        <f>"20190303162801419"</f>
        <v>20190303162801419</v>
      </c>
      <c r="B1116" t="str">
        <f>"1551601681412593"</f>
        <v>1551601681412593</v>
      </c>
      <c r="C1116" t="s">
        <v>40</v>
      </c>
      <c r="D1116">
        <v>5.3877550000000003</v>
      </c>
      <c r="E1116">
        <v>0.48211039999999999</v>
      </c>
      <c r="F1116" t="s">
        <v>41</v>
      </c>
      <c r="G1116">
        <v>-213.81030000000001</v>
      </c>
      <c r="H1116" s="1">
        <v>-3.2391550000000001E-6</v>
      </c>
      <c r="I1116">
        <v>366.22570000000002</v>
      </c>
      <c r="J1116">
        <v>-228.4658</v>
      </c>
      <c r="K1116">
        <v>1.1203299999999901</v>
      </c>
      <c r="L1116">
        <v>368.92910000000001</v>
      </c>
      <c r="M1116">
        <v>0.99972879999999997</v>
      </c>
      <c r="N1116">
        <v>-1.428312E-2</v>
      </c>
      <c r="O1116">
        <v>-1.83941E-2</v>
      </c>
      <c r="P1116">
        <v>0.95604310000000003</v>
      </c>
      <c r="Q1116">
        <v>0.1848022</v>
      </c>
      <c r="R1116">
        <v>-0.22766239999999999</v>
      </c>
      <c r="S1116">
        <v>3.0487519999999999</v>
      </c>
      <c r="T1116">
        <v>-0.22938330000000001</v>
      </c>
      <c r="U1116">
        <v>-0.55447389999999996</v>
      </c>
      <c r="V1116">
        <v>0.21055360000000001</v>
      </c>
      <c r="W1116">
        <v>0.1979474</v>
      </c>
      <c r="X1116">
        <v>0.95733170000000001</v>
      </c>
      <c r="Y1116">
        <v>0.1603136</v>
      </c>
      <c r="Z1116">
        <v>-6.0199709999999998E-3</v>
      </c>
      <c r="AA1116">
        <v>0.98704780000000003</v>
      </c>
      <c r="AB1116">
        <v>34</v>
      </c>
      <c r="AC1116">
        <v>14.6554999999999</v>
      </c>
      <c r="AD1116">
        <v>-1.1203332391549901</v>
      </c>
      <c r="AE1116">
        <v>-2.7033999999999798</v>
      </c>
      <c r="AF1116">
        <v>2.4196656309967901</v>
      </c>
      <c r="AG1116">
        <v>-1.1203332391549901</v>
      </c>
      <c r="AH1116">
        <v>14.6201264684073</v>
      </c>
      <c r="AI1116">
        <v>94.323400543458007</v>
      </c>
      <c r="AJ1116">
        <v>80.602596158906096</v>
      </c>
      <c r="AK1116">
        <v>14.861292887390601</v>
      </c>
      <c r="AL1116">
        <v>78.583045683983002</v>
      </c>
      <c r="AM1116">
        <v>77.5959709687111</v>
      </c>
      <c r="AN1116">
        <v>0.99999998773230403</v>
      </c>
    </row>
    <row r="1117" spans="1:40" x14ac:dyDescent="0.25">
      <c r="A1117" t="str">
        <f>"20190303162801438"</f>
        <v>20190303162801438</v>
      </c>
      <c r="B1117" t="str">
        <f>"1551601681432112"</f>
        <v>1551601681432112</v>
      </c>
      <c r="C1117" t="s">
        <v>40</v>
      </c>
      <c r="D1117">
        <v>5.179926</v>
      </c>
      <c r="E1117">
        <v>0.48214560000000001</v>
      </c>
      <c r="F1117" t="s">
        <v>41</v>
      </c>
      <c r="G1117">
        <v>-213.15350000000001</v>
      </c>
      <c r="H1117" s="1">
        <v>-3.5367669999999999E-6</v>
      </c>
      <c r="I1117">
        <v>366.13619999999997</v>
      </c>
      <c r="J1117">
        <v>-228.178</v>
      </c>
      <c r="K1117">
        <v>1.120188</v>
      </c>
      <c r="L1117">
        <v>368.92250000000001</v>
      </c>
      <c r="M1117">
        <v>0.99970360000000003</v>
      </c>
      <c r="N1117">
        <v>-1.4281220000000001E-2</v>
      </c>
      <c r="O1117">
        <v>-1.971637E-2</v>
      </c>
      <c r="P1117">
        <v>0.95582210000000001</v>
      </c>
      <c r="Q1117">
        <v>0.18772</v>
      </c>
      <c r="R1117">
        <v>-0.22619800000000001</v>
      </c>
      <c r="S1117">
        <v>3.0486300000000002</v>
      </c>
      <c r="T1117">
        <v>-0.2230539</v>
      </c>
      <c r="U1117">
        <v>-0.55606080000000002</v>
      </c>
      <c r="V1117">
        <v>0.20790900000000001</v>
      </c>
      <c r="W1117">
        <v>0.20079060000000001</v>
      </c>
      <c r="X1117">
        <v>0.95731759999999999</v>
      </c>
      <c r="Y1117">
        <v>0.15954109999999999</v>
      </c>
      <c r="Z1117">
        <v>-5.7824649999999997E-3</v>
      </c>
      <c r="AA1117">
        <v>0.98717429999999995</v>
      </c>
      <c r="AB1117">
        <v>34</v>
      </c>
      <c r="AC1117">
        <v>15.0244999999999</v>
      </c>
      <c r="AD1117">
        <v>-1.1201915367669999</v>
      </c>
      <c r="AE1117">
        <v>-2.7863000000000402</v>
      </c>
      <c r="AF1117">
        <v>2.4761923411580802</v>
      </c>
      <c r="AG1117">
        <v>-1.1201915367669999</v>
      </c>
      <c r="AH1117">
        <v>14.995931705534399</v>
      </c>
      <c r="AI1117">
        <v>94.215173880327399</v>
      </c>
      <c r="AJ1117">
        <v>80.623683360868199</v>
      </c>
      <c r="AK1117">
        <v>15.240220644941701</v>
      </c>
      <c r="AL1117">
        <v>78.416805059306597</v>
      </c>
      <c r="AM1117">
        <v>77.746857952534896</v>
      </c>
      <c r="AN1117">
        <v>1.0000000022995501</v>
      </c>
    </row>
    <row r="1118" spans="1:40" x14ac:dyDescent="0.25">
      <c r="A1118" t="str">
        <f>"20190303162801451"</f>
        <v>20190303162801451</v>
      </c>
      <c r="B1118" t="str">
        <f>"1551601681442849"</f>
        <v>1551601681442849</v>
      </c>
      <c r="C1118" t="s">
        <v>40</v>
      </c>
      <c r="D1118">
        <v>5.3886979999999998</v>
      </c>
      <c r="E1118">
        <v>0.48223060000000001</v>
      </c>
      <c r="F1118" t="s">
        <v>41</v>
      </c>
      <c r="G1118">
        <v>-212.001</v>
      </c>
      <c r="H1118" s="1">
        <v>-4.0575709999999997E-6</v>
      </c>
      <c r="I1118">
        <v>365.98750000000001</v>
      </c>
      <c r="J1118">
        <v>-227.99189999999999</v>
      </c>
      <c r="K1118">
        <v>1.120082</v>
      </c>
      <c r="L1118">
        <v>368.91789999999997</v>
      </c>
      <c r="M1118">
        <v>0.99968420000000002</v>
      </c>
      <c r="N1118">
        <v>-1.4279129999999999E-2</v>
      </c>
      <c r="O1118">
        <v>-2.0683409999999999E-2</v>
      </c>
      <c r="P1118">
        <v>0.95572349999999995</v>
      </c>
      <c r="Q1118">
        <v>0.18877940000000001</v>
      </c>
      <c r="R1118">
        <v>-0.22573309999999999</v>
      </c>
      <c r="S1118">
        <v>3.0492249999999999</v>
      </c>
      <c r="T1118">
        <v>-0.21114640000000001</v>
      </c>
      <c r="U1118">
        <v>-0.55322269999999996</v>
      </c>
      <c r="V1118">
        <v>0.2065748</v>
      </c>
      <c r="W1118">
        <v>0.2017977</v>
      </c>
      <c r="X1118">
        <v>0.95739470000000004</v>
      </c>
      <c r="Y1118">
        <v>0.15771209999999999</v>
      </c>
      <c r="Z1118">
        <v>-5.4212749999999997E-3</v>
      </c>
      <c r="AA1118">
        <v>0.98747030000000002</v>
      </c>
      <c r="AB1118">
        <v>34</v>
      </c>
      <c r="AC1118">
        <v>15.9909</v>
      </c>
      <c r="AD1118">
        <v>-1.1200860575710001</v>
      </c>
      <c r="AE1118">
        <v>-2.9303999999999601</v>
      </c>
      <c r="AF1118">
        <v>2.5867140289259498</v>
      </c>
      <c r="AG1118">
        <v>-1.1200860575710001</v>
      </c>
      <c r="AH1118">
        <v>15.9722761651027</v>
      </c>
      <c r="AI1118">
        <v>93.959980230598603</v>
      </c>
      <c r="AJ1118">
        <v>80.800804735711694</v>
      </c>
      <c r="AK1118">
        <v>16.2191025688266</v>
      </c>
      <c r="AL1118">
        <v>78.357897065536307</v>
      </c>
      <c r="AM1118">
        <v>77.824086912739901</v>
      </c>
      <c r="AN1118">
        <v>1.0000000356542</v>
      </c>
    </row>
    <row r="1119" spans="1:40" x14ac:dyDescent="0.25">
      <c r="A1119" t="str">
        <f>"20190303162801466"</f>
        <v>20190303162801466</v>
      </c>
      <c r="B1119" t="str">
        <f>"1551601681452609"</f>
        <v>1551601681452609</v>
      </c>
      <c r="C1119" t="s">
        <v>40</v>
      </c>
      <c r="D1119">
        <v>5.3879320000000002</v>
      </c>
      <c r="E1119">
        <v>0.48225849999999998</v>
      </c>
      <c r="F1119" t="s">
        <v>41</v>
      </c>
      <c r="G1119">
        <v>-211.47280000000001</v>
      </c>
      <c r="H1119" s="1">
        <v>-4.295777E-6</v>
      </c>
      <c r="I1119">
        <v>365.9221</v>
      </c>
      <c r="J1119">
        <v>-227.7704</v>
      </c>
      <c r="K1119">
        <v>1.1199479999999999</v>
      </c>
      <c r="L1119">
        <v>368.91219999999998</v>
      </c>
      <c r="M1119">
        <v>0.99965769999999998</v>
      </c>
      <c r="N1119">
        <v>-1.42763E-2</v>
      </c>
      <c r="O1119">
        <v>-2.1923459999999999E-2</v>
      </c>
      <c r="P1119">
        <v>0.95554039999999996</v>
      </c>
      <c r="Q1119">
        <v>0.18926950000000001</v>
      </c>
      <c r="R1119">
        <v>-0.22609670000000001</v>
      </c>
      <c r="S1119">
        <v>3.0492249999999999</v>
      </c>
      <c r="T1119">
        <v>-0.2067531</v>
      </c>
      <c r="U1119">
        <v>-0.55297850000000004</v>
      </c>
      <c r="V1119">
        <v>0.20582059999999999</v>
      </c>
      <c r="W1119">
        <v>0.20221990000000001</v>
      </c>
      <c r="X1119">
        <v>0.95746799999999999</v>
      </c>
      <c r="Y1119">
        <v>0.15643089999999901</v>
      </c>
      <c r="Z1119">
        <v>-5.2201829999999998E-3</v>
      </c>
      <c r="AA1119">
        <v>0.98767510000000003</v>
      </c>
      <c r="AB1119">
        <v>34</v>
      </c>
      <c r="AC1119">
        <v>16.2975999999999</v>
      </c>
      <c r="AD1119">
        <v>-1.1199522957769901</v>
      </c>
      <c r="AE1119">
        <v>-2.99009999999998</v>
      </c>
      <c r="AF1119">
        <v>2.6200751695441</v>
      </c>
      <c r="AG1119">
        <v>-1.1199522957769901</v>
      </c>
      <c r="AH1119">
        <v>16.284844800741901</v>
      </c>
      <c r="AI1119">
        <v>93.884391142709006</v>
      </c>
      <c r="AJ1119">
        <v>80.859987336268006</v>
      </c>
      <c r="AK1119">
        <v>16.532249006808701</v>
      </c>
      <c r="AL1119">
        <v>78.3331970263946</v>
      </c>
      <c r="AM1119">
        <v>77.868122883455101</v>
      </c>
      <c r="AN1119">
        <v>0.99999998918218402</v>
      </c>
    </row>
    <row r="1120" spans="1:40" x14ac:dyDescent="0.25">
      <c r="A1120" t="str">
        <f>"20190303162801482"</f>
        <v>20190303162801482</v>
      </c>
      <c r="B1120" t="str">
        <f>"1551601681472129"</f>
        <v>1551601681472129</v>
      </c>
      <c r="C1120" t="s">
        <v>40</v>
      </c>
      <c r="D1120">
        <v>5.3165760000000004</v>
      </c>
      <c r="E1120">
        <v>0.48233150000000002</v>
      </c>
      <c r="F1120" t="s">
        <v>41</v>
      </c>
      <c r="G1120">
        <v>-211.01740000000001</v>
      </c>
      <c r="H1120" s="1">
        <v>-4.5011449999999997E-6</v>
      </c>
      <c r="I1120">
        <v>365.8657</v>
      </c>
      <c r="J1120">
        <v>-227.5222</v>
      </c>
      <c r="K1120">
        <v>1.119799</v>
      </c>
      <c r="L1120">
        <v>368.90539999999999</v>
      </c>
      <c r="M1120">
        <v>0.99962289999999998</v>
      </c>
      <c r="N1120">
        <v>-1.42735E-2</v>
      </c>
      <c r="O1120">
        <v>-2.3463890000000001E-2</v>
      </c>
      <c r="P1120">
        <v>0.95526829999999996</v>
      </c>
      <c r="Q1120">
        <v>0.18995529999999999</v>
      </c>
      <c r="R1120">
        <v>-0.2266717</v>
      </c>
      <c r="S1120">
        <v>3.0487980000000001</v>
      </c>
      <c r="T1120">
        <v>-0.203814</v>
      </c>
      <c r="U1120">
        <v>-0.55441280000000004</v>
      </c>
      <c r="V1120">
        <v>0.20500399999999999</v>
      </c>
      <c r="W1120">
        <v>0.20282600000000001</v>
      </c>
      <c r="X1120">
        <v>0.95751500000000001</v>
      </c>
      <c r="Y1120">
        <v>0.15539749999999999</v>
      </c>
      <c r="Z1120">
        <v>-5.0448580000000002E-3</v>
      </c>
      <c r="AA1120">
        <v>0.98783920000000003</v>
      </c>
      <c r="AB1120">
        <v>34</v>
      </c>
      <c r="AC1120">
        <v>16.5047999999999</v>
      </c>
      <c r="AD1120">
        <v>-1.119803501145</v>
      </c>
      <c r="AE1120">
        <v>-3.0396999999999799</v>
      </c>
      <c r="AF1120">
        <v>2.63980374363913</v>
      </c>
      <c r="AG1120">
        <v>-1.119803501145</v>
      </c>
      <c r="AH1120">
        <v>16.498132179292099</v>
      </c>
      <c r="AI1120">
        <v>93.834345408070106</v>
      </c>
      <c r="AJ1120">
        <v>80.909375674697799</v>
      </c>
      <c r="AK1120">
        <v>16.745473689672099</v>
      </c>
      <c r="AL1120">
        <v>78.297735333616203</v>
      </c>
      <c r="AM1120">
        <v>77.915414601703802</v>
      </c>
      <c r="AN1120">
        <v>1.0000000007584999</v>
      </c>
    </row>
    <row r="1121" spans="1:40" x14ac:dyDescent="0.25">
      <c r="A1121" t="str">
        <f>"20190303162801494"</f>
        <v>20190303162801494</v>
      </c>
      <c r="B1121" t="str">
        <f>"1551601681482865"</f>
        <v>1551601681482865</v>
      </c>
      <c r="C1121" t="s">
        <v>40</v>
      </c>
      <c r="D1121">
        <v>5.3190949999999999</v>
      </c>
      <c r="E1121">
        <v>0.48241519999999999</v>
      </c>
      <c r="F1121" t="s">
        <v>41</v>
      </c>
      <c r="G1121">
        <v>-210.3716</v>
      </c>
      <c r="H1121" s="1">
        <v>-4.7952810000000002E-6</v>
      </c>
      <c r="I1121">
        <v>365.76940000000002</v>
      </c>
      <c r="J1121">
        <v>-227.34630000000001</v>
      </c>
      <c r="K1121">
        <v>1.1196900000000001</v>
      </c>
      <c r="L1121">
        <v>368.90010000000001</v>
      </c>
      <c r="M1121">
        <v>0.99959379999999998</v>
      </c>
      <c r="N1121">
        <v>-1.4272129999999999E-2</v>
      </c>
      <c r="O1121">
        <v>-2.4670259999999999E-2</v>
      </c>
      <c r="P1121">
        <v>0.9549105</v>
      </c>
      <c r="Q1121">
        <v>0.19016140000000001</v>
      </c>
      <c r="R1121">
        <v>-0.22800280000000001</v>
      </c>
      <c r="S1121">
        <v>3.0478209999999999</v>
      </c>
      <c r="T1121">
        <v>-0.1989986</v>
      </c>
      <c r="U1121">
        <v>-0.55728149999999999</v>
      </c>
      <c r="V1121">
        <v>0.2052408</v>
      </c>
      <c r="W1121">
        <v>0.2029726</v>
      </c>
      <c r="X1121">
        <v>0.95743319999999998</v>
      </c>
      <c r="Y1121">
        <v>0.1551785</v>
      </c>
      <c r="Z1121">
        <v>-4.8913259999999997E-3</v>
      </c>
      <c r="AA1121">
        <v>0.98787429999999998</v>
      </c>
      <c r="AB1121">
        <v>34</v>
      </c>
      <c r="AC1121">
        <v>16.974699999999999</v>
      </c>
      <c r="AD1121">
        <v>-1.1196947952809999</v>
      </c>
      <c r="AE1121">
        <v>-3.1306999999999898</v>
      </c>
      <c r="AF1121">
        <v>2.6995744454625901</v>
      </c>
      <c r="AG1121">
        <v>-1.1196947952809999</v>
      </c>
      <c r="AH1121">
        <v>16.975344645305501</v>
      </c>
      <c r="AI1121">
        <v>93.727066175191197</v>
      </c>
      <c r="AJ1121">
        <v>80.963969022899803</v>
      </c>
      <c r="AK1121">
        <v>17.225090549778699</v>
      </c>
      <c r="AL1121">
        <v>78.289157306956</v>
      </c>
      <c r="AM1121">
        <v>77.900863530039103</v>
      </c>
      <c r="AN1121">
        <v>0.99999999739881995</v>
      </c>
    </row>
    <row r="1122" spans="1:40" x14ac:dyDescent="0.25">
      <c r="A1122" t="str">
        <f>"20190303162801507"</f>
        <v>20190303162801507</v>
      </c>
      <c r="B1122" t="str">
        <f>"1551601681492624"</f>
        <v>1551601681492624</v>
      </c>
      <c r="C1122" t="s">
        <v>40</v>
      </c>
      <c r="D1122">
        <v>5.4366279999999998</v>
      </c>
      <c r="E1122">
        <v>0.48248530000000001</v>
      </c>
      <c r="F1122" t="s">
        <v>41</v>
      </c>
      <c r="G1122">
        <v>-210.0797</v>
      </c>
      <c r="H1122" s="1">
        <v>-4.9304280000000002E-6</v>
      </c>
      <c r="I1122">
        <v>365.7133</v>
      </c>
      <c r="J1122">
        <v>-227.1558</v>
      </c>
      <c r="K1122">
        <v>1.119572</v>
      </c>
      <c r="L1122">
        <v>368.89420000000001</v>
      </c>
      <c r="M1122">
        <v>0.99955959999999999</v>
      </c>
      <c r="N1122">
        <v>-1.427055E-2</v>
      </c>
      <c r="O1122">
        <v>-2.6020959999999999E-2</v>
      </c>
      <c r="P1122">
        <v>0.95449050000000002</v>
      </c>
      <c r="Q1122">
        <v>0.19027830000000001</v>
      </c>
      <c r="R1122">
        <v>-0.22965749999999999</v>
      </c>
      <c r="S1122">
        <v>3.0467680000000001</v>
      </c>
      <c r="T1122">
        <v>-0.19757469999999999</v>
      </c>
      <c r="U1122">
        <v>-0.56231690000000001</v>
      </c>
      <c r="V1122">
        <v>0.2056685</v>
      </c>
      <c r="W1122">
        <v>0.20302490000000001</v>
      </c>
      <c r="X1122">
        <v>0.95733029999999997</v>
      </c>
      <c r="Y1122">
        <v>0.15548870000000001</v>
      </c>
      <c r="Z1122">
        <v>-4.8121559999999997E-3</v>
      </c>
      <c r="AA1122">
        <v>0.98782590000000003</v>
      </c>
      <c r="AB1122">
        <v>34</v>
      </c>
      <c r="AC1122">
        <v>17.076099999999901</v>
      </c>
      <c r="AD1122">
        <v>-1.1195769304279899</v>
      </c>
      <c r="AE1122">
        <v>-3.1808999999999998</v>
      </c>
      <c r="AF1122">
        <v>2.7241236761529901</v>
      </c>
      <c r="AG1122">
        <v>-1.1195769304279899</v>
      </c>
      <c r="AH1122">
        <v>17.082128012552001</v>
      </c>
      <c r="AI1122">
        <v>93.703189793327795</v>
      </c>
      <c r="AJ1122">
        <v>80.939214187428902</v>
      </c>
      <c r="AK1122">
        <v>17.3341685622166</v>
      </c>
      <c r="AL1122">
        <v>78.286096724876302</v>
      </c>
      <c r="AM1122">
        <v>77.875130787132903</v>
      </c>
      <c r="AN1122">
        <v>0.99999997260517404</v>
      </c>
    </row>
    <row r="1123" spans="1:40" x14ac:dyDescent="0.25">
      <c r="A1123" t="str">
        <f>"20190303162801520"</f>
        <v>20190303162801520</v>
      </c>
      <c r="B1123" t="str">
        <f>"1551601681513120"</f>
        <v>1551601681513120</v>
      </c>
      <c r="C1123" t="s">
        <v>40</v>
      </c>
      <c r="D1123">
        <v>5.0458939999999997</v>
      </c>
      <c r="E1123">
        <v>0.48270059999999898</v>
      </c>
      <c r="F1123" t="s">
        <v>46</v>
      </c>
      <c r="G1123">
        <v>-209.8218</v>
      </c>
      <c r="H1123" s="1">
        <v>-5.8435129999999998E-6</v>
      </c>
      <c r="I1123">
        <v>365.65910000000002</v>
      </c>
      <c r="J1123">
        <v>-226.94659999999999</v>
      </c>
      <c r="K1123">
        <v>1.1194489999999999</v>
      </c>
      <c r="L1123">
        <v>368.88729999999998</v>
      </c>
      <c r="M1123">
        <v>0.99951719999999999</v>
      </c>
      <c r="N1123">
        <v>-1.4268950000000001E-2</v>
      </c>
      <c r="O1123">
        <v>-2.759876E-2</v>
      </c>
      <c r="P1123">
        <v>0.95393380000000005</v>
      </c>
      <c r="Q1123">
        <v>0.19038939999999999</v>
      </c>
      <c r="R1123">
        <v>-0.23186670000000001</v>
      </c>
      <c r="S1123">
        <v>3.0455019999999999</v>
      </c>
      <c r="T1123">
        <v>-0.19670489999999999</v>
      </c>
      <c r="U1123">
        <v>-0.5683899</v>
      </c>
      <c r="V1123">
        <v>0.20644080000000001</v>
      </c>
      <c r="W1123">
        <v>0.20306360000000001</v>
      </c>
      <c r="X1123">
        <v>0.95715589999999995</v>
      </c>
      <c r="Y1123">
        <v>0.1559104</v>
      </c>
      <c r="Z1123">
        <v>-4.7363689999999998E-3</v>
      </c>
      <c r="AA1123">
        <v>0.98775979999999997</v>
      </c>
      <c r="AB1123">
        <v>34</v>
      </c>
      <c r="AC1123">
        <v>17.124799999999901</v>
      </c>
      <c r="AD1123">
        <v>-1.1194548435129901</v>
      </c>
      <c r="AE1123">
        <v>-3.22819999999995</v>
      </c>
      <c r="AF1123">
        <v>2.7429793888207201</v>
      </c>
      <c r="AG1123">
        <v>-1.1194548435129901</v>
      </c>
      <c r="AH1123">
        <v>17.136662026300101</v>
      </c>
      <c r="AI1123">
        <v>93.690696400328704</v>
      </c>
      <c r="AJ1123">
        <v>80.906093214748196</v>
      </c>
      <c r="AK1123">
        <v>17.3908683071834</v>
      </c>
      <c r="AL1123">
        <v>78.283832808756799</v>
      </c>
      <c r="AM1123">
        <v>77.828804348562699</v>
      </c>
      <c r="AN1123">
        <v>1.0000000232271999</v>
      </c>
    </row>
    <row r="1124" spans="1:40" x14ac:dyDescent="0.25">
      <c r="A1124" t="str">
        <f>"20190303162801534"</f>
        <v>20190303162801534</v>
      </c>
      <c r="B1124" t="str">
        <f>"1551601681522881"</f>
        <v>1551601681522881</v>
      </c>
      <c r="C1124" t="s">
        <v>40</v>
      </c>
      <c r="D1124">
        <v>5.3671629999999997</v>
      </c>
      <c r="E1124">
        <v>0.482736</v>
      </c>
      <c r="F1124" t="s">
        <v>46</v>
      </c>
      <c r="G1124">
        <v>-209.5102</v>
      </c>
      <c r="H1124" s="1">
        <v>-5.7511849999999999E-6</v>
      </c>
      <c r="I1124">
        <v>365.58229999999998</v>
      </c>
      <c r="J1124">
        <v>-226.74770000000001</v>
      </c>
      <c r="K1124">
        <v>1.119337</v>
      </c>
      <c r="L1124">
        <v>368.8802</v>
      </c>
      <c r="M1124">
        <v>0.99947200000000003</v>
      </c>
      <c r="N1124">
        <v>-1.4267429999999999E-2</v>
      </c>
      <c r="O1124">
        <v>-2.9193650000000002E-2</v>
      </c>
      <c r="P1124">
        <v>0.95332130000000004</v>
      </c>
      <c r="Q1124">
        <v>0.19043399999999999</v>
      </c>
      <c r="R1124">
        <v>-0.2343375</v>
      </c>
      <c r="S1124">
        <v>3.043625</v>
      </c>
      <c r="T1124">
        <v>-0.19540740000000001</v>
      </c>
      <c r="U1124">
        <v>-0.57690430000000004</v>
      </c>
      <c r="V1124">
        <v>0.20745279999999999</v>
      </c>
      <c r="W1124">
        <v>0.20304169999999999</v>
      </c>
      <c r="X1124">
        <v>0.95694170000000001</v>
      </c>
      <c r="Y1124">
        <v>0.1571157</v>
      </c>
      <c r="Z1124">
        <v>-4.6846559999999997E-3</v>
      </c>
      <c r="AA1124">
        <v>0.98756909999999998</v>
      </c>
      <c r="AB1124">
        <v>34</v>
      </c>
      <c r="AC1124">
        <v>17.237500000000001</v>
      </c>
      <c r="AD1124">
        <v>-1.119342751185</v>
      </c>
      <c r="AE1124">
        <v>-3.2979000000000198</v>
      </c>
      <c r="AF1124">
        <v>2.7819009712534801</v>
      </c>
      <c r="AG1124">
        <v>-1.119342751185</v>
      </c>
      <c r="AH1124">
        <v>17.256243186559601</v>
      </c>
      <c r="AI1124">
        <v>93.664168805275906</v>
      </c>
      <c r="AJ1124">
        <v>80.842067249267203</v>
      </c>
      <c r="AK1124">
        <v>17.514845991962801</v>
      </c>
      <c r="AL1124">
        <v>78.285114085619298</v>
      </c>
      <c r="AM1124">
        <v>77.768276052099495</v>
      </c>
      <c r="AN1124">
        <v>1.0000000066828001</v>
      </c>
    </row>
    <row r="1125" spans="1:40" x14ac:dyDescent="0.25">
      <c r="A1125" t="str">
        <f>"20190303162801547"</f>
        <v>20190303162801547</v>
      </c>
      <c r="B1125" t="str">
        <f>"1551601681542401"</f>
        <v>1551601681542401</v>
      </c>
      <c r="C1125" t="s">
        <v>40</v>
      </c>
      <c r="D1125">
        <v>5.3656269999999999</v>
      </c>
      <c r="E1125">
        <v>0.48290850000000002</v>
      </c>
      <c r="F1125" t="s">
        <v>46</v>
      </c>
      <c r="G1125">
        <v>-209.22909999999999</v>
      </c>
      <c r="H1125" s="1">
        <v>-5.6678570000000003E-6</v>
      </c>
      <c r="I1125">
        <v>365.51350000000002</v>
      </c>
      <c r="J1125">
        <v>-226.5549</v>
      </c>
      <c r="K1125">
        <v>1.1192329999999999</v>
      </c>
      <c r="L1125">
        <v>368.8732</v>
      </c>
      <c r="M1125">
        <v>0.99942419999999998</v>
      </c>
      <c r="N1125">
        <v>-1.426581E-2</v>
      </c>
      <c r="O1125">
        <v>-3.078827E-2</v>
      </c>
      <c r="P1125">
        <v>0.95262990000000003</v>
      </c>
      <c r="Q1125">
        <v>0.1905425</v>
      </c>
      <c r="R1125">
        <v>-0.23704430000000001</v>
      </c>
      <c r="S1125">
        <v>3.0420069999999999</v>
      </c>
      <c r="T1125">
        <v>-0.1943675</v>
      </c>
      <c r="U1125">
        <v>-0.58462519999999996</v>
      </c>
      <c r="V1125">
        <v>0.20870150000000001</v>
      </c>
      <c r="W1125">
        <v>0.20308419999999999</v>
      </c>
      <c r="X1125">
        <v>0.95666110000000004</v>
      </c>
      <c r="Y1125">
        <v>0.15805720000000001</v>
      </c>
      <c r="Z1125">
        <v>-4.6273260000000002E-3</v>
      </c>
      <c r="AA1125">
        <v>0.98741909999999999</v>
      </c>
      <c r="AB1125">
        <v>34</v>
      </c>
      <c r="AC1125">
        <v>17.325800000000001</v>
      </c>
      <c r="AD1125">
        <v>-1.1192386678570001</v>
      </c>
      <c r="AE1125">
        <v>-3.3596999999999699</v>
      </c>
      <c r="AF1125">
        <v>2.8133065359821101</v>
      </c>
      <c r="AG1125">
        <v>-1.1192386678570001</v>
      </c>
      <c r="AH1125">
        <v>17.3512500862123</v>
      </c>
      <c r="AI1125">
        <v>93.643291007035799</v>
      </c>
      <c r="AJ1125">
        <v>80.790291656545307</v>
      </c>
      <c r="AK1125">
        <v>17.613439993803201</v>
      </c>
      <c r="AL1125">
        <v>78.282626936781796</v>
      </c>
      <c r="AM1125">
        <v>77.693388179603303</v>
      </c>
      <c r="AN1125">
        <v>0.999999984322549</v>
      </c>
    </row>
    <row r="1126" spans="1:40" x14ac:dyDescent="0.25">
      <c r="A1126" t="str">
        <f>"20190303162801561"</f>
        <v>20190303162801561</v>
      </c>
      <c r="B1126" t="str">
        <f>"1551601681552161"</f>
        <v>1551601681552161</v>
      </c>
      <c r="C1126" t="s">
        <v>40</v>
      </c>
      <c r="D1126">
        <v>5.3691129999999996</v>
      </c>
      <c r="E1126">
        <v>0.4829833</v>
      </c>
      <c r="F1126" t="s">
        <v>46</v>
      </c>
      <c r="G1126">
        <v>-208.96430000000001</v>
      </c>
      <c r="H1126" s="1">
        <v>-5.5919779999999998E-6</v>
      </c>
      <c r="I1126">
        <v>365.43169999999998</v>
      </c>
      <c r="J1126">
        <v>-226.33850000000001</v>
      </c>
      <c r="K1126">
        <v>1.119122</v>
      </c>
      <c r="L1126">
        <v>368.86470000000003</v>
      </c>
      <c r="M1126">
        <v>0.99936499999999995</v>
      </c>
      <c r="N1126">
        <v>-1.4263990000000001E-2</v>
      </c>
      <c r="O1126">
        <v>-3.2655049999999998E-2</v>
      </c>
      <c r="P1126">
        <v>0.95134039999999997</v>
      </c>
      <c r="Q1126">
        <v>0.19058249999999999</v>
      </c>
      <c r="R1126">
        <v>-0.24213609999999999</v>
      </c>
      <c r="S1126">
        <v>3.0398860000000001</v>
      </c>
      <c r="T1126">
        <v>-0.1934189</v>
      </c>
      <c r="U1126">
        <v>-0.59472659999999999</v>
      </c>
      <c r="V1126">
        <v>0.2120948</v>
      </c>
      <c r="W1126">
        <v>0.203037</v>
      </c>
      <c r="X1126">
        <v>0.95592460000000001</v>
      </c>
      <c r="Y1126">
        <v>0.15950400000000001</v>
      </c>
      <c r="Z1126">
        <v>-4.578693E-3</v>
      </c>
      <c r="AA1126">
        <v>0.98718669999999997</v>
      </c>
      <c r="AB1126">
        <v>33</v>
      </c>
      <c r="AC1126">
        <v>17.374199999999998</v>
      </c>
      <c r="AD1126">
        <v>-1.1191275919779999</v>
      </c>
      <c r="AE1126">
        <v>-3.4330000000000398</v>
      </c>
      <c r="AF1126">
        <v>2.8523657706132601</v>
      </c>
      <c r="AG1126">
        <v>-1.1191275919779999</v>
      </c>
      <c r="AH1126">
        <v>17.407537309260199</v>
      </c>
      <c r="AI1126">
        <v>93.630193947422697</v>
      </c>
      <c r="AJ1126">
        <v>80.694319297335994</v>
      </c>
      <c r="AK1126">
        <v>17.675146172798001</v>
      </c>
      <c r="AL1126">
        <v>78.285389431426296</v>
      </c>
      <c r="AM1126">
        <v>77.490207293889597</v>
      </c>
      <c r="AN1126">
        <v>1.0000000342205899</v>
      </c>
    </row>
    <row r="1127" spans="1:40" x14ac:dyDescent="0.25">
      <c r="A1127" t="str">
        <f>"20190303162801584"</f>
        <v>20190303162801584</v>
      </c>
      <c r="B1127" t="str">
        <f>"1551601681572656"</f>
        <v>1551601681572656</v>
      </c>
      <c r="C1127" t="s">
        <v>40</v>
      </c>
      <c r="D1127">
        <v>5.3142760000000004</v>
      </c>
      <c r="E1127">
        <v>0.48304599999999998</v>
      </c>
      <c r="F1127" t="s">
        <v>46</v>
      </c>
      <c r="G1127">
        <v>-208.6875</v>
      </c>
      <c r="H1127" s="1">
        <v>-5.5172899999999998E-6</v>
      </c>
      <c r="I1127">
        <v>365.31659999999999</v>
      </c>
      <c r="J1127">
        <v>-226.00700000000001</v>
      </c>
      <c r="K1127">
        <v>1.118976</v>
      </c>
      <c r="L1127">
        <v>368.851</v>
      </c>
      <c r="M1127">
        <v>0.99926280000000001</v>
      </c>
      <c r="N1127">
        <v>-1.426116E-2</v>
      </c>
      <c r="O1127">
        <v>-3.5647900000000003E-2</v>
      </c>
      <c r="P1127">
        <v>0.9494262</v>
      </c>
      <c r="Q1127">
        <v>0.1907682</v>
      </c>
      <c r="R1127">
        <v>-0.24939539999999999</v>
      </c>
      <c r="S1127">
        <v>3.0366520000000001</v>
      </c>
      <c r="T1127">
        <v>-0.1925325</v>
      </c>
      <c r="U1127">
        <v>-0.61041259999999997</v>
      </c>
      <c r="V1127">
        <v>0.21662039999999999</v>
      </c>
      <c r="W1127">
        <v>0.20310049999999999</v>
      </c>
      <c r="X1127">
        <v>0.95489570000000001</v>
      </c>
      <c r="Y1127">
        <v>0.1616524</v>
      </c>
      <c r="Z1127">
        <v>-4.5046929999999997E-3</v>
      </c>
      <c r="AA1127">
        <v>0.98683750000000003</v>
      </c>
      <c r="AB1127">
        <v>33</v>
      </c>
      <c r="AC1127">
        <v>17.319500000000001</v>
      </c>
      <c r="AD1127">
        <v>-1.1189815172899999</v>
      </c>
      <c r="AE1127">
        <v>-3.5344000000000002</v>
      </c>
      <c r="AF1127">
        <v>2.9030531122766798</v>
      </c>
      <c r="AG1127">
        <v>-1.1189815172899999</v>
      </c>
      <c r="AH1127">
        <v>17.364909441717401</v>
      </c>
      <c r="AI1127">
        <v>93.636666687778899</v>
      </c>
      <c r="AJ1127">
        <v>80.509103213505398</v>
      </c>
      <c r="AK1127">
        <v>17.641426159122801</v>
      </c>
      <c r="AL1127">
        <v>78.2816733758672</v>
      </c>
      <c r="AM1127">
        <v>77.218635067671599</v>
      </c>
      <c r="AN1127">
        <v>1.00000000433745</v>
      </c>
    </row>
    <row r="1128" spans="1:40" x14ac:dyDescent="0.25">
      <c r="A1128" t="str">
        <f>"20190303162801600"</f>
        <v>20190303162801600</v>
      </c>
      <c r="B1128" t="str">
        <f>"1551601681592176"</f>
        <v>1551601681592176</v>
      </c>
      <c r="C1128" t="s">
        <v>40</v>
      </c>
      <c r="D1128">
        <v>5.4348510000000001</v>
      </c>
      <c r="E1128">
        <v>0.4832304</v>
      </c>
      <c r="F1128" t="s">
        <v>46</v>
      </c>
      <c r="G1128">
        <v>-208.2448</v>
      </c>
      <c r="H1128" s="1">
        <v>-5.3956480000000001E-6</v>
      </c>
      <c r="I1128">
        <v>365.14679999999998</v>
      </c>
      <c r="J1128">
        <v>-225.74860000000001</v>
      </c>
      <c r="K1128">
        <v>1.11887</v>
      </c>
      <c r="L1128">
        <v>368.83940000000001</v>
      </c>
      <c r="M1128">
        <v>0.99917299999999998</v>
      </c>
      <c r="N1128">
        <v>-1.425909E-2</v>
      </c>
      <c r="O1128">
        <v>-3.807982E-2</v>
      </c>
      <c r="P1128">
        <v>0.9483087</v>
      </c>
      <c r="Q1128">
        <v>0.1903273</v>
      </c>
      <c r="R1128">
        <v>-0.25394139999999998</v>
      </c>
      <c r="S1128">
        <v>3.032089</v>
      </c>
      <c r="T1128">
        <v>-0.19101560000000001</v>
      </c>
      <c r="U1128">
        <v>-0.632324199999999</v>
      </c>
      <c r="V1128">
        <v>0.2189219</v>
      </c>
      <c r="W1128">
        <v>0.20258370000000001</v>
      </c>
      <c r="X1128">
        <v>0.95448049999999995</v>
      </c>
      <c r="Y1128">
        <v>0.16637569999999999</v>
      </c>
      <c r="Z1128">
        <v>-4.5492639999999999E-3</v>
      </c>
      <c r="AA1128">
        <v>0.98605189999999998</v>
      </c>
      <c r="AB1128">
        <v>33</v>
      </c>
      <c r="AC1128">
        <v>17.503799999999998</v>
      </c>
      <c r="AD1128">
        <v>-1.118875395648</v>
      </c>
      <c r="AE1128">
        <v>-3.6926000000000201</v>
      </c>
      <c r="AF1128">
        <v>3.0115310839327001</v>
      </c>
      <c r="AG1128">
        <v>-1.118875395648</v>
      </c>
      <c r="AH1128">
        <v>17.5630248224554</v>
      </c>
      <c r="AI1128">
        <v>93.592880521648098</v>
      </c>
      <c r="AJ1128">
        <v>80.270118027360596</v>
      </c>
      <c r="AK1128">
        <v>17.8544404150527</v>
      </c>
      <c r="AL1128">
        <v>78.311912283696302</v>
      </c>
      <c r="AM1128">
        <v>77.081938847930999</v>
      </c>
      <c r="AN1128">
        <v>0.99999998934277401</v>
      </c>
    </row>
    <row r="1129" spans="1:40" x14ac:dyDescent="0.25">
      <c r="A1129" t="str">
        <f>"20190303162801613"</f>
        <v>20190303162801613</v>
      </c>
      <c r="B1129" t="str">
        <f>"1551601681602912"</f>
        <v>1551601681602912</v>
      </c>
      <c r="C1129" t="s">
        <v>40</v>
      </c>
      <c r="D1129">
        <v>5.3679629999999996</v>
      </c>
      <c r="E1129">
        <v>0.48329139999999998</v>
      </c>
      <c r="F1129" t="s">
        <v>46</v>
      </c>
      <c r="G1129">
        <v>-208.07669999999999</v>
      </c>
      <c r="H1129" s="1">
        <v>-5.3525699999999998E-6</v>
      </c>
      <c r="I1129">
        <v>365.06229999999999</v>
      </c>
      <c r="J1129">
        <v>-225.5669</v>
      </c>
      <c r="K1129">
        <v>1.118803</v>
      </c>
      <c r="L1129">
        <v>368.83080000000001</v>
      </c>
      <c r="M1129">
        <v>0.99910489999999996</v>
      </c>
      <c r="N1129">
        <v>-1.425762E-2</v>
      </c>
      <c r="O1129">
        <v>-3.9828099999999998E-2</v>
      </c>
      <c r="P1129">
        <v>0.94739470000000003</v>
      </c>
      <c r="Q1129">
        <v>0.1894469</v>
      </c>
      <c r="R1129">
        <v>-0.25797920000000002</v>
      </c>
      <c r="S1129">
        <v>3.0286710000000001</v>
      </c>
      <c r="T1129">
        <v>-0.19175729999999999</v>
      </c>
      <c r="U1129">
        <v>-0.64733890000000005</v>
      </c>
      <c r="V1129">
        <v>0.2213426</v>
      </c>
      <c r="W1129">
        <v>0.20164779999999999</v>
      </c>
      <c r="X1129">
        <v>0.95412030000000003</v>
      </c>
      <c r="Y1129">
        <v>0.16954340000000001</v>
      </c>
      <c r="Z1129">
        <v>-4.5996409999999998E-3</v>
      </c>
      <c r="AA1129">
        <v>0.98551200000000005</v>
      </c>
      <c r="AB1129">
        <v>33</v>
      </c>
      <c r="AC1129">
        <v>17.490200000000002</v>
      </c>
      <c r="AD1129">
        <v>-1.1188083525700001</v>
      </c>
      <c r="AE1129">
        <v>-3.7685000000000102</v>
      </c>
      <c r="AF1129">
        <v>3.0568836315517398</v>
      </c>
      <c r="AG1129">
        <v>-1.1188083525700001</v>
      </c>
      <c r="AH1129">
        <v>17.5577701995865</v>
      </c>
      <c r="AI1129">
        <v>93.592154303661701</v>
      </c>
      <c r="AJ1129">
        <v>80.123555836026696</v>
      </c>
      <c r="AK1129">
        <v>17.856975221131801</v>
      </c>
      <c r="AL1129">
        <v>78.366665126701704</v>
      </c>
      <c r="AM1129">
        <v>76.939207350592795</v>
      </c>
      <c r="AN1129">
        <v>0.99999996434584404</v>
      </c>
    </row>
    <row r="1130" spans="1:40" x14ac:dyDescent="0.25">
      <c r="A1130" t="str">
        <f>"20190303162801640"</f>
        <v>20190303162801640</v>
      </c>
      <c r="B1130" t="str">
        <f>"1551601681632193"</f>
        <v>1551601681632193</v>
      </c>
      <c r="C1130" t="s">
        <v>40</v>
      </c>
      <c r="D1130">
        <v>5.372293</v>
      </c>
      <c r="E1130">
        <v>0.4833422</v>
      </c>
      <c r="F1130" t="s">
        <v>46</v>
      </c>
      <c r="G1130">
        <v>-208.1311</v>
      </c>
      <c r="H1130" s="1">
        <v>-5.3763810000000004E-6</v>
      </c>
      <c r="I1130">
        <v>365.02640000000002</v>
      </c>
      <c r="J1130">
        <v>-225.16739999999999</v>
      </c>
      <c r="K1130">
        <v>1.1186640000000001</v>
      </c>
      <c r="L1130">
        <v>368.8109</v>
      </c>
      <c r="M1130">
        <v>0.99894079999999996</v>
      </c>
      <c r="N1130">
        <v>-1.425419E-2</v>
      </c>
      <c r="O1130">
        <v>-4.375122E-2</v>
      </c>
      <c r="P1130">
        <v>0.9455365</v>
      </c>
      <c r="Q1130">
        <v>0.1860282</v>
      </c>
      <c r="R1130">
        <v>-0.26712279999999999</v>
      </c>
      <c r="S1130">
        <v>3.0256500000000002</v>
      </c>
      <c r="T1130">
        <v>-0.19414780000000001</v>
      </c>
      <c r="U1130">
        <v>-0.66018679999999996</v>
      </c>
      <c r="V1130">
        <v>0.2268355</v>
      </c>
      <c r="W1130">
        <v>0.1981156</v>
      </c>
      <c r="X1130">
        <v>0.95357009999999998</v>
      </c>
      <c r="Y1130">
        <v>0.16986889999999999</v>
      </c>
      <c r="Z1130">
        <v>-4.4563349999999996E-3</v>
      </c>
      <c r="AA1130">
        <v>0.98545660000000002</v>
      </c>
      <c r="AB1130">
        <v>33</v>
      </c>
      <c r="AC1130">
        <v>17.036299999999901</v>
      </c>
      <c r="AD1130">
        <v>-1.1186693763809901</v>
      </c>
      <c r="AE1130">
        <v>-3.7844999999999702</v>
      </c>
      <c r="AF1130">
        <v>3.02301931424596</v>
      </c>
      <c r="AG1130">
        <v>-1.1186693763809901</v>
      </c>
      <c r="AH1130">
        <v>17.115250857426101</v>
      </c>
      <c r="AI1130">
        <v>93.682744549768401</v>
      </c>
      <c r="AJ1130">
        <v>79.983316689431604</v>
      </c>
      <c r="AK1130">
        <v>17.4161384600772</v>
      </c>
      <c r="AL1130">
        <v>78.57321437121</v>
      </c>
      <c r="AM1130">
        <v>76.619159535509695</v>
      </c>
      <c r="AN1130">
        <v>1.0000000353188001</v>
      </c>
    </row>
    <row r="1131" spans="1:40" x14ac:dyDescent="0.25">
      <c r="A1131" t="str">
        <f>"20190303162801661"</f>
        <v>20190303162801661</v>
      </c>
      <c r="B1131" t="str">
        <f>"1551601681652689"</f>
        <v>1551601681652689</v>
      </c>
      <c r="C1131" t="s">
        <v>40</v>
      </c>
      <c r="D1131">
        <v>5.219411</v>
      </c>
      <c r="E1131">
        <v>0.49997959999999902</v>
      </c>
      <c r="F1131" t="s">
        <v>46</v>
      </c>
      <c r="G1131">
        <v>-208.66499999999999</v>
      </c>
      <c r="H1131" s="1">
        <v>-5.5523469999999996E-6</v>
      </c>
      <c r="I1131">
        <v>365.04390000000001</v>
      </c>
      <c r="J1131">
        <v>-224.84620000000001</v>
      </c>
      <c r="K1131">
        <v>1.118573</v>
      </c>
      <c r="L1131">
        <v>368.79360000000003</v>
      </c>
      <c r="M1131">
        <v>0.99879410000000002</v>
      </c>
      <c r="N1131">
        <v>-1.4251379999999999E-2</v>
      </c>
      <c r="O1131">
        <v>-4.6983049999999998E-2</v>
      </c>
      <c r="P1131">
        <v>0.94389559999999995</v>
      </c>
      <c r="Q1131">
        <v>0.1843109</v>
      </c>
      <c r="R1131">
        <v>-0.27402759999999998</v>
      </c>
      <c r="S1131">
        <v>3.0184169999999999</v>
      </c>
      <c r="T1131">
        <v>-0.20461370000000001</v>
      </c>
      <c r="U1131">
        <v>-0.68899540000000004</v>
      </c>
      <c r="V1131">
        <v>0.2307418</v>
      </c>
      <c r="W1131">
        <v>0.1963154</v>
      </c>
      <c r="X1131">
        <v>0.95300499999999999</v>
      </c>
      <c r="Y1131">
        <v>0.17608070000000001</v>
      </c>
      <c r="Z1131">
        <v>-4.6838239999999996E-3</v>
      </c>
      <c r="AA1131">
        <v>0.98436460000000003</v>
      </c>
      <c r="AB1131">
        <v>33</v>
      </c>
      <c r="AC1131">
        <v>16.1812</v>
      </c>
      <c r="AD1131">
        <v>-1.118578552347</v>
      </c>
      <c r="AE1131">
        <v>-3.74970000000001</v>
      </c>
      <c r="AF1131">
        <v>2.9717615556141599</v>
      </c>
      <c r="AG1131">
        <v>-1.118578552347</v>
      </c>
      <c r="AH1131">
        <v>16.265749351754302</v>
      </c>
      <c r="AI1131">
        <v>93.870115545712494</v>
      </c>
      <c r="AJ1131">
        <v>79.646222268647605</v>
      </c>
      <c r="AK1131">
        <v>16.5727845184595</v>
      </c>
      <c r="AL1131">
        <v>78.678424407472804</v>
      </c>
      <c r="AM1131">
        <v>76.389457471665594</v>
      </c>
      <c r="AN1131">
        <v>1.0000000222846901</v>
      </c>
    </row>
    <row r="1132" spans="1:40" x14ac:dyDescent="0.25">
      <c r="A1132" t="str">
        <f>"20190303162801677"</f>
        <v>20190303162801677</v>
      </c>
      <c r="B1132" t="str">
        <f>"1551601681672209"</f>
        <v>1551601681672209</v>
      </c>
      <c r="C1132" t="s">
        <v>40</v>
      </c>
      <c r="D1132">
        <v>5.2488780000000004</v>
      </c>
      <c r="E1132">
        <v>0.51428960000000001</v>
      </c>
      <c r="F1132" t="s">
        <v>46</v>
      </c>
      <c r="G1132">
        <v>-205.80269999999999</v>
      </c>
      <c r="H1132" s="1">
        <v>-4.7019949999999997E-6</v>
      </c>
      <c r="I1132">
        <v>363.42340000000002</v>
      </c>
      <c r="J1132">
        <v>-224.61920000000001</v>
      </c>
      <c r="K1132">
        <v>1.118519</v>
      </c>
      <c r="L1132">
        <v>368.78070000000002</v>
      </c>
      <c r="M1132">
        <v>0.99868210000000002</v>
      </c>
      <c r="N1132">
        <v>-1.4249710000000001E-2</v>
      </c>
      <c r="O1132">
        <v>-4.930648E-2</v>
      </c>
      <c r="P1132">
        <v>0.94284089999999998</v>
      </c>
      <c r="Q1132">
        <v>0.18365119999999999</v>
      </c>
      <c r="R1132">
        <v>-0.27807110000000002</v>
      </c>
      <c r="S1132">
        <v>2.969284</v>
      </c>
      <c r="T1132">
        <v>-0.1744107</v>
      </c>
      <c r="U1132">
        <v>-0.83734129999999996</v>
      </c>
      <c r="V1132">
        <v>0.23262830000000001</v>
      </c>
      <c r="W1132">
        <v>0.19560749999999999</v>
      </c>
      <c r="X1132">
        <v>0.95269190000000004</v>
      </c>
      <c r="Y1132">
        <v>0.22322230000000001</v>
      </c>
      <c r="Z1132">
        <v>-5.9051779999999996E-3</v>
      </c>
      <c r="AA1132">
        <v>0.97474970000000005</v>
      </c>
      <c r="AB1132">
        <v>33</v>
      </c>
      <c r="AC1132">
        <v>18.816500000000001</v>
      </c>
      <c r="AD1132">
        <v>-1.1185237019949901</v>
      </c>
      <c r="AE1132">
        <v>-5.3573000000000004</v>
      </c>
      <c r="AF1132">
        <v>4.4085033840222696</v>
      </c>
      <c r="AG1132">
        <v>-1.1185237019949901</v>
      </c>
      <c r="AH1132">
        <v>18.9956957668456</v>
      </c>
      <c r="AI1132">
        <v>93.282807488437996</v>
      </c>
      <c r="AJ1132">
        <v>76.934150070387801</v>
      </c>
      <c r="AK1132">
        <v>19.532599802008299</v>
      </c>
      <c r="AL1132">
        <v>78.719786206985603</v>
      </c>
      <c r="AM1132">
        <v>76.278030274346406</v>
      </c>
      <c r="AN1132">
        <v>1.0000000381713701</v>
      </c>
    </row>
    <row r="1133" spans="1:40" x14ac:dyDescent="0.25">
      <c r="A1133" t="str">
        <f>"20190303162801691"</f>
        <v>20190303162801691</v>
      </c>
      <c r="B1133" t="str">
        <f>"1551601681682946"</f>
        <v>1551601681682946</v>
      </c>
      <c r="C1133" t="s">
        <v>40</v>
      </c>
      <c r="D1133">
        <v>5.2395519999999998</v>
      </c>
      <c r="E1133">
        <v>0.51867540000000001</v>
      </c>
      <c r="F1133" t="s">
        <v>46</v>
      </c>
      <c r="G1133">
        <v>-206.0386</v>
      </c>
      <c r="H1133" s="1">
        <v>-4.9718810000000003E-6</v>
      </c>
      <c r="I1133">
        <v>362.70170000000002</v>
      </c>
      <c r="J1133">
        <v>-224.39850000000001</v>
      </c>
      <c r="K1133">
        <v>1.1184620000000001</v>
      </c>
      <c r="L1133">
        <v>368.76760000000002</v>
      </c>
      <c r="M1133">
        <v>0.99856670000000003</v>
      </c>
      <c r="N1133">
        <v>-1.4248169999999999E-2</v>
      </c>
      <c r="O1133">
        <v>-5.1589169999999997E-2</v>
      </c>
      <c r="P1133">
        <v>0.94160940000000004</v>
      </c>
      <c r="Q1133">
        <v>0.18328649999999999</v>
      </c>
      <c r="R1133">
        <v>-0.28244940000000002</v>
      </c>
      <c r="S1133">
        <v>2.933243</v>
      </c>
      <c r="T1133">
        <v>-0.1765766</v>
      </c>
      <c r="U1133">
        <v>-0.95965579999999995</v>
      </c>
      <c r="V1133">
        <v>0.23489969999999999</v>
      </c>
      <c r="W1133">
        <v>0.1951917</v>
      </c>
      <c r="X1133">
        <v>0.9522197</v>
      </c>
      <c r="Y1133">
        <v>0.26101000000000002</v>
      </c>
      <c r="Z1133">
        <v>-7.2596650000000002E-3</v>
      </c>
      <c r="AA1133">
        <v>0.96530879999999997</v>
      </c>
      <c r="AB1133">
        <v>33</v>
      </c>
      <c r="AC1133">
        <v>18.3599</v>
      </c>
      <c r="AD1133">
        <v>-1.1184669718809901</v>
      </c>
      <c r="AE1133">
        <v>-6.0658999999999903</v>
      </c>
      <c r="AF1133">
        <v>5.0935103821883203</v>
      </c>
      <c r="AG1133">
        <v>-1.1184669718809901</v>
      </c>
      <c r="AH1133">
        <v>18.586225736524199</v>
      </c>
      <c r="AI1133">
        <v>93.321565587895194</v>
      </c>
      <c r="AJ1133">
        <v>74.674493493167006</v>
      </c>
      <c r="AK1133">
        <v>19.303953053964999</v>
      </c>
      <c r="AL1133">
        <v>78.744077760189995</v>
      </c>
      <c r="AM1133">
        <v>76.142579866653506</v>
      </c>
      <c r="AN1133">
        <v>1.00000001293853</v>
      </c>
    </row>
    <row r="1134" spans="1:40" x14ac:dyDescent="0.25">
      <c r="A1134" t="str">
        <f>"20190303162801709"</f>
        <v>20190303162801709</v>
      </c>
      <c r="B1134" t="str">
        <f>"1551601681703440"</f>
        <v>1551601681703440</v>
      </c>
      <c r="C1134" t="s">
        <v>40</v>
      </c>
      <c r="D1134">
        <v>5.2145859999999997</v>
      </c>
      <c r="E1134">
        <v>0.52223660000000005</v>
      </c>
      <c r="F1134" t="s">
        <v>46</v>
      </c>
      <c r="G1134">
        <v>-207.59880000000001</v>
      </c>
      <c r="H1134" s="1">
        <v>-5.5181039999999998E-6</v>
      </c>
      <c r="I1134">
        <v>362.97829999999999</v>
      </c>
      <c r="J1134">
        <v>-224.13579999999999</v>
      </c>
      <c r="K1134">
        <v>1.1184050000000001</v>
      </c>
      <c r="L1134">
        <v>368.75139999999999</v>
      </c>
      <c r="M1134">
        <v>0.99842089999999994</v>
      </c>
      <c r="N1134">
        <v>-1.424653E-2</v>
      </c>
      <c r="O1134">
        <v>-5.4338350000000001E-2</v>
      </c>
      <c r="P1134">
        <v>0.94033009999999995</v>
      </c>
      <c r="Q1134">
        <v>0.18293409999999999</v>
      </c>
      <c r="R1134">
        <v>-0.28690529999999997</v>
      </c>
      <c r="S1134">
        <v>2.9218440000000001</v>
      </c>
      <c r="T1134">
        <v>-0.19452659999999999</v>
      </c>
      <c r="U1134">
        <v>-1.0068969999999999</v>
      </c>
      <c r="V1134">
        <v>0.23681089999999999</v>
      </c>
      <c r="W1134">
        <v>0.19478719999999999</v>
      </c>
      <c r="X1134">
        <v>0.95182909999999998</v>
      </c>
      <c r="Y1134">
        <v>0.27334730000000002</v>
      </c>
      <c r="Z1134">
        <v>-8.0898830000000008E-3</v>
      </c>
      <c r="AA1134">
        <v>0.9618814</v>
      </c>
      <c r="AB1134">
        <v>33</v>
      </c>
      <c r="AC1134">
        <v>16.5369999999999</v>
      </c>
      <c r="AD1134">
        <v>-1.1184105181039901</v>
      </c>
      <c r="AE1134">
        <v>-5.7731000000000003</v>
      </c>
      <c r="AF1134">
        <v>4.8461265560360296</v>
      </c>
      <c r="AG1134">
        <v>-1.1184105181039901</v>
      </c>
      <c r="AH1134">
        <v>16.757972500166101</v>
      </c>
      <c r="AI1134">
        <v>93.668330977990806</v>
      </c>
      <c r="AJ1134">
        <v>73.871011407137402</v>
      </c>
      <c r="AK1134">
        <v>17.480429828824199</v>
      </c>
      <c r="AL1134">
        <v>78.767707838989196</v>
      </c>
      <c r="AM1134">
        <v>76.0287222625944</v>
      </c>
      <c r="AN1134">
        <v>1.00000004562472</v>
      </c>
    </row>
    <row r="1135" spans="1:40" x14ac:dyDescent="0.25">
      <c r="A1135" t="str">
        <f>"20190303162801726"</f>
        <v>20190303162801726</v>
      </c>
      <c r="B1135" t="str">
        <f>"1551601681722960"</f>
        <v>1551601681722960</v>
      </c>
      <c r="C1135" t="s">
        <v>40</v>
      </c>
      <c r="D1135">
        <v>5.2271839999999896</v>
      </c>
      <c r="E1135">
        <v>0.52449140000000005</v>
      </c>
      <c r="F1135" t="s">
        <v>46</v>
      </c>
      <c r="G1135">
        <v>-209.06569999999999</v>
      </c>
      <c r="H1135" s="1">
        <v>-5.9548659999999998E-6</v>
      </c>
      <c r="I1135">
        <v>363.32569999999998</v>
      </c>
      <c r="J1135">
        <v>-223.87309999999999</v>
      </c>
      <c r="K1135">
        <v>1.1183609999999999</v>
      </c>
      <c r="L1135">
        <v>368.73439999999999</v>
      </c>
      <c r="M1135">
        <v>0.99826570000000003</v>
      </c>
      <c r="N1135">
        <v>-1.424518E-2</v>
      </c>
      <c r="O1135">
        <v>-5.7121690000000003E-2</v>
      </c>
      <c r="P1135">
        <v>0.93868269999999998</v>
      </c>
      <c r="Q1135">
        <v>0.1824585</v>
      </c>
      <c r="R1135">
        <v>-0.29254770000000002</v>
      </c>
      <c r="S1135">
        <v>2.9124759999999998</v>
      </c>
      <c r="T1135">
        <v>-0.21614649999999999</v>
      </c>
      <c r="U1135">
        <v>-1.048584</v>
      </c>
      <c r="V1135">
        <v>0.23989640000000001</v>
      </c>
      <c r="W1135">
        <v>0.19424930000000001</v>
      </c>
      <c r="X1135">
        <v>0.95116610000000001</v>
      </c>
      <c r="Y1135">
        <v>0.28369919999999998</v>
      </c>
      <c r="Z1135">
        <v>-8.9765820000000003E-3</v>
      </c>
      <c r="AA1135">
        <v>0.95887129999999998</v>
      </c>
      <c r="AB1135">
        <v>33</v>
      </c>
      <c r="AC1135">
        <v>14.807399999999999</v>
      </c>
      <c r="AD1135">
        <v>-1.118366954866</v>
      </c>
      <c r="AE1135">
        <v>-5.4086999999999996</v>
      </c>
      <c r="AF1135">
        <v>4.5311526655204704</v>
      </c>
      <c r="AG1135">
        <v>-1.118366954866</v>
      </c>
      <c r="AH1135">
        <v>15.0166259661894</v>
      </c>
      <c r="AI1135">
        <v>94.078291344838505</v>
      </c>
      <c r="AJ1135">
        <v>73.209210928682197</v>
      </c>
      <c r="AK1135">
        <v>15.7251755008465</v>
      </c>
      <c r="AL1135">
        <v>78.799126998929395</v>
      </c>
      <c r="AM1135">
        <v>75.844484961524401</v>
      </c>
      <c r="AN1135">
        <v>1.0000000115363299</v>
      </c>
    </row>
    <row r="1136" spans="1:40" x14ac:dyDescent="0.25">
      <c r="A1136" t="str">
        <f>"20190303162801742"</f>
        <v>20190303162801742</v>
      </c>
      <c r="B1136" t="str">
        <f>"1551601681732721"</f>
        <v>1551601681732721</v>
      </c>
      <c r="C1136" t="s">
        <v>40</v>
      </c>
      <c r="D1136">
        <v>5.2256090000000004</v>
      </c>
      <c r="E1136">
        <v>0.5251093</v>
      </c>
      <c r="F1136" t="s">
        <v>46</v>
      </c>
      <c r="G1136">
        <v>-209.5932</v>
      </c>
      <c r="H1136" s="1">
        <v>-6.1188559999999996E-6</v>
      </c>
      <c r="I1136">
        <v>363.40620000000001</v>
      </c>
      <c r="J1136">
        <v>-223.6403</v>
      </c>
      <c r="K1136">
        <v>1.11832</v>
      </c>
      <c r="L1136">
        <v>368.71870000000001</v>
      </c>
      <c r="M1136">
        <v>0.9981198</v>
      </c>
      <c r="N1136">
        <v>-1.424417E-2</v>
      </c>
      <c r="O1136">
        <v>-5.9616830000000003E-2</v>
      </c>
      <c r="P1136">
        <v>0.93714090000000005</v>
      </c>
      <c r="Q1136">
        <v>0.18285650000000001</v>
      </c>
      <c r="R1136">
        <v>-0.29720540000000001</v>
      </c>
      <c r="S1136">
        <v>2.9026179999999999</v>
      </c>
      <c r="T1136">
        <v>-0.22732559999999999</v>
      </c>
      <c r="U1136">
        <v>-1.0830379999999999</v>
      </c>
      <c r="V1136">
        <v>0.24227580000000001</v>
      </c>
      <c r="W1136">
        <v>0.19459399999999999</v>
      </c>
      <c r="X1136">
        <v>0.95049229999999996</v>
      </c>
      <c r="Y1136">
        <v>0.29226560000000001</v>
      </c>
      <c r="Z1136">
        <v>-9.5361850000000008E-3</v>
      </c>
      <c r="AA1136">
        <v>0.95628959999999996</v>
      </c>
      <c r="AB1136">
        <v>33</v>
      </c>
      <c r="AC1136">
        <v>14.0471</v>
      </c>
      <c r="AD1136">
        <v>-1.1183261188560001</v>
      </c>
      <c r="AE1136">
        <v>-5.3125</v>
      </c>
      <c r="AF1136">
        <v>4.4408954311555497</v>
      </c>
      <c r="AG1136">
        <v>-1.1183261188560001</v>
      </c>
      <c r="AH1136">
        <v>14.259784987795401</v>
      </c>
      <c r="AI1136">
        <v>94.282206634405</v>
      </c>
      <c r="AJ1136">
        <v>72.701952248594196</v>
      </c>
      <c r="AK1136">
        <v>14.9771049751522</v>
      </c>
      <c r="AL1136">
        <v>78.778992818381994</v>
      </c>
      <c r="AM1136">
        <v>75.700093352439197</v>
      </c>
      <c r="AN1136">
        <v>1.0000000002304601</v>
      </c>
    </row>
    <row r="1137" spans="1:40" x14ac:dyDescent="0.25">
      <c r="A1137" t="str">
        <f>"20190303162801759"</f>
        <v>20190303162801759</v>
      </c>
      <c r="B1137" t="str">
        <f>"1551601681752241"</f>
        <v>1551601681752241</v>
      </c>
      <c r="C1137" t="s">
        <v>40</v>
      </c>
      <c r="D1137">
        <v>5.2315769999999997</v>
      </c>
      <c r="E1137">
        <v>0.52605679999999999</v>
      </c>
      <c r="F1137" t="s">
        <v>46</v>
      </c>
      <c r="G1137">
        <v>-209.35589999999999</v>
      </c>
      <c r="H1137" s="1">
        <v>-6.0586979999999996E-6</v>
      </c>
      <c r="I1137">
        <v>363.28289999999998</v>
      </c>
      <c r="J1137">
        <v>-223.40710000000001</v>
      </c>
      <c r="K1137">
        <v>1.118279</v>
      </c>
      <c r="L1137">
        <v>368.70229999999998</v>
      </c>
      <c r="M1137">
        <v>0.99796490000000004</v>
      </c>
      <c r="N1137">
        <v>-1.424011E-2</v>
      </c>
      <c r="O1137">
        <v>-6.2153779999999999E-2</v>
      </c>
      <c r="P1137">
        <v>0.93547760000000002</v>
      </c>
      <c r="Q1137">
        <v>0.18319540000000001</v>
      </c>
      <c r="R1137">
        <v>-0.30219380000000001</v>
      </c>
      <c r="S1137">
        <v>2.8959809999999999</v>
      </c>
      <c r="T1137">
        <v>-0.2267275</v>
      </c>
      <c r="U1137">
        <v>-1.1020509999999999</v>
      </c>
      <c r="V1137">
        <v>0.24495690000000001</v>
      </c>
      <c r="W1137">
        <v>0.1948732</v>
      </c>
      <c r="X1137">
        <v>0.94974760000000003</v>
      </c>
      <c r="Y1137">
        <v>0.29604200000000003</v>
      </c>
      <c r="Z1137">
        <v>-9.5418800000000008E-3</v>
      </c>
      <c r="AA1137">
        <v>0.95512730000000001</v>
      </c>
      <c r="AB1137">
        <v>33</v>
      </c>
      <c r="AC1137">
        <v>14.0512</v>
      </c>
      <c r="AD1137">
        <v>-1.118285058698</v>
      </c>
      <c r="AE1137">
        <v>-5.4193999999999898</v>
      </c>
      <c r="AF1137">
        <v>4.5106254398400498</v>
      </c>
      <c r="AG1137">
        <v>-1.118285058698</v>
      </c>
      <c r="AH1137">
        <v>14.2821492767302</v>
      </c>
      <c r="AI1137">
        <v>94.270027943967406</v>
      </c>
      <c r="AJ1137">
        <v>72.472706040985003</v>
      </c>
      <c r="AK1137">
        <v>15.0191907669436</v>
      </c>
      <c r="AL1137">
        <v>78.762683332516104</v>
      </c>
      <c r="AM1137">
        <v>75.537582515491806</v>
      </c>
      <c r="AN1137">
        <v>0.99999997532080398</v>
      </c>
    </row>
    <row r="1138" spans="1:40" x14ac:dyDescent="0.25">
      <c r="A1138" t="str">
        <f>"20190303162801775"</f>
        <v>20190303162801775</v>
      </c>
      <c r="B1138" t="str">
        <f>"1551601681762978"</f>
        <v>1551601681762978</v>
      </c>
      <c r="C1138" t="s">
        <v>40</v>
      </c>
      <c r="D1138">
        <v>5.2396370000000001</v>
      </c>
      <c r="E1138">
        <v>0.52628750000000002</v>
      </c>
      <c r="F1138" t="s">
        <v>46</v>
      </c>
      <c r="G1138">
        <v>-209.30959999999999</v>
      </c>
      <c r="H1138" s="1">
        <v>-6.0542140000000004E-6</v>
      </c>
      <c r="I1138">
        <v>363.2124</v>
      </c>
      <c r="J1138">
        <v>-223.155</v>
      </c>
      <c r="K1138">
        <v>1.118231</v>
      </c>
      <c r="L1138">
        <v>368.68380000000002</v>
      </c>
      <c r="M1138">
        <v>0.99778770000000006</v>
      </c>
      <c r="N1138">
        <v>-1.423376E-2</v>
      </c>
      <c r="O1138">
        <v>-6.4940769999999995E-2</v>
      </c>
      <c r="P1138">
        <v>0.93376950000000003</v>
      </c>
      <c r="Q1138">
        <v>0.1841042</v>
      </c>
      <c r="R1138">
        <v>-0.30688860000000001</v>
      </c>
      <c r="S1138">
        <v>2.8884120000000002</v>
      </c>
      <c r="T1138">
        <v>-0.22912450000000001</v>
      </c>
      <c r="U1138">
        <v>-1.124817</v>
      </c>
      <c r="V1138">
        <v>0.24712239999999999</v>
      </c>
      <c r="W1138">
        <v>0.1957188</v>
      </c>
      <c r="X1138">
        <v>0.94901250000000004</v>
      </c>
      <c r="Y1138">
        <v>0.30073060000000001</v>
      </c>
      <c r="Z1138">
        <v>-9.6592469999999993E-3</v>
      </c>
      <c r="AA1138">
        <v>0.95366019999999896</v>
      </c>
      <c r="AB1138">
        <v>33</v>
      </c>
      <c r="AC1138">
        <v>13.8454</v>
      </c>
      <c r="AD1138">
        <v>-1.1182370542140001</v>
      </c>
      <c r="AE1138">
        <v>-5.4714000000000098</v>
      </c>
      <c r="AF1138">
        <v>4.5350393475362001</v>
      </c>
      <c r="AG1138">
        <v>-1.1182370542140001</v>
      </c>
      <c r="AH1138">
        <v>14.0920132085734</v>
      </c>
      <c r="AI1138">
        <v>94.319767689051901</v>
      </c>
      <c r="AJ1138">
        <v>72.160979165138798</v>
      </c>
      <c r="AK1138">
        <v>14.845937904481699</v>
      </c>
      <c r="AL1138">
        <v>78.713283371770501</v>
      </c>
      <c r="AM1138">
        <v>75.4043444862033</v>
      </c>
      <c r="AN1138">
        <v>1.0000000272057199</v>
      </c>
    </row>
    <row r="1139" spans="1:40" x14ac:dyDescent="0.25">
      <c r="A1139" t="str">
        <f>"20190303162801819"</f>
        <v>20190303162801819</v>
      </c>
      <c r="B1139" t="str">
        <f>"1551601681812753"</f>
        <v>1551601681812753</v>
      </c>
      <c r="C1139" t="s">
        <v>40</v>
      </c>
      <c r="D1139">
        <v>5.2719820000000004</v>
      </c>
      <c r="E1139">
        <v>0.52665530000000005</v>
      </c>
      <c r="F1139" t="s">
        <v>46</v>
      </c>
      <c r="G1139">
        <v>-208.9342</v>
      </c>
      <c r="H1139" s="1">
        <v>-5.9524279999999999E-6</v>
      </c>
      <c r="I1139">
        <v>363.05930000000001</v>
      </c>
      <c r="J1139">
        <v>-222.50819999999999</v>
      </c>
      <c r="K1139">
        <v>1.118082</v>
      </c>
      <c r="L1139">
        <v>368.63310000000001</v>
      </c>
      <c r="M1139">
        <v>0.99727969999999999</v>
      </c>
      <c r="N1139">
        <v>-1.421646E-2</v>
      </c>
      <c r="O1139">
        <v>-7.2327909999999995E-2</v>
      </c>
      <c r="P1139">
        <v>0.93025239999999998</v>
      </c>
      <c r="Q1139">
        <v>0.1852511</v>
      </c>
      <c r="R1139">
        <v>-0.31672209999999901</v>
      </c>
      <c r="S1139">
        <v>2.8827669999999999</v>
      </c>
      <c r="T1139">
        <v>-0.22668279999999999</v>
      </c>
      <c r="U1139">
        <v>-1.1401669999999999</v>
      </c>
      <c r="V1139">
        <v>0.25021019999999999</v>
      </c>
      <c r="W1139">
        <v>0.19672029999999999</v>
      </c>
      <c r="X1139">
        <v>0.94799580000000006</v>
      </c>
      <c r="Y1139">
        <v>0.29873499999999997</v>
      </c>
      <c r="Z1139">
        <v>-9.0504580000000008E-3</v>
      </c>
      <c r="AA1139">
        <v>0.95429319999999895</v>
      </c>
      <c r="AB1139">
        <v>33</v>
      </c>
      <c r="AC1139">
        <v>13.5739999999999</v>
      </c>
      <c r="AD1139">
        <v>-1.1180879524280001</v>
      </c>
      <c r="AE1139">
        <v>-5.5738000000000003</v>
      </c>
      <c r="AF1139">
        <v>4.5508987310551596</v>
      </c>
      <c r="AG1139">
        <v>-1.1180879524280001</v>
      </c>
      <c r="AH1139">
        <v>13.8611474472317</v>
      </c>
      <c r="AI1139">
        <v>94.382498036978305</v>
      </c>
      <c r="AJ1139">
        <v>71.823931992079295</v>
      </c>
      <c r="AK1139">
        <v>14.6318901199942</v>
      </c>
      <c r="AL1139">
        <v>78.654764048041102</v>
      </c>
      <c r="AM1139">
        <v>75.2147515512371</v>
      </c>
      <c r="AN1139">
        <v>1.00000002871688</v>
      </c>
    </row>
    <row r="1140" spans="1:40" x14ac:dyDescent="0.25">
      <c r="A1140" t="str">
        <f>"20190303162801841"</f>
        <v>20190303162801841</v>
      </c>
      <c r="B1140" t="str">
        <f>"1551601681832273"</f>
        <v>1551601681832273</v>
      </c>
      <c r="C1140" t="s">
        <v>40</v>
      </c>
      <c r="D1140">
        <v>5.2902570000000004</v>
      </c>
      <c r="E1140">
        <v>0.52658739999999904</v>
      </c>
      <c r="F1140" t="s">
        <v>46</v>
      </c>
      <c r="G1140">
        <v>-208.45820000000001</v>
      </c>
      <c r="H1140" s="1">
        <v>-5.8187179999999999E-6</v>
      </c>
      <c r="I1140">
        <v>362.8954</v>
      </c>
      <c r="J1140">
        <v>-222.18379999999999</v>
      </c>
      <c r="K1140">
        <v>1.117998</v>
      </c>
      <c r="L1140">
        <v>368.60570000000001</v>
      </c>
      <c r="M1140">
        <v>0.99699340000000003</v>
      </c>
      <c r="N1140">
        <v>-1.420914E-2</v>
      </c>
      <c r="O1140">
        <v>-7.6174240000000004E-2</v>
      </c>
      <c r="P1140">
        <v>0.92867250000000001</v>
      </c>
      <c r="Q1140">
        <v>0.18559220000000001</v>
      </c>
      <c r="R1140">
        <v>-0.32112790000000002</v>
      </c>
      <c r="S1140">
        <v>2.871216</v>
      </c>
      <c r="T1140">
        <v>-0.2284892</v>
      </c>
      <c r="U1140">
        <v>-1.1725460000000001</v>
      </c>
      <c r="V1140">
        <v>0.2510964</v>
      </c>
      <c r="W1140">
        <v>0.1969938</v>
      </c>
      <c r="X1140">
        <v>0.94770460000000001</v>
      </c>
      <c r="Y1140">
        <v>0.3055909</v>
      </c>
      <c r="Z1140">
        <v>-9.1829609999999999E-3</v>
      </c>
      <c r="AA1140">
        <v>0.95211860000000004</v>
      </c>
      <c r="AB1140">
        <v>33</v>
      </c>
      <c r="AC1140">
        <v>13.725599999999901</v>
      </c>
      <c r="AD1140">
        <v>-1.1180038187179999</v>
      </c>
      <c r="AE1140">
        <v>-5.7103000000000099</v>
      </c>
      <c r="AF1140">
        <v>4.6219221898812801</v>
      </c>
      <c r="AG1140">
        <v>-1.1180038187179999</v>
      </c>
      <c r="AH1140">
        <v>14.0413190615466</v>
      </c>
      <c r="AI1140">
        <v>94.325073752072399</v>
      </c>
      <c r="AJ1140">
        <v>71.780222433190303</v>
      </c>
      <c r="AK1140">
        <v>14.8246665478902</v>
      </c>
      <c r="AL1140">
        <v>78.638780383996206</v>
      </c>
      <c r="AM1140">
        <v>75.160333060261706</v>
      </c>
      <c r="AN1140">
        <v>0.99999998409627899</v>
      </c>
    </row>
    <row r="1141" spans="1:40" x14ac:dyDescent="0.25">
      <c r="A1141" t="str">
        <f>"20190303162801857"</f>
        <v>20190303162801857</v>
      </c>
      <c r="B1141" t="str">
        <f>"1551601681843985"</f>
        <v>1551601681843985</v>
      </c>
      <c r="C1141" t="s">
        <v>40</v>
      </c>
      <c r="D1141">
        <v>5.3132799999999998</v>
      </c>
      <c r="E1141">
        <v>0.52654919999999905</v>
      </c>
      <c r="F1141" t="s">
        <v>46</v>
      </c>
      <c r="G1141">
        <v>-208.18299999999999</v>
      </c>
      <c r="H1141" s="1">
        <v>-5.7389960000000003E-6</v>
      </c>
      <c r="I1141">
        <v>362.8159</v>
      </c>
      <c r="J1141">
        <v>-221.9554</v>
      </c>
      <c r="K1141">
        <v>1.117942</v>
      </c>
      <c r="L1141">
        <v>368.58550000000002</v>
      </c>
      <c r="M1141">
        <v>0.99677760000000004</v>
      </c>
      <c r="N1141">
        <v>-1.420458E-2</v>
      </c>
      <c r="O1141">
        <v>-7.894756E-2</v>
      </c>
      <c r="P1141">
        <v>0.92754099999999995</v>
      </c>
      <c r="Q1141">
        <v>0.18584500000000001</v>
      </c>
      <c r="R1141">
        <v>-0.32423669999999999</v>
      </c>
      <c r="S1141">
        <v>2.8663020000000001</v>
      </c>
      <c r="T1141">
        <v>-0.22888220000000001</v>
      </c>
      <c r="U1141">
        <v>-1.185303</v>
      </c>
      <c r="V1141">
        <v>0.25166919999999998</v>
      </c>
      <c r="W1141">
        <v>0.1971995</v>
      </c>
      <c r="X1141">
        <v>0.94750990000000002</v>
      </c>
      <c r="Y1141">
        <v>0.30713449999999998</v>
      </c>
      <c r="Z1141">
        <v>-9.0962349999999994E-3</v>
      </c>
      <c r="AA1141">
        <v>0.95162270000000004</v>
      </c>
      <c r="AB1141">
        <v>33</v>
      </c>
      <c r="AC1141">
        <v>13.772399999999999</v>
      </c>
      <c r="AD1141">
        <v>-1.117947738996</v>
      </c>
      <c r="AE1141">
        <v>-5.76960000000002</v>
      </c>
      <c r="AF1141">
        <v>4.6381824858635099</v>
      </c>
      <c r="AG1141">
        <v>-1.117947738996</v>
      </c>
      <c r="AH1141">
        <v>14.105878053097999</v>
      </c>
      <c r="AI1141">
        <v>94.305588904144003</v>
      </c>
      <c r="AJ1141">
        <v>71.798512667642399</v>
      </c>
      <c r="AK1141">
        <v>14.890881087705001</v>
      </c>
      <c r="AL1141">
        <v>78.626759239481103</v>
      </c>
      <c r="AM1141">
        <v>75.125058918576997</v>
      </c>
      <c r="AN1141">
        <v>1.00000001981344</v>
      </c>
    </row>
    <row r="1142" spans="1:40" x14ac:dyDescent="0.25">
      <c r="A1142" t="str">
        <f>"20190303162801874"</f>
        <v>20190303162801874</v>
      </c>
      <c r="B1142" t="str">
        <f>"1551601681862529"</f>
        <v>1551601681862529</v>
      </c>
      <c r="C1142" t="s">
        <v>40</v>
      </c>
      <c r="D1142">
        <v>5.3139379999999896</v>
      </c>
      <c r="E1142">
        <v>0.52643629999999997</v>
      </c>
      <c r="F1142" t="s">
        <v>46</v>
      </c>
      <c r="G1142">
        <v>-208.0067</v>
      </c>
      <c r="H1142" s="1">
        <v>-5.6872399999999998E-6</v>
      </c>
      <c r="I1142">
        <v>362.76960000000003</v>
      </c>
      <c r="J1142">
        <v>-221.6953</v>
      </c>
      <c r="K1142">
        <v>1.11788</v>
      </c>
      <c r="L1142">
        <v>368.56169999999997</v>
      </c>
      <c r="M1142">
        <v>0.99651840000000003</v>
      </c>
      <c r="N1142">
        <v>-1.4199689999999999E-2</v>
      </c>
      <c r="O1142">
        <v>-8.2155249999999999E-2</v>
      </c>
      <c r="P1142">
        <v>0.92560600000000004</v>
      </c>
      <c r="Q1142">
        <v>0.18726480000000001</v>
      </c>
      <c r="R1142">
        <v>-0.32891589999999998</v>
      </c>
      <c r="S1142">
        <v>2.8630520000000002</v>
      </c>
      <c r="T1142">
        <v>-0.22946549999999999</v>
      </c>
      <c r="U1142">
        <v>-1.193756</v>
      </c>
      <c r="V1142">
        <v>0.253473</v>
      </c>
      <c r="W1142">
        <v>0.1985517</v>
      </c>
      <c r="X1142">
        <v>0.94674630000000004</v>
      </c>
      <c r="Y1142">
        <v>0.30685269999999998</v>
      </c>
      <c r="Z1142">
        <v>-8.900827E-3</v>
      </c>
      <c r="AA1142">
        <v>0.95171539999999999</v>
      </c>
      <c r="AB1142">
        <v>33</v>
      </c>
      <c r="AC1142">
        <v>13.688599999999999</v>
      </c>
      <c r="AD1142">
        <v>-1.11788568723999</v>
      </c>
      <c r="AE1142">
        <v>-5.7920999999999401</v>
      </c>
      <c r="AF1142">
        <v>4.6216699137874997</v>
      </c>
      <c r="AG1142">
        <v>-1.11788568723999</v>
      </c>
      <c r="AH1142">
        <v>14.038805867392</v>
      </c>
      <c r="AI1142">
        <v>94.325337316631405</v>
      </c>
      <c r="AJ1142">
        <v>71.778105222510902</v>
      </c>
      <c r="AK1142">
        <v>14.822198601559201</v>
      </c>
      <c r="AL1142">
        <v>78.547720236176801</v>
      </c>
      <c r="AM1142">
        <v>75.011683540698897</v>
      </c>
      <c r="AN1142">
        <v>0.99999994793278801</v>
      </c>
    </row>
    <row r="1143" spans="1:40" x14ac:dyDescent="0.25">
      <c r="A1143" t="str">
        <f>"20190303162801904"</f>
        <v>20190303162801904</v>
      </c>
      <c r="B1143" t="str">
        <f>"1551601681892784"</f>
        <v>1551601681892784</v>
      </c>
      <c r="C1143" t="s">
        <v>40</v>
      </c>
      <c r="D1143">
        <v>5.3238339999999997</v>
      </c>
      <c r="E1143">
        <v>0.52617349999999996</v>
      </c>
      <c r="F1143" t="s">
        <v>46</v>
      </c>
      <c r="G1143">
        <v>-207.60040000000001</v>
      </c>
      <c r="H1143" s="1">
        <v>-5.5760950000000004E-6</v>
      </c>
      <c r="I1143">
        <v>362.6103</v>
      </c>
      <c r="J1143">
        <v>-221.25409999999999</v>
      </c>
      <c r="K1143">
        <v>1.1177979999999901</v>
      </c>
      <c r="L1143">
        <v>368.51949999999999</v>
      </c>
      <c r="M1143">
        <v>0.99604689999999996</v>
      </c>
      <c r="N1143">
        <v>-1.419167E-2</v>
      </c>
      <c r="O1143">
        <v>-8.7689669999999997E-2</v>
      </c>
      <c r="P1143">
        <v>0.92304200000000003</v>
      </c>
      <c r="Q1143">
        <v>0.18795809999999999</v>
      </c>
      <c r="R1143">
        <v>-0.33565739999999999</v>
      </c>
      <c r="S1143">
        <v>2.858139</v>
      </c>
      <c r="T1143">
        <v>-0.22668350000000001</v>
      </c>
      <c r="U1143">
        <v>-1.2068179999999999</v>
      </c>
      <c r="V1143">
        <v>0.25518210000000002</v>
      </c>
      <c r="W1143">
        <v>0.19916200000000001</v>
      </c>
      <c r="X1143">
        <v>0.94615890000000002</v>
      </c>
      <c r="Y1143">
        <v>0.30587550000000002</v>
      </c>
      <c r="Z1143">
        <v>-8.4537599999999994E-3</v>
      </c>
      <c r="AA1143">
        <v>0.95203400000000005</v>
      </c>
      <c r="AB1143">
        <v>33</v>
      </c>
      <c r="AC1143">
        <v>13.653699999999899</v>
      </c>
      <c r="AD1143">
        <v>-1.11780357609499</v>
      </c>
      <c r="AE1143">
        <v>-5.9091999999999896</v>
      </c>
      <c r="AF1143">
        <v>4.6627022579839696</v>
      </c>
      <c r="AG1143">
        <v>-1.11780357609499</v>
      </c>
      <c r="AH1143">
        <v>14.040064399060499</v>
      </c>
      <c r="AI1143">
        <v>94.320921179048099</v>
      </c>
      <c r="AJ1143">
        <v>71.628684506723403</v>
      </c>
      <c r="AK1143">
        <v>14.8362288170244</v>
      </c>
      <c r="AL1143">
        <v>78.512041050420507</v>
      </c>
      <c r="AM1143">
        <v>74.906275031347505</v>
      </c>
      <c r="AN1143">
        <v>1.0000000352267999</v>
      </c>
    </row>
    <row r="1144" spans="1:40" x14ac:dyDescent="0.25">
      <c r="A1144" t="str">
        <f>"20190303162801933"</f>
        <v>20190303162801933</v>
      </c>
      <c r="B1144" t="str">
        <f>"1551601681922065"</f>
        <v>1551601681922065</v>
      </c>
      <c r="C1144" t="s">
        <v>40</v>
      </c>
      <c r="D1144">
        <v>5.3371019999999998</v>
      </c>
      <c r="E1144">
        <v>0.52581940000000005</v>
      </c>
      <c r="F1144" t="s">
        <v>46</v>
      </c>
      <c r="G1144">
        <v>-207.16820000000001</v>
      </c>
      <c r="H1144" s="1">
        <v>-5.4532770000000004E-6</v>
      </c>
      <c r="I1144">
        <v>362.47030000000001</v>
      </c>
      <c r="J1144">
        <v>-220.82820000000001</v>
      </c>
      <c r="K1144">
        <v>1.1177469999999901</v>
      </c>
      <c r="L1144">
        <v>368.476</v>
      </c>
      <c r="M1144">
        <v>0.99555340000000003</v>
      </c>
      <c r="N1144">
        <v>-1.418408E-2</v>
      </c>
      <c r="O1144">
        <v>-9.3124620000000005E-2</v>
      </c>
      <c r="P1144">
        <v>0.92061709999999997</v>
      </c>
      <c r="Q1144">
        <v>0.18748970000000001</v>
      </c>
      <c r="R1144">
        <v>-0.34250839999999999</v>
      </c>
      <c r="S1144">
        <v>2.8509519999999999</v>
      </c>
      <c r="T1144">
        <v>-0.22624030000000001</v>
      </c>
      <c r="U1144">
        <v>-1.224335</v>
      </c>
      <c r="V1144">
        <v>0.25706600000000002</v>
      </c>
      <c r="W1144">
        <v>0.198633</v>
      </c>
      <c r="X1144">
        <v>0.94576000000000005</v>
      </c>
      <c r="Y1144">
        <v>0.30649949999999998</v>
      </c>
      <c r="Z1144">
        <v>-8.1453199999999993E-3</v>
      </c>
      <c r="AA1144">
        <v>0.95183589999999996</v>
      </c>
      <c r="AB1144">
        <v>33</v>
      </c>
      <c r="AC1144">
        <v>13.659999999999901</v>
      </c>
      <c r="AD1144">
        <v>-1.11775245327699</v>
      </c>
      <c r="AE1144">
        <v>-6.0056999999999903</v>
      </c>
      <c r="AF1144">
        <v>4.6811205859753198</v>
      </c>
      <c r="AG1144">
        <v>-1.11775245327699</v>
      </c>
      <c r="AH1144">
        <v>14.080954367985299</v>
      </c>
      <c r="AI1144">
        <v>94.307783259190003</v>
      </c>
      <c r="AJ1144">
        <v>71.610953022298702</v>
      </c>
      <c r="AK1144">
        <v>14.880710211563599</v>
      </c>
      <c r="AL1144">
        <v>78.542967880777994</v>
      </c>
      <c r="AM1144">
        <v>74.7938679095748</v>
      </c>
      <c r="AN1144">
        <v>0.99999998732249995</v>
      </c>
    </row>
    <row r="1145" spans="1:40" x14ac:dyDescent="0.25">
      <c r="A1145" t="str">
        <f>"20190303162801952"</f>
        <v>20190303162801952</v>
      </c>
      <c r="B1145" t="str">
        <f>"1551601681942561"</f>
        <v>1551601681942561</v>
      </c>
      <c r="C1145" t="s">
        <v>40</v>
      </c>
      <c r="D1145">
        <v>5.5244090000000003</v>
      </c>
      <c r="E1145">
        <v>0.52524899999999997</v>
      </c>
      <c r="F1145" t="s">
        <v>46</v>
      </c>
      <c r="G1145">
        <v>-206.99010000000001</v>
      </c>
      <c r="H1145" s="1">
        <v>-5.3987919999999997E-6</v>
      </c>
      <c r="I1145">
        <v>362.43759999999997</v>
      </c>
      <c r="J1145">
        <v>-220.5487</v>
      </c>
      <c r="K1145">
        <v>1.1177280000000001</v>
      </c>
      <c r="L1145">
        <v>368.44630000000001</v>
      </c>
      <c r="M1145">
        <v>0.99521199999999999</v>
      </c>
      <c r="N1145">
        <v>-1.417882E-2</v>
      </c>
      <c r="O1145">
        <v>-9.6707899999999999E-2</v>
      </c>
      <c r="P1145">
        <v>0.91884200000000005</v>
      </c>
      <c r="Q1145">
        <v>0.1879287</v>
      </c>
      <c r="R1145">
        <v>-0.34700520000000001</v>
      </c>
      <c r="S1145">
        <v>2.8437960000000002</v>
      </c>
      <c r="T1145">
        <v>-0.2297044</v>
      </c>
      <c r="U1145">
        <v>-1.240936</v>
      </c>
      <c r="V1145">
        <v>0.25830930000000002</v>
      </c>
      <c r="W1145">
        <v>0.1990391</v>
      </c>
      <c r="X1145">
        <v>0.94533579999999995</v>
      </c>
      <c r="Y1145">
        <v>0.3085966</v>
      </c>
      <c r="Z1145">
        <v>-8.0944999999999993E-3</v>
      </c>
      <c r="AA1145">
        <v>0.95115859999999997</v>
      </c>
      <c r="AB1145">
        <v>33</v>
      </c>
      <c r="AC1145">
        <v>13.558599999999901</v>
      </c>
      <c r="AD1145">
        <v>-1.117733398792</v>
      </c>
      <c r="AE1145">
        <v>-6.0087000000000304</v>
      </c>
      <c r="AF1145">
        <v>4.6428025300954898</v>
      </c>
      <c r="AG1145">
        <v>-1.117733398792</v>
      </c>
      <c r="AH1145">
        <v>13.9966770348718</v>
      </c>
      <c r="AI1145">
        <v>94.334499675915893</v>
      </c>
      <c r="AJ1145">
        <v>71.648930880392498</v>
      </c>
      <c r="AK1145">
        <v>14.7889117687119</v>
      </c>
      <c r="AL1145">
        <v>78.519226341620097</v>
      </c>
      <c r="AM1145">
        <v>74.717217484332906</v>
      </c>
      <c r="AN1145">
        <v>1.0000000162784599</v>
      </c>
    </row>
    <row r="1146" spans="1:40" x14ac:dyDescent="0.25">
      <c r="A1146" t="str">
        <f>"20190303162801965"</f>
        <v>20190303162801965</v>
      </c>
      <c r="B1146" t="str">
        <f>"1551601681952321"</f>
        <v>1551601681952321</v>
      </c>
      <c r="C1146" t="s">
        <v>40</v>
      </c>
      <c r="D1146">
        <v>5.3390909999999998</v>
      </c>
      <c r="E1146">
        <v>0.52483049999999998</v>
      </c>
      <c r="F1146" t="s">
        <v>46</v>
      </c>
      <c r="G1146">
        <v>-206.637</v>
      </c>
      <c r="H1146" s="1">
        <v>-5.2982270000000001E-6</v>
      </c>
      <c r="I1146">
        <v>362.3245</v>
      </c>
      <c r="J1146">
        <v>-220.35740000000001</v>
      </c>
      <c r="K1146">
        <v>1.117723</v>
      </c>
      <c r="L1146">
        <v>368.4255</v>
      </c>
      <c r="M1146">
        <v>0.99497060000000004</v>
      </c>
      <c r="N1146">
        <v>-1.41751E-2</v>
      </c>
      <c r="O1146">
        <v>-9.916005E-2</v>
      </c>
      <c r="P1146">
        <v>0.91759880000000005</v>
      </c>
      <c r="Q1146">
        <v>0.18803059999999999</v>
      </c>
      <c r="R1146">
        <v>-0.35022510000000001</v>
      </c>
      <c r="S1146">
        <v>2.8397060000000001</v>
      </c>
      <c r="T1146">
        <v>-0.228155</v>
      </c>
      <c r="U1146">
        <v>-1.249603</v>
      </c>
      <c r="V1146">
        <v>0.2593028</v>
      </c>
      <c r="W1146">
        <v>0.1991213</v>
      </c>
      <c r="X1146">
        <v>0.94504639999999995</v>
      </c>
      <c r="Y1146">
        <v>0.30920130000000001</v>
      </c>
      <c r="Z1146">
        <v>-7.9433969999999996E-3</v>
      </c>
      <c r="AA1146">
        <v>0.95096340000000001</v>
      </c>
      <c r="AB1146">
        <v>33</v>
      </c>
      <c r="AC1146">
        <v>13.7204</v>
      </c>
      <c r="AD1146">
        <v>-1.117728298227</v>
      </c>
      <c r="AE1146">
        <v>-6.1009999999999902</v>
      </c>
      <c r="AF1146">
        <v>4.6843176331294396</v>
      </c>
      <c r="AG1146">
        <v>-1.117728298227</v>
      </c>
      <c r="AH1146">
        <v>14.1792357706018</v>
      </c>
      <c r="AI1146">
        <v>94.280590073555402</v>
      </c>
      <c r="AJ1146">
        <v>71.7182732870059</v>
      </c>
      <c r="AK1146">
        <v>14.9747412423393</v>
      </c>
      <c r="AL1146">
        <v>78.514419846372206</v>
      </c>
      <c r="AM1146">
        <v>74.656725168238097</v>
      </c>
      <c r="AN1146">
        <v>0.99999996617724396</v>
      </c>
    </row>
    <row r="1147" spans="1:40" x14ac:dyDescent="0.25">
      <c r="A1147" t="str">
        <f>"20190303162801980"</f>
        <v>20190303162801980</v>
      </c>
      <c r="B1147" t="str">
        <f>"1551601681972817"</f>
        <v>1551601681972817</v>
      </c>
      <c r="C1147" t="s">
        <v>40</v>
      </c>
      <c r="D1147">
        <v>5.4477699999999896</v>
      </c>
      <c r="E1147">
        <v>0.52490119999999996</v>
      </c>
      <c r="F1147" t="s">
        <v>46</v>
      </c>
      <c r="G1147">
        <v>-206.31100000000001</v>
      </c>
      <c r="H1147" s="1">
        <v>-5.2079020000000002E-6</v>
      </c>
      <c r="I1147">
        <v>362.20429999999999</v>
      </c>
      <c r="J1147">
        <v>-220.1336</v>
      </c>
      <c r="K1147">
        <v>1.1177250000000001</v>
      </c>
      <c r="L1147">
        <v>368.40039999999999</v>
      </c>
      <c r="M1147">
        <v>0.99468140000000005</v>
      </c>
      <c r="N1147">
        <v>-1.4170540000000001E-2</v>
      </c>
      <c r="O1147">
        <v>-0.1020211</v>
      </c>
      <c r="P1147">
        <v>0.91626609999999997</v>
      </c>
      <c r="Q1147">
        <v>0.18815090000000001</v>
      </c>
      <c r="R1147">
        <v>-0.35363289999999997</v>
      </c>
      <c r="S1147">
        <v>2.8361969999999999</v>
      </c>
      <c r="T1147">
        <v>-0.22568740000000001</v>
      </c>
      <c r="U1147">
        <v>-1.256165</v>
      </c>
      <c r="V1147">
        <v>0.26010169999999999</v>
      </c>
      <c r="W1147">
        <v>0.19922790000000001</v>
      </c>
      <c r="X1147">
        <v>0.94480439999999999</v>
      </c>
      <c r="Y1147">
        <v>0.30876239999999999</v>
      </c>
      <c r="Z1147">
        <v>-7.70472E-3</v>
      </c>
      <c r="AA1147">
        <v>0.95110799999999995</v>
      </c>
      <c r="AB1147">
        <v>33</v>
      </c>
      <c r="AC1147">
        <v>13.8226</v>
      </c>
      <c r="AD1147">
        <v>-1.117730207902</v>
      </c>
      <c r="AE1147">
        <v>-6.1961000000000004</v>
      </c>
      <c r="AF1147">
        <v>4.7276845084539101</v>
      </c>
      <c r="AG1147">
        <v>-1.117730207902</v>
      </c>
      <c r="AH1147">
        <v>14.304773432223101</v>
      </c>
      <c r="AI1147">
        <v>94.243002230561004</v>
      </c>
      <c r="AJ1147">
        <v>71.711435062480305</v>
      </c>
      <c r="AK1147">
        <v>15.1071792395658</v>
      </c>
      <c r="AL1147">
        <v>78.508187661261402</v>
      </c>
      <c r="AM1147">
        <v>74.607936116152501</v>
      </c>
      <c r="AN1147">
        <v>1.0000000023703299</v>
      </c>
    </row>
    <row r="1148" spans="1:40" x14ac:dyDescent="0.25">
      <c r="A1148" t="str">
        <f>"20190303162801998"</f>
        <v>20190303162801998</v>
      </c>
      <c r="B1148" t="str">
        <f>"1551601681992337"</f>
        <v>1551601681992337</v>
      </c>
      <c r="C1148" t="s">
        <v>40</v>
      </c>
      <c r="D1148">
        <v>5.322349</v>
      </c>
      <c r="E1148">
        <v>0.54219810000000002</v>
      </c>
      <c r="F1148" t="s">
        <v>46</v>
      </c>
      <c r="G1148">
        <v>-206.20320000000001</v>
      </c>
      <c r="H1148" s="1">
        <v>-5.1663019999999996E-6</v>
      </c>
      <c r="I1148">
        <v>362.17059999999998</v>
      </c>
      <c r="J1148">
        <v>-219.886</v>
      </c>
      <c r="K1148">
        <v>1.1177349999999999</v>
      </c>
      <c r="L1148">
        <v>368.37180000000001</v>
      </c>
      <c r="M1148">
        <v>0.99435379999999995</v>
      </c>
      <c r="N1148">
        <v>-1.416533E-2</v>
      </c>
      <c r="O1148">
        <v>-0.1051675</v>
      </c>
      <c r="P1148">
        <v>0.91422630000000005</v>
      </c>
      <c r="Q1148">
        <v>0.188861</v>
      </c>
      <c r="R1148">
        <v>-0.35849969999999998</v>
      </c>
      <c r="S1148">
        <v>2.831985</v>
      </c>
      <c r="T1148">
        <v>-0.2272295</v>
      </c>
      <c r="U1148">
        <v>-1.2664789999999999</v>
      </c>
      <c r="V1148">
        <v>0.262158</v>
      </c>
      <c r="W1148">
        <v>0.1999119</v>
      </c>
      <c r="X1148">
        <v>0.94409129999999997</v>
      </c>
      <c r="Y1148">
        <v>0.30916310000000002</v>
      </c>
      <c r="Z1148">
        <v>-7.55894599999999E-3</v>
      </c>
      <c r="AA1148">
        <v>0.95097900000000002</v>
      </c>
      <c r="AB1148">
        <v>33</v>
      </c>
      <c r="AC1148">
        <v>13.682799999999901</v>
      </c>
      <c r="AD1148">
        <v>-1.1177401663019999</v>
      </c>
      <c r="AE1148">
        <v>-6.2012000000000196</v>
      </c>
      <c r="AF1148">
        <v>4.7016458872925799</v>
      </c>
      <c r="AG1148">
        <v>-1.1177401663019999</v>
      </c>
      <c r="AH1148">
        <v>14.180632364644399</v>
      </c>
      <c r="AI1148">
        <v>94.278702666646893</v>
      </c>
      <c r="AJ1148">
        <v>71.656851728331503</v>
      </c>
      <c r="AK1148">
        <v>14.981493630144501</v>
      </c>
      <c r="AL1148">
        <v>78.468192576337401</v>
      </c>
      <c r="AM1148">
        <v>74.4809363839653</v>
      </c>
      <c r="AN1148">
        <v>0.99999998373064902</v>
      </c>
    </row>
    <row r="1149" spans="1:40" x14ac:dyDescent="0.25">
      <c r="A1149" t="str">
        <f>"20190303162802011"</f>
        <v>20190303162802011</v>
      </c>
      <c r="B1149" t="str">
        <f>"1551601682002096"</f>
        <v>1551601682002096</v>
      </c>
      <c r="C1149" t="s">
        <v>40</v>
      </c>
      <c r="D1149">
        <v>5.3523189999999996</v>
      </c>
      <c r="E1149">
        <v>0.54324130000000004</v>
      </c>
      <c r="F1149" t="s">
        <v>46</v>
      </c>
      <c r="G1149">
        <v>-207.47829999999999</v>
      </c>
      <c r="H1149" s="1">
        <v>-5.6183529999999899E-6</v>
      </c>
      <c r="I1149">
        <v>362.07799999999997</v>
      </c>
      <c r="J1149">
        <v>-219.67429999999999</v>
      </c>
      <c r="K1149">
        <v>1.117753</v>
      </c>
      <c r="L1149">
        <v>368.34679999999997</v>
      </c>
      <c r="M1149">
        <v>0.9940679</v>
      </c>
      <c r="N1149">
        <v>-1.416074E-2</v>
      </c>
      <c r="O1149">
        <v>-0.1078356</v>
      </c>
      <c r="P1149">
        <v>0.91284500000000002</v>
      </c>
      <c r="Q1149">
        <v>0.18950210000000001</v>
      </c>
      <c r="R1149">
        <v>-0.36166730000000002</v>
      </c>
      <c r="S1149">
        <v>2.7802120000000001</v>
      </c>
      <c r="T1149">
        <v>-0.25045319999999999</v>
      </c>
      <c r="U1149">
        <v>-1.4102479999999999</v>
      </c>
      <c r="V1149">
        <v>0.26291189999999998</v>
      </c>
      <c r="W1149">
        <v>0.20054730000000001</v>
      </c>
      <c r="X1149">
        <v>0.94374690000000006</v>
      </c>
      <c r="Y1149">
        <v>0.35246319999999998</v>
      </c>
      <c r="Z1149">
        <v>-9.9642870000000005E-3</v>
      </c>
      <c r="AA1149">
        <v>0.93577270000000001</v>
      </c>
      <c r="AB1149">
        <v>33</v>
      </c>
      <c r="AC1149">
        <v>12.1959999999999</v>
      </c>
      <c r="AD1149">
        <v>-1.1177586183529999</v>
      </c>
      <c r="AE1149">
        <v>-6.2687999999999402</v>
      </c>
      <c r="AF1149">
        <v>4.8844890975915503</v>
      </c>
      <c r="AG1149">
        <v>-1.1177586183529999</v>
      </c>
      <c r="AH1149">
        <v>12.7164441514029</v>
      </c>
      <c r="AI1149">
        <v>94.690826772459502</v>
      </c>
      <c r="AJ1149">
        <v>68.987813429452004</v>
      </c>
      <c r="AK1149">
        <v>13.668049236417801</v>
      </c>
      <c r="AL1149">
        <v>78.431035110734797</v>
      </c>
      <c r="AM1149">
        <v>74.433063696143094</v>
      </c>
      <c r="AN1149">
        <v>1.00000004897925</v>
      </c>
    </row>
    <row r="1150" spans="1:40" x14ac:dyDescent="0.25">
      <c r="A1150" t="str">
        <f>"20190303162802025"</f>
        <v>20190303162802025</v>
      </c>
      <c r="B1150" t="str">
        <f>"1551601682012834"</f>
        <v>1551601682012834</v>
      </c>
      <c r="C1150" t="s">
        <v>40</v>
      </c>
      <c r="D1150">
        <v>5.358797</v>
      </c>
      <c r="E1150">
        <v>0.54451930000000004</v>
      </c>
      <c r="F1150" t="s">
        <v>46</v>
      </c>
      <c r="G1150">
        <v>-208.09639999999999</v>
      </c>
      <c r="H1150" s="1">
        <v>-5.7764780000000003E-6</v>
      </c>
      <c r="I1150">
        <v>362.39030000000002</v>
      </c>
      <c r="J1150">
        <v>-219.49019999999999</v>
      </c>
      <c r="K1150">
        <v>1.117774</v>
      </c>
      <c r="L1150">
        <v>368.32470000000001</v>
      </c>
      <c r="M1150">
        <v>0.99381509999999995</v>
      </c>
      <c r="N1150">
        <v>-1.4156719999999999E-2</v>
      </c>
      <c r="O1150">
        <v>-0.1101415</v>
      </c>
      <c r="P1150">
        <v>0.91162750000000004</v>
      </c>
      <c r="Q1150">
        <v>0.19012870000000001</v>
      </c>
      <c r="R1150">
        <v>-0.36439840000000001</v>
      </c>
      <c r="S1150">
        <v>2.7762150000000001</v>
      </c>
      <c r="T1150">
        <v>-0.26802179999999998</v>
      </c>
      <c r="U1150">
        <v>-1.4282840000000001</v>
      </c>
      <c r="V1150">
        <v>0.26356089999999999</v>
      </c>
      <c r="W1150">
        <v>0.20117090000000001</v>
      </c>
      <c r="X1150">
        <v>0.94343299999999997</v>
      </c>
      <c r="Y1150">
        <v>0.35551329999999998</v>
      </c>
      <c r="Z1150">
        <v>-1.0362349999999999E-2</v>
      </c>
      <c r="AA1150">
        <v>0.93461380000000005</v>
      </c>
      <c r="AB1150">
        <v>33</v>
      </c>
      <c r="AC1150">
        <v>11.393800000000001</v>
      </c>
      <c r="AD1150">
        <v>-1.117779776478</v>
      </c>
      <c r="AE1150">
        <v>-5.9343999999999797</v>
      </c>
      <c r="AF1150">
        <v>4.60834312459495</v>
      </c>
      <c r="AG1150">
        <v>-1.117779776478</v>
      </c>
      <c r="AH1150">
        <v>11.888153159250001</v>
      </c>
      <c r="AI1150">
        <v>95.010215477806</v>
      </c>
      <c r="AJ1150">
        <v>68.811595210410204</v>
      </c>
      <c r="AK1150">
        <v>12.799001661086301</v>
      </c>
      <c r="AL1150">
        <v>78.394561011834895</v>
      </c>
      <c r="AM1150">
        <v>74.391567864548406</v>
      </c>
      <c r="AN1150">
        <v>0.99999995225230798</v>
      </c>
    </row>
    <row r="1151" spans="1:40" x14ac:dyDescent="0.25">
      <c r="A1151" t="str">
        <f>"20190303162802037"</f>
        <v>20190303162802037</v>
      </c>
      <c r="B1151" t="str">
        <f>"1551601682032353"</f>
        <v>1551601682032353</v>
      </c>
      <c r="C1151" t="s">
        <v>40</v>
      </c>
      <c r="D1151">
        <v>5.3495939999999997</v>
      </c>
      <c r="E1151">
        <v>0.54534539999999998</v>
      </c>
      <c r="F1151" t="s">
        <v>46</v>
      </c>
      <c r="G1151">
        <v>-208.24440000000001</v>
      </c>
      <c r="H1151" s="1">
        <v>-5.8162899999999998E-6</v>
      </c>
      <c r="I1151">
        <v>362.45260000000002</v>
      </c>
      <c r="J1151">
        <v>-219.30670000000001</v>
      </c>
      <c r="K1151">
        <v>1.1177950000000001</v>
      </c>
      <c r="L1151">
        <v>368.3021</v>
      </c>
      <c r="M1151">
        <v>0.99356069999999996</v>
      </c>
      <c r="N1151">
        <v>-1.415251E-2</v>
      </c>
      <c r="O1151">
        <v>-0.112413</v>
      </c>
      <c r="P1151">
        <v>0.91046320000000003</v>
      </c>
      <c r="Q1151">
        <v>0.190798</v>
      </c>
      <c r="R1151">
        <v>-0.36695060000000002</v>
      </c>
      <c r="S1151">
        <v>2.7700650000000002</v>
      </c>
      <c r="T1151">
        <v>-0.2753295</v>
      </c>
      <c r="U1151">
        <v>-1.4464109999999999</v>
      </c>
      <c r="V1151">
        <v>0.26405859999999998</v>
      </c>
      <c r="W1151">
        <v>0.20184299999999999</v>
      </c>
      <c r="X1151">
        <v>0.9431503</v>
      </c>
      <c r="Y1151">
        <v>0.35896990000000001</v>
      </c>
      <c r="Z1151">
        <v>-1.054601E-2</v>
      </c>
      <c r="AA1151">
        <v>0.93328949999999999</v>
      </c>
      <c r="AB1151">
        <v>33</v>
      </c>
      <c r="AC1151">
        <v>11.062299999999899</v>
      </c>
      <c r="AD1151">
        <v>-1.1178008162899999</v>
      </c>
      <c r="AE1151">
        <v>-5.8494999999999697</v>
      </c>
      <c r="AF1151">
        <v>4.5325783731379499</v>
      </c>
      <c r="AG1151">
        <v>-1.1178008162899999</v>
      </c>
      <c r="AH1151">
        <v>11.5575733663058</v>
      </c>
      <c r="AI1151">
        <v>95.145001953778106</v>
      </c>
      <c r="AJ1151">
        <v>68.586185546440802</v>
      </c>
      <c r="AK1151">
        <v>12.4648003389977</v>
      </c>
      <c r="AL1151">
        <v>78.355246787818004</v>
      </c>
      <c r="AM1151">
        <v>74.3590764723657</v>
      </c>
      <c r="AN1151">
        <v>1.00000001463652</v>
      </c>
    </row>
    <row r="1152" spans="1:40" x14ac:dyDescent="0.25">
      <c r="A1152" t="str">
        <f>"20190303162802051"</f>
        <v>20190303162802051</v>
      </c>
      <c r="B1152" t="str">
        <f>"1551601682042114"</f>
        <v>1551601682042114</v>
      </c>
      <c r="C1152" t="s">
        <v>40</v>
      </c>
      <c r="D1152">
        <v>5.3575030000000003</v>
      </c>
      <c r="E1152">
        <v>0.54535449999999996</v>
      </c>
      <c r="F1152" t="s">
        <v>46</v>
      </c>
      <c r="G1152">
        <v>-208.31979999999999</v>
      </c>
      <c r="H1152" s="1">
        <v>-5.8341069999999997E-6</v>
      </c>
      <c r="I1152">
        <v>362.50029999999998</v>
      </c>
      <c r="J1152">
        <v>-219.08860000000001</v>
      </c>
      <c r="K1152">
        <v>1.1178319999999999</v>
      </c>
      <c r="L1152">
        <v>368.27480000000003</v>
      </c>
      <c r="M1152">
        <v>0.99325450000000004</v>
      </c>
      <c r="N1152">
        <v>-1.4147450000000001E-2</v>
      </c>
      <c r="O1152">
        <v>-0.115089</v>
      </c>
      <c r="P1152">
        <v>0.90882569999999996</v>
      </c>
      <c r="Q1152">
        <v>0.19170309999999999</v>
      </c>
      <c r="R1152">
        <v>-0.3705214</v>
      </c>
      <c r="S1152">
        <v>2.765396</v>
      </c>
      <c r="T1152">
        <v>-0.28135060000000001</v>
      </c>
      <c r="U1152">
        <v>-1.4603269999999999</v>
      </c>
      <c r="V1152">
        <v>0.26523770000000002</v>
      </c>
      <c r="W1152">
        <v>0.2027447</v>
      </c>
      <c r="X1152">
        <v>0.94262590000000002</v>
      </c>
      <c r="Y1152">
        <v>0.36073300000000003</v>
      </c>
      <c r="Z1152">
        <v>-1.057051E-2</v>
      </c>
      <c r="AA1152">
        <v>0.93260920000000003</v>
      </c>
      <c r="AB1152">
        <v>33</v>
      </c>
      <c r="AC1152">
        <v>10.768800000000001</v>
      </c>
      <c r="AD1152">
        <v>-1.1178378341070001</v>
      </c>
      <c r="AE1152">
        <v>-5.7745000000000397</v>
      </c>
      <c r="AF1152">
        <v>4.4593083592278502</v>
      </c>
      <c r="AG1152">
        <v>-1.1178378341070001</v>
      </c>
      <c r="AH1152">
        <v>11.2675807231631</v>
      </c>
      <c r="AI1152">
        <v>95.270432659215004</v>
      </c>
      <c r="AJ1152">
        <v>68.408099660922801</v>
      </c>
      <c r="AK1152">
        <v>12.1693618492934</v>
      </c>
      <c r="AL1152">
        <v>78.302492533041303</v>
      </c>
      <c r="AM1152">
        <v>74.284368464370999</v>
      </c>
      <c r="AN1152">
        <v>1.00000001911509</v>
      </c>
    </row>
    <row r="1153" spans="1:40" x14ac:dyDescent="0.25">
      <c r="A1153" t="str">
        <f>"20190303162802064"</f>
        <v>20190303162802064</v>
      </c>
      <c r="B1153" t="str">
        <f>"1551601682052849"</f>
        <v>1551601682052849</v>
      </c>
      <c r="C1153" t="s">
        <v>40</v>
      </c>
      <c r="D1153">
        <v>5.3603519999999998</v>
      </c>
      <c r="E1153">
        <v>0.54531649999999998</v>
      </c>
      <c r="F1153" t="s">
        <v>46</v>
      </c>
      <c r="G1153">
        <v>-208.0779</v>
      </c>
      <c r="H1153" s="1">
        <v>-5.7676700000000003E-6</v>
      </c>
      <c r="I1153">
        <v>362.40710000000001</v>
      </c>
      <c r="J1153">
        <v>-218.91820000000001</v>
      </c>
      <c r="K1153">
        <v>1.1178570000000001</v>
      </c>
      <c r="L1153">
        <v>368.25319999999999</v>
      </c>
      <c r="M1153">
        <v>0.99301159999999999</v>
      </c>
      <c r="N1153">
        <v>-1.41435E-2</v>
      </c>
      <c r="O1153">
        <v>-0.11716650000000001</v>
      </c>
      <c r="P1153">
        <v>0.9078465</v>
      </c>
      <c r="Q1153">
        <v>0.1916486</v>
      </c>
      <c r="R1153">
        <v>-0.37294169999999999</v>
      </c>
      <c r="S1153">
        <v>2.7603149999999999</v>
      </c>
      <c r="T1153">
        <v>-0.28023310000000001</v>
      </c>
      <c r="U1153">
        <v>-1.4710080000000001</v>
      </c>
      <c r="V1153">
        <v>0.26576519999999998</v>
      </c>
      <c r="W1153">
        <v>0.20269619999999999</v>
      </c>
      <c r="X1153">
        <v>0.94248770000000004</v>
      </c>
      <c r="Y1153">
        <v>0.3623133</v>
      </c>
      <c r="Z1153">
        <v>-1.047237E-2</v>
      </c>
      <c r="AA1153">
        <v>0.93199750000000003</v>
      </c>
      <c r="AB1153">
        <v>33</v>
      </c>
      <c r="AC1153">
        <v>10.840299999999999</v>
      </c>
      <c r="AD1153">
        <v>-1.1178627676699999</v>
      </c>
      <c r="AE1153">
        <v>-5.8460999999999697</v>
      </c>
      <c r="AF1153">
        <v>4.49851972279256</v>
      </c>
      <c r="AG1153">
        <v>-1.1178627676699999</v>
      </c>
      <c r="AH1153">
        <v>11.3570956950444</v>
      </c>
      <c r="AI1153">
        <v>95.228645975353302</v>
      </c>
      <c r="AJ1153">
        <v>68.391594418355098</v>
      </c>
      <c r="AK1153">
        <v>12.266618095061601</v>
      </c>
      <c r="AL1153">
        <v>78.305329810299597</v>
      </c>
      <c r="AM1153">
        <v>74.252467783951801</v>
      </c>
      <c r="AN1153">
        <v>0.99999997783838401</v>
      </c>
    </row>
    <row r="1154" spans="1:40" x14ac:dyDescent="0.25">
      <c r="A1154" t="str">
        <f>"20190303162802076"</f>
        <v>20190303162802076</v>
      </c>
      <c r="B1154" t="str">
        <f>"1551601682063585"</f>
        <v>1551601682063585</v>
      </c>
      <c r="C1154" t="s">
        <v>40</v>
      </c>
      <c r="D1154">
        <v>5.3612460000000004</v>
      </c>
      <c r="E1154">
        <v>0.54530469999999998</v>
      </c>
      <c r="F1154" t="s">
        <v>46</v>
      </c>
      <c r="G1154">
        <v>-207.9426</v>
      </c>
      <c r="H1154" s="1">
        <v>-5.7284920000000001E-6</v>
      </c>
      <c r="I1154">
        <v>362.36810000000003</v>
      </c>
      <c r="J1154">
        <v>-218.73779999999999</v>
      </c>
      <c r="K1154">
        <v>1.117882</v>
      </c>
      <c r="L1154">
        <v>368.22969999999998</v>
      </c>
      <c r="M1154">
        <v>0.99275389999999997</v>
      </c>
      <c r="N1154">
        <v>-1.41393E-2</v>
      </c>
      <c r="O1154">
        <v>-0.1193308</v>
      </c>
      <c r="P1154">
        <v>0.90692030000000001</v>
      </c>
      <c r="Q1154">
        <v>0.19167090000000001</v>
      </c>
      <c r="R1154">
        <v>-0.37517679999999998</v>
      </c>
      <c r="S1154">
        <v>2.756561</v>
      </c>
      <c r="T1154">
        <v>-0.28075660000000002</v>
      </c>
      <c r="U1154">
        <v>-1.4780879999999901</v>
      </c>
      <c r="V1154">
        <v>0.26601930000000001</v>
      </c>
      <c r="W1154">
        <v>0.2027302</v>
      </c>
      <c r="X1154">
        <v>0.94240869999999999</v>
      </c>
      <c r="Y1154">
        <v>0.3626701</v>
      </c>
      <c r="Z1154">
        <v>-1.033456E-2</v>
      </c>
      <c r="AA1154">
        <v>0.93186029999999997</v>
      </c>
      <c r="AB1154">
        <v>33</v>
      </c>
      <c r="AC1154">
        <v>10.7951999999999</v>
      </c>
      <c r="AD1154">
        <v>-1.1178877284919999</v>
      </c>
      <c r="AE1154">
        <v>-5.8615999999999504</v>
      </c>
      <c r="AF1154">
        <v>4.4941597069789001</v>
      </c>
      <c r="AG1154">
        <v>-1.1178877284919999</v>
      </c>
      <c r="AH1154">
        <v>11.3238063081898</v>
      </c>
      <c r="AI1154">
        <v>95.242655458556598</v>
      </c>
      <c r="AJ1154">
        <v>68.3530042485895</v>
      </c>
      <c r="AK1154">
        <v>12.234203437524901</v>
      </c>
      <c r="AL1154">
        <v>78.303340475431298</v>
      </c>
      <c r="AM1154">
        <v>74.236903719683497</v>
      </c>
      <c r="AN1154">
        <v>0.99999997990010903</v>
      </c>
    </row>
    <row r="1155" spans="1:40" x14ac:dyDescent="0.25">
      <c r="A1155" t="str">
        <f>"20190303162802087"</f>
        <v>20190303162802087</v>
      </c>
      <c r="B1155" t="str">
        <f>"1551601682083105"</f>
        <v>1551601682083105</v>
      </c>
      <c r="C1155" t="s">
        <v>40</v>
      </c>
      <c r="D1155">
        <v>5.3710820000000004</v>
      </c>
      <c r="E1155">
        <v>0.54512919999999998</v>
      </c>
      <c r="F1155" t="s">
        <v>46</v>
      </c>
      <c r="G1155">
        <v>-207.80279999999999</v>
      </c>
      <c r="H1155" s="1">
        <v>-5.6873650000000001E-6</v>
      </c>
      <c r="I1155">
        <v>362.33170000000001</v>
      </c>
      <c r="J1155">
        <v>-218.57140000000001</v>
      </c>
      <c r="K1155">
        <v>1.11791</v>
      </c>
      <c r="L1155">
        <v>368.2079</v>
      </c>
      <c r="M1155">
        <v>0.99251339999999999</v>
      </c>
      <c r="N1155">
        <v>-1.413551E-2</v>
      </c>
      <c r="O1155">
        <v>-0.1213156</v>
      </c>
      <c r="P1155">
        <v>0.90610429999999997</v>
      </c>
      <c r="Q1155">
        <v>0.19132689999999999</v>
      </c>
      <c r="R1155">
        <v>-0.3773185</v>
      </c>
      <c r="S1155">
        <v>2.7530670000000002</v>
      </c>
      <c r="T1155">
        <v>-0.28144629999999998</v>
      </c>
      <c r="U1155">
        <v>-1.4849239999999999</v>
      </c>
      <c r="V1155">
        <v>0.26633679999999998</v>
      </c>
      <c r="W1155">
        <v>0.20239679999999999</v>
      </c>
      <c r="X1155">
        <v>0.94239070000000003</v>
      </c>
      <c r="Y1155">
        <v>0.36309200000000003</v>
      </c>
      <c r="Z1155">
        <v>-1.021705E-2</v>
      </c>
      <c r="AA1155">
        <v>0.9316972</v>
      </c>
      <c r="AB1155">
        <v>33</v>
      </c>
      <c r="AC1155">
        <v>10.768599999999999</v>
      </c>
      <c r="AD1155">
        <v>-1.117915687365</v>
      </c>
      <c r="AE1155">
        <v>-5.8761999999999803</v>
      </c>
      <c r="AF1155">
        <v>4.4889821069325704</v>
      </c>
      <c r="AG1155">
        <v>-1.117915687365</v>
      </c>
      <c r="AH1155">
        <v>11.308087125610299</v>
      </c>
      <c r="AI1155">
        <v>95.249865099535398</v>
      </c>
      <c r="AJ1155">
        <v>68.348360132817703</v>
      </c>
      <c r="AK1155">
        <v>12.217754715200799</v>
      </c>
      <c r="AL1155">
        <v>78.3228474437188</v>
      </c>
      <c r="AM1155">
        <v>74.2187403441106</v>
      </c>
      <c r="AN1155">
        <v>0.99999999356548497</v>
      </c>
    </row>
    <row r="1156" spans="1:40" x14ac:dyDescent="0.25">
      <c r="A1156" t="str">
        <f>"20190303162802098"</f>
        <v>20190303162802098</v>
      </c>
      <c r="B1156" t="str">
        <f>"1551601682092865"</f>
        <v>1551601682092865</v>
      </c>
      <c r="C1156" t="s">
        <v>40</v>
      </c>
      <c r="D1156">
        <v>5.3996519999999997</v>
      </c>
      <c r="E1156">
        <v>0.5450739</v>
      </c>
      <c r="F1156" t="s">
        <v>46</v>
      </c>
      <c r="G1156">
        <v>-207.82220000000001</v>
      </c>
      <c r="H1156" s="1">
        <v>-5.6858590000000004E-6</v>
      </c>
      <c r="I1156">
        <v>362.38290000000001</v>
      </c>
      <c r="J1156">
        <v>-218.41249999999999</v>
      </c>
      <c r="K1156">
        <v>1.1179349999999999</v>
      </c>
      <c r="L1156">
        <v>368.1866</v>
      </c>
      <c r="M1156">
        <v>0.9922822</v>
      </c>
      <c r="N1156">
        <v>-1.4131919999999999E-2</v>
      </c>
      <c r="O1156">
        <v>-0.1231926</v>
      </c>
      <c r="P1156">
        <v>0.90532889999999999</v>
      </c>
      <c r="Q1156">
        <v>0.19120690000000001</v>
      </c>
      <c r="R1156">
        <v>-0.37923630000000003</v>
      </c>
      <c r="S1156">
        <v>2.7505950000000001</v>
      </c>
      <c r="T1156">
        <v>-0.28605989999999998</v>
      </c>
      <c r="U1156">
        <v>-1.49054</v>
      </c>
      <c r="V1156">
        <v>0.26653290000000002</v>
      </c>
      <c r="W1156">
        <v>0.202289</v>
      </c>
      <c r="X1156">
        <v>0.94235840000000004</v>
      </c>
      <c r="Y1156">
        <v>0.36311939999999998</v>
      </c>
      <c r="Z1156">
        <v>-1.016298E-2</v>
      </c>
      <c r="AA1156">
        <v>0.93168720000000005</v>
      </c>
      <c r="AB1156">
        <v>33</v>
      </c>
      <c r="AC1156">
        <v>10.5902999999999</v>
      </c>
      <c r="AD1156">
        <v>-1.117940685859</v>
      </c>
      <c r="AE1156">
        <v>-5.8036999999999903</v>
      </c>
      <c r="AF1156">
        <v>4.4168548711276499</v>
      </c>
      <c r="AG1156">
        <v>-1.117940685859</v>
      </c>
      <c r="AH1156">
        <v>11.129284166512299</v>
      </c>
      <c r="AI1156">
        <v>95.334032849871804</v>
      </c>
      <c r="AJ1156">
        <v>68.353464346688199</v>
      </c>
      <c r="AK1156">
        <v>12.025779159317899</v>
      </c>
      <c r="AL1156">
        <v>78.329154349538101</v>
      </c>
      <c r="AM1156">
        <v>74.207185958042999</v>
      </c>
      <c r="AN1156">
        <v>0.99999999017698504</v>
      </c>
    </row>
    <row r="1157" spans="1:40" x14ac:dyDescent="0.25">
      <c r="A1157" t="str">
        <f>"20190303162802111"</f>
        <v>20190303162802111</v>
      </c>
      <c r="B1157" t="str">
        <f>"1551601682102625"</f>
        <v>1551601682102625</v>
      </c>
      <c r="C1157" t="s">
        <v>40</v>
      </c>
      <c r="D1157">
        <v>5.378126</v>
      </c>
      <c r="E1157">
        <v>0.54503190000000001</v>
      </c>
      <c r="F1157" t="s">
        <v>46</v>
      </c>
      <c r="G1157">
        <v>-207.7133</v>
      </c>
      <c r="H1157" s="1">
        <v>-5.6527430000000002E-6</v>
      </c>
      <c r="I1157">
        <v>362.36160000000001</v>
      </c>
      <c r="J1157">
        <v>-218.22810000000001</v>
      </c>
      <c r="K1157">
        <v>1.1179669999999999</v>
      </c>
      <c r="L1157">
        <v>368.16160000000002</v>
      </c>
      <c r="M1157">
        <v>0.99201240000000002</v>
      </c>
      <c r="N1157">
        <v>-1.4127850000000001E-2</v>
      </c>
      <c r="O1157">
        <v>-0.1253475</v>
      </c>
      <c r="P1157">
        <v>0.90434899999999996</v>
      </c>
      <c r="Q1157">
        <v>0.19120519999999999</v>
      </c>
      <c r="R1157">
        <v>-0.38156770000000001</v>
      </c>
      <c r="S1157">
        <v>2.747681</v>
      </c>
      <c r="T1157">
        <v>-0.28710279999999999</v>
      </c>
      <c r="U1157">
        <v>-1.495941</v>
      </c>
      <c r="V1157">
        <v>0.26690000000000003</v>
      </c>
      <c r="W1157">
        <v>0.2022988</v>
      </c>
      <c r="X1157">
        <v>0.94225239999999999</v>
      </c>
      <c r="Y1157">
        <v>0.3629231</v>
      </c>
      <c r="Z1157">
        <v>-9.9988890000000004E-3</v>
      </c>
      <c r="AA1157">
        <v>0.93176539999999997</v>
      </c>
      <c r="AB1157">
        <v>33</v>
      </c>
      <c r="AC1157">
        <v>10.514799999999999</v>
      </c>
      <c r="AD1157">
        <v>-1.1179726527429901</v>
      </c>
      <c r="AE1157">
        <v>-5.8000000000000096</v>
      </c>
      <c r="AF1157">
        <v>4.3979907342328399</v>
      </c>
      <c r="AG1157">
        <v>-1.1179726527429901</v>
      </c>
      <c r="AH1157">
        <v>11.0630510642336</v>
      </c>
      <c r="AI1157">
        <v>95.364706095859603</v>
      </c>
      <c r="AJ1157">
        <v>68.320265287911695</v>
      </c>
      <c r="AK1157">
        <v>11.9575617999875</v>
      </c>
      <c r="AL1157">
        <v>78.328581111744697</v>
      </c>
      <c r="AM1157">
        <v>74.184831513316993</v>
      </c>
      <c r="AN1157">
        <v>0.9999999998936</v>
      </c>
    </row>
    <row r="1158" spans="1:40" x14ac:dyDescent="0.25">
      <c r="A1158" t="str">
        <f>"20190303162802125"</f>
        <v>20190303162802125</v>
      </c>
      <c r="B1158" t="str">
        <f>"1551601682112386"</f>
        <v>1551601682112386</v>
      </c>
      <c r="C1158" t="s">
        <v>40</v>
      </c>
      <c r="D1158">
        <v>5.3968020000000001</v>
      </c>
      <c r="E1158">
        <v>0.5449813</v>
      </c>
      <c r="F1158" t="s">
        <v>46</v>
      </c>
      <c r="G1158">
        <v>-207.5574</v>
      </c>
      <c r="H1158" s="1">
        <v>-5.6072759999999998E-6</v>
      </c>
      <c r="I1158">
        <v>362.3186</v>
      </c>
      <c r="J1158">
        <v>-218.03630000000001</v>
      </c>
      <c r="K1158">
        <v>1.117999</v>
      </c>
      <c r="L1158">
        <v>368.13529999999997</v>
      </c>
      <c r="M1158">
        <v>0.99172870000000002</v>
      </c>
      <c r="N1158">
        <v>-1.4123719999999999E-2</v>
      </c>
      <c r="O1158">
        <v>-0.12757309999999999</v>
      </c>
      <c r="P1158">
        <v>0.90344740000000001</v>
      </c>
      <c r="Q1158">
        <v>0.19098979999999999</v>
      </c>
      <c r="R1158">
        <v>-0.38380520000000001</v>
      </c>
      <c r="S1158">
        <v>2.7440950000000002</v>
      </c>
      <c r="T1158">
        <v>-0.28749989999999997</v>
      </c>
      <c r="U1158">
        <v>-1.502594</v>
      </c>
      <c r="V1158">
        <v>0.26709490000000002</v>
      </c>
      <c r="W1158">
        <v>0.2020989</v>
      </c>
      <c r="X1158">
        <v>0.94224010000000002</v>
      </c>
      <c r="Y1158">
        <v>0.36308639999999998</v>
      </c>
      <c r="Z1158">
        <v>-9.8363370000000006E-3</v>
      </c>
      <c r="AA1158">
        <v>0.93170359999999997</v>
      </c>
      <c r="AB1158">
        <v>33</v>
      </c>
      <c r="AC1158">
        <v>10.478899999999999</v>
      </c>
      <c r="AD1158">
        <v>-1.1180046072759999</v>
      </c>
      <c r="AE1158">
        <v>-5.81669999999996</v>
      </c>
      <c r="AF1158">
        <v>4.39396892209691</v>
      </c>
      <c r="AG1158">
        <v>-1.1180046072759999</v>
      </c>
      <c r="AH1158">
        <v>11.039328241828001</v>
      </c>
      <c r="AI1158">
        <v>95.3754204744465</v>
      </c>
      <c r="AJ1158">
        <v>68.2960273519586</v>
      </c>
      <c r="AK1158">
        <v>11.9341386459629</v>
      </c>
      <c r="AL1158">
        <v>78.340276442588603</v>
      </c>
      <c r="AM1158">
        <v>74.173664791389697</v>
      </c>
      <c r="AN1158">
        <v>1.0000000285176101</v>
      </c>
    </row>
    <row r="1159" spans="1:40" x14ac:dyDescent="0.25">
      <c r="A1159" t="str">
        <f>"20190303162802136"</f>
        <v>20190303162802136</v>
      </c>
      <c r="B1159" t="str">
        <f>"1551601682132881"</f>
        <v>1551601682132881</v>
      </c>
      <c r="C1159" t="s">
        <v>40</v>
      </c>
      <c r="D1159">
        <v>5.378603</v>
      </c>
      <c r="E1159">
        <v>0.54475269999999898</v>
      </c>
      <c r="F1159" t="s">
        <v>46</v>
      </c>
      <c r="G1159">
        <v>-207.3948</v>
      </c>
      <c r="H1159" s="1">
        <v>-5.5591319999999999E-6</v>
      </c>
      <c r="I1159">
        <v>362.27839999999998</v>
      </c>
      <c r="J1159">
        <v>-217.86009999999999</v>
      </c>
      <c r="K1159">
        <v>1.118028</v>
      </c>
      <c r="L1159">
        <v>368.11059999999998</v>
      </c>
      <c r="M1159">
        <v>0.99146699999999999</v>
      </c>
      <c r="N1159">
        <v>-1.411988E-2</v>
      </c>
      <c r="O1159">
        <v>-0.12959119999999999</v>
      </c>
      <c r="P1159">
        <v>0.90269549999999998</v>
      </c>
      <c r="Q1159">
        <v>0.1904237</v>
      </c>
      <c r="R1159">
        <v>-0.38584950000000001</v>
      </c>
      <c r="S1159">
        <v>2.7406459999999999</v>
      </c>
      <c r="T1159">
        <v>-0.28793419999999997</v>
      </c>
      <c r="U1159">
        <v>-1.5084229999999901</v>
      </c>
      <c r="V1159">
        <v>0.26727659999999998</v>
      </c>
      <c r="W1159">
        <v>0.2015478</v>
      </c>
      <c r="X1159">
        <v>0.94230659999999999</v>
      </c>
      <c r="Y1159">
        <v>0.36320839999999999</v>
      </c>
      <c r="Z1159">
        <v>-9.6885819999999994E-3</v>
      </c>
      <c r="AA1159">
        <v>0.93165759999999997</v>
      </c>
      <c r="AB1159">
        <v>33</v>
      </c>
      <c r="AC1159">
        <v>10.4652999999999</v>
      </c>
      <c r="AD1159">
        <v>-1.1180335591320001</v>
      </c>
      <c r="AE1159">
        <v>-5.8322000000000003</v>
      </c>
      <c r="AF1159">
        <v>4.3884472178964096</v>
      </c>
      <c r="AG1159">
        <v>-1.1180335591320001</v>
      </c>
      <c r="AH1159">
        <v>11.0367964455025</v>
      </c>
      <c r="AI1159">
        <v>95.377535696725801</v>
      </c>
      <c r="AJ1159">
        <v>68.316259003343404</v>
      </c>
      <c r="AK1159">
        <v>11.9297671311332</v>
      </c>
      <c r="AL1159">
        <v>78.372515375951906</v>
      </c>
      <c r="AM1159">
        <v>74.164499829001301</v>
      </c>
      <c r="AN1159">
        <v>1.00000001249798</v>
      </c>
    </row>
    <row r="1160" spans="1:40" x14ac:dyDescent="0.25">
      <c r="A1160" t="str">
        <f>"20190303162802148"</f>
        <v>20190303162802148</v>
      </c>
      <c r="B1160" t="str">
        <f>"1551601682142642"</f>
        <v>1551601682142642</v>
      </c>
      <c r="C1160" t="s">
        <v>40</v>
      </c>
      <c r="D1160">
        <v>5.3706250000000004</v>
      </c>
      <c r="E1160">
        <v>0.54467580000000004</v>
      </c>
      <c r="F1160" t="s">
        <v>46</v>
      </c>
      <c r="G1160">
        <v>-207.3484</v>
      </c>
      <c r="H1160" s="1">
        <v>-5.5396880000000002E-6</v>
      </c>
      <c r="I1160">
        <v>362.3032</v>
      </c>
      <c r="J1160">
        <v>-217.68629999999999</v>
      </c>
      <c r="K1160">
        <v>1.1180589999999999</v>
      </c>
      <c r="L1160">
        <v>368.08600000000001</v>
      </c>
      <c r="M1160">
        <v>0.99120620000000004</v>
      </c>
      <c r="N1160">
        <v>-1.4116200000000001E-2</v>
      </c>
      <c r="O1160">
        <v>-0.13157170000000001</v>
      </c>
      <c r="P1160">
        <v>0.90174370000000004</v>
      </c>
      <c r="Q1160">
        <v>0.19017200000000001</v>
      </c>
      <c r="R1160">
        <v>-0.38819229999999999</v>
      </c>
      <c r="S1160">
        <v>2.7382049999999998</v>
      </c>
      <c r="T1160">
        <v>-0.29123569999999999</v>
      </c>
      <c r="U1160">
        <v>-1.512756</v>
      </c>
      <c r="V1160">
        <v>0.26782</v>
      </c>
      <c r="W1160">
        <v>0.2013045</v>
      </c>
      <c r="X1160">
        <v>0.94220429999999999</v>
      </c>
      <c r="Y1160">
        <v>0.36281020000000003</v>
      </c>
      <c r="Z1160">
        <v>-9.5623380000000001E-3</v>
      </c>
      <c r="AA1160">
        <v>0.93181400000000003</v>
      </c>
      <c r="AB1160">
        <v>33</v>
      </c>
      <c r="AC1160">
        <v>10.3378999999999</v>
      </c>
      <c r="AD1160">
        <v>-1.118064539688</v>
      </c>
      <c r="AE1160">
        <v>-5.7827999999999999</v>
      </c>
      <c r="AF1160">
        <v>4.3335988781219896</v>
      </c>
      <c r="AG1160">
        <v>-1.118064539688</v>
      </c>
      <c r="AH1160">
        <v>10.9117255733126</v>
      </c>
      <c r="AI1160">
        <v>95.439825890803704</v>
      </c>
      <c r="AJ1160">
        <v>68.3394664607751</v>
      </c>
      <c r="AK1160">
        <v>11.793892594841299</v>
      </c>
      <c r="AL1160">
        <v>78.386746972881397</v>
      </c>
      <c r="AM1160">
        <v>74.132288040838503</v>
      </c>
      <c r="AN1160">
        <v>0.99999999852937005</v>
      </c>
    </row>
    <row r="1161" spans="1:40" x14ac:dyDescent="0.25">
      <c r="A1161" t="str">
        <f>"20190303162802159"</f>
        <v>20190303162802159</v>
      </c>
      <c r="B1161" t="str">
        <f>"1551601682152401"</f>
        <v>1551601682152401</v>
      </c>
      <c r="C1161" t="s">
        <v>40</v>
      </c>
      <c r="D1161">
        <v>5.3962859999999999</v>
      </c>
      <c r="E1161">
        <v>0.54457749999999905</v>
      </c>
      <c r="F1161" t="s">
        <v>46</v>
      </c>
      <c r="G1161">
        <v>-207.23269999999999</v>
      </c>
      <c r="H1161" s="1">
        <v>-5.50478899999999E-6</v>
      </c>
      <c r="I1161">
        <v>362.27890000000002</v>
      </c>
      <c r="J1161">
        <v>-217.51990000000001</v>
      </c>
      <c r="K1161">
        <v>1.1180840000000001</v>
      </c>
      <c r="L1161">
        <v>368.06209999999999</v>
      </c>
      <c r="M1161">
        <v>0.99095460000000002</v>
      </c>
      <c r="N1161">
        <v>-1.411276E-2</v>
      </c>
      <c r="O1161">
        <v>-0.133454399999999</v>
      </c>
      <c r="P1161">
        <v>0.90102190000000004</v>
      </c>
      <c r="Q1161">
        <v>0.18988099999999999</v>
      </c>
      <c r="R1161">
        <v>-0.39000669999999998</v>
      </c>
      <c r="S1161">
        <v>2.7345890000000002</v>
      </c>
      <c r="T1161">
        <v>-0.2924794</v>
      </c>
      <c r="U1161">
        <v>-1.519104</v>
      </c>
      <c r="V1161">
        <v>0.26790389999999997</v>
      </c>
      <c r="W1161">
        <v>0.2010266</v>
      </c>
      <c r="X1161">
        <v>0.94223979999999996</v>
      </c>
      <c r="Y1161">
        <v>0.36320999999999998</v>
      </c>
      <c r="Z1161">
        <v>-9.4523909999999992E-3</v>
      </c>
      <c r="AA1161">
        <v>0.93165940000000003</v>
      </c>
      <c r="AB1161">
        <v>33</v>
      </c>
      <c r="AC1161">
        <v>10.2872</v>
      </c>
      <c r="AD1161">
        <v>-1.118089504789</v>
      </c>
      <c r="AE1161">
        <v>-5.7831999999999599</v>
      </c>
      <c r="AF1161">
        <v>4.3196759943883603</v>
      </c>
      <c r="AG1161">
        <v>-1.118089504789</v>
      </c>
      <c r="AH1161">
        <v>10.8694665256384</v>
      </c>
      <c r="AI1161">
        <v>95.460478717898496</v>
      </c>
      <c r="AJ1161">
        <v>68.326444280293401</v>
      </c>
      <c r="AK1161">
        <v>11.7496820122584</v>
      </c>
      <c r="AL1161">
        <v>78.403001981194905</v>
      </c>
      <c r="AM1161">
        <v>74.128135456431195</v>
      </c>
      <c r="AN1161">
        <v>1.0000000171234</v>
      </c>
    </row>
    <row r="1162" spans="1:40" x14ac:dyDescent="0.25">
      <c r="A1162" t="str">
        <f>"20190303162802172"</f>
        <v>20190303162802172</v>
      </c>
      <c r="B1162" t="str">
        <f>"1551601682163137"</f>
        <v>1551601682163137</v>
      </c>
      <c r="C1162" t="s">
        <v>40</v>
      </c>
      <c r="D1162">
        <v>5.3700469999999996</v>
      </c>
      <c r="E1162">
        <v>0.54446349999999999</v>
      </c>
      <c r="F1162" t="s">
        <v>46</v>
      </c>
      <c r="G1162">
        <v>-207.11150000000001</v>
      </c>
      <c r="H1162" s="1">
        <v>-5.468106E-6</v>
      </c>
      <c r="I1162">
        <v>362.25380000000001</v>
      </c>
      <c r="J1162">
        <v>-217.34790000000001</v>
      </c>
      <c r="K1162">
        <v>1.118104</v>
      </c>
      <c r="L1162">
        <v>368.03699999999998</v>
      </c>
      <c r="M1162">
        <v>0.99069240000000003</v>
      </c>
      <c r="N1162">
        <v>-1.410935E-2</v>
      </c>
      <c r="O1162">
        <v>-0.13538720000000001</v>
      </c>
      <c r="P1162">
        <v>0.90016099999999999</v>
      </c>
      <c r="Q1162">
        <v>0.18949079999999999</v>
      </c>
      <c r="R1162">
        <v>-0.39217829999999998</v>
      </c>
      <c r="S1162">
        <v>2.731598</v>
      </c>
      <c r="T1162">
        <v>-0.29343340000000001</v>
      </c>
      <c r="U1162">
        <v>-1.5243230000000001</v>
      </c>
      <c r="V1162">
        <v>0.26831359999999999</v>
      </c>
      <c r="W1162">
        <v>0.2006445</v>
      </c>
      <c r="X1162">
        <v>0.94220470000000001</v>
      </c>
      <c r="Y1162">
        <v>0.36318279999999997</v>
      </c>
      <c r="Z1162">
        <v>-9.306801E-3</v>
      </c>
      <c r="AA1162">
        <v>0.93167140000000004</v>
      </c>
      <c r="AB1162">
        <v>33</v>
      </c>
      <c r="AC1162">
        <v>10.2364</v>
      </c>
      <c r="AD1162">
        <v>-1.118109468106</v>
      </c>
      <c r="AE1162">
        <v>-5.7831999999999599</v>
      </c>
      <c r="AF1162">
        <v>4.3049916592728099</v>
      </c>
      <c r="AG1162">
        <v>-1.118109468106</v>
      </c>
      <c r="AH1162">
        <v>10.827257833323801</v>
      </c>
      <c r="AI1162">
        <v>95.481372568612599</v>
      </c>
      <c r="AJ1162">
        <v>68.316893636353001</v>
      </c>
      <c r="AK1162">
        <v>11.705239602774</v>
      </c>
      <c r="AL1162">
        <v>78.425350426652898</v>
      </c>
      <c r="AM1162">
        <v>74.104526188621705</v>
      </c>
      <c r="AN1162">
        <v>1.0000000500136399</v>
      </c>
    </row>
    <row r="1163" spans="1:40" x14ac:dyDescent="0.25">
      <c r="A1163" t="str">
        <f>"20190303162802187"</f>
        <v>20190303162802187</v>
      </c>
      <c r="B1163" t="str">
        <f>"1551601682182657"</f>
        <v>1551601682182657</v>
      </c>
      <c r="C1163" t="s">
        <v>40</v>
      </c>
      <c r="D1163">
        <v>5.3736470000000001</v>
      </c>
      <c r="E1163">
        <v>0.54430009999999995</v>
      </c>
      <c r="F1163" t="s">
        <v>46</v>
      </c>
      <c r="G1163">
        <v>-206.9913</v>
      </c>
      <c r="H1163" s="1">
        <v>-5.4317470000000003E-6</v>
      </c>
      <c r="I1163">
        <v>362.22910000000002</v>
      </c>
      <c r="J1163">
        <v>-217.12690000000001</v>
      </c>
      <c r="K1163">
        <v>1.118136</v>
      </c>
      <c r="L1163">
        <v>368.0043</v>
      </c>
      <c r="M1163">
        <v>0.99035110000000004</v>
      </c>
      <c r="N1163">
        <v>-1.410519E-2</v>
      </c>
      <c r="O1163">
        <v>-0.1378615</v>
      </c>
      <c r="P1163">
        <v>0.89890609999999904</v>
      </c>
      <c r="Q1163">
        <v>0.18896460000000001</v>
      </c>
      <c r="R1163">
        <v>-0.39529829999999999</v>
      </c>
      <c r="S1163">
        <v>2.7281949999999999</v>
      </c>
      <c r="T1163">
        <v>-0.294539</v>
      </c>
      <c r="U1163">
        <v>-1.529938</v>
      </c>
      <c r="V1163">
        <v>0.26919789999999999</v>
      </c>
      <c r="W1163">
        <v>0.20012260000000001</v>
      </c>
      <c r="X1163">
        <v>0.9420634</v>
      </c>
      <c r="Y1163">
        <v>0.3628112</v>
      </c>
      <c r="Z1163">
        <v>-9.0969429999999997E-3</v>
      </c>
      <c r="AA1163">
        <v>0.93181820000000004</v>
      </c>
      <c r="AB1163">
        <v>32</v>
      </c>
      <c r="AC1163">
        <v>10.1356</v>
      </c>
      <c r="AD1163">
        <v>-1.118141431747</v>
      </c>
      <c r="AE1163">
        <v>-5.7751999999999803</v>
      </c>
      <c r="AF1163">
        <v>4.28324505017933</v>
      </c>
      <c r="AG1163">
        <v>-1.118141431747</v>
      </c>
      <c r="AH1163">
        <v>10.736419116639601</v>
      </c>
      <c r="AI1163">
        <v>95.525093270647005</v>
      </c>
      <c r="AJ1163">
        <v>68.250699072039197</v>
      </c>
      <c r="AK1163">
        <v>11.6132305526679</v>
      </c>
      <c r="AL1163">
        <v>78.455871645524596</v>
      </c>
      <c r="AM1163">
        <v>74.052527652692703</v>
      </c>
      <c r="AN1163">
        <v>1.00000000700736</v>
      </c>
    </row>
    <row r="1164" spans="1:40" x14ac:dyDescent="0.25">
      <c r="A1164" t="str">
        <f>"20190303162802200"</f>
        <v>20190303162802200</v>
      </c>
      <c r="B1164" t="str">
        <f>"1551601682192417"</f>
        <v>1551601682192417</v>
      </c>
      <c r="C1164" t="s">
        <v>40</v>
      </c>
      <c r="D1164">
        <v>5.4134539999999998</v>
      </c>
      <c r="E1164">
        <v>0.5442089</v>
      </c>
      <c r="F1164" t="s">
        <v>46</v>
      </c>
      <c r="G1164">
        <v>-206.84460000000001</v>
      </c>
      <c r="H1164" s="1">
        <v>-5.388142E-6</v>
      </c>
      <c r="I1164">
        <v>362.19380000000001</v>
      </c>
      <c r="J1164">
        <v>-216.93680000000001</v>
      </c>
      <c r="K1164">
        <v>1.1181559999999999</v>
      </c>
      <c r="L1164">
        <v>367.97579999999999</v>
      </c>
      <c r="M1164">
        <v>0.99005379999999998</v>
      </c>
      <c r="N1164">
        <v>-1.4101850000000001E-2</v>
      </c>
      <c r="O1164">
        <v>-0.13998060000000001</v>
      </c>
      <c r="P1164">
        <v>0.89794909999999994</v>
      </c>
      <c r="Q1164">
        <v>0.18861910000000001</v>
      </c>
      <c r="R1164">
        <v>-0.39763110000000002</v>
      </c>
      <c r="S1164">
        <v>2.7229459999999999</v>
      </c>
      <c r="T1164">
        <v>-0.29610399999999998</v>
      </c>
      <c r="U1164">
        <v>-1.538727</v>
      </c>
      <c r="V1164">
        <v>0.26960659999999997</v>
      </c>
      <c r="W1164">
        <v>0.19978299999999999</v>
      </c>
      <c r="X1164">
        <v>0.94201860000000004</v>
      </c>
      <c r="Y1164">
        <v>0.36385440000000002</v>
      </c>
      <c r="Z1164">
        <v>-9.0060980000000006E-3</v>
      </c>
      <c r="AA1164">
        <v>0.93141229999999997</v>
      </c>
      <c r="AB1164">
        <v>32</v>
      </c>
      <c r="AC1164">
        <v>10.092199999999901</v>
      </c>
      <c r="AD1164">
        <v>-1.1181613881419901</v>
      </c>
      <c r="AE1164">
        <v>-5.7819999999999796</v>
      </c>
      <c r="AF1164">
        <v>4.27271958443432</v>
      </c>
      <c r="AG1164">
        <v>-1.1181613881419901</v>
      </c>
      <c r="AH1164">
        <v>10.703343648131501</v>
      </c>
      <c r="AI1164">
        <v>95.541686159578404</v>
      </c>
      <c r="AJ1164">
        <v>68.238370614496205</v>
      </c>
      <c r="AK1164">
        <v>11.5787729396139</v>
      </c>
      <c r="AL1164">
        <v>78.4757302961292</v>
      </c>
      <c r="AM1164">
        <v>74.028829068527699</v>
      </c>
      <c r="AN1164">
        <v>1.0000000042992501</v>
      </c>
    </row>
    <row r="1165" spans="1:40" x14ac:dyDescent="0.25">
      <c r="A1165" t="str">
        <f>"20190303162802213"</f>
        <v>20190303162802213</v>
      </c>
      <c r="B1165" t="str">
        <f>"1551601682202177"</f>
        <v>1551601682202177</v>
      </c>
      <c r="C1165" t="s">
        <v>40</v>
      </c>
      <c r="D1165">
        <v>5.3892230000000003</v>
      </c>
      <c r="E1165">
        <v>0.54415009999999997</v>
      </c>
      <c r="F1165" t="s">
        <v>46</v>
      </c>
      <c r="G1165">
        <v>-206.72280000000001</v>
      </c>
      <c r="H1165" s="1">
        <v>-5.3509389999999999E-6</v>
      </c>
      <c r="I1165">
        <v>362.17099999999999</v>
      </c>
      <c r="J1165">
        <v>-216.75470000000001</v>
      </c>
      <c r="K1165">
        <v>1.11817099999999</v>
      </c>
      <c r="L1165">
        <v>367.94799999999998</v>
      </c>
      <c r="M1165">
        <v>0.98976569999999997</v>
      </c>
      <c r="N1165">
        <v>-1.409883E-2</v>
      </c>
      <c r="O1165">
        <v>-0.14200380000000001</v>
      </c>
      <c r="P1165">
        <v>0.897036099999999</v>
      </c>
      <c r="Q1165">
        <v>0.18835650000000001</v>
      </c>
      <c r="R1165">
        <v>-0.39981060000000002</v>
      </c>
      <c r="S1165">
        <v>2.7191619999999999</v>
      </c>
      <c r="T1165">
        <v>-0.29767729999999998</v>
      </c>
      <c r="U1165">
        <v>-1.5453490000000001</v>
      </c>
      <c r="V1165">
        <v>0.26995239999999998</v>
      </c>
      <c r="W1165">
        <v>0.1995246</v>
      </c>
      <c r="X1165">
        <v>0.94197430000000004</v>
      </c>
      <c r="Y1165">
        <v>0.3642146</v>
      </c>
      <c r="Z1165">
        <v>-8.8804419999999901E-3</v>
      </c>
      <c r="AA1165">
        <v>0.93127269999999895</v>
      </c>
      <c r="AB1165">
        <v>32</v>
      </c>
      <c r="AC1165">
        <v>10.0319</v>
      </c>
      <c r="AD1165">
        <v>-1.1181763509389899</v>
      </c>
      <c r="AE1165">
        <v>-5.7770000000000401</v>
      </c>
      <c r="AF1165">
        <v>4.2540457096273796</v>
      </c>
      <c r="AG1165">
        <v>-1.1181763509389899</v>
      </c>
      <c r="AH1165">
        <v>10.651280229223101</v>
      </c>
      <c r="AI1165">
        <v>95.568300669993903</v>
      </c>
      <c r="AJ1165">
        <v>68.228583180278704</v>
      </c>
      <c r="AK1165">
        <v>11.523757797387001</v>
      </c>
      <c r="AL1165">
        <v>78.490839366946801</v>
      </c>
      <c r="AM1165">
        <v>74.008677369236096</v>
      </c>
      <c r="AN1165">
        <v>0.99999997306570398</v>
      </c>
    </row>
    <row r="1166" spans="1:40" x14ac:dyDescent="0.25">
      <c r="A1166" t="str">
        <f>"20190303162802231"</f>
        <v>20190303162802231</v>
      </c>
      <c r="B1166" t="str">
        <f>"1551601682222673"</f>
        <v>1551601682222673</v>
      </c>
      <c r="C1166" t="s">
        <v>40</v>
      </c>
      <c r="D1166">
        <v>5.3861470000000002</v>
      </c>
      <c r="E1166">
        <v>0.54405579999999998</v>
      </c>
      <c r="F1166" t="s">
        <v>46</v>
      </c>
      <c r="G1166">
        <v>-206.57589999999999</v>
      </c>
      <c r="H1166" s="1">
        <v>-5.307601E-6</v>
      </c>
      <c r="I1166">
        <v>362.13350000000003</v>
      </c>
      <c r="J1166">
        <v>-216.49340000000001</v>
      </c>
      <c r="K1166">
        <v>1.1181890000000001</v>
      </c>
      <c r="L1166">
        <v>367.90750000000003</v>
      </c>
      <c r="M1166">
        <v>0.98934580000000005</v>
      </c>
      <c r="N1166">
        <v>-1.409471E-2</v>
      </c>
      <c r="O1166">
        <v>-0.14490129999999901</v>
      </c>
      <c r="P1166">
        <v>0.89551059999999905</v>
      </c>
      <c r="Q1166">
        <v>0.18778600000000001</v>
      </c>
      <c r="R1166">
        <v>-0.40348240000000002</v>
      </c>
      <c r="S1166">
        <v>2.7156220000000002</v>
      </c>
      <c r="T1166">
        <v>-0.29831970000000002</v>
      </c>
      <c r="U1166">
        <v>-1.551239</v>
      </c>
      <c r="V1166">
        <v>0.27102530000000002</v>
      </c>
      <c r="W1166">
        <v>0.19895119999999999</v>
      </c>
      <c r="X1166">
        <v>0.9417875</v>
      </c>
      <c r="Y1166">
        <v>0.36354209999999998</v>
      </c>
      <c r="Z1166">
        <v>-8.6042459999999994E-3</v>
      </c>
      <c r="AA1166">
        <v>0.93153799999999998</v>
      </c>
      <c r="AB1166">
        <v>32</v>
      </c>
      <c r="AC1166">
        <v>9.9175000000000093</v>
      </c>
      <c r="AD1166">
        <v>-1.1181943076009999</v>
      </c>
      <c r="AE1166">
        <v>-5.774</v>
      </c>
      <c r="AF1166">
        <v>4.2356340823823402</v>
      </c>
      <c r="AG1166">
        <v>-1.1181943076009999</v>
      </c>
      <c r="AH1166">
        <v>10.549395119738101</v>
      </c>
      <c r="AI1166">
        <v>95.617755758184501</v>
      </c>
      <c r="AJ1166">
        <v>68.124296544580503</v>
      </c>
      <c r="AK1166">
        <v>11.422814538534</v>
      </c>
      <c r="AL1166">
        <v>78.524365162741006</v>
      </c>
      <c r="AM1166">
        <v>73.945369382479996</v>
      </c>
      <c r="AN1166">
        <v>0.99999999418888996</v>
      </c>
    </row>
    <row r="1167" spans="1:40" x14ac:dyDescent="0.25">
      <c r="A1167" t="str">
        <f>"20190303162802243"</f>
        <v>20190303162802243</v>
      </c>
      <c r="B1167" t="str">
        <f>"1551601682232433"</f>
        <v>1551601682232433</v>
      </c>
      <c r="C1167" t="s">
        <v>40</v>
      </c>
      <c r="D1167">
        <v>5.3802289999999999</v>
      </c>
      <c r="E1167">
        <v>0.5438809</v>
      </c>
      <c r="F1167" t="s">
        <v>46</v>
      </c>
      <c r="G1167">
        <v>-206.38929999999999</v>
      </c>
      <c r="H1167" s="1">
        <v>-5.2525909999999999E-6</v>
      </c>
      <c r="I1167">
        <v>362.08600000000001</v>
      </c>
      <c r="J1167">
        <v>-216.3218</v>
      </c>
      <c r="K1167">
        <v>1.1181989999999999</v>
      </c>
      <c r="L1167">
        <v>367.88060000000002</v>
      </c>
      <c r="M1167">
        <v>0.98906550000000004</v>
      </c>
      <c r="N1167">
        <v>-1.409212E-2</v>
      </c>
      <c r="O1167">
        <v>-0.1468033</v>
      </c>
      <c r="P1167">
        <v>0.89449639999999997</v>
      </c>
      <c r="Q1167">
        <v>0.18727469999999999</v>
      </c>
      <c r="R1167">
        <v>-0.4059622</v>
      </c>
      <c r="S1167">
        <v>2.709549</v>
      </c>
      <c r="T1167">
        <v>-0.29985830000000002</v>
      </c>
      <c r="U1167">
        <v>-1.5611269999999999</v>
      </c>
      <c r="V1167">
        <v>0.27180100000000001</v>
      </c>
      <c r="W1167">
        <v>0.19843669999999999</v>
      </c>
      <c r="X1167">
        <v>0.94167250000000002</v>
      </c>
      <c r="Y1167">
        <v>0.36519020000000002</v>
      </c>
      <c r="Z1167">
        <v>-8.5625500000000004E-3</v>
      </c>
      <c r="AA1167">
        <v>0.93089350000000004</v>
      </c>
      <c r="AB1167">
        <v>32</v>
      </c>
      <c r="AC1167">
        <v>9.9324999999999992</v>
      </c>
      <c r="AD1167">
        <v>-1.1182042525910001</v>
      </c>
      <c r="AE1167">
        <v>-5.7946</v>
      </c>
      <c r="AF1167">
        <v>4.2335068611772497</v>
      </c>
      <c r="AG1167">
        <v>-1.1182042525910001</v>
      </c>
      <c r="AH1167">
        <v>10.575614982221101</v>
      </c>
      <c r="AI1167">
        <v>95.6062678795995</v>
      </c>
      <c r="AJ1167">
        <v>68.1833624008312</v>
      </c>
      <c r="AK1167">
        <v>11.446248003006399</v>
      </c>
      <c r="AL1167">
        <v>78.554443652356696</v>
      </c>
      <c r="AM1167">
        <v>73.899932655028707</v>
      </c>
      <c r="AN1167">
        <v>1.0000000023820601</v>
      </c>
    </row>
    <row r="1168" spans="1:40" x14ac:dyDescent="0.25">
      <c r="A1168" t="str">
        <f>"20190303162802255"</f>
        <v>20190303162802255</v>
      </c>
      <c r="B1168" t="str">
        <f>"1551601682242193"</f>
        <v>1551601682242193</v>
      </c>
      <c r="C1168" t="s">
        <v>40</v>
      </c>
      <c r="D1168">
        <v>5.411613</v>
      </c>
      <c r="E1168">
        <v>0.5438809</v>
      </c>
      <c r="F1168" t="s">
        <v>46</v>
      </c>
      <c r="G1168">
        <v>-206.29730000000001</v>
      </c>
      <c r="H1168" s="1">
        <v>-5.2231939999999996E-6</v>
      </c>
      <c r="I1168">
        <v>362.077</v>
      </c>
      <c r="J1168">
        <v>-216.1362</v>
      </c>
      <c r="K1168">
        <v>1.1181989999999999</v>
      </c>
      <c r="L1168">
        <v>367.851</v>
      </c>
      <c r="M1168">
        <v>0.98875809999999997</v>
      </c>
      <c r="N1168">
        <v>-1.408943E-2</v>
      </c>
      <c r="O1168">
        <v>-0.14885880000000001</v>
      </c>
      <c r="P1168">
        <v>0.89351729999999996</v>
      </c>
      <c r="Q1168">
        <v>0.18667349999999999</v>
      </c>
      <c r="R1168">
        <v>-0.40838669999999999</v>
      </c>
      <c r="S1168">
        <v>2.7060390000000001</v>
      </c>
      <c r="T1168">
        <v>-0.30185269999999997</v>
      </c>
      <c r="U1168">
        <v>-1.5666500000000001</v>
      </c>
      <c r="V1168">
        <v>0.272372</v>
      </c>
      <c r="W1168">
        <v>0.19783429999999999</v>
      </c>
      <c r="X1168">
        <v>0.94163430000000004</v>
      </c>
      <c r="Y1168">
        <v>0.36519289999999999</v>
      </c>
      <c r="Z1168">
        <v>-8.4121679999999994E-3</v>
      </c>
      <c r="AA1168">
        <v>0.93089379999999999</v>
      </c>
      <c r="AB1168">
        <v>32</v>
      </c>
      <c r="AC1168">
        <v>9.83889999999999</v>
      </c>
      <c r="AD1168">
        <v>-1.1182042231939999</v>
      </c>
      <c r="AE1168">
        <v>-5.774</v>
      </c>
      <c r="AF1168">
        <v>4.2045078735152899</v>
      </c>
      <c r="AG1168">
        <v>-1.1182042231939999</v>
      </c>
      <c r="AH1168">
        <v>10.488086821984201</v>
      </c>
      <c r="AI1168">
        <v>95.651636746816195</v>
      </c>
      <c r="AJ1168">
        <v>68.154932604350407</v>
      </c>
      <c r="AK1168">
        <v>11.354656856492801</v>
      </c>
      <c r="AL1168">
        <v>78.589657128973599</v>
      </c>
      <c r="AM1168">
        <v>73.867246941670203</v>
      </c>
      <c r="AN1168">
        <v>1.00000003578848</v>
      </c>
    </row>
    <row r="1169" spans="1:40" x14ac:dyDescent="0.25">
      <c r="A1169" t="str">
        <f>"20190303162802268"</f>
        <v>20190303162802268</v>
      </c>
      <c r="B1169" t="str">
        <f>"1551601682262692"</f>
        <v>1551601682262692</v>
      </c>
      <c r="C1169" t="s">
        <v>40</v>
      </c>
      <c r="D1169">
        <v>5.3420529999999999</v>
      </c>
      <c r="E1169">
        <v>0.54468909999999904</v>
      </c>
      <c r="F1169" t="s">
        <v>46</v>
      </c>
      <c r="G1169">
        <v>-206.19499999999999</v>
      </c>
      <c r="H1169" s="1">
        <v>-5.1868120000000004E-6</v>
      </c>
      <c r="I1169">
        <v>362.0609</v>
      </c>
      <c r="J1169">
        <v>-215.96190000000001</v>
      </c>
      <c r="K1169">
        <v>1.118204</v>
      </c>
      <c r="L1169">
        <v>367.82279999999997</v>
      </c>
      <c r="M1169">
        <v>0.9884657</v>
      </c>
      <c r="N1169">
        <v>-1.4086970000000001E-2</v>
      </c>
      <c r="O1169">
        <v>-0.15078859999999999</v>
      </c>
      <c r="P1169">
        <v>0.89253199999999999</v>
      </c>
      <c r="Q1169">
        <v>0.18600050000000001</v>
      </c>
      <c r="R1169">
        <v>-0.41084130000000002</v>
      </c>
      <c r="S1169">
        <v>2.7017820000000001</v>
      </c>
      <c r="T1169">
        <v>-0.30390159999999899</v>
      </c>
      <c r="U1169">
        <v>-1.5736079999999999</v>
      </c>
      <c r="V1169">
        <v>0.2730939</v>
      </c>
      <c r="W1169">
        <v>0.1971569</v>
      </c>
      <c r="X1169">
        <v>0.94156719999999905</v>
      </c>
      <c r="Y1169">
        <v>0.36579070000000002</v>
      </c>
      <c r="Z1169">
        <v>-8.3067790000000002E-3</v>
      </c>
      <c r="AA1169">
        <v>0.93066009999999999</v>
      </c>
      <c r="AB1169">
        <v>32</v>
      </c>
      <c r="AC1169">
        <v>9.7669000000000192</v>
      </c>
      <c r="AD1169">
        <v>-1.1182091868119901</v>
      </c>
      <c r="AE1169">
        <v>-5.7618999999999598</v>
      </c>
      <c r="AF1169">
        <v>4.1824531737173496</v>
      </c>
      <c r="AG1169">
        <v>-1.1182091868119901</v>
      </c>
      <c r="AH1169">
        <v>10.422770134753501</v>
      </c>
      <c r="AI1169">
        <v>95.686074326652999</v>
      </c>
      <c r="AJ1169">
        <v>68.1353766870116</v>
      </c>
      <c r="AK1169">
        <v>11.286161598068601</v>
      </c>
      <c r="AL1169">
        <v>78.629248191487505</v>
      </c>
      <c r="AM1169">
        <v>73.825628778156499</v>
      </c>
      <c r="AN1169">
        <v>0.99999995677532805</v>
      </c>
    </row>
    <row r="1170" spans="1:40" x14ac:dyDescent="0.25">
      <c r="A1170" t="str">
        <f>"20190303162802279"</f>
        <v>20190303162802279</v>
      </c>
      <c r="B1170" t="str">
        <f>"1551601682272449"</f>
        <v>1551601682272449</v>
      </c>
      <c r="C1170" t="s">
        <v>40</v>
      </c>
      <c r="D1170">
        <v>5.3278850000000002</v>
      </c>
      <c r="E1170">
        <v>0.57269490000000001</v>
      </c>
      <c r="F1170" t="s">
        <v>46</v>
      </c>
      <c r="G1170">
        <v>-206.0206</v>
      </c>
      <c r="H1170" s="1">
        <v>-5.1256690000000001E-6</v>
      </c>
      <c r="I1170">
        <v>361.97019999999998</v>
      </c>
      <c r="J1170">
        <v>-215.79740000000001</v>
      </c>
      <c r="K1170">
        <v>1.1182110000000001</v>
      </c>
      <c r="L1170">
        <v>367.79599999999999</v>
      </c>
      <c r="M1170">
        <v>0.9881858</v>
      </c>
      <c r="N1170">
        <v>-1.408472E-2</v>
      </c>
      <c r="O1170">
        <v>-0.15261269999999999</v>
      </c>
      <c r="P1170">
        <v>0.89147169999999898</v>
      </c>
      <c r="Q1170">
        <v>0.185166</v>
      </c>
      <c r="R1170">
        <v>-0.41351199999999999</v>
      </c>
      <c r="S1170">
        <v>2.694229</v>
      </c>
      <c r="T1170">
        <v>-0.30304769999999998</v>
      </c>
      <c r="U1170">
        <v>-1.5861209999999999</v>
      </c>
      <c r="V1170">
        <v>0.27414229999999901</v>
      </c>
      <c r="W1170">
        <v>0.19631489999999999</v>
      </c>
      <c r="X1170">
        <v>0.94143849999999996</v>
      </c>
      <c r="Y1170">
        <v>0.36841970000000002</v>
      </c>
      <c r="Z1170">
        <v>-8.3000699999999997E-3</v>
      </c>
      <c r="AA1170">
        <v>0.92962250000000002</v>
      </c>
      <c r="AB1170">
        <v>32</v>
      </c>
      <c r="AC1170">
        <v>9.7767999999999997</v>
      </c>
      <c r="AD1170">
        <v>-1.118216125669</v>
      </c>
      <c r="AE1170">
        <v>-5.8258000000000099</v>
      </c>
      <c r="AF1170">
        <v>4.2245490055709096</v>
      </c>
      <c r="AG1170">
        <v>-1.118216125669</v>
      </c>
      <c r="AH1170">
        <v>10.4505448521688</v>
      </c>
      <c r="AI1170">
        <v>95.665316312655506</v>
      </c>
      <c r="AJ1170">
        <v>67.989373432128403</v>
      </c>
      <c r="AK1170">
        <v>11.3274493735954</v>
      </c>
      <c r="AL1170">
        <v>78.678453310288702</v>
      </c>
      <c r="AM1170">
        <v>73.764697728495804</v>
      </c>
      <c r="AN1170">
        <v>0.99999999494677405</v>
      </c>
    </row>
    <row r="1171" spans="1:40" x14ac:dyDescent="0.25">
      <c r="A1171" t="str">
        <f>"20190303162802290"</f>
        <v>20190303162802290</v>
      </c>
      <c r="B1171" t="str">
        <f>"1551601682282209"</f>
        <v>1551601682282209</v>
      </c>
      <c r="C1171" t="s">
        <v>40</v>
      </c>
      <c r="D1171">
        <v>5.2881140000000002</v>
      </c>
      <c r="E1171">
        <v>0.57417099999999999</v>
      </c>
      <c r="F1171" t="s">
        <v>46</v>
      </c>
      <c r="G1171">
        <v>-204.99539999999999</v>
      </c>
      <c r="H1171" s="1">
        <v>-5.0175349999999997E-6</v>
      </c>
      <c r="I1171">
        <v>360.30329999999998</v>
      </c>
      <c r="J1171">
        <v>-215.6353</v>
      </c>
      <c r="K1171">
        <v>1.118212</v>
      </c>
      <c r="L1171">
        <v>367.76909999999998</v>
      </c>
      <c r="M1171">
        <v>0.98790599999999995</v>
      </c>
      <c r="N1171">
        <v>-1.4082580000000001E-2</v>
      </c>
      <c r="O1171">
        <v>-0.15441369999999999</v>
      </c>
      <c r="P1171">
        <v>0.89046700000000001</v>
      </c>
      <c r="Q1171">
        <v>0.18444940000000001</v>
      </c>
      <c r="R1171">
        <v>-0.41599000000000003</v>
      </c>
      <c r="S1171">
        <v>2.5881500000000002</v>
      </c>
      <c r="T1171">
        <v>-0.2679222</v>
      </c>
      <c r="U1171">
        <v>-1.7952269999999999</v>
      </c>
      <c r="V1171">
        <v>0.2750165</v>
      </c>
      <c r="W1171">
        <v>0.1955906</v>
      </c>
      <c r="X1171">
        <v>0.94133429999999996</v>
      </c>
      <c r="Y1171">
        <v>0.43479849999999998</v>
      </c>
      <c r="Z1171">
        <v>-1.144497E-2</v>
      </c>
      <c r="AA1171">
        <v>0.90045509999999995</v>
      </c>
      <c r="AB1171">
        <v>32</v>
      </c>
      <c r="AC1171">
        <v>10.639900000000001</v>
      </c>
      <c r="AD1171">
        <v>-1.1182170175349999</v>
      </c>
      <c r="AE1171">
        <v>-7.4657999999999998</v>
      </c>
      <c r="AF1171">
        <v>5.6910097121586496</v>
      </c>
      <c r="AG1171">
        <v>-1.1182170175349999</v>
      </c>
      <c r="AH1171">
        <v>11.579495836314599</v>
      </c>
      <c r="AI1171">
        <v>94.953291456092302</v>
      </c>
      <c r="AJ1171">
        <v>63.827128639734902</v>
      </c>
      <c r="AK1171">
        <v>12.950780851571</v>
      </c>
      <c r="AL1171">
        <v>78.720773269726607</v>
      </c>
      <c r="AM1171">
        <v>73.713958004003999</v>
      </c>
      <c r="AN1171">
        <v>1.0000000112185401</v>
      </c>
    </row>
    <row r="1172" spans="1:40" x14ac:dyDescent="0.25">
      <c r="A1172" t="str">
        <f>"20190303162802302"</f>
        <v>20190303162802302</v>
      </c>
      <c r="B1172" t="str">
        <f>"1551601682292946"</f>
        <v>1551601682292946</v>
      </c>
      <c r="C1172" t="s">
        <v>40</v>
      </c>
      <c r="D1172">
        <v>5.2441559999999896</v>
      </c>
      <c r="E1172">
        <v>0.57531339999999997</v>
      </c>
      <c r="F1172" t="s">
        <v>46</v>
      </c>
      <c r="G1172">
        <v>-204.60830000000001</v>
      </c>
      <c r="H1172" s="1">
        <v>-4.8868719999999998E-6</v>
      </c>
      <c r="I1172">
        <v>360.01409999999998</v>
      </c>
      <c r="J1172">
        <v>-215.46619999999999</v>
      </c>
      <c r="K1172">
        <v>1.1182099999999999</v>
      </c>
      <c r="L1172">
        <v>367.74090000000001</v>
      </c>
      <c r="M1172">
        <v>0.98761030000000005</v>
      </c>
      <c r="N1172">
        <v>-1.408039E-2</v>
      </c>
      <c r="O1172">
        <v>-0.1562935</v>
      </c>
      <c r="P1172">
        <v>0.88922570000000001</v>
      </c>
      <c r="Q1172">
        <v>0.18389649999999999</v>
      </c>
      <c r="R1172">
        <v>-0.41887940000000001</v>
      </c>
      <c r="S1172">
        <v>2.5766300000000002</v>
      </c>
      <c r="T1172">
        <v>-0.26128829999999997</v>
      </c>
      <c r="U1172">
        <v>-1.812073</v>
      </c>
      <c r="V1172">
        <v>0.27626119999999998</v>
      </c>
      <c r="W1172">
        <v>0.19502520000000001</v>
      </c>
      <c r="X1172">
        <v>0.94108709999999995</v>
      </c>
      <c r="Y1172">
        <v>0.43895899999999999</v>
      </c>
      <c r="Z1172">
        <v>-1.1390809999999999E-2</v>
      </c>
      <c r="AA1172">
        <v>0.89843490000000004</v>
      </c>
      <c r="AB1172">
        <v>32</v>
      </c>
      <c r="AC1172">
        <v>10.8578999999999</v>
      </c>
      <c r="AD1172">
        <v>-1.1182148868720001</v>
      </c>
      <c r="AE1172">
        <v>-7.7268000000000203</v>
      </c>
      <c r="AF1172">
        <v>5.8931446597925001</v>
      </c>
      <c r="AG1172">
        <v>-1.1182148868720001</v>
      </c>
      <c r="AH1172">
        <v>11.8487819154584</v>
      </c>
      <c r="AI1172">
        <v>94.829988676535606</v>
      </c>
      <c r="AJ1172">
        <v>63.555951558366999</v>
      </c>
      <c r="AK1172">
        <v>13.2805568932389</v>
      </c>
      <c r="AL1172">
        <v>78.753804341949504</v>
      </c>
      <c r="AM1172">
        <v>73.640113724969197</v>
      </c>
      <c r="AN1172">
        <v>1.0000000045234401</v>
      </c>
    </row>
    <row r="1173" spans="1:40" x14ac:dyDescent="0.25">
      <c r="A1173" t="str">
        <f>"20190303162802316"</f>
        <v>20190303162802316</v>
      </c>
      <c r="B1173" t="str">
        <f>"1551601682302706"</f>
        <v>1551601682302706</v>
      </c>
      <c r="C1173" t="s">
        <v>40</v>
      </c>
      <c r="D1173">
        <v>5.2132019999999999</v>
      </c>
      <c r="E1173">
        <v>0.57561149999999905</v>
      </c>
      <c r="F1173" t="s">
        <v>46</v>
      </c>
      <c r="G1173">
        <v>-204.17150000000001</v>
      </c>
      <c r="H1173" s="1">
        <v>-4.7387979999999998E-6</v>
      </c>
      <c r="I1173">
        <v>359.69060000000002</v>
      </c>
      <c r="J1173">
        <v>-215.2818</v>
      </c>
      <c r="K1173">
        <v>1.118201</v>
      </c>
      <c r="L1173">
        <v>367.70960000000002</v>
      </c>
      <c r="M1173">
        <v>0.98728210000000005</v>
      </c>
      <c r="N1173">
        <v>-1.4078240000000001E-2</v>
      </c>
      <c r="O1173">
        <v>-0.15835350000000001</v>
      </c>
      <c r="P1173">
        <v>0.88793559999999905</v>
      </c>
      <c r="Q1173">
        <v>0.1833494</v>
      </c>
      <c r="R1173">
        <v>-0.42184579999999999</v>
      </c>
      <c r="S1173">
        <v>2.565048</v>
      </c>
      <c r="T1173">
        <v>-0.25394879999999997</v>
      </c>
      <c r="U1173">
        <v>-1.828247</v>
      </c>
      <c r="V1173">
        <v>0.2774199</v>
      </c>
      <c r="W1173">
        <v>0.19446440000000001</v>
      </c>
      <c r="X1173">
        <v>0.94086219999999998</v>
      </c>
      <c r="Y1173">
        <v>0.44280730000000001</v>
      </c>
      <c r="Z1173">
        <v>-1.1289840000000001E-2</v>
      </c>
      <c r="AA1173">
        <v>0.89654579999999995</v>
      </c>
      <c r="AB1173">
        <v>32</v>
      </c>
      <c r="AC1173">
        <v>11.110299999999899</v>
      </c>
      <c r="AD1173">
        <v>-1.118205738798</v>
      </c>
      <c r="AE1173">
        <v>-8.0190000000000001</v>
      </c>
      <c r="AF1173">
        <v>6.1175274412283098</v>
      </c>
      <c r="AG1173">
        <v>-1.118205738798</v>
      </c>
      <c r="AH1173">
        <v>12.159069861572499</v>
      </c>
      <c r="AI1173">
        <v>94.6964638836657</v>
      </c>
      <c r="AJ1173">
        <v>63.291905730284498</v>
      </c>
      <c r="AK1173">
        <v>13.657141207700199</v>
      </c>
      <c r="AL1173">
        <v>78.786562299871093</v>
      </c>
      <c r="AM1173">
        <v>73.571473142776</v>
      </c>
      <c r="AN1173">
        <v>0.99999994158610295</v>
      </c>
    </row>
    <row r="1174" spans="1:40" x14ac:dyDescent="0.25">
      <c r="A1174" t="str">
        <f>"20190303162802330"</f>
        <v>20190303162802330</v>
      </c>
      <c r="B1174" t="str">
        <f>"1551601682322226"</f>
        <v>1551601682322226</v>
      </c>
      <c r="C1174" t="s">
        <v>40</v>
      </c>
      <c r="D1174">
        <v>5.2221950000000001</v>
      </c>
      <c r="E1174">
        <v>0.57570900000000003</v>
      </c>
      <c r="F1174" t="s">
        <v>46</v>
      </c>
      <c r="G1174">
        <v>-204.0033</v>
      </c>
      <c r="H1174">
        <v>1.353421E-2</v>
      </c>
      <c r="I1174">
        <v>359.5994</v>
      </c>
      <c r="J1174">
        <v>-215.08869999999999</v>
      </c>
      <c r="K1174">
        <v>1.1181970000000001</v>
      </c>
      <c r="L1174">
        <v>367.67649999999998</v>
      </c>
      <c r="M1174">
        <v>0.98693249999999999</v>
      </c>
      <c r="N1174">
        <v>-1.4076160000000001E-2</v>
      </c>
      <c r="O1174">
        <v>-0.16051860000000001</v>
      </c>
      <c r="P1174">
        <v>0.88672109999999904</v>
      </c>
      <c r="Q1174">
        <v>0.18270130000000001</v>
      </c>
      <c r="R1174">
        <v>-0.42467169999999999</v>
      </c>
      <c r="S1174">
        <v>2.556854</v>
      </c>
      <c r="T1174">
        <v>-0.25042799999999998</v>
      </c>
      <c r="U1174">
        <v>-1.8385929999999999</v>
      </c>
      <c r="V1174">
        <v>0.27832970000000001</v>
      </c>
      <c r="W1174">
        <v>0.19380439999999999</v>
      </c>
      <c r="X1174">
        <v>0.9407297</v>
      </c>
      <c r="Y1174">
        <v>0.44461970000000001</v>
      </c>
      <c r="Z1174">
        <v>-1.11591E-2</v>
      </c>
      <c r="AA1174">
        <v>0.8956499</v>
      </c>
      <c r="AB1174">
        <v>32</v>
      </c>
      <c r="AC1174">
        <v>11.0853999999999</v>
      </c>
      <c r="AD1174">
        <v>-1.1046627899999999</v>
      </c>
      <c r="AE1174">
        <v>-8.0770999999999695</v>
      </c>
      <c r="AF1174">
        <v>6.1528422732805401</v>
      </c>
      <c r="AG1174">
        <v>-1.1046627899999999</v>
      </c>
      <c r="AH1174">
        <v>12.1594059124638</v>
      </c>
      <c r="AI1174">
        <v>94.634338828891003</v>
      </c>
      <c r="AJ1174">
        <v>63.159903564123802</v>
      </c>
      <c r="AK1174">
        <v>13.6721944128782</v>
      </c>
      <c r="AL1174">
        <v>78.825111204943596</v>
      </c>
      <c r="AM1174">
        <v>73.518318764606505</v>
      </c>
      <c r="AN1174">
        <v>0.99999996791176904</v>
      </c>
    </row>
    <row r="1175" spans="1:40" x14ac:dyDescent="0.25">
      <c r="A1175" t="str">
        <f>"20190303162802341"</f>
        <v>20190303162802341</v>
      </c>
      <c r="B1175" t="str">
        <f>"1551601682332961"</f>
        <v>1551601682332961</v>
      </c>
      <c r="C1175" t="s">
        <v>40</v>
      </c>
      <c r="D1175">
        <v>5.2221769999999896</v>
      </c>
      <c r="E1175">
        <v>0.57542119999999997</v>
      </c>
      <c r="F1175" t="s">
        <v>46</v>
      </c>
      <c r="G1175">
        <v>-203.9384</v>
      </c>
      <c r="H1175">
        <v>3.9615360000000002E-2</v>
      </c>
      <c r="I1175">
        <v>359.59930000000003</v>
      </c>
      <c r="J1175">
        <v>-214.90530000000001</v>
      </c>
      <c r="K1175">
        <v>1.118187</v>
      </c>
      <c r="L1175">
        <v>367.6447</v>
      </c>
      <c r="M1175">
        <v>0.98659459999999999</v>
      </c>
      <c r="N1175">
        <v>-1.4074339999999999E-2</v>
      </c>
      <c r="O1175">
        <v>-0.16258339999999999</v>
      </c>
      <c r="P1175">
        <v>0.88501609999999997</v>
      </c>
      <c r="Q1175">
        <v>0.18150640000000001</v>
      </c>
      <c r="R1175">
        <v>-0.4287222</v>
      </c>
      <c r="S1175">
        <v>2.5495610000000002</v>
      </c>
      <c r="T1175">
        <v>-0.24662100000000001</v>
      </c>
      <c r="U1175">
        <v>-1.8468629999999999</v>
      </c>
      <c r="V1175">
        <v>0.28062120000000002</v>
      </c>
      <c r="W1175">
        <v>0.192581</v>
      </c>
      <c r="X1175">
        <v>0.94030009999999997</v>
      </c>
      <c r="Y1175">
        <v>0.44589839999999997</v>
      </c>
      <c r="Z1175">
        <v>-1.1003539999999999E-2</v>
      </c>
      <c r="AA1175">
        <v>0.89501600000000003</v>
      </c>
      <c r="AB1175">
        <v>32</v>
      </c>
      <c r="AC1175">
        <v>10.966900000000001</v>
      </c>
      <c r="AD1175">
        <v>-1.0785716400000001</v>
      </c>
      <c r="AE1175">
        <v>-8.0453999999999706</v>
      </c>
      <c r="AF1175">
        <v>6.1166583896129199</v>
      </c>
      <c r="AG1175">
        <v>-1.0785716400000001</v>
      </c>
      <c r="AH1175">
        <v>12.053338796013101</v>
      </c>
      <c r="AI1175">
        <v>94.562336122610006</v>
      </c>
      <c r="AJ1175">
        <v>63.093760247300899</v>
      </c>
      <c r="AK1175">
        <v>13.5594912430116</v>
      </c>
      <c r="AL1175">
        <v>78.896553002911702</v>
      </c>
      <c r="AM1175">
        <v>73.382901997747098</v>
      </c>
      <c r="AN1175">
        <v>0.999999988755224</v>
      </c>
    </row>
    <row r="1176" spans="1:40" x14ac:dyDescent="0.25">
      <c r="A1176" t="str">
        <f>"20190303162802354"</f>
        <v>20190303162802354</v>
      </c>
      <c r="B1176" t="str">
        <f>"1551601682342721"</f>
        <v>1551601682342721</v>
      </c>
      <c r="C1176" t="s">
        <v>40</v>
      </c>
      <c r="D1176">
        <v>5.1343170000000002</v>
      </c>
      <c r="E1176">
        <v>0.57562639999999998</v>
      </c>
      <c r="F1176" t="s">
        <v>46</v>
      </c>
      <c r="G1176">
        <v>-203.87620000000001</v>
      </c>
      <c r="H1176">
        <v>2.3035480000000001E-2</v>
      </c>
      <c r="I1176">
        <v>359.59930000000003</v>
      </c>
      <c r="J1176">
        <v>-214.73670000000001</v>
      </c>
      <c r="K1176">
        <v>1.1181760000000001</v>
      </c>
      <c r="L1176">
        <v>367.61489999999998</v>
      </c>
      <c r="M1176">
        <v>0.98627710000000002</v>
      </c>
      <c r="N1176">
        <v>-1.4072909999999999E-2</v>
      </c>
      <c r="O1176">
        <v>-0.16449810000000001</v>
      </c>
      <c r="P1176">
        <v>0.88388089999999997</v>
      </c>
      <c r="Q1176">
        <v>0.18017079999999999</v>
      </c>
      <c r="R1176">
        <v>-0.43161739999999998</v>
      </c>
      <c r="S1176">
        <v>2.5429689999999998</v>
      </c>
      <c r="T1176">
        <v>-0.25250660000000003</v>
      </c>
      <c r="U1176">
        <v>-1.855011</v>
      </c>
      <c r="V1176">
        <v>0.28182600000000002</v>
      </c>
      <c r="W1176">
        <v>0.1912285</v>
      </c>
      <c r="X1176">
        <v>0.94021580000000005</v>
      </c>
      <c r="Y1176">
        <v>0.44708510000000001</v>
      </c>
      <c r="Z1176">
        <v>-1.1065149999999999E-2</v>
      </c>
      <c r="AA1176">
        <v>0.89442299999999997</v>
      </c>
      <c r="AB1176">
        <v>32</v>
      </c>
      <c r="AC1176">
        <v>10.8605</v>
      </c>
      <c r="AD1176">
        <v>-1.09514052</v>
      </c>
      <c r="AE1176">
        <v>-8.0155999999999494</v>
      </c>
      <c r="AF1176">
        <v>6.0796572294018496</v>
      </c>
      <c r="AG1176">
        <v>-1.09514052</v>
      </c>
      <c r="AH1176">
        <v>11.9525262479145</v>
      </c>
      <c r="AI1176">
        <v>94.668792633680297</v>
      </c>
      <c r="AJ1176">
        <v>63.039817303728903</v>
      </c>
      <c r="AK1176">
        <v>13.4545326374664</v>
      </c>
      <c r="AL1176">
        <v>78.975513177204306</v>
      </c>
      <c r="AM1176">
        <v>73.314104009594899</v>
      </c>
      <c r="AN1176">
        <v>0.99999999202894496</v>
      </c>
    </row>
    <row r="1177" spans="1:40" x14ac:dyDescent="0.25">
      <c r="A1177" t="str">
        <f>"20190303162802365"</f>
        <v>20190303162802365</v>
      </c>
      <c r="B1177" t="str">
        <f>"1551601682352481"</f>
        <v>1551601682352481</v>
      </c>
      <c r="C1177" t="s">
        <v>40</v>
      </c>
      <c r="D1177">
        <v>5.1463650000000003</v>
      </c>
      <c r="E1177">
        <v>0.57577349999999905</v>
      </c>
      <c r="F1177" t="s">
        <v>46</v>
      </c>
      <c r="G1177">
        <v>-203.83420000000001</v>
      </c>
      <c r="H1177">
        <v>3.4002900000000003E-2</v>
      </c>
      <c r="I1177">
        <v>359.59930000000003</v>
      </c>
      <c r="J1177">
        <v>-214.57839999999999</v>
      </c>
      <c r="K1177">
        <v>1.11816</v>
      </c>
      <c r="L1177">
        <v>367.58690000000001</v>
      </c>
      <c r="M1177">
        <v>0.98597469999999998</v>
      </c>
      <c r="N1177">
        <v>-1.407163E-2</v>
      </c>
      <c r="O1177">
        <v>-0.16630149999999999</v>
      </c>
      <c r="P1177">
        <v>0.88278020000000001</v>
      </c>
      <c r="Q1177">
        <v>0.17893729999999999</v>
      </c>
      <c r="R1177">
        <v>-0.43437419999999999</v>
      </c>
      <c r="S1177">
        <v>2.5352939999999999</v>
      </c>
      <c r="T1177">
        <v>-0.25211689999999998</v>
      </c>
      <c r="U1177">
        <v>-1.8639829999999999</v>
      </c>
      <c r="V1177">
        <v>0.28299730000000001</v>
      </c>
      <c r="W1177">
        <v>0.18997639999999999</v>
      </c>
      <c r="X1177">
        <v>0.9401178</v>
      </c>
      <c r="Y1177">
        <v>0.44879419999999998</v>
      </c>
      <c r="Z1177">
        <v>-1.1025760000000001E-2</v>
      </c>
      <c r="AA1177">
        <v>0.89356709999999995</v>
      </c>
      <c r="AB1177">
        <v>32</v>
      </c>
      <c r="AC1177">
        <v>10.7441999999999</v>
      </c>
      <c r="AD1177">
        <v>-1.0841571000000001</v>
      </c>
      <c r="AE1177">
        <v>-7.98759999999998</v>
      </c>
      <c r="AF1177">
        <v>6.0497247258327702</v>
      </c>
      <c r="AG1177">
        <v>-1.0841571000000001</v>
      </c>
      <c r="AH1177">
        <v>11.8453597669009</v>
      </c>
      <c r="AI1177">
        <v>94.659909645877704</v>
      </c>
      <c r="AJ1177">
        <v>62.9454500034782</v>
      </c>
      <c r="AK1177">
        <v>13.344928395579601</v>
      </c>
      <c r="AL1177">
        <v>79.048592968058102</v>
      </c>
      <c r="AM1177">
        <v>73.2469847237534</v>
      </c>
      <c r="AN1177">
        <v>0.99999999112054405</v>
      </c>
    </row>
    <row r="1178" spans="1:40" x14ac:dyDescent="0.25">
      <c r="A1178" t="str">
        <f>"20190303162802377"</f>
        <v>20190303162802377</v>
      </c>
      <c r="B1178" t="str">
        <f>"1551601682372977"</f>
        <v>1551601682372977</v>
      </c>
      <c r="C1178" t="s">
        <v>40</v>
      </c>
      <c r="D1178">
        <v>5.1626019999999997</v>
      </c>
      <c r="E1178">
        <v>0.57578399999999996</v>
      </c>
      <c r="F1178" t="s">
        <v>46</v>
      </c>
      <c r="G1178">
        <v>-203.79329999999999</v>
      </c>
      <c r="H1178">
        <v>4.2100899999999997E-2</v>
      </c>
      <c r="I1178">
        <v>359.5992</v>
      </c>
      <c r="J1178">
        <v>-214.40090000000001</v>
      </c>
      <c r="K1178">
        <v>1.1181369999999999</v>
      </c>
      <c r="L1178">
        <v>367.5548</v>
      </c>
      <c r="M1178">
        <v>0.98562689999999997</v>
      </c>
      <c r="N1178">
        <v>-1.407046E-2</v>
      </c>
      <c r="O1178">
        <v>-0.16835039999999901</v>
      </c>
      <c r="P1178">
        <v>0.88150839999999997</v>
      </c>
      <c r="Q1178">
        <v>0.1778457</v>
      </c>
      <c r="R1178">
        <v>-0.43739509999999998</v>
      </c>
      <c r="S1178">
        <v>2.5281829999999998</v>
      </c>
      <c r="T1178">
        <v>-0.25224350000000001</v>
      </c>
      <c r="U1178">
        <v>-1.872406</v>
      </c>
      <c r="V1178">
        <v>0.28422839999999999</v>
      </c>
      <c r="W1178">
        <v>0.18886069999999999</v>
      </c>
      <c r="X1178">
        <v>0.93997120000000001</v>
      </c>
      <c r="Y1178">
        <v>0.45005830000000002</v>
      </c>
      <c r="Z1178">
        <v>-1.0955589999999999E-2</v>
      </c>
      <c r="AA1178">
        <v>0.8929319</v>
      </c>
      <c r="AB1178">
        <v>32</v>
      </c>
      <c r="AC1178">
        <v>10.6076</v>
      </c>
      <c r="AD1178">
        <v>-1.0760361000000001</v>
      </c>
      <c r="AE1178">
        <v>-7.9555999999999996</v>
      </c>
      <c r="AF1178">
        <v>6.0164359380009396</v>
      </c>
      <c r="AG1178">
        <v>-1.0760361000000001</v>
      </c>
      <c r="AH1178">
        <v>11.7184562557829</v>
      </c>
      <c r="AI1178">
        <v>94.669946006577504</v>
      </c>
      <c r="AJ1178">
        <v>62.823337418786302</v>
      </c>
      <c r="AK1178">
        <v>13.216564307840001</v>
      </c>
      <c r="AL1178">
        <v>79.113696600178102</v>
      </c>
      <c r="AM1178">
        <v>73.175738421581997</v>
      </c>
      <c r="AN1178">
        <v>1.00000000210024</v>
      </c>
    </row>
    <row r="1179" spans="1:40" x14ac:dyDescent="0.25">
      <c r="A1179" t="str">
        <f>"20190303162802391"</f>
        <v>20190303162802391</v>
      </c>
      <c r="B1179" t="str">
        <f>"1551601682382737"</f>
        <v>1551601682382737</v>
      </c>
      <c r="C1179" t="s">
        <v>40</v>
      </c>
      <c r="D1179">
        <v>5.1472989999999896</v>
      </c>
      <c r="E1179">
        <v>0.57578180000000001</v>
      </c>
      <c r="F1179" t="s">
        <v>46</v>
      </c>
      <c r="G1179">
        <v>-203.721</v>
      </c>
      <c r="H1179">
        <v>6.2428949999999997E-2</v>
      </c>
      <c r="I1179">
        <v>359.58249999999998</v>
      </c>
      <c r="J1179">
        <v>-214.2157</v>
      </c>
      <c r="K1179">
        <v>1.1181110000000001</v>
      </c>
      <c r="L1179">
        <v>367.52100000000002</v>
      </c>
      <c r="M1179">
        <v>0.98525549999999995</v>
      </c>
      <c r="N1179">
        <v>-1.406958E-2</v>
      </c>
      <c r="O1179">
        <v>-0.170511</v>
      </c>
      <c r="P1179">
        <v>0.88018890000000005</v>
      </c>
      <c r="Q1179">
        <v>0.176850799999999</v>
      </c>
      <c r="R1179">
        <v>-0.44044539999999999</v>
      </c>
      <c r="S1179">
        <v>2.5200809999999998</v>
      </c>
      <c r="T1179">
        <v>-0.24910950000000001</v>
      </c>
      <c r="U1179">
        <v>-1.881195</v>
      </c>
      <c r="V1179">
        <v>0.28539439999999999</v>
      </c>
      <c r="W1179">
        <v>0.1878369</v>
      </c>
      <c r="X1179">
        <v>0.93982299999999996</v>
      </c>
      <c r="Y1179">
        <v>0.45149980000000001</v>
      </c>
      <c r="Z1179">
        <v>-1.0821330000000001E-2</v>
      </c>
      <c r="AA1179">
        <v>0.89220560000000004</v>
      </c>
      <c r="AB1179">
        <v>32</v>
      </c>
      <c r="AC1179">
        <v>10.4947</v>
      </c>
      <c r="AD1179">
        <v>-1.0556820499999999</v>
      </c>
      <c r="AE1179">
        <v>-7.9384999999999701</v>
      </c>
      <c r="AF1179">
        <v>5.9940070420227798</v>
      </c>
      <c r="AG1179">
        <v>-1.0556820499999999</v>
      </c>
      <c r="AH1179">
        <v>11.6199309788423</v>
      </c>
      <c r="AI1179">
        <v>94.616139837496306</v>
      </c>
      <c r="AJ1179">
        <v>62.713576838960002</v>
      </c>
      <c r="AK1179">
        <v>13.117369437641401</v>
      </c>
      <c r="AL1179">
        <v>79.173424655307798</v>
      </c>
      <c r="AM1179">
        <v>73.108129964979099</v>
      </c>
      <c r="AN1179">
        <v>0.999999967940984</v>
      </c>
    </row>
    <row r="1180" spans="1:40" x14ac:dyDescent="0.25">
      <c r="A1180" t="str">
        <f>"20190303162802411"</f>
        <v>20190303162802411</v>
      </c>
      <c r="B1180" t="str">
        <f>"1551601682402257"</f>
        <v>1551601682402257</v>
      </c>
      <c r="C1180" t="s">
        <v>40</v>
      </c>
      <c r="D1180">
        <v>5.097861</v>
      </c>
      <c r="E1180">
        <v>0.57581159999999998</v>
      </c>
      <c r="F1180" t="s">
        <v>46</v>
      </c>
      <c r="G1180">
        <v>-203.64259999999999</v>
      </c>
      <c r="H1180">
        <v>7.0740540000000005E-2</v>
      </c>
      <c r="I1180">
        <v>359.56819999999999</v>
      </c>
      <c r="J1180">
        <v>-213.93109999999999</v>
      </c>
      <c r="K1180">
        <v>1.1180639999999999</v>
      </c>
      <c r="L1180">
        <v>367.46820000000002</v>
      </c>
      <c r="M1180">
        <v>0.98466350000000002</v>
      </c>
      <c r="N1180">
        <v>-1.406896E-2</v>
      </c>
      <c r="O1180">
        <v>-0.1738962</v>
      </c>
      <c r="P1180">
        <v>0.87792669999999995</v>
      </c>
      <c r="Q1180">
        <v>0.1762032</v>
      </c>
      <c r="R1180">
        <v>-0.44519350000000002</v>
      </c>
      <c r="S1180">
        <v>2.5126650000000001</v>
      </c>
      <c r="T1180">
        <v>-0.2489036</v>
      </c>
      <c r="U1180">
        <v>-1.8899539999999999</v>
      </c>
      <c r="V1180">
        <v>0.28724100000000002</v>
      </c>
      <c r="W1180">
        <v>0.18713299999999999</v>
      </c>
      <c r="X1180">
        <v>0.93940080000000004</v>
      </c>
      <c r="Y1180">
        <v>0.4516926</v>
      </c>
      <c r="Z1180">
        <v>-1.0595179999999999E-2</v>
      </c>
      <c r="AA1180">
        <v>0.89211079999999998</v>
      </c>
      <c r="AB1180">
        <v>32</v>
      </c>
      <c r="AC1180">
        <v>10.288500000000001</v>
      </c>
      <c r="AD1180">
        <v>-1.0473234600000001</v>
      </c>
      <c r="AE1180">
        <v>-7.9000000000000297</v>
      </c>
      <c r="AF1180">
        <v>5.95150627026708</v>
      </c>
      <c r="AG1180">
        <v>-1.0473234600000001</v>
      </c>
      <c r="AH1180">
        <v>11.4311110110452</v>
      </c>
      <c r="AI1180">
        <v>94.645981225811497</v>
      </c>
      <c r="AJ1180">
        <v>62.496661744795396</v>
      </c>
      <c r="AK1180">
        <v>12.930104882085599</v>
      </c>
      <c r="AL1180">
        <v>79.214483659708804</v>
      </c>
      <c r="AM1180">
        <v>72.997916526691</v>
      </c>
      <c r="AN1180">
        <v>1.0000000074053199</v>
      </c>
    </row>
    <row r="1181" spans="1:40" x14ac:dyDescent="0.25">
      <c r="A1181" t="str">
        <f>"20190303162802425"</f>
        <v>20190303162802425</v>
      </c>
      <c r="B1181" t="str">
        <f>"1551601682412993"</f>
        <v>1551601682412993</v>
      </c>
      <c r="C1181" t="s">
        <v>40</v>
      </c>
      <c r="D1181">
        <v>5.0618259999999999</v>
      </c>
      <c r="E1181">
        <v>0.57579360000000002</v>
      </c>
      <c r="F1181" t="s">
        <v>46</v>
      </c>
      <c r="G1181">
        <v>-203.303</v>
      </c>
      <c r="H1181">
        <v>7.9987370000000002E-2</v>
      </c>
      <c r="I1181">
        <v>359.3725</v>
      </c>
      <c r="J1181">
        <v>-213.7345</v>
      </c>
      <c r="K1181">
        <v>1.1180239999999999</v>
      </c>
      <c r="L1181">
        <v>367.43119999999999</v>
      </c>
      <c r="M1181">
        <v>0.98423910000000003</v>
      </c>
      <c r="N1181">
        <v>-1.406906E-2</v>
      </c>
      <c r="O1181">
        <v>-0.17628289999999999</v>
      </c>
      <c r="P1181">
        <v>0.87646930000000001</v>
      </c>
      <c r="Q1181">
        <v>0.1760207</v>
      </c>
      <c r="R1181">
        <v>-0.44812829999999898</v>
      </c>
      <c r="S1181">
        <v>2.5003660000000001</v>
      </c>
      <c r="T1181">
        <v>-0.24421799999999999</v>
      </c>
      <c r="U1181">
        <v>-1.9046019999999999</v>
      </c>
      <c r="V1181">
        <v>0.28812149999999997</v>
      </c>
      <c r="W1181">
        <v>0.18690809999999999</v>
      </c>
      <c r="X1181">
        <v>0.93917589999999995</v>
      </c>
      <c r="Y1181">
        <v>0.45497850000000001</v>
      </c>
      <c r="Z1181">
        <v>-1.0520750000000001E-2</v>
      </c>
      <c r="AA1181">
        <v>0.89044029999999996</v>
      </c>
      <c r="AB1181">
        <v>32</v>
      </c>
      <c r="AC1181">
        <v>10.4315</v>
      </c>
      <c r="AD1181">
        <v>-1.0380366299999999</v>
      </c>
      <c r="AE1181">
        <v>-8.0586999999999804</v>
      </c>
      <c r="AF1181">
        <v>6.0558413088427496</v>
      </c>
      <c r="AG1181">
        <v>-1.0380366299999999</v>
      </c>
      <c r="AH1181">
        <v>11.6168182088969</v>
      </c>
      <c r="AI1181">
        <v>94.530438934505</v>
      </c>
      <c r="AJ1181">
        <v>62.466992179464299</v>
      </c>
      <c r="AK1181">
        <v>13.141582830909901</v>
      </c>
      <c r="AL1181">
        <v>79.227600882906003</v>
      </c>
      <c r="AM1181">
        <v>72.9449715754739</v>
      </c>
      <c r="AN1181">
        <v>1.00000000387433</v>
      </c>
    </row>
    <row r="1182" spans="1:40" x14ac:dyDescent="0.25">
      <c r="A1182" t="str">
        <f>"20190303162802438"</f>
        <v>20190303162802438</v>
      </c>
      <c r="B1182" t="str">
        <f>"1551601682432513"</f>
        <v>1551601682432513</v>
      </c>
      <c r="C1182" t="s">
        <v>40</v>
      </c>
      <c r="D1182">
        <v>5.0568400000000002</v>
      </c>
      <c r="E1182">
        <v>0.57583339999999905</v>
      </c>
      <c r="F1182" t="s">
        <v>46</v>
      </c>
      <c r="G1182">
        <v>-203.01230000000001</v>
      </c>
      <c r="H1182">
        <v>7.9987290000000003E-2</v>
      </c>
      <c r="I1182">
        <v>359.19920000000002</v>
      </c>
      <c r="J1182">
        <v>-213.55170000000001</v>
      </c>
      <c r="K1182">
        <v>1.1179760000000001</v>
      </c>
      <c r="L1182">
        <v>367.39620000000002</v>
      </c>
      <c r="M1182">
        <v>0.98382789999999998</v>
      </c>
      <c r="N1182">
        <v>-1.40701E-2</v>
      </c>
      <c r="O1182">
        <v>-0.17856340000000001</v>
      </c>
      <c r="P1182">
        <v>0.87513379999999996</v>
      </c>
      <c r="Q1182">
        <v>0.17670649999999999</v>
      </c>
      <c r="R1182">
        <v>-0.45046190000000003</v>
      </c>
      <c r="S1182">
        <v>2.4927670000000002</v>
      </c>
      <c r="T1182">
        <v>-0.24132909999999999</v>
      </c>
      <c r="U1182">
        <v>-1.913818</v>
      </c>
      <c r="V1182">
        <v>0.2885028</v>
      </c>
      <c r="W1182">
        <v>0.18755169999999999</v>
      </c>
      <c r="X1182">
        <v>0.9389305</v>
      </c>
      <c r="Y1182">
        <v>0.45632</v>
      </c>
      <c r="Z1182">
        <v>-1.038565E-2</v>
      </c>
      <c r="AA1182">
        <v>0.88975509999999902</v>
      </c>
      <c r="AB1182">
        <v>32</v>
      </c>
      <c r="AC1182">
        <v>10.539400000000001</v>
      </c>
      <c r="AD1182">
        <v>-1.03798871</v>
      </c>
      <c r="AE1182">
        <v>-8.1969999999999992</v>
      </c>
      <c r="AF1182">
        <v>6.1459529647294202</v>
      </c>
      <c r="AG1182">
        <v>-1.03798871</v>
      </c>
      <c r="AH1182">
        <v>11.762719123657201</v>
      </c>
      <c r="AI1182">
        <v>94.472085528501196</v>
      </c>
      <c r="AJ1182">
        <v>62.413191664540001</v>
      </c>
      <c r="AK1182">
        <v>13.312089227044799</v>
      </c>
      <c r="AL1182">
        <v>79.190061377148098</v>
      </c>
      <c r="AM1182">
        <v>72.919509847130399</v>
      </c>
      <c r="AN1182">
        <v>0.99999999480548896</v>
      </c>
    </row>
    <row r="1183" spans="1:40" x14ac:dyDescent="0.25">
      <c r="A1183" t="str">
        <f>"20190303162802450"</f>
        <v>20190303162802450</v>
      </c>
      <c r="B1183" t="str">
        <f>"1551601682442275"</f>
        <v>1551601682442275</v>
      </c>
      <c r="C1183" t="s">
        <v>40</v>
      </c>
      <c r="D1183">
        <v>5.0294059999999998</v>
      </c>
      <c r="E1183">
        <v>0.57583070000000003</v>
      </c>
      <c r="F1183" t="s">
        <v>46</v>
      </c>
      <c r="G1183">
        <v>-202.47839999999999</v>
      </c>
      <c r="H1183">
        <v>7.9987420000000004E-2</v>
      </c>
      <c r="I1183">
        <v>358.83969999999999</v>
      </c>
      <c r="J1183">
        <v>-213.37360000000001</v>
      </c>
      <c r="K1183">
        <v>1.117926</v>
      </c>
      <c r="L1183">
        <v>367.36169999999998</v>
      </c>
      <c r="M1183">
        <v>0.9834136</v>
      </c>
      <c r="N1183">
        <v>-1.407153E-2</v>
      </c>
      <c r="O1183">
        <v>-0.18083070000000001</v>
      </c>
      <c r="P1183">
        <v>0.87387159999999997</v>
      </c>
      <c r="Q1183">
        <v>0.1770109</v>
      </c>
      <c r="R1183">
        <v>-0.45278679999999899</v>
      </c>
      <c r="S1183">
        <v>2.486221</v>
      </c>
      <c r="T1183">
        <v>-0.23305439999999999</v>
      </c>
      <c r="U1183">
        <v>-1.921143</v>
      </c>
      <c r="V1183">
        <v>0.28887590000000002</v>
      </c>
      <c r="W1183">
        <v>0.1878107</v>
      </c>
      <c r="X1183">
        <v>0.93876400000000004</v>
      </c>
      <c r="Y1183">
        <v>0.45711210000000002</v>
      </c>
      <c r="Z1183">
        <v>-1.0128160000000001E-2</v>
      </c>
      <c r="AA1183">
        <v>0.88935140000000001</v>
      </c>
      <c r="AB1183">
        <v>32</v>
      </c>
      <c r="AC1183">
        <v>10.895200000000001</v>
      </c>
      <c r="AD1183">
        <v>-1.0379385800000001</v>
      </c>
      <c r="AE1183">
        <v>-8.5219999999999896</v>
      </c>
      <c r="AF1183">
        <v>6.3752019274501501</v>
      </c>
      <c r="AG1183">
        <v>-1.0379385800000001</v>
      </c>
      <c r="AH1183">
        <v>12.1881129312541</v>
      </c>
      <c r="AI1183">
        <v>94.315380681678207</v>
      </c>
      <c r="AJ1183">
        <v>62.387410242566197</v>
      </c>
      <c r="AK1183">
        <v>13.7938614222639</v>
      </c>
      <c r="AL1183">
        <v>79.174953314445006</v>
      </c>
      <c r="AM1183">
        <v>72.895852728943794</v>
      </c>
      <c r="AN1183">
        <v>0.99999999616564905</v>
      </c>
    </row>
    <row r="1184" spans="1:40" x14ac:dyDescent="0.25">
      <c r="A1184" t="str">
        <f>"20190303162802461"</f>
        <v>20190303162802461</v>
      </c>
      <c r="B1184" t="str">
        <f>"1551601682453009"</f>
        <v>1551601682453009</v>
      </c>
      <c r="C1184" t="s">
        <v>40</v>
      </c>
      <c r="D1184">
        <v>5.0522580000000001</v>
      </c>
      <c r="E1184">
        <v>0.57581000000000004</v>
      </c>
      <c r="F1184" t="s">
        <v>46</v>
      </c>
      <c r="G1184">
        <v>-202.12649999999999</v>
      </c>
      <c r="H1184">
        <v>7.9987440000000007E-2</v>
      </c>
      <c r="I1184">
        <v>358.61579999999998</v>
      </c>
      <c r="J1184">
        <v>-213.21459999999999</v>
      </c>
      <c r="K1184">
        <v>1.1178760000000001</v>
      </c>
      <c r="L1184">
        <v>367.3304</v>
      </c>
      <c r="M1184">
        <v>0.9830333</v>
      </c>
      <c r="N1184">
        <v>-1.407299E-2</v>
      </c>
      <c r="O1184">
        <v>-0.1828871</v>
      </c>
      <c r="P1184">
        <v>0.87262779999999995</v>
      </c>
      <c r="Q1184">
        <v>0.17762249999999999</v>
      </c>
      <c r="R1184">
        <v>-0.45494099999999998</v>
      </c>
      <c r="S1184">
        <v>2.480118</v>
      </c>
      <c r="T1184">
        <v>-0.22887830000000001</v>
      </c>
      <c r="U1184">
        <v>-1.928558</v>
      </c>
      <c r="V1184">
        <v>0.28928310000000002</v>
      </c>
      <c r="W1184">
        <v>0.1883774</v>
      </c>
      <c r="X1184">
        <v>0.93852500000000005</v>
      </c>
      <c r="Y1184">
        <v>0.45800360000000001</v>
      </c>
      <c r="Z1184">
        <v>-9.9699880000000008E-3</v>
      </c>
      <c r="AA1184">
        <v>0.88889439999999997</v>
      </c>
      <c r="AB1184">
        <v>32</v>
      </c>
      <c r="AC1184">
        <v>11.088099999999899</v>
      </c>
      <c r="AD1184">
        <v>-1.0378885600000001</v>
      </c>
      <c r="AE1184">
        <v>-8.7146000000000097</v>
      </c>
      <c r="AF1184">
        <v>6.5042904651775899</v>
      </c>
      <c r="AG1184">
        <v>-1.0378885600000001</v>
      </c>
      <c r="AH1184">
        <v>12.427685720636299</v>
      </c>
      <c r="AI1184">
        <v>94.231767379658507</v>
      </c>
      <c r="AJ1184">
        <v>62.373743571107198</v>
      </c>
      <c r="AK1184">
        <v>14.0652187856886</v>
      </c>
      <c r="AL1184">
        <v>79.141893386168704</v>
      </c>
      <c r="AM1184">
        <v>72.869046402275501</v>
      </c>
      <c r="AN1184">
        <v>0.99999996620068399</v>
      </c>
    </row>
    <row r="1185" spans="1:40" x14ac:dyDescent="0.25">
      <c r="A1185" t="str">
        <f>"20190303162802474"</f>
        <v>20190303162802474</v>
      </c>
      <c r="B1185" t="str">
        <f>"1551601682462770"</f>
        <v>1551601682462770</v>
      </c>
      <c r="C1185" t="s">
        <v>40</v>
      </c>
      <c r="D1185">
        <v>5.0438749999999999</v>
      </c>
      <c r="E1185">
        <v>0.57578399999999996</v>
      </c>
      <c r="F1185" t="s">
        <v>46</v>
      </c>
      <c r="G1185">
        <v>-201.7671</v>
      </c>
      <c r="H1185">
        <v>7.9987530000000001E-2</v>
      </c>
      <c r="I1185">
        <v>358.37889999999999</v>
      </c>
      <c r="J1185">
        <v>-213.035</v>
      </c>
      <c r="K1185">
        <v>1.117802</v>
      </c>
      <c r="L1185">
        <v>367.2946</v>
      </c>
      <c r="M1185">
        <v>0.98258069999999997</v>
      </c>
      <c r="N1185">
        <v>-1.407564E-2</v>
      </c>
      <c r="O1185">
        <v>-0.18530269999999999</v>
      </c>
      <c r="P1185">
        <v>0.87128609999999895</v>
      </c>
      <c r="Q1185">
        <v>0.1783457</v>
      </c>
      <c r="R1185">
        <v>-0.4572234</v>
      </c>
      <c r="S1185">
        <v>2.4746860000000002</v>
      </c>
      <c r="T1185">
        <v>-0.22436700000000001</v>
      </c>
      <c r="U1185">
        <v>-1.93512</v>
      </c>
      <c r="V1185">
        <v>0.28950300000000001</v>
      </c>
      <c r="W1185">
        <v>0.18904370000000001</v>
      </c>
      <c r="X1185">
        <v>0.93832320000000002</v>
      </c>
      <c r="Y1185">
        <v>0.45826689999999998</v>
      </c>
      <c r="Z1185">
        <v>-9.7573190000000004E-3</v>
      </c>
      <c r="AA1185">
        <v>0.88876109999999897</v>
      </c>
      <c r="AB1185">
        <v>32</v>
      </c>
      <c r="AC1185">
        <v>11.2678999999999</v>
      </c>
      <c r="AD1185">
        <v>-1.03781447</v>
      </c>
      <c r="AE1185">
        <v>-8.91570000000001</v>
      </c>
      <c r="AF1185">
        <v>6.6384511686149201</v>
      </c>
      <c r="AG1185">
        <v>-1.03781447</v>
      </c>
      <c r="AH1185">
        <v>12.6589440911082</v>
      </c>
      <c r="AI1185">
        <v>94.152673232406997</v>
      </c>
      <c r="AJ1185">
        <v>62.327125216895197</v>
      </c>
      <c r="AK1185">
        <v>14.331606968307099</v>
      </c>
      <c r="AL1185">
        <v>79.103018750995204</v>
      </c>
      <c r="AM1185">
        <v>72.853316664952601</v>
      </c>
      <c r="AN1185">
        <v>0.99999996758846399</v>
      </c>
    </row>
    <row r="1186" spans="1:40" x14ac:dyDescent="0.25">
      <c r="A1186" t="str">
        <f>"20190303162802489"</f>
        <v>20190303162802489</v>
      </c>
      <c r="B1186" t="str">
        <f>"1551601682482291"</f>
        <v>1551601682482291</v>
      </c>
      <c r="C1186" t="s">
        <v>40</v>
      </c>
      <c r="D1186">
        <v>5.064686</v>
      </c>
      <c r="E1186">
        <v>0.57552550000000002</v>
      </c>
      <c r="F1186" t="s">
        <v>46</v>
      </c>
      <c r="G1186">
        <v>-201.3766</v>
      </c>
      <c r="H1186">
        <v>7.9987619999999995E-2</v>
      </c>
      <c r="I1186">
        <v>358.1275</v>
      </c>
      <c r="J1186">
        <v>-212.82079999999999</v>
      </c>
      <c r="K1186">
        <v>1.117712</v>
      </c>
      <c r="L1186">
        <v>367.25130000000001</v>
      </c>
      <c r="M1186">
        <v>0.98201819999999895</v>
      </c>
      <c r="N1186">
        <v>-1.407954E-2</v>
      </c>
      <c r="O1186">
        <v>-0.1882605</v>
      </c>
      <c r="P1186">
        <v>0.86960890000000002</v>
      </c>
      <c r="Q1186">
        <v>0.17971760000000001</v>
      </c>
      <c r="R1186">
        <v>-0.45987220000000001</v>
      </c>
      <c r="S1186">
        <v>2.4692690000000002</v>
      </c>
      <c r="T1186">
        <v>-0.2198118</v>
      </c>
      <c r="U1186">
        <v>-1.9416199999999999</v>
      </c>
      <c r="V1186">
        <v>0.2896455</v>
      </c>
      <c r="W1186">
        <v>0.19034110000000001</v>
      </c>
      <c r="X1186">
        <v>0.93801699999999999</v>
      </c>
      <c r="Y1186">
        <v>0.45802470000000001</v>
      </c>
      <c r="Z1186">
        <v>-9.4938509999999993E-3</v>
      </c>
      <c r="AA1186">
        <v>0.88888880000000003</v>
      </c>
      <c r="AB1186">
        <v>32</v>
      </c>
      <c r="AC1186">
        <v>11.444199999999899</v>
      </c>
      <c r="AD1186">
        <v>-1.03772438</v>
      </c>
      <c r="AE1186">
        <v>-9.1238000000000099</v>
      </c>
      <c r="AF1186">
        <v>6.7718785769374703</v>
      </c>
      <c r="AG1186">
        <v>-1.03772438</v>
      </c>
      <c r="AH1186">
        <v>12.8925361851121</v>
      </c>
      <c r="AI1186">
        <v>94.075919483257707</v>
      </c>
      <c r="AJ1186">
        <v>62.289041821948501</v>
      </c>
      <c r="AK1186">
        <v>14.5997500195742</v>
      </c>
      <c r="AL1186">
        <v>79.027309721962794</v>
      </c>
      <c r="AM1186">
        <v>72.840101007170702</v>
      </c>
      <c r="AN1186">
        <v>1.0000000711542201</v>
      </c>
    </row>
    <row r="1187" spans="1:40" x14ac:dyDescent="0.25">
      <c r="A1187" t="str">
        <f>"20190303162802499"</f>
        <v>20190303162802499</v>
      </c>
      <c r="B1187" t="str">
        <f>"1551601682493025"</f>
        <v>1551601682493025</v>
      </c>
      <c r="C1187" t="s">
        <v>40</v>
      </c>
      <c r="D1187">
        <v>5.0991070000000001</v>
      </c>
      <c r="E1187">
        <v>0.57552550000000002</v>
      </c>
      <c r="F1187" t="s">
        <v>46</v>
      </c>
      <c r="G1187">
        <v>-200.99170000000001</v>
      </c>
      <c r="H1187">
        <v>7.9987669999999997E-2</v>
      </c>
      <c r="I1187">
        <v>357.8999</v>
      </c>
      <c r="J1187">
        <v>-212.66380000000001</v>
      </c>
      <c r="K1187">
        <v>1.117631</v>
      </c>
      <c r="L1187">
        <v>367.21899999999999</v>
      </c>
      <c r="M1187">
        <v>0.98158789999999996</v>
      </c>
      <c r="N1187">
        <v>-1.408308E-2</v>
      </c>
      <c r="O1187">
        <v>-0.19049150000000001</v>
      </c>
      <c r="P1187">
        <v>0.86856869999999997</v>
      </c>
      <c r="Q1187">
        <v>0.1805649</v>
      </c>
      <c r="R1187">
        <v>-0.4615032</v>
      </c>
      <c r="S1187">
        <v>2.4643099999999998</v>
      </c>
      <c r="T1187">
        <v>-0.21618490000000001</v>
      </c>
      <c r="U1187">
        <v>-1.9481200000000001</v>
      </c>
      <c r="V1187">
        <v>0.28935349999999999</v>
      </c>
      <c r="W1187">
        <v>0.19113450000000001</v>
      </c>
      <c r="X1187">
        <v>0.93794569999999999</v>
      </c>
      <c r="Y1187">
        <v>0.45834839999999999</v>
      </c>
      <c r="Z1187">
        <v>-9.3227650000000002E-3</v>
      </c>
      <c r="AA1187">
        <v>0.88872369999999901</v>
      </c>
      <c r="AB1187">
        <v>32</v>
      </c>
      <c r="AC1187">
        <v>11.6721</v>
      </c>
      <c r="AD1187">
        <v>-1.0376433300000001</v>
      </c>
      <c r="AE1187">
        <v>-9.3190999999999899</v>
      </c>
      <c r="AF1187">
        <v>6.89150461349326</v>
      </c>
      <c r="AG1187">
        <v>-1.0376433300000001</v>
      </c>
      <c r="AH1187">
        <v>13.1701476945943</v>
      </c>
      <c r="AI1187">
        <v>93.993227467776293</v>
      </c>
      <c r="AJ1187">
        <v>62.378418657652098</v>
      </c>
      <c r="AK1187">
        <v>14.900413746454101</v>
      </c>
      <c r="AL1187">
        <v>78.981000174173602</v>
      </c>
      <c r="AM1187">
        <v>72.855158942946304</v>
      </c>
      <c r="AN1187">
        <v>0.99999999060049405</v>
      </c>
    </row>
    <row r="1188" spans="1:40" x14ac:dyDescent="0.25">
      <c r="A1188" t="str">
        <f>"20190303162802511"</f>
        <v>20190303162802511</v>
      </c>
      <c r="B1188" t="str">
        <f>"1551601682502786"</f>
        <v>1551601682502786</v>
      </c>
      <c r="C1188" t="s">
        <v>40</v>
      </c>
      <c r="D1188">
        <v>5.2453329999999996</v>
      </c>
      <c r="E1188">
        <v>0.55289469999999996</v>
      </c>
      <c r="F1188" t="s">
        <v>46</v>
      </c>
      <c r="G1188">
        <v>-200.69749999999999</v>
      </c>
      <c r="H1188">
        <v>7.9987649999999993E-2</v>
      </c>
      <c r="I1188">
        <v>357.71969999999999</v>
      </c>
      <c r="J1188">
        <v>-212.51499999999999</v>
      </c>
      <c r="K1188">
        <v>1.1175440000000001</v>
      </c>
      <c r="L1188">
        <v>367.18799999999999</v>
      </c>
      <c r="M1188">
        <v>0.98116110000000001</v>
      </c>
      <c r="N1188">
        <v>-1.408746E-2</v>
      </c>
      <c r="O1188">
        <v>-0.19267790000000001</v>
      </c>
      <c r="P1188">
        <v>0.86761949999999999</v>
      </c>
      <c r="Q1188">
        <v>0.18128050000000001</v>
      </c>
      <c r="R1188">
        <v>-0.46300590000000003</v>
      </c>
      <c r="S1188">
        <v>2.460464</v>
      </c>
      <c r="T1188">
        <v>-0.2133564</v>
      </c>
      <c r="U1188">
        <v>-1.953217</v>
      </c>
      <c r="V1188">
        <v>0.28896040000000001</v>
      </c>
      <c r="W1188">
        <v>0.1917991</v>
      </c>
      <c r="X1188">
        <v>0.93793119999999996</v>
      </c>
      <c r="Y1188">
        <v>0.45819910000000003</v>
      </c>
      <c r="Z1188">
        <v>-9.1483539999999992E-3</v>
      </c>
      <c r="AA1188">
        <v>0.88880249999999905</v>
      </c>
      <c r="AB1188">
        <v>32</v>
      </c>
      <c r="AC1188">
        <v>11.8174999999999</v>
      </c>
      <c r="AD1188">
        <v>-1.03755635</v>
      </c>
      <c r="AE1188">
        <v>-9.4683000000000508</v>
      </c>
      <c r="AF1188">
        <v>6.9808776703846798</v>
      </c>
      <c r="AG1188">
        <v>-1.03755635</v>
      </c>
      <c r="AH1188">
        <v>13.3578209114999</v>
      </c>
      <c r="AI1188">
        <v>93.938038059586304</v>
      </c>
      <c r="AJ1188">
        <v>62.408160595895303</v>
      </c>
      <c r="AK1188">
        <v>15.107632366853601</v>
      </c>
      <c r="AL1188">
        <v>78.942203415224299</v>
      </c>
      <c r="AM1188">
        <v>72.876838646794297</v>
      </c>
      <c r="AN1188">
        <v>0.99999997173120403</v>
      </c>
    </row>
    <row r="1189" spans="1:40" x14ac:dyDescent="0.25">
      <c r="A1189" t="str">
        <f>"20190303162802526"</f>
        <v>20190303162802526</v>
      </c>
      <c r="B1189" t="str">
        <f>"1551601682522306"</f>
        <v>1551601682522306</v>
      </c>
      <c r="C1189" t="s">
        <v>40</v>
      </c>
      <c r="D1189">
        <v>5.0183999999999997</v>
      </c>
      <c r="E1189">
        <v>0.51040759999999996</v>
      </c>
      <c r="F1189" t="s">
        <v>46</v>
      </c>
      <c r="G1189">
        <v>-202.8415</v>
      </c>
      <c r="H1189" s="1">
        <v>-3.9184910000000002E-6</v>
      </c>
      <c r="I1189">
        <v>360.37180000000001</v>
      </c>
      <c r="J1189">
        <v>-212.3134</v>
      </c>
      <c r="K1189">
        <v>1.1174329999999999</v>
      </c>
      <c r="L1189">
        <v>367.1454</v>
      </c>
      <c r="M1189">
        <v>0.98056379999999999</v>
      </c>
      <c r="N1189">
        <v>-1.409359E-2</v>
      </c>
      <c r="O1189">
        <v>-0.1956948</v>
      </c>
      <c r="P1189">
        <v>0.86628619999999901</v>
      </c>
      <c r="Q1189">
        <v>0.18196200000000001</v>
      </c>
      <c r="R1189">
        <v>-0.46522950000000002</v>
      </c>
      <c r="S1189">
        <v>2.5577239999999999</v>
      </c>
      <c r="T1189">
        <v>-0.29548570000000002</v>
      </c>
      <c r="U1189">
        <v>-1.802246</v>
      </c>
      <c r="V1189">
        <v>0.28856809999999899</v>
      </c>
      <c r="W1189">
        <v>0.19240969999999999</v>
      </c>
      <c r="X1189">
        <v>0.93792690000000001</v>
      </c>
      <c r="Y1189">
        <v>0.40347539999999998</v>
      </c>
      <c r="Z1189">
        <v>-6.7025919999999899E-3</v>
      </c>
      <c r="AA1189">
        <v>0.9149659</v>
      </c>
      <c r="AB1189">
        <v>32</v>
      </c>
      <c r="AC1189">
        <v>9.4718999999999998</v>
      </c>
      <c r="AD1189">
        <v>-1.11743691849099</v>
      </c>
      <c r="AE1189">
        <v>-6.7735999999999796</v>
      </c>
      <c r="AF1189">
        <v>4.7451242374812796</v>
      </c>
      <c r="AG1189">
        <v>-1.11743691849099</v>
      </c>
      <c r="AH1189">
        <v>10.517560956079899</v>
      </c>
      <c r="AI1189">
        <v>95.5315494428162</v>
      </c>
      <c r="AJ1189">
        <v>65.716910880282995</v>
      </c>
      <c r="AK1189">
        <v>11.592409489005901</v>
      </c>
      <c r="AL1189">
        <v>78.906554450215594</v>
      </c>
      <c r="AM1189">
        <v>72.898654561635993</v>
      </c>
      <c r="AN1189">
        <v>0.99999995536765396</v>
      </c>
    </row>
    <row r="1190" spans="1:40" x14ac:dyDescent="0.25">
      <c r="A1190" t="str">
        <f>"20190303162802537"</f>
        <v>20190303162802537</v>
      </c>
      <c r="B1190" t="str">
        <f>"1551601682533042"</f>
        <v>1551601682533042</v>
      </c>
      <c r="C1190" t="s">
        <v>40</v>
      </c>
      <c r="D1190">
        <v>5.1085310000000002</v>
      </c>
      <c r="E1190">
        <v>0.51040759999999996</v>
      </c>
      <c r="F1190" t="s">
        <v>46</v>
      </c>
      <c r="G1190">
        <v>-207.43289999999999</v>
      </c>
      <c r="H1190" s="1">
        <v>-5.2305829999999997E-6</v>
      </c>
      <c r="I1190">
        <v>364.46339999999998</v>
      </c>
      <c r="J1190">
        <v>-212.13630000000001</v>
      </c>
      <c r="K1190">
        <v>1.1173310000000001</v>
      </c>
      <c r="L1190">
        <v>367.10730000000001</v>
      </c>
      <c r="M1190">
        <v>0.9800103</v>
      </c>
      <c r="N1190">
        <v>-1.4099570000000001E-2</v>
      </c>
      <c r="O1190">
        <v>-0.1984464</v>
      </c>
      <c r="P1190">
        <v>0.86496439999999997</v>
      </c>
      <c r="Q1190">
        <v>0.18251200000000001</v>
      </c>
      <c r="R1190">
        <v>-0.46746799999999999</v>
      </c>
      <c r="S1190">
        <v>2.7770229999999998</v>
      </c>
      <c r="T1190">
        <v>-0.63582069999999902</v>
      </c>
      <c r="U1190">
        <v>-1.5260929999999999</v>
      </c>
      <c r="V1190">
        <v>0.288437099999999</v>
      </c>
      <c r="W1190">
        <v>0.1928935</v>
      </c>
      <c r="X1190">
        <v>0.93786789999999998</v>
      </c>
      <c r="Y1190">
        <v>0.29526140000000001</v>
      </c>
      <c r="Z1190">
        <v>5.1444430000000003E-3</v>
      </c>
      <c r="AA1190">
        <v>0.95540270000000005</v>
      </c>
      <c r="AB1190">
        <v>32</v>
      </c>
      <c r="AC1190">
        <v>4.70340000000001</v>
      </c>
      <c r="AD1190">
        <v>-1.1173362305829999</v>
      </c>
      <c r="AE1190">
        <v>-2.6439000000000301</v>
      </c>
      <c r="AF1190">
        <v>1.58967019763644</v>
      </c>
      <c r="AG1190">
        <v>-1.1173362305829999</v>
      </c>
      <c r="AH1190">
        <v>4.9234281734106</v>
      </c>
      <c r="AI1190">
        <v>102.186691791454</v>
      </c>
      <c r="AJ1190">
        <v>72.105835859628897</v>
      </c>
      <c r="AK1190">
        <v>5.2929799327184499</v>
      </c>
      <c r="AL1190">
        <v>78.878306415901605</v>
      </c>
      <c r="AM1190">
        <v>72.904952665802199</v>
      </c>
      <c r="AN1190">
        <v>1.00000003042453</v>
      </c>
    </row>
    <row r="1191" spans="1:40" x14ac:dyDescent="0.25">
      <c r="A1191" t="str">
        <f>"20190303162802550"</f>
        <v>20190303162802550</v>
      </c>
      <c r="B1191" t="str">
        <f>"1551601682542211"</f>
        <v>1551601682542211</v>
      </c>
      <c r="C1191" t="s">
        <v>40</v>
      </c>
      <c r="D1191">
        <v>5.0226610000000003</v>
      </c>
      <c r="E1191">
        <v>0.4655088</v>
      </c>
      <c r="F1191" t="s">
        <v>46</v>
      </c>
      <c r="G1191">
        <v>-207.2475</v>
      </c>
      <c r="H1191" s="1">
        <v>-5.1570970000000003E-6</v>
      </c>
      <c r="I1191">
        <v>364.40620000000001</v>
      </c>
      <c r="J1191">
        <v>-211.96360000000001</v>
      </c>
      <c r="K1191">
        <v>1.117235</v>
      </c>
      <c r="L1191">
        <v>367.06959999999998</v>
      </c>
      <c r="M1191">
        <v>0.9794503</v>
      </c>
      <c r="N1191">
        <v>-1.410544E-2</v>
      </c>
      <c r="O1191">
        <v>-0.20119139999999999</v>
      </c>
      <c r="P1191">
        <v>0.86349399999999998</v>
      </c>
      <c r="Q1191">
        <v>0.18239130000000001</v>
      </c>
      <c r="R1191">
        <v>-0.470225</v>
      </c>
      <c r="S1191">
        <v>2.7738339999999999</v>
      </c>
      <c r="T1191">
        <v>-0.63396969999999997</v>
      </c>
      <c r="U1191">
        <v>-1.5326229999999901</v>
      </c>
      <c r="V1191">
        <v>0.28884199999999999</v>
      </c>
      <c r="W1191">
        <v>0.19270499999999999</v>
      </c>
      <c r="X1191">
        <v>0.937782</v>
      </c>
      <c r="Y1191">
        <v>0.2948423</v>
      </c>
      <c r="Z1191">
        <v>5.6825969999999898E-3</v>
      </c>
      <c r="AA1191">
        <v>0.95552899999999996</v>
      </c>
      <c r="AB1191">
        <v>32</v>
      </c>
      <c r="AC1191">
        <v>4.7161000000000097</v>
      </c>
      <c r="AD1191">
        <v>-1.1172401570970001</v>
      </c>
      <c r="AE1191">
        <v>-2.6633999999999598</v>
      </c>
      <c r="AF1191">
        <v>1.5922440039092101</v>
      </c>
      <c r="AG1191">
        <v>-1.1172401570970001</v>
      </c>
      <c r="AH1191">
        <v>4.9451351234733396</v>
      </c>
      <c r="AI1191">
        <v>102.13685827270599</v>
      </c>
      <c r="AJ1191">
        <v>72.152381072772499</v>
      </c>
      <c r="AK1191">
        <v>5.3139277305985901</v>
      </c>
      <c r="AL1191">
        <v>78.889312820077805</v>
      </c>
      <c r="AM1191">
        <v>72.880880612265599</v>
      </c>
      <c r="AN1191">
        <v>0.99999999875650003</v>
      </c>
    </row>
    <row r="1192" spans="1:40" x14ac:dyDescent="0.25">
      <c r="A1192" t="str">
        <f>"20190303162802564"</f>
        <v>20190303162802564</v>
      </c>
      <c r="B1192" t="str">
        <f>"1551601682552947"</f>
        <v>1551601682552947</v>
      </c>
      <c r="C1192" t="s">
        <v>40</v>
      </c>
      <c r="D1192">
        <v>5.1311439999999999</v>
      </c>
      <c r="E1192">
        <v>0.45743149999999999</v>
      </c>
      <c r="F1192" t="s">
        <v>44</v>
      </c>
      <c r="G1192">
        <v>-211.1875</v>
      </c>
      <c r="H1192">
        <v>0.845391</v>
      </c>
      <c r="I1192">
        <v>366.74930000000001</v>
      </c>
      <c r="J1192">
        <v>-211.7764</v>
      </c>
      <c r="K1192">
        <v>1.1171279999999999</v>
      </c>
      <c r="L1192">
        <v>367.0283</v>
      </c>
      <c r="M1192">
        <v>0.97882329999999995</v>
      </c>
      <c r="N1192">
        <v>-1.411163E-2</v>
      </c>
      <c r="O1192">
        <v>-0.20422070000000001</v>
      </c>
      <c r="P1192">
        <v>0.86174450000000002</v>
      </c>
      <c r="Q1192">
        <v>0.18207100000000001</v>
      </c>
      <c r="R1192">
        <v>-0.4735472</v>
      </c>
      <c r="S1192">
        <v>3.0193020000000002</v>
      </c>
      <c r="T1192">
        <v>-1.0574239999999999</v>
      </c>
      <c r="U1192">
        <v>-1.245636</v>
      </c>
      <c r="V1192">
        <v>0.28958579999999901</v>
      </c>
      <c r="W1192">
        <v>0.1923077</v>
      </c>
      <c r="X1192">
        <v>0.93763419999999997</v>
      </c>
      <c r="Y1192">
        <v>0.18415699999999999</v>
      </c>
      <c r="Z1192">
        <v>3.1614969999999999E-2</v>
      </c>
      <c r="AA1192">
        <v>0.98238829999999999</v>
      </c>
      <c r="AB1192">
        <v>32</v>
      </c>
      <c r="AC1192">
        <v>0.58889999999999498</v>
      </c>
      <c r="AD1192">
        <v>-0.27173700000000001</v>
      </c>
      <c r="AE1192">
        <v>-0.27899999999999597</v>
      </c>
      <c r="AF1192">
        <v>0.13020082427111501</v>
      </c>
      <c r="AG1192">
        <v>-0.27173700000000001</v>
      </c>
      <c r="AH1192">
        <v>0.53963326386388</v>
      </c>
      <c r="AI1192">
        <v>116.08229752405499</v>
      </c>
      <c r="AJ1192">
        <v>76.435132122393796</v>
      </c>
      <c r="AK1192">
        <v>0.61805931048586404</v>
      </c>
      <c r="AL1192">
        <v>78.912510789313203</v>
      </c>
      <c r="AM1192">
        <v>72.836837335031902</v>
      </c>
      <c r="AN1192">
        <v>1.00000004002528</v>
      </c>
    </row>
    <row r="1193" spans="1:40" x14ac:dyDescent="0.25">
      <c r="A1193" t="str">
        <f>"20190303162802578"</f>
        <v>20190303162802578</v>
      </c>
      <c r="B1193" t="str">
        <f>"1551601682572466"</f>
        <v>1551601682572466</v>
      </c>
      <c r="C1193" t="s">
        <v>40</v>
      </c>
      <c r="D1193">
        <v>4.9727969999999999</v>
      </c>
      <c r="E1193">
        <v>0.45127040000000002</v>
      </c>
      <c r="F1193" t="s">
        <v>44</v>
      </c>
      <c r="G1193">
        <v>-210.92580000000001</v>
      </c>
      <c r="H1193">
        <v>0.8007436</v>
      </c>
      <c r="I1193">
        <v>366.69380000000001</v>
      </c>
      <c r="J1193">
        <v>-211.56819999999999</v>
      </c>
      <c r="K1193">
        <v>1.117003</v>
      </c>
      <c r="L1193">
        <v>366.98129999999998</v>
      </c>
      <c r="M1193">
        <v>0.97808790000000001</v>
      </c>
      <c r="N1193">
        <v>-1.411862E-2</v>
      </c>
      <c r="O1193">
        <v>-0.20771319999999999</v>
      </c>
      <c r="P1193">
        <v>0.85889090000000001</v>
      </c>
      <c r="Q1193">
        <v>0.1804666</v>
      </c>
      <c r="R1193">
        <v>-0.47931040000000003</v>
      </c>
      <c r="S1193">
        <v>3.0606689999999999</v>
      </c>
      <c r="T1193">
        <v>-1.138026</v>
      </c>
      <c r="U1193">
        <v>-1.203033</v>
      </c>
      <c r="V1193">
        <v>0.29249219999999998</v>
      </c>
      <c r="W1193">
        <v>0.19059429999999999</v>
      </c>
      <c r="X1193">
        <v>0.93708170000000002</v>
      </c>
      <c r="Y1193">
        <v>0.1654504</v>
      </c>
      <c r="Z1193">
        <v>3.837024E-2</v>
      </c>
      <c r="AA1193">
        <v>0.9854714</v>
      </c>
      <c r="AB1193">
        <v>32</v>
      </c>
      <c r="AC1193">
        <v>0.64239999999997999</v>
      </c>
      <c r="AD1193">
        <v>-0.31625940000000002</v>
      </c>
      <c r="AE1193">
        <v>-0.28749999999996501</v>
      </c>
      <c r="AF1193">
        <v>0.122952858952667</v>
      </c>
      <c r="AG1193">
        <v>-0.31625940000000002</v>
      </c>
      <c r="AH1193">
        <v>0.572506721563528</v>
      </c>
      <c r="AI1193">
        <v>118.373334989849</v>
      </c>
      <c r="AJ1193">
        <v>77.879138066886</v>
      </c>
      <c r="AK1193">
        <v>0.66550834694120398</v>
      </c>
      <c r="AL1193">
        <v>79.012531035537606</v>
      </c>
      <c r="AM1193">
        <v>72.665241235801105</v>
      </c>
      <c r="AN1193">
        <v>0.99999999336411005</v>
      </c>
    </row>
    <row r="1194" spans="1:40" x14ac:dyDescent="0.25">
      <c r="A1194" t="str">
        <f>"20190303162802591"</f>
        <v>20190303162802591</v>
      </c>
      <c r="B1194" t="str">
        <f>"1551601682582227"</f>
        <v>1551601682582227</v>
      </c>
      <c r="C1194" t="s">
        <v>40</v>
      </c>
      <c r="D1194">
        <v>4.9624739999999896</v>
      </c>
      <c r="E1194">
        <v>0.452459</v>
      </c>
      <c r="F1194" t="s">
        <v>44</v>
      </c>
      <c r="G1194">
        <v>-210.89660000000001</v>
      </c>
      <c r="H1194">
        <v>0.85843250000000004</v>
      </c>
      <c r="I1194">
        <v>366.72559999999999</v>
      </c>
      <c r="J1194">
        <v>-211.38800000000001</v>
      </c>
      <c r="K1194">
        <v>1.116905</v>
      </c>
      <c r="L1194">
        <v>366.93990000000002</v>
      </c>
      <c r="M1194">
        <v>0.97742700000000005</v>
      </c>
      <c r="N1194">
        <v>-1.4124619999999999E-2</v>
      </c>
      <c r="O1194">
        <v>-0.21080099999999999</v>
      </c>
      <c r="P1194">
        <v>0.85637430000000003</v>
      </c>
      <c r="Q1194">
        <v>0.17924470000000001</v>
      </c>
      <c r="R1194">
        <v>-0.48424620000000002</v>
      </c>
      <c r="S1194">
        <v>3.0872799999999998</v>
      </c>
      <c r="T1194">
        <v>-1.188156</v>
      </c>
      <c r="U1194">
        <v>-1.174194</v>
      </c>
      <c r="V1194">
        <v>0.29490670000000002</v>
      </c>
      <c r="W1194">
        <v>0.1892807</v>
      </c>
      <c r="X1194">
        <v>0.93659110000000001</v>
      </c>
      <c r="Y1194">
        <v>0.1525184</v>
      </c>
      <c r="Z1194">
        <v>4.3333389999999999E-2</v>
      </c>
      <c r="AA1194">
        <v>0.98735019999999996</v>
      </c>
      <c r="AB1194">
        <v>32</v>
      </c>
      <c r="AC1194">
        <v>0.49139999999999801</v>
      </c>
      <c r="AD1194">
        <v>-0.25847249999999999</v>
      </c>
      <c r="AE1194">
        <v>-0.21430000000003699</v>
      </c>
      <c r="AF1194">
        <v>8.5914134652841007E-2</v>
      </c>
      <c r="AG1194">
        <v>-0.25847249999999999</v>
      </c>
      <c r="AH1194">
        <v>0.42641188006601699</v>
      </c>
      <c r="AI1194">
        <v>120.719451833375</v>
      </c>
      <c r="AJ1194">
        <v>78.608468086945507</v>
      </c>
      <c r="AK1194">
        <v>0.50598059572559895</v>
      </c>
      <c r="AL1194">
        <v>79.089190528253198</v>
      </c>
      <c r="AM1194">
        <v>72.522223219244793</v>
      </c>
      <c r="AN1194">
        <v>1.0000000168482901</v>
      </c>
    </row>
    <row r="1195" spans="1:40" x14ac:dyDescent="0.25">
      <c r="A1195" t="str">
        <f>"20190303162802608"</f>
        <v>20190303162802608</v>
      </c>
      <c r="B1195" t="str">
        <f>"1551601682602723"</f>
        <v>1551601682602723</v>
      </c>
      <c r="C1195" t="s">
        <v>40</v>
      </c>
      <c r="D1195">
        <v>4.9352169999999997</v>
      </c>
      <c r="E1195">
        <v>0.4536811</v>
      </c>
      <c r="F1195" t="s">
        <v>44</v>
      </c>
      <c r="G1195">
        <v>-210.6344</v>
      </c>
      <c r="H1195">
        <v>0.82485719999999996</v>
      </c>
      <c r="I1195">
        <v>366.64679999999998</v>
      </c>
      <c r="J1195">
        <v>-211.16229999999999</v>
      </c>
      <c r="K1195">
        <v>1.1167910000000001</v>
      </c>
      <c r="L1195">
        <v>366.88729999999998</v>
      </c>
      <c r="M1195">
        <v>0.97656849999999995</v>
      </c>
      <c r="N1195">
        <v>-1.4131970000000001E-2</v>
      </c>
      <c r="O1195">
        <v>-0.2147424</v>
      </c>
      <c r="P1195">
        <v>0.85326650000000004</v>
      </c>
      <c r="Q1195">
        <v>0.17846029999999999</v>
      </c>
      <c r="R1195">
        <v>-0.48998849999999999</v>
      </c>
      <c r="S1195">
        <v>3.0764770000000001</v>
      </c>
      <c r="T1195">
        <v>-1.191838</v>
      </c>
      <c r="U1195">
        <v>-1.1956789999999999</v>
      </c>
      <c r="V1195">
        <v>0.297431099999999</v>
      </c>
      <c r="W1195">
        <v>0.18838959999999999</v>
      </c>
      <c r="X1195">
        <v>0.93597229999999998</v>
      </c>
      <c r="Y1195">
        <v>0.15572359999999999</v>
      </c>
      <c r="Z1195">
        <v>4.4266880000000002E-2</v>
      </c>
      <c r="AA1195">
        <v>0.98680829999999997</v>
      </c>
      <c r="AB1195">
        <v>32</v>
      </c>
      <c r="AC1195">
        <v>0.52789999999998805</v>
      </c>
      <c r="AD1195">
        <v>-0.29193380000000002</v>
      </c>
      <c r="AE1195">
        <v>-0.24049999999999699</v>
      </c>
      <c r="AF1195">
        <v>9.6958921884954599E-2</v>
      </c>
      <c r="AG1195">
        <v>-0.29193380000000002</v>
      </c>
      <c r="AH1195">
        <v>0.452607228730322</v>
      </c>
      <c r="AI1195">
        <v>122.2394360318</v>
      </c>
      <c r="AJ1195">
        <v>77.908673209914397</v>
      </c>
      <c r="AK1195">
        <v>0.547247366018764</v>
      </c>
      <c r="AL1195">
        <v>79.141182263876004</v>
      </c>
      <c r="AM1195">
        <v>72.370905248591299</v>
      </c>
      <c r="AN1195">
        <v>1.00000002350132</v>
      </c>
    </row>
    <row r="1196" spans="1:40" x14ac:dyDescent="0.25">
      <c r="A1196" t="str">
        <f>"20190303162802622"</f>
        <v>20190303162802622</v>
      </c>
      <c r="B1196" t="str">
        <f>"1551601682612482"</f>
        <v>1551601682612482</v>
      </c>
      <c r="C1196" t="s">
        <v>40</v>
      </c>
      <c r="D1196">
        <v>4.9029800000000003</v>
      </c>
      <c r="E1196">
        <v>0.45428560000000001</v>
      </c>
      <c r="F1196" t="s">
        <v>44</v>
      </c>
      <c r="G1196">
        <v>-210.36609999999999</v>
      </c>
      <c r="H1196">
        <v>0.80648599999999904</v>
      </c>
      <c r="I1196">
        <v>366.56909999999999</v>
      </c>
      <c r="J1196">
        <v>-210.95750000000001</v>
      </c>
      <c r="K1196">
        <v>1.116698</v>
      </c>
      <c r="L1196">
        <v>366.83870000000002</v>
      </c>
      <c r="M1196">
        <v>0.97575880000000004</v>
      </c>
      <c r="N1196">
        <v>-1.413849E-2</v>
      </c>
      <c r="O1196">
        <v>-0.21839169999999999</v>
      </c>
      <c r="P1196">
        <v>0.84932989999999997</v>
      </c>
      <c r="Q1196">
        <v>0.1791787</v>
      </c>
      <c r="R1196">
        <v>-0.49652180000000001</v>
      </c>
      <c r="S1196">
        <v>3.0629879999999998</v>
      </c>
      <c r="T1196">
        <v>-1.1934610000000001</v>
      </c>
      <c r="U1196">
        <v>-1.2233889999999901</v>
      </c>
      <c r="V1196">
        <v>0.30120580000000002</v>
      </c>
      <c r="W1196">
        <v>0.1889866</v>
      </c>
      <c r="X1196">
        <v>0.93464389999999997</v>
      </c>
      <c r="Y1196">
        <v>0.16109279999999901</v>
      </c>
      <c r="Z1196">
        <v>4.4635660000000001E-2</v>
      </c>
      <c r="AA1196">
        <v>0.98592939999999996</v>
      </c>
      <c r="AB1196">
        <v>32</v>
      </c>
      <c r="AC1196">
        <v>0.59140000000002102</v>
      </c>
      <c r="AD1196">
        <v>-0.31021199999999999</v>
      </c>
      <c r="AE1196">
        <v>-0.26960000000002499</v>
      </c>
      <c r="AF1196">
        <v>0.109074019791739</v>
      </c>
      <c r="AG1196">
        <v>-0.31021199999999999</v>
      </c>
      <c r="AH1196">
        <v>0.51800424060644701</v>
      </c>
      <c r="AI1196">
        <v>120.37071266234901</v>
      </c>
      <c r="AJ1196">
        <v>78.109171213229502</v>
      </c>
      <c r="AK1196">
        <v>0.613560934238638</v>
      </c>
      <c r="AL1196">
        <v>79.106351242434101</v>
      </c>
      <c r="AM1196">
        <v>72.137530928862702</v>
      </c>
      <c r="AN1196">
        <v>1.0000000443702</v>
      </c>
    </row>
    <row r="1197" spans="1:40" x14ac:dyDescent="0.25">
      <c r="A1197" t="str">
        <f>"20190303162802636"</f>
        <v>20190303162802636</v>
      </c>
      <c r="B1197" t="str">
        <f>"1551601682632978"</f>
        <v>1551601682632978</v>
      </c>
      <c r="C1197" t="s">
        <v>40</v>
      </c>
      <c r="D1197">
        <v>4.9098139999999999</v>
      </c>
      <c r="E1197">
        <v>0.454926</v>
      </c>
      <c r="F1197" t="s">
        <v>44</v>
      </c>
      <c r="G1197">
        <v>-210.3357</v>
      </c>
      <c r="H1197">
        <v>0.87398099999999901</v>
      </c>
      <c r="I1197">
        <v>366.58269999999999</v>
      </c>
      <c r="J1197">
        <v>-210.76660000000001</v>
      </c>
      <c r="K1197">
        <v>1.116625</v>
      </c>
      <c r="L1197">
        <v>366.79230000000001</v>
      </c>
      <c r="M1197">
        <v>0.97497250000000002</v>
      </c>
      <c r="N1197">
        <v>-1.4144530000000001E-2</v>
      </c>
      <c r="O1197">
        <v>-0.2218755</v>
      </c>
      <c r="P1197">
        <v>0.84675210000000001</v>
      </c>
      <c r="Q1197">
        <v>0.18026320000000001</v>
      </c>
      <c r="R1197">
        <v>-0.50051679999999998</v>
      </c>
      <c r="S1197">
        <v>3.049744</v>
      </c>
      <c r="T1197">
        <v>-1.190013</v>
      </c>
      <c r="U1197">
        <v>-1.2547299999999999</v>
      </c>
      <c r="V1197">
        <v>0.30237249999999999</v>
      </c>
      <c r="W1197">
        <v>0.18999650000000001</v>
      </c>
      <c r="X1197">
        <v>0.93406219999999995</v>
      </c>
      <c r="Y1197">
        <v>0.1675101</v>
      </c>
      <c r="Z1197">
        <v>4.4537559999999997E-2</v>
      </c>
      <c r="AA1197">
        <v>0.98486379999999996</v>
      </c>
      <c r="AB1197">
        <v>32</v>
      </c>
      <c r="AC1197">
        <v>0.430900000000008</v>
      </c>
      <c r="AD1197">
        <v>-0.242644</v>
      </c>
      <c r="AE1197">
        <v>-0.20960000000002299</v>
      </c>
      <c r="AF1197">
        <v>8.6562489802547396E-2</v>
      </c>
      <c r="AG1197">
        <v>-0.242644</v>
      </c>
      <c r="AH1197">
        <v>0.37142589752221</v>
      </c>
      <c r="AI1197">
        <v>122.46563214259901</v>
      </c>
      <c r="AJ1197">
        <v>76.881127811714194</v>
      </c>
      <c r="AK1197">
        <v>0.45202474791430902</v>
      </c>
      <c r="AL1197">
        <v>79.047420013938293</v>
      </c>
      <c r="AM1197">
        <v>72.062313035814697</v>
      </c>
      <c r="AN1197">
        <v>0.99999999611866996</v>
      </c>
    </row>
    <row r="1198" spans="1:40" x14ac:dyDescent="0.25">
      <c r="A1198" t="str">
        <f>"20190303162802648"</f>
        <v>20190303162802648</v>
      </c>
      <c r="B1198" t="str">
        <f>"1551601682642738"</f>
        <v>1551601682642738</v>
      </c>
      <c r="C1198" t="s">
        <v>40</v>
      </c>
      <c r="D1198">
        <v>4.8432240000000002</v>
      </c>
      <c r="E1198">
        <v>0.45500360000000001</v>
      </c>
      <c r="F1198" t="s">
        <v>44</v>
      </c>
      <c r="G1198">
        <v>-210.07249999999999</v>
      </c>
      <c r="H1198">
        <v>0.84612929999999997</v>
      </c>
      <c r="I1198">
        <v>366.50099999999998</v>
      </c>
      <c r="J1198">
        <v>-210.59299999999999</v>
      </c>
      <c r="K1198">
        <v>1.1165609999999999</v>
      </c>
      <c r="L1198">
        <v>366.74970000000002</v>
      </c>
      <c r="M1198">
        <v>0.97423720000000003</v>
      </c>
      <c r="N1198">
        <v>-1.414985E-2</v>
      </c>
      <c r="O1198">
        <v>-0.22508149999999999</v>
      </c>
      <c r="P1198">
        <v>0.8443792</v>
      </c>
      <c r="Q1198">
        <v>0.18155760000000001</v>
      </c>
      <c r="R1198">
        <v>-0.50404439999999995</v>
      </c>
      <c r="S1198">
        <v>3.0409389999999998</v>
      </c>
      <c r="T1198">
        <v>-1.1849769999999999</v>
      </c>
      <c r="U1198">
        <v>-1.2760929999999999</v>
      </c>
      <c r="V1198">
        <v>0.30330940000000001</v>
      </c>
      <c r="W1198">
        <v>0.1912248</v>
      </c>
      <c r="X1198">
        <v>0.93350759999999999</v>
      </c>
      <c r="Y1198">
        <v>0.17109839999999901</v>
      </c>
      <c r="Z1198">
        <v>4.4785749999999999E-2</v>
      </c>
      <c r="AA1198">
        <v>0.98423550000000004</v>
      </c>
      <c r="AB1198">
        <v>32</v>
      </c>
      <c r="AC1198">
        <v>0.52049999999999796</v>
      </c>
      <c r="AD1198">
        <v>-0.2704317</v>
      </c>
      <c r="AE1198">
        <v>-0.248700000000042</v>
      </c>
      <c r="AF1198">
        <v>0.102601633253403</v>
      </c>
      <c r="AG1198">
        <v>-0.2704317</v>
      </c>
      <c r="AH1198">
        <v>0.46166456077201901</v>
      </c>
      <c r="AI1198">
        <v>119.761948366422</v>
      </c>
      <c r="AJ1198">
        <v>77.470067741340003</v>
      </c>
      <c r="AK1198">
        <v>0.54478855181067898</v>
      </c>
      <c r="AL1198">
        <v>78.975728998038406</v>
      </c>
      <c r="AM1198">
        <v>72.000311212893493</v>
      </c>
      <c r="AN1198">
        <v>0.99999997776057903</v>
      </c>
    </row>
    <row r="1199" spans="1:40" x14ac:dyDescent="0.25">
      <c r="A1199" t="str">
        <f>"20190303162802662"</f>
        <v>20190303162802662</v>
      </c>
      <c r="B1199" t="str">
        <f>"1551601682652498"</f>
        <v>1551601682652498</v>
      </c>
      <c r="C1199" t="s">
        <v>40</v>
      </c>
      <c r="D1199">
        <v>4.8808769999999999</v>
      </c>
      <c r="E1199">
        <v>0.45514739999999998</v>
      </c>
      <c r="F1199" t="s">
        <v>44</v>
      </c>
      <c r="G1199">
        <v>-209.8125</v>
      </c>
      <c r="H1199">
        <v>0.81269150000000001</v>
      </c>
      <c r="I1199">
        <v>366.41719999999998</v>
      </c>
      <c r="J1199">
        <v>-210.3964</v>
      </c>
      <c r="K1199">
        <v>1.1164849999999999</v>
      </c>
      <c r="L1199">
        <v>366.70069999999998</v>
      </c>
      <c r="M1199">
        <v>0.97337949999999995</v>
      </c>
      <c r="N1199">
        <v>-1.415575E-2</v>
      </c>
      <c r="O1199">
        <v>-0.22876270000000001</v>
      </c>
      <c r="P1199">
        <v>0.84174110000000002</v>
      </c>
      <c r="Q1199">
        <v>0.182702</v>
      </c>
      <c r="R1199">
        <v>-0.50802840000000005</v>
      </c>
      <c r="S1199">
        <v>3.035507</v>
      </c>
      <c r="T1199">
        <v>-1.181446</v>
      </c>
      <c r="U1199">
        <v>-1.292297</v>
      </c>
      <c r="V1199">
        <v>0.30430190000000001</v>
      </c>
      <c r="W1199">
        <v>0.1922951</v>
      </c>
      <c r="X1199">
        <v>0.93296460000000003</v>
      </c>
      <c r="Y1199">
        <v>0.1725534</v>
      </c>
      <c r="Z1199">
        <v>4.5616820000000002E-2</v>
      </c>
      <c r="AA1199">
        <v>0.98394329999999997</v>
      </c>
      <c r="AB1199">
        <v>32</v>
      </c>
      <c r="AC1199">
        <v>0.58389999999999898</v>
      </c>
      <c r="AD1199">
        <v>-0.30379349999999899</v>
      </c>
      <c r="AE1199">
        <v>-0.28350000000000303</v>
      </c>
      <c r="AF1199">
        <v>0.116805850310541</v>
      </c>
      <c r="AG1199">
        <v>-0.30379349999999899</v>
      </c>
      <c r="AH1199">
        <v>0.51947919032020295</v>
      </c>
      <c r="AI1199">
        <v>119.70728994954899</v>
      </c>
      <c r="AJ1199">
        <v>77.327696817190997</v>
      </c>
      <c r="AK1199">
        <v>0.61301935245533001</v>
      </c>
      <c r="AL1199">
        <v>78.913245978469504</v>
      </c>
      <c r="AM1199">
        <v>71.935403038960501</v>
      </c>
      <c r="AN1199">
        <v>0.99999999834039</v>
      </c>
    </row>
    <row r="1200" spans="1:40" x14ac:dyDescent="0.25">
      <c r="A1200" t="str">
        <f>"20190303162802679"</f>
        <v>20190303162802679</v>
      </c>
      <c r="B1200" t="str">
        <f>"1551601682672994"</f>
        <v>1551601682672994</v>
      </c>
      <c r="C1200" t="s">
        <v>40</v>
      </c>
      <c r="D1200">
        <v>4.8735689999999998</v>
      </c>
      <c r="E1200">
        <v>0.45510830000000002</v>
      </c>
      <c r="F1200" t="s">
        <v>44</v>
      </c>
      <c r="G1200">
        <v>-209.78229999999999</v>
      </c>
      <c r="H1200">
        <v>0.87749840000000001</v>
      </c>
      <c r="I1200">
        <v>366.43459999999999</v>
      </c>
      <c r="J1200">
        <v>-210.1645</v>
      </c>
      <c r="K1200">
        <v>1.116398</v>
      </c>
      <c r="L1200">
        <v>366.64150000000001</v>
      </c>
      <c r="M1200">
        <v>0.97232379999999996</v>
      </c>
      <c r="N1200">
        <v>-1.416355E-2</v>
      </c>
      <c r="O1200">
        <v>-0.23320759999999999</v>
      </c>
      <c r="P1200">
        <v>0.83800049999999904</v>
      </c>
      <c r="Q1200">
        <v>0.18341189999999999</v>
      </c>
      <c r="R1200">
        <v>-0.5139222</v>
      </c>
      <c r="S1200">
        <v>3.0284270000000002</v>
      </c>
      <c r="T1200">
        <v>-1.1781539999999999</v>
      </c>
      <c r="U1200">
        <v>-1.311188</v>
      </c>
      <c r="V1200">
        <v>0.3066816</v>
      </c>
      <c r="W1200">
        <v>0.19289919999999999</v>
      </c>
      <c r="X1200">
        <v>0.93206020000000001</v>
      </c>
      <c r="Y1200">
        <v>0.1741866</v>
      </c>
      <c r="Z1200">
        <v>4.6683120000000002E-2</v>
      </c>
      <c r="AA1200">
        <v>0.98360539999999996</v>
      </c>
      <c r="AB1200">
        <v>32</v>
      </c>
      <c r="AC1200">
        <v>0.38220000000001098</v>
      </c>
      <c r="AD1200">
        <v>-0.23889959999999999</v>
      </c>
      <c r="AE1200">
        <v>-0.20690000000001799</v>
      </c>
      <c r="AF1200">
        <v>8.6051814724766806E-2</v>
      </c>
      <c r="AG1200">
        <v>-0.23889959999999999</v>
      </c>
      <c r="AH1200">
        <v>0.32247608649856602</v>
      </c>
      <c r="AI1200">
        <v>125.594427586403</v>
      </c>
      <c r="AJ1200">
        <v>75.058930499596997</v>
      </c>
      <c r="AK1200">
        <v>0.41044946103146002</v>
      </c>
      <c r="AL1200">
        <v>78.877972794556896</v>
      </c>
      <c r="AM1200">
        <v>71.786919962659695</v>
      </c>
      <c r="AN1200">
        <v>0.99999996078161901</v>
      </c>
    </row>
    <row r="1201" spans="1:40" x14ac:dyDescent="0.25">
      <c r="A1201" t="str">
        <f>"20190303162802701"</f>
        <v>20190303162802701</v>
      </c>
      <c r="B1201" t="str">
        <f>"1551601682692514"</f>
        <v>1551601682692514</v>
      </c>
      <c r="C1201" t="s">
        <v>40</v>
      </c>
      <c r="D1201">
        <v>4.86625</v>
      </c>
      <c r="E1201">
        <v>0.45390920000000001</v>
      </c>
      <c r="F1201" t="s">
        <v>44</v>
      </c>
      <c r="G1201">
        <v>-209.5146</v>
      </c>
      <c r="H1201">
        <v>0.86247439999999997</v>
      </c>
      <c r="I1201">
        <v>366.3528</v>
      </c>
      <c r="J1201">
        <v>-209.86760000000001</v>
      </c>
      <c r="K1201">
        <v>1.1162620000000001</v>
      </c>
      <c r="L1201">
        <v>366.56420000000003</v>
      </c>
      <c r="M1201">
        <v>0.97090849999999995</v>
      </c>
      <c r="N1201">
        <v>-1.417417E-2</v>
      </c>
      <c r="O1201">
        <v>-0.23903160000000001</v>
      </c>
      <c r="P1201">
        <v>0.8336287</v>
      </c>
      <c r="Q1201">
        <v>0.18353</v>
      </c>
      <c r="R1201">
        <v>-0.52094169999999995</v>
      </c>
      <c r="S1201">
        <v>3.0161739999999999</v>
      </c>
      <c r="T1201">
        <v>-1.178574</v>
      </c>
      <c r="U1201">
        <v>-1.339874</v>
      </c>
      <c r="V1201">
        <v>0.3090001</v>
      </c>
      <c r="W1201">
        <v>0.1928861</v>
      </c>
      <c r="X1201">
        <v>0.93129689999999998</v>
      </c>
      <c r="Y1201">
        <v>0.17768020000000001</v>
      </c>
      <c r="Z1201">
        <v>4.8041889999999997E-2</v>
      </c>
      <c r="AA1201">
        <v>0.98291490000000004</v>
      </c>
      <c r="AB1201">
        <v>32</v>
      </c>
      <c r="AC1201">
        <v>0.35300000000000797</v>
      </c>
      <c r="AD1201">
        <v>-0.2537876</v>
      </c>
      <c r="AE1201">
        <v>-0.21140000000002601</v>
      </c>
      <c r="AF1201">
        <v>8.7569181170962102E-2</v>
      </c>
      <c r="AG1201">
        <v>-0.2537876</v>
      </c>
      <c r="AH1201">
        <v>0.28491013246880298</v>
      </c>
      <c r="AI1201">
        <v>130.412846366694</v>
      </c>
      <c r="AJ1201">
        <v>72.914812265463198</v>
      </c>
      <c r="AK1201">
        <v>0.391471954280384</v>
      </c>
      <c r="AL1201">
        <v>78.878738319308397</v>
      </c>
      <c r="AM1201">
        <v>71.644389092841706</v>
      </c>
      <c r="AN1201">
        <v>1.0000000126614099</v>
      </c>
    </row>
    <row r="1202" spans="1:40" x14ac:dyDescent="0.25">
      <c r="A1202" t="str">
        <f>"20190303162802715"</f>
        <v>20190303162802715</v>
      </c>
      <c r="B1202" t="str">
        <f>"1551601682702275"</f>
        <v>1551601682702275</v>
      </c>
      <c r="C1202" t="s">
        <v>40</v>
      </c>
      <c r="D1202">
        <v>4.8949049999999996</v>
      </c>
      <c r="E1202">
        <v>0.45390920000000001</v>
      </c>
      <c r="F1202" t="s">
        <v>44</v>
      </c>
      <c r="G1202">
        <v>-209.2371</v>
      </c>
      <c r="H1202">
        <v>0.86890159999999905</v>
      </c>
      <c r="I1202">
        <v>366.27850000000001</v>
      </c>
      <c r="J1202">
        <v>-209.6738</v>
      </c>
      <c r="K1202">
        <v>1.116163</v>
      </c>
      <c r="L1202">
        <v>366.51249999999999</v>
      </c>
      <c r="M1202">
        <v>0.96993640000000003</v>
      </c>
      <c r="N1202">
        <v>-1.4182520000000001E-2</v>
      </c>
      <c r="O1202">
        <v>-0.24294489999999999</v>
      </c>
      <c r="P1202">
        <v>0.8307599</v>
      </c>
      <c r="Q1202">
        <v>0.18360109999999999</v>
      </c>
      <c r="R1202">
        <v>-0.52547959999999905</v>
      </c>
      <c r="S1202">
        <v>3.0074459999999998</v>
      </c>
      <c r="T1202">
        <v>-1.1794279999999999</v>
      </c>
      <c r="U1202">
        <v>-1.361694</v>
      </c>
      <c r="V1202">
        <v>0.31037769999999998</v>
      </c>
      <c r="W1202">
        <v>0.19286600000000001</v>
      </c>
      <c r="X1202">
        <v>0.93084290000000003</v>
      </c>
      <c r="Y1202">
        <v>0.18072869999999999</v>
      </c>
      <c r="Z1202">
        <v>4.8843329999999997E-2</v>
      </c>
      <c r="AA1202">
        <v>0.98231939999999995</v>
      </c>
      <c r="AB1202">
        <v>32</v>
      </c>
      <c r="AC1202">
        <v>0.43670000000000098</v>
      </c>
      <c r="AD1202">
        <v>-0.24726139999999999</v>
      </c>
      <c r="AE1202">
        <v>-0.23399999999998</v>
      </c>
      <c r="AF1202">
        <v>9.6778354874814398E-2</v>
      </c>
      <c r="AG1202">
        <v>-0.24726139999999999</v>
      </c>
      <c r="AH1202">
        <v>0.38466016448520801</v>
      </c>
      <c r="AI1202">
        <v>121.93849282404101</v>
      </c>
      <c r="AJ1202">
        <v>75.8778084956123</v>
      </c>
      <c r="AK1202">
        <v>0.46740527601218101</v>
      </c>
      <c r="AL1202">
        <v>78.879912508053096</v>
      </c>
      <c r="AM1202">
        <v>71.559692576777806</v>
      </c>
      <c r="AN1202">
        <v>1.00000005754684</v>
      </c>
    </row>
    <row r="1203" spans="1:40" x14ac:dyDescent="0.25">
      <c r="A1203" t="str">
        <f>"20190303162802728"</f>
        <v>20190303162802728</v>
      </c>
      <c r="B1203" t="str">
        <f>"1551601682722771"</f>
        <v>1551601682722771</v>
      </c>
      <c r="C1203" t="s">
        <v>40</v>
      </c>
      <c r="D1203">
        <v>4.9066489999999998</v>
      </c>
      <c r="E1203">
        <v>0.42493249999999999</v>
      </c>
      <c r="F1203" t="s">
        <v>44</v>
      </c>
      <c r="G1203">
        <v>-208.97620000000001</v>
      </c>
      <c r="H1203">
        <v>0.841887099999999</v>
      </c>
      <c r="I1203">
        <v>366.1918</v>
      </c>
      <c r="J1203">
        <v>-209.49189999999999</v>
      </c>
      <c r="K1203">
        <v>1.1160620000000001</v>
      </c>
      <c r="L1203">
        <v>366.46319999999997</v>
      </c>
      <c r="M1203">
        <v>0.96899310000000005</v>
      </c>
      <c r="N1203">
        <v>-1.4190950000000001E-2</v>
      </c>
      <c r="O1203">
        <v>-0.24668029999999999</v>
      </c>
      <c r="P1203">
        <v>0.8279668</v>
      </c>
      <c r="Q1203">
        <v>0.18379039999999999</v>
      </c>
      <c r="R1203">
        <v>-0.52980419999999995</v>
      </c>
      <c r="S1203">
        <v>2.9995569999999998</v>
      </c>
      <c r="T1203">
        <v>-1.179524</v>
      </c>
      <c r="U1203">
        <v>-1.379059</v>
      </c>
      <c r="V1203">
        <v>0.31170759999999997</v>
      </c>
      <c r="W1203">
        <v>0.19296469999999999</v>
      </c>
      <c r="X1203">
        <v>0.93037789999999998</v>
      </c>
      <c r="Y1203">
        <v>0.1826942</v>
      </c>
      <c r="Z1203">
        <v>4.9761369999999999E-2</v>
      </c>
      <c r="AA1203">
        <v>0.9819097</v>
      </c>
      <c r="AB1203">
        <v>32</v>
      </c>
      <c r="AC1203">
        <v>0.51569999999998095</v>
      </c>
      <c r="AD1203">
        <v>-0.2741749</v>
      </c>
      <c r="AE1203">
        <v>-0.271399999999971</v>
      </c>
      <c r="AF1203">
        <v>0.1111763347257</v>
      </c>
      <c r="AG1203">
        <v>-0.2741749</v>
      </c>
      <c r="AH1203">
        <v>0.46400720634987602</v>
      </c>
      <c r="AI1203">
        <v>119.882585490602</v>
      </c>
      <c r="AJ1203">
        <v>76.525914499320507</v>
      </c>
      <c r="AK1203">
        <v>0.55030422562221704</v>
      </c>
      <c r="AL1203">
        <v>78.874148730429894</v>
      </c>
      <c r="AM1203">
        <v>71.477433891496503</v>
      </c>
      <c r="AN1203">
        <v>1.0000000200761201</v>
      </c>
    </row>
    <row r="1204" spans="1:40" x14ac:dyDescent="0.25">
      <c r="A1204" t="str">
        <f>"20190303162802740"</f>
        <v>20190303162802740</v>
      </c>
      <c r="B1204" t="str">
        <f>"1551601682732531"</f>
        <v>1551601682732531</v>
      </c>
      <c r="C1204" t="s">
        <v>40</v>
      </c>
      <c r="D1204">
        <v>4.8833549999999999</v>
      </c>
      <c r="E1204">
        <v>0.42441469999999998</v>
      </c>
      <c r="F1204" t="s">
        <v>44</v>
      </c>
      <c r="G1204">
        <v>-208.70150000000001</v>
      </c>
      <c r="H1204">
        <v>0.82176669999999996</v>
      </c>
      <c r="I1204">
        <v>366.15839999999997</v>
      </c>
      <c r="J1204">
        <v>-209.31890000000001</v>
      </c>
      <c r="K1204">
        <v>1.1159589999999999</v>
      </c>
      <c r="L1204">
        <v>366.41559999999998</v>
      </c>
      <c r="M1204">
        <v>0.96806380000000003</v>
      </c>
      <c r="N1204">
        <v>-1.4199740000000001E-2</v>
      </c>
      <c r="O1204">
        <v>-0.25030160000000001</v>
      </c>
      <c r="P1204">
        <v>0.82493780000000005</v>
      </c>
      <c r="Q1204">
        <v>0.1841555</v>
      </c>
      <c r="R1204">
        <v>-0.53438249999999998</v>
      </c>
      <c r="S1204">
        <v>3.1128230000000001</v>
      </c>
      <c r="T1204">
        <v>-1.1585589999999999</v>
      </c>
      <c r="U1204">
        <v>-1.1997070000000001</v>
      </c>
      <c r="V1204">
        <v>0.31345980000000001</v>
      </c>
      <c r="W1204">
        <v>0.1932295</v>
      </c>
      <c r="X1204">
        <v>0.92973399999999995</v>
      </c>
      <c r="Y1204">
        <v>0.1203765</v>
      </c>
      <c r="Z1204">
        <v>6.0296820000000001E-2</v>
      </c>
      <c r="AA1204">
        <v>0.99089550000000004</v>
      </c>
      <c r="AB1204">
        <v>32</v>
      </c>
      <c r="AC1204">
        <v>0.61740000000000295</v>
      </c>
      <c r="AD1204">
        <v>-0.29419230000000002</v>
      </c>
      <c r="AE1204">
        <v>-0.25720000000001098</v>
      </c>
      <c r="AF1204">
        <v>7.9146306024409599E-2</v>
      </c>
      <c r="AG1204">
        <v>-0.29419230000000002</v>
      </c>
      <c r="AH1204">
        <v>0.55478799654892297</v>
      </c>
      <c r="AI1204">
        <v>117.697840196516</v>
      </c>
      <c r="AJ1204">
        <v>81.8809421478404</v>
      </c>
      <c r="AK1204">
        <v>0.63293204078429099</v>
      </c>
      <c r="AL1204">
        <v>78.858685544889596</v>
      </c>
      <c r="AM1204">
        <v>71.368467038314293</v>
      </c>
      <c r="AN1204">
        <v>0.99999999832114495</v>
      </c>
    </row>
    <row r="1205" spans="1:40" x14ac:dyDescent="0.25">
      <c r="A1205" t="str">
        <f>"20190303162802752"</f>
        <v>20190303162802752</v>
      </c>
      <c r="B1205" t="str">
        <f>"1551601682742290"</f>
        <v>1551601682742290</v>
      </c>
      <c r="C1205" t="s">
        <v>40</v>
      </c>
      <c r="D1205">
        <v>4.8954250000000004</v>
      </c>
      <c r="E1205">
        <v>0.4252763</v>
      </c>
      <c r="F1205" t="s">
        <v>44</v>
      </c>
      <c r="G1205">
        <v>-208.67750000000001</v>
      </c>
      <c r="H1205">
        <v>0.87671480000000002</v>
      </c>
      <c r="I1205">
        <v>366.16460000000001</v>
      </c>
      <c r="J1205">
        <v>-209.17349999999999</v>
      </c>
      <c r="K1205">
        <v>1.115874</v>
      </c>
      <c r="L1205">
        <v>366.37479999999999</v>
      </c>
      <c r="M1205">
        <v>0.96725059999999996</v>
      </c>
      <c r="N1205">
        <v>-1.420836E-2</v>
      </c>
      <c r="O1205">
        <v>-0.25342569999999998</v>
      </c>
      <c r="P1205">
        <v>0.82210090000000002</v>
      </c>
      <c r="Q1205">
        <v>0.18455350000000001</v>
      </c>
      <c r="R1205">
        <v>-0.53860069999999904</v>
      </c>
      <c r="S1205">
        <v>3.108215</v>
      </c>
      <c r="T1205">
        <v>-1.15883</v>
      </c>
      <c r="U1205">
        <v>-1.2150570000000001</v>
      </c>
      <c r="V1205">
        <v>0.31529459999999998</v>
      </c>
      <c r="W1205">
        <v>0.1935326</v>
      </c>
      <c r="X1205">
        <v>0.9290503</v>
      </c>
      <c r="Y1205">
        <v>0.12198050000000001</v>
      </c>
      <c r="Z1205">
        <v>6.1033249999999997E-2</v>
      </c>
      <c r="AA1205">
        <v>0.99065420000000004</v>
      </c>
      <c r="AB1205">
        <v>32</v>
      </c>
      <c r="AC1205">
        <v>0.49599999999998001</v>
      </c>
      <c r="AD1205">
        <v>-0.23915919999999899</v>
      </c>
      <c r="AE1205">
        <v>-0.21019999999998601</v>
      </c>
      <c r="AF1205">
        <v>6.4844247783277104E-2</v>
      </c>
      <c r="AG1205">
        <v>-0.23915919999999899</v>
      </c>
      <c r="AH1205">
        <v>0.445311288707532</v>
      </c>
      <c r="AI1205">
        <v>117.988670046312</v>
      </c>
      <c r="AJ1205">
        <v>81.715073682408203</v>
      </c>
      <c r="AK1205">
        <v>0.50961165927162799</v>
      </c>
      <c r="AL1205">
        <v>78.840985161815695</v>
      </c>
      <c r="AM1205">
        <v>71.254174148071598</v>
      </c>
      <c r="AN1205">
        <v>1.0000000059909999</v>
      </c>
    </row>
    <row r="1206" spans="1:40" x14ac:dyDescent="0.25">
      <c r="A1206" t="str">
        <f>"20190303162802762"</f>
        <v>20190303162802762</v>
      </c>
      <c r="B1206" t="str">
        <f>"1551601682753027"</f>
        <v>1551601682753027</v>
      </c>
      <c r="C1206" t="s">
        <v>40</v>
      </c>
      <c r="D1206">
        <v>4.9003639999999997</v>
      </c>
      <c r="E1206">
        <v>0.42487160000000002</v>
      </c>
      <c r="F1206" t="s">
        <v>44</v>
      </c>
      <c r="G1206">
        <v>-208.42410000000001</v>
      </c>
      <c r="H1206">
        <v>0.83479309999999995</v>
      </c>
      <c r="I1206">
        <v>366.07510000000002</v>
      </c>
      <c r="J1206">
        <v>-209.02080000000001</v>
      </c>
      <c r="K1206">
        <v>1.1157809999999999</v>
      </c>
      <c r="L1206">
        <v>366.33159999999998</v>
      </c>
      <c r="M1206">
        <v>0.96637969999999895</v>
      </c>
      <c r="N1206">
        <v>-1.4217199999999999E-2</v>
      </c>
      <c r="O1206">
        <v>-0.25672620000000002</v>
      </c>
      <c r="P1206">
        <v>0.81898519999999997</v>
      </c>
      <c r="Q1206">
        <v>0.18504139999999999</v>
      </c>
      <c r="R1206">
        <v>-0.54316059999999999</v>
      </c>
      <c r="S1206">
        <v>3.0982820000000002</v>
      </c>
      <c r="T1206">
        <v>-1.161969</v>
      </c>
      <c r="U1206">
        <v>-1.2390139999999901</v>
      </c>
      <c r="V1206">
        <v>0.3173705</v>
      </c>
      <c r="W1206">
        <v>0.19391620000000001</v>
      </c>
      <c r="X1206">
        <v>0.92826310000000001</v>
      </c>
      <c r="Y1206">
        <v>0.1262472</v>
      </c>
      <c r="Z1206">
        <v>6.1555650000000003E-2</v>
      </c>
      <c r="AA1206">
        <v>0.99008719999999995</v>
      </c>
      <c r="AB1206">
        <v>32</v>
      </c>
      <c r="AC1206">
        <v>0.59669999999999801</v>
      </c>
      <c r="AD1206">
        <v>-0.28098789999999901</v>
      </c>
      <c r="AE1206">
        <v>-0.25649999999995998</v>
      </c>
      <c r="AF1206">
        <v>7.9767719554013905E-2</v>
      </c>
      <c r="AG1206">
        <v>-0.28098789999999901</v>
      </c>
      <c r="AH1206">
        <v>0.54125080232884903</v>
      </c>
      <c r="AI1206">
        <v>117.18493199025001</v>
      </c>
      <c r="AJ1206">
        <v>81.616291145641298</v>
      </c>
      <c r="AK1206">
        <v>0.61503619409826604</v>
      </c>
      <c r="AL1206">
        <v>78.818581517784693</v>
      </c>
      <c r="AM1206">
        <v>71.124588454751901</v>
      </c>
      <c r="AN1206">
        <v>0.99999995485714899</v>
      </c>
    </row>
    <row r="1207" spans="1:40" x14ac:dyDescent="0.25">
      <c r="A1207" t="str">
        <f>"20190303162802776"</f>
        <v>20190303162802776</v>
      </c>
      <c r="B1207" t="str">
        <f>"1551601682772547"</f>
        <v>1551601682772547</v>
      </c>
      <c r="C1207" t="s">
        <v>40</v>
      </c>
      <c r="D1207">
        <v>4.8359860000000001</v>
      </c>
      <c r="E1207">
        <v>0.42449110000000001</v>
      </c>
      <c r="F1207" t="s">
        <v>44</v>
      </c>
      <c r="G1207">
        <v>-208.40270000000001</v>
      </c>
      <c r="H1207">
        <v>0.88353939999999997</v>
      </c>
      <c r="I1207">
        <v>366.08069999999998</v>
      </c>
      <c r="J1207">
        <v>-208.8451</v>
      </c>
      <c r="K1207">
        <v>1.1156600000000001</v>
      </c>
      <c r="L1207">
        <v>366.2808</v>
      </c>
      <c r="M1207">
        <v>0.96532510000000005</v>
      </c>
      <c r="N1207">
        <v>-1.422912E-2</v>
      </c>
      <c r="O1207">
        <v>-0.26066270000000002</v>
      </c>
      <c r="P1207">
        <v>0.81526379999999998</v>
      </c>
      <c r="Q1207">
        <v>0.18551809999999999</v>
      </c>
      <c r="R1207">
        <v>-0.54856910000000003</v>
      </c>
      <c r="S1207">
        <v>3.0929259999999998</v>
      </c>
      <c r="T1207">
        <v>-1.162215</v>
      </c>
      <c r="U1207">
        <v>-1.25564599999999</v>
      </c>
      <c r="V1207">
        <v>0.31982880000000002</v>
      </c>
      <c r="W1207">
        <v>0.1942633</v>
      </c>
      <c r="X1207">
        <v>0.92734640000000002</v>
      </c>
      <c r="Y1207">
        <v>0.12749949999999999</v>
      </c>
      <c r="Z1207">
        <v>6.2620449999999994E-2</v>
      </c>
      <c r="AA1207">
        <v>0.98985990000000001</v>
      </c>
      <c r="AB1207">
        <v>32</v>
      </c>
      <c r="AC1207">
        <v>0.44239999999999202</v>
      </c>
      <c r="AD1207">
        <v>-0.23212060000000001</v>
      </c>
      <c r="AE1207">
        <v>-0.20010000000002001</v>
      </c>
      <c r="AF1207">
        <v>6.3369757901604706E-2</v>
      </c>
      <c r="AG1207">
        <v>-0.23212060000000001</v>
      </c>
      <c r="AH1207">
        <v>0.390111119805443</v>
      </c>
      <c r="AI1207">
        <v>120.426281673535</v>
      </c>
      <c r="AJ1207">
        <v>80.773447695253495</v>
      </c>
      <c r="AK1207">
        <v>0.45834745003842298</v>
      </c>
      <c r="AL1207">
        <v>78.798309358075002</v>
      </c>
      <c r="AM1207">
        <v>70.971402299453302</v>
      </c>
      <c r="AN1207">
        <v>1.00000001831464</v>
      </c>
    </row>
    <row r="1208" spans="1:40" x14ac:dyDescent="0.25">
      <c r="A1208" t="str">
        <f>"20190303162802791"</f>
        <v>20190303162802791</v>
      </c>
      <c r="B1208" t="str">
        <f>"1551601682782306"</f>
        <v>1551601682782306</v>
      </c>
      <c r="C1208" t="s">
        <v>40</v>
      </c>
      <c r="D1208">
        <v>4.8372780000000004</v>
      </c>
      <c r="E1208">
        <v>0.42465789999999998</v>
      </c>
      <c r="F1208" t="s">
        <v>44</v>
      </c>
      <c r="G1208">
        <v>-208.14429999999999</v>
      </c>
      <c r="H1208">
        <v>0.85448489999999999</v>
      </c>
      <c r="I1208">
        <v>365.9914</v>
      </c>
      <c r="J1208">
        <v>-208.63679999999999</v>
      </c>
      <c r="K1208">
        <v>1.1155040000000001</v>
      </c>
      <c r="L1208">
        <v>366.21960000000001</v>
      </c>
      <c r="M1208">
        <v>0.96402500000000002</v>
      </c>
      <c r="N1208">
        <v>-1.424417E-2</v>
      </c>
      <c r="O1208">
        <v>-0.26543020000000001</v>
      </c>
      <c r="P1208">
        <v>0.80906709999999904</v>
      </c>
      <c r="Q1208">
        <v>0.18647630000000001</v>
      </c>
      <c r="R1208">
        <v>-0.55734910000000004</v>
      </c>
      <c r="S1208">
        <v>3.0843509999999998</v>
      </c>
      <c r="T1208">
        <v>-1.1492260000000001</v>
      </c>
      <c r="U1208">
        <v>-1.2735289999999999</v>
      </c>
      <c r="V1208">
        <v>0.32542330000000003</v>
      </c>
      <c r="W1208">
        <v>0.19500790000000001</v>
      </c>
      <c r="X1208">
        <v>0.92524139999999999</v>
      </c>
      <c r="Y1208">
        <v>0.1285104</v>
      </c>
      <c r="Z1208">
        <v>6.3308370000000003E-2</v>
      </c>
      <c r="AA1208">
        <v>0.98968540000000005</v>
      </c>
      <c r="AB1208">
        <v>32</v>
      </c>
      <c r="AC1208">
        <v>0.49250000000000599</v>
      </c>
      <c r="AD1208">
        <v>-0.2610191</v>
      </c>
      <c r="AE1208">
        <v>-0.228200000000015</v>
      </c>
      <c r="AF1208">
        <v>7.2508269063130307E-2</v>
      </c>
      <c r="AG1208">
        <v>-0.2610191</v>
      </c>
      <c r="AH1208">
        <v>0.43485198495358302</v>
      </c>
      <c r="AI1208">
        <v>120.62866604322301</v>
      </c>
      <c r="AJ1208">
        <v>80.533455220843393</v>
      </c>
      <c r="AK1208">
        <v>0.51233257603378302</v>
      </c>
      <c r="AL1208">
        <v>78.754815216212407</v>
      </c>
      <c r="AM1208">
        <v>70.622350497812505</v>
      </c>
      <c r="AN1208">
        <v>1.0000000267596201</v>
      </c>
    </row>
    <row r="1209" spans="1:40" x14ac:dyDescent="0.25">
      <c r="A1209" t="str">
        <f>"20190303162802813"</f>
        <v>20190303162802813</v>
      </c>
      <c r="B1209" t="str">
        <f>"1551601682802803"</f>
        <v>1551601682802803</v>
      </c>
      <c r="C1209" t="s">
        <v>40</v>
      </c>
      <c r="D1209">
        <v>4.7998019999999997</v>
      </c>
      <c r="E1209">
        <v>0.42469020000000002</v>
      </c>
      <c r="F1209" t="s">
        <v>44</v>
      </c>
      <c r="G1209">
        <v>-207.88329999999999</v>
      </c>
      <c r="H1209">
        <v>0.83449609999999996</v>
      </c>
      <c r="I1209">
        <v>365.89859999999999</v>
      </c>
      <c r="J1209">
        <v>-208.33109999999999</v>
      </c>
      <c r="K1209">
        <v>1.1152709999999999</v>
      </c>
      <c r="L1209">
        <v>366.12759999999997</v>
      </c>
      <c r="M1209">
        <v>0.96199599999999996</v>
      </c>
      <c r="N1209">
        <v>-1.4269820000000001E-2</v>
      </c>
      <c r="O1209">
        <v>-0.27269019999999999</v>
      </c>
      <c r="P1209">
        <v>0.80117490000000002</v>
      </c>
      <c r="Q1209">
        <v>0.18726979999999999</v>
      </c>
      <c r="R1209">
        <v>-0.56837329999999997</v>
      </c>
      <c r="S1209">
        <v>3.0705260000000001</v>
      </c>
      <c r="T1209">
        <v>-1.1452009999999999</v>
      </c>
      <c r="U1209">
        <v>-1.3085020000000001</v>
      </c>
      <c r="V1209">
        <v>0.33130189999999998</v>
      </c>
      <c r="W1209">
        <v>0.19551769999999999</v>
      </c>
      <c r="X1209">
        <v>0.92304489999999995</v>
      </c>
      <c r="Y1209">
        <v>0.132279799999999</v>
      </c>
      <c r="Z1209">
        <v>6.4776739999999999E-2</v>
      </c>
      <c r="AA1209">
        <v>0.98909349999999996</v>
      </c>
      <c r="AB1209">
        <v>32</v>
      </c>
      <c r="AC1209">
        <v>0.44779999999999998</v>
      </c>
      <c r="AD1209">
        <v>-0.28077489999999899</v>
      </c>
      <c r="AE1209">
        <v>-0.22899999999998499</v>
      </c>
      <c r="AF1209">
        <v>7.4865311225114001E-2</v>
      </c>
      <c r="AG1209">
        <v>-0.28077489999999899</v>
      </c>
      <c r="AH1209">
        <v>0.37607706270709601</v>
      </c>
      <c r="AI1209">
        <v>126.212382066183</v>
      </c>
      <c r="AJ1209">
        <v>78.741363564996007</v>
      </c>
      <c r="AK1209">
        <v>0.47526131379404302</v>
      </c>
      <c r="AL1209">
        <v>78.725032276679798</v>
      </c>
      <c r="AM1209">
        <v>70.255778131915207</v>
      </c>
      <c r="AN1209">
        <v>1.00000000368645</v>
      </c>
    </row>
    <row r="1210" spans="1:40" x14ac:dyDescent="0.25">
      <c r="A1210" t="str">
        <f>"20190303162802840"</f>
        <v>20190303162802840</v>
      </c>
      <c r="B1210" t="str">
        <f>"1551601682833058"</f>
        <v>1551601682833058</v>
      </c>
      <c r="C1210" t="s">
        <v>40</v>
      </c>
      <c r="D1210">
        <v>5.00936</v>
      </c>
      <c r="E1210">
        <v>0.42512250000000001</v>
      </c>
      <c r="F1210" t="s">
        <v>44</v>
      </c>
      <c r="G1210">
        <v>-207.6097</v>
      </c>
      <c r="H1210">
        <v>0.84544920000000001</v>
      </c>
      <c r="I1210">
        <v>365.80779999999999</v>
      </c>
      <c r="J1210">
        <v>-207.953</v>
      </c>
      <c r="K1210">
        <v>1.1149720000000001</v>
      </c>
      <c r="L1210">
        <v>366.00990000000002</v>
      </c>
      <c r="M1210">
        <v>0.95928619999999998</v>
      </c>
      <c r="N1210">
        <v>-1.430556E-2</v>
      </c>
      <c r="O1210">
        <v>-0.28207409999999999</v>
      </c>
      <c r="P1210">
        <v>0.79157270000000002</v>
      </c>
      <c r="Q1210">
        <v>0.18846019999999999</v>
      </c>
      <c r="R1210">
        <v>-0.58128819999999903</v>
      </c>
      <c r="S1210">
        <v>3.0520939999999999</v>
      </c>
      <c r="T1210">
        <v>-1.140997</v>
      </c>
      <c r="U1210">
        <v>-1.3519589999999999</v>
      </c>
      <c r="V1210">
        <v>0.33750459999999999</v>
      </c>
      <c r="W1210">
        <v>0.1963654</v>
      </c>
      <c r="X1210">
        <v>0.92061459999999995</v>
      </c>
      <c r="Y1210">
        <v>0.13674069999999999</v>
      </c>
      <c r="Z1210">
        <v>6.679881E-2</v>
      </c>
      <c r="AA1210">
        <v>0.98835209999999996</v>
      </c>
      <c r="AB1210">
        <v>31</v>
      </c>
      <c r="AC1210">
        <v>0.34329999999999899</v>
      </c>
      <c r="AD1210">
        <v>-0.26952279999999901</v>
      </c>
      <c r="AE1210">
        <v>-0.20210000000002901</v>
      </c>
      <c r="AF1210">
        <v>6.6572784761297493E-2</v>
      </c>
      <c r="AG1210">
        <v>-0.26952279999999901</v>
      </c>
      <c r="AH1210">
        <v>0.26504752171451401</v>
      </c>
      <c r="AI1210">
        <v>134.603381653073</v>
      </c>
      <c r="AJ1210">
        <v>75.9005187406636</v>
      </c>
      <c r="AK1210">
        <v>0.38382895169296399</v>
      </c>
      <c r="AL1210">
        <v>78.675502306225297</v>
      </c>
      <c r="AM1210">
        <v>69.866663861834596</v>
      </c>
      <c r="AN1210">
        <v>0.99999998353573905</v>
      </c>
    </row>
    <row r="1211" spans="1:40" x14ac:dyDescent="0.25">
      <c r="A1211" t="str">
        <f>"20190303162802853"</f>
        <v>20190303162802853</v>
      </c>
      <c r="B1211" t="str">
        <f>"1551601682842819"</f>
        <v>1551601682842819</v>
      </c>
      <c r="C1211" t="s">
        <v>40</v>
      </c>
      <c r="D1211">
        <v>5.1599159999999999</v>
      </c>
      <c r="E1211">
        <v>0.42512250000000001</v>
      </c>
      <c r="F1211" t="s">
        <v>44</v>
      </c>
      <c r="G1211">
        <v>-207.32640000000001</v>
      </c>
      <c r="H1211">
        <v>0.87976149999999997</v>
      </c>
      <c r="I1211">
        <v>365.71899999999999</v>
      </c>
      <c r="J1211">
        <v>-207.78960000000001</v>
      </c>
      <c r="K1211">
        <v>1.1148439999999999</v>
      </c>
      <c r="L1211">
        <v>365.95740000000001</v>
      </c>
      <c r="M1211">
        <v>0.95802969999999998</v>
      </c>
      <c r="N1211">
        <v>-1.43222E-2</v>
      </c>
      <c r="O1211">
        <v>-0.28631109999999999</v>
      </c>
      <c r="P1211">
        <v>0.78669119999999904</v>
      </c>
      <c r="Q1211">
        <v>0.1890889</v>
      </c>
      <c r="R1211">
        <v>-0.58767559999999996</v>
      </c>
      <c r="S1211">
        <v>3.0282589999999998</v>
      </c>
      <c r="T1211">
        <v>-1.136439</v>
      </c>
      <c r="U1211">
        <v>-1.40567</v>
      </c>
      <c r="V1211">
        <v>0.34101100000000001</v>
      </c>
      <c r="W1211">
        <v>0.19682549999999999</v>
      </c>
      <c r="X1211">
        <v>0.91922309999999996</v>
      </c>
      <c r="Y1211">
        <v>0.1492195</v>
      </c>
      <c r="Z1211">
        <v>6.5785739999999995E-2</v>
      </c>
      <c r="AA1211">
        <v>0.98661330000000003</v>
      </c>
      <c r="AB1211">
        <v>31</v>
      </c>
      <c r="AC1211">
        <v>0.4632</v>
      </c>
      <c r="AD1211">
        <v>-0.2350825</v>
      </c>
      <c r="AE1211">
        <v>-0.23840000000001199</v>
      </c>
      <c r="AF1211">
        <v>7.9579722607406103E-2</v>
      </c>
      <c r="AG1211">
        <v>-0.2350825</v>
      </c>
      <c r="AH1211">
        <v>0.42543559484581001</v>
      </c>
      <c r="AI1211">
        <v>118.508526987766</v>
      </c>
      <c r="AJ1211">
        <v>79.404994659192596</v>
      </c>
      <c r="AK1211">
        <v>0.49253645491306502</v>
      </c>
      <c r="AL1211">
        <v>78.648615359575203</v>
      </c>
      <c r="AM1211">
        <v>69.646284189722195</v>
      </c>
      <c r="AN1211">
        <v>0.99999994357242805</v>
      </c>
    </row>
    <row r="1212" spans="1:40" x14ac:dyDescent="0.25">
      <c r="A1212" t="str">
        <f>"20190303162802869"</f>
        <v>20190303162802869</v>
      </c>
      <c r="B1212" t="str">
        <f>"1551601682862339"</f>
        <v>1551601682862339</v>
      </c>
      <c r="C1212" t="s">
        <v>40</v>
      </c>
      <c r="D1212">
        <v>4.7202979999999997</v>
      </c>
      <c r="E1212">
        <v>0.53858980000000001</v>
      </c>
      <c r="F1212" t="s">
        <v>44</v>
      </c>
      <c r="G1212">
        <v>-207.0746</v>
      </c>
      <c r="H1212">
        <v>0.84603119999999998</v>
      </c>
      <c r="I1212">
        <v>365.61840000000001</v>
      </c>
      <c r="J1212">
        <v>-207.57220000000001</v>
      </c>
      <c r="K1212">
        <v>1.114665</v>
      </c>
      <c r="L1212">
        <v>365.88639999999998</v>
      </c>
      <c r="M1212">
        <v>0.95629090000000005</v>
      </c>
      <c r="N1212">
        <v>-1.434446E-2</v>
      </c>
      <c r="O1212">
        <v>-0.29206539999999998</v>
      </c>
      <c r="P1212">
        <v>0.77843640000000003</v>
      </c>
      <c r="Q1212">
        <v>0.18974379999999999</v>
      </c>
      <c r="R1212">
        <v>-0.59836</v>
      </c>
      <c r="S1212">
        <v>3.0178219999999998</v>
      </c>
      <c r="T1212">
        <v>-1.1338189999999999</v>
      </c>
      <c r="U1212">
        <v>-1.4298709999999999</v>
      </c>
      <c r="V1212">
        <v>0.34818680000000002</v>
      </c>
      <c r="W1212">
        <v>0.19719519999999999</v>
      </c>
      <c r="X1212">
        <v>0.91644970000000003</v>
      </c>
      <c r="Y1212">
        <v>0.15119170000000001</v>
      </c>
      <c r="Z1212">
        <v>6.7131270000000007E-2</v>
      </c>
      <c r="AA1212">
        <v>0.9862223</v>
      </c>
      <c r="AB1212">
        <v>31</v>
      </c>
      <c r="AC1212">
        <v>0.49760000000000498</v>
      </c>
      <c r="AD1212">
        <v>-0.26863379999999998</v>
      </c>
      <c r="AE1212">
        <v>-0.26799999999997198</v>
      </c>
      <c r="AF1212">
        <v>9.0516537041971101E-2</v>
      </c>
      <c r="AG1212">
        <v>-0.26863379999999998</v>
      </c>
      <c r="AH1212">
        <v>0.45205468935528498</v>
      </c>
      <c r="AI1212">
        <v>120.228693461196</v>
      </c>
      <c r="AJ1212">
        <v>78.677198688794505</v>
      </c>
      <c r="AK1212">
        <v>0.53358298712441499</v>
      </c>
      <c r="AL1212">
        <v>78.627010589827194</v>
      </c>
      <c r="AM1212">
        <v>69.196710126659497</v>
      </c>
      <c r="AN1212">
        <v>1.0000000236136799</v>
      </c>
    </row>
    <row r="1213" spans="1:40" x14ac:dyDescent="0.25">
      <c r="A1213" t="str">
        <f>"20190303162802888"</f>
        <v>20190303162802888</v>
      </c>
      <c r="B1213" t="str">
        <f>"1551601682882835"</f>
        <v>1551601682882835</v>
      </c>
      <c r="C1213" t="s">
        <v>40</v>
      </c>
      <c r="D1213">
        <v>4.7589560000000004</v>
      </c>
      <c r="E1213">
        <v>0.55255940000000003</v>
      </c>
      <c r="F1213" t="s">
        <v>46</v>
      </c>
      <c r="G1213">
        <v>-199.0873</v>
      </c>
      <c r="H1213" s="1">
        <v>-6.2013999999999996E-6</v>
      </c>
      <c r="I1213">
        <v>358.09120000000001</v>
      </c>
      <c r="J1213">
        <v>-207.31700000000001</v>
      </c>
      <c r="K1213">
        <v>1.1144400000000001</v>
      </c>
      <c r="L1213">
        <v>365.80099999999999</v>
      </c>
      <c r="M1213">
        <v>0.9541326</v>
      </c>
      <c r="N1213">
        <v>-1.437225E-2</v>
      </c>
      <c r="O1213">
        <v>-0.29903920000000001</v>
      </c>
      <c r="P1213">
        <v>0.77191589999999999</v>
      </c>
      <c r="Q1213">
        <v>0.1898077</v>
      </c>
      <c r="R1213">
        <v>-0.60672799999999905</v>
      </c>
      <c r="S1213">
        <v>2.301971</v>
      </c>
      <c r="T1213">
        <v>-0.3024135</v>
      </c>
      <c r="U1213">
        <v>-2.114868</v>
      </c>
      <c r="V1213">
        <v>0.35150490000000001</v>
      </c>
      <c r="W1213">
        <v>0.1970307</v>
      </c>
      <c r="X1213">
        <v>0.91521759999999996</v>
      </c>
      <c r="Y1213">
        <v>0.4241432</v>
      </c>
      <c r="Z1213">
        <v>1.0140170000000001E-3</v>
      </c>
      <c r="AA1213">
        <v>0.90559460000000003</v>
      </c>
      <c r="AB1213">
        <v>31</v>
      </c>
      <c r="AC1213">
        <v>8.2296999999999993</v>
      </c>
      <c r="AD1213">
        <v>-1.1144462013999901</v>
      </c>
      <c r="AE1213">
        <v>-7.7097999999999702</v>
      </c>
      <c r="AF1213">
        <v>4.8483232739216602</v>
      </c>
      <c r="AG1213">
        <v>-1.1144462013999901</v>
      </c>
      <c r="AH1213">
        <v>10.0605506946895</v>
      </c>
      <c r="AI1213">
        <v>95.698711644111796</v>
      </c>
      <c r="AJ1213">
        <v>64.2699178312361</v>
      </c>
      <c r="AK1213">
        <v>11.223319882489401</v>
      </c>
      <c r="AL1213">
        <v>78.636624357587493</v>
      </c>
      <c r="AM1213">
        <v>68.989863940104101</v>
      </c>
      <c r="AN1213">
        <v>1.0000000234081201</v>
      </c>
    </row>
    <row r="1214" spans="1:40" x14ac:dyDescent="0.25">
      <c r="A1214" t="str">
        <f>"20190303162802901"</f>
        <v>20190303162802901</v>
      </c>
      <c r="B1214" t="str">
        <f>"1551601682892595"</f>
        <v>1551601682892595</v>
      </c>
      <c r="C1214" t="s">
        <v>40</v>
      </c>
      <c r="D1214">
        <v>4.7062429999999997</v>
      </c>
      <c r="E1214">
        <v>0.55542550000000002</v>
      </c>
      <c r="F1214" t="s">
        <v>46</v>
      </c>
      <c r="G1214">
        <v>-196.4255</v>
      </c>
      <c r="H1214" s="1">
        <v>-4.4732549999999901E-6</v>
      </c>
      <c r="I1214">
        <v>354.79430000000002</v>
      </c>
      <c r="J1214">
        <v>-207.14080000000001</v>
      </c>
      <c r="K1214">
        <v>1.1142860000000001</v>
      </c>
      <c r="L1214">
        <v>365.74079999999998</v>
      </c>
      <c r="M1214">
        <v>0.95257130000000001</v>
      </c>
      <c r="N1214">
        <v>-1.439261E-2</v>
      </c>
      <c r="O1214">
        <v>-0.30397489999999999</v>
      </c>
      <c r="P1214">
        <v>0.76478139999999994</v>
      </c>
      <c r="Q1214">
        <v>0.18932099999999999</v>
      </c>
      <c r="R1214">
        <v>-0.61584659999999902</v>
      </c>
      <c r="S1214">
        <v>2.196777</v>
      </c>
      <c r="T1214">
        <v>-0.2247788</v>
      </c>
      <c r="U1214">
        <v>-2.2200009999999999</v>
      </c>
      <c r="V1214">
        <v>0.3576645</v>
      </c>
      <c r="W1214">
        <v>0.1962981</v>
      </c>
      <c r="X1214">
        <v>0.91298590000000002</v>
      </c>
      <c r="Y1214">
        <v>0.46245629999999999</v>
      </c>
      <c r="Z1214">
        <v>-2.6722080000000001E-3</v>
      </c>
      <c r="AA1214">
        <v>0.88663799999999904</v>
      </c>
      <c r="AB1214">
        <v>31</v>
      </c>
      <c r="AC1214">
        <v>10.715299999999999</v>
      </c>
      <c r="AD1214">
        <v>-1.1142904732549901</v>
      </c>
      <c r="AE1214">
        <v>-10.946499999999901</v>
      </c>
      <c r="AF1214">
        <v>7.1331365390006303</v>
      </c>
      <c r="AG1214">
        <v>-1.1142904732549901</v>
      </c>
      <c r="AH1214">
        <v>13.4647007274017</v>
      </c>
      <c r="AI1214">
        <v>94.182504827177098</v>
      </c>
      <c r="AJ1214">
        <v>62.0868919683098</v>
      </c>
      <c r="AK1214">
        <v>15.2781362024726</v>
      </c>
      <c r="AL1214">
        <v>78.679435567017407</v>
      </c>
      <c r="AM1214">
        <v>68.607113966899405</v>
      </c>
      <c r="AN1214">
        <v>1.0000000461113301</v>
      </c>
    </row>
    <row r="1215" spans="1:40" x14ac:dyDescent="0.25">
      <c r="A1215" t="str">
        <f>"20190303162802915"</f>
        <v>20190303162802915</v>
      </c>
      <c r="B1215" t="str">
        <f>"1551601682902354"</f>
        <v>1551601682902354</v>
      </c>
      <c r="C1215" t="s">
        <v>40</v>
      </c>
      <c r="D1215">
        <v>4.6387619999999998</v>
      </c>
      <c r="E1215">
        <v>0.55809790000000004</v>
      </c>
      <c r="F1215" t="s">
        <v>46</v>
      </c>
      <c r="G1215">
        <v>-195.93440000000001</v>
      </c>
      <c r="H1215" s="1">
        <v>-3.9570899999999999E-6</v>
      </c>
      <c r="I1215">
        <v>353.97059999999999</v>
      </c>
      <c r="J1215">
        <v>-206.97300000000001</v>
      </c>
      <c r="K1215">
        <v>1.114144</v>
      </c>
      <c r="L1215">
        <v>365.68209999999999</v>
      </c>
      <c r="M1215">
        <v>0.95101599999999997</v>
      </c>
      <c r="N1215">
        <v>-1.441314E-2</v>
      </c>
      <c r="O1215">
        <v>-0.30880590000000002</v>
      </c>
      <c r="P1215">
        <v>0.75979259999999904</v>
      </c>
      <c r="Q1215">
        <v>0.18892220000000001</v>
      </c>
      <c r="R1215">
        <v>-0.62211229999999995</v>
      </c>
      <c r="S1215">
        <v>2.1539459999999999</v>
      </c>
      <c r="T1215">
        <v>-0.21417249999999999</v>
      </c>
      <c r="U1215">
        <v>-2.2622990000000001</v>
      </c>
      <c r="V1215">
        <v>0.36056949999999999</v>
      </c>
      <c r="W1215">
        <v>0.19573370000000001</v>
      </c>
      <c r="X1215">
        <v>0.91196379999999999</v>
      </c>
      <c r="Y1215">
        <v>0.47502420000000001</v>
      </c>
      <c r="Z1215">
        <v>-3.2254610000000002E-3</v>
      </c>
      <c r="AA1215">
        <v>0.8799669</v>
      </c>
      <c r="AB1215">
        <v>31</v>
      </c>
      <c r="AC1215">
        <v>11.038599999999899</v>
      </c>
      <c r="AD1215">
        <v>-1.1141479570899999</v>
      </c>
      <c r="AE1215">
        <v>-11.711499999999999</v>
      </c>
      <c r="AF1215">
        <v>7.6929718465601802</v>
      </c>
      <c r="AG1215">
        <v>-1.1141479570899999</v>
      </c>
      <c r="AH1215">
        <v>14.0486009668543</v>
      </c>
      <c r="AI1215">
        <v>93.979098779016596</v>
      </c>
      <c r="AJ1215">
        <v>61.295018947113299</v>
      </c>
      <c r="AK1215">
        <v>16.055725789516799</v>
      </c>
      <c r="AL1215">
        <v>78.712412619798002</v>
      </c>
      <c r="AM1215">
        <v>68.427297946431196</v>
      </c>
      <c r="AN1215">
        <v>1.00000000907818</v>
      </c>
    </row>
    <row r="1216" spans="1:40" x14ac:dyDescent="0.25">
      <c r="A1216" t="str">
        <f>"20190303162802926"</f>
        <v>20190303162802926</v>
      </c>
      <c r="B1216" t="str">
        <f>"1551601682922851"</f>
        <v>1551601682922851</v>
      </c>
      <c r="C1216" t="s">
        <v>40</v>
      </c>
      <c r="D1216">
        <v>4.6193799999999996</v>
      </c>
      <c r="E1216">
        <v>0.56057599999999996</v>
      </c>
      <c r="F1216" t="s">
        <v>46</v>
      </c>
      <c r="G1216">
        <v>-195.5085</v>
      </c>
      <c r="H1216" s="1">
        <v>-3.5131150000000001E-6</v>
      </c>
      <c r="I1216">
        <v>353.27600000000001</v>
      </c>
      <c r="J1216">
        <v>-206.81049999999999</v>
      </c>
      <c r="K1216">
        <v>1.114012</v>
      </c>
      <c r="L1216">
        <v>365.62459999999999</v>
      </c>
      <c r="M1216">
        <v>0.94946759999999997</v>
      </c>
      <c r="N1216">
        <v>-1.4432449999999999E-2</v>
      </c>
      <c r="O1216">
        <v>-0.31353330000000001</v>
      </c>
      <c r="P1216">
        <v>0.75508839999999999</v>
      </c>
      <c r="Q1216">
        <v>0.18897659999999999</v>
      </c>
      <c r="R1216">
        <v>-0.6277973</v>
      </c>
      <c r="S1216">
        <v>2.1206670000000001</v>
      </c>
      <c r="T1216">
        <v>-0.206091</v>
      </c>
      <c r="U1216">
        <v>-2.2948300000000001</v>
      </c>
      <c r="V1216">
        <v>0.36295040000000001</v>
      </c>
      <c r="W1216">
        <v>0.19563649999999999</v>
      </c>
      <c r="X1216">
        <v>0.91103970000000001</v>
      </c>
      <c r="Y1216">
        <v>0.4837555</v>
      </c>
      <c r="Z1216">
        <v>-3.5435940000000002E-3</v>
      </c>
      <c r="AA1216">
        <v>0.87519599999999897</v>
      </c>
      <c r="AB1216">
        <v>31</v>
      </c>
      <c r="AC1216">
        <v>11.3019999999999</v>
      </c>
      <c r="AD1216">
        <v>-1.114015513115</v>
      </c>
      <c r="AE1216">
        <v>-12.3485999999999</v>
      </c>
      <c r="AF1216">
        <v>8.1458182372755292</v>
      </c>
      <c r="AG1216">
        <v>-1.114015513115</v>
      </c>
      <c r="AH1216">
        <v>14.5397077615587</v>
      </c>
      <c r="AI1216">
        <v>93.824154606463793</v>
      </c>
      <c r="AJ1216">
        <v>60.7404295510404</v>
      </c>
      <c r="AK1216">
        <v>16.7032478012427</v>
      </c>
      <c r="AL1216">
        <v>78.718091274902307</v>
      </c>
      <c r="AM1216">
        <v>68.278086997533904</v>
      </c>
      <c r="AN1216">
        <v>0.99999998398424905</v>
      </c>
    </row>
    <row r="1217" spans="1:40" x14ac:dyDescent="0.25">
      <c r="A1217" t="str">
        <f>"20190303162802939"</f>
        <v>20190303162802939</v>
      </c>
      <c r="B1217" t="str">
        <f>"1551601682932611"</f>
        <v>1551601682932611</v>
      </c>
      <c r="C1217" t="s">
        <v>40</v>
      </c>
      <c r="D1217">
        <v>4.5972600000000003</v>
      </c>
      <c r="E1217">
        <v>0.56041479999999999</v>
      </c>
      <c r="F1217" t="s">
        <v>46</v>
      </c>
      <c r="G1217">
        <v>-194.9571</v>
      </c>
      <c r="H1217" s="1">
        <v>-2.9670140000000001E-6</v>
      </c>
      <c r="I1217">
        <v>352.43369999999999</v>
      </c>
      <c r="J1217">
        <v>-206.63509999999999</v>
      </c>
      <c r="K1217">
        <v>1.1138669999999999</v>
      </c>
      <c r="L1217">
        <v>365.56119999999999</v>
      </c>
      <c r="M1217">
        <v>0.94772559999999995</v>
      </c>
      <c r="N1217">
        <v>-1.4453479999999999E-2</v>
      </c>
      <c r="O1217">
        <v>-0.31875900000000001</v>
      </c>
      <c r="P1217">
        <v>0.74969819999999998</v>
      </c>
      <c r="Q1217">
        <v>0.18942790000000001</v>
      </c>
      <c r="R1217">
        <v>-0.63408940000000003</v>
      </c>
      <c r="S1217">
        <v>2.089188</v>
      </c>
      <c r="T1217">
        <v>-0.1963472</v>
      </c>
      <c r="U1217">
        <v>-2.3249209999999998</v>
      </c>
      <c r="V1217">
        <v>0.36566739999999998</v>
      </c>
      <c r="W1217">
        <v>0.19591790000000001</v>
      </c>
      <c r="X1217">
        <v>0.90989200000000003</v>
      </c>
      <c r="Y1217">
        <v>0.49115019999999998</v>
      </c>
      <c r="Z1217">
        <v>-3.8137790000000002E-3</v>
      </c>
      <c r="AA1217">
        <v>0.87106649999999997</v>
      </c>
      <c r="AB1217">
        <v>31</v>
      </c>
      <c r="AC1217">
        <v>11.6779999999999</v>
      </c>
      <c r="AD1217">
        <v>-1.113869967014</v>
      </c>
      <c r="AE1217">
        <v>-13.1274999999999</v>
      </c>
      <c r="AF1217">
        <v>8.6848063711578298</v>
      </c>
      <c r="AG1217">
        <v>-1.113869967014</v>
      </c>
      <c r="AH1217">
        <v>15.1925819244258</v>
      </c>
      <c r="AI1217">
        <v>93.642003887119401</v>
      </c>
      <c r="AJ1217">
        <v>60.245649672308303</v>
      </c>
      <c r="AK1217">
        <v>17.535139393181598</v>
      </c>
      <c r="AL1217">
        <v>78.701649819282395</v>
      </c>
      <c r="AM1217">
        <v>68.105791911879194</v>
      </c>
      <c r="AN1217">
        <v>0.99999996131358404</v>
      </c>
    </row>
    <row r="1218" spans="1:40" x14ac:dyDescent="0.25">
      <c r="A1218" t="str">
        <f>"20190303162802952"</f>
        <v>20190303162802952</v>
      </c>
      <c r="B1218" t="str">
        <f>"1551601682942371"</f>
        <v>1551601682942371</v>
      </c>
      <c r="C1218" t="s">
        <v>40</v>
      </c>
      <c r="D1218">
        <v>4.6358649999999999</v>
      </c>
      <c r="E1218">
        <v>0.56048629999999999</v>
      </c>
      <c r="F1218" t="s">
        <v>46</v>
      </c>
      <c r="G1218">
        <v>-194.5925</v>
      </c>
      <c r="H1218" s="1">
        <v>-2.610301E-6</v>
      </c>
      <c r="I1218">
        <v>351.94819999999999</v>
      </c>
      <c r="J1218">
        <v>-206.46899999999999</v>
      </c>
      <c r="K1218">
        <v>1.11374</v>
      </c>
      <c r="L1218">
        <v>365.5</v>
      </c>
      <c r="M1218">
        <v>0.94601360000000001</v>
      </c>
      <c r="N1218">
        <v>-1.447376E-2</v>
      </c>
      <c r="O1218">
        <v>-0.32380350000000002</v>
      </c>
      <c r="P1218">
        <v>0.74456409999999995</v>
      </c>
      <c r="Q1218">
        <v>0.18976109999999999</v>
      </c>
      <c r="R1218">
        <v>-0.64001149999999996</v>
      </c>
      <c r="S1218">
        <v>2.0704500000000001</v>
      </c>
      <c r="T1218">
        <v>-0.1915046</v>
      </c>
      <c r="U1218">
        <v>-2.3404539999999998</v>
      </c>
      <c r="V1218">
        <v>0.36813240000000003</v>
      </c>
      <c r="W1218">
        <v>0.19609470000000001</v>
      </c>
      <c r="X1218">
        <v>0.90885939999999998</v>
      </c>
      <c r="Y1218">
        <v>0.49331429999999998</v>
      </c>
      <c r="Z1218">
        <v>-3.757462E-3</v>
      </c>
      <c r="AA1218">
        <v>0.86984300000000003</v>
      </c>
      <c r="AB1218">
        <v>31</v>
      </c>
      <c r="AC1218">
        <v>11.8765</v>
      </c>
      <c r="AD1218">
        <v>-1.113742610301</v>
      </c>
      <c r="AE1218">
        <v>-13.5518</v>
      </c>
      <c r="AF1218">
        <v>8.9413178885877596</v>
      </c>
      <c r="AG1218">
        <v>-1.113742610301</v>
      </c>
      <c r="AH1218">
        <v>15.5656245796241</v>
      </c>
      <c r="AI1218">
        <v>93.550293168663501</v>
      </c>
      <c r="AJ1218">
        <v>60.125769338320801</v>
      </c>
      <c r="AK1218">
        <v>17.9854456920194</v>
      </c>
      <c r="AL1218">
        <v>78.691320012657599</v>
      </c>
      <c r="AM1218">
        <v>67.949651043465295</v>
      </c>
      <c r="AN1218">
        <v>1.0000000021330999</v>
      </c>
    </row>
    <row r="1219" spans="1:40" x14ac:dyDescent="0.25">
      <c r="A1219" t="str">
        <f>"20190303162802970"</f>
        <v>20190303162802970</v>
      </c>
      <c r="B1219" t="str">
        <f>"1551601682962867"</f>
        <v>1551601682962867</v>
      </c>
      <c r="C1219" t="s">
        <v>40</v>
      </c>
      <c r="D1219">
        <v>4.6339169999999896</v>
      </c>
      <c r="E1219">
        <v>0.56100269999999997</v>
      </c>
      <c r="F1219" t="s">
        <v>46</v>
      </c>
      <c r="G1219">
        <v>-194.3005</v>
      </c>
      <c r="H1219" s="1">
        <v>-2.2818159999999999E-6</v>
      </c>
      <c r="I1219">
        <v>351.52449999999999</v>
      </c>
      <c r="J1219">
        <v>-206.22210000000001</v>
      </c>
      <c r="K1219">
        <v>1.1135469999999901</v>
      </c>
      <c r="L1219">
        <v>365.40719999999999</v>
      </c>
      <c r="M1219">
        <v>0.94336560000000003</v>
      </c>
      <c r="N1219">
        <v>-1.4503719999999999E-2</v>
      </c>
      <c r="O1219">
        <v>-0.33143779999999901</v>
      </c>
      <c r="P1219">
        <v>0.73668369999999905</v>
      </c>
      <c r="Q1219">
        <v>0.18924730000000001</v>
      </c>
      <c r="R1219">
        <v>-0.64921719999999905</v>
      </c>
      <c r="S1219">
        <v>2.0516359999999998</v>
      </c>
      <c r="T1219">
        <v>-0.18777920000000001</v>
      </c>
      <c r="U1219">
        <v>-2.356293</v>
      </c>
      <c r="V1219">
        <v>0.37212820000000002</v>
      </c>
      <c r="W1219">
        <v>0.19534599999999999</v>
      </c>
      <c r="X1219">
        <v>0.90739210000000003</v>
      </c>
      <c r="Y1219">
        <v>0.49315900000000001</v>
      </c>
      <c r="Z1219">
        <v>-3.4554999999999998E-3</v>
      </c>
      <c r="AA1219">
        <v>0.86993240000000005</v>
      </c>
      <c r="AB1219">
        <v>31</v>
      </c>
      <c r="AC1219">
        <v>11.9216</v>
      </c>
      <c r="AD1219">
        <v>-1.11354928181599</v>
      </c>
      <c r="AE1219">
        <v>-13.8827</v>
      </c>
      <c r="AF1219">
        <v>9.1124106239150908</v>
      </c>
      <c r="AG1219">
        <v>-1.11354928181599</v>
      </c>
      <c r="AH1219">
        <v>15.790870848229</v>
      </c>
      <c r="AI1219">
        <v>93.495187396064296</v>
      </c>
      <c r="AJ1219">
        <v>60.012119225348499</v>
      </c>
      <c r="AK1219">
        <v>18.265476219560298</v>
      </c>
      <c r="AL1219">
        <v>78.735062662806797</v>
      </c>
      <c r="AM1219">
        <v>67.701103831277706</v>
      </c>
      <c r="AN1219">
        <v>0.99999994004682302</v>
      </c>
    </row>
    <row r="1220" spans="1:40" x14ac:dyDescent="0.25">
      <c r="A1220" t="str">
        <f>"20190303162802985"</f>
        <v>20190303162802985</v>
      </c>
      <c r="B1220" t="str">
        <f>"1551601682972626"</f>
        <v>1551601682972626</v>
      </c>
      <c r="C1220" t="s">
        <v>40</v>
      </c>
      <c r="D1220">
        <v>4.6353489999999997</v>
      </c>
      <c r="E1220">
        <v>0.56109730000000002</v>
      </c>
      <c r="F1220" t="s">
        <v>46</v>
      </c>
      <c r="G1220">
        <v>-194.1814</v>
      </c>
      <c r="H1220" s="1">
        <v>-2.064656E-6</v>
      </c>
      <c r="I1220">
        <v>351.21120000000002</v>
      </c>
      <c r="J1220">
        <v>-206.0341</v>
      </c>
      <c r="K1220">
        <v>1.1134029999999999</v>
      </c>
      <c r="L1220">
        <v>365.33510000000001</v>
      </c>
      <c r="M1220">
        <v>0.94126489999999996</v>
      </c>
      <c r="N1220">
        <v>-1.4526229999999999E-2</v>
      </c>
      <c r="O1220">
        <v>-0.33735670000000001</v>
      </c>
      <c r="P1220">
        <v>0.73155680000000001</v>
      </c>
      <c r="Q1220">
        <v>0.18857460000000001</v>
      </c>
      <c r="R1220">
        <v>-0.6551825</v>
      </c>
      <c r="S1220">
        <v>2.020737</v>
      </c>
      <c r="T1220">
        <v>-0.18688150000000001</v>
      </c>
      <c r="U1220">
        <v>-2.3824459999999998</v>
      </c>
      <c r="V1220">
        <v>0.3738011</v>
      </c>
      <c r="W1220">
        <v>0.19453090000000001</v>
      </c>
      <c r="X1220">
        <v>0.90687949999999995</v>
      </c>
      <c r="Y1220">
        <v>0.49895230000000002</v>
      </c>
      <c r="Z1220">
        <v>-3.432549E-3</v>
      </c>
      <c r="AA1220">
        <v>0.86662260000000002</v>
      </c>
      <c r="AB1220">
        <v>31</v>
      </c>
      <c r="AC1220">
        <v>11.8527</v>
      </c>
      <c r="AD1220">
        <v>-1.1134050646560001</v>
      </c>
      <c r="AE1220">
        <v>-14.1238999999999</v>
      </c>
      <c r="AF1220">
        <v>9.2629472764774992</v>
      </c>
      <c r="AG1220">
        <v>-1.1134050646560001</v>
      </c>
      <c r="AH1220">
        <v>15.8651508015597</v>
      </c>
      <c r="AI1220">
        <v>93.468204571582007</v>
      </c>
      <c r="AJ1220">
        <v>59.721268004726902</v>
      </c>
      <c r="AK1220">
        <v>18.405023038318401</v>
      </c>
      <c r="AL1220">
        <v>78.782678392637294</v>
      </c>
      <c r="AM1220">
        <v>67.599333406461994</v>
      </c>
      <c r="AN1220">
        <v>0.99999998046813399</v>
      </c>
    </row>
    <row r="1221" spans="1:40" x14ac:dyDescent="0.25">
      <c r="A1221" t="str">
        <f>"20190303162802999"</f>
        <v>20190303162802999</v>
      </c>
      <c r="B1221" t="str">
        <f>"1551601682992147"</f>
        <v>1551601682992147</v>
      </c>
      <c r="C1221" t="s">
        <v>40</v>
      </c>
      <c r="D1221">
        <v>4.6216970000000002</v>
      </c>
      <c r="E1221">
        <v>0.5610946</v>
      </c>
      <c r="F1221" t="s">
        <v>46</v>
      </c>
      <c r="G1221">
        <v>-194.2371</v>
      </c>
      <c r="H1221" s="1">
        <v>-2.0690969999999999E-6</v>
      </c>
      <c r="I1221">
        <v>351.1936</v>
      </c>
      <c r="J1221">
        <v>-205.83670000000001</v>
      </c>
      <c r="K1221">
        <v>1.113264</v>
      </c>
      <c r="L1221">
        <v>365.25740000000002</v>
      </c>
      <c r="M1221">
        <v>0.93896789999999997</v>
      </c>
      <c r="N1221">
        <v>-1.4550260000000001E-2</v>
      </c>
      <c r="O1221">
        <v>-0.34369680000000002</v>
      </c>
      <c r="P1221">
        <v>0.72613850000000002</v>
      </c>
      <c r="Q1221">
        <v>0.18785489999999999</v>
      </c>
      <c r="R1221">
        <v>-0.66138730000000001</v>
      </c>
      <c r="S1221">
        <v>2.0011290000000002</v>
      </c>
      <c r="T1221">
        <v>-0.18886849999999999</v>
      </c>
      <c r="U1221">
        <v>-2.3988339999999999</v>
      </c>
      <c r="V1221">
        <v>0.37539670000000003</v>
      </c>
      <c r="W1221">
        <v>0.19367200000000001</v>
      </c>
      <c r="X1221">
        <v>0.90640410000000005</v>
      </c>
      <c r="Y1221">
        <v>0.50018960000000001</v>
      </c>
      <c r="Z1221">
        <v>-3.109175E-3</v>
      </c>
      <c r="AA1221">
        <v>0.86591039999999997</v>
      </c>
      <c r="AB1221">
        <v>31</v>
      </c>
      <c r="AC1221">
        <v>11.599600000000001</v>
      </c>
      <c r="AD1221">
        <v>-1.113266069097</v>
      </c>
      <c r="AE1221">
        <v>-14.063800000000001</v>
      </c>
      <c r="AF1221">
        <v>9.1854335636771793</v>
      </c>
      <c r="AG1221">
        <v>-1.113266069097</v>
      </c>
      <c r="AH1221">
        <v>15.6685696527146</v>
      </c>
      <c r="AI1221">
        <v>93.507543499190106</v>
      </c>
      <c r="AJ1221">
        <v>59.619758250300002</v>
      </c>
      <c r="AK1221">
        <v>18.196582812585898</v>
      </c>
      <c r="AL1221">
        <v>78.832843573154804</v>
      </c>
      <c r="AM1221">
        <v>67.502599125101696</v>
      </c>
      <c r="AN1221">
        <v>0.99999995922584906</v>
      </c>
    </row>
    <row r="1222" spans="1:40" x14ac:dyDescent="0.25">
      <c r="A1222" t="str">
        <f>"20190303162803015"</f>
        <v>20190303162803015</v>
      </c>
      <c r="B1222" t="str">
        <f>"1551601683002883"</f>
        <v>1551601683002883</v>
      </c>
      <c r="C1222" t="s">
        <v>40</v>
      </c>
      <c r="D1222">
        <v>4.6208239999999998</v>
      </c>
      <c r="E1222">
        <v>0.56099840000000001</v>
      </c>
      <c r="F1222" t="s">
        <v>46</v>
      </c>
      <c r="G1222">
        <v>-194.1174</v>
      </c>
      <c r="H1222" s="1">
        <v>-1.901903E-6</v>
      </c>
      <c r="I1222">
        <v>350.9649</v>
      </c>
      <c r="J1222">
        <v>-205.63800000000001</v>
      </c>
      <c r="K1222">
        <v>1.11313</v>
      </c>
      <c r="L1222">
        <v>365.17759999999998</v>
      </c>
      <c r="M1222">
        <v>0.9365658</v>
      </c>
      <c r="N1222">
        <v>-1.457404E-2</v>
      </c>
      <c r="O1222">
        <v>-0.35018909999999998</v>
      </c>
      <c r="P1222">
        <v>0.71968339999999997</v>
      </c>
      <c r="Q1222">
        <v>0.18722369999999999</v>
      </c>
      <c r="R1222">
        <v>-0.66858300000000004</v>
      </c>
      <c r="S1222">
        <v>1.9803310000000001</v>
      </c>
      <c r="T1222">
        <v>-0.1881207</v>
      </c>
      <c r="U1222">
        <v>-2.4151609999999999</v>
      </c>
      <c r="V1222">
        <v>0.37814170000000003</v>
      </c>
      <c r="W1222">
        <v>0.19287480000000001</v>
      </c>
      <c r="X1222">
        <v>0.90543260000000003</v>
      </c>
      <c r="Y1222">
        <v>0.501529</v>
      </c>
      <c r="Z1222">
        <v>-2.8578599999999998E-3</v>
      </c>
      <c r="AA1222">
        <v>0.86513609999999896</v>
      </c>
      <c r="AB1222">
        <v>31</v>
      </c>
      <c r="AC1222">
        <v>11.5206</v>
      </c>
      <c r="AD1222">
        <v>-1.1131319019029999</v>
      </c>
      <c r="AE1222">
        <v>-14.2126999999999</v>
      </c>
      <c r="AF1222">
        <v>9.2435071486480407</v>
      </c>
      <c r="AG1222">
        <v>-1.1131319019029999</v>
      </c>
      <c r="AH1222">
        <v>15.7104490201279</v>
      </c>
      <c r="AI1222">
        <v>93.494546575356097</v>
      </c>
      <c r="AJ1222">
        <v>59.5288561777475</v>
      </c>
      <c r="AK1222">
        <v>18.261974029446499</v>
      </c>
      <c r="AL1222">
        <v>78.879398160630601</v>
      </c>
      <c r="AM1222">
        <v>67.332804136547395</v>
      </c>
      <c r="AN1222">
        <v>1.00000001344834</v>
      </c>
    </row>
    <row r="1223" spans="1:40" x14ac:dyDescent="0.25">
      <c r="A1223" t="str">
        <f>"20190303162803029"</f>
        <v>20190303162803029</v>
      </c>
      <c r="B1223" t="str">
        <f>"1551601683022403"</f>
        <v>1551601683022403</v>
      </c>
      <c r="C1223" t="s">
        <v>40</v>
      </c>
      <c r="D1223">
        <v>4.6456679999999997</v>
      </c>
      <c r="E1223">
        <v>0.56080030000000003</v>
      </c>
      <c r="F1223" t="s">
        <v>46</v>
      </c>
      <c r="G1223">
        <v>-194.11170000000001</v>
      </c>
      <c r="H1223" s="1">
        <v>-1.827636E-6</v>
      </c>
      <c r="I1223">
        <v>350.84199999999998</v>
      </c>
      <c r="J1223">
        <v>-205.45439999999999</v>
      </c>
      <c r="K1223">
        <v>1.1130070000000001</v>
      </c>
      <c r="L1223">
        <v>365.10239999999999</v>
      </c>
      <c r="M1223">
        <v>0.93426880000000001</v>
      </c>
      <c r="N1223">
        <v>-1.4594309999999999E-2</v>
      </c>
      <c r="O1223">
        <v>-0.35627109999999901</v>
      </c>
      <c r="P1223">
        <v>0.71427879999999999</v>
      </c>
      <c r="Q1223">
        <v>0.18670539999999999</v>
      </c>
      <c r="R1223">
        <v>-0.67449740000000002</v>
      </c>
      <c r="S1223">
        <v>1.956772</v>
      </c>
      <c r="T1223">
        <v>-0.18897220000000001</v>
      </c>
      <c r="U1223">
        <v>-2.4336850000000001</v>
      </c>
      <c r="V1223">
        <v>0.37972600000000001</v>
      </c>
      <c r="W1223">
        <v>0.1922258</v>
      </c>
      <c r="X1223">
        <v>0.90490740000000003</v>
      </c>
      <c r="Y1223">
        <v>0.50419829999999999</v>
      </c>
      <c r="Z1223">
        <v>-2.6331869999999999E-3</v>
      </c>
      <c r="AA1223">
        <v>0.86358389999999996</v>
      </c>
      <c r="AB1223">
        <v>31</v>
      </c>
      <c r="AC1223">
        <v>11.342699999999899</v>
      </c>
      <c r="AD1223">
        <v>-1.113008827636</v>
      </c>
      <c r="AE1223">
        <v>-14.260400000000001</v>
      </c>
      <c r="AF1223">
        <v>9.2484509281239493</v>
      </c>
      <c r="AG1223">
        <v>-1.113008827636</v>
      </c>
      <c r="AH1223">
        <v>15.6210827761417</v>
      </c>
      <c r="AI1223">
        <v>93.508455161489394</v>
      </c>
      <c r="AJ1223">
        <v>59.372376217297301</v>
      </c>
      <c r="AK1223">
        <v>18.187656812227999</v>
      </c>
      <c r="AL1223">
        <v>78.917292055217203</v>
      </c>
      <c r="AM1223">
        <v>67.235632988030204</v>
      </c>
      <c r="AN1223">
        <v>0.99999999791819905</v>
      </c>
    </row>
    <row r="1224" spans="1:40" x14ac:dyDescent="0.25">
      <c r="A1224" t="str">
        <f>"20190303162803040"</f>
        <v>20190303162803040</v>
      </c>
      <c r="B1224" t="str">
        <f>"1551601683032163"</f>
        <v>1551601683032163</v>
      </c>
      <c r="C1224" t="s">
        <v>40</v>
      </c>
      <c r="D1224">
        <v>4.661327</v>
      </c>
      <c r="E1224">
        <v>0.56065989999999999</v>
      </c>
      <c r="F1224" t="s">
        <v>46</v>
      </c>
      <c r="G1224">
        <v>-194.0258</v>
      </c>
      <c r="H1224" s="1">
        <v>-1.70424E-6</v>
      </c>
      <c r="I1224">
        <v>350.67219999999998</v>
      </c>
      <c r="J1224">
        <v>-205.2945</v>
      </c>
      <c r="K1224">
        <v>1.1128960000000001</v>
      </c>
      <c r="L1224">
        <v>365.036</v>
      </c>
      <c r="M1224">
        <v>0.93220420000000004</v>
      </c>
      <c r="N1224">
        <v>-1.4610160000000001E-2</v>
      </c>
      <c r="O1224">
        <v>-0.36163770000000001</v>
      </c>
      <c r="P1224">
        <v>0.70916080000000004</v>
      </c>
      <c r="Q1224">
        <v>0.18629609999999999</v>
      </c>
      <c r="R1224">
        <v>-0.67998840000000005</v>
      </c>
      <c r="S1224">
        <v>1.9383090000000001</v>
      </c>
      <c r="T1224">
        <v>-0.18876760000000001</v>
      </c>
      <c r="U1224">
        <v>-2.4473880000000001</v>
      </c>
      <c r="V1224">
        <v>0.38151059999999998</v>
      </c>
      <c r="W1224">
        <v>0.19168859999999999</v>
      </c>
      <c r="X1224">
        <v>0.90427049999999998</v>
      </c>
      <c r="Y1224">
        <v>0.50559019999999999</v>
      </c>
      <c r="Z1224">
        <v>-2.4207410000000001E-3</v>
      </c>
      <c r="AA1224">
        <v>0.86277039999999905</v>
      </c>
      <c r="AB1224">
        <v>31</v>
      </c>
      <c r="AC1224">
        <v>11.2686999999999</v>
      </c>
      <c r="AD1224">
        <v>-1.1128977042399999</v>
      </c>
      <c r="AE1224">
        <v>-14.363799999999999</v>
      </c>
      <c r="AF1224">
        <v>9.2813133933817102</v>
      </c>
      <c r="AG1224">
        <v>-1.1128977042399999</v>
      </c>
      <c r="AH1224">
        <v>15.6427692009784</v>
      </c>
      <c r="AI1224">
        <v>93.501292995980407</v>
      </c>
      <c r="AJ1224">
        <v>59.3181020318045</v>
      </c>
      <c r="AK1224">
        <v>18.222995030492299</v>
      </c>
      <c r="AL1224">
        <v>78.948654580401794</v>
      </c>
      <c r="AM1224">
        <v>67.125179297685904</v>
      </c>
      <c r="AN1224">
        <v>0.99999999722628496</v>
      </c>
    </row>
    <row r="1225" spans="1:40" x14ac:dyDescent="0.25">
      <c r="A1225" t="str">
        <f>"20190303162803065"</f>
        <v>20190303162803065</v>
      </c>
      <c r="B1225" t="str">
        <f>"1551601683052659"</f>
        <v>1551601683052659</v>
      </c>
      <c r="C1225" t="s">
        <v>40</v>
      </c>
      <c r="D1225">
        <v>4.6791049999999998</v>
      </c>
      <c r="E1225">
        <v>0.56026100000000001</v>
      </c>
      <c r="F1225" t="s">
        <v>46</v>
      </c>
      <c r="G1225">
        <v>-194.0256</v>
      </c>
      <c r="H1225" s="1">
        <v>-1.65678E-6</v>
      </c>
      <c r="I1225">
        <v>350.59210000000002</v>
      </c>
      <c r="J1225">
        <v>-205.00139999999999</v>
      </c>
      <c r="K1225">
        <v>1.1126959999999999</v>
      </c>
      <c r="L1225">
        <v>364.91070000000002</v>
      </c>
      <c r="M1225">
        <v>0.92824240000000002</v>
      </c>
      <c r="N1225">
        <v>-1.4638409999999999E-2</v>
      </c>
      <c r="O1225">
        <v>-0.37168770000000001</v>
      </c>
      <c r="P1225">
        <v>0.70081740000000003</v>
      </c>
      <c r="Q1225">
        <v>0.1858438</v>
      </c>
      <c r="R1225">
        <v>-0.68870659999999995</v>
      </c>
      <c r="S1225">
        <v>1.9201809999999999</v>
      </c>
      <c r="T1225">
        <v>-0.18963369999999999</v>
      </c>
      <c r="U1225">
        <v>-2.461182</v>
      </c>
      <c r="V1225">
        <v>0.38296619999999998</v>
      </c>
      <c r="W1225">
        <v>0.19104270000000001</v>
      </c>
      <c r="X1225">
        <v>0.90379180000000003</v>
      </c>
      <c r="Y1225">
        <v>0.50257489999999905</v>
      </c>
      <c r="Z1225">
        <v>-1.732183E-3</v>
      </c>
      <c r="AA1225">
        <v>0.86453189999999902</v>
      </c>
      <c r="AB1225">
        <v>31</v>
      </c>
      <c r="AC1225">
        <v>10.9757999999999</v>
      </c>
      <c r="AD1225">
        <v>-1.11269765678</v>
      </c>
      <c r="AE1225">
        <v>-14.3186</v>
      </c>
      <c r="AF1225">
        <v>9.1776391782361006</v>
      </c>
      <c r="AG1225">
        <v>-1.11269765678</v>
      </c>
      <c r="AH1225">
        <v>15.453132226311901</v>
      </c>
      <c r="AI1225">
        <v>93.542627991947697</v>
      </c>
      <c r="AJ1225">
        <v>59.293857978119398</v>
      </c>
      <c r="AK1225">
        <v>18.007399939057802</v>
      </c>
      <c r="AL1225">
        <v>78.986359004044502</v>
      </c>
      <c r="AM1225">
        <v>67.0360349153584</v>
      </c>
      <c r="AN1225">
        <v>1.0000000206564801</v>
      </c>
    </row>
    <row r="1226" spans="1:40" x14ac:dyDescent="0.25">
      <c r="A1226" t="str">
        <f>"20190303162803078"</f>
        <v>20190303162803078</v>
      </c>
      <c r="B1226" t="str">
        <f>"1551601683072179"</f>
        <v>1551601683072179</v>
      </c>
      <c r="C1226" t="s">
        <v>40</v>
      </c>
      <c r="D1226">
        <v>4.697794</v>
      </c>
      <c r="E1226">
        <v>0.55989820000000001</v>
      </c>
      <c r="F1226" t="s">
        <v>46</v>
      </c>
      <c r="G1226">
        <v>-193.94749999999999</v>
      </c>
      <c r="H1226" s="1">
        <v>-1.526244E-6</v>
      </c>
      <c r="I1226">
        <v>350.4067</v>
      </c>
      <c r="J1226">
        <v>-204.8107</v>
      </c>
      <c r="K1226">
        <v>1.112555</v>
      </c>
      <c r="L1226">
        <v>364.82690000000002</v>
      </c>
      <c r="M1226">
        <v>0.92553129999999995</v>
      </c>
      <c r="N1226">
        <v>-1.4658060000000001E-2</v>
      </c>
      <c r="O1226">
        <v>-0.37838729999999998</v>
      </c>
      <c r="P1226">
        <v>0.69452950000000002</v>
      </c>
      <c r="Q1226">
        <v>0.18586220000000001</v>
      </c>
      <c r="R1226">
        <v>-0.69504219999999906</v>
      </c>
      <c r="S1226">
        <v>1.8917999999999999</v>
      </c>
      <c r="T1226">
        <v>-0.19043080000000001</v>
      </c>
      <c r="U1226">
        <v>-2.4822690000000001</v>
      </c>
      <c r="V1226">
        <v>0.38471149999999998</v>
      </c>
      <c r="W1226">
        <v>0.1909033</v>
      </c>
      <c r="X1226">
        <v>0.90307969999999904</v>
      </c>
      <c r="Y1226">
        <v>0.50610820000000001</v>
      </c>
      <c r="Z1226">
        <v>-1.5000979999999901E-3</v>
      </c>
      <c r="AA1226">
        <v>0.86246869999999998</v>
      </c>
      <c r="AB1226">
        <v>31</v>
      </c>
      <c r="AC1226">
        <v>10.863200000000001</v>
      </c>
      <c r="AD1226">
        <v>-1.112556526244</v>
      </c>
      <c r="AE1226">
        <v>-14.420199999999999</v>
      </c>
      <c r="AF1226">
        <v>9.20189821906982</v>
      </c>
      <c r="AG1226">
        <v>-1.112556526244</v>
      </c>
      <c r="AH1226">
        <v>15.453634445135799</v>
      </c>
      <c r="AI1226">
        <v>93.539659230474101</v>
      </c>
      <c r="AJ1226">
        <v>59.228229931929299</v>
      </c>
      <c r="AK1226">
        <v>18.0201978463638</v>
      </c>
      <c r="AL1226">
        <v>78.994495297238998</v>
      </c>
      <c r="AM1226">
        <v>66.926019708683199</v>
      </c>
      <c r="AN1226">
        <v>0.99999997636761395</v>
      </c>
    </row>
    <row r="1227" spans="1:40" x14ac:dyDescent="0.25">
      <c r="A1227" t="str">
        <f>"20190303162803092"</f>
        <v>20190303162803092</v>
      </c>
      <c r="B1227" t="str">
        <f>"1551601683082914"</f>
        <v>1551601683082914</v>
      </c>
      <c r="C1227" t="s">
        <v>40</v>
      </c>
      <c r="D1227">
        <v>4.723306</v>
      </c>
      <c r="E1227">
        <v>0.55963980000000002</v>
      </c>
      <c r="F1227" t="s">
        <v>46</v>
      </c>
      <c r="G1227">
        <v>-193.77760000000001</v>
      </c>
      <c r="H1227" s="1">
        <v>-1.296056E-6</v>
      </c>
      <c r="I1227">
        <v>350.09410000000003</v>
      </c>
      <c r="J1227">
        <v>-204.64179999999999</v>
      </c>
      <c r="K1227">
        <v>1.1124339999999999</v>
      </c>
      <c r="L1227">
        <v>364.75119999999998</v>
      </c>
      <c r="M1227">
        <v>0.92304719999999996</v>
      </c>
      <c r="N1227">
        <v>-1.4676689999999999E-2</v>
      </c>
      <c r="O1227">
        <v>-0.384407</v>
      </c>
      <c r="P1227">
        <v>0.68930919999999996</v>
      </c>
      <c r="Q1227">
        <v>0.18667120000000001</v>
      </c>
      <c r="R1227">
        <v>-0.70000519999999999</v>
      </c>
      <c r="S1227">
        <v>1.870422</v>
      </c>
      <c r="T1227">
        <v>-0.18860959999999999</v>
      </c>
      <c r="U1227">
        <v>-2.49762</v>
      </c>
      <c r="V1227">
        <v>0.38546599999999998</v>
      </c>
      <c r="W1227">
        <v>0.1915936</v>
      </c>
      <c r="X1227">
        <v>0.90261170000000002</v>
      </c>
      <c r="Y1227">
        <v>0.50777309999999998</v>
      </c>
      <c r="Z1227">
        <v>-1.330049E-3</v>
      </c>
      <c r="AA1227">
        <v>0.86148979999999997</v>
      </c>
      <c r="AB1227">
        <v>31</v>
      </c>
      <c r="AC1227">
        <v>10.864199999999901</v>
      </c>
      <c r="AD1227">
        <v>-1.112435296056</v>
      </c>
      <c r="AE1227">
        <v>-14.6570999999999</v>
      </c>
      <c r="AF1227">
        <v>9.3192795511064599</v>
      </c>
      <c r="AG1227">
        <v>-1.112435296056</v>
      </c>
      <c r="AH1227">
        <v>15.606125736065</v>
      </c>
      <c r="AI1227">
        <v>93.502159717625702</v>
      </c>
      <c r="AJ1227">
        <v>59.156242063057498</v>
      </c>
      <c r="AK1227">
        <v>18.2109210126631</v>
      </c>
      <c r="AL1227">
        <v>78.954200646887102</v>
      </c>
      <c r="AM1227">
        <v>66.874790277810007</v>
      </c>
      <c r="AN1227">
        <v>1.00000001284692</v>
      </c>
    </row>
    <row r="1228" spans="1:40" x14ac:dyDescent="0.25">
      <c r="A1228" t="str">
        <f>"20190303162803105"</f>
        <v>20190303162803105</v>
      </c>
      <c r="B1228" t="str">
        <f>"1551601683092675"</f>
        <v>1551601683092675</v>
      </c>
      <c r="C1228" t="s">
        <v>40</v>
      </c>
      <c r="D1228">
        <v>4.7517849999999999</v>
      </c>
      <c r="E1228">
        <v>0.55939700000000003</v>
      </c>
      <c r="F1228" t="s">
        <v>46</v>
      </c>
      <c r="G1228">
        <v>-193.4639</v>
      </c>
      <c r="H1228" s="1">
        <v>-9.2501480000000004E-7</v>
      </c>
      <c r="I1228">
        <v>349.60829999999999</v>
      </c>
      <c r="J1228">
        <v>-204.476</v>
      </c>
      <c r="K1228">
        <v>1.112314</v>
      </c>
      <c r="L1228">
        <v>364.67590000000001</v>
      </c>
      <c r="M1228">
        <v>0.92054119999999995</v>
      </c>
      <c r="N1228">
        <v>-1.4695130000000001E-2</v>
      </c>
      <c r="O1228">
        <v>-0.39036929999999997</v>
      </c>
      <c r="P1228">
        <v>0.68422309999999997</v>
      </c>
      <c r="Q1228">
        <v>0.18742320000000001</v>
      </c>
      <c r="R1228">
        <v>-0.70477780000000001</v>
      </c>
      <c r="S1228">
        <v>1.852951</v>
      </c>
      <c r="T1228">
        <v>-0.18440780000000001</v>
      </c>
      <c r="U1228">
        <v>-2.5102229999999999</v>
      </c>
      <c r="V1228">
        <v>0.38605339999999999</v>
      </c>
      <c r="W1228">
        <v>0.19223290000000001</v>
      </c>
      <c r="X1228">
        <v>0.90222469999999999</v>
      </c>
      <c r="Y1228">
        <v>0.50817369999999995</v>
      </c>
      <c r="Z1228">
        <v>-1.2211310000000001E-3</v>
      </c>
      <c r="AA1228">
        <v>0.86125370000000001</v>
      </c>
      <c r="AB1228">
        <v>31</v>
      </c>
      <c r="AC1228">
        <v>11.0121</v>
      </c>
      <c r="AD1228">
        <v>-1.1123149250147999</v>
      </c>
      <c r="AE1228">
        <v>-15.067600000000001</v>
      </c>
      <c r="AF1228">
        <v>9.5387094466746998</v>
      </c>
      <c r="AG1228">
        <v>-1.1123149250147999</v>
      </c>
      <c r="AH1228">
        <v>15.9640399682024</v>
      </c>
      <c r="AI1228">
        <v>93.422923748308506</v>
      </c>
      <c r="AJ1228">
        <v>59.141165531052998</v>
      </c>
      <c r="AK1228">
        <v>18.629943491778398</v>
      </c>
      <c r="AL1228">
        <v>78.916878247808896</v>
      </c>
      <c r="AM1228">
        <v>66.834376814747401</v>
      </c>
      <c r="AN1228">
        <v>1.00000006239202</v>
      </c>
    </row>
    <row r="1229" spans="1:40" x14ac:dyDescent="0.25">
      <c r="A1229" t="str">
        <f>"20190303162803127"</f>
        <v>20190303162803127</v>
      </c>
      <c r="B1229" t="str">
        <f>"1551601683122462"</f>
        <v>1551601683122462</v>
      </c>
      <c r="C1229" t="s">
        <v>40</v>
      </c>
      <c r="D1229">
        <v>4.7705399999999996</v>
      </c>
      <c r="E1229">
        <v>0.55847340000000001</v>
      </c>
      <c r="F1229" t="s">
        <v>41</v>
      </c>
      <c r="G1229">
        <v>-193.238</v>
      </c>
      <c r="H1229" s="1">
        <v>-4.743003E-6</v>
      </c>
      <c r="I1229">
        <v>349.23649999999998</v>
      </c>
      <c r="J1229">
        <v>-204.20009999999999</v>
      </c>
      <c r="K1229">
        <v>1.112101</v>
      </c>
      <c r="L1229">
        <v>364.54689999999999</v>
      </c>
      <c r="M1229">
        <v>0.91615740000000001</v>
      </c>
      <c r="N1229">
        <v>-1.472795E-2</v>
      </c>
      <c r="O1229">
        <v>-0.40054810000000002</v>
      </c>
      <c r="P1229">
        <v>0.67557040000000002</v>
      </c>
      <c r="Q1229">
        <v>0.18793070000000001</v>
      </c>
      <c r="R1229">
        <v>-0.71294239999999998</v>
      </c>
      <c r="S1229">
        <v>1.8360289999999999</v>
      </c>
      <c r="T1229">
        <v>-0.18172679999999999</v>
      </c>
      <c r="U1229">
        <v>-2.5224299999999999</v>
      </c>
      <c r="V1229">
        <v>0.38705630000000002</v>
      </c>
      <c r="W1229">
        <v>0.19254360000000001</v>
      </c>
      <c r="X1229">
        <v>0.90172859999999999</v>
      </c>
      <c r="Y1229">
        <v>0.50441400000000003</v>
      </c>
      <c r="Z1229">
        <v>-6.7458389999999996E-4</v>
      </c>
      <c r="AA1229">
        <v>0.8634617</v>
      </c>
      <c r="AB1229">
        <v>31</v>
      </c>
      <c r="AC1229">
        <v>10.9620999999999</v>
      </c>
      <c r="AD1229">
        <v>-1.1121057430029999</v>
      </c>
      <c r="AE1229">
        <v>-15.3104</v>
      </c>
      <c r="AF1229">
        <v>9.6034355385474299</v>
      </c>
      <c r="AG1229">
        <v>-1.1121057430029999</v>
      </c>
      <c r="AH1229">
        <v>16.1210835237354</v>
      </c>
      <c r="AI1229">
        <v>93.391708807441006</v>
      </c>
      <c r="AJ1229">
        <v>59.217464671346598</v>
      </c>
      <c r="AK1229">
        <v>18.797661751023899</v>
      </c>
      <c r="AL1229">
        <v>78.898737340228806</v>
      </c>
      <c r="AM1229">
        <v>66.769145453006701</v>
      </c>
      <c r="AN1229">
        <v>1.0000000426643001</v>
      </c>
    </row>
    <row r="1230" spans="1:40" x14ac:dyDescent="0.25">
      <c r="A1230" t="str">
        <f>"20190303162803138"</f>
        <v>20190303162803138</v>
      </c>
      <c r="B1230" t="str">
        <f>"1551601683132222"</f>
        <v>1551601683132222</v>
      </c>
      <c r="C1230" t="s">
        <v>40</v>
      </c>
      <c r="D1230">
        <v>4.9148120000000004</v>
      </c>
      <c r="E1230">
        <v>0.55849530000000003</v>
      </c>
      <c r="F1230" t="s">
        <v>41</v>
      </c>
      <c r="G1230">
        <v>-193.00559999999999</v>
      </c>
      <c r="H1230" s="1">
        <v>-4.5662579999999999E-6</v>
      </c>
      <c r="I1230">
        <v>348.8383</v>
      </c>
      <c r="J1230">
        <v>-204.05289999999999</v>
      </c>
      <c r="K1230">
        <v>1.111982</v>
      </c>
      <c r="L1230">
        <v>364.47649999999999</v>
      </c>
      <c r="M1230">
        <v>0.9137151</v>
      </c>
      <c r="N1230">
        <v>-1.4747069999999999E-2</v>
      </c>
      <c r="O1230">
        <v>-0.40608810000000001</v>
      </c>
      <c r="P1230">
        <v>0.67106929999999998</v>
      </c>
      <c r="Q1230">
        <v>0.18757299999999999</v>
      </c>
      <c r="R1230">
        <v>-0.71727479999999999</v>
      </c>
      <c r="S1230">
        <v>1.8101039999999999</v>
      </c>
      <c r="T1230">
        <v>-0.17982409999999999</v>
      </c>
      <c r="U1230">
        <v>-2.5400390000000002</v>
      </c>
      <c r="V1230">
        <v>0.38740619999999998</v>
      </c>
      <c r="W1230">
        <v>0.192084</v>
      </c>
      <c r="X1230">
        <v>0.90167629999999999</v>
      </c>
      <c r="Y1230">
        <v>0.50785899999999995</v>
      </c>
      <c r="Z1230">
        <v>-6.3385350000000004E-4</v>
      </c>
      <c r="AA1230">
        <v>0.86143999999999998</v>
      </c>
      <c r="AB1230">
        <v>31</v>
      </c>
      <c r="AC1230">
        <v>11.0473</v>
      </c>
      <c r="AD1230">
        <v>-1.111986566258</v>
      </c>
      <c r="AE1230">
        <v>-15.6381999999999</v>
      </c>
      <c r="AF1230">
        <v>9.7707905264924602</v>
      </c>
      <c r="AG1230">
        <v>-1.111986566258</v>
      </c>
      <c r="AH1230">
        <v>16.391071254626802</v>
      </c>
      <c r="AI1230">
        <v>93.335030120273302</v>
      </c>
      <c r="AJ1230">
        <v>59.200642126427098</v>
      </c>
      <c r="AK1230">
        <v>19.1147084338314</v>
      </c>
      <c r="AL1230">
        <v>78.925570769304201</v>
      </c>
      <c r="AM1230">
        <v>66.749169126134106</v>
      </c>
      <c r="AN1230">
        <v>0.99999998841806403</v>
      </c>
    </row>
    <row r="1231" spans="1:40" x14ac:dyDescent="0.25">
      <c r="A1231" t="str">
        <f>"20190303162803149"</f>
        <v>20190303162803149</v>
      </c>
      <c r="B1231" t="str">
        <f>"1551601683142957"</f>
        <v>1551601683142957</v>
      </c>
      <c r="C1231" t="s">
        <v>40</v>
      </c>
      <c r="D1231">
        <v>4.928223</v>
      </c>
      <c r="E1231">
        <v>0.5588398</v>
      </c>
      <c r="F1231" t="s">
        <v>41</v>
      </c>
      <c r="G1231">
        <v>-192.96850000000001</v>
      </c>
      <c r="H1231" s="1">
        <v>-4.514119E-6</v>
      </c>
      <c r="I1231">
        <v>348.70440000000002</v>
      </c>
      <c r="J1231">
        <v>-203.90440000000001</v>
      </c>
      <c r="K1231">
        <v>1.1118589999999999</v>
      </c>
      <c r="L1231">
        <v>364.4042</v>
      </c>
      <c r="M1231">
        <v>0.91117479999999995</v>
      </c>
      <c r="N1231">
        <v>-1.4767799999999999E-2</v>
      </c>
      <c r="O1231">
        <v>-0.4117555</v>
      </c>
      <c r="P1231">
        <v>0.66656599999999999</v>
      </c>
      <c r="Q1231">
        <v>0.18758900000000001</v>
      </c>
      <c r="R1231">
        <v>-0.72145719999999902</v>
      </c>
      <c r="S1231">
        <v>1.79332</v>
      </c>
      <c r="T1231">
        <v>-0.1799058</v>
      </c>
      <c r="U1231">
        <v>-2.5517270000000001</v>
      </c>
      <c r="V1231">
        <v>0.38750299999999999</v>
      </c>
      <c r="W1231">
        <v>0.19200449999999999</v>
      </c>
      <c r="X1231">
        <v>0.9016516</v>
      </c>
      <c r="Y1231">
        <v>0.50816159999999999</v>
      </c>
      <c r="Z1231">
        <v>-3.6212519999999999E-4</v>
      </c>
      <c r="AA1231">
        <v>0.86126170000000002</v>
      </c>
      <c r="AB1231">
        <v>31</v>
      </c>
      <c r="AC1231">
        <v>10.9359</v>
      </c>
      <c r="AD1231">
        <v>-1.1118635141190001</v>
      </c>
      <c r="AE1231">
        <v>-15.6997999999999</v>
      </c>
      <c r="AF1231">
        <v>9.7704186481583601</v>
      </c>
      <c r="AG1231">
        <v>-1.1118635141190001</v>
      </c>
      <c r="AH1231">
        <v>16.375485809620201</v>
      </c>
      <c r="AI1231">
        <v>93.337030689456398</v>
      </c>
      <c r="AJ1231">
        <v>59.177623664317601</v>
      </c>
      <c r="AK1231">
        <v>19.101148042339801</v>
      </c>
      <c r="AL1231">
        <v>78.930211807713604</v>
      </c>
      <c r="AM1231">
        <v>66.743407465061694</v>
      </c>
      <c r="AN1231">
        <v>0.99999995540590403</v>
      </c>
    </row>
    <row r="1232" spans="1:40" x14ac:dyDescent="0.25">
      <c r="A1232" t="str">
        <f>"20190303162803161"</f>
        <v>20190303162803161</v>
      </c>
      <c r="B1232" t="str">
        <f>"1551601683152719"</f>
        <v>1551601683152719</v>
      </c>
      <c r="C1232" t="s">
        <v>40</v>
      </c>
      <c r="D1232">
        <v>4.7750170000000001</v>
      </c>
      <c r="E1232">
        <v>0.5588398</v>
      </c>
      <c r="F1232" t="s">
        <v>41</v>
      </c>
      <c r="G1232">
        <v>-192.8596</v>
      </c>
      <c r="H1232" s="1">
        <v>-4.4030699999999998E-6</v>
      </c>
      <c r="I1232">
        <v>348.43490000000003</v>
      </c>
      <c r="J1232">
        <v>-203.7638</v>
      </c>
      <c r="K1232">
        <v>1.1117429999999999</v>
      </c>
      <c r="L1232">
        <v>364.3349</v>
      </c>
      <c r="M1232">
        <v>0.90870850000000003</v>
      </c>
      <c r="N1232">
        <v>-1.478791E-2</v>
      </c>
      <c r="O1232">
        <v>-0.41716920000000002</v>
      </c>
      <c r="P1232">
        <v>0.66266610000000004</v>
      </c>
      <c r="Q1232">
        <v>0.1868939</v>
      </c>
      <c r="R1232">
        <v>-0.72522039999999999</v>
      </c>
      <c r="S1232">
        <v>1.7743070000000001</v>
      </c>
      <c r="T1232">
        <v>-0.17861569999999999</v>
      </c>
      <c r="U1232">
        <v>-2.5653990000000002</v>
      </c>
      <c r="V1232">
        <v>0.38719890000000001</v>
      </c>
      <c r="W1232">
        <v>0.19123370000000001</v>
      </c>
      <c r="X1232">
        <v>0.90194609999999997</v>
      </c>
      <c r="Y1232">
        <v>0.50951029999999997</v>
      </c>
      <c r="Z1232">
        <v>-2.205381E-4</v>
      </c>
      <c r="AA1232">
        <v>0.86046460000000002</v>
      </c>
      <c r="AB1232">
        <v>31</v>
      </c>
      <c r="AC1232">
        <v>10.904199999999999</v>
      </c>
      <c r="AD1232">
        <v>-1.1117474030700001</v>
      </c>
      <c r="AE1232">
        <v>-15.899999999999901</v>
      </c>
      <c r="AF1232">
        <v>9.8678398929511904</v>
      </c>
      <c r="AG1232">
        <v>-1.1117474030700001</v>
      </c>
      <c r="AH1232">
        <v>16.488712011866198</v>
      </c>
      <c r="AI1232">
        <v>93.311185637557202</v>
      </c>
      <c r="AJ1232">
        <v>59.101153028092597</v>
      </c>
      <c r="AK1232">
        <v>19.248061467363701</v>
      </c>
      <c r="AL1232">
        <v>78.975210192263603</v>
      </c>
      <c r="AM1232">
        <v>66.766504163355805</v>
      </c>
      <c r="AN1232">
        <v>1.0000000417410499</v>
      </c>
    </row>
    <row r="1233" spans="1:40" x14ac:dyDescent="0.25">
      <c r="A1233" t="str">
        <f>"20190303162803173"</f>
        <v>20190303162803173</v>
      </c>
      <c r="B1233" t="str">
        <f>"1551601683162478"</f>
        <v>1551601683162478</v>
      </c>
      <c r="C1233" t="s">
        <v>40</v>
      </c>
      <c r="D1233">
        <v>4.8079229999999997</v>
      </c>
      <c r="E1233">
        <v>0.58559939999999999</v>
      </c>
      <c r="F1233" t="s">
        <v>41</v>
      </c>
      <c r="G1233">
        <v>-192.91460000000001</v>
      </c>
      <c r="H1233" s="1">
        <v>-4.419179E-6</v>
      </c>
      <c r="I1233">
        <v>348.45359999999999</v>
      </c>
      <c r="J1233">
        <v>-203.61590000000001</v>
      </c>
      <c r="K1233">
        <v>1.1116159999999999</v>
      </c>
      <c r="L1233">
        <v>364.2602</v>
      </c>
      <c r="M1233">
        <v>0.90601089999999995</v>
      </c>
      <c r="N1233">
        <v>-1.481099E-2</v>
      </c>
      <c r="O1233">
        <v>-0.42299540000000002</v>
      </c>
      <c r="P1233">
        <v>0.65793500000000005</v>
      </c>
      <c r="Q1233">
        <v>0.1866439</v>
      </c>
      <c r="R1233">
        <v>-0.72957930000000004</v>
      </c>
      <c r="S1233">
        <v>1.759415</v>
      </c>
      <c r="T1233">
        <v>-0.18029120000000001</v>
      </c>
      <c r="U1233">
        <v>-2.5754700000000001</v>
      </c>
      <c r="V1233">
        <v>0.38738479999999997</v>
      </c>
      <c r="W1233">
        <v>0.19088359999999999</v>
      </c>
      <c r="X1233">
        <v>0.90194039999999998</v>
      </c>
      <c r="Y1233">
        <v>0.5089437</v>
      </c>
      <c r="Z1233">
        <v>1.8188730000000001E-4</v>
      </c>
      <c r="AA1233">
        <v>0.86079969999999995</v>
      </c>
      <c r="AB1233">
        <v>31</v>
      </c>
      <c r="AC1233">
        <v>10.7013</v>
      </c>
      <c r="AD1233">
        <v>-1.111620419179</v>
      </c>
      <c r="AE1233">
        <v>-15.8066</v>
      </c>
      <c r="AF1233">
        <v>9.7623169734189794</v>
      </c>
      <c r="AG1233">
        <v>-1.111620419179</v>
      </c>
      <c r="AH1233">
        <v>16.3280344246288</v>
      </c>
      <c r="AI1233">
        <v>93.344157902700601</v>
      </c>
      <c r="AJ1233">
        <v>59.125352139969699</v>
      </c>
      <c r="AK1233">
        <v>19.056317609068799</v>
      </c>
      <c r="AL1233">
        <v>78.995645528362502</v>
      </c>
      <c r="AM1233">
        <v>66.756402063350393</v>
      </c>
      <c r="AN1233">
        <v>1.0000000085860801</v>
      </c>
    </row>
    <row r="1234" spans="1:40" x14ac:dyDescent="0.25">
      <c r="A1234" t="str">
        <f>"20190303162803187"</f>
        <v>20190303162803187</v>
      </c>
      <c r="B1234" t="str">
        <f>"1551601683182974"</f>
        <v>1551601683182974</v>
      </c>
      <c r="C1234" t="s">
        <v>40</v>
      </c>
      <c r="D1234">
        <v>4.7490290000000002</v>
      </c>
      <c r="E1234">
        <v>0.58626149999999999</v>
      </c>
      <c r="F1234" t="s">
        <v>41</v>
      </c>
      <c r="G1234">
        <v>-193.5932</v>
      </c>
      <c r="H1234" s="1">
        <v>-4.0367239999999996E-6</v>
      </c>
      <c r="I1234">
        <v>346.976</v>
      </c>
      <c r="J1234">
        <v>-203.4427</v>
      </c>
      <c r="K1234">
        <v>1.111464</v>
      </c>
      <c r="L1234">
        <v>364.17180000000002</v>
      </c>
      <c r="M1234">
        <v>0.90276449999999997</v>
      </c>
      <c r="N1234">
        <v>-1.4838179999999999E-2</v>
      </c>
      <c r="O1234">
        <v>-0.42987950000000003</v>
      </c>
      <c r="P1234">
        <v>0.65214320000000003</v>
      </c>
      <c r="Q1234">
        <v>0.18658189999999999</v>
      </c>
      <c r="R1234">
        <v>-0.73477680000000001</v>
      </c>
      <c r="S1234">
        <v>1.5827789999999999</v>
      </c>
      <c r="T1234">
        <v>-0.17554639999999999</v>
      </c>
      <c r="U1234">
        <v>-2.7295229999999999</v>
      </c>
      <c r="V1234">
        <v>0.38773659999999999</v>
      </c>
      <c r="W1234">
        <v>0.1906987</v>
      </c>
      <c r="X1234">
        <v>0.90182830000000003</v>
      </c>
      <c r="Y1234">
        <v>0.56470500000000001</v>
      </c>
      <c r="Z1234">
        <v>-2.1532500000000002E-3</v>
      </c>
      <c r="AA1234">
        <v>0.82528999999999997</v>
      </c>
      <c r="AB1234">
        <v>31</v>
      </c>
      <c r="AC1234">
        <v>9.8495000000000008</v>
      </c>
      <c r="AD1234">
        <v>-1.111468036724</v>
      </c>
      <c r="AE1234">
        <v>-17.195799999999998</v>
      </c>
      <c r="AF1234">
        <v>11.255494050705099</v>
      </c>
      <c r="AG1234">
        <v>-1.111468036724</v>
      </c>
      <c r="AH1234">
        <v>16.234621303574901</v>
      </c>
      <c r="AI1234">
        <v>93.220260708463101</v>
      </c>
      <c r="AJ1234">
        <v>55.266356175621098</v>
      </c>
      <c r="AK1234">
        <v>19.7859656421567</v>
      </c>
      <c r="AL1234">
        <v>79.006437378414901</v>
      </c>
      <c r="AM1234">
        <v>66.734953073151303</v>
      </c>
      <c r="AN1234">
        <v>0.99999997392106899</v>
      </c>
    </row>
    <row r="1235" spans="1:40" x14ac:dyDescent="0.25">
      <c r="A1235" t="str">
        <f>"20190303162803202"</f>
        <v>20190303162803202</v>
      </c>
      <c r="B1235" t="str">
        <f>"1551601683192734"</f>
        <v>1551601683192734</v>
      </c>
      <c r="C1235" t="s">
        <v>40</v>
      </c>
      <c r="D1235">
        <v>4.7752879999999998</v>
      </c>
      <c r="E1235">
        <v>0.58634350000000002</v>
      </c>
      <c r="F1235" t="s">
        <v>41</v>
      </c>
      <c r="G1235">
        <v>-194.54429999999999</v>
      </c>
      <c r="H1235" s="1">
        <v>-4.72486E-6</v>
      </c>
      <c r="I1235">
        <v>348.50229999999999</v>
      </c>
      <c r="J1235">
        <v>-203.25450000000001</v>
      </c>
      <c r="K1235">
        <v>1.1112919999999999</v>
      </c>
      <c r="L1235">
        <v>364.07350000000002</v>
      </c>
      <c r="M1235">
        <v>0.89909459999999997</v>
      </c>
      <c r="N1235">
        <v>-1.486988E-2</v>
      </c>
      <c r="O1235">
        <v>-0.4375019</v>
      </c>
      <c r="P1235">
        <v>0.64518369999999903</v>
      </c>
      <c r="Q1235">
        <v>0.1870095</v>
      </c>
      <c r="R1235">
        <v>-0.74078719999999998</v>
      </c>
      <c r="S1235">
        <v>1.560257</v>
      </c>
      <c r="T1235">
        <v>-0.1948858</v>
      </c>
      <c r="U1235">
        <v>-2.7474980000000002</v>
      </c>
      <c r="V1235">
        <v>0.3886057</v>
      </c>
      <c r="W1235">
        <v>0.1909739</v>
      </c>
      <c r="X1235">
        <v>0.90139590000000003</v>
      </c>
      <c r="Y1235">
        <v>0.56507629999999998</v>
      </c>
      <c r="Z1235">
        <v>-8.4121710000000004E-4</v>
      </c>
      <c r="AA1235">
        <v>0.8250383</v>
      </c>
      <c r="AB1235">
        <v>31</v>
      </c>
      <c r="AC1235">
        <v>8.7102000000000093</v>
      </c>
      <c r="AD1235">
        <v>-1.1112967248600001</v>
      </c>
      <c r="AE1235">
        <v>-15.571199999999999</v>
      </c>
      <c r="AF1235">
        <v>10.1509973987687</v>
      </c>
      <c r="AG1235">
        <v>-1.1112967248600001</v>
      </c>
      <c r="AH1235">
        <v>14.5887437439366</v>
      </c>
      <c r="AI1235">
        <v>93.577919466250407</v>
      </c>
      <c r="AJ1235">
        <v>55.169407940311899</v>
      </c>
      <c r="AK1235">
        <v>17.8075594236476</v>
      </c>
      <c r="AL1235">
        <v>78.990374601369496</v>
      </c>
      <c r="AM1235">
        <v>66.678379451907404</v>
      </c>
      <c r="AN1235">
        <v>0.99999999454525501</v>
      </c>
    </row>
    <row r="1236" spans="1:40" x14ac:dyDescent="0.25">
      <c r="A1236" t="str">
        <f>"20190303162803217"</f>
        <v>20190303162803217</v>
      </c>
      <c r="B1236" t="str">
        <f>"1551601683202494"</f>
        <v>1551601683202494</v>
      </c>
      <c r="C1236" t="s">
        <v>40</v>
      </c>
      <c r="D1236">
        <v>4.7693310000000002</v>
      </c>
      <c r="E1236">
        <v>0.58620890000000003</v>
      </c>
      <c r="F1236" t="s">
        <v>41</v>
      </c>
      <c r="G1236">
        <v>-194.66309999999999</v>
      </c>
      <c r="H1236" s="1">
        <v>-4.783677E-6</v>
      </c>
      <c r="I1236">
        <v>348.61320000000001</v>
      </c>
      <c r="J1236">
        <v>-203.07400000000001</v>
      </c>
      <c r="K1236">
        <v>1.111129</v>
      </c>
      <c r="L1236">
        <v>363.97680000000003</v>
      </c>
      <c r="M1236">
        <v>0.89542069999999996</v>
      </c>
      <c r="N1236">
        <v>-1.490349E-2</v>
      </c>
      <c r="O1236">
        <v>-0.44497189999999998</v>
      </c>
      <c r="P1236">
        <v>0.63662019999999997</v>
      </c>
      <c r="Q1236">
        <v>0.18681970000000001</v>
      </c>
      <c r="R1236">
        <v>-0.748206699999999</v>
      </c>
      <c r="S1236">
        <v>1.5352939999999999</v>
      </c>
      <c r="T1236">
        <v>-0.19859060000000001</v>
      </c>
      <c r="U1236">
        <v>-2.7627869999999999</v>
      </c>
      <c r="V1236">
        <v>0.39158579999999998</v>
      </c>
      <c r="W1236">
        <v>0.190577</v>
      </c>
      <c r="X1236">
        <v>0.90018940000000003</v>
      </c>
      <c r="Y1236">
        <v>0.565832</v>
      </c>
      <c r="Z1236">
        <v>-2.7149360000000003E-4</v>
      </c>
      <c r="AA1236">
        <v>0.82452049999999999</v>
      </c>
      <c r="AB1236">
        <v>31</v>
      </c>
      <c r="AC1236">
        <v>8.4109000000000194</v>
      </c>
      <c r="AD1236">
        <v>-1.1111337836769899</v>
      </c>
      <c r="AE1236">
        <v>-15.3636</v>
      </c>
      <c r="AF1236">
        <v>9.9752376574740005</v>
      </c>
      <c r="AG1236">
        <v>-1.1111337836769899</v>
      </c>
      <c r="AH1236">
        <v>14.3116619257108</v>
      </c>
      <c r="AI1236">
        <v>93.644441905172897</v>
      </c>
      <c r="AJ1236">
        <v>55.123478047513103</v>
      </c>
      <c r="AK1236">
        <v>17.4803790486406</v>
      </c>
      <c r="AL1236">
        <v>79.013540764849296</v>
      </c>
      <c r="AM1236">
        <v>66.490777215724407</v>
      </c>
      <c r="AN1236">
        <v>0.99999999378149995</v>
      </c>
    </row>
    <row r="1237" spans="1:40" x14ac:dyDescent="0.25">
      <c r="A1237" t="str">
        <f>"20190303162803231"</f>
        <v>20190303162803231</v>
      </c>
      <c r="B1237" t="str">
        <f>"1551601683222522"</f>
        <v>1551601683222522</v>
      </c>
      <c r="C1237" t="s">
        <v>40</v>
      </c>
      <c r="D1237">
        <v>4.8514470000000003</v>
      </c>
      <c r="E1237">
        <v>0.58585699999999996</v>
      </c>
      <c r="F1237" t="s">
        <v>41</v>
      </c>
      <c r="G1237">
        <v>-194.89500000000001</v>
      </c>
      <c r="H1237" s="1">
        <v>-4.9190919999999998E-6</v>
      </c>
      <c r="I1237">
        <v>348.89030000000002</v>
      </c>
      <c r="J1237">
        <v>-202.89400000000001</v>
      </c>
      <c r="K1237">
        <v>1.110968</v>
      </c>
      <c r="L1237">
        <v>363.8784</v>
      </c>
      <c r="M1237">
        <v>0.89162790000000003</v>
      </c>
      <c r="N1237">
        <v>-1.493703E-2</v>
      </c>
      <c r="O1237">
        <v>-0.4525228</v>
      </c>
      <c r="P1237">
        <v>0.62944500000000003</v>
      </c>
      <c r="Q1237">
        <v>0.1853407</v>
      </c>
      <c r="R1237">
        <v>-0.75461780000000001</v>
      </c>
      <c r="S1237">
        <v>1.506516</v>
      </c>
      <c r="T1237">
        <v>-0.2046617</v>
      </c>
      <c r="U1237">
        <v>-2.7788089999999999</v>
      </c>
      <c r="V1237">
        <v>0.3929376</v>
      </c>
      <c r="W1237">
        <v>0.1889477</v>
      </c>
      <c r="X1237">
        <v>0.89994379999999996</v>
      </c>
      <c r="Y1237">
        <v>0.56742840000000005</v>
      </c>
      <c r="Z1237">
        <v>4.1806139999999998E-4</v>
      </c>
      <c r="AA1237">
        <v>0.8234226</v>
      </c>
      <c r="AB1237">
        <v>31</v>
      </c>
      <c r="AC1237">
        <v>7.9989999999999899</v>
      </c>
      <c r="AD1237">
        <v>-1.1109729190919999</v>
      </c>
      <c r="AE1237">
        <v>-14.9880999999999</v>
      </c>
      <c r="AF1237">
        <v>9.7036679898979692</v>
      </c>
      <c r="AG1237">
        <v>-1.1109729190919999</v>
      </c>
      <c r="AH1237">
        <v>13.8568825123974</v>
      </c>
      <c r="AI1237">
        <v>93.757400931881804</v>
      </c>
      <c r="AJ1237">
        <v>54.997296611556898</v>
      </c>
      <c r="AK1237">
        <v>16.953130278727599</v>
      </c>
      <c r="AL1237">
        <v>79.108620638562002</v>
      </c>
      <c r="AM1237">
        <v>66.412734649545499</v>
      </c>
      <c r="AN1237">
        <v>1.00000001699374</v>
      </c>
    </row>
    <row r="1238" spans="1:40" x14ac:dyDescent="0.25">
      <c r="A1238" t="str">
        <f>"20190303162803243"</f>
        <v>20190303162803243</v>
      </c>
      <c r="B1238" t="str">
        <f>"1551601683232284"</f>
        <v>1551601683232284</v>
      </c>
      <c r="C1238" t="s">
        <v>40</v>
      </c>
      <c r="D1238">
        <v>4.8594860000000004</v>
      </c>
      <c r="E1238">
        <v>0.58566019999999996</v>
      </c>
      <c r="F1238" t="s">
        <v>41</v>
      </c>
      <c r="G1238">
        <v>-195.11369999999999</v>
      </c>
      <c r="H1238" s="1">
        <v>-5.0721330000000004E-6</v>
      </c>
      <c r="I1238">
        <v>349.226</v>
      </c>
      <c r="J1238">
        <v>-202.7517</v>
      </c>
      <c r="K1238">
        <v>1.1108389999999999</v>
      </c>
      <c r="L1238">
        <v>363.79969999999997</v>
      </c>
      <c r="M1238">
        <v>0.88854889999999997</v>
      </c>
      <c r="N1238">
        <v>-1.4962990000000001E-2</v>
      </c>
      <c r="O1238">
        <v>-0.45853820000000001</v>
      </c>
      <c r="P1238">
        <v>0.62355830000000001</v>
      </c>
      <c r="Q1238">
        <v>0.18354590000000001</v>
      </c>
      <c r="R1238">
        <v>-0.75992519999999997</v>
      </c>
      <c r="S1238">
        <v>1.482086</v>
      </c>
      <c r="T1238">
        <v>-0.21163280000000001</v>
      </c>
      <c r="U1238">
        <v>-2.7911990000000002</v>
      </c>
      <c r="V1238">
        <v>0.39425139999999997</v>
      </c>
      <c r="W1238">
        <v>0.18702849999999999</v>
      </c>
      <c r="X1238">
        <v>0.89977009999999902</v>
      </c>
      <c r="Y1238">
        <v>0.56896409999999997</v>
      </c>
      <c r="Z1238">
        <v>1.1029220000000001E-3</v>
      </c>
      <c r="AA1238">
        <v>0.82236160000000003</v>
      </c>
      <c r="AB1238">
        <v>31</v>
      </c>
      <c r="AC1238">
        <v>7.6379999999999999</v>
      </c>
      <c r="AD1238">
        <v>-1.110844072133</v>
      </c>
      <c r="AE1238">
        <v>-14.573699999999899</v>
      </c>
      <c r="AF1238">
        <v>9.4053178504031791</v>
      </c>
      <c r="AG1238">
        <v>-1.110844072133</v>
      </c>
      <c r="AH1238">
        <v>13.4097201253285</v>
      </c>
      <c r="AI1238">
        <v>93.879864597514597</v>
      </c>
      <c r="AJ1238">
        <v>54.954924398176203</v>
      </c>
      <c r="AK1238">
        <v>16.416898984258399</v>
      </c>
      <c r="AL1238">
        <v>79.220578920391802</v>
      </c>
      <c r="AM1238">
        <v>66.338455500680197</v>
      </c>
      <c r="AN1238">
        <v>1.0000000295341001</v>
      </c>
    </row>
    <row r="1239" spans="1:40" x14ac:dyDescent="0.25">
      <c r="A1239" t="str">
        <f>"20190303162803255"</f>
        <v>20190303162803255</v>
      </c>
      <c r="B1239" t="str">
        <f>"1551601683243020"</f>
        <v>1551601683243020</v>
      </c>
      <c r="C1239" t="s">
        <v>40</v>
      </c>
      <c r="D1239">
        <v>4.822254</v>
      </c>
      <c r="E1239">
        <v>0.58521060000000003</v>
      </c>
      <c r="F1239" t="s">
        <v>41</v>
      </c>
      <c r="G1239">
        <v>-195.2637</v>
      </c>
      <c r="H1239" s="1">
        <v>-5.1748370000000004E-6</v>
      </c>
      <c r="I1239">
        <v>349.44959999999998</v>
      </c>
      <c r="J1239">
        <v>-202.6044</v>
      </c>
      <c r="K1239">
        <v>1.110716</v>
      </c>
      <c r="L1239">
        <v>363.71589999999998</v>
      </c>
      <c r="M1239">
        <v>0.88523580000000002</v>
      </c>
      <c r="N1239">
        <v>-1.499084E-2</v>
      </c>
      <c r="O1239">
        <v>-0.46490090000000001</v>
      </c>
      <c r="P1239">
        <v>0.61754509999999996</v>
      </c>
      <c r="Q1239">
        <v>0.18154200000000001</v>
      </c>
      <c r="R1239">
        <v>-0.76529780000000003</v>
      </c>
      <c r="S1239">
        <v>1.461517</v>
      </c>
      <c r="T1239">
        <v>-0.21681539999999999</v>
      </c>
      <c r="U1239">
        <v>-2.8008730000000002</v>
      </c>
      <c r="V1239">
        <v>0.3953178</v>
      </c>
      <c r="W1239">
        <v>0.1849141</v>
      </c>
      <c r="X1239">
        <v>0.89973919999999996</v>
      </c>
      <c r="Y1239">
        <v>0.56895569999999995</v>
      </c>
      <c r="Z1239">
        <v>1.8103119999999999E-3</v>
      </c>
      <c r="AA1239">
        <v>0.82236620000000005</v>
      </c>
      <c r="AB1239">
        <v>31</v>
      </c>
      <c r="AC1239">
        <v>7.3406999999999902</v>
      </c>
      <c r="AD1239">
        <v>-1.1107211748370001</v>
      </c>
      <c r="AE1239">
        <v>-14.266299999999999</v>
      </c>
      <c r="AF1239">
        <v>9.1734119171074102</v>
      </c>
      <c r="AG1239">
        <v>-1.1107211748370001</v>
      </c>
      <c r="AH1239">
        <v>13.069503758420399</v>
      </c>
      <c r="AI1239">
        <v>93.979144727904796</v>
      </c>
      <c r="AJ1239">
        <v>54.935196994301897</v>
      </c>
      <c r="AK1239">
        <v>16.0061586965932</v>
      </c>
      <c r="AL1239">
        <v>79.343875799707206</v>
      </c>
      <c r="AM1239">
        <v>66.280786784402295</v>
      </c>
      <c r="AN1239">
        <v>1.0000000076961399</v>
      </c>
    </row>
    <row r="1240" spans="1:40" x14ac:dyDescent="0.25">
      <c r="A1240" t="str">
        <f>"20190303162803271"</f>
        <v>20190303162803271</v>
      </c>
      <c r="B1240" t="str">
        <f>"1551601683262538"</f>
        <v>1551601683262538</v>
      </c>
      <c r="C1240" t="s">
        <v>40</v>
      </c>
      <c r="D1240">
        <v>4.8739929999999996</v>
      </c>
      <c r="E1240">
        <v>0.58404400000000001</v>
      </c>
      <c r="F1240" t="s">
        <v>46</v>
      </c>
      <c r="G1240">
        <v>-195.4239</v>
      </c>
      <c r="H1240" s="1">
        <v>-1.513041E-6</v>
      </c>
      <c r="I1240">
        <v>349.72070000000002</v>
      </c>
      <c r="J1240">
        <v>-202.4051</v>
      </c>
      <c r="K1240">
        <v>1.1105430000000001</v>
      </c>
      <c r="L1240">
        <v>363.60079999999999</v>
      </c>
      <c r="M1240">
        <v>0.88062129999999905</v>
      </c>
      <c r="N1240">
        <v>-1.5026919999999999E-2</v>
      </c>
      <c r="O1240">
        <v>-0.47358289999999997</v>
      </c>
      <c r="P1240">
        <v>0.60852629999999996</v>
      </c>
      <c r="Q1240">
        <v>0.1766334</v>
      </c>
      <c r="R1240">
        <v>-0.77362580000000003</v>
      </c>
      <c r="S1240">
        <v>1.4415439999999999</v>
      </c>
      <c r="T1240">
        <v>-0.22298599999999999</v>
      </c>
      <c r="U1240">
        <v>-2.8096619999999999</v>
      </c>
      <c r="V1240">
        <v>0.39796740000000003</v>
      </c>
      <c r="W1240">
        <v>0.17982579999999901</v>
      </c>
      <c r="X1240">
        <v>0.89960249999999997</v>
      </c>
      <c r="Y1240">
        <v>0.56652519999999995</v>
      </c>
      <c r="Z1240">
        <v>2.8836949999999999E-3</v>
      </c>
      <c r="AA1240">
        <v>0.82403930000000003</v>
      </c>
      <c r="AB1240">
        <v>31</v>
      </c>
      <c r="AC1240">
        <v>6.9812000000000003</v>
      </c>
      <c r="AD1240">
        <v>-1.1105445130410001</v>
      </c>
      <c r="AE1240">
        <v>-13.880099999999899</v>
      </c>
      <c r="AF1240">
        <v>8.8726086130960198</v>
      </c>
      <c r="AG1240">
        <v>-1.1105445130410001</v>
      </c>
      <c r="AH1240">
        <v>12.657934388464501</v>
      </c>
      <c r="AI1240">
        <v>94.109251750191504</v>
      </c>
      <c r="AJ1240">
        <v>54.9713756884099</v>
      </c>
      <c r="AK1240">
        <v>15.497735179673899</v>
      </c>
      <c r="AL1240">
        <v>79.640386829887206</v>
      </c>
      <c r="AM1240">
        <v>66.136293490421295</v>
      </c>
      <c r="AN1240">
        <v>1.00000001390732</v>
      </c>
    </row>
    <row r="1241" spans="1:40" x14ac:dyDescent="0.25">
      <c r="A1241" t="str">
        <f>"20190303162803284"</f>
        <v>20190303162803284</v>
      </c>
      <c r="B1241" t="str">
        <f>"1551601683272299"</f>
        <v>1551601683272299</v>
      </c>
      <c r="C1241" t="s">
        <v>40</v>
      </c>
      <c r="D1241">
        <v>4.8730830000000003</v>
      </c>
      <c r="E1241">
        <v>0.58359749999999999</v>
      </c>
      <c r="F1241" t="s">
        <v>46</v>
      </c>
      <c r="G1241">
        <v>-195.81489999999999</v>
      </c>
      <c r="H1241" s="1">
        <v>-2.055213E-6</v>
      </c>
      <c r="I1241">
        <v>350.46089999999998</v>
      </c>
      <c r="J1241">
        <v>-202.24979999999999</v>
      </c>
      <c r="K1241">
        <v>1.110425</v>
      </c>
      <c r="L1241">
        <v>363.5095</v>
      </c>
      <c r="M1241">
        <v>0.87691589999999997</v>
      </c>
      <c r="N1241">
        <v>-1.505393E-2</v>
      </c>
      <c r="O1241">
        <v>-0.48040840000000001</v>
      </c>
      <c r="P1241">
        <v>0.60160239999999998</v>
      </c>
      <c r="Q1241">
        <v>0.1743828</v>
      </c>
      <c r="R1241">
        <v>-0.77952909999999997</v>
      </c>
      <c r="S1241">
        <v>1.4142459999999999</v>
      </c>
      <c r="T1241">
        <v>-0.2383237</v>
      </c>
      <c r="U1241">
        <v>-2.8198240000000001</v>
      </c>
      <c r="V1241">
        <v>0.39943830000000002</v>
      </c>
      <c r="W1241">
        <v>0.1774541</v>
      </c>
      <c r="X1241">
        <v>0.89942160000000004</v>
      </c>
      <c r="Y1241">
        <v>0.56760849999999996</v>
      </c>
      <c r="Z1241">
        <v>4.3067409999999898E-3</v>
      </c>
      <c r="AA1241">
        <v>0.8232874</v>
      </c>
      <c r="AB1241">
        <v>31</v>
      </c>
      <c r="AC1241">
        <v>6.4348999999999901</v>
      </c>
      <c r="AD1241">
        <v>-1.110427055213</v>
      </c>
      <c r="AE1241">
        <v>-13.0486</v>
      </c>
      <c r="AF1241">
        <v>8.3037187455328407</v>
      </c>
      <c r="AG1241">
        <v>-1.110427055213</v>
      </c>
      <c r="AH1241">
        <v>11.8438777717887</v>
      </c>
      <c r="AI1241">
        <v>94.389858932728004</v>
      </c>
      <c r="AJ1241">
        <v>54.965780470903802</v>
      </c>
      <c r="AK1241">
        <v>14.507316565200201</v>
      </c>
      <c r="AL1241">
        <v>79.778497346799597</v>
      </c>
      <c r="AM1241">
        <v>66.053718099246296</v>
      </c>
      <c r="AN1241">
        <v>1.0000000638301201</v>
      </c>
    </row>
    <row r="1242" spans="1:40" x14ac:dyDescent="0.25">
      <c r="A1242" t="str">
        <f>"20190303162803305"</f>
        <v>20190303162803305</v>
      </c>
      <c r="B1242" t="str">
        <f>"1551601683292794"</f>
        <v>1551601683292794</v>
      </c>
      <c r="C1242" t="s">
        <v>40</v>
      </c>
      <c r="D1242">
        <v>4.8468159999999996</v>
      </c>
      <c r="E1242">
        <v>0.58287860000000002</v>
      </c>
      <c r="F1242" t="s">
        <v>46</v>
      </c>
      <c r="G1242">
        <v>-195.91679999999999</v>
      </c>
      <c r="H1242" s="1">
        <v>-2.1762029999999999E-6</v>
      </c>
      <c r="I1242">
        <v>350.61950000000002</v>
      </c>
      <c r="J1242">
        <v>-202.0025</v>
      </c>
      <c r="K1242">
        <v>1.110255</v>
      </c>
      <c r="L1242">
        <v>363.36</v>
      </c>
      <c r="M1242">
        <v>0.87077269999999896</v>
      </c>
      <c r="N1242">
        <v>-1.509608E-2</v>
      </c>
      <c r="O1242">
        <v>-0.49145420000000001</v>
      </c>
      <c r="P1242">
        <v>0.58963100000000002</v>
      </c>
      <c r="Q1242">
        <v>0.170617299999999</v>
      </c>
      <c r="R1242">
        <v>-0.78944609999999904</v>
      </c>
      <c r="S1242">
        <v>1.3903810000000001</v>
      </c>
      <c r="T1242">
        <v>-0.2437887</v>
      </c>
      <c r="U1242">
        <v>-2.8299259999999999</v>
      </c>
      <c r="V1242">
        <v>0.40248919999999999</v>
      </c>
      <c r="W1242">
        <v>0.173486</v>
      </c>
      <c r="X1242">
        <v>0.89883539999999995</v>
      </c>
      <c r="Y1242">
        <v>0.56395260000000003</v>
      </c>
      <c r="Z1242">
        <v>5.6988749999999999E-3</v>
      </c>
      <c r="AA1242">
        <v>0.82578750000000001</v>
      </c>
      <c r="AB1242">
        <v>31</v>
      </c>
      <c r="AC1242">
        <v>6.0857000000000001</v>
      </c>
      <c r="AD1242">
        <v>-1.110257176203</v>
      </c>
      <c r="AE1242">
        <v>-12.7404999999999</v>
      </c>
      <c r="AF1242">
        <v>8.0543571617038694</v>
      </c>
      <c r="AG1242">
        <v>-1.110257176203</v>
      </c>
      <c r="AH1242">
        <v>11.4908986669803</v>
      </c>
      <c r="AI1242">
        <v>94.523814501351893</v>
      </c>
      <c r="AJ1242">
        <v>54.972094675835002</v>
      </c>
      <c r="AK1242">
        <v>14.076437491795</v>
      </c>
      <c r="AL1242">
        <v>80.009435428632599</v>
      </c>
      <c r="AM1242">
        <v>65.877658202287094</v>
      </c>
      <c r="AN1242">
        <v>1.00000001230289</v>
      </c>
    </row>
    <row r="1243" spans="1:40" x14ac:dyDescent="0.25">
      <c r="A1243" t="str">
        <f>"20190303162803320"</f>
        <v>20190303162803320</v>
      </c>
      <c r="B1243" t="str">
        <f>"1551601683312822"</f>
        <v>1551601683312822</v>
      </c>
      <c r="C1243" t="s">
        <v>40</v>
      </c>
      <c r="D1243">
        <v>4.9038469999999998</v>
      </c>
      <c r="E1243">
        <v>0.58221979999999995</v>
      </c>
      <c r="F1243" t="s">
        <v>46</v>
      </c>
      <c r="G1243">
        <v>-196.0376</v>
      </c>
      <c r="H1243" s="1">
        <v>-2.3038869999999999E-6</v>
      </c>
      <c r="I1243">
        <v>350.78089999999997</v>
      </c>
      <c r="J1243">
        <v>-201.81659999999999</v>
      </c>
      <c r="K1243">
        <v>1.1101319999999999</v>
      </c>
      <c r="L1243">
        <v>363.24470000000002</v>
      </c>
      <c r="M1243">
        <v>0.86597000000000002</v>
      </c>
      <c r="N1243">
        <v>-1.512641E-2</v>
      </c>
      <c r="O1243">
        <v>-0.49986720000000001</v>
      </c>
      <c r="P1243">
        <v>0.5809917</v>
      </c>
      <c r="Q1243">
        <v>0.16946729999999999</v>
      </c>
      <c r="R1243">
        <v>-0.79607119999999998</v>
      </c>
      <c r="S1243">
        <v>1.3497159999999999</v>
      </c>
      <c r="T1243">
        <v>-0.25122460000000002</v>
      </c>
      <c r="U1243">
        <v>-2.8463440000000002</v>
      </c>
      <c r="V1243">
        <v>0.40380709999999997</v>
      </c>
      <c r="W1243">
        <v>0.17221929999999999</v>
      </c>
      <c r="X1243">
        <v>0.89848779999999995</v>
      </c>
      <c r="Y1243">
        <v>0.56737769999999899</v>
      </c>
      <c r="Z1243">
        <v>6.7110579999999998E-3</v>
      </c>
      <c r="AA1243">
        <v>0.82343040000000001</v>
      </c>
      <c r="AB1243">
        <v>31</v>
      </c>
      <c r="AC1243">
        <v>5.7789999999999901</v>
      </c>
      <c r="AD1243">
        <v>-1.110134303887</v>
      </c>
      <c r="AE1243">
        <v>-12.463800000000001</v>
      </c>
      <c r="AF1243">
        <v>7.8541647816702698</v>
      </c>
      <c r="AG1243">
        <v>-1.110134303887</v>
      </c>
      <c r="AH1243">
        <v>11.1630812518806</v>
      </c>
      <c r="AI1243">
        <v>94.649798891547903</v>
      </c>
      <c r="AJ1243">
        <v>54.870396211864403</v>
      </c>
      <c r="AK1243">
        <v>13.6943304190597</v>
      </c>
      <c r="AL1243">
        <v>80.083120953775094</v>
      </c>
      <c r="AM1243">
        <v>65.799433816590295</v>
      </c>
      <c r="AN1243">
        <v>0.99999999402587003</v>
      </c>
    </row>
    <row r="1244" spans="1:40" x14ac:dyDescent="0.25">
      <c r="A1244" t="str">
        <f>"20190303162803334"</f>
        <v>20190303162803334</v>
      </c>
      <c r="B1244" t="str">
        <f>"1551601683322582"</f>
        <v>1551601683322582</v>
      </c>
      <c r="C1244" t="s">
        <v>40</v>
      </c>
      <c r="D1244">
        <v>4.9215799999999996</v>
      </c>
      <c r="E1244">
        <v>0.58201559999999997</v>
      </c>
      <c r="F1244" t="s">
        <v>46</v>
      </c>
      <c r="G1244">
        <v>-195.95339999999999</v>
      </c>
      <c r="H1244" s="1">
        <v>-2.1569289999999998E-6</v>
      </c>
      <c r="I1244">
        <v>350.57049999999998</v>
      </c>
      <c r="J1244">
        <v>-201.65989999999999</v>
      </c>
      <c r="K1244">
        <v>1.110042</v>
      </c>
      <c r="L1244">
        <v>363.14519999999999</v>
      </c>
      <c r="M1244">
        <v>0.86178949999999999</v>
      </c>
      <c r="N1244">
        <v>-1.515126E-2</v>
      </c>
      <c r="O1244">
        <v>-0.50703999999999905</v>
      </c>
      <c r="P1244">
        <v>0.57344349999999999</v>
      </c>
      <c r="Q1244">
        <v>0.16814179999999901</v>
      </c>
      <c r="R1244">
        <v>-0.80180490000000004</v>
      </c>
      <c r="S1244">
        <v>1.3217620000000001</v>
      </c>
      <c r="T1244">
        <v>-0.2502607</v>
      </c>
      <c r="U1244">
        <v>-2.8571780000000002</v>
      </c>
      <c r="V1244">
        <v>0.40507919999999997</v>
      </c>
      <c r="W1244">
        <v>0.17079539999999999</v>
      </c>
      <c r="X1244">
        <v>0.89818690000000001</v>
      </c>
      <c r="Y1244">
        <v>0.56837469999999901</v>
      </c>
      <c r="Z1244">
        <v>7.1631239999999999E-3</v>
      </c>
      <c r="AA1244">
        <v>0.82273859999999999</v>
      </c>
      <c r="AB1244">
        <v>31</v>
      </c>
      <c r="AC1244">
        <v>5.7065000000000001</v>
      </c>
      <c r="AD1244">
        <v>-1.110044156929</v>
      </c>
      <c r="AE1244">
        <v>-12.5747</v>
      </c>
      <c r="AF1244">
        <v>7.8932264231217699</v>
      </c>
      <c r="AG1244">
        <v>-1.110044156929</v>
      </c>
      <c r="AH1244">
        <v>11.2224545312116</v>
      </c>
      <c r="AI1244">
        <v>94.625455608909604</v>
      </c>
      <c r="AJ1244">
        <v>54.8796601378384</v>
      </c>
      <c r="AK1244">
        <v>13.7651264833314</v>
      </c>
      <c r="AL1244">
        <v>80.165931171551307</v>
      </c>
      <c r="AM1244">
        <v>65.724789196221394</v>
      </c>
      <c r="AN1244">
        <v>0.999999967132704</v>
      </c>
    </row>
    <row r="1245" spans="1:40" x14ac:dyDescent="0.25">
      <c r="A1245" t="str">
        <f>"20190303162803351"</f>
        <v>20190303162803351</v>
      </c>
      <c r="B1245" t="str">
        <f>"1551601683343077"</f>
        <v>1551601683343077</v>
      </c>
      <c r="C1245" t="s">
        <v>40</v>
      </c>
      <c r="D1245">
        <v>4.9515209999999996</v>
      </c>
      <c r="E1245">
        <v>0.58128829999999998</v>
      </c>
      <c r="F1245" t="s">
        <v>46</v>
      </c>
      <c r="G1245">
        <v>-195.9341</v>
      </c>
      <c r="H1245" s="1">
        <v>-2.0884120000000001E-6</v>
      </c>
      <c r="I1245">
        <v>350.46339999999998</v>
      </c>
      <c r="J1245">
        <v>-201.4579</v>
      </c>
      <c r="K1245">
        <v>1.1099300000000001</v>
      </c>
      <c r="L1245">
        <v>363.0145</v>
      </c>
      <c r="M1245">
        <v>0.85623709999999997</v>
      </c>
      <c r="N1245">
        <v>-1.51824E-2</v>
      </c>
      <c r="O1245">
        <v>-0.51636029999999999</v>
      </c>
      <c r="P1245">
        <v>0.56319169999999996</v>
      </c>
      <c r="Q1245">
        <v>0.16681379999999901</v>
      </c>
      <c r="R1245">
        <v>-0.80931390000000003</v>
      </c>
      <c r="S1245">
        <v>1.2949679999999999</v>
      </c>
      <c r="T1245">
        <v>-0.25104779999999999</v>
      </c>
      <c r="U1245">
        <v>-2.8681030000000001</v>
      </c>
      <c r="V1245">
        <v>0.40701330000000002</v>
      </c>
      <c r="W1245">
        <v>0.1693289</v>
      </c>
      <c r="X1245">
        <v>0.89759009999999995</v>
      </c>
      <c r="Y1245">
        <v>0.56702240000000004</v>
      </c>
      <c r="Z1245">
        <v>8.0437879999999996E-3</v>
      </c>
      <c r="AA1245">
        <v>0.82366309999999998</v>
      </c>
      <c r="AB1245">
        <v>31</v>
      </c>
      <c r="AC1245">
        <v>5.5237999999999898</v>
      </c>
      <c r="AD1245">
        <v>-1.1099320884120001</v>
      </c>
      <c r="AE1245">
        <v>-12.5511</v>
      </c>
      <c r="AF1245">
        <v>7.8439654530920597</v>
      </c>
      <c r="AG1245">
        <v>-1.1099320884120001</v>
      </c>
      <c r="AH1245">
        <v>11.1388863212981</v>
      </c>
      <c r="AI1245">
        <v>94.657671969260207</v>
      </c>
      <c r="AJ1245">
        <v>54.8469250697352</v>
      </c>
      <c r="AK1245">
        <v>13.6687428737609</v>
      </c>
      <c r="AL1245">
        <v>80.251198257405903</v>
      </c>
      <c r="AM1245">
        <v>65.608027576469993</v>
      </c>
      <c r="AN1245">
        <v>1.0000000451850499</v>
      </c>
    </row>
    <row r="1246" spans="1:40" x14ac:dyDescent="0.25">
      <c r="A1246" t="str">
        <f>"20190303162803366"</f>
        <v>20190303162803366</v>
      </c>
      <c r="B1246" t="str">
        <f>"1551601683352839"</f>
        <v>1551601683352839</v>
      </c>
      <c r="C1246" t="s">
        <v>40</v>
      </c>
      <c r="D1246">
        <v>4.9903269999999997</v>
      </c>
      <c r="E1246">
        <v>0.58088339999999905</v>
      </c>
      <c r="F1246" t="s">
        <v>46</v>
      </c>
      <c r="G1246">
        <v>-195.9025</v>
      </c>
      <c r="H1246" s="1">
        <v>-2.0005409999999998E-6</v>
      </c>
      <c r="I1246">
        <v>350.32920000000001</v>
      </c>
      <c r="J1246">
        <v>-201.29089999999999</v>
      </c>
      <c r="K1246">
        <v>1.1098380000000001</v>
      </c>
      <c r="L1246">
        <v>362.9042</v>
      </c>
      <c r="M1246">
        <v>0.85149710000000001</v>
      </c>
      <c r="N1246">
        <v>-1.520787E-2</v>
      </c>
      <c r="O1246">
        <v>-0.52413900000000002</v>
      </c>
      <c r="P1246">
        <v>0.55531140000000001</v>
      </c>
      <c r="Q1246">
        <v>0.16689419999999999</v>
      </c>
      <c r="R1246">
        <v>-0.81472449999999996</v>
      </c>
      <c r="S1246">
        <v>1.2616419999999999</v>
      </c>
      <c r="T1246">
        <v>-0.25206529999999999</v>
      </c>
      <c r="U1246">
        <v>-2.8808289999999999</v>
      </c>
      <c r="V1246">
        <v>0.40757339999999997</v>
      </c>
      <c r="W1246">
        <v>0.16932559999999999</v>
      </c>
      <c r="X1246">
        <v>0.89733649999999998</v>
      </c>
      <c r="Y1246">
        <v>0.5688455</v>
      </c>
      <c r="Z1246">
        <v>8.6625419999999901E-3</v>
      </c>
      <c r="AA1246">
        <v>0.82239879999999999</v>
      </c>
      <c r="AB1246">
        <v>31</v>
      </c>
      <c r="AC1246">
        <v>5.3883999999999901</v>
      </c>
      <c r="AD1246">
        <v>-1.1098400005409901</v>
      </c>
      <c r="AE1246">
        <v>-12.5749999999999</v>
      </c>
      <c r="AF1246">
        <v>7.8326689512077197</v>
      </c>
      <c r="AG1246">
        <v>-1.1098400005409901</v>
      </c>
      <c r="AH1246">
        <v>11.1074476758809</v>
      </c>
      <c r="AI1246">
        <v>94.668274356683099</v>
      </c>
      <c r="AJ1246">
        <v>54.8095538652044</v>
      </c>
      <c r="AK1246">
        <v>13.6366360074047</v>
      </c>
      <c r="AL1246">
        <v>80.251389803838094</v>
      </c>
      <c r="AM1246">
        <v>65.572283861554297</v>
      </c>
      <c r="AN1246">
        <v>1.00000001471758</v>
      </c>
    </row>
    <row r="1247" spans="1:40" x14ac:dyDescent="0.25">
      <c r="A1247" t="str">
        <f>"20190303162803385"</f>
        <v>20190303162803385</v>
      </c>
      <c r="B1247" t="str">
        <f>"1551601683372358"</f>
        <v>1551601683372358</v>
      </c>
      <c r="C1247" t="s">
        <v>40</v>
      </c>
      <c r="D1247">
        <v>5.006945</v>
      </c>
      <c r="E1247">
        <v>0.58030059999999895</v>
      </c>
      <c r="F1247" t="s">
        <v>46</v>
      </c>
      <c r="G1247">
        <v>-195.79400000000001</v>
      </c>
      <c r="H1247" s="1">
        <v>-1.7980500000000001E-6</v>
      </c>
      <c r="I1247">
        <v>350.03579999999999</v>
      </c>
      <c r="J1247">
        <v>-201.08709999999999</v>
      </c>
      <c r="K1247">
        <v>1.1097300000000001</v>
      </c>
      <c r="L1247">
        <v>362.76650000000001</v>
      </c>
      <c r="M1247">
        <v>0.84551229999999999</v>
      </c>
      <c r="N1247">
        <v>-1.524031E-2</v>
      </c>
      <c r="O1247">
        <v>-0.53373839999999995</v>
      </c>
      <c r="P1247">
        <v>0.54552869999999998</v>
      </c>
      <c r="Q1247">
        <v>0.16798679999999999</v>
      </c>
      <c r="R1247">
        <v>-0.82108400000000004</v>
      </c>
      <c r="S1247">
        <v>1.2350920000000001</v>
      </c>
      <c r="T1247">
        <v>-0.2493715</v>
      </c>
      <c r="U1247">
        <v>-2.8914179999999998</v>
      </c>
      <c r="V1247">
        <v>0.40804299999999999</v>
      </c>
      <c r="W1247">
        <v>0.17031849999999901</v>
      </c>
      <c r="X1247">
        <v>0.89693500000000004</v>
      </c>
      <c r="Y1247">
        <v>0.567048</v>
      </c>
      <c r="Z1247">
        <v>9.3078220000000003E-3</v>
      </c>
      <c r="AA1247">
        <v>0.82363220000000004</v>
      </c>
      <c r="AB1247">
        <v>30</v>
      </c>
      <c r="AC1247">
        <v>5.2930999999999804</v>
      </c>
      <c r="AD1247">
        <v>-1.1097317980500001</v>
      </c>
      <c r="AE1247">
        <v>-12.730700000000001</v>
      </c>
      <c r="AF1247">
        <v>7.8886473403748001</v>
      </c>
      <c r="AG1247">
        <v>-1.1097317980500001</v>
      </c>
      <c r="AH1247">
        <v>11.198999694252899</v>
      </c>
      <c r="AI1247">
        <v>94.631491916836495</v>
      </c>
      <c r="AJ1247">
        <v>54.838887674527399</v>
      </c>
      <c r="AK1247">
        <v>13.743356783416599</v>
      </c>
      <c r="AL1247">
        <v>80.193661553923903</v>
      </c>
      <c r="AM1247">
        <v>65.537768701445401</v>
      </c>
      <c r="AN1247">
        <v>0.99999993775812301</v>
      </c>
    </row>
    <row r="1248" spans="1:40" x14ac:dyDescent="0.25">
      <c r="A1248" t="str">
        <f>"20190303162803399"</f>
        <v>20190303162803399</v>
      </c>
      <c r="B1248" t="str">
        <f>"1551601683383094"</f>
        <v>1551601683383094</v>
      </c>
      <c r="C1248" t="s">
        <v>40</v>
      </c>
      <c r="D1248">
        <v>5.0001360000000004</v>
      </c>
      <c r="E1248">
        <v>0.57988930000000005</v>
      </c>
      <c r="F1248" t="s">
        <v>41</v>
      </c>
      <c r="G1248">
        <v>-195.53030000000001</v>
      </c>
      <c r="H1248" s="1">
        <v>-5.1866880000000003E-6</v>
      </c>
      <c r="I1248">
        <v>349.34550000000002</v>
      </c>
      <c r="J1248">
        <v>-200.9025</v>
      </c>
      <c r="K1248">
        <v>1.109623</v>
      </c>
      <c r="L1248">
        <v>362.63819999999998</v>
      </c>
      <c r="M1248">
        <v>0.83987829999999997</v>
      </c>
      <c r="N1248">
        <v>-1.5271939999999999E-2</v>
      </c>
      <c r="O1248">
        <v>-0.54256000000000004</v>
      </c>
      <c r="P1248">
        <v>0.53689709999999902</v>
      </c>
      <c r="Q1248">
        <v>0.1691415</v>
      </c>
      <c r="R1248">
        <v>-0.82651839999999999</v>
      </c>
      <c r="S1248">
        <v>1.202377</v>
      </c>
      <c r="T1248">
        <v>-0.2401248</v>
      </c>
      <c r="U1248">
        <v>-2.9040530000000002</v>
      </c>
      <c r="V1248">
        <v>0.40792970000000001</v>
      </c>
      <c r="W1248">
        <v>0.17139860000000001</v>
      </c>
      <c r="X1248">
        <v>0.89678080000000004</v>
      </c>
      <c r="Y1248">
        <v>0.56766219999999901</v>
      </c>
      <c r="Z1248">
        <v>9.1635039999999994E-3</v>
      </c>
      <c r="AA1248">
        <v>0.82321060000000001</v>
      </c>
      <c r="AB1248">
        <v>30</v>
      </c>
      <c r="AC1248">
        <v>5.3721999999999897</v>
      </c>
      <c r="AD1248">
        <v>-1.109628186688</v>
      </c>
      <c r="AE1248">
        <v>-13.2926999999999</v>
      </c>
      <c r="AF1248">
        <v>8.2013453108088292</v>
      </c>
      <c r="AG1248">
        <v>-1.109628186688</v>
      </c>
      <c r="AH1248">
        <v>11.655631354002701</v>
      </c>
      <c r="AI1248">
        <v>94.451977828280107</v>
      </c>
      <c r="AJ1248">
        <v>54.868324197085101</v>
      </c>
      <c r="AK1248">
        <v>14.2950019895147</v>
      </c>
      <c r="AL1248">
        <v>80.130853047194705</v>
      </c>
      <c r="AM1248">
        <v>65.540052873593794</v>
      </c>
      <c r="AN1248">
        <v>0.99999996173634398</v>
      </c>
    </row>
    <row r="1249" spans="1:40" x14ac:dyDescent="0.25">
      <c r="A1249" t="str">
        <f>"20190303162803420"</f>
        <v>20190303162803420</v>
      </c>
      <c r="B1249" t="str">
        <f>"1551601683412883"</f>
        <v>1551601683412883</v>
      </c>
      <c r="C1249" t="s">
        <v>40</v>
      </c>
      <c r="D1249">
        <v>5.0089560000000004</v>
      </c>
      <c r="E1249">
        <v>0.57887869999999997</v>
      </c>
      <c r="F1249" t="s">
        <v>41</v>
      </c>
      <c r="G1249">
        <v>-195.3502</v>
      </c>
      <c r="H1249" s="1">
        <v>-4.9870249999999999E-6</v>
      </c>
      <c r="I1249">
        <v>348.8526</v>
      </c>
      <c r="J1249">
        <v>-200.67519999999999</v>
      </c>
      <c r="K1249">
        <v>1.1094900000000001</v>
      </c>
      <c r="L1249">
        <v>362.47649999999999</v>
      </c>
      <c r="M1249">
        <v>0.83268209999999998</v>
      </c>
      <c r="N1249">
        <v>-1.5312299999999999E-2</v>
      </c>
      <c r="O1249">
        <v>-0.55353980000000003</v>
      </c>
      <c r="P1249">
        <v>0.52666769999999996</v>
      </c>
      <c r="Q1249">
        <v>0.17068739999999999</v>
      </c>
      <c r="R1249">
        <v>-0.83275880000000002</v>
      </c>
      <c r="S1249">
        <v>1.174072</v>
      </c>
      <c r="T1249">
        <v>-0.23463870000000001</v>
      </c>
      <c r="U1249">
        <v>-2.9150700000000001</v>
      </c>
      <c r="V1249">
        <v>0.4070474</v>
      </c>
      <c r="W1249">
        <v>0.17287640000000001</v>
      </c>
      <c r="X1249">
        <v>0.89689810000000003</v>
      </c>
      <c r="Y1249">
        <v>0.56485339999999995</v>
      </c>
      <c r="Z1249">
        <v>9.6374140000000004E-3</v>
      </c>
      <c r="AA1249">
        <v>0.82513499999999995</v>
      </c>
      <c r="AB1249">
        <v>30</v>
      </c>
      <c r="AC1249">
        <v>5.3249999999999797</v>
      </c>
      <c r="AD1249">
        <v>-1.1094949870249999</v>
      </c>
      <c r="AE1249">
        <v>-13.6238999999999</v>
      </c>
      <c r="AF1249">
        <v>8.3497245249618892</v>
      </c>
      <c r="AG1249">
        <v>-1.1094949870249999</v>
      </c>
      <c r="AH1249">
        <v>11.908295533358199</v>
      </c>
      <c r="AI1249">
        <v>94.362408845350402</v>
      </c>
      <c r="AJ1249">
        <v>54.963062439776401</v>
      </c>
      <c r="AK1249">
        <v>14.5861708915939</v>
      </c>
      <c r="AL1249">
        <v>80.044898851940204</v>
      </c>
      <c r="AM1249">
        <v>65.589596692235901</v>
      </c>
      <c r="AN1249">
        <v>1.00000001865366</v>
      </c>
    </row>
    <row r="1250" spans="1:40" x14ac:dyDescent="0.25">
      <c r="A1250" t="str">
        <f>"20190303162803441"</f>
        <v>20190303162803441</v>
      </c>
      <c r="B1250" t="str">
        <f>"1551601683432401"</f>
        <v>1551601683432401</v>
      </c>
      <c r="C1250" t="s">
        <v>40</v>
      </c>
      <c r="D1250">
        <v>5.021255</v>
      </c>
      <c r="E1250">
        <v>0.57817669999999999</v>
      </c>
      <c r="F1250" t="s">
        <v>41</v>
      </c>
      <c r="G1250">
        <v>-195.0163</v>
      </c>
      <c r="H1250" s="1">
        <v>-4.6396990000000004E-6</v>
      </c>
      <c r="I1250">
        <v>348.00599999999997</v>
      </c>
      <c r="J1250">
        <v>-200.43860000000001</v>
      </c>
      <c r="K1250">
        <v>1.109334</v>
      </c>
      <c r="L1250">
        <v>362.3032</v>
      </c>
      <c r="M1250">
        <v>0.82485429999999904</v>
      </c>
      <c r="N1250">
        <v>-1.53556E-2</v>
      </c>
      <c r="O1250">
        <v>-0.565137</v>
      </c>
      <c r="P1250">
        <v>0.51709129999999903</v>
      </c>
      <c r="Q1250">
        <v>0.1716686</v>
      </c>
      <c r="R1250">
        <v>-0.83853840000000002</v>
      </c>
      <c r="S1250">
        <v>1.1438900000000001</v>
      </c>
      <c r="T1250">
        <v>-0.224273</v>
      </c>
      <c r="U1250">
        <v>-2.925049</v>
      </c>
      <c r="V1250">
        <v>0.40469430000000001</v>
      </c>
      <c r="W1250">
        <v>0.1738316</v>
      </c>
      <c r="X1250">
        <v>0.89777790000000002</v>
      </c>
      <c r="Y1250">
        <v>0.561702699999999</v>
      </c>
      <c r="Z1250">
        <v>9.6507820000000001E-3</v>
      </c>
      <c r="AA1250">
        <v>0.82728279999999998</v>
      </c>
      <c r="AB1250">
        <v>30</v>
      </c>
      <c r="AC1250">
        <v>5.4222999999999999</v>
      </c>
      <c r="AD1250">
        <v>-1.1093386396989999</v>
      </c>
      <c r="AE1250">
        <v>-14.2972</v>
      </c>
      <c r="AF1250">
        <v>8.6840853330943197</v>
      </c>
      <c r="AG1250">
        <v>-1.1093386396989999</v>
      </c>
      <c r="AH1250">
        <v>12.488232818000499</v>
      </c>
      <c r="AI1250">
        <v>94.171244886185207</v>
      </c>
      <c r="AJ1250">
        <v>55.185965378712503</v>
      </c>
      <c r="AK1250">
        <v>15.2512271377282</v>
      </c>
      <c r="AL1250">
        <v>79.989328675934502</v>
      </c>
      <c r="AM1250">
        <v>65.735420105719996</v>
      </c>
      <c r="AN1250">
        <v>1.00000002966972</v>
      </c>
    </row>
    <row r="1251" spans="1:40" x14ac:dyDescent="0.25">
      <c r="A1251" t="str">
        <f>"20190303162803456"</f>
        <v>20190303162803456</v>
      </c>
      <c r="B1251" t="str">
        <f>"1551601683443138"</f>
        <v>1551601683443138</v>
      </c>
      <c r="C1251" t="s">
        <v>40</v>
      </c>
      <c r="D1251">
        <v>5.0240260000000001</v>
      </c>
      <c r="E1251">
        <v>0.57817669999999999</v>
      </c>
      <c r="F1251" t="s">
        <v>41</v>
      </c>
      <c r="G1251">
        <v>-194.77850000000001</v>
      </c>
      <c r="H1251" s="1">
        <v>-4.3889100000000003E-6</v>
      </c>
      <c r="I1251">
        <v>347.39299999999997</v>
      </c>
      <c r="J1251">
        <v>-200.27690000000001</v>
      </c>
      <c r="K1251">
        <v>1.1092229999999901</v>
      </c>
      <c r="L1251">
        <v>362.18119999999999</v>
      </c>
      <c r="M1251">
        <v>0.81926969999999999</v>
      </c>
      <c r="N1251">
        <v>-1.538787E-2</v>
      </c>
      <c r="O1251">
        <v>-0.57320190000000004</v>
      </c>
      <c r="P1251">
        <v>0.51045759999999996</v>
      </c>
      <c r="Q1251">
        <v>0.1717408</v>
      </c>
      <c r="R1251">
        <v>-0.8425783</v>
      </c>
      <c r="S1251">
        <v>1.1142430000000001</v>
      </c>
      <c r="T1251">
        <v>-0.2183833</v>
      </c>
      <c r="U1251">
        <v>-2.9352109999999998</v>
      </c>
      <c r="V1251">
        <v>0.40300399999999997</v>
      </c>
      <c r="W1251">
        <v>0.17388700000000001</v>
      </c>
      <c r="X1251">
        <v>0.89852719999999897</v>
      </c>
      <c r="Y1251">
        <v>0.56186840000000005</v>
      </c>
      <c r="Z1251">
        <v>9.6244910000000006E-3</v>
      </c>
      <c r="AA1251">
        <v>0.82717070000000004</v>
      </c>
      <c r="AB1251">
        <v>30</v>
      </c>
      <c r="AC1251">
        <v>5.4984000000000002</v>
      </c>
      <c r="AD1251">
        <v>-1.1092273889099999</v>
      </c>
      <c r="AE1251">
        <v>-14.7881999999999</v>
      </c>
      <c r="AF1251">
        <v>8.9207981002048005</v>
      </c>
      <c r="AG1251">
        <v>-1.1092273889099999</v>
      </c>
      <c r="AH1251">
        <v>12.9189774173663</v>
      </c>
      <c r="AI1251">
        <v>94.041389890223897</v>
      </c>
      <c r="AJ1251">
        <v>55.374187818617003</v>
      </c>
      <c r="AK1251">
        <v>15.7388373666973</v>
      </c>
      <c r="AL1251">
        <v>79.986105312897493</v>
      </c>
      <c r="AM1251">
        <v>65.842993150212294</v>
      </c>
      <c r="AN1251">
        <v>1.00000002096241</v>
      </c>
    </row>
    <row r="1252" spans="1:40" x14ac:dyDescent="0.25">
      <c r="A1252" t="str">
        <f>"20190303162803474"</f>
        <v>20190303162803474</v>
      </c>
      <c r="B1252" t="str">
        <f>"1551601683462657"</f>
        <v>1551601683462657</v>
      </c>
      <c r="C1252" t="s">
        <v>40</v>
      </c>
      <c r="D1252">
        <v>4.9788990000000002</v>
      </c>
      <c r="E1252">
        <v>0.56914149999999997</v>
      </c>
      <c r="F1252" t="s">
        <v>41</v>
      </c>
      <c r="G1252">
        <v>-194.71879999999999</v>
      </c>
      <c r="H1252" s="1">
        <v>-4.3040529999999998E-6</v>
      </c>
      <c r="I1252">
        <v>347.1748</v>
      </c>
      <c r="J1252">
        <v>-200.0795</v>
      </c>
      <c r="K1252">
        <v>1.1090819999999999</v>
      </c>
      <c r="L1252">
        <v>362.02910000000003</v>
      </c>
      <c r="M1252">
        <v>0.81221529999999997</v>
      </c>
      <c r="N1252">
        <v>-1.5429180000000001E-2</v>
      </c>
      <c r="O1252">
        <v>-0.58315380000000006</v>
      </c>
      <c r="P1252">
        <v>0.50358309999999995</v>
      </c>
      <c r="Q1252">
        <v>0.17250570000000001</v>
      </c>
      <c r="R1252">
        <v>-0.8465492</v>
      </c>
      <c r="S1252">
        <v>1.0905</v>
      </c>
      <c r="T1252">
        <v>-0.2176293</v>
      </c>
      <c r="U1252">
        <v>-2.9442439999999999</v>
      </c>
      <c r="V1252">
        <v>0.39929880000000001</v>
      </c>
      <c r="W1252">
        <v>0.1746885</v>
      </c>
      <c r="X1252">
        <v>0.90002469999999901</v>
      </c>
      <c r="Y1252">
        <v>0.55848790000000004</v>
      </c>
      <c r="Z1252">
        <v>1.0385109999999999E-2</v>
      </c>
      <c r="AA1252">
        <v>0.82944759999999995</v>
      </c>
      <c r="AB1252">
        <v>30</v>
      </c>
      <c r="AC1252">
        <v>5.3606999999999996</v>
      </c>
      <c r="AD1252">
        <v>-1.1090863040529999</v>
      </c>
      <c r="AE1252">
        <v>-14.8543</v>
      </c>
      <c r="AF1252">
        <v>8.8959626005368104</v>
      </c>
      <c r="AG1252">
        <v>-1.1090863040529999</v>
      </c>
      <c r="AH1252">
        <v>12.954038756522101</v>
      </c>
      <c r="AI1252">
        <v>94.037086676962403</v>
      </c>
      <c r="AJ1252">
        <v>55.521338830123099</v>
      </c>
      <c r="AK1252">
        <v>15.7535819141383</v>
      </c>
      <c r="AL1252">
        <v>79.939469078803498</v>
      </c>
      <c r="AM1252">
        <v>66.075381208373898</v>
      </c>
      <c r="AN1252">
        <v>1.00000003216188</v>
      </c>
    </row>
    <row r="1253" spans="1:40" x14ac:dyDescent="0.25">
      <c r="A1253" t="str">
        <f>"20190303162803488"</f>
        <v>20190303162803488</v>
      </c>
      <c r="B1253" t="str">
        <f>"1551601683483154"</f>
        <v>1551601683483154</v>
      </c>
      <c r="C1253" t="s">
        <v>40</v>
      </c>
      <c r="D1253">
        <v>4.9534820000000002</v>
      </c>
      <c r="E1253">
        <v>0.57077480000000003</v>
      </c>
      <c r="F1253" t="s">
        <v>41</v>
      </c>
      <c r="G1253">
        <v>-194.0341</v>
      </c>
      <c r="H1253" s="1">
        <v>-3.9054690000000003E-6</v>
      </c>
      <c r="I1253">
        <v>346.36040000000003</v>
      </c>
      <c r="J1253">
        <v>-199.92750000000001</v>
      </c>
      <c r="K1253">
        <v>1.108978</v>
      </c>
      <c r="L1253">
        <v>361.90940000000001</v>
      </c>
      <c r="M1253">
        <v>0.80659780000000003</v>
      </c>
      <c r="N1253">
        <v>-1.546235E-2</v>
      </c>
      <c r="O1253">
        <v>-0.59089859999999905</v>
      </c>
      <c r="P1253">
        <v>0.49687140000000002</v>
      </c>
      <c r="Q1253">
        <v>0.17316049999999999</v>
      </c>
      <c r="R1253">
        <v>-0.85037320000000005</v>
      </c>
      <c r="S1253">
        <v>1.125275</v>
      </c>
      <c r="T1253">
        <v>-0.20644319999999999</v>
      </c>
      <c r="U1253">
        <v>-2.916534</v>
      </c>
      <c r="V1253">
        <v>0.39776070000000002</v>
      </c>
      <c r="W1253">
        <v>0.1753247</v>
      </c>
      <c r="X1253">
        <v>0.90058189999999905</v>
      </c>
      <c r="Y1253">
        <v>0.53928859999999901</v>
      </c>
      <c r="Z1253">
        <v>1.061525E-2</v>
      </c>
      <c r="AA1253">
        <v>0.84205409999999903</v>
      </c>
      <c r="AB1253">
        <v>30</v>
      </c>
      <c r="AC1253">
        <v>5.8934000000000104</v>
      </c>
      <c r="AD1253">
        <v>-1.108981905469</v>
      </c>
      <c r="AE1253">
        <v>-15.5489999999999</v>
      </c>
      <c r="AF1253">
        <v>9.0203484426515104</v>
      </c>
      <c r="AG1253">
        <v>-1.108981905469</v>
      </c>
      <c r="AH1253">
        <v>13.881408804111601</v>
      </c>
      <c r="AI1253">
        <v>93.832443315692998</v>
      </c>
      <c r="AJ1253">
        <v>56.983582280932701</v>
      </c>
      <c r="AK1253">
        <v>16.591866600246298</v>
      </c>
      <c r="AL1253">
        <v>79.902446236840206</v>
      </c>
      <c r="AM1253">
        <v>66.170353859287502</v>
      </c>
      <c r="AN1253">
        <v>1.0000000417510899</v>
      </c>
    </row>
    <row r="1254" spans="1:40" x14ac:dyDescent="0.25">
      <c r="A1254" t="str">
        <f>"20190303162803500"</f>
        <v>20190303162803500</v>
      </c>
      <c r="B1254" t="str">
        <f>"1551601683493889"</f>
        <v>1551601683493889</v>
      </c>
      <c r="C1254" t="s">
        <v>40</v>
      </c>
      <c r="D1254">
        <v>4.9436229999999997</v>
      </c>
      <c r="E1254">
        <v>0.57095689999999999</v>
      </c>
      <c r="F1254" t="s">
        <v>41</v>
      </c>
      <c r="G1254">
        <v>-193.57900000000001</v>
      </c>
      <c r="H1254" s="1">
        <v>-3.1948779999999999E-6</v>
      </c>
      <c r="I1254">
        <v>344.81670000000003</v>
      </c>
      <c r="J1254">
        <v>-199.78440000000001</v>
      </c>
      <c r="K1254">
        <v>1.1088709999999999</v>
      </c>
      <c r="L1254">
        <v>361.79450000000003</v>
      </c>
      <c r="M1254">
        <v>0.80114940000000001</v>
      </c>
      <c r="N1254">
        <v>-1.549464E-2</v>
      </c>
      <c r="O1254">
        <v>-0.59826389999999996</v>
      </c>
      <c r="P1254">
        <v>0.490037</v>
      </c>
      <c r="Q1254">
        <v>0.173794</v>
      </c>
      <c r="R1254">
        <v>-0.85420119999999899</v>
      </c>
      <c r="S1254">
        <v>1.08847</v>
      </c>
      <c r="T1254">
        <v>-0.1901398</v>
      </c>
      <c r="U1254">
        <v>-2.930634</v>
      </c>
      <c r="V1254">
        <v>0.39668759999999997</v>
      </c>
      <c r="W1254">
        <v>0.1759279</v>
      </c>
      <c r="X1254">
        <v>0.90093749999999995</v>
      </c>
      <c r="Y1254">
        <v>0.54223509999999997</v>
      </c>
      <c r="Z1254">
        <v>9.081581E-3</v>
      </c>
      <c r="AA1254">
        <v>0.84017770000000003</v>
      </c>
      <c r="AB1254">
        <v>30</v>
      </c>
      <c r="AC1254">
        <v>6.2053999999999903</v>
      </c>
      <c r="AD1254">
        <v>-1.1088741948780001</v>
      </c>
      <c r="AE1254">
        <v>-16.977799999999998</v>
      </c>
      <c r="AF1254">
        <v>9.8533948546571501</v>
      </c>
      <c r="AG1254">
        <v>-1.1088741948780001</v>
      </c>
      <c r="AH1254">
        <v>15.073748700607901</v>
      </c>
      <c r="AI1254">
        <v>93.523534933863203</v>
      </c>
      <c r="AJ1254">
        <v>56.828192862747301</v>
      </c>
      <c r="AK1254">
        <v>18.042640938369502</v>
      </c>
      <c r="AL1254">
        <v>79.867339624116696</v>
      </c>
      <c r="AM1254">
        <v>66.235849662342602</v>
      </c>
      <c r="AN1254">
        <v>1.0000000284492001</v>
      </c>
    </row>
    <row r="1255" spans="1:40" x14ac:dyDescent="0.25">
      <c r="A1255" t="str">
        <f>"20190303162803521"</f>
        <v>20190303162803521</v>
      </c>
      <c r="B1255" t="str">
        <f>"1551601683512940"</f>
        <v>1551601683512940</v>
      </c>
      <c r="C1255" t="s">
        <v>40</v>
      </c>
      <c r="D1255">
        <v>4.9451980000000004</v>
      </c>
      <c r="E1255">
        <v>0.57110850000000002</v>
      </c>
      <c r="F1255" t="s">
        <v>41</v>
      </c>
      <c r="G1255">
        <v>-193.4408</v>
      </c>
      <c r="H1255" s="1">
        <v>-2.9167890000000001E-6</v>
      </c>
      <c r="I1255">
        <v>344.25420000000003</v>
      </c>
      <c r="J1255">
        <v>-199.5667</v>
      </c>
      <c r="K1255">
        <v>1.108717</v>
      </c>
      <c r="L1255">
        <v>361.61500000000001</v>
      </c>
      <c r="M1255">
        <v>0.79253399999999996</v>
      </c>
      <c r="N1255">
        <v>-1.554501E-2</v>
      </c>
      <c r="O1255">
        <v>-0.60962959999999899</v>
      </c>
      <c r="P1255">
        <v>0.47850999999999999</v>
      </c>
      <c r="Q1255">
        <v>0.17392679999999999</v>
      </c>
      <c r="R1255">
        <v>-0.86068440000000002</v>
      </c>
      <c r="S1255">
        <v>1.063248</v>
      </c>
      <c r="T1255">
        <v>-0.18585660000000001</v>
      </c>
      <c r="U1255">
        <v>-2.9399109999999999</v>
      </c>
      <c r="V1255">
        <v>0.39599459999999997</v>
      </c>
      <c r="W1255">
        <v>0.175988899999999</v>
      </c>
      <c r="X1255">
        <v>0.90123030000000004</v>
      </c>
      <c r="Y1255">
        <v>0.53749569999999902</v>
      </c>
      <c r="Z1255">
        <v>9.4145719999999995E-3</v>
      </c>
      <c r="AA1255">
        <v>0.84321389999999996</v>
      </c>
      <c r="AB1255">
        <v>30</v>
      </c>
      <c r="AC1255">
        <v>6.1258999999999997</v>
      </c>
      <c r="AD1255">
        <v>-1.1087199167890001</v>
      </c>
      <c r="AE1255">
        <v>-17.360799999999902</v>
      </c>
      <c r="AF1255">
        <v>9.98947422286742</v>
      </c>
      <c r="AG1255">
        <v>-1.1087199167890001</v>
      </c>
      <c r="AH1255">
        <v>15.3847074553751</v>
      </c>
      <c r="AI1255">
        <v>93.458896616427694</v>
      </c>
      <c r="AJ1255">
        <v>57.0038550515929</v>
      </c>
      <c r="AK1255">
        <v>18.3768353801924</v>
      </c>
      <c r="AL1255">
        <v>79.863788228028497</v>
      </c>
      <c r="AM1255">
        <v>66.279632766744697</v>
      </c>
      <c r="AN1255">
        <v>0.99999993489522698</v>
      </c>
    </row>
    <row r="1256" spans="1:40" x14ac:dyDescent="0.25">
      <c r="A1256" t="str">
        <f>"20190303162803534"</f>
        <v>20190303162803534</v>
      </c>
      <c r="B1256" t="str">
        <f>"1551601683522701"</f>
        <v>1551601683522701</v>
      </c>
      <c r="C1256" t="s">
        <v>40</v>
      </c>
      <c r="D1256">
        <v>4.9378599999999997</v>
      </c>
      <c r="E1256">
        <v>0.57111299999999998</v>
      </c>
      <c r="F1256" t="s">
        <v>41</v>
      </c>
      <c r="G1256">
        <v>-193.4008</v>
      </c>
      <c r="H1256" s="1">
        <v>-2.7102840000000001E-6</v>
      </c>
      <c r="I1256">
        <v>343.79759999999999</v>
      </c>
      <c r="J1256">
        <v>-199.43629999999999</v>
      </c>
      <c r="K1256">
        <v>1.1086240000000001</v>
      </c>
      <c r="L1256">
        <v>361.50439999999998</v>
      </c>
      <c r="M1256">
        <v>0.78716830000000004</v>
      </c>
      <c r="N1256">
        <v>-1.557565E-2</v>
      </c>
      <c r="O1256">
        <v>-0.61654189999999998</v>
      </c>
      <c r="P1256">
        <v>0.47068989999999999</v>
      </c>
      <c r="Q1256">
        <v>0.17306949999999999</v>
      </c>
      <c r="R1256">
        <v>-0.86515779999999998</v>
      </c>
      <c r="S1256">
        <v>1.0223850000000001</v>
      </c>
      <c r="T1256">
        <v>-0.18383939999999999</v>
      </c>
      <c r="U1256">
        <v>-2.9543460000000001</v>
      </c>
      <c r="V1256">
        <v>0.39642359999999999</v>
      </c>
      <c r="W1256">
        <v>0.17506269999999999</v>
      </c>
      <c r="X1256">
        <v>0.90122219999999997</v>
      </c>
      <c r="Y1256">
        <v>0.54180050000000002</v>
      </c>
      <c r="Z1256">
        <v>9.3977130000000002E-3</v>
      </c>
      <c r="AA1256">
        <v>0.84045460000000005</v>
      </c>
      <c r="AB1256">
        <v>30</v>
      </c>
      <c r="AC1256">
        <v>6.0354999999999803</v>
      </c>
      <c r="AD1256">
        <v>-1.1086267102839999</v>
      </c>
      <c r="AE1256">
        <v>-17.706799999999902</v>
      </c>
      <c r="AF1256">
        <v>10.182569091738699</v>
      </c>
      <c r="AG1256">
        <v>-1.1086267102839999</v>
      </c>
      <c r="AH1256">
        <v>15.6149958615041</v>
      </c>
      <c r="AI1256">
        <v>93.403387136699706</v>
      </c>
      <c r="AJ1256">
        <v>56.891551330844898</v>
      </c>
      <c r="AK1256">
        <v>18.6746315156572</v>
      </c>
      <c r="AL1256">
        <v>79.917693493822298</v>
      </c>
      <c r="AM1256">
        <v>66.256586809733506</v>
      </c>
      <c r="AN1256">
        <v>1.0000000366705399</v>
      </c>
    </row>
    <row r="1257" spans="1:40" x14ac:dyDescent="0.25">
      <c r="A1257" t="str">
        <f>"20190303162803551"</f>
        <v>20190303162803551</v>
      </c>
      <c r="B1257" t="str">
        <f>"1551601683542220"</f>
        <v>1551601683542220</v>
      </c>
      <c r="C1257" t="s">
        <v>40</v>
      </c>
      <c r="D1257">
        <v>4.9369779999999999</v>
      </c>
      <c r="E1257">
        <v>0.57090010000000002</v>
      </c>
      <c r="F1257" t="s">
        <v>41</v>
      </c>
      <c r="G1257">
        <v>-193.50710000000001</v>
      </c>
      <c r="H1257" s="1">
        <v>-2.7576940000000001E-6</v>
      </c>
      <c r="I1257">
        <v>343.84219999999999</v>
      </c>
      <c r="J1257">
        <v>-199.2475</v>
      </c>
      <c r="K1257">
        <v>1.1084849999999999</v>
      </c>
      <c r="L1257">
        <v>361.34120000000001</v>
      </c>
      <c r="M1257">
        <v>0.77916209999999997</v>
      </c>
      <c r="N1257">
        <v>-1.561923E-2</v>
      </c>
      <c r="O1257">
        <v>-0.62662790000000002</v>
      </c>
      <c r="P1257">
        <v>0.45909820000000001</v>
      </c>
      <c r="Q1257">
        <v>0.1709184</v>
      </c>
      <c r="R1257">
        <v>-0.87178869999999897</v>
      </c>
      <c r="S1257">
        <v>0.99484249999999996</v>
      </c>
      <c r="T1257">
        <v>-0.18601319999999999</v>
      </c>
      <c r="U1257">
        <v>-2.9635009999999999</v>
      </c>
      <c r="V1257">
        <v>0.39716669999999998</v>
      </c>
      <c r="W1257">
        <v>0.17281160000000001</v>
      </c>
      <c r="X1257">
        <v>0.90132950000000001</v>
      </c>
      <c r="Y1257">
        <v>0.5387826</v>
      </c>
      <c r="Z1257">
        <v>1.0362110000000001E-2</v>
      </c>
      <c r="AA1257">
        <v>0.84238109999999999</v>
      </c>
      <c r="AB1257">
        <v>30</v>
      </c>
      <c r="AC1257">
        <v>5.7403999999999904</v>
      </c>
      <c r="AD1257">
        <v>-1.108487757694</v>
      </c>
      <c r="AE1257">
        <v>-17.498999999999999</v>
      </c>
      <c r="AF1257">
        <v>10.002449891224201</v>
      </c>
      <c r="AG1257">
        <v>-1.108487757694</v>
      </c>
      <c r="AH1257">
        <v>15.384212345846599</v>
      </c>
      <c r="AI1257">
        <v>93.456923070103002</v>
      </c>
      <c r="AJ1257">
        <v>56.969032933744501</v>
      </c>
      <c r="AK1257">
        <v>18.383463722528202</v>
      </c>
      <c r="AL1257">
        <v>80.048668688823597</v>
      </c>
      <c r="AM1257">
        <v>66.219531964832498</v>
      </c>
      <c r="AN1257">
        <v>1.00000005212684</v>
      </c>
    </row>
    <row r="1258" spans="1:40" x14ac:dyDescent="0.25">
      <c r="A1258" t="str">
        <f>"20190303162803565"</f>
        <v>20190303162803565</v>
      </c>
      <c r="B1258" t="str">
        <f>"1551601683552956"</f>
        <v>1551601683552956</v>
      </c>
      <c r="C1258" t="s">
        <v>40</v>
      </c>
      <c r="D1258">
        <v>4.9344479999999997</v>
      </c>
      <c r="E1258">
        <v>0.57076510000000003</v>
      </c>
      <c r="F1258" t="s">
        <v>41</v>
      </c>
      <c r="G1258">
        <v>-193.73230000000001</v>
      </c>
      <c r="H1258" s="1">
        <v>-2.9479109999999999E-6</v>
      </c>
      <c r="I1258">
        <v>344.14589999999998</v>
      </c>
      <c r="J1258">
        <v>-199.11410000000001</v>
      </c>
      <c r="K1258">
        <v>1.1083970000000001</v>
      </c>
      <c r="L1258">
        <v>361.22359999999998</v>
      </c>
      <c r="M1258">
        <v>0.77333689999999999</v>
      </c>
      <c r="N1258">
        <v>-1.564948E-2</v>
      </c>
      <c r="O1258">
        <v>-0.63380239999999999</v>
      </c>
      <c r="P1258">
        <v>0.45052239999999999</v>
      </c>
      <c r="Q1258">
        <v>0.17000460000000001</v>
      </c>
      <c r="R1258">
        <v>-0.87642919999999902</v>
      </c>
      <c r="S1258">
        <v>0.9545593</v>
      </c>
      <c r="T1258">
        <v>-0.19185579999999999</v>
      </c>
      <c r="U1258">
        <v>-2.9761350000000002</v>
      </c>
      <c r="V1258">
        <v>0.39782590000000001</v>
      </c>
      <c r="W1258">
        <v>0.17182239999999999</v>
      </c>
      <c r="X1258">
        <v>0.90122780000000002</v>
      </c>
      <c r="Y1258">
        <v>0.54235059999999902</v>
      </c>
      <c r="Z1258">
        <v>1.140559E-2</v>
      </c>
      <c r="AA1258">
        <v>0.84007489999999996</v>
      </c>
      <c r="AB1258">
        <v>30</v>
      </c>
      <c r="AC1258">
        <v>5.3817999999999904</v>
      </c>
      <c r="AD1258">
        <v>-1.1083999479109901</v>
      </c>
      <c r="AE1258">
        <v>-17.077699999999901</v>
      </c>
      <c r="AF1258">
        <v>9.7596180133428998</v>
      </c>
      <c r="AG1258">
        <v>-1.1083999479109901</v>
      </c>
      <c r="AH1258">
        <v>14.9304526085139</v>
      </c>
      <c r="AI1258">
        <v>93.555760069270903</v>
      </c>
      <c r="AJ1258">
        <v>56.828481026695599</v>
      </c>
      <c r="AK1258">
        <v>17.871684568220701</v>
      </c>
      <c r="AL1258">
        <v>80.106205483812502</v>
      </c>
      <c r="AM1258">
        <v>66.182062427461105</v>
      </c>
      <c r="AN1258">
        <v>0.99999996567270399</v>
      </c>
    </row>
    <row r="1259" spans="1:40" x14ac:dyDescent="0.25">
      <c r="A1259" t="str">
        <f>"20190303162803578"</f>
        <v>20190303162803578</v>
      </c>
      <c r="B1259" t="str">
        <f>"1551601683572476"</f>
        <v>1551601683572476</v>
      </c>
      <c r="C1259" t="s">
        <v>40</v>
      </c>
      <c r="D1259">
        <v>4.9336349999999998</v>
      </c>
      <c r="E1259">
        <v>0.57030119999999995</v>
      </c>
      <c r="F1259" t="s">
        <v>41</v>
      </c>
      <c r="G1259">
        <v>-193.79409999999999</v>
      </c>
      <c r="H1259" s="1">
        <v>-2.9184950000000002E-6</v>
      </c>
      <c r="I1259">
        <v>344.03899999999999</v>
      </c>
      <c r="J1259">
        <v>-198.97450000000001</v>
      </c>
      <c r="K1259">
        <v>1.108312</v>
      </c>
      <c r="L1259">
        <v>361.09739999999999</v>
      </c>
      <c r="M1259">
        <v>0.76704039999999996</v>
      </c>
      <c r="N1259">
        <v>-1.5681460000000001E-2</v>
      </c>
      <c r="O1259">
        <v>-0.64140710000000001</v>
      </c>
      <c r="P1259">
        <v>0.441</v>
      </c>
      <c r="Q1259">
        <v>0.1693945</v>
      </c>
      <c r="R1259">
        <v>-0.88137659999999995</v>
      </c>
      <c r="S1259">
        <v>0.92417910000000003</v>
      </c>
      <c r="T1259">
        <v>-0.19254950000000001</v>
      </c>
      <c r="U1259">
        <v>-2.9852910000000001</v>
      </c>
      <c r="V1259">
        <v>0.39879910000000002</v>
      </c>
      <c r="W1259">
        <v>0.171129</v>
      </c>
      <c r="X1259">
        <v>0.9009296</v>
      </c>
      <c r="Y1259">
        <v>0.54258700000000004</v>
      </c>
      <c r="Z1259">
        <v>1.195411E-2</v>
      </c>
      <c r="AA1259">
        <v>0.83991459999999996</v>
      </c>
      <c r="AB1259">
        <v>30</v>
      </c>
      <c r="AC1259">
        <v>5.1804000000000201</v>
      </c>
      <c r="AD1259">
        <v>-1.1083149184950001</v>
      </c>
      <c r="AE1259">
        <v>-17.058399999999999</v>
      </c>
      <c r="AF1259">
        <v>9.7253498802490892</v>
      </c>
      <c r="AG1259">
        <v>-1.1083149184950001</v>
      </c>
      <c r="AH1259">
        <v>14.8593596744038</v>
      </c>
      <c r="AI1259">
        <v>93.571114596723405</v>
      </c>
      <c r="AJ1259">
        <v>56.795525672519503</v>
      </c>
      <c r="AK1259">
        <v>17.793576430417801</v>
      </c>
      <c r="AL1259">
        <v>80.146532023485094</v>
      </c>
      <c r="AM1259">
        <v>66.1232843167884</v>
      </c>
      <c r="AN1259">
        <v>1.00000000047898</v>
      </c>
    </row>
    <row r="1260" spans="1:40" x14ac:dyDescent="0.25">
      <c r="A1260" t="str">
        <f>"20190303162803598"</f>
        <v>20190303162803598</v>
      </c>
      <c r="B1260" t="str">
        <f>"1551601683582236"</f>
        <v>1551601683582236</v>
      </c>
      <c r="C1260" t="s">
        <v>40</v>
      </c>
      <c r="D1260">
        <v>4.9568050000000001</v>
      </c>
      <c r="E1260">
        <v>0.57000119999999999</v>
      </c>
      <c r="F1260" t="s">
        <v>41</v>
      </c>
      <c r="G1260">
        <v>-193.86709999999999</v>
      </c>
      <c r="H1260" s="1">
        <v>-2.9053540000000002E-6</v>
      </c>
      <c r="I1260">
        <v>343.9631</v>
      </c>
      <c r="J1260">
        <v>-198.78370000000001</v>
      </c>
      <c r="K1260">
        <v>1.1082019999999999</v>
      </c>
      <c r="L1260">
        <v>360.92099999999999</v>
      </c>
      <c r="M1260">
        <v>0.75815540000000003</v>
      </c>
      <c r="N1260">
        <v>-1.5723440000000002E-2</v>
      </c>
      <c r="O1260">
        <v>-0.65188440000000003</v>
      </c>
      <c r="P1260">
        <v>0.42679139999999999</v>
      </c>
      <c r="Q1260">
        <v>0.16859950000000001</v>
      </c>
      <c r="R1260">
        <v>-0.88849529999999999</v>
      </c>
      <c r="S1260">
        <v>0.89257809999999904</v>
      </c>
      <c r="T1260">
        <v>-0.19368850000000001</v>
      </c>
      <c r="U1260">
        <v>-2.9943849999999999</v>
      </c>
      <c r="V1260">
        <v>0.40102480000000001</v>
      </c>
      <c r="W1260">
        <v>0.1701898</v>
      </c>
      <c r="X1260">
        <v>0.90011919999999901</v>
      </c>
      <c r="Y1260">
        <v>0.53989180000000003</v>
      </c>
      <c r="Z1260">
        <v>1.2862459999999999E-2</v>
      </c>
      <c r="AA1260">
        <v>0.84163619999999995</v>
      </c>
      <c r="AB1260">
        <v>30</v>
      </c>
      <c r="AC1260">
        <v>4.9166000000000096</v>
      </c>
      <c r="AD1260">
        <v>-1.108204905354</v>
      </c>
      <c r="AE1260">
        <v>-16.957899999999899</v>
      </c>
      <c r="AF1260">
        <v>9.6149830024354408</v>
      </c>
      <c r="AG1260">
        <v>-1.108204905354</v>
      </c>
      <c r="AH1260">
        <v>14.7259509817771</v>
      </c>
      <c r="AI1260">
        <v>93.605602506417497</v>
      </c>
      <c r="AJ1260">
        <v>56.858362955503203</v>
      </c>
      <c r="AK1260">
        <v>17.621851451169199</v>
      </c>
      <c r="AL1260">
        <v>80.201145551327102</v>
      </c>
      <c r="AM1260">
        <v>65.985875498481704</v>
      </c>
      <c r="AN1260">
        <v>1.00000001622385</v>
      </c>
    </row>
    <row r="1261" spans="1:40" x14ac:dyDescent="0.25">
      <c r="A1261" t="str">
        <f>"20190303162803622"</f>
        <v>20190303162803622</v>
      </c>
      <c r="B1261" t="str">
        <f>"1551601683613975"</f>
        <v>1551601683613975</v>
      </c>
      <c r="C1261" t="s">
        <v>40</v>
      </c>
      <c r="D1261">
        <v>4.9824900000000003</v>
      </c>
      <c r="E1261">
        <v>0.56358750000000002</v>
      </c>
      <c r="F1261" t="s">
        <v>41</v>
      </c>
      <c r="G1261">
        <v>-193.9718</v>
      </c>
      <c r="H1261" s="1">
        <v>-2.8403269999999998E-6</v>
      </c>
      <c r="I1261">
        <v>343.7466</v>
      </c>
      <c r="J1261">
        <v>-198.5393</v>
      </c>
      <c r="K1261">
        <v>1.1080730000000001</v>
      </c>
      <c r="L1261">
        <v>360.68790000000001</v>
      </c>
      <c r="M1261">
        <v>0.7462896</v>
      </c>
      <c r="N1261">
        <v>-1.577404E-2</v>
      </c>
      <c r="O1261">
        <v>-0.66543439999999998</v>
      </c>
      <c r="P1261">
        <v>0.40815849999999998</v>
      </c>
      <c r="Q1261">
        <v>0.1663916</v>
      </c>
      <c r="R1261">
        <v>-0.89761959999999996</v>
      </c>
      <c r="S1261">
        <v>0.84289550000000002</v>
      </c>
      <c r="T1261">
        <v>-0.19412119999999999</v>
      </c>
      <c r="U1261">
        <v>-3.0083920000000002</v>
      </c>
      <c r="V1261">
        <v>0.40388570000000001</v>
      </c>
      <c r="W1261">
        <v>0.16780980000000001</v>
      </c>
      <c r="X1261">
        <v>0.89928649999999999</v>
      </c>
      <c r="Y1261">
        <v>0.53864579999999995</v>
      </c>
      <c r="Z1261">
        <v>1.382503E-2</v>
      </c>
      <c r="AA1261">
        <v>0.84241889999999997</v>
      </c>
      <c r="AB1261">
        <v>30</v>
      </c>
      <c r="AC1261">
        <v>4.5674999999999901</v>
      </c>
      <c r="AD1261">
        <v>-1.1080758403269999</v>
      </c>
      <c r="AE1261">
        <v>-16.941299999999998</v>
      </c>
      <c r="AF1261">
        <v>9.5667859258911605</v>
      </c>
      <c r="AG1261">
        <v>-1.1080758403269999</v>
      </c>
      <c r="AH1261">
        <v>14.625500247064799</v>
      </c>
      <c r="AI1261">
        <v>93.627908158342905</v>
      </c>
      <c r="AJ1261">
        <v>56.810625446926402</v>
      </c>
      <c r="AK1261">
        <v>17.5116099344588</v>
      </c>
      <c r="AL1261">
        <v>80.339499439156</v>
      </c>
      <c r="AM1261">
        <v>65.814296275347502</v>
      </c>
      <c r="AN1261">
        <v>0.99999999836138898</v>
      </c>
    </row>
    <row r="1262" spans="1:40" x14ac:dyDescent="0.25">
      <c r="A1262" t="str">
        <f>"20190303162803642"</f>
        <v>20190303162803642</v>
      </c>
      <c r="B1262" t="str">
        <f>"1551601683632517"</f>
        <v>1551601683632517</v>
      </c>
      <c r="C1262" t="s">
        <v>40</v>
      </c>
      <c r="D1262">
        <v>4.9834759999999996</v>
      </c>
      <c r="E1262">
        <v>0.5622066</v>
      </c>
      <c r="F1262" t="s">
        <v>41</v>
      </c>
      <c r="G1262">
        <v>-194.4836</v>
      </c>
      <c r="H1262" s="1">
        <v>-3.8312720000000001E-6</v>
      </c>
      <c r="I1262">
        <v>345.90809999999999</v>
      </c>
      <c r="J1262">
        <v>-198.34379999999999</v>
      </c>
      <c r="K1262">
        <v>1.107977</v>
      </c>
      <c r="L1262">
        <v>360.4948</v>
      </c>
      <c r="M1262">
        <v>0.73636679999999999</v>
      </c>
      <c r="N1262">
        <v>-1.5811490000000001E-2</v>
      </c>
      <c r="O1262">
        <v>-0.6763979</v>
      </c>
      <c r="P1262">
        <v>0.39309820000000001</v>
      </c>
      <c r="Q1262">
        <v>0.16401779999999999</v>
      </c>
      <c r="R1262">
        <v>-0.90474969999999999</v>
      </c>
      <c r="S1262">
        <v>0.8255768</v>
      </c>
      <c r="T1262">
        <v>-0.2255617</v>
      </c>
      <c r="U1262">
        <v>-3.0086059999999999</v>
      </c>
      <c r="V1262">
        <v>0.40589799999999998</v>
      </c>
      <c r="W1262">
        <v>0.16531879999999999</v>
      </c>
      <c r="X1262">
        <v>0.89884169999999997</v>
      </c>
      <c r="Y1262">
        <v>0.53063319999999903</v>
      </c>
      <c r="Z1262">
        <v>1.9527860000000001E-2</v>
      </c>
      <c r="AA1262">
        <v>0.84737659999999904</v>
      </c>
      <c r="AB1262">
        <v>30</v>
      </c>
      <c r="AC1262">
        <v>3.8601999999999901</v>
      </c>
      <c r="AD1262">
        <v>-1.1079808312720001</v>
      </c>
      <c r="AE1262">
        <v>-14.5867</v>
      </c>
      <c r="AF1262">
        <v>8.0875378189234794</v>
      </c>
      <c r="AG1262">
        <v>-1.1079808312720001</v>
      </c>
      <c r="AH1262">
        <v>12.6423560403399</v>
      </c>
      <c r="AI1262">
        <v>94.222283914718403</v>
      </c>
      <c r="AJ1262">
        <v>57.392236570286997</v>
      </c>
      <c r="AK1262">
        <v>15.0487559534236</v>
      </c>
      <c r="AL1262">
        <v>80.484244785926705</v>
      </c>
      <c r="AM1262">
        <v>65.697066106224199</v>
      </c>
      <c r="AN1262">
        <v>0.99999994684816296</v>
      </c>
    </row>
    <row r="1263" spans="1:40" x14ac:dyDescent="0.25">
      <c r="A1263" t="str">
        <f>"20190303162803658"</f>
        <v>20190303162803658</v>
      </c>
      <c r="B1263" t="str">
        <f>"1551601683653014"</f>
        <v>1551601683653014</v>
      </c>
      <c r="C1263" t="s">
        <v>40</v>
      </c>
      <c r="D1263">
        <v>5.0189009999999996</v>
      </c>
      <c r="E1263">
        <v>0.56090419999999996</v>
      </c>
      <c r="F1263" t="s">
        <v>41</v>
      </c>
      <c r="G1263">
        <v>-194.52019999999999</v>
      </c>
      <c r="H1263" s="1">
        <v>-3.7840699999999999E-6</v>
      </c>
      <c r="I1263">
        <v>345.75029999999998</v>
      </c>
      <c r="J1263">
        <v>-198.19489999999999</v>
      </c>
      <c r="K1263">
        <v>1.107918</v>
      </c>
      <c r="L1263">
        <v>360.3433</v>
      </c>
      <c r="M1263">
        <v>0.72853310000000004</v>
      </c>
      <c r="N1263">
        <v>-1.583801E-2</v>
      </c>
      <c r="O1263">
        <v>-0.68482739999999998</v>
      </c>
      <c r="P1263">
        <v>0.38265589999999999</v>
      </c>
      <c r="Q1263">
        <v>0.16319449999999999</v>
      </c>
      <c r="R1263">
        <v>-0.90936349999999999</v>
      </c>
      <c r="S1263">
        <v>0.78237919999999905</v>
      </c>
      <c r="T1263">
        <v>-0.2267131</v>
      </c>
      <c r="U1263">
        <v>-3.0169980000000001</v>
      </c>
      <c r="V1263">
        <v>0.4060048</v>
      </c>
      <c r="W1263">
        <v>0.16446620000000001</v>
      </c>
      <c r="X1263">
        <v>0.89894989999999997</v>
      </c>
      <c r="Y1263">
        <v>0.53280709999999998</v>
      </c>
      <c r="Z1263">
        <v>2.0295770000000001E-2</v>
      </c>
      <c r="AA1263">
        <v>0.84599329999999995</v>
      </c>
      <c r="AB1263">
        <v>30</v>
      </c>
      <c r="AC1263">
        <v>3.6747000000000001</v>
      </c>
      <c r="AD1263">
        <v>-1.10792178407</v>
      </c>
      <c r="AE1263">
        <v>-14.593</v>
      </c>
      <c r="AF1263">
        <v>8.0722123815075193</v>
      </c>
      <c r="AG1263">
        <v>-1.10792178407</v>
      </c>
      <c r="AH1263">
        <v>12.6040982245325</v>
      </c>
      <c r="AI1263">
        <v>94.233438177645695</v>
      </c>
      <c r="AJ1263">
        <v>57.362734975644301</v>
      </c>
      <c r="AK1263">
        <v>15.0083775094259</v>
      </c>
      <c r="AL1263">
        <v>80.533773413527101</v>
      </c>
      <c r="AM1263">
        <v>65.693998851099394</v>
      </c>
      <c r="AN1263">
        <v>0.99999997563774401</v>
      </c>
    </row>
    <row r="1264" spans="1:40" x14ac:dyDescent="0.25">
      <c r="A1264" t="str">
        <f>"20190303162803677"</f>
        <v>20190303162803677</v>
      </c>
      <c r="B1264" t="str">
        <f>"1551601683672533"</f>
        <v>1551601683672533</v>
      </c>
      <c r="C1264" t="s">
        <v>40</v>
      </c>
      <c r="D1264">
        <v>5.0081579999999999</v>
      </c>
      <c r="E1264">
        <v>0.56028750000000005</v>
      </c>
      <c r="F1264" t="s">
        <v>41</v>
      </c>
      <c r="G1264">
        <v>-194.5206</v>
      </c>
      <c r="H1264" s="1">
        <v>-3.7494309999999998E-6</v>
      </c>
      <c r="I1264">
        <v>345.64830000000001</v>
      </c>
      <c r="J1264">
        <v>-198.01660000000001</v>
      </c>
      <c r="K1264">
        <v>1.107856</v>
      </c>
      <c r="L1264">
        <v>360.15769999999998</v>
      </c>
      <c r="M1264">
        <v>0.71887380000000001</v>
      </c>
      <c r="N1264">
        <v>-1.5867280000000001E-2</v>
      </c>
      <c r="O1264">
        <v>-0.69495959999999901</v>
      </c>
      <c r="P1264">
        <v>0.37136180000000002</v>
      </c>
      <c r="Q1264">
        <v>0.16264200000000001</v>
      </c>
      <c r="R1264">
        <v>-0.91413239999999996</v>
      </c>
      <c r="S1264">
        <v>0.75560000000000005</v>
      </c>
      <c r="T1264">
        <v>-0.2278404</v>
      </c>
      <c r="U1264">
        <v>-3.021973</v>
      </c>
      <c r="V1264">
        <v>0.40462740000000003</v>
      </c>
      <c r="W1264">
        <v>0.16394120000000001</v>
      </c>
      <c r="X1264">
        <v>0.89966650000000004</v>
      </c>
      <c r="Y1264">
        <v>0.52835010000000004</v>
      </c>
      <c r="Z1264">
        <v>2.1468649999999999E-2</v>
      </c>
      <c r="AA1264">
        <v>0.84875509999999998</v>
      </c>
      <c r="AB1264">
        <v>30</v>
      </c>
      <c r="AC1264">
        <v>3.496</v>
      </c>
      <c r="AD1264">
        <v>-1.1078597494310001</v>
      </c>
      <c r="AE1264">
        <v>-14.5093999999999</v>
      </c>
      <c r="AF1264">
        <v>7.9580058246008303</v>
      </c>
      <c r="AG1264">
        <v>-1.1078597494310001</v>
      </c>
      <c r="AH1264">
        <v>12.529177220085</v>
      </c>
      <c r="AI1264">
        <v>94.268601635946496</v>
      </c>
      <c r="AJ1264">
        <v>57.578006056291798</v>
      </c>
      <c r="AK1264">
        <v>14.8841355725177</v>
      </c>
      <c r="AL1264">
        <v>80.564267184125001</v>
      </c>
      <c r="AM1264">
        <v>65.784040914489694</v>
      </c>
      <c r="AN1264">
        <v>0.99999993055522196</v>
      </c>
    </row>
    <row r="1265" spans="1:40" x14ac:dyDescent="0.25">
      <c r="A1265" t="str">
        <f>"20190303162803699"</f>
        <v>20190303162803699</v>
      </c>
      <c r="B1265" t="str">
        <f>"1551601683693030"</f>
        <v>1551601683693030</v>
      </c>
      <c r="C1265" t="s">
        <v>40</v>
      </c>
      <c r="D1265">
        <v>5.0381220000000004</v>
      </c>
      <c r="E1265">
        <v>0.55368649999999997</v>
      </c>
      <c r="F1265" t="s">
        <v>41</v>
      </c>
      <c r="G1265">
        <v>-194.5018</v>
      </c>
      <c r="H1265" s="1">
        <v>-3.6428620000000001E-6</v>
      </c>
      <c r="I1265">
        <v>345.34500000000003</v>
      </c>
      <c r="J1265">
        <v>-197.8074</v>
      </c>
      <c r="K1265">
        <v>1.107793</v>
      </c>
      <c r="L1265">
        <v>359.93310000000002</v>
      </c>
      <c r="M1265">
        <v>0.70711400000000002</v>
      </c>
      <c r="N1265">
        <v>-1.5898209999999999E-2</v>
      </c>
      <c r="O1265">
        <v>-0.70692089999999996</v>
      </c>
      <c r="P1265">
        <v>0.3575913</v>
      </c>
      <c r="Q1265">
        <v>0.16280749999999999</v>
      </c>
      <c r="R1265">
        <v>-0.91957739999999999</v>
      </c>
      <c r="S1265">
        <v>0.71899409999999997</v>
      </c>
      <c r="T1265">
        <v>-0.22662160000000001</v>
      </c>
      <c r="U1265">
        <v>-3.0300600000000002</v>
      </c>
      <c r="V1265">
        <v>0.4030492</v>
      </c>
      <c r="W1265">
        <v>0.1641444</v>
      </c>
      <c r="X1265">
        <v>0.90033770000000002</v>
      </c>
      <c r="Y1265">
        <v>0.524339</v>
      </c>
      <c r="Z1265">
        <v>2.2394919999999999E-2</v>
      </c>
      <c r="AA1265">
        <v>0.8512151</v>
      </c>
      <c r="AB1265">
        <v>30</v>
      </c>
      <c r="AC1265">
        <v>3.3055999999999899</v>
      </c>
      <c r="AD1265">
        <v>-1.1077966428620001</v>
      </c>
      <c r="AE1265">
        <v>-14.588099999999899</v>
      </c>
      <c r="AF1265">
        <v>7.9361303147273601</v>
      </c>
      <c r="AG1265">
        <v>-1.1077966428620001</v>
      </c>
      <c r="AH1265">
        <v>12.582651109169401</v>
      </c>
      <c r="AI1265">
        <v>94.258787276501394</v>
      </c>
      <c r="AJ1265">
        <v>57.759548094759197</v>
      </c>
      <c r="AK1265">
        <v>14.9175228074018</v>
      </c>
      <c r="AL1265">
        <v>80.552465533553402</v>
      </c>
      <c r="AM1265">
        <v>65.883633356432298</v>
      </c>
      <c r="AN1265">
        <v>1.00000000785664</v>
      </c>
    </row>
    <row r="1266" spans="1:40" x14ac:dyDescent="0.25">
      <c r="A1266" t="str">
        <f>"20190303162803722"</f>
        <v>20190303162803722</v>
      </c>
      <c r="B1266" t="str">
        <f>"1551601683713058"</f>
        <v>1551601683713058</v>
      </c>
      <c r="C1266" t="s">
        <v>40</v>
      </c>
      <c r="D1266">
        <v>5.0519350000000003</v>
      </c>
      <c r="E1266">
        <v>0.55264859999999905</v>
      </c>
      <c r="F1266" t="s">
        <v>41</v>
      </c>
      <c r="G1266">
        <v>-194.05260000000001</v>
      </c>
      <c r="H1266" s="1">
        <v>-3.0544259999999998E-6</v>
      </c>
      <c r="I1266">
        <v>344.19549999999998</v>
      </c>
      <c r="J1266">
        <v>-197.5949</v>
      </c>
      <c r="K1266">
        <v>1.107747</v>
      </c>
      <c r="L1266">
        <v>359.69709999999998</v>
      </c>
      <c r="M1266">
        <v>0.69468409999999903</v>
      </c>
      <c r="N1266">
        <v>-1.592549E-2</v>
      </c>
      <c r="O1266">
        <v>-0.71913870000000002</v>
      </c>
      <c r="P1266">
        <v>0.34302319999999997</v>
      </c>
      <c r="Q1266">
        <v>0.16178409999999999</v>
      </c>
      <c r="R1266">
        <v>-0.92528960000000005</v>
      </c>
      <c r="S1266">
        <v>0.7204895</v>
      </c>
      <c r="T1266">
        <v>-0.21257139999999999</v>
      </c>
      <c r="U1266">
        <v>-3.0198360000000002</v>
      </c>
      <c r="V1266">
        <v>0.40168029999999999</v>
      </c>
      <c r="W1266">
        <v>0.16316129999999901</v>
      </c>
      <c r="X1266">
        <v>0.90112780000000003</v>
      </c>
      <c r="Y1266">
        <v>0.50843019999999906</v>
      </c>
      <c r="Z1266">
        <v>2.1723579999999999E-2</v>
      </c>
      <c r="AA1266">
        <v>0.86082909999999901</v>
      </c>
      <c r="AB1266">
        <v>30</v>
      </c>
      <c r="AC1266">
        <v>3.54229999999998</v>
      </c>
      <c r="AD1266">
        <v>-1.1077500544259999</v>
      </c>
      <c r="AE1266">
        <v>-15.5015999999999</v>
      </c>
      <c r="AF1266">
        <v>8.1826407136575803</v>
      </c>
      <c r="AG1266">
        <v>-1.1077500544259999</v>
      </c>
      <c r="AH1266">
        <v>13.5445713708993</v>
      </c>
      <c r="AI1266">
        <v>94.004329348488497</v>
      </c>
      <c r="AJ1266">
        <v>58.862694296413103</v>
      </c>
      <c r="AK1266">
        <v>15.8631060279276</v>
      </c>
      <c r="AL1266">
        <v>80.609562657648794</v>
      </c>
      <c r="AM1266">
        <v>65.974940070474105</v>
      </c>
      <c r="AN1266">
        <v>0.99999999257931005</v>
      </c>
    </row>
    <row r="1267" spans="1:40" x14ac:dyDescent="0.25">
      <c r="A1267" t="str">
        <f>"20190303162803744"</f>
        <v>20190303162803744</v>
      </c>
      <c r="B1267" t="str">
        <f>"1551601683732578"</f>
        <v>1551601683732578</v>
      </c>
      <c r="C1267" t="s">
        <v>40</v>
      </c>
      <c r="D1267">
        <v>5.190436</v>
      </c>
      <c r="E1267">
        <v>0.5524983</v>
      </c>
      <c r="F1267" t="s">
        <v>41</v>
      </c>
      <c r="G1267">
        <v>-194.12559999999999</v>
      </c>
      <c r="H1267" s="1">
        <v>-3.1038880000000001E-6</v>
      </c>
      <c r="I1267">
        <v>344.26549999999997</v>
      </c>
      <c r="J1267">
        <v>-197.40700000000001</v>
      </c>
      <c r="K1267">
        <v>1.10771</v>
      </c>
      <c r="L1267">
        <v>359.48110000000003</v>
      </c>
      <c r="M1267">
        <v>0.68325749999999996</v>
      </c>
      <c r="N1267">
        <v>-1.5946160000000001E-2</v>
      </c>
      <c r="O1267">
        <v>-0.73000319999999996</v>
      </c>
      <c r="P1267">
        <v>0.33080700000000002</v>
      </c>
      <c r="Q1267">
        <v>0.16010060000000001</v>
      </c>
      <c r="R1267">
        <v>-0.93001880000000003</v>
      </c>
      <c r="S1267">
        <v>0.68070980000000003</v>
      </c>
      <c r="T1267">
        <v>-0.21735360000000001</v>
      </c>
      <c r="U1267">
        <v>-3.027863</v>
      </c>
      <c r="V1267">
        <v>0.39948790000000001</v>
      </c>
      <c r="W1267">
        <v>0.1615606</v>
      </c>
      <c r="X1267">
        <v>0.90238989999999997</v>
      </c>
      <c r="Y1267">
        <v>0.50610559999999905</v>
      </c>
      <c r="Z1267">
        <v>2.346966E-2</v>
      </c>
      <c r="AA1267">
        <v>0.86215209999999998</v>
      </c>
      <c r="AB1267">
        <v>30</v>
      </c>
      <c r="AC1267">
        <v>3.2814000000000099</v>
      </c>
      <c r="AD1267">
        <v>-1.1077131038879999</v>
      </c>
      <c r="AE1267">
        <v>-15.2156</v>
      </c>
      <c r="AF1267">
        <v>7.9614382706951803</v>
      </c>
      <c r="AG1267">
        <v>-1.1077131038879999</v>
      </c>
      <c r="AH1267">
        <v>13.2839011950783</v>
      </c>
      <c r="AI1267">
        <v>94.091139058295795</v>
      </c>
      <c r="AJ1267">
        <v>59.064485493432301</v>
      </c>
      <c r="AK1267">
        <v>15.526543679107</v>
      </c>
      <c r="AL1267">
        <v>80.702509086579894</v>
      </c>
      <c r="AM1267">
        <v>66.121033630436699</v>
      </c>
      <c r="AN1267">
        <v>0.99999997067038904</v>
      </c>
    </row>
    <row r="1268" spans="1:40" x14ac:dyDescent="0.25">
      <c r="A1268" t="str">
        <f>"20190303162803757"</f>
        <v>20190303162803757</v>
      </c>
      <c r="B1268" t="str">
        <f>"1551601683753074"</f>
        <v>1551601683753074</v>
      </c>
      <c r="C1268" t="s">
        <v>40</v>
      </c>
      <c r="D1268">
        <v>5.1131000000000002</v>
      </c>
      <c r="E1268">
        <v>0.55577089999999996</v>
      </c>
      <c r="F1268" t="s">
        <v>41</v>
      </c>
      <c r="G1268">
        <v>-194.1815</v>
      </c>
      <c r="H1268" s="1">
        <v>-3.0902769999999999E-6</v>
      </c>
      <c r="I1268">
        <v>344.19909999999999</v>
      </c>
      <c r="J1268">
        <v>-197.2773</v>
      </c>
      <c r="K1268">
        <v>1.1076969999999999</v>
      </c>
      <c r="L1268">
        <v>359.3272</v>
      </c>
      <c r="M1268">
        <v>0.67509869999999905</v>
      </c>
      <c r="N1268">
        <v>-1.5958380000000001E-2</v>
      </c>
      <c r="O1268">
        <v>-0.73755470000000001</v>
      </c>
      <c r="P1268">
        <v>0.322152299999999</v>
      </c>
      <c r="Q1268">
        <v>0.15963569999999999</v>
      </c>
      <c r="R1268">
        <v>-0.9331315</v>
      </c>
      <c r="S1268">
        <v>0.64071659999999997</v>
      </c>
      <c r="T1268">
        <v>-0.22004019999999999</v>
      </c>
      <c r="U1268">
        <v>-3.0356749999999999</v>
      </c>
      <c r="V1268">
        <v>0.39787840000000002</v>
      </c>
      <c r="W1268">
        <v>0.1611582</v>
      </c>
      <c r="X1268">
        <v>0.90317259999999999</v>
      </c>
      <c r="Y1268">
        <v>0.50783370000000005</v>
      </c>
      <c r="Z1268">
        <v>2.4481739999999998E-2</v>
      </c>
      <c r="AA1268">
        <v>0.86110719999999996</v>
      </c>
      <c r="AB1268">
        <v>30</v>
      </c>
      <c r="AC1268">
        <v>3.0957999999999899</v>
      </c>
      <c r="AD1268">
        <v>-1.107700090277</v>
      </c>
      <c r="AE1268">
        <v>-15.1281</v>
      </c>
      <c r="AF1268">
        <v>7.8900480822721502</v>
      </c>
      <c r="AG1268">
        <v>-1.107700090277</v>
      </c>
      <c r="AH1268">
        <v>13.1816289717405</v>
      </c>
      <c r="AI1268">
        <v>94.124110930723106</v>
      </c>
      <c r="AJ1268">
        <v>59.0967809402661</v>
      </c>
      <c r="AK1268">
        <v>15.4024413837286</v>
      </c>
      <c r="AL1268">
        <v>80.725871007386502</v>
      </c>
      <c r="AM1268">
        <v>66.224868623014899</v>
      </c>
      <c r="AN1268">
        <v>0.99999996600227903</v>
      </c>
    </row>
    <row r="1269" spans="1:40" x14ac:dyDescent="0.25">
      <c r="A1269" t="str">
        <f>"20190303162803778"</f>
        <v>20190303162803778</v>
      </c>
      <c r="B1269" t="str">
        <f>"1551601683772594"</f>
        <v>1551601683772594</v>
      </c>
      <c r="C1269" t="s">
        <v>40</v>
      </c>
      <c r="D1269">
        <v>5.0440490000000002</v>
      </c>
      <c r="E1269">
        <v>0.57995769999999902</v>
      </c>
      <c r="F1269" t="s">
        <v>41</v>
      </c>
      <c r="G1269">
        <v>-194.28989999999999</v>
      </c>
      <c r="H1269" s="1">
        <v>-2.9449040000000001E-6</v>
      </c>
      <c r="I1269">
        <v>343.79300000000001</v>
      </c>
      <c r="J1269">
        <v>-197.10149999999999</v>
      </c>
      <c r="K1269">
        <v>1.1076870000000001</v>
      </c>
      <c r="L1269">
        <v>359.11380000000003</v>
      </c>
      <c r="M1269">
        <v>0.66374180000000005</v>
      </c>
      <c r="N1269">
        <v>-1.5972960000000001E-2</v>
      </c>
      <c r="O1269">
        <v>-0.74779130000000005</v>
      </c>
      <c r="P1269">
        <v>0.31113760000000001</v>
      </c>
      <c r="Q1269">
        <v>0.15948280000000001</v>
      </c>
      <c r="R1269">
        <v>-0.93688780000000005</v>
      </c>
      <c r="S1269">
        <v>0.58647159999999998</v>
      </c>
      <c r="T1269">
        <v>-0.2174643</v>
      </c>
      <c r="U1269">
        <v>-3.0496829999999999</v>
      </c>
      <c r="V1269">
        <v>0.39471620000000002</v>
      </c>
      <c r="W1269">
        <v>0.16113039999999901</v>
      </c>
      <c r="X1269">
        <v>0.90456409999999998</v>
      </c>
      <c r="Y1269">
        <v>0.51018809999999903</v>
      </c>
      <c r="Z1269">
        <v>2.4707719999999999E-2</v>
      </c>
      <c r="AA1269">
        <v>0.85970780000000002</v>
      </c>
      <c r="AB1269">
        <v>30</v>
      </c>
      <c r="AC1269">
        <v>2.8115999999999901</v>
      </c>
      <c r="AD1269">
        <v>-1.1076899449040001</v>
      </c>
      <c r="AE1269">
        <v>-15.3208</v>
      </c>
      <c r="AF1269">
        <v>8.0270018953302902</v>
      </c>
      <c r="AG1269">
        <v>-1.1076899449040001</v>
      </c>
      <c r="AH1269">
        <v>13.2575934201772</v>
      </c>
      <c r="AI1269">
        <v>94.088082116976693</v>
      </c>
      <c r="AJ1269">
        <v>58.8065839563696</v>
      </c>
      <c r="AK1269">
        <v>15.5378093609235</v>
      </c>
      <c r="AL1269">
        <v>80.727485686621193</v>
      </c>
      <c r="AM1269">
        <v>66.425436398508495</v>
      </c>
      <c r="AN1269">
        <v>1.0000000476777</v>
      </c>
    </row>
    <row r="1270" spans="1:40" x14ac:dyDescent="0.25">
      <c r="A1270" t="str">
        <f>"20190303162803800"</f>
        <v>20190303162803800</v>
      </c>
      <c r="B1270" t="str">
        <f>"1551601683793090"</f>
        <v>1551601683793090</v>
      </c>
      <c r="C1270" t="s">
        <v>40</v>
      </c>
      <c r="D1270">
        <v>5.0957160000000004</v>
      </c>
      <c r="E1270">
        <v>0.57881660000000001</v>
      </c>
      <c r="F1270" t="s">
        <v>41</v>
      </c>
      <c r="G1270">
        <v>-193.98840000000001</v>
      </c>
      <c r="H1270" s="1">
        <v>-2.2392379999999999E-6</v>
      </c>
      <c r="I1270">
        <v>332.33510000000001</v>
      </c>
      <c r="J1270">
        <v>-196.9186</v>
      </c>
      <c r="K1270">
        <v>1.1076859999999999</v>
      </c>
      <c r="L1270">
        <v>358.8843</v>
      </c>
      <c r="M1270">
        <v>0.65149889999999999</v>
      </c>
      <c r="N1270">
        <v>-1.5985829999999999E-2</v>
      </c>
      <c r="O1270">
        <v>-0.75848099999999996</v>
      </c>
      <c r="P1270">
        <v>0.29874139999999999</v>
      </c>
      <c r="Q1270">
        <v>0.1606543</v>
      </c>
      <c r="R1270">
        <v>-0.9407143</v>
      </c>
      <c r="S1270">
        <v>0.36087039999999998</v>
      </c>
      <c r="T1270">
        <v>-0.1284024</v>
      </c>
      <c r="U1270">
        <v>-3.1041560000000001</v>
      </c>
      <c r="V1270">
        <v>0.39185950000000003</v>
      </c>
      <c r="W1270">
        <v>0.16241559999999999</v>
      </c>
      <c r="X1270">
        <v>0.90557569999999998</v>
      </c>
      <c r="Y1270">
        <v>0.55929030000000002</v>
      </c>
      <c r="Z1270">
        <v>7.6590900000000003E-3</v>
      </c>
      <c r="AA1270">
        <v>0.82893649999999997</v>
      </c>
      <c r="AB1270">
        <v>30</v>
      </c>
      <c r="AC1270">
        <v>2.9301999999999802</v>
      </c>
      <c r="AD1270">
        <v>-1.1076882392380001</v>
      </c>
      <c r="AE1270">
        <v>-26.5491999999999</v>
      </c>
      <c r="AF1270">
        <v>15.050318309109899</v>
      </c>
      <c r="AG1270">
        <v>-1.1076882392380001</v>
      </c>
      <c r="AH1270">
        <v>22.011051335776202</v>
      </c>
      <c r="AI1270">
        <v>92.378790589178706</v>
      </c>
      <c r="AJ1270">
        <v>55.637166976996902</v>
      </c>
      <c r="AK1270">
        <v>26.687552067341301</v>
      </c>
      <c r="AL1270">
        <v>80.652866016017995</v>
      </c>
      <c r="AM1270">
        <v>66.600964507628504</v>
      </c>
      <c r="AN1270">
        <v>1.0000000216470399</v>
      </c>
    </row>
    <row r="1271" spans="1:40" x14ac:dyDescent="0.25">
      <c r="A1271" t="str">
        <f>"20190303162803827"</f>
        <v>20190303162803827</v>
      </c>
      <c r="B1271" t="str">
        <f>"1551601683813116"</f>
        <v>1551601683813116</v>
      </c>
      <c r="C1271" t="s">
        <v>40</v>
      </c>
      <c r="D1271">
        <v>5.153969</v>
      </c>
      <c r="E1271">
        <v>0.57670290000000002</v>
      </c>
      <c r="F1271" t="s">
        <v>41</v>
      </c>
      <c r="G1271">
        <v>-194.17830000000001</v>
      </c>
      <c r="H1271" s="1">
        <v>-2.5454939999999999E-6</v>
      </c>
      <c r="I1271">
        <v>332.93119999999999</v>
      </c>
      <c r="J1271">
        <v>-196.69309999999999</v>
      </c>
      <c r="K1271">
        <v>1.107694</v>
      </c>
      <c r="L1271">
        <v>358.59019999999998</v>
      </c>
      <c r="M1271">
        <v>0.63576259999999996</v>
      </c>
      <c r="N1271">
        <v>-1.5998149999999999E-2</v>
      </c>
      <c r="O1271">
        <v>-0.77171899999999904</v>
      </c>
      <c r="P1271">
        <v>0.28218939999999998</v>
      </c>
      <c r="Q1271">
        <v>0.16249420000000001</v>
      </c>
      <c r="R1271">
        <v>-0.94549729999999998</v>
      </c>
      <c r="S1271">
        <v>0.3281097</v>
      </c>
      <c r="T1271">
        <v>-0.13262869999999999</v>
      </c>
      <c r="U1271">
        <v>-3.1074830000000002</v>
      </c>
      <c r="V1271">
        <v>0.38897920000000002</v>
      </c>
      <c r="W1271">
        <v>0.16437299999999999</v>
      </c>
      <c r="X1271">
        <v>0.90646380000000004</v>
      </c>
      <c r="Y1271">
        <v>0.55095109999999903</v>
      </c>
      <c r="Z1271">
        <v>9.2391650000000006E-3</v>
      </c>
      <c r="AA1271">
        <v>0.83448639999999996</v>
      </c>
      <c r="AB1271">
        <v>30</v>
      </c>
      <c r="AC1271">
        <v>2.5147999999999802</v>
      </c>
      <c r="AD1271">
        <v>-1.107696545494</v>
      </c>
      <c r="AE1271">
        <v>-25.658999999999899</v>
      </c>
      <c r="AF1271">
        <v>14.3476669829282</v>
      </c>
      <c r="AG1271">
        <v>-1.107696545494</v>
      </c>
      <c r="AH1271">
        <v>21.363654813125802</v>
      </c>
      <c r="AI1271">
        <v>92.464681195768804</v>
      </c>
      <c r="AJ1271">
        <v>56.114993017151498</v>
      </c>
      <c r="AK1271">
        <v>25.7582663714836</v>
      </c>
      <c r="AL1271">
        <v>80.539186916995305</v>
      </c>
      <c r="AM1271">
        <v>66.774997025592498</v>
      </c>
      <c r="AN1271">
        <v>0.99999996093603905</v>
      </c>
    </row>
    <row r="1272" spans="1:40" x14ac:dyDescent="0.25">
      <c r="A1272" t="str">
        <f>"20190303162803845"</f>
        <v>20190303162803845</v>
      </c>
      <c r="B1272" t="str">
        <f>"1551601683832637"</f>
        <v>1551601683832637</v>
      </c>
      <c r="C1272" t="s">
        <v>40</v>
      </c>
      <c r="D1272">
        <v>5.1941230000000003</v>
      </c>
      <c r="E1272">
        <v>0.57495509999999905</v>
      </c>
      <c r="F1272" t="s">
        <v>41</v>
      </c>
      <c r="G1272">
        <v>-194.369</v>
      </c>
      <c r="H1272" s="1">
        <v>-2.9157669999999998E-6</v>
      </c>
      <c r="I1272">
        <v>333.67610000000002</v>
      </c>
      <c r="J1272">
        <v>-196.55330000000001</v>
      </c>
      <c r="K1272">
        <v>1.1076969999999999</v>
      </c>
      <c r="L1272">
        <v>358.40190000000001</v>
      </c>
      <c r="M1272">
        <v>0.62565609999999905</v>
      </c>
      <c r="N1272">
        <v>-1.6004379999999999E-2</v>
      </c>
      <c r="O1272">
        <v>-0.77993489999999999</v>
      </c>
      <c r="P1272">
        <v>0.27404869999999998</v>
      </c>
      <c r="Q1272">
        <v>0.16330529999999999</v>
      </c>
      <c r="R1272">
        <v>-0.94774939999999996</v>
      </c>
      <c r="S1272">
        <v>0.29011540000000002</v>
      </c>
      <c r="T1272">
        <v>-0.13827719999999999</v>
      </c>
      <c r="U1272">
        <v>-3.1101070000000002</v>
      </c>
      <c r="V1272">
        <v>0.38489200000000001</v>
      </c>
      <c r="W1272">
        <v>0.16535129999999901</v>
      </c>
      <c r="X1272">
        <v>0.90802930000000004</v>
      </c>
      <c r="Y1272">
        <v>0.55023929999999999</v>
      </c>
      <c r="Z1272">
        <v>1.072331E-2</v>
      </c>
      <c r="AA1272">
        <v>0.83493819999999996</v>
      </c>
      <c r="AB1272">
        <v>30</v>
      </c>
      <c r="AC1272">
        <v>2.1842999999999702</v>
      </c>
      <c r="AD1272">
        <v>-1.107699915767</v>
      </c>
      <c r="AE1272">
        <v>-24.7257999999999</v>
      </c>
      <c r="AF1272">
        <v>13.7406345254131</v>
      </c>
      <c r="AG1272">
        <v>-1.107699915767</v>
      </c>
      <c r="AH1272">
        <v>20.612729752138399</v>
      </c>
      <c r="AI1272">
        <v>92.560242843474398</v>
      </c>
      <c r="AJ1272">
        <v>56.312213496235799</v>
      </c>
      <c r="AK1272">
        <v>24.7975132644195</v>
      </c>
      <c r="AL1272">
        <v>80.482357744820604</v>
      </c>
      <c r="AM1272">
        <v>67.029068597539094</v>
      </c>
      <c r="AN1272">
        <v>1.0000000568670799</v>
      </c>
    </row>
    <row r="1273" spans="1:40" x14ac:dyDescent="0.25">
      <c r="A1273" t="str">
        <f>"20190303162803866"</f>
        <v>20190303162803866</v>
      </c>
      <c r="B1273" t="str">
        <f>"1551601683862892"</f>
        <v>1551601683862892</v>
      </c>
      <c r="C1273" t="s">
        <v>40</v>
      </c>
      <c r="D1273">
        <v>5.206817</v>
      </c>
      <c r="E1273">
        <v>0.57343040000000001</v>
      </c>
      <c r="F1273" t="s">
        <v>41</v>
      </c>
      <c r="G1273">
        <v>-194.43039999999999</v>
      </c>
      <c r="H1273" s="1">
        <v>-3.307259E-6</v>
      </c>
      <c r="I1273">
        <v>334.5505</v>
      </c>
      <c r="J1273">
        <v>-196.38339999999999</v>
      </c>
      <c r="K1273">
        <v>1.107707</v>
      </c>
      <c r="L1273">
        <v>358.16500000000002</v>
      </c>
      <c r="M1273">
        <v>0.61293909999999996</v>
      </c>
      <c r="N1273">
        <v>-1.6010050000000001E-2</v>
      </c>
      <c r="O1273">
        <v>-0.78996809999999995</v>
      </c>
      <c r="P1273">
        <v>0.26453880000000002</v>
      </c>
      <c r="Q1273">
        <v>0.16288050000000001</v>
      </c>
      <c r="R1273">
        <v>-0.95052080000000005</v>
      </c>
      <c r="S1273">
        <v>0.27682499999999999</v>
      </c>
      <c r="T1273">
        <v>-0.14444360000000001</v>
      </c>
      <c r="U1273">
        <v>-3.1101990000000002</v>
      </c>
      <c r="V1273">
        <v>0.37928820000000002</v>
      </c>
      <c r="W1273">
        <v>0.1651589</v>
      </c>
      <c r="X1273">
        <v>0.91041910000000004</v>
      </c>
      <c r="Y1273">
        <v>0.54021419999999998</v>
      </c>
      <c r="Z1273">
        <v>1.26836E-2</v>
      </c>
      <c r="AA1273">
        <v>0.84143199999999996</v>
      </c>
      <c r="AB1273">
        <v>30</v>
      </c>
      <c r="AC1273">
        <v>1.9530000000000001</v>
      </c>
      <c r="AD1273">
        <v>-1.107710307259</v>
      </c>
      <c r="AE1273">
        <v>-23.6145</v>
      </c>
      <c r="AF1273">
        <v>12.9048960225317</v>
      </c>
      <c r="AG1273">
        <v>-1.107710307259</v>
      </c>
      <c r="AH1273">
        <v>19.811018523507901</v>
      </c>
      <c r="AI1273">
        <v>92.682381223756707</v>
      </c>
      <c r="AJ1273">
        <v>56.919781924795203</v>
      </c>
      <c r="AK1273">
        <v>23.6693856788877</v>
      </c>
      <c r="AL1273">
        <v>80.493534291267594</v>
      </c>
      <c r="AM1273">
        <v>67.382982084361302</v>
      </c>
      <c r="AN1273">
        <v>0.99999996927662904</v>
      </c>
    </row>
    <row r="1274" spans="1:40" x14ac:dyDescent="0.25">
      <c r="A1274" t="str">
        <f>"20190303162803890"</f>
        <v>20190303162803890</v>
      </c>
      <c r="B1274" t="str">
        <f>"1551601683882412"</f>
        <v>1551601683882412</v>
      </c>
      <c r="C1274" t="s">
        <v>40</v>
      </c>
      <c r="D1274">
        <v>5.1876870000000004</v>
      </c>
      <c r="E1274">
        <v>0.56408849999999999</v>
      </c>
      <c r="F1274" t="s">
        <v>41</v>
      </c>
      <c r="G1274">
        <v>-194.5146</v>
      </c>
      <c r="H1274" s="1">
        <v>-3.718192E-6</v>
      </c>
      <c r="I1274">
        <v>335.55970000000002</v>
      </c>
      <c r="J1274">
        <v>-196.20509999999999</v>
      </c>
      <c r="K1274">
        <v>1.1077140000000001</v>
      </c>
      <c r="L1274">
        <v>357.90730000000002</v>
      </c>
      <c r="M1274">
        <v>0.59908119999999998</v>
      </c>
      <c r="N1274">
        <v>-1.6013860000000001E-2</v>
      </c>
      <c r="O1274">
        <v>-0.80052819999999902</v>
      </c>
      <c r="P1274">
        <v>0.25588480000000002</v>
      </c>
      <c r="Q1274">
        <v>0.1625132</v>
      </c>
      <c r="R1274">
        <v>-0.95294900000000005</v>
      </c>
      <c r="S1274">
        <v>0.2571716</v>
      </c>
      <c r="T1274">
        <v>-0.1524316</v>
      </c>
      <c r="U1274">
        <v>-3.1107179999999999</v>
      </c>
      <c r="V1274">
        <v>0.37169200000000002</v>
      </c>
      <c r="W1274">
        <v>0.16510720000000001</v>
      </c>
      <c r="X1274">
        <v>0.91355600000000003</v>
      </c>
      <c r="Y1274">
        <v>0.53080450000000001</v>
      </c>
      <c r="Z1274">
        <v>1.509304E-2</v>
      </c>
      <c r="AA1274">
        <v>0.84735990000000005</v>
      </c>
      <c r="AB1274">
        <v>30</v>
      </c>
      <c r="AC1274">
        <v>1.6904999999999799</v>
      </c>
      <c r="AD1274">
        <v>-1.1077177181919999</v>
      </c>
      <c r="AE1274">
        <v>-22.3476</v>
      </c>
      <c r="AF1274">
        <v>12.0069441324708</v>
      </c>
      <c r="AG1274">
        <v>-1.1077177181919999</v>
      </c>
      <c r="AH1274">
        <v>18.858981817155801</v>
      </c>
      <c r="AI1274">
        <v>92.836524098541005</v>
      </c>
      <c r="AJ1274">
        <v>57.5163238529951</v>
      </c>
      <c r="AK1274">
        <v>22.384256546137198</v>
      </c>
      <c r="AL1274">
        <v>80.496537509771898</v>
      </c>
      <c r="AM1274">
        <v>67.860418459531601</v>
      </c>
      <c r="AN1274">
        <v>0.99999994774591805</v>
      </c>
    </row>
    <row r="1275" spans="1:40" x14ac:dyDescent="0.25">
      <c r="A1275" t="str">
        <f>"20190303162803913"</f>
        <v>20190303162803913</v>
      </c>
      <c r="B1275" t="str">
        <f>"1551601683903884"</f>
        <v>1551601683903884</v>
      </c>
      <c r="C1275" t="s">
        <v>40</v>
      </c>
      <c r="D1275">
        <v>5.1943449999999904</v>
      </c>
      <c r="E1275">
        <v>0.56554950000000004</v>
      </c>
      <c r="F1275" t="s">
        <v>41</v>
      </c>
      <c r="G1275">
        <v>-194.4836</v>
      </c>
      <c r="H1275" s="1">
        <v>-1.4419760000000001E-6</v>
      </c>
      <c r="I1275">
        <v>340.1696</v>
      </c>
      <c r="J1275">
        <v>-196.03219999999999</v>
      </c>
      <c r="K1275">
        <v>1.1077319999999999</v>
      </c>
      <c r="L1275">
        <v>357.64800000000002</v>
      </c>
      <c r="M1275">
        <v>0.5851345</v>
      </c>
      <c r="N1275">
        <v>-1.6014569999999999E-2</v>
      </c>
      <c r="O1275">
        <v>-0.81077829999999995</v>
      </c>
      <c r="P1275">
        <v>0.24734590000000001</v>
      </c>
      <c r="Q1275">
        <v>0.16243450000000001</v>
      </c>
      <c r="R1275">
        <v>-0.95521460000000002</v>
      </c>
      <c r="S1275">
        <v>0.30090329999999998</v>
      </c>
      <c r="T1275">
        <v>-0.1936175</v>
      </c>
      <c r="U1275">
        <v>-3.1003720000000001</v>
      </c>
      <c r="V1275">
        <v>0.36401939999999999</v>
      </c>
      <c r="W1275">
        <v>0.16535079999999999</v>
      </c>
      <c r="X1275">
        <v>0.91659639999999998</v>
      </c>
      <c r="Y1275">
        <v>0.50374739999999996</v>
      </c>
      <c r="Z1275">
        <v>2.50032E-2</v>
      </c>
      <c r="AA1275">
        <v>0.86348910000000001</v>
      </c>
      <c r="AB1275">
        <v>29</v>
      </c>
      <c r="AC1275">
        <v>1.54859999999999</v>
      </c>
      <c r="AD1275">
        <v>-1.1077334419760001</v>
      </c>
      <c r="AE1275">
        <v>-17.478400000000001</v>
      </c>
      <c r="AF1275">
        <v>8.9371747405230195</v>
      </c>
      <c r="AG1275">
        <v>-1.1077334419760001</v>
      </c>
      <c r="AH1275">
        <v>15.0193203227943</v>
      </c>
      <c r="AI1275">
        <v>93.6266454977807</v>
      </c>
      <c r="AJ1275">
        <v>59.245441066531498</v>
      </c>
      <c r="AK1275">
        <v>17.512285649789298</v>
      </c>
      <c r="AL1275">
        <v>80.482386107619803</v>
      </c>
      <c r="AM1275">
        <v>68.339868918858002</v>
      </c>
      <c r="AN1275">
        <v>0.99999998556497904</v>
      </c>
    </row>
    <row r="1276" spans="1:40" x14ac:dyDescent="0.25">
      <c r="A1276" t="str">
        <f>"20190303162803934"</f>
        <v>20190303162803934</v>
      </c>
      <c r="B1276" t="str">
        <f>"1551601683922935"</f>
        <v>1551601683922935</v>
      </c>
      <c r="C1276" t="s">
        <v>40</v>
      </c>
      <c r="D1276">
        <v>5.2174649999999998</v>
      </c>
      <c r="E1276">
        <v>0.56576169999999903</v>
      </c>
      <c r="F1276" t="s">
        <v>41</v>
      </c>
      <c r="G1276">
        <v>-194.48570000000001</v>
      </c>
      <c r="H1276" s="1">
        <v>-4.9498459999999996E-6</v>
      </c>
      <c r="I1276">
        <v>339.19400000000002</v>
      </c>
      <c r="J1276">
        <v>-195.87569999999999</v>
      </c>
      <c r="K1276">
        <v>1.107769</v>
      </c>
      <c r="L1276">
        <v>357.40449999999998</v>
      </c>
      <c r="M1276">
        <v>0.57204940000000004</v>
      </c>
      <c r="N1276">
        <v>-1.6011540000000001E-2</v>
      </c>
      <c r="O1276">
        <v>-0.82006309999999905</v>
      </c>
      <c r="P1276">
        <v>0.23941589999999999</v>
      </c>
      <c r="Q1276">
        <v>0.161992</v>
      </c>
      <c r="R1276">
        <v>-0.9573081</v>
      </c>
      <c r="S1276">
        <v>0.2602081</v>
      </c>
      <c r="T1276">
        <v>-0.1863823</v>
      </c>
      <c r="U1276">
        <v>-3.1049799999999999</v>
      </c>
      <c r="V1276">
        <v>0.35689860000000001</v>
      </c>
      <c r="W1276">
        <v>0.1652158</v>
      </c>
      <c r="X1276">
        <v>0.91941669999999998</v>
      </c>
      <c r="Y1276">
        <v>0.50125379999999997</v>
      </c>
      <c r="Z1276">
        <v>2.4224849999999999E-2</v>
      </c>
      <c r="AA1276">
        <v>0.86496119999999899</v>
      </c>
      <c r="AB1276">
        <v>29</v>
      </c>
      <c r="AC1276">
        <v>1.3899999999999799</v>
      </c>
      <c r="AD1276">
        <v>-1.107773949846</v>
      </c>
      <c r="AE1276">
        <v>-18.2104999999999</v>
      </c>
      <c r="AF1276">
        <v>9.2445942903015492</v>
      </c>
      <c r="AG1276">
        <v>-1.107773949846</v>
      </c>
      <c r="AH1276">
        <v>15.6732587120344</v>
      </c>
      <c r="AI1276">
        <v>93.483771263073606</v>
      </c>
      <c r="AJ1276">
        <v>59.466522962672599</v>
      </c>
      <c r="AK1276">
        <v>18.230214627661301</v>
      </c>
      <c r="AL1276">
        <v>80.490228754969806</v>
      </c>
      <c r="AM1276">
        <v>68.784814740472498</v>
      </c>
      <c r="AN1276">
        <v>0.99999996974524397</v>
      </c>
    </row>
    <row r="1277" spans="1:40" x14ac:dyDescent="0.25">
      <c r="A1277" t="str">
        <f>"20190303162803956"</f>
        <v>20190303162803956</v>
      </c>
      <c r="B1277" t="str">
        <f>"1551601683942455"</f>
        <v>1551601683942455</v>
      </c>
      <c r="C1277" t="s">
        <v>40</v>
      </c>
      <c r="D1277">
        <v>5.254461</v>
      </c>
      <c r="E1277">
        <v>0.565693</v>
      </c>
      <c r="F1277" t="s">
        <v>41</v>
      </c>
      <c r="G1277">
        <v>-194.46729999999999</v>
      </c>
      <c r="H1277" s="1">
        <v>-4.7334670000000002E-6</v>
      </c>
      <c r="I1277">
        <v>338.5677</v>
      </c>
      <c r="J1277">
        <v>-195.7242</v>
      </c>
      <c r="K1277">
        <v>1.107812</v>
      </c>
      <c r="L1277">
        <v>357.16070000000002</v>
      </c>
      <c r="M1277">
        <v>0.55897220000000003</v>
      </c>
      <c r="N1277">
        <v>-1.6003630000000001E-2</v>
      </c>
      <c r="O1277">
        <v>-0.82903189999999904</v>
      </c>
      <c r="P1277">
        <v>0.238345</v>
      </c>
      <c r="Q1277">
        <v>0.159661</v>
      </c>
      <c r="R1277">
        <v>-0.95796669999999995</v>
      </c>
      <c r="S1277">
        <v>0.23226930000000001</v>
      </c>
      <c r="T1277">
        <v>-0.1826924</v>
      </c>
      <c r="U1277">
        <v>-3.1065369999999999</v>
      </c>
      <c r="V1277">
        <v>0.34339789999999998</v>
      </c>
      <c r="W1277">
        <v>0.16344919999999999</v>
      </c>
      <c r="X1277">
        <v>0.92485799999999996</v>
      </c>
      <c r="Y1277">
        <v>0.49530429999999998</v>
      </c>
      <c r="Z1277">
        <v>2.4251129999999999E-2</v>
      </c>
      <c r="AA1277">
        <v>0.86838099999999996</v>
      </c>
      <c r="AB1277">
        <v>29</v>
      </c>
      <c r="AC1277">
        <v>1.2568999999999999</v>
      </c>
      <c r="AD1277">
        <v>-1.1078167334669999</v>
      </c>
      <c r="AE1277">
        <v>-18.593</v>
      </c>
      <c r="AF1277">
        <v>9.3192245558504396</v>
      </c>
      <c r="AG1277">
        <v>-1.1078167334669999</v>
      </c>
      <c r="AH1277">
        <v>16.062065076315399</v>
      </c>
      <c r="AI1277">
        <v>93.414040374129002</v>
      </c>
      <c r="AJ1277">
        <v>59.877654521749598</v>
      </c>
      <c r="AK1277">
        <v>18.602826095868</v>
      </c>
      <c r="AL1277">
        <v>80.592843192393104</v>
      </c>
      <c r="AM1277">
        <v>69.630140682723606</v>
      </c>
      <c r="AN1277">
        <v>1.0000000394345201</v>
      </c>
    </row>
    <row r="1278" spans="1:40" x14ac:dyDescent="0.25">
      <c r="A1278" t="str">
        <f>"20190303162803978"</f>
        <v>20190303162803978</v>
      </c>
      <c r="B1278" t="str">
        <f>"1551601683972711"</f>
        <v>1551601683972711</v>
      </c>
      <c r="C1278" t="s">
        <v>40</v>
      </c>
      <c r="D1278">
        <v>5.2560779999999996</v>
      </c>
      <c r="E1278">
        <v>0.56534240000000002</v>
      </c>
      <c r="F1278" t="s">
        <v>41</v>
      </c>
      <c r="G1278">
        <v>-194.37049999999999</v>
      </c>
      <c r="H1278" s="1">
        <v>-4.7966559999999998E-6</v>
      </c>
      <c r="I1278">
        <v>338.80380000000002</v>
      </c>
      <c r="J1278">
        <v>-195.56700000000001</v>
      </c>
      <c r="K1278">
        <v>1.1078699999999999</v>
      </c>
      <c r="L1278">
        <v>356.8981</v>
      </c>
      <c r="M1278">
        <v>0.5449581</v>
      </c>
      <c r="N1278">
        <v>-1.598844E-2</v>
      </c>
      <c r="O1278">
        <v>-0.83831100000000003</v>
      </c>
      <c r="P1278">
        <v>0.23070160000000001</v>
      </c>
      <c r="Q1278">
        <v>0.155946</v>
      </c>
      <c r="R1278">
        <v>-0.96044649999999998</v>
      </c>
      <c r="S1278">
        <v>0.2290344</v>
      </c>
      <c r="T1278">
        <v>-0.18743570000000001</v>
      </c>
      <c r="U1278">
        <v>-3.1058650000000001</v>
      </c>
      <c r="V1278">
        <v>0.33537</v>
      </c>
      <c r="W1278">
        <v>0.16010489999999999</v>
      </c>
      <c r="X1278">
        <v>0.92838220000000005</v>
      </c>
      <c r="Y1278">
        <v>0.48154000000000002</v>
      </c>
      <c r="Z1278">
        <v>2.6351900000000001E-2</v>
      </c>
      <c r="AA1278">
        <v>0.87602780000000002</v>
      </c>
      <c r="AB1278">
        <v>29</v>
      </c>
      <c r="AC1278">
        <v>1.1965000000000101</v>
      </c>
      <c r="AD1278">
        <v>-1.1078747966560001</v>
      </c>
      <c r="AE1278">
        <v>-18.094299999999901</v>
      </c>
      <c r="AF1278">
        <v>8.8257848101213199</v>
      </c>
      <c r="AG1278">
        <v>-1.1078747966560001</v>
      </c>
      <c r="AH1278">
        <v>15.7638741993804</v>
      </c>
      <c r="AI1278">
        <v>93.509123063769096</v>
      </c>
      <c r="AJ1278">
        <v>60.756665578360199</v>
      </c>
      <c r="AK1278">
        <v>18.100320269363301</v>
      </c>
      <c r="AL1278">
        <v>80.787015539076705</v>
      </c>
      <c r="AM1278">
        <v>70.138186729173498</v>
      </c>
      <c r="AN1278">
        <v>1.00000006259042</v>
      </c>
    </row>
    <row r="1279" spans="1:40" x14ac:dyDescent="0.25">
      <c r="A1279" t="str">
        <f>"20190303162804002"</f>
        <v>20190303162804002</v>
      </c>
      <c r="B1279" t="str">
        <f>"1551601683993207"</f>
        <v>1551601683993207</v>
      </c>
      <c r="C1279" t="s">
        <v>40</v>
      </c>
      <c r="D1279">
        <v>5.278715</v>
      </c>
      <c r="E1279">
        <v>0.56493499999999996</v>
      </c>
      <c r="F1279" t="s">
        <v>41</v>
      </c>
      <c r="G1279">
        <v>-194.40950000000001</v>
      </c>
      <c r="H1279" s="1">
        <v>-5.0695740000000003E-6</v>
      </c>
      <c r="I1279">
        <v>339.58550000000002</v>
      </c>
      <c r="J1279">
        <v>-195.4067</v>
      </c>
      <c r="K1279">
        <v>1.107974</v>
      </c>
      <c r="L1279">
        <v>356.62029999999999</v>
      </c>
      <c r="M1279">
        <v>0.53023339999999997</v>
      </c>
      <c r="N1279">
        <v>-1.5963740000000001E-2</v>
      </c>
      <c r="O1279">
        <v>-0.8477015</v>
      </c>
      <c r="P1279">
        <v>0.22240699999999999</v>
      </c>
      <c r="Q1279">
        <v>0.1522261</v>
      </c>
      <c r="R1279">
        <v>-0.96299670000000004</v>
      </c>
      <c r="S1279">
        <v>0.20765690000000001</v>
      </c>
      <c r="T1279">
        <v>-0.19875619999999999</v>
      </c>
      <c r="U1279">
        <v>-3.1059269999999999</v>
      </c>
      <c r="V1279">
        <v>0.3272815</v>
      </c>
      <c r="W1279">
        <v>0.156773</v>
      </c>
      <c r="X1279">
        <v>0.93183099999999996</v>
      </c>
      <c r="Y1279">
        <v>0.47220590000000001</v>
      </c>
      <c r="Z1279">
        <v>2.991394E-2</v>
      </c>
      <c r="AA1279">
        <v>0.8809806</v>
      </c>
      <c r="AB1279">
        <v>29</v>
      </c>
      <c r="AC1279">
        <v>0.99719999999999198</v>
      </c>
      <c r="AD1279">
        <v>-1.1079790695739999</v>
      </c>
      <c r="AE1279">
        <v>-17.034799999999901</v>
      </c>
      <c r="AF1279">
        <v>8.1537583849034903</v>
      </c>
      <c r="AG1279">
        <v>-1.1079790695739999</v>
      </c>
      <c r="AH1279">
        <v>14.908227527888499</v>
      </c>
      <c r="AI1279">
        <v>93.730672177724102</v>
      </c>
      <c r="AJ1279">
        <v>61.3244233368221</v>
      </c>
      <c r="AK1279">
        <v>17.028406896750202</v>
      </c>
      <c r="AL1279">
        <v>80.980360907653207</v>
      </c>
      <c r="AM1279">
        <v>70.6474961318863</v>
      </c>
      <c r="AN1279">
        <v>0.99999998316612404</v>
      </c>
    </row>
    <row r="1280" spans="1:40" x14ac:dyDescent="0.25">
      <c r="A1280" t="str">
        <f>"20190303162804025"</f>
        <v>20190303162804025</v>
      </c>
      <c r="B1280" t="str">
        <f>"1551601684012257"</f>
        <v>1551601684012257</v>
      </c>
      <c r="C1280" t="s">
        <v>40</v>
      </c>
      <c r="D1280">
        <v>5.2722179999999996</v>
      </c>
      <c r="E1280">
        <v>0.56465350000000003</v>
      </c>
      <c r="F1280" t="s">
        <v>41</v>
      </c>
      <c r="G1280">
        <v>-194.4348</v>
      </c>
      <c r="H1280" s="1">
        <v>-1.4975789999999999E-6</v>
      </c>
      <c r="I1280">
        <v>340.3295</v>
      </c>
      <c r="J1280">
        <v>-195.25880000000001</v>
      </c>
      <c r="K1280">
        <v>1.1081209999999999</v>
      </c>
      <c r="L1280">
        <v>356.35320000000002</v>
      </c>
      <c r="M1280">
        <v>0.51624360000000002</v>
      </c>
      <c r="N1280">
        <v>-1.5929990000000002E-2</v>
      </c>
      <c r="O1280">
        <v>-0.85629369999999905</v>
      </c>
      <c r="P1280">
        <v>0.21477959999999999</v>
      </c>
      <c r="Q1280">
        <v>0.14650389999999999</v>
      </c>
      <c r="R1280">
        <v>-0.96561220000000003</v>
      </c>
      <c r="S1280">
        <v>0.18530269999999999</v>
      </c>
      <c r="T1280">
        <v>-0.21123829999999999</v>
      </c>
      <c r="U1280">
        <v>-3.105896</v>
      </c>
      <c r="V1280">
        <v>0.31954320000000003</v>
      </c>
      <c r="W1280">
        <v>0.1514392</v>
      </c>
      <c r="X1280">
        <v>0.93539209999999995</v>
      </c>
      <c r="Y1280">
        <v>0.4640244</v>
      </c>
      <c r="Z1280">
        <v>3.3773030000000002E-2</v>
      </c>
      <c r="AA1280">
        <v>0.88517839999999903</v>
      </c>
      <c r="AB1280">
        <v>29</v>
      </c>
      <c r="AC1280">
        <v>0.82400000000001195</v>
      </c>
      <c r="AD1280">
        <v>-1.1081224975789901</v>
      </c>
      <c r="AE1280">
        <v>-16.023700000000002</v>
      </c>
      <c r="AF1280">
        <v>7.5315819810825504</v>
      </c>
      <c r="AG1280">
        <v>-1.1081224975789901</v>
      </c>
      <c r="AH1280">
        <v>14.081008474579701</v>
      </c>
      <c r="AI1280">
        <v>93.969584590676206</v>
      </c>
      <c r="AJ1280">
        <v>61.858779145203101</v>
      </c>
      <c r="AK1280">
        <v>16.0071066176431</v>
      </c>
      <c r="AL1280">
        <v>81.289660785755004</v>
      </c>
      <c r="AM1280">
        <v>71.139105679144393</v>
      </c>
      <c r="AN1280">
        <v>1.0000000343526401</v>
      </c>
    </row>
    <row r="1281" spans="1:40" x14ac:dyDescent="0.25">
      <c r="A1281" t="str">
        <f>"20190303162804045"</f>
        <v>20190303162804045</v>
      </c>
      <c r="B1281" t="str">
        <f>"1551601684032753"</f>
        <v>1551601684032753</v>
      </c>
      <c r="C1281" t="s">
        <v>40</v>
      </c>
      <c r="D1281">
        <v>5.2865060000000001</v>
      </c>
      <c r="E1281">
        <v>0.56432850000000001</v>
      </c>
      <c r="F1281" t="s">
        <v>41</v>
      </c>
      <c r="G1281">
        <v>-194.46860000000001</v>
      </c>
      <c r="H1281" s="1">
        <v>-1.9509100000000001E-6</v>
      </c>
      <c r="I1281">
        <v>341.36520000000002</v>
      </c>
      <c r="J1281">
        <v>-195.131</v>
      </c>
      <c r="K1281">
        <v>1.1082809999999901</v>
      </c>
      <c r="L1281">
        <v>356.11430000000001</v>
      </c>
      <c r="M1281">
        <v>0.50389110000000004</v>
      </c>
      <c r="N1281">
        <v>-1.5891849999999999E-2</v>
      </c>
      <c r="O1281">
        <v>-0.86362109999999903</v>
      </c>
      <c r="P1281">
        <v>0.21089649999999999</v>
      </c>
      <c r="Q1281">
        <v>0.1427754</v>
      </c>
      <c r="R1281">
        <v>-0.96702549999999998</v>
      </c>
      <c r="S1281">
        <v>0.16371150000000001</v>
      </c>
      <c r="T1281">
        <v>-0.22958590000000001</v>
      </c>
      <c r="U1281">
        <v>-3.105286</v>
      </c>
      <c r="V1281">
        <v>0.30993179999999998</v>
      </c>
      <c r="W1281">
        <v>0.14816299999999999</v>
      </c>
      <c r="X1281">
        <v>0.93914319999999896</v>
      </c>
      <c r="Y1281">
        <v>0.45740019999999998</v>
      </c>
      <c r="Z1281">
        <v>3.8992350000000002E-2</v>
      </c>
      <c r="AA1281">
        <v>0.88840569999999897</v>
      </c>
      <c r="AB1281">
        <v>29</v>
      </c>
      <c r="AC1281">
        <v>0.66239999999996202</v>
      </c>
      <c r="AD1281">
        <v>-1.1082829509099901</v>
      </c>
      <c r="AE1281">
        <v>-14.7491</v>
      </c>
      <c r="AF1281">
        <v>6.8222995639373103</v>
      </c>
      <c r="AG1281">
        <v>-1.1082829509099901</v>
      </c>
      <c r="AH1281">
        <v>12.9998069383277</v>
      </c>
      <c r="AI1281">
        <v>94.317055794506999</v>
      </c>
      <c r="AJ1281">
        <v>62.309508050759199</v>
      </c>
      <c r="AK1281">
        <v>14.7230106592765</v>
      </c>
      <c r="AL1281">
        <v>81.479515066968105</v>
      </c>
      <c r="AM1281">
        <v>71.736309891434999</v>
      </c>
      <c r="AN1281">
        <v>0.99999997266323903</v>
      </c>
    </row>
    <row r="1282" spans="1:40" x14ac:dyDescent="0.25">
      <c r="A1282" t="str">
        <f>"20190303162804068"</f>
        <v>20190303162804068</v>
      </c>
      <c r="B1282" t="str">
        <f>"1551601684063010"</f>
        <v>1551601684063010</v>
      </c>
      <c r="C1282" t="s">
        <v>40</v>
      </c>
      <c r="D1282">
        <v>5.3136559999999999</v>
      </c>
      <c r="E1282">
        <v>0.55469899999999905</v>
      </c>
      <c r="F1282" t="s">
        <v>41</v>
      </c>
      <c r="G1282">
        <v>-194.42099999999999</v>
      </c>
      <c r="H1282" s="1">
        <v>-2.1164429999999999E-6</v>
      </c>
      <c r="I1282">
        <v>341.78059999999999</v>
      </c>
      <c r="J1282">
        <v>-194.9898</v>
      </c>
      <c r="K1282">
        <v>1.108481</v>
      </c>
      <c r="L1282">
        <v>355.84</v>
      </c>
      <c r="M1282">
        <v>0.48990879999999998</v>
      </c>
      <c r="N1282">
        <v>-1.58406E-2</v>
      </c>
      <c r="O1282">
        <v>-0.87162980000000001</v>
      </c>
      <c r="P1282">
        <v>0.20541309999999999</v>
      </c>
      <c r="Q1282">
        <v>0.1416963</v>
      </c>
      <c r="R1282">
        <v>-0.9683638</v>
      </c>
      <c r="S1282">
        <v>0.1537781</v>
      </c>
      <c r="T1282">
        <v>-0.24001629999999999</v>
      </c>
      <c r="U1282">
        <v>-3.104187</v>
      </c>
      <c r="V1282">
        <v>0.30005110000000002</v>
      </c>
      <c r="W1282">
        <v>0.1475457</v>
      </c>
      <c r="X1282">
        <v>0.94244340000000004</v>
      </c>
      <c r="Y1282">
        <v>0.44585910000000001</v>
      </c>
      <c r="Z1282">
        <v>4.265878E-2</v>
      </c>
      <c r="AA1282">
        <v>0.894086099999999</v>
      </c>
      <c r="AB1282">
        <v>29</v>
      </c>
      <c r="AC1282">
        <v>0.56880000000000996</v>
      </c>
      <c r="AD1282">
        <v>-1.108483116443</v>
      </c>
      <c r="AE1282">
        <v>-14.059399999999901</v>
      </c>
      <c r="AF1282">
        <v>6.3534131404711802</v>
      </c>
      <c r="AG1282">
        <v>-1.108483116443</v>
      </c>
      <c r="AH1282">
        <v>12.457512693424301</v>
      </c>
      <c r="AI1282">
        <v>94.532205402391895</v>
      </c>
      <c r="AJ1282">
        <v>62.978120330221103</v>
      </c>
      <c r="AK1282">
        <v>14.0279797497637</v>
      </c>
      <c r="AL1282">
        <v>81.515276861187303</v>
      </c>
      <c r="AM1282">
        <v>72.339787717765105</v>
      </c>
      <c r="AN1282">
        <v>0.99999997920162997</v>
      </c>
    </row>
    <row r="1283" spans="1:40" x14ac:dyDescent="0.25">
      <c r="A1283" t="str">
        <f>"20190303162804090"</f>
        <v>20190303162804090</v>
      </c>
      <c r="B1283" t="str">
        <f>"1551601684082529"</f>
        <v>1551601684082529</v>
      </c>
      <c r="C1283" t="s">
        <v>40</v>
      </c>
      <c r="D1283">
        <v>5.2150740000000004</v>
      </c>
      <c r="E1283">
        <v>0.55476359999999902</v>
      </c>
      <c r="F1283" t="s">
        <v>41</v>
      </c>
      <c r="G1283">
        <v>-194.09020000000001</v>
      </c>
      <c r="H1283" s="1">
        <v>-2.4726310000000001E-6</v>
      </c>
      <c r="I1283">
        <v>342.81599999999997</v>
      </c>
      <c r="J1283">
        <v>-194.85749999999999</v>
      </c>
      <c r="K1283">
        <v>1.108697</v>
      </c>
      <c r="L1283">
        <v>355.5736</v>
      </c>
      <c r="M1283">
        <v>0.47654560000000001</v>
      </c>
      <c r="N1283">
        <v>-1.578738E-2</v>
      </c>
      <c r="O1283">
        <v>-0.87900809999999996</v>
      </c>
      <c r="P1283">
        <v>0.1974841</v>
      </c>
      <c r="Q1283">
        <v>0.1412841</v>
      </c>
      <c r="R1283">
        <v>-0.97007180000000004</v>
      </c>
      <c r="S1283">
        <v>0.21351619999999999</v>
      </c>
      <c r="T1283">
        <v>-0.26309939999999998</v>
      </c>
      <c r="U1283">
        <v>-3.0912480000000002</v>
      </c>
      <c r="V1283">
        <v>0.29328870000000001</v>
      </c>
      <c r="W1283">
        <v>0.14747829999999901</v>
      </c>
      <c r="X1283">
        <v>0.94458030000000004</v>
      </c>
      <c r="Y1283">
        <v>0.41456229999999999</v>
      </c>
      <c r="Z1283">
        <v>5.0174009999999998E-2</v>
      </c>
      <c r="AA1283">
        <v>0.90863669999999996</v>
      </c>
      <c r="AB1283">
        <v>29</v>
      </c>
      <c r="AC1283">
        <v>0.767299999999977</v>
      </c>
      <c r="AD1283">
        <v>-1.108699472631</v>
      </c>
      <c r="AE1283">
        <v>-12.7576</v>
      </c>
      <c r="AF1283">
        <v>5.3654123059824999</v>
      </c>
      <c r="AG1283">
        <v>-1.108699472631</v>
      </c>
      <c r="AH1283">
        <v>11.494629329872</v>
      </c>
      <c r="AI1283">
        <v>94.9950190041843</v>
      </c>
      <c r="AJ1283">
        <v>64.977982285203794</v>
      </c>
      <c r="AK1283">
        <v>12.733552809995899</v>
      </c>
      <c r="AL1283">
        <v>81.519181717377606</v>
      </c>
      <c r="AM1283">
        <v>72.750624005935805</v>
      </c>
      <c r="AN1283">
        <v>1.00000002683333</v>
      </c>
    </row>
    <row r="1284" spans="1:40" x14ac:dyDescent="0.25">
      <c r="A1284" t="str">
        <f>"20190303162804113"</f>
        <v>20190303162804113</v>
      </c>
      <c r="B1284" t="str">
        <f>"1551601684103026"</f>
        <v>1551601684103026</v>
      </c>
      <c r="C1284" t="s">
        <v>40</v>
      </c>
      <c r="D1284">
        <v>5.2669629999999996</v>
      </c>
      <c r="E1284">
        <v>0.55465869999999995</v>
      </c>
      <c r="F1284" t="s">
        <v>41</v>
      </c>
      <c r="G1284">
        <v>-194.0515</v>
      </c>
      <c r="H1284" s="1">
        <v>-2.3177989999999998E-6</v>
      </c>
      <c r="I1284">
        <v>342.47910000000002</v>
      </c>
      <c r="J1284">
        <v>-194.72819999999999</v>
      </c>
      <c r="K1284">
        <v>1.1089580000000001</v>
      </c>
      <c r="L1284">
        <v>355.30369999999999</v>
      </c>
      <c r="M1284">
        <v>0.46328019999999998</v>
      </c>
      <c r="N1284">
        <v>-1.572803E-2</v>
      </c>
      <c r="O1284">
        <v>-0.88607219999999998</v>
      </c>
      <c r="P1284">
        <v>0.18864639999999999</v>
      </c>
      <c r="Q1284">
        <v>0.1401896</v>
      </c>
      <c r="R1284">
        <v>-0.97198739999999995</v>
      </c>
      <c r="S1284">
        <v>0.19032289999999999</v>
      </c>
      <c r="T1284">
        <v>-0.2617931</v>
      </c>
      <c r="U1284">
        <v>-3.0919490000000001</v>
      </c>
      <c r="V1284">
        <v>0.28762179999999998</v>
      </c>
      <c r="W1284">
        <v>0.14669960000000001</v>
      </c>
      <c r="X1284">
        <v>0.94644220000000001</v>
      </c>
      <c r="Y1284">
        <v>0.40769169999999999</v>
      </c>
      <c r="Z1284">
        <v>5.0878520000000003E-2</v>
      </c>
      <c r="AA1284">
        <v>0.91170110000000004</v>
      </c>
      <c r="AB1284">
        <v>29</v>
      </c>
      <c r="AC1284">
        <v>0.67669999999998198</v>
      </c>
      <c r="AD1284">
        <v>-1.108960317799</v>
      </c>
      <c r="AE1284">
        <v>-12.824599999999901</v>
      </c>
      <c r="AF1284">
        <v>5.30289816922427</v>
      </c>
      <c r="AG1284">
        <v>-1.108960317799</v>
      </c>
      <c r="AH1284">
        <v>11.592032266861599</v>
      </c>
      <c r="AI1284">
        <v>94.971933998611703</v>
      </c>
      <c r="AJ1284">
        <v>65.417771522440603</v>
      </c>
      <c r="AK1284">
        <v>12.7955357080341</v>
      </c>
      <c r="AL1284">
        <v>81.564287947235201</v>
      </c>
      <c r="AM1284">
        <v>73.096083188628896</v>
      </c>
      <c r="AN1284">
        <v>0.99999995520811802</v>
      </c>
    </row>
    <row r="1285" spans="1:40" x14ac:dyDescent="0.25">
      <c r="A1285" t="str">
        <f>"20190303162804134"</f>
        <v>20190303162804134</v>
      </c>
      <c r="B1285" t="str">
        <f>"1551601684123052"</f>
        <v>1551601684123052</v>
      </c>
      <c r="C1285" t="s">
        <v>40</v>
      </c>
      <c r="D1285">
        <v>5.2405309999999998</v>
      </c>
      <c r="E1285">
        <v>0.55453599999999903</v>
      </c>
      <c r="F1285" t="s">
        <v>41</v>
      </c>
      <c r="G1285">
        <v>-194.0342</v>
      </c>
      <c r="H1285" s="1">
        <v>-2.1622639999999999E-6</v>
      </c>
      <c r="I1285">
        <v>342.12729999999999</v>
      </c>
      <c r="J1285">
        <v>-194.6113</v>
      </c>
      <c r="K1285">
        <v>1.109251</v>
      </c>
      <c r="L1285">
        <v>355.05090000000001</v>
      </c>
      <c r="M1285">
        <v>0.45116630000000002</v>
      </c>
      <c r="N1285">
        <v>-1.5663469999999999E-2</v>
      </c>
      <c r="O1285">
        <v>-0.89230259999999995</v>
      </c>
      <c r="P1285">
        <v>0.181922</v>
      </c>
      <c r="Q1285">
        <v>0.1408517</v>
      </c>
      <c r="R1285">
        <v>-0.97317299999999995</v>
      </c>
      <c r="S1285">
        <v>0.1628723</v>
      </c>
      <c r="T1285">
        <v>-0.26025930000000003</v>
      </c>
      <c r="U1285">
        <v>-3.092346</v>
      </c>
      <c r="V1285">
        <v>0.28112859999999901</v>
      </c>
      <c r="W1285">
        <v>0.14770469999999999</v>
      </c>
      <c r="X1285">
        <v>0.9482353</v>
      </c>
      <c r="Y1285">
        <v>0.40333459999999899</v>
      </c>
      <c r="Z1285">
        <v>5.1372170000000002E-2</v>
      </c>
      <c r="AA1285">
        <v>0.91360940000000002</v>
      </c>
      <c r="AB1285">
        <v>29</v>
      </c>
      <c r="AC1285">
        <v>0.57710000000000095</v>
      </c>
      <c r="AD1285">
        <v>-1.1092531622640001</v>
      </c>
      <c r="AE1285">
        <v>-12.9236</v>
      </c>
      <c r="AF1285">
        <v>5.2775933847005696</v>
      </c>
      <c r="AG1285">
        <v>-1.1092531622640001</v>
      </c>
      <c r="AH1285">
        <v>11.707496776247</v>
      </c>
      <c r="AI1285">
        <v>94.936760447412496</v>
      </c>
      <c r="AJ1285">
        <v>65.734742818833496</v>
      </c>
      <c r="AK1285">
        <v>12.889876464809999</v>
      </c>
      <c r="AL1285">
        <v>81.506066740712697</v>
      </c>
      <c r="AM1285">
        <v>73.486196495503094</v>
      </c>
      <c r="AN1285">
        <v>1.0000000761530601</v>
      </c>
    </row>
    <row r="1286" spans="1:40" x14ac:dyDescent="0.25">
      <c r="A1286" t="str">
        <f>"20190303162804159"</f>
        <v>20190303162804159</v>
      </c>
      <c r="B1286" t="str">
        <f>"1551601684152331"</f>
        <v>1551601684152331</v>
      </c>
      <c r="C1286" t="s">
        <v>40</v>
      </c>
      <c r="D1286">
        <v>5.1893570000000002</v>
      </c>
      <c r="E1286">
        <v>0.55462069999999997</v>
      </c>
      <c r="F1286" t="s">
        <v>41</v>
      </c>
      <c r="G1286">
        <v>-193.989</v>
      </c>
      <c r="H1286" s="1">
        <v>-1.8724310000000001E-6</v>
      </c>
      <c r="I1286">
        <v>341.47969999999998</v>
      </c>
      <c r="J1286">
        <v>-194.47540000000001</v>
      </c>
      <c r="K1286">
        <v>1.109661</v>
      </c>
      <c r="L1286">
        <v>354.7466</v>
      </c>
      <c r="M1286">
        <v>0.43705060000000001</v>
      </c>
      <c r="N1286">
        <v>-1.557266E-2</v>
      </c>
      <c r="O1286">
        <v>-0.89930209999999999</v>
      </c>
      <c r="P1286">
        <v>0.17401140000000001</v>
      </c>
      <c r="Q1286">
        <v>0.1434638</v>
      </c>
      <c r="R1286">
        <v>-0.97423729999999997</v>
      </c>
      <c r="S1286">
        <v>0.1418152</v>
      </c>
      <c r="T1286">
        <v>-0.25278879999999998</v>
      </c>
      <c r="U1286">
        <v>-3.092743</v>
      </c>
      <c r="V1286">
        <v>0.27362779999999998</v>
      </c>
      <c r="W1286">
        <v>0.15073349999999999</v>
      </c>
      <c r="X1286">
        <v>0.9499512</v>
      </c>
      <c r="Y1286">
        <v>0.39513599999999999</v>
      </c>
      <c r="Z1286">
        <v>5.0513019999999999E-2</v>
      </c>
      <c r="AA1286">
        <v>0.91723279999999996</v>
      </c>
      <c r="AB1286">
        <v>29</v>
      </c>
      <c r="AC1286">
        <v>0.486400000000003</v>
      </c>
      <c r="AD1286">
        <v>-1.109662872431</v>
      </c>
      <c r="AE1286">
        <v>-13.2669</v>
      </c>
      <c r="AF1286">
        <v>5.3243377054029501</v>
      </c>
      <c r="AG1286">
        <v>-1.109662872431</v>
      </c>
      <c r="AH1286">
        <v>12.0607427375274</v>
      </c>
      <c r="AI1286">
        <v>94.811203783284896</v>
      </c>
      <c r="AJ1286">
        <v>66.180450784228199</v>
      </c>
      <c r="AK1286">
        <v>13.230322712331899</v>
      </c>
      <c r="AL1286">
        <v>81.330563851241493</v>
      </c>
      <c r="AM1286">
        <v>73.931268415985301</v>
      </c>
      <c r="AN1286">
        <v>1.0000000216682601</v>
      </c>
    </row>
    <row r="1287" spans="1:40" x14ac:dyDescent="0.25">
      <c r="A1287" t="str">
        <f>"20190303162804180"</f>
        <v>20190303162804180</v>
      </c>
      <c r="B1287" t="str">
        <f>"1551601684172828"</f>
        <v>1551601684172828</v>
      </c>
      <c r="C1287" t="s">
        <v>40</v>
      </c>
      <c r="D1287">
        <v>5.1684850000000004</v>
      </c>
      <c r="E1287">
        <v>0.55439110000000003</v>
      </c>
      <c r="F1287" t="s">
        <v>41</v>
      </c>
      <c r="G1287">
        <v>-193.92590000000001</v>
      </c>
      <c r="H1287" s="1">
        <v>-1.330966E-6</v>
      </c>
      <c r="I1287">
        <v>340.25670000000002</v>
      </c>
      <c r="J1287">
        <v>-194.36189999999999</v>
      </c>
      <c r="K1287">
        <v>1.1100939999999999</v>
      </c>
      <c r="L1287">
        <v>354.48320000000001</v>
      </c>
      <c r="M1287">
        <v>0.42533700000000002</v>
      </c>
      <c r="N1287">
        <v>-1.5481669999999999E-2</v>
      </c>
      <c r="O1287">
        <v>-0.90490250000000005</v>
      </c>
      <c r="P1287">
        <v>0.16871429999999901</v>
      </c>
      <c r="Q1287">
        <v>0.14565999999999901</v>
      </c>
      <c r="R1287">
        <v>-0.97484300000000002</v>
      </c>
      <c r="S1287">
        <v>0.1173096</v>
      </c>
      <c r="T1287">
        <v>-0.23688909999999999</v>
      </c>
      <c r="U1287">
        <v>-3.0932919999999999</v>
      </c>
      <c r="V1287">
        <v>0.26619920000000002</v>
      </c>
      <c r="W1287">
        <v>0.1533398</v>
      </c>
      <c r="X1287">
        <v>0.95164329999999997</v>
      </c>
      <c r="Y1287">
        <v>0.39049030000000001</v>
      </c>
      <c r="Z1287">
        <v>4.7151039999999998E-2</v>
      </c>
      <c r="AA1287">
        <v>0.91939879999999996</v>
      </c>
      <c r="AB1287">
        <v>29</v>
      </c>
      <c r="AC1287">
        <v>0.43599999999997802</v>
      </c>
      <c r="AD1287">
        <v>-1.110095330966</v>
      </c>
      <c r="AE1287">
        <v>-14.2264999999999</v>
      </c>
      <c r="AF1287">
        <v>5.6229933866973898</v>
      </c>
      <c r="AG1287">
        <v>-1.110095330966</v>
      </c>
      <c r="AH1287">
        <v>12.9816419498567</v>
      </c>
      <c r="AI1287">
        <v>94.486687353152703</v>
      </c>
      <c r="AJ1287">
        <v>66.580169305466299</v>
      </c>
      <c r="AK1287">
        <v>14.190609359183799</v>
      </c>
      <c r="AL1287">
        <v>81.179477574155499</v>
      </c>
      <c r="AM1287">
        <v>74.372321997753104</v>
      </c>
      <c r="AN1287">
        <v>1.0000000393897801</v>
      </c>
    </row>
    <row r="1288" spans="1:40" x14ac:dyDescent="0.25">
      <c r="A1288" t="str">
        <f>"20190303162804203"</f>
        <v>20190303162804203</v>
      </c>
      <c r="B1288" t="str">
        <f>"1551601684192348"</f>
        <v>1551601684192348</v>
      </c>
      <c r="C1288" t="s">
        <v>40</v>
      </c>
      <c r="D1288">
        <v>5.1379210000000004</v>
      </c>
      <c r="E1288">
        <v>0.55400269999999996</v>
      </c>
      <c r="F1288" t="s">
        <v>41</v>
      </c>
      <c r="G1288">
        <v>-193.85599999999999</v>
      </c>
      <c r="H1288" s="1">
        <v>-4.8955890000000001E-6</v>
      </c>
      <c r="I1288">
        <v>339.36279999999999</v>
      </c>
      <c r="J1288">
        <v>-194.25139999999999</v>
      </c>
      <c r="K1288">
        <v>1.1106020000000001</v>
      </c>
      <c r="L1288">
        <v>354.21899999999999</v>
      </c>
      <c r="M1288">
        <v>0.41414590000000001</v>
      </c>
      <c r="N1288">
        <v>-1.5379489999999999E-2</v>
      </c>
      <c r="O1288">
        <v>-0.91008089999999997</v>
      </c>
      <c r="P1288">
        <v>0.1617487</v>
      </c>
      <c r="Q1288">
        <v>0.14592079999999999</v>
      </c>
      <c r="R1288">
        <v>-0.97598419999999997</v>
      </c>
      <c r="S1288">
        <v>0.10350040000000001</v>
      </c>
      <c r="T1288">
        <v>-0.22710649999999999</v>
      </c>
      <c r="U1288">
        <v>-3.0933839999999999</v>
      </c>
      <c r="V1288">
        <v>0.26104830000000001</v>
      </c>
      <c r="W1288">
        <v>0.15397069999999999</v>
      </c>
      <c r="X1288">
        <v>0.95296729999999996</v>
      </c>
      <c r="Y1288">
        <v>0.38324780000000003</v>
      </c>
      <c r="Z1288">
        <v>4.5340779999999997E-2</v>
      </c>
      <c r="AA1288">
        <v>0.92253200000000002</v>
      </c>
      <c r="AB1288">
        <v>29</v>
      </c>
      <c r="AC1288">
        <v>0.39539999999999498</v>
      </c>
      <c r="AD1288">
        <v>-1.1106068955890001</v>
      </c>
      <c r="AE1288">
        <v>-14.856199999999999</v>
      </c>
      <c r="AF1288">
        <v>5.7612968387608596</v>
      </c>
      <c r="AG1288">
        <v>-1.1106068955890001</v>
      </c>
      <c r="AH1288">
        <v>13.609705925423301</v>
      </c>
      <c r="AI1288">
        <v>94.297586380771904</v>
      </c>
      <c r="AJ1288">
        <v>67.055958764995196</v>
      </c>
      <c r="AK1288">
        <v>14.8205966248781</v>
      </c>
      <c r="AL1288">
        <v>81.142894286047095</v>
      </c>
      <c r="AM1288">
        <v>74.680650442029901</v>
      </c>
      <c r="AN1288">
        <v>0.99999993313033197</v>
      </c>
    </row>
    <row r="1289" spans="1:40" x14ac:dyDescent="0.25">
      <c r="A1289" t="str">
        <f>"20190303162804227"</f>
        <v>20190303162804227</v>
      </c>
      <c r="B1289" t="str">
        <f>"1551601684212375"</f>
        <v>1551601684212375</v>
      </c>
      <c r="C1289" t="s">
        <v>40</v>
      </c>
      <c r="D1289">
        <v>5.1522459999999999</v>
      </c>
      <c r="E1289">
        <v>0.55370489999999895</v>
      </c>
      <c r="F1289" t="s">
        <v>41</v>
      </c>
      <c r="G1289">
        <v>-193.82400000000001</v>
      </c>
      <c r="H1289" s="1">
        <v>-4.7257670000000003E-6</v>
      </c>
      <c r="I1289">
        <v>338.88040000000001</v>
      </c>
      <c r="J1289">
        <v>-194.13509999999999</v>
      </c>
      <c r="K1289">
        <v>1.111237</v>
      </c>
      <c r="L1289">
        <v>353.93189999999998</v>
      </c>
      <c r="M1289">
        <v>0.4027925</v>
      </c>
      <c r="N1289">
        <v>-1.5255110000000001E-2</v>
      </c>
      <c r="O1289">
        <v>-0.91516419999999998</v>
      </c>
      <c r="P1289">
        <v>0.1515764</v>
      </c>
      <c r="Q1289">
        <v>0.1464964</v>
      </c>
      <c r="R1289">
        <v>-0.97752950000000005</v>
      </c>
      <c r="S1289">
        <v>8.6196899999999896E-2</v>
      </c>
      <c r="T1289">
        <v>-0.22395409999999999</v>
      </c>
      <c r="U1289">
        <v>-3.0930179999999998</v>
      </c>
      <c r="V1289">
        <v>0.25884940000000001</v>
      </c>
      <c r="W1289">
        <v>0.1548861</v>
      </c>
      <c r="X1289">
        <v>0.95341869999999995</v>
      </c>
      <c r="Y1289">
        <v>0.37691520000000001</v>
      </c>
      <c r="Z1289">
        <v>4.5255829999999997E-2</v>
      </c>
      <c r="AA1289">
        <v>0.92514149999999995</v>
      </c>
      <c r="AB1289">
        <v>29</v>
      </c>
      <c r="AC1289">
        <v>0.311099999999981</v>
      </c>
      <c r="AD1289">
        <v>-1.111241725767</v>
      </c>
      <c r="AE1289">
        <v>-15.0514999999999</v>
      </c>
      <c r="AF1289">
        <v>5.7472823659569903</v>
      </c>
      <c r="AG1289">
        <v>-1.111241725767</v>
      </c>
      <c r="AH1289">
        <v>13.8261890276169</v>
      </c>
      <c r="AI1289">
        <v>94.244465250521799</v>
      </c>
      <c r="AJ1289">
        <v>67.428278264600294</v>
      </c>
      <c r="AK1289">
        <v>15.0143136970865</v>
      </c>
      <c r="AL1289">
        <v>81.089809212161299</v>
      </c>
      <c r="AM1289">
        <v>74.810562474117503</v>
      </c>
      <c r="AN1289">
        <v>0.99999996668162905</v>
      </c>
    </row>
    <row r="1290" spans="1:40" x14ac:dyDescent="0.25">
      <c r="A1290" t="str">
        <f>"20190303162804248"</f>
        <v>20190303162804248</v>
      </c>
      <c r="B1290" t="str">
        <f>"1551601684242632"</f>
        <v>1551601684242632</v>
      </c>
      <c r="C1290" t="s">
        <v>40</v>
      </c>
      <c r="D1290">
        <v>5.1190449999999998</v>
      </c>
      <c r="E1290">
        <v>0.55333279999999996</v>
      </c>
      <c r="F1290" t="s">
        <v>41</v>
      </c>
      <c r="G1290">
        <v>-193.82499999999999</v>
      </c>
      <c r="H1290" s="1">
        <v>-4.6238620000000001E-6</v>
      </c>
      <c r="I1290">
        <v>338.5804</v>
      </c>
      <c r="J1290">
        <v>-194.02950000000001</v>
      </c>
      <c r="K1290">
        <v>1.111888</v>
      </c>
      <c r="L1290">
        <v>353.66449999999998</v>
      </c>
      <c r="M1290">
        <v>0.3929822</v>
      </c>
      <c r="N1290">
        <v>-1.5132970000000001E-2</v>
      </c>
      <c r="O1290">
        <v>-0.91942159999999995</v>
      </c>
      <c r="P1290">
        <v>0.14168149999999999</v>
      </c>
      <c r="Q1290">
        <v>0.14367669999999999</v>
      </c>
      <c r="R1290">
        <v>-0.97943009999999997</v>
      </c>
      <c r="S1290">
        <v>6.2469480000000001E-2</v>
      </c>
      <c r="T1290">
        <v>-0.22388050000000001</v>
      </c>
      <c r="U1290">
        <v>-3.0928339999999999</v>
      </c>
      <c r="V1290">
        <v>0.25814520000000002</v>
      </c>
      <c r="W1290">
        <v>0.15238090000000001</v>
      </c>
      <c r="X1290">
        <v>0.95401320000000001</v>
      </c>
      <c r="Y1290">
        <v>0.37410589999999999</v>
      </c>
      <c r="Z1290">
        <v>4.5836170000000002E-2</v>
      </c>
      <c r="AA1290">
        <v>0.92625250000000003</v>
      </c>
      <c r="AB1290">
        <v>29</v>
      </c>
      <c r="AC1290">
        <v>0.204500000000024</v>
      </c>
      <c r="AD1290">
        <v>-1.1118926238619999</v>
      </c>
      <c r="AE1290">
        <v>-15.0840999999999</v>
      </c>
      <c r="AF1290">
        <v>5.7094013016758698</v>
      </c>
      <c r="AG1290">
        <v>-1.1118926238619999</v>
      </c>
      <c r="AH1290">
        <v>13.8752305740565</v>
      </c>
      <c r="AI1290">
        <v>94.238244419638505</v>
      </c>
      <c r="AJ1290">
        <v>67.633738308384096</v>
      </c>
      <c r="AK1290">
        <v>15.0451185410355</v>
      </c>
      <c r="AL1290">
        <v>81.235071807987893</v>
      </c>
      <c r="AM1290">
        <v>74.858990884021907</v>
      </c>
      <c r="AN1290">
        <v>1.00000003437104</v>
      </c>
    </row>
    <row r="1291" spans="1:40" x14ac:dyDescent="0.25">
      <c r="A1291" t="str">
        <f>"20190303162804270"</f>
        <v>20190303162804270</v>
      </c>
      <c r="B1291" t="str">
        <f>"1551601684263128"</f>
        <v>1551601684263128</v>
      </c>
      <c r="C1291" t="s">
        <v>40</v>
      </c>
      <c r="D1291">
        <v>5.111942</v>
      </c>
      <c r="E1291">
        <v>0.54809839999999999</v>
      </c>
      <c r="F1291" t="s">
        <v>41</v>
      </c>
      <c r="G1291">
        <v>-193.84049999999999</v>
      </c>
      <c r="H1291" s="1">
        <v>-4.7535250000000004E-6</v>
      </c>
      <c r="I1291">
        <v>338.95339999999999</v>
      </c>
      <c r="J1291">
        <v>-193.9196</v>
      </c>
      <c r="K1291">
        <v>1.112554</v>
      </c>
      <c r="L1291">
        <v>353.37920000000003</v>
      </c>
      <c r="M1291">
        <v>0.38324419999999998</v>
      </c>
      <c r="N1291">
        <v>-1.500639E-2</v>
      </c>
      <c r="O1291">
        <v>-0.92352520000000005</v>
      </c>
      <c r="P1291">
        <v>0.13521129999999901</v>
      </c>
      <c r="Q1291">
        <v>0.14050409999999999</v>
      </c>
      <c r="R1291">
        <v>-0.98080429999999996</v>
      </c>
      <c r="S1291">
        <v>3.9733890000000001E-2</v>
      </c>
      <c r="T1291">
        <v>-0.23366529999999999</v>
      </c>
      <c r="U1291">
        <v>-3.0915530000000002</v>
      </c>
      <c r="V1291">
        <v>0.25420930000000003</v>
      </c>
      <c r="W1291">
        <v>0.14960870000000001</v>
      </c>
      <c r="X1291">
        <v>0.95550760000000001</v>
      </c>
      <c r="Y1291">
        <v>0.37110149999999997</v>
      </c>
      <c r="Z1291">
        <v>4.9121789999999999E-2</v>
      </c>
      <c r="AA1291">
        <v>0.92729220000000001</v>
      </c>
      <c r="AB1291">
        <v>29</v>
      </c>
      <c r="AC1291">
        <v>7.9100000000010995E-2</v>
      </c>
      <c r="AD1291">
        <v>-1.1125587535250001</v>
      </c>
      <c r="AE1291">
        <v>-14.425800000000001</v>
      </c>
      <c r="AF1291">
        <v>5.4239073610744297</v>
      </c>
      <c r="AG1291">
        <v>-1.1125587535250001</v>
      </c>
      <c r="AH1291">
        <v>13.275448381508999</v>
      </c>
      <c r="AI1291">
        <v>94.436143061007897</v>
      </c>
      <c r="AJ1291">
        <v>67.776705608797698</v>
      </c>
      <c r="AK1291">
        <v>14.3838133946347</v>
      </c>
      <c r="AL1291">
        <v>81.395748748632698</v>
      </c>
      <c r="AM1291">
        <v>75.101770392053993</v>
      </c>
      <c r="AN1291">
        <v>0.99999995248996798</v>
      </c>
    </row>
    <row r="1292" spans="1:40" x14ac:dyDescent="0.25">
      <c r="A1292" t="str">
        <f>"20190303162804294"</f>
        <v>20190303162804294</v>
      </c>
      <c r="B1292" t="str">
        <f>"1551601684283624"</f>
        <v>1551601684283624</v>
      </c>
      <c r="C1292" t="s">
        <v>40</v>
      </c>
      <c r="D1292">
        <v>5.1343389999999998</v>
      </c>
      <c r="E1292">
        <v>0.54711290000000001</v>
      </c>
      <c r="F1292" t="s">
        <v>41</v>
      </c>
      <c r="G1292">
        <v>-193.61609999999999</v>
      </c>
      <c r="H1292" s="1">
        <v>-4.2103329999999996E-6</v>
      </c>
      <c r="I1292">
        <v>337.4742</v>
      </c>
      <c r="J1292">
        <v>-193.8185</v>
      </c>
      <c r="K1292">
        <v>1.113167</v>
      </c>
      <c r="L1292">
        <v>353.11099999999999</v>
      </c>
      <c r="M1292">
        <v>0.37483080000000002</v>
      </c>
      <c r="N1292">
        <v>-1.4893200000000001E-2</v>
      </c>
      <c r="O1292">
        <v>-0.92697370000000001</v>
      </c>
      <c r="P1292">
        <v>0.13200979999999901</v>
      </c>
      <c r="Q1292">
        <v>0.13963339999999999</v>
      </c>
      <c r="R1292">
        <v>-0.98136429999999997</v>
      </c>
      <c r="S1292">
        <v>5.8792110000000002E-2</v>
      </c>
      <c r="T1292">
        <v>-0.21554970000000001</v>
      </c>
      <c r="U1292">
        <v>-3.0814819999999998</v>
      </c>
      <c r="V1292">
        <v>0.2484257</v>
      </c>
      <c r="W1292">
        <v>0.14914150000000001</v>
      </c>
      <c r="X1292">
        <v>0.95710059999999997</v>
      </c>
      <c r="Y1292">
        <v>0.35687659999999999</v>
      </c>
      <c r="Z1292">
        <v>4.5050359999999998E-2</v>
      </c>
      <c r="AA1292">
        <v>0.93306460000000002</v>
      </c>
      <c r="AB1292">
        <v>29</v>
      </c>
      <c r="AC1292">
        <v>0.20240000000001099</v>
      </c>
      <c r="AD1292">
        <v>-1.113171210333</v>
      </c>
      <c r="AE1292">
        <v>-15.6367999999999</v>
      </c>
      <c r="AF1292">
        <v>5.6455572607874798</v>
      </c>
      <c r="AG1292">
        <v>-1.113171210333</v>
      </c>
      <c r="AH1292">
        <v>14.4989162693397</v>
      </c>
      <c r="AI1292">
        <v>94.092192261203394</v>
      </c>
      <c r="AJ1292">
        <v>68.725161984205101</v>
      </c>
      <c r="AK1292">
        <v>15.599039711266499</v>
      </c>
      <c r="AL1292">
        <v>81.422821803729903</v>
      </c>
      <c r="AM1292">
        <v>75.449362698380696</v>
      </c>
      <c r="AN1292">
        <v>1.0000000369815401</v>
      </c>
    </row>
    <row r="1293" spans="1:40" x14ac:dyDescent="0.25">
      <c r="A1293" t="str">
        <f>"20190303162804316"</f>
        <v>20190303162804316</v>
      </c>
      <c r="B1293" t="str">
        <f>"1551601684312904"</f>
        <v>1551601684312904</v>
      </c>
      <c r="C1293" t="s">
        <v>40</v>
      </c>
      <c r="D1293">
        <v>5.0255210000000003</v>
      </c>
      <c r="E1293">
        <v>0.54930919999999905</v>
      </c>
      <c r="F1293" t="s">
        <v>41</v>
      </c>
      <c r="G1293">
        <v>-193.5368</v>
      </c>
      <c r="H1293" s="1">
        <v>-4.2077109999999996E-6</v>
      </c>
      <c r="I1293">
        <v>337.50779999999997</v>
      </c>
      <c r="J1293">
        <v>-193.714</v>
      </c>
      <c r="K1293">
        <v>1.113815</v>
      </c>
      <c r="L1293">
        <v>352.82810000000001</v>
      </c>
      <c r="M1293">
        <v>0.36678680000000002</v>
      </c>
      <c r="N1293">
        <v>-1.477472E-2</v>
      </c>
      <c r="O1293">
        <v>-0.93018789999999996</v>
      </c>
      <c r="P1293">
        <v>0.12674679999999999</v>
      </c>
      <c r="Q1293">
        <v>0.1410515</v>
      </c>
      <c r="R1293">
        <v>-0.98185560000000005</v>
      </c>
      <c r="S1293">
        <v>5.5618290000000001E-2</v>
      </c>
      <c r="T1293">
        <v>-0.2197906</v>
      </c>
      <c r="U1293">
        <v>-3.0807799999999999</v>
      </c>
      <c r="V1293">
        <v>0.2449704</v>
      </c>
      <c r="W1293">
        <v>0.15090419999999999</v>
      </c>
      <c r="X1293">
        <v>0.95771470000000003</v>
      </c>
      <c r="Y1293">
        <v>0.34973660000000001</v>
      </c>
      <c r="Z1293">
        <v>4.6789320000000002E-2</v>
      </c>
      <c r="AA1293">
        <v>0.93567900000000004</v>
      </c>
      <c r="AB1293">
        <v>29</v>
      </c>
      <c r="AC1293">
        <v>0.177200000000027</v>
      </c>
      <c r="AD1293">
        <v>-1.1138192077110001</v>
      </c>
      <c r="AE1293">
        <v>-15.3203</v>
      </c>
      <c r="AF1293">
        <v>5.4263710861072898</v>
      </c>
      <c r="AG1293">
        <v>-1.1138192077110001</v>
      </c>
      <c r="AH1293">
        <v>14.2420445812437</v>
      </c>
      <c r="AI1293">
        <v>94.179831598342204</v>
      </c>
      <c r="AJ1293">
        <v>69.142625066816905</v>
      </c>
      <c r="AK1293">
        <v>15.2814243526492</v>
      </c>
      <c r="AL1293">
        <v>81.320670196135595</v>
      </c>
      <c r="AM1293">
        <v>75.652149438036105</v>
      </c>
      <c r="AN1293">
        <v>1.00000001052494</v>
      </c>
    </row>
    <row r="1294" spans="1:40" x14ac:dyDescent="0.25">
      <c r="A1294" t="str">
        <f>"20190303162804337"</f>
        <v>20190303162804337</v>
      </c>
      <c r="B1294" t="str">
        <f>"1551601684332424"</f>
        <v>1551601684332424</v>
      </c>
      <c r="C1294" t="s">
        <v>40</v>
      </c>
      <c r="D1294">
        <v>5.0496449999999999</v>
      </c>
      <c r="E1294">
        <v>0.54905869999999901</v>
      </c>
      <c r="F1294" t="s">
        <v>41</v>
      </c>
      <c r="G1294">
        <v>-193.5521</v>
      </c>
      <c r="H1294" s="1">
        <v>-4.3449349999999996E-6</v>
      </c>
      <c r="I1294">
        <v>327.90300000000002</v>
      </c>
      <c r="J1294">
        <v>-193.61859999999999</v>
      </c>
      <c r="K1294">
        <v>1.114436</v>
      </c>
      <c r="L1294">
        <v>352.56509999999997</v>
      </c>
      <c r="M1294">
        <v>0.36005870000000001</v>
      </c>
      <c r="N1294">
        <v>-1.4664409999999999E-2</v>
      </c>
      <c r="O1294">
        <v>-0.93281449999999999</v>
      </c>
      <c r="P1294">
        <v>0.12113549999999999</v>
      </c>
      <c r="Q1294">
        <v>0.14084199999999999</v>
      </c>
      <c r="R1294">
        <v>-0.98259370000000001</v>
      </c>
      <c r="S1294">
        <v>1.9958500000000001E-2</v>
      </c>
      <c r="T1294">
        <v>-0.1373047</v>
      </c>
      <c r="U1294">
        <v>-3.0726010000000001</v>
      </c>
      <c r="V1294">
        <v>0.24330289999999999</v>
      </c>
      <c r="W1294">
        <v>0.15098010000000001</v>
      </c>
      <c r="X1294">
        <v>0.95812770000000003</v>
      </c>
      <c r="Y1294">
        <v>0.35386200000000001</v>
      </c>
      <c r="Z1294">
        <v>2.4072159999999999E-2</v>
      </c>
      <c r="AA1294">
        <v>0.93498780000000004</v>
      </c>
      <c r="AB1294">
        <v>29</v>
      </c>
      <c r="AC1294">
        <v>6.6499999999990594E-2</v>
      </c>
      <c r="AD1294">
        <v>-1.114440344935</v>
      </c>
      <c r="AE1294">
        <v>-24.662099999999899</v>
      </c>
      <c r="AF1294">
        <v>8.8007479578730194</v>
      </c>
      <c r="AG1294">
        <v>-1.114440344935</v>
      </c>
      <c r="AH1294">
        <v>22.984648508830102</v>
      </c>
      <c r="AI1294">
        <v>92.592609978192399</v>
      </c>
      <c r="AJ1294">
        <v>69.048317728111201</v>
      </c>
      <c r="AK1294">
        <v>24.637150991437501</v>
      </c>
      <c r="AL1294">
        <v>81.316270869522597</v>
      </c>
      <c r="AM1294">
        <v>75.751715470671598</v>
      </c>
      <c r="AN1294">
        <v>0.99999999062585498</v>
      </c>
    </row>
    <row r="1295" spans="1:40" x14ac:dyDescent="0.25">
      <c r="A1295" t="str">
        <f>"20190303162804360"</f>
        <v>20190303162804360</v>
      </c>
      <c r="B1295" t="str">
        <f>"1551601684352921"</f>
        <v>1551601684352921</v>
      </c>
      <c r="C1295" t="s">
        <v>40</v>
      </c>
      <c r="D1295">
        <v>5.0543449999999996</v>
      </c>
      <c r="E1295">
        <v>0.5486413</v>
      </c>
      <c r="F1295" t="s">
        <v>41</v>
      </c>
      <c r="G1295">
        <v>-193.5677</v>
      </c>
      <c r="H1295" s="1">
        <v>-4.2370789999999997E-6</v>
      </c>
      <c r="I1295">
        <v>327.57799999999997</v>
      </c>
      <c r="J1295">
        <v>-193.5147</v>
      </c>
      <c r="K1295">
        <v>1.1151260000000001</v>
      </c>
      <c r="L1295">
        <v>352.27429999999998</v>
      </c>
      <c r="M1295">
        <v>0.353379099999999</v>
      </c>
      <c r="N1295">
        <v>-1.454744E-2</v>
      </c>
      <c r="O1295">
        <v>-0.93536710000000001</v>
      </c>
      <c r="P1295">
        <v>0.1180491</v>
      </c>
      <c r="Q1295">
        <v>0.13940130000000001</v>
      </c>
      <c r="R1295">
        <v>-0.9831744</v>
      </c>
      <c r="S1295">
        <v>6.2561040000000002E-3</v>
      </c>
      <c r="T1295">
        <v>-0.13701250000000001</v>
      </c>
      <c r="U1295">
        <v>-3.0719910000000001</v>
      </c>
      <c r="V1295">
        <v>0.2392532</v>
      </c>
      <c r="W1295">
        <v>0.14989630000000001</v>
      </c>
      <c r="X1295">
        <v>0.95931699999999998</v>
      </c>
      <c r="Y1295">
        <v>0.35134480000000001</v>
      </c>
      <c r="Z1295">
        <v>2.429284E-2</v>
      </c>
      <c r="AA1295">
        <v>0.93593090000000001</v>
      </c>
      <c r="AB1295">
        <v>29</v>
      </c>
      <c r="AC1295">
        <v>-5.2999999999997202E-2</v>
      </c>
      <c r="AD1295">
        <v>-1.1151302370789999</v>
      </c>
      <c r="AE1295">
        <v>-24.696300000000001</v>
      </c>
      <c r="AF1295">
        <v>8.7597995264194601</v>
      </c>
      <c r="AG1295">
        <v>-1.1151302370789999</v>
      </c>
      <c r="AH1295">
        <v>23.036851118545801</v>
      </c>
      <c r="AI1295">
        <v>92.5906204904568</v>
      </c>
      <c r="AJ1295">
        <v>69.180613315027799</v>
      </c>
      <c r="AK1295">
        <v>24.6713216639635</v>
      </c>
      <c r="AL1295">
        <v>81.379083396554194</v>
      </c>
      <c r="AM1295">
        <v>75.996142214526003</v>
      </c>
      <c r="AN1295">
        <v>1.0000000504764599</v>
      </c>
    </row>
    <row r="1296" spans="1:40" x14ac:dyDescent="0.25">
      <c r="A1296" t="str">
        <f>"20190303162804383"</f>
        <v>20190303162804383</v>
      </c>
      <c r="B1296" t="str">
        <f>"1551601684372440"</f>
        <v>1551601684372440</v>
      </c>
      <c r="C1296" t="s">
        <v>40</v>
      </c>
      <c r="D1296">
        <v>5.0850269999999904</v>
      </c>
      <c r="E1296">
        <v>0.54845549999999998</v>
      </c>
      <c r="F1296" t="s">
        <v>41</v>
      </c>
      <c r="G1296">
        <v>-193.52420000000001</v>
      </c>
      <c r="H1296" s="1">
        <v>-4.4945150000000001E-6</v>
      </c>
      <c r="I1296">
        <v>328.3571</v>
      </c>
      <c r="J1296">
        <v>-193.4211</v>
      </c>
      <c r="K1296">
        <v>1.1157440000000001</v>
      </c>
      <c r="L1296">
        <v>352.00839999999999</v>
      </c>
      <c r="M1296">
        <v>0.34792689999999998</v>
      </c>
      <c r="N1296">
        <v>-1.4448280000000001E-2</v>
      </c>
      <c r="O1296">
        <v>-0.93741059999999998</v>
      </c>
      <c r="P1296">
        <v>0.1191557</v>
      </c>
      <c r="Q1296">
        <v>0.14132229999999901</v>
      </c>
      <c r="R1296">
        <v>-0.98276680000000005</v>
      </c>
      <c r="S1296">
        <v>-1.2207030000000001E-3</v>
      </c>
      <c r="T1296">
        <v>-0.14322199999999999</v>
      </c>
      <c r="U1296">
        <v>-3.0718079999999999</v>
      </c>
      <c r="V1296">
        <v>0.2322824</v>
      </c>
      <c r="W1296">
        <v>0.15217069999999999</v>
      </c>
      <c r="X1296">
        <v>0.9606711</v>
      </c>
      <c r="Y1296">
        <v>0.34816589999999997</v>
      </c>
      <c r="Z1296">
        <v>2.631466E-2</v>
      </c>
      <c r="AA1296">
        <v>0.93706350000000005</v>
      </c>
      <c r="AB1296">
        <v>29</v>
      </c>
      <c r="AC1296">
        <v>-0.103100000000011</v>
      </c>
      <c r="AD1296">
        <v>-1.115748494515</v>
      </c>
      <c r="AE1296">
        <v>-23.6512999999999</v>
      </c>
      <c r="AF1296">
        <v>8.3079487384204498</v>
      </c>
      <c r="AG1296">
        <v>-1.115748494515</v>
      </c>
      <c r="AH1296">
        <v>22.088257204817602</v>
      </c>
      <c r="AI1296">
        <v>92.706898248413594</v>
      </c>
      <c r="AJ1296">
        <v>69.387457975309403</v>
      </c>
      <c r="AK1296">
        <v>23.625368003258899</v>
      </c>
      <c r="AL1296">
        <v>81.247257175865499</v>
      </c>
      <c r="AM1296">
        <v>76.407234682545194</v>
      </c>
      <c r="AN1296">
        <v>0.99999999883172996</v>
      </c>
    </row>
    <row r="1297" spans="1:40" x14ac:dyDescent="0.25">
      <c r="A1297" t="str">
        <f>"20190303162804405"</f>
        <v>20190303162804405</v>
      </c>
      <c r="B1297" t="str">
        <f>"1551601684392936"</f>
        <v>1551601684392936</v>
      </c>
      <c r="C1297" t="s">
        <v>40</v>
      </c>
      <c r="D1297">
        <v>5.0832790000000001</v>
      </c>
      <c r="E1297">
        <v>0.54811599999999905</v>
      </c>
      <c r="F1297" t="s">
        <v>41</v>
      </c>
      <c r="G1297">
        <v>-193.42509999999999</v>
      </c>
      <c r="H1297" s="1">
        <v>-4.0577119999999996E-6</v>
      </c>
      <c r="I1297">
        <v>327.12520000000001</v>
      </c>
      <c r="J1297">
        <v>-193.3287</v>
      </c>
      <c r="K1297">
        <v>1.1162970000000001</v>
      </c>
      <c r="L1297">
        <v>351.74270000000001</v>
      </c>
      <c r="M1297">
        <v>0.3430243</v>
      </c>
      <c r="N1297">
        <v>-1.435758E-2</v>
      </c>
      <c r="O1297">
        <v>-0.93921690000000002</v>
      </c>
      <c r="P1297">
        <v>0.11916069999999999</v>
      </c>
      <c r="Q1297">
        <v>0.14647470000000001</v>
      </c>
      <c r="R1297">
        <v>-0.98201130000000003</v>
      </c>
      <c r="S1297">
        <v>-5.0354000000000002E-4</v>
      </c>
      <c r="T1297">
        <v>-0.137770899999999</v>
      </c>
      <c r="U1297">
        <v>-3.07254</v>
      </c>
      <c r="V1297">
        <v>0.2268521</v>
      </c>
      <c r="W1297">
        <v>0.15759989999999999</v>
      </c>
      <c r="X1297">
        <v>0.96109330000000004</v>
      </c>
      <c r="Y1297">
        <v>0.34305350000000001</v>
      </c>
      <c r="Z1297">
        <v>2.501109E-2</v>
      </c>
      <c r="AA1297">
        <v>0.93898280000000001</v>
      </c>
      <c r="AB1297">
        <v>29</v>
      </c>
      <c r="AC1297">
        <v>-9.6399999999988495E-2</v>
      </c>
      <c r="AD1297">
        <v>-1.1163010577119901</v>
      </c>
      <c r="AE1297">
        <v>-24.6175</v>
      </c>
      <c r="AF1297">
        <v>8.5183047619384809</v>
      </c>
      <c r="AG1297">
        <v>-1.1163010577119901</v>
      </c>
      <c r="AH1297">
        <v>23.0431007675557</v>
      </c>
      <c r="AI1297">
        <v>92.601657675427006</v>
      </c>
      <c r="AJ1297">
        <v>69.712242700057402</v>
      </c>
      <c r="AK1297">
        <v>24.592521974218901</v>
      </c>
      <c r="AL1297">
        <v>80.932386511679198</v>
      </c>
      <c r="AM1297">
        <v>76.719239145663593</v>
      </c>
      <c r="AN1297">
        <v>0.99999996752965403</v>
      </c>
    </row>
    <row r="1298" spans="1:40" x14ac:dyDescent="0.25">
      <c r="A1298" t="str">
        <f>"20190303162804428"</f>
        <v>20190303162804428</v>
      </c>
      <c r="B1298" t="str">
        <f>"1551601684422216"</f>
        <v>1551601684422216</v>
      </c>
      <c r="C1298" t="s">
        <v>40</v>
      </c>
      <c r="D1298">
        <v>5.1117229999999996</v>
      </c>
      <c r="E1298">
        <v>0.54812510000000003</v>
      </c>
      <c r="F1298" t="s">
        <v>41</v>
      </c>
      <c r="G1298">
        <v>-193.3219</v>
      </c>
      <c r="H1298" s="1">
        <v>-2.6998800000000001E-6</v>
      </c>
      <c r="I1298">
        <v>323.82229999999998</v>
      </c>
      <c r="J1298">
        <v>-193.2321</v>
      </c>
      <c r="K1298">
        <v>1.1167830000000001</v>
      </c>
      <c r="L1298">
        <v>351.46159999999998</v>
      </c>
      <c r="M1298">
        <v>0.33831420000000001</v>
      </c>
      <c r="N1298">
        <v>-1.427059E-2</v>
      </c>
      <c r="O1298">
        <v>-0.94092509999999996</v>
      </c>
      <c r="P1298">
        <v>0.1173194</v>
      </c>
      <c r="Q1298">
        <v>0.14912069999999999</v>
      </c>
      <c r="R1298">
        <v>-0.98183469999999995</v>
      </c>
      <c r="S1298">
        <v>7.4768070000000005E-4</v>
      </c>
      <c r="T1298">
        <v>-0.12286900000000001</v>
      </c>
      <c r="U1298">
        <v>-3.0731510000000002</v>
      </c>
      <c r="V1298">
        <v>0.2235481</v>
      </c>
      <c r="W1298">
        <v>0.16045229999999999</v>
      </c>
      <c r="X1298">
        <v>0.96139549999999996</v>
      </c>
      <c r="Y1298">
        <v>0.33797779999999999</v>
      </c>
      <c r="Z1298">
        <v>2.0978440000000001E-2</v>
      </c>
      <c r="AA1298">
        <v>0.94092019999999998</v>
      </c>
      <c r="AB1298">
        <v>29</v>
      </c>
      <c r="AC1298">
        <v>-8.9799999999996702E-2</v>
      </c>
      <c r="AD1298">
        <v>-1.1167856998799901</v>
      </c>
      <c r="AE1298">
        <v>-27.639299999999899</v>
      </c>
      <c r="AF1298">
        <v>9.4208422189852197</v>
      </c>
      <c r="AG1298">
        <v>-1.1167856998799901</v>
      </c>
      <c r="AH1298">
        <v>25.936429498869899</v>
      </c>
      <c r="AI1298">
        <v>92.317579548722406</v>
      </c>
      <c r="AJ1298">
        <v>70.037551767073694</v>
      </c>
      <c r="AK1298">
        <v>27.616984874607802</v>
      </c>
      <c r="AL1298">
        <v>80.766849708086298</v>
      </c>
      <c r="AM1298">
        <v>76.909930255642905</v>
      </c>
      <c r="AN1298">
        <v>1.0000000005045699</v>
      </c>
    </row>
    <row r="1299" spans="1:40" x14ac:dyDescent="0.25">
      <c r="A1299" t="str">
        <f>"20190303162804452"</f>
        <v>20190303162804452</v>
      </c>
      <c r="B1299" t="str">
        <f>"1551601684442713"</f>
        <v>1551601684442713</v>
      </c>
      <c r="C1299" t="s">
        <v>40</v>
      </c>
      <c r="D1299">
        <v>5.156085</v>
      </c>
      <c r="E1299">
        <v>0.54752049999999997</v>
      </c>
      <c r="F1299" t="s">
        <v>41</v>
      </c>
      <c r="G1299">
        <v>-193.27199999999999</v>
      </c>
      <c r="H1299" s="1">
        <v>-2.1183780000000002E-6</v>
      </c>
      <c r="I1299">
        <v>322.49770000000001</v>
      </c>
      <c r="J1299">
        <v>-193.1276</v>
      </c>
      <c r="K1299">
        <v>1.117175</v>
      </c>
      <c r="L1299">
        <v>351.15370000000001</v>
      </c>
      <c r="M1299">
        <v>0.33353310000000003</v>
      </c>
      <c r="N1299">
        <v>-1.418546E-2</v>
      </c>
      <c r="O1299">
        <v>-0.94263180000000002</v>
      </c>
      <c r="P1299">
        <v>0.115008399999999</v>
      </c>
      <c r="Q1299">
        <v>0.14760809999999999</v>
      </c>
      <c r="R1299">
        <v>-0.98233689999999996</v>
      </c>
      <c r="S1299">
        <v>-4.2419429999999998E-3</v>
      </c>
      <c r="T1299">
        <v>-0.1185268</v>
      </c>
      <c r="U1299">
        <v>-3.0740050000000001</v>
      </c>
      <c r="V1299">
        <v>0.2208369</v>
      </c>
      <c r="W1299">
        <v>0.15909899999999999</v>
      </c>
      <c r="X1299">
        <v>0.96224670000000001</v>
      </c>
      <c r="Y1299">
        <v>0.33473170000000002</v>
      </c>
      <c r="Z1299">
        <v>1.992646E-2</v>
      </c>
      <c r="AA1299">
        <v>0.94210280000000002</v>
      </c>
      <c r="AB1299">
        <v>29</v>
      </c>
      <c r="AC1299">
        <v>-0.14440000000001799</v>
      </c>
      <c r="AD1299">
        <v>-1.1171771183779999</v>
      </c>
      <c r="AE1299">
        <v>-28.655999999999999</v>
      </c>
      <c r="AF1299">
        <v>9.6801023901798295</v>
      </c>
      <c r="AG1299">
        <v>-1.1171771183779999</v>
      </c>
      <c r="AH1299">
        <v>26.925681325785799</v>
      </c>
      <c r="AI1299">
        <v>92.235952638797997</v>
      </c>
      <c r="AJ1299">
        <v>70.225885864590396</v>
      </c>
      <c r="AK1299">
        <v>28.634677959704099</v>
      </c>
      <c r="AL1299">
        <v>80.845397805524598</v>
      </c>
      <c r="AM1299">
        <v>77.074374478318006</v>
      </c>
      <c r="AN1299">
        <v>1.00000006993174</v>
      </c>
    </row>
    <row r="1300" spans="1:40" x14ac:dyDescent="0.25">
      <c r="A1300" t="str">
        <f>"20190303162804471"</f>
        <v>20190303162804471</v>
      </c>
      <c r="B1300" t="str">
        <f>"1551601684462232"</f>
        <v>1551601684462232</v>
      </c>
      <c r="C1300" t="s">
        <v>40</v>
      </c>
      <c r="D1300">
        <v>5.1787839999999896</v>
      </c>
      <c r="E1300">
        <v>0.54706880000000002</v>
      </c>
      <c r="F1300" t="s">
        <v>41</v>
      </c>
      <c r="G1300">
        <v>-193.17830000000001</v>
      </c>
      <c r="H1300" s="1">
        <v>-2.8571090000000002E-6</v>
      </c>
      <c r="I1300">
        <v>324.27780000000001</v>
      </c>
      <c r="J1300">
        <v>-193.04689999999999</v>
      </c>
      <c r="K1300">
        <v>1.117399</v>
      </c>
      <c r="L1300">
        <v>350.91289999999998</v>
      </c>
      <c r="M1300">
        <v>0.32998820000000001</v>
      </c>
      <c r="N1300">
        <v>-1.412597E-2</v>
      </c>
      <c r="O1300">
        <v>-0.94387960000000004</v>
      </c>
      <c r="P1300">
        <v>0.11192050000000001</v>
      </c>
      <c r="Q1300">
        <v>0.14430850000000001</v>
      </c>
      <c r="R1300">
        <v>-0.98318340000000004</v>
      </c>
      <c r="S1300">
        <v>-5.7983399999999999E-3</v>
      </c>
      <c r="T1300">
        <v>-0.12777259999999999</v>
      </c>
      <c r="U1300">
        <v>-3.0738219999999998</v>
      </c>
      <c r="V1300">
        <v>0.22028729999999999</v>
      </c>
      <c r="W1300">
        <v>0.15587479999999901</v>
      </c>
      <c r="X1300">
        <v>0.96290010000000004</v>
      </c>
      <c r="Y1300">
        <v>0.33165909999999998</v>
      </c>
      <c r="Z1300">
        <v>2.274485E-2</v>
      </c>
      <c r="AA1300">
        <v>0.94312510000000005</v>
      </c>
      <c r="AB1300">
        <v>29</v>
      </c>
      <c r="AC1300">
        <v>-0.13140000000001301</v>
      </c>
      <c r="AD1300">
        <v>-1.1174018571089901</v>
      </c>
      <c r="AE1300">
        <v>-26.635099999999898</v>
      </c>
      <c r="AF1300">
        <v>8.8985209616118599</v>
      </c>
      <c r="AG1300">
        <v>-1.1174018571089901</v>
      </c>
      <c r="AH1300">
        <v>25.055369599135702</v>
      </c>
      <c r="AI1300">
        <v>92.406470751630906</v>
      </c>
      <c r="AJ1300">
        <v>70.447289392979897</v>
      </c>
      <c r="AK1300">
        <v>26.612098901886899</v>
      </c>
      <c r="AL1300">
        <v>81.032464929837303</v>
      </c>
      <c r="AM1300">
        <v>77.113923898068407</v>
      </c>
      <c r="AN1300">
        <v>1.00000002519816</v>
      </c>
    </row>
    <row r="1301" spans="1:40" x14ac:dyDescent="0.25">
      <c r="A1301" t="str">
        <f>"20190303162804494"</f>
        <v>20190303162804494</v>
      </c>
      <c r="B1301" t="str">
        <f>"1551601684482729"</f>
        <v>1551601684482729</v>
      </c>
      <c r="C1301" t="s">
        <v>40</v>
      </c>
      <c r="D1301">
        <v>5.1863760000000001</v>
      </c>
      <c r="E1301">
        <v>0.54653879999999999</v>
      </c>
      <c r="F1301" t="s">
        <v>41</v>
      </c>
      <c r="G1301">
        <v>-193.13900000000001</v>
      </c>
      <c r="H1301" s="1">
        <v>-3.8778179999999996E-6</v>
      </c>
      <c r="I1301">
        <v>326.74579999999997</v>
      </c>
      <c r="J1301">
        <v>-192.95779999999999</v>
      </c>
      <c r="K1301">
        <v>1.117602</v>
      </c>
      <c r="L1301">
        <v>350.64400000000001</v>
      </c>
      <c r="M1301">
        <v>0.32616610000000001</v>
      </c>
      <c r="N1301">
        <v>-1.406663E-2</v>
      </c>
      <c r="O1301">
        <v>-0.94520780000000004</v>
      </c>
      <c r="P1301">
        <v>0.1097277</v>
      </c>
      <c r="Q1301">
        <v>0.14108979999999999</v>
      </c>
      <c r="R1301">
        <v>-0.98389729999999997</v>
      </c>
      <c r="S1301">
        <v>-1.170349E-2</v>
      </c>
      <c r="T1301">
        <v>-0.14210709999999999</v>
      </c>
      <c r="U1301">
        <v>-3.0734859999999999</v>
      </c>
      <c r="V1301">
        <v>0.2185841</v>
      </c>
      <c r="W1301">
        <v>0.15272820000000001</v>
      </c>
      <c r="X1301">
        <v>0.96379199999999998</v>
      </c>
      <c r="Y1301">
        <v>0.32964130000000003</v>
      </c>
      <c r="Z1301">
        <v>2.7042299999999998E-2</v>
      </c>
      <c r="AA1301">
        <v>0.94371890000000003</v>
      </c>
      <c r="AB1301">
        <v>29</v>
      </c>
      <c r="AC1301">
        <v>-0.18120000000001801</v>
      </c>
      <c r="AD1301">
        <v>-1.117605877818</v>
      </c>
      <c r="AE1301">
        <v>-23.898199999999999</v>
      </c>
      <c r="AF1301">
        <v>7.94945826943811</v>
      </c>
      <c r="AG1301">
        <v>-1.117605877818</v>
      </c>
      <c r="AH1301">
        <v>22.482726586046802</v>
      </c>
      <c r="AI1301">
        <v>92.683271861735406</v>
      </c>
      <c r="AJ1301">
        <v>70.527388373010098</v>
      </c>
      <c r="AK1301">
        <v>23.872911938400101</v>
      </c>
      <c r="AL1301">
        <v>81.214936701782406</v>
      </c>
      <c r="AM1301">
        <v>77.221713477324997</v>
      </c>
      <c r="AN1301">
        <v>0.999999965556024</v>
      </c>
    </row>
    <row r="1302" spans="1:40" x14ac:dyDescent="0.25">
      <c r="A1302" t="str">
        <f>"20190303162804516"</f>
        <v>20190303162804516</v>
      </c>
      <c r="B1302" t="str">
        <f>"1551601684502248"</f>
        <v>1551601684502248</v>
      </c>
      <c r="C1302" t="s">
        <v>40</v>
      </c>
      <c r="D1302">
        <v>5.2349439999999996</v>
      </c>
      <c r="E1302">
        <v>0.54623999999999995</v>
      </c>
      <c r="F1302" t="s">
        <v>41</v>
      </c>
      <c r="G1302">
        <v>-193.071</v>
      </c>
      <c r="H1302" s="1">
        <v>-4.4026830000000004E-6</v>
      </c>
      <c r="I1302">
        <v>328.32350000000002</v>
      </c>
      <c r="J1302">
        <v>-192.86609999999999</v>
      </c>
      <c r="K1302">
        <v>1.117756</v>
      </c>
      <c r="L1302">
        <v>350.36369999999999</v>
      </c>
      <c r="M1302">
        <v>0.32225500000000001</v>
      </c>
      <c r="N1302">
        <v>-1.4012230000000001E-2</v>
      </c>
      <c r="O1302">
        <v>-0.94654939999999999</v>
      </c>
      <c r="P1302">
        <v>0.1074348</v>
      </c>
      <c r="Q1302">
        <v>0.1392864</v>
      </c>
      <c r="R1302">
        <v>-0.98440709999999998</v>
      </c>
      <c r="S1302">
        <v>-1.557922E-2</v>
      </c>
      <c r="T1302">
        <v>-0.15386340000000001</v>
      </c>
      <c r="U1302">
        <v>-3.0729060000000001</v>
      </c>
      <c r="V1302">
        <v>0.21685070000000001</v>
      </c>
      <c r="W1302">
        <v>0.150976799999999</v>
      </c>
      <c r="X1302">
        <v>0.96445930000000002</v>
      </c>
      <c r="Y1302">
        <v>0.32691799999999999</v>
      </c>
      <c r="Z1302">
        <v>3.0621120000000002E-2</v>
      </c>
      <c r="AA1302">
        <v>0.94455650000000002</v>
      </c>
      <c r="AB1302">
        <v>29</v>
      </c>
      <c r="AC1302">
        <v>-0.20490000000000899</v>
      </c>
      <c r="AD1302">
        <v>-1.1177604026829999</v>
      </c>
      <c r="AE1302">
        <v>-22.040199999999899</v>
      </c>
      <c r="AF1302">
        <v>7.2785090879721999</v>
      </c>
      <c r="AG1302">
        <v>-1.1177604026829999</v>
      </c>
      <c r="AH1302">
        <v>20.744795377845001</v>
      </c>
      <c r="AI1302">
        <v>92.910574502224094</v>
      </c>
      <c r="AJ1302">
        <v>70.666092713246201</v>
      </c>
      <c r="AK1302">
        <v>22.013010201473101</v>
      </c>
      <c r="AL1302">
        <v>81.316462052050895</v>
      </c>
      <c r="AM1302">
        <v>77.328247906997305</v>
      </c>
      <c r="AN1302">
        <v>0.99999998079260899</v>
      </c>
    </row>
    <row r="1303" spans="1:40" x14ac:dyDescent="0.25">
      <c r="A1303" t="str">
        <f>"20190303162804538"</f>
        <v>20190303162804538</v>
      </c>
      <c r="B1303" t="str">
        <f>"1551601684522744"</f>
        <v>1551601684522744</v>
      </c>
      <c r="C1303" t="s">
        <v>40</v>
      </c>
      <c r="D1303">
        <v>5.4357379999999997</v>
      </c>
      <c r="E1303">
        <v>0.52106560000000002</v>
      </c>
      <c r="F1303" t="s">
        <v>41</v>
      </c>
      <c r="G1303">
        <v>-193.02459999999999</v>
      </c>
      <c r="H1303" s="1">
        <v>-4.6032180000000003E-6</v>
      </c>
      <c r="I1303">
        <v>328.93699999999899</v>
      </c>
      <c r="J1303">
        <v>-192.78129999999999</v>
      </c>
      <c r="K1303">
        <v>1.11785</v>
      </c>
      <c r="L1303">
        <v>350.10140000000001</v>
      </c>
      <c r="M1303">
        <v>0.31859310000000002</v>
      </c>
      <c r="N1303">
        <v>-1.3968380000000001E-2</v>
      </c>
      <c r="O1303">
        <v>-0.94778879999999999</v>
      </c>
      <c r="P1303">
        <v>0.10603659999999999</v>
      </c>
      <c r="Q1303">
        <v>0.13769319999999999</v>
      </c>
      <c r="R1303">
        <v>-0.98478310000000002</v>
      </c>
      <c r="S1303">
        <v>-2.2735600000000002E-2</v>
      </c>
      <c r="T1303">
        <v>-0.16029350000000001</v>
      </c>
      <c r="U1303">
        <v>-3.0727229999999999</v>
      </c>
      <c r="V1303">
        <v>0.2145078</v>
      </c>
      <c r="W1303">
        <v>0.149423</v>
      </c>
      <c r="X1303">
        <v>0.96522490000000005</v>
      </c>
      <c r="Y1303">
        <v>0.3254591</v>
      </c>
      <c r="Z1303">
        <v>3.2633330000000002E-2</v>
      </c>
      <c r="AA1303">
        <v>0.94499279999999997</v>
      </c>
      <c r="AB1303">
        <v>29</v>
      </c>
      <c r="AC1303">
        <v>-0.24330000000000401</v>
      </c>
      <c r="AD1303">
        <v>-1.1178546032179999</v>
      </c>
      <c r="AE1303">
        <v>-21.164400000000001</v>
      </c>
      <c r="AF1303">
        <v>6.9547091839930504</v>
      </c>
      <c r="AG1303">
        <v>-1.1178546032179999</v>
      </c>
      <c r="AH1303">
        <v>19.928227781200899</v>
      </c>
      <c r="AI1303">
        <v>93.031638707862996</v>
      </c>
      <c r="AJ1303">
        <v>70.761633730495404</v>
      </c>
      <c r="AK1303">
        <v>21.136504943989198</v>
      </c>
      <c r="AL1303">
        <v>81.406509671495797</v>
      </c>
      <c r="AM1303">
        <v>77.470435557433504</v>
      </c>
      <c r="AN1303">
        <v>0.999999968384924</v>
      </c>
    </row>
    <row r="1304" spans="1:40" x14ac:dyDescent="0.25">
      <c r="A1304" t="str">
        <f>"20190303162804562"</f>
        <v>20190303162804562</v>
      </c>
      <c r="B1304" t="str">
        <f>"1551601684553001"</f>
        <v>1551601684553001</v>
      </c>
      <c r="C1304" t="s">
        <v>40</v>
      </c>
      <c r="D1304">
        <v>5.433897</v>
      </c>
      <c r="E1304">
        <v>0.507324</v>
      </c>
      <c r="F1304" t="s">
        <v>41</v>
      </c>
      <c r="G1304">
        <v>-191.73269999999999</v>
      </c>
      <c r="H1304" s="1">
        <v>-1.239195E-6</v>
      </c>
      <c r="I1304">
        <v>331.40300000000002</v>
      </c>
      <c r="J1304">
        <v>-192.68709999999999</v>
      </c>
      <c r="K1304">
        <v>1.1178870000000001</v>
      </c>
      <c r="L1304">
        <v>349.80599999999998</v>
      </c>
      <c r="M1304">
        <v>0.3144093</v>
      </c>
      <c r="N1304">
        <v>-1.3926579999999999E-2</v>
      </c>
      <c r="O1304">
        <v>-0.94918550000000002</v>
      </c>
      <c r="P1304">
        <v>0.1050136</v>
      </c>
      <c r="Q1304">
        <v>0.13435830000000001</v>
      </c>
      <c r="R1304">
        <v>-0.98535289999999998</v>
      </c>
      <c r="S1304">
        <v>0.1712341</v>
      </c>
      <c r="T1304">
        <v>-0.18254509999999999</v>
      </c>
      <c r="U1304">
        <v>-3.053436</v>
      </c>
      <c r="V1304">
        <v>0.21134349999999999</v>
      </c>
      <c r="W1304">
        <v>0.1461161</v>
      </c>
      <c r="X1304">
        <v>0.96642850000000002</v>
      </c>
      <c r="Y1304">
        <v>0.26069680000000001</v>
      </c>
      <c r="Z1304">
        <v>4.029663E-2</v>
      </c>
      <c r="AA1304">
        <v>0.96457939999999998</v>
      </c>
      <c r="AB1304">
        <v>29</v>
      </c>
      <c r="AC1304">
        <v>0.95439999999999203</v>
      </c>
      <c r="AD1304">
        <v>-1.117888239195</v>
      </c>
      <c r="AE1304">
        <v>-18.402999999999899</v>
      </c>
      <c r="AF1304">
        <v>4.8627492363084599</v>
      </c>
      <c r="AG1304">
        <v>-1.117888239195</v>
      </c>
      <c r="AH1304">
        <v>17.704500534489402</v>
      </c>
      <c r="AI1304">
        <v>93.484244506573006</v>
      </c>
      <c r="AJ1304">
        <v>74.641767605951102</v>
      </c>
      <c r="AK1304">
        <v>18.3941660160575</v>
      </c>
      <c r="AL1304">
        <v>81.598084742982195</v>
      </c>
      <c r="AM1304">
        <v>77.664462200572402</v>
      </c>
      <c r="AN1304">
        <v>1.00000001764185</v>
      </c>
    </row>
    <row r="1305" spans="1:40" x14ac:dyDescent="0.25">
      <c r="A1305" t="str">
        <f>"20190303162804584"</f>
        <v>20190303162804584</v>
      </c>
      <c r="B1305" t="str">
        <f>"1551601684572521"</f>
        <v>1551601684572521</v>
      </c>
      <c r="C1305" t="s">
        <v>40</v>
      </c>
      <c r="D1305">
        <v>5.3713189999999997</v>
      </c>
      <c r="E1305">
        <v>0.50420889999999996</v>
      </c>
      <c r="F1305" t="s">
        <v>41</v>
      </c>
      <c r="G1305">
        <v>-190.8383</v>
      </c>
      <c r="H1305" s="1">
        <v>-4.3545310000000002E-6</v>
      </c>
      <c r="I1305">
        <v>329.3458</v>
      </c>
      <c r="J1305">
        <v>-192.60409999999999</v>
      </c>
      <c r="K1305">
        <v>1.1178520000000001</v>
      </c>
      <c r="L1305">
        <v>349.54149999999998</v>
      </c>
      <c r="M1305">
        <v>0.31054759999999998</v>
      </c>
      <c r="N1305">
        <v>-1.389671E-2</v>
      </c>
      <c r="O1305">
        <v>-0.95045639999999998</v>
      </c>
      <c r="P1305">
        <v>0.10463550000000001</v>
      </c>
      <c r="Q1305">
        <v>0.13086439999999999</v>
      </c>
      <c r="R1305">
        <v>-0.9858633</v>
      </c>
      <c r="S1305">
        <v>0.27452090000000001</v>
      </c>
      <c r="T1305">
        <v>-0.165988</v>
      </c>
      <c r="U1305">
        <v>-3.0379939999999999</v>
      </c>
      <c r="V1305">
        <v>0.20789969999999999</v>
      </c>
      <c r="W1305">
        <v>0.14263020000000001</v>
      </c>
      <c r="X1305">
        <v>0.96769539999999998</v>
      </c>
      <c r="Y1305">
        <v>0.22371920000000001</v>
      </c>
      <c r="Z1305">
        <v>3.6054849999999999E-2</v>
      </c>
      <c r="AA1305">
        <v>0.97398660000000004</v>
      </c>
      <c r="AB1305">
        <v>29</v>
      </c>
      <c r="AC1305">
        <v>1.7657999999999801</v>
      </c>
      <c r="AD1305">
        <v>-1.1178563545309901</v>
      </c>
      <c r="AE1305">
        <v>-20.195699999999899</v>
      </c>
      <c r="AF1305">
        <v>4.5799278431307204</v>
      </c>
      <c r="AG1305">
        <v>-1.1178563545309901</v>
      </c>
      <c r="AH1305">
        <v>19.685546872926</v>
      </c>
      <c r="AI1305">
        <v>93.165717895539501</v>
      </c>
      <c r="AJ1305">
        <v>76.902878170739598</v>
      </c>
      <c r="AK1305">
        <v>20.242186086581999</v>
      </c>
      <c r="AL1305">
        <v>81.799926888756502</v>
      </c>
      <c r="AM1305">
        <v>77.874881258508196</v>
      </c>
      <c r="AN1305">
        <v>1.0000000231966399</v>
      </c>
    </row>
    <row r="1306" spans="1:40" x14ac:dyDescent="0.25">
      <c r="A1306" t="str">
        <f>"20190303162804604"</f>
        <v>20190303162804604</v>
      </c>
      <c r="B1306" t="str">
        <f>"1551601684593016"</f>
        <v>1551601684593016</v>
      </c>
      <c r="C1306" t="s">
        <v>40</v>
      </c>
      <c r="D1306">
        <v>5.3671930000000003</v>
      </c>
      <c r="E1306">
        <v>0.50248559999999998</v>
      </c>
      <c r="F1306" t="s">
        <v>41</v>
      </c>
      <c r="G1306">
        <v>-190.64699999999999</v>
      </c>
      <c r="H1306" s="1">
        <v>-4.3480440000000001E-6</v>
      </c>
      <c r="I1306">
        <v>329.42649999999998</v>
      </c>
      <c r="J1306">
        <v>-192.5248</v>
      </c>
      <c r="K1306">
        <v>1.117774</v>
      </c>
      <c r="L1306">
        <v>349.28480000000002</v>
      </c>
      <c r="M1306">
        <v>0.306649</v>
      </c>
      <c r="N1306">
        <v>-1.38744E-2</v>
      </c>
      <c r="O1306">
        <v>-0.9517215</v>
      </c>
      <c r="P1306">
        <v>0.1036537</v>
      </c>
      <c r="Q1306">
        <v>0.1290869</v>
      </c>
      <c r="R1306">
        <v>-0.98620090000000005</v>
      </c>
      <c r="S1306">
        <v>0.29519649999999997</v>
      </c>
      <c r="T1306">
        <v>-0.16861199999999901</v>
      </c>
      <c r="U1306">
        <v>-3.0340579999999999</v>
      </c>
      <c r="V1306">
        <v>0.20497190000000001</v>
      </c>
      <c r="W1306">
        <v>0.14083129999999999</v>
      </c>
      <c r="X1306">
        <v>0.96858299999999997</v>
      </c>
      <c r="Y1306">
        <v>0.21302670000000001</v>
      </c>
      <c r="Z1306">
        <v>3.7094549999999997E-2</v>
      </c>
      <c r="AA1306">
        <v>0.97634200000000004</v>
      </c>
      <c r="AB1306">
        <v>29</v>
      </c>
      <c r="AC1306">
        <v>1.8777999999999799</v>
      </c>
      <c r="AD1306">
        <v>-1.117778348044</v>
      </c>
      <c r="AE1306">
        <v>-19.8583</v>
      </c>
      <c r="AF1306">
        <v>4.2893300587714496</v>
      </c>
      <c r="AG1306">
        <v>-1.117778348044</v>
      </c>
      <c r="AH1306">
        <v>19.416300468627899</v>
      </c>
      <c r="AI1306">
        <v>93.217422278145506</v>
      </c>
      <c r="AJ1306">
        <v>77.542647491392003</v>
      </c>
      <c r="AK1306">
        <v>19.9158355254425</v>
      </c>
      <c r="AL1306">
        <v>81.904047008752798</v>
      </c>
      <c r="AM1306">
        <v>78.051330481578304</v>
      </c>
      <c r="AN1306">
        <v>0.99999998136914903</v>
      </c>
    </row>
    <row r="1307" spans="1:40" x14ac:dyDescent="0.25">
      <c r="A1307" t="str">
        <f>"20190303162804630"</f>
        <v>20190303162804630</v>
      </c>
      <c r="B1307" t="str">
        <f>"1551601684622296"</f>
        <v>1551601684622296</v>
      </c>
      <c r="C1307" t="s">
        <v>40</v>
      </c>
      <c r="D1307">
        <v>5.5002839999999997</v>
      </c>
      <c r="E1307">
        <v>0.50124929999999901</v>
      </c>
      <c r="F1307" t="s">
        <v>41</v>
      </c>
      <c r="G1307">
        <v>-190.49940000000001</v>
      </c>
      <c r="H1307" s="1">
        <v>-4.20635E-6</v>
      </c>
      <c r="I1307">
        <v>329.08710000000002</v>
      </c>
      <c r="J1307">
        <v>-192.43379999999999</v>
      </c>
      <c r="K1307">
        <v>1.117667</v>
      </c>
      <c r="L1307">
        <v>348.9846</v>
      </c>
      <c r="M1307">
        <v>0.30190479999999997</v>
      </c>
      <c r="N1307">
        <v>-1.3855050000000001E-2</v>
      </c>
      <c r="O1307">
        <v>-0.95323740000000001</v>
      </c>
      <c r="P1307">
        <v>0.1004645</v>
      </c>
      <c r="Q1307">
        <v>0.12878299999999901</v>
      </c>
      <c r="R1307">
        <v>-0.98657070000000002</v>
      </c>
      <c r="S1307">
        <v>0.3040466</v>
      </c>
      <c r="T1307">
        <v>-0.16779530000000001</v>
      </c>
      <c r="U1307">
        <v>-3.0319820000000002</v>
      </c>
      <c r="V1307">
        <v>0.20332520000000001</v>
      </c>
      <c r="W1307">
        <v>0.1404696</v>
      </c>
      <c r="X1307">
        <v>0.96898249999999997</v>
      </c>
      <c r="Y1307">
        <v>0.2052716</v>
      </c>
      <c r="Z1307">
        <v>3.7068940000000002E-2</v>
      </c>
      <c r="AA1307">
        <v>0.97800279999999995</v>
      </c>
      <c r="AB1307">
        <v>29</v>
      </c>
      <c r="AC1307">
        <v>1.9343999999999799</v>
      </c>
      <c r="AD1307">
        <v>-1.1176712063500001</v>
      </c>
      <c r="AE1307">
        <v>-19.897499999999901</v>
      </c>
      <c r="AF1307">
        <v>4.1506343649834996</v>
      </c>
      <c r="AG1307">
        <v>-1.1176712063500001</v>
      </c>
      <c r="AH1307">
        <v>19.491996594128601</v>
      </c>
      <c r="AI1307">
        <v>93.209934170009603</v>
      </c>
      <c r="AJ1307">
        <v>77.978957707513004</v>
      </c>
      <c r="AK1307">
        <v>19.960332807415998</v>
      </c>
      <c r="AL1307">
        <v>81.924978840849107</v>
      </c>
      <c r="AM1307">
        <v>78.149346071967599</v>
      </c>
      <c r="AN1307">
        <v>0.99999996539272396</v>
      </c>
    </row>
    <row r="1308" spans="1:40" x14ac:dyDescent="0.25">
      <c r="A1308" t="str">
        <f>"20190303162804652"</f>
        <v>20190303162804652</v>
      </c>
      <c r="B1308" t="str">
        <f>"1551601684642792"</f>
        <v>1551601684642792</v>
      </c>
      <c r="C1308" t="s">
        <v>40</v>
      </c>
      <c r="D1308">
        <v>5.4981989999999996</v>
      </c>
      <c r="E1308">
        <v>0.50084300000000004</v>
      </c>
      <c r="F1308" t="s">
        <v>41</v>
      </c>
      <c r="G1308">
        <v>-190.3407</v>
      </c>
      <c r="H1308" s="1">
        <v>-3.7223949999999998E-6</v>
      </c>
      <c r="I1308">
        <v>328.0548</v>
      </c>
      <c r="J1308">
        <v>-192.34960000000001</v>
      </c>
      <c r="K1308">
        <v>1.117543</v>
      </c>
      <c r="L1308">
        <v>348.70119999999997</v>
      </c>
      <c r="M1308">
        <v>0.29721160000000002</v>
      </c>
      <c r="N1308">
        <v>-1.384111E-2</v>
      </c>
      <c r="O1308">
        <v>-0.95471139999999999</v>
      </c>
      <c r="P1308">
        <v>9.6771990000000002E-2</v>
      </c>
      <c r="Q1308">
        <v>0.12921849999999999</v>
      </c>
      <c r="R1308">
        <v>-0.98688299999999995</v>
      </c>
      <c r="S1308">
        <v>0.30313109999999999</v>
      </c>
      <c r="T1308">
        <v>-0.16186510000000001</v>
      </c>
      <c r="U1308">
        <v>-3.0311279999999998</v>
      </c>
      <c r="V1308">
        <v>0.20221439999999999</v>
      </c>
      <c r="W1308">
        <v>0.140838299999999</v>
      </c>
      <c r="X1308">
        <v>0.96916150000000001</v>
      </c>
      <c r="Y1308">
        <v>0.20071910000000001</v>
      </c>
      <c r="Z1308">
        <v>3.5446859999999997E-2</v>
      </c>
      <c r="AA1308">
        <v>0.97900730000000002</v>
      </c>
      <c r="AB1308">
        <v>29</v>
      </c>
      <c r="AC1308">
        <v>2.0089000000000099</v>
      </c>
      <c r="AD1308">
        <v>-1.117546722395</v>
      </c>
      <c r="AE1308">
        <v>-20.6463999999999</v>
      </c>
      <c r="AF1308">
        <v>4.2066245095075896</v>
      </c>
      <c r="AG1308">
        <v>-1.117546722395</v>
      </c>
      <c r="AH1308">
        <v>20.2515884183689</v>
      </c>
      <c r="AI1308">
        <v>93.092676052971797</v>
      </c>
      <c r="AJ1308">
        <v>78.265490922102799</v>
      </c>
      <c r="AK1308">
        <v>20.7140395362117</v>
      </c>
      <c r="AL1308">
        <v>81.903642473850496</v>
      </c>
      <c r="AM1308">
        <v>78.214388211581905</v>
      </c>
      <c r="AN1308">
        <v>1.0000000516982399</v>
      </c>
    </row>
    <row r="1309" spans="1:40" x14ac:dyDescent="0.25">
      <c r="A1309" t="str">
        <f>"20190303162804674"</f>
        <v>20190303162804674</v>
      </c>
      <c r="B1309" t="str">
        <f>"1551601684663289"</f>
        <v>1551601684663289</v>
      </c>
      <c r="C1309" t="s">
        <v>40</v>
      </c>
      <c r="D1309">
        <v>5.5031489999999996</v>
      </c>
      <c r="E1309">
        <v>0.50037240000000005</v>
      </c>
      <c r="F1309" t="s">
        <v>41</v>
      </c>
      <c r="G1309">
        <v>-190.24250000000001</v>
      </c>
      <c r="H1309" s="1">
        <v>-3.2743280000000001E-6</v>
      </c>
      <c r="I1309">
        <v>327.07130000000001</v>
      </c>
      <c r="J1309">
        <v>-192.2724</v>
      </c>
      <c r="K1309">
        <v>1.117402</v>
      </c>
      <c r="L1309">
        <v>348.43619999999999</v>
      </c>
      <c r="M1309">
        <v>0.29258650000000003</v>
      </c>
      <c r="N1309">
        <v>-1.383234E-2</v>
      </c>
      <c r="O1309">
        <v>-0.95613899999999996</v>
      </c>
      <c r="P1309">
        <v>9.3069410000000005E-2</v>
      </c>
      <c r="Q1309">
        <v>0.1302065</v>
      </c>
      <c r="R1309">
        <v>-0.98710909999999996</v>
      </c>
      <c r="S1309">
        <v>0.29531859999999999</v>
      </c>
      <c r="T1309">
        <v>-0.1566254</v>
      </c>
      <c r="U1309">
        <v>-3.0314640000000002</v>
      </c>
      <c r="V1309">
        <v>0.20117840000000001</v>
      </c>
      <c r="W1309">
        <v>0.14175550000000001</v>
      </c>
      <c r="X1309">
        <v>0.96924330000000003</v>
      </c>
      <c r="Y1309">
        <v>0.1984843</v>
      </c>
      <c r="Z1309">
        <v>3.3983099999999898E-2</v>
      </c>
      <c r="AA1309">
        <v>0.97951469999999896</v>
      </c>
      <c r="AB1309">
        <v>29</v>
      </c>
      <c r="AC1309">
        <v>2.0298999999999898</v>
      </c>
      <c r="AD1309">
        <v>-1.1174052743279901</v>
      </c>
      <c r="AE1309">
        <v>-21.364899999999899</v>
      </c>
      <c r="AF1309">
        <v>4.29897302578678</v>
      </c>
      <c r="AG1309">
        <v>-1.1174052743279901</v>
      </c>
      <c r="AH1309">
        <v>20.966907396971202</v>
      </c>
      <c r="AI1309">
        <v>92.988565003714299</v>
      </c>
      <c r="AJ1309">
        <v>78.412888556668605</v>
      </c>
      <c r="AK1309">
        <v>21.432241353080698</v>
      </c>
      <c r="AL1309">
        <v>81.850557555464405</v>
      </c>
      <c r="AM1309">
        <v>78.274055112440493</v>
      </c>
      <c r="AN1309">
        <v>0.99999997250084904</v>
      </c>
    </row>
    <row r="1310" spans="1:40" x14ac:dyDescent="0.25">
      <c r="A1310" t="str">
        <f>"20190303162804696"</f>
        <v>20190303162804696</v>
      </c>
      <c r="B1310" t="str">
        <f>"1551601684682808"</f>
        <v>1551601684682808</v>
      </c>
      <c r="C1310" t="s">
        <v>40</v>
      </c>
      <c r="D1310">
        <v>5.2716310000000002</v>
      </c>
      <c r="E1310">
        <v>0.49992750000000002</v>
      </c>
      <c r="F1310" t="s">
        <v>41</v>
      </c>
      <c r="G1310">
        <v>-190.1259</v>
      </c>
      <c r="H1310" s="1">
        <v>-2.7251700000000002E-6</v>
      </c>
      <c r="I1310">
        <v>325.86349999999999</v>
      </c>
      <c r="J1310">
        <v>-192.19390000000001</v>
      </c>
      <c r="K1310">
        <v>1.1172329999999999</v>
      </c>
      <c r="L1310">
        <v>348.16050000000001</v>
      </c>
      <c r="M1310">
        <v>0.2874929</v>
      </c>
      <c r="N1310">
        <v>-1.382914E-2</v>
      </c>
      <c r="O1310">
        <v>-0.95768310000000001</v>
      </c>
      <c r="P1310">
        <v>8.9027830000000002E-2</v>
      </c>
      <c r="Q1310">
        <v>0.1320683</v>
      </c>
      <c r="R1310">
        <v>-0.98723490000000003</v>
      </c>
      <c r="S1310">
        <v>0.28831479999999998</v>
      </c>
      <c r="T1310">
        <v>-0.1500832</v>
      </c>
      <c r="U1310">
        <v>-3.0318299999999998</v>
      </c>
      <c r="V1310">
        <v>0.19999639999999999</v>
      </c>
      <c r="W1310">
        <v>0.143534299999999</v>
      </c>
      <c r="X1310">
        <v>0.96922620000000004</v>
      </c>
      <c r="Y1310">
        <v>0.19551840000000001</v>
      </c>
      <c r="Z1310">
        <v>3.212052E-2</v>
      </c>
      <c r="AA1310">
        <v>0.98017390000000004</v>
      </c>
      <c r="AB1310">
        <v>29</v>
      </c>
      <c r="AC1310">
        <v>2.0680000000000098</v>
      </c>
      <c r="AD1310">
        <v>-1.11723572517</v>
      </c>
      <c r="AE1310">
        <v>-22.297000000000001</v>
      </c>
      <c r="AF1310">
        <v>4.4191628348293204</v>
      </c>
      <c r="AG1310">
        <v>-1.11723572517</v>
      </c>
      <c r="AH1310">
        <v>21.8955861352676</v>
      </c>
      <c r="AI1310">
        <v>92.863380354603393</v>
      </c>
      <c r="AJ1310">
        <v>78.589343184417402</v>
      </c>
      <c r="AK1310">
        <v>22.3650152701324</v>
      </c>
      <c r="AL1310">
        <v>81.747587388938101</v>
      </c>
      <c r="AM1310">
        <v>78.340858008307407</v>
      </c>
      <c r="AN1310">
        <v>1.0000000410279399</v>
      </c>
    </row>
    <row r="1311" spans="1:40" x14ac:dyDescent="0.25">
      <c r="A1311" t="str">
        <f>"20190303162804718"</f>
        <v>20190303162804718</v>
      </c>
      <c r="B1311" t="str">
        <f>"1551601684713065"</f>
        <v>1551601684713065</v>
      </c>
      <c r="C1311" t="s">
        <v>40</v>
      </c>
      <c r="D1311">
        <v>5.5018089999999997</v>
      </c>
      <c r="E1311">
        <v>0.49932929999999998</v>
      </c>
      <c r="F1311" t="s">
        <v>41</v>
      </c>
      <c r="G1311">
        <v>-189.99789999999999</v>
      </c>
      <c r="H1311" s="1">
        <v>-2.02679E-6</v>
      </c>
      <c r="I1311">
        <v>324.31490000000002</v>
      </c>
      <c r="J1311">
        <v>-192.11680000000001</v>
      </c>
      <c r="K1311">
        <v>1.1170249999999999</v>
      </c>
      <c r="L1311">
        <v>347.88299999999998</v>
      </c>
      <c r="M1311">
        <v>0.2820512</v>
      </c>
      <c r="N1311">
        <v>-1.38327E-2</v>
      </c>
      <c r="O1311">
        <v>-0.95929980000000004</v>
      </c>
      <c r="P1311">
        <v>8.4992769999999995E-2</v>
      </c>
      <c r="Q1311">
        <v>0.1348261</v>
      </c>
      <c r="R1311">
        <v>-0.98721749999999997</v>
      </c>
      <c r="S1311">
        <v>0.27928160000000002</v>
      </c>
      <c r="T1311">
        <v>-0.14208750000000001</v>
      </c>
      <c r="U1311">
        <v>-3.0326230000000001</v>
      </c>
      <c r="V1311">
        <v>0.1984535</v>
      </c>
      <c r="W1311">
        <v>0.146202</v>
      </c>
      <c r="X1311">
        <v>0.96914460000000002</v>
      </c>
      <c r="Y1311">
        <v>0.1928668</v>
      </c>
      <c r="Z1311">
        <v>2.9793130000000001E-2</v>
      </c>
      <c r="AA1311">
        <v>0.98077259999999999</v>
      </c>
      <c r="AB1311">
        <v>28</v>
      </c>
      <c r="AC1311">
        <v>2.11890000000002</v>
      </c>
      <c r="AD1311">
        <v>-1.11702702679</v>
      </c>
      <c r="AE1311">
        <v>-23.568100000000001</v>
      </c>
      <c r="AF1311">
        <v>4.6049299843669997</v>
      </c>
      <c r="AG1311">
        <v>-1.11702702679</v>
      </c>
      <c r="AH1311">
        <v>23.157126601256699</v>
      </c>
      <c r="AI1311">
        <v>92.708672934215599</v>
      </c>
      <c r="AJ1311">
        <v>78.7531152546605</v>
      </c>
      <c r="AK1311">
        <v>23.636955006221299</v>
      </c>
      <c r="AL1311">
        <v>81.593109764348895</v>
      </c>
      <c r="AM1311">
        <v>78.427421026551102</v>
      </c>
      <c r="AN1311">
        <v>1.0000000360876999</v>
      </c>
    </row>
    <row r="1312" spans="1:40" x14ac:dyDescent="0.25">
      <c r="A1312" t="str">
        <f>"20190303162804740"</f>
        <v>20190303162804740</v>
      </c>
      <c r="B1312" t="str">
        <f>"1551601684732585"</f>
        <v>1551601684732585</v>
      </c>
      <c r="C1312" t="s">
        <v>40</v>
      </c>
      <c r="D1312">
        <v>5.5530730000000004</v>
      </c>
      <c r="E1312">
        <v>0.49899579999999999</v>
      </c>
      <c r="F1312" t="s">
        <v>41</v>
      </c>
      <c r="G1312">
        <v>-189.8038</v>
      </c>
      <c r="H1312" s="1">
        <v>-1.0239879999999999E-6</v>
      </c>
      <c r="I1312">
        <v>321.93860000000001</v>
      </c>
      <c r="J1312">
        <v>-192.04130000000001</v>
      </c>
      <c r="K1312">
        <v>1.116789</v>
      </c>
      <c r="L1312">
        <v>347.60430000000002</v>
      </c>
      <c r="M1312">
        <v>0.27623969999999998</v>
      </c>
      <c r="N1312">
        <v>-1.384235E-2</v>
      </c>
      <c r="O1312">
        <v>-0.96098930000000005</v>
      </c>
      <c r="P1312">
        <v>8.0575859999999999E-2</v>
      </c>
      <c r="Q1312">
        <v>0.13802</v>
      </c>
      <c r="R1312">
        <v>-0.98714669999999904</v>
      </c>
      <c r="S1312">
        <v>0.27043149999999999</v>
      </c>
      <c r="T1312">
        <v>-0.13060250000000001</v>
      </c>
      <c r="U1312">
        <v>-3.033417</v>
      </c>
      <c r="V1312">
        <v>0.19692460000000001</v>
      </c>
      <c r="W1312">
        <v>0.1492966</v>
      </c>
      <c r="X1312">
        <v>0.96898459999999997</v>
      </c>
      <c r="Y1312">
        <v>0.18978629999999999</v>
      </c>
      <c r="Z1312">
        <v>2.6383440000000001E-2</v>
      </c>
      <c r="AA1312">
        <v>0.98147090000000003</v>
      </c>
      <c r="AB1312">
        <v>28</v>
      </c>
      <c r="AC1312">
        <v>2.23750000000001</v>
      </c>
      <c r="AD1312">
        <v>-1.116790023988</v>
      </c>
      <c r="AE1312">
        <v>-25.665700000000001</v>
      </c>
      <c r="AF1312">
        <v>4.9308784072203604</v>
      </c>
      <c r="AG1312">
        <v>-1.116790023988</v>
      </c>
      <c r="AH1312">
        <v>25.237542953224601</v>
      </c>
      <c r="AI1312">
        <v>92.486791813616804</v>
      </c>
      <c r="AJ1312">
        <v>78.944889250829604</v>
      </c>
      <c r="AK1312">
        <v>25.738965716211801</v>
      </c>
      <c r="AL1312">
        <v>81.413833977678806</v>
      </c>
      <c r="AM1312">
        <v>78.512352625407303</v>
      </c>
      <c r="AN1312">
        <v>0.99999996394693902</v>
      </c>
    </row>
    <row r="1313" spans="1:40" x14ac:dyDescent="0.25">
      <c r="A1313" t="str">
        <f>"20190303162804761"</f>
        <v>20190303162804761</v>
      </c>
      <c r="B1313" t="str">
        <f>"1551601684753080"</f>
        <v>1551601684753080</v>
      </c>
      <c r="C1313" t="s">
        <v>40</v>
      </c>
      <c r="D1313">
        <v>5.4904809999999999</v>
      </c>
      <c r="E1313">
        <v>0.49862699999999999</v>
      </c>
      <c r="F1313" t="s">
        <v>41</v>
      </c>
      <c r="G1313">
        <v>-189.61070000000001</v>
      </c>
      <c r="H1313" s="1">
        <v>-4.541268E-6</v>
      </c>
      <c r="I1313">
        <v>319.09210000000002</v>
      </c>
      <c r="J1313">
        <v>-191.9718</v>
      </c>
      <c r="K1313">
        <v>1.1165369999999999</v>
      </c>
      <c r="L1313">
        <v>347.33940000000001</v>
      </c>
      <c r="M1313">
        <v>0.27036860000000001</v>
      </c>
      <c r="N1313">
        <v>-1.385659E-2</v>
      </c>
      <c r="O1313">
        <v>-0.96265730000000005</v>
      </c>
      <c r="P1313">
        <v>7.5682070000000004E-2</v>
      </c>
      <c r="Q1313">
        <v>0.1406596</v>
      </c>
      <c r="R1313">
        <v>-0.98716130000000002</v>
      </c>
      <c r="S1313">
        <v>0.25869750000000002</v>
      </c>
      <c r="T1313">
        <v>-0.1188626</v>
      </c>
      <c r="U1313">
        <v>-3.0346069999999998</v>
      </c>
      <c r="V1313">
        <v>0.1958376</v>
      </c>
      <c r="W1313">
        <v>0.1518332</v>
      </c>
      <c r="X1313">
        <v>0.96881079999999997</v>
      </c>
      <c r="Y1313">
        <v>0.18759190000000001</v>
      </c>
      <c r="Z1313">
        <v>2.2859379999999999E-2</v>
      </c>
      <c r="AA1313">
        <v>0.98198099999999999</v>
      </c>
      <c r="AB1313">
        <v>28</v>
      </c>
      <c r="AC1313">
        <v>2.3610999999999902</v>
      </c>
      <c r="AD1313">
        <v>-1.116541541268</v>
      </c>
      <c r="AE1313">
        <v>-28.247299999999999</v>
      </c>
      <c r="AF1313">
        <v>5.3564562250766299</v>
      </c>
      <c r="AG1313">
        <v>-1.116541541268</v>
      </c>
      <c r="AH1313">
        <v>27.7903866125463</v>
      </c>
      <c r="AI1313">
        <v>92.259211329243897</v>
      </c>
      <c r="AJ1313">
        <v>79.090316260275898</v>
      </c>
      <c r="AK1313">
        <v>28.323909976896399</v>
      </c>
      <c r="AL1313">
        <v>81.266822080021896</v>
      </c>
      <c r="AM1313">
        <v>78.572094964241998</v>
      </c>
      <c r="AN1313">
        <v>1.00000002619631</v>
      </c>
    </row>
    <row r="1314" spans="1:40" x14ac:dyDescent="0.25">
      <c r="A1314" t="str">
        <f>"20190303162804787"</f>
        <v>20190303162804787</v>
      </c>
      <c r="B1314" t="str">
        <f>"1551601684772600"</f>
        <v>1551601684772600</v>
      </c>
      <c r="C1314" t="s">
        <v>40</v>
      </c>
      <c r="D1314">
        <v>5.5443480000000003</v>
      </c>
      <c r="E1314">
        <v>0.49830239999999998</v>
      </c>
      <c r="F1314" t="s">
        <v>41</v>
      </c>
      <c r="G1314">
        <v>-189.4597</v>
      </c>
      <c r="H1314" s="1">
        <v>-3.318604E-6</v>
      </c>
      <c r="I1314">
        <v>316.44889999999998</v>
      </c>
      <c r="J1314">
        <v>-191.8991</v>
      </c>
      <c r="K1314">
        <v>1.1162510000000001</v>
      </c>
      <c r="L1314">
        <v>347.05360000000002</v>
      </c>
      <c r="M1314">
        <v>0.26360810000000001</v>
      </c>
      <c r="N1314">
        <v>-1.387762E-2</v>
      </c>
      <c r="O1314">
        <v>-0.96453009999999995</v>
      </c>
      <c r="P1314">
        <v>7.0233080000000003E-2</v>
      </c>
      <c r="Q1314">
        <v>0.14353250000000001</v>
      </c>
      <c r="R1314">
        <v>-0.98715039999999998</v>
      </c>
      <c r="S1314">
        <v>0.24687190000000001</v>
      </c>
      <c r="T1314">
        <v>-0.1097258</v>
      </c>
      <c r="U1314">
        <v>-3.0357059999999998</v>
      </c>
      <c r="V1314">
        <v>0.19442409999999999</v>
      </c>
      <c r="W1314">
        <v>0.15459779999999901</v>
      </c>
      <c r="X1314">
        <v>0.96865829999999997</v>
      </c>
      <c r="Y1314">
        <v>0.1845292</v>
      </c>
      <c r="Z1314">
        <v>2.012446E-2</v>
      </c>
      <c r="AA1314">
        <v>0.98262099999999997</v>
      </c>
      <c r="AB1314">
        <v>28</v>
      </c>
      <c r="AC1314">
        <v>2.4394</v>
      </c>
      <c r="AD1314">
        <v>-1.1162543186039999</v>
      </c>
      <c r="AE1314">
        <v>-30.604700000000001</v>
      </c>
      <c r="AF1314">
        <v>5.7077769637351299</v>
      </c>
      <c r="AG1314">
        <v>-1.1162543186039999</v>
      </c>
      <c r="AH1314">
        <v>30.125280112351401</v>
      </c>
      <c r="AI1314">
        <v>92.084992059749993</v>
      </c>
      <c r="AJ1314">
        <v>79.271454378114498</v>
      </c>
      <c r="AK1314">
        <v>30.681545649122398</v>
      </c>
      <c r="AL1314">
        <v>81.106529780295702</v>
      </c>
      <c r="AM1314">
        <v>78.650690667032194</v>
      </c>
      <c r="AN1314">
        <v>1.00000005629226</v>
      </c>
    </row>
    <row r="1315" spans="1:40" x14ac:dyDescent="0.25">
      <c r="A1315" t="str">
        <f>"20190303162804805"</f>
        <v>20190303162804805</v>
      </c>
      <c r="B1315" t="str">
        <f>"1551601684793097"</f>
        <v>1551601684793097</v>
      </c>
      <c r="C1315" t="s">
        <v>40</v>
      </c>
      <c r="D1315">
        <v>5.4927289999999998</v>
      </c>
      <c r="E1315">
        <v>0.49797609999999998</v>
      </c>
      <c r="F1315" t="s">
        <v>41</v>
      </c>
      <c r="G1315">
        <v>-189.32380000000001</v>
      </c>
      <c r="H1315" s="1">
        <v>-1.902555E-6</v>
      </c>
      <c r="I1315">
        <v>313.40230000000003</v>
      </c>
      <c r="J1315">
        <v>-191.8364</v>
      </c>
      <c r="K1315">
        <v>1.1159870000000001</v>
      </c>
      <c r="L1315">
        <v>346.798</v>
      </c>
      <c r="M1315">
        <v>0.25719940000000002</v>
      </c>
      <c r="N1315">
        <v>-1.390134E-2</v>
      </c>
      <c r="O1315">
        <v>-0.96625850000000002</v>
      </c>
      <c r="P1315">
        <v>6.5819459999999996E-2</v>
      </c>
      <c r="Q1315">
        <v>0.14614369999999999</v>
      </c>
      <c r="R1315">
        <v>-0.9870717</v>
      </c>
      <c r="S1315">
        <v>0.23243710000000001</v>
      </c>
      <c r="T1315">
        <v>-0.1007477</v>
      </c>
      <c r="U1315">
        <v>-3.037201</v>
      </c>
      <c r="V1315">
        <v>0.19236110000000001</v>
      </c>
      <c r="W1315">
        <v>0.15712809999999999</v>
      </c>
      <c r="X1315">
        <v>0.96866300000000005</v>
      </c>
      <c r="Y1315">
        <v>0.18268529999999999</v>
      </c>
      <c r="Z1315">
        <v>1.740249E-2</v>
      </c>
      <c r="AA1315">
        <v>0.98301740000000004</v>
      </c>
      <c r="AB1315">
        <v>28</v>
      </c>
      <c r="AC1315">
        <v>2.5125999999999902</v>
      </c>
      <c r="AD1315">
        <v>-1.1159889025550001</v>
      </c>
      <c r="AE1315">
        <v>-33.395699999999898</v>
      </c>
      <c r="AF1315">
        <v>6.1552925485764396</v>
      </c>
      <c r="AG1315">
        <v>-1.1159889025550001</v>
      </c>
      <c r="AH1315">
        <v>32.881782055578498</v>
      </c>
      <c r="AI1315">
        <v>91.910676592157301</v>
      </c>
      <c r="AJ1315">
        <v>79.397248655843498</v>
      </c>
      <c r="AK1315">
        <v>33.471549840719199</v>
      </c>
      <c r="AL1315">
        <v>80.959760192534702</v>
      </c>
      <c r="AM1315">
        <v>78.768091917805904</v>
      </c>
      <c r="AN1315">
        <v>1.0000000200859001</v>
      </c>
    </row>
    <row r="1316" spans="1:40" x14ac:dyDescent="0.25">
      <c r="A1316" t="str">
        <f>"20190303162804831"</f>
        <v>20190303162804831</v>
      </c>
      <c r="B1316" t="str">
        <f>"1551601684822377"</f>
        <v>1551601684822377</v>
      </c>
      <c r="C1316" t="s">
        <v>40</v>
      </c>
      <c r="D1316">
        <v>5.6054130000000004</v>
      </c>
      <c r="E1316">
        <v>0.49769930000000001</v>
      </c>
      <c r="F1316" t="s">
        <v>41</v>
      </c>
      <c r="G1316">
        <v>-189.2148</v>
      </c>
      <c r="H1316" s="1">
        <v>-5.8594919999999898E-7</v>
      </c>
      <c r="I1316">
        <v>310.57619999999997</v>
      </c>
      <c r="J1316">
        <v>-191.76320000000001</v>
      </c>
      <c r="K1316">
        <v>1.1156790000000001</v>
      </c>
      <c r="L1316">
        <v>346.48739999999998</v>
      </c>
      <c r="M1316">
        <v>0.24898819999999999</v>
      </c>
      <c r="N1316">
        <v>-1.393377E-2</v>
      </c>
      <c r="O1316">
        <v>-0.9684064</v>
      </c>
      <c r="P1316">
        <v>6.061805E-2</v>
      </c>
      <c r="Q1316">
        <v>0.14784900000000001</v>
      </c>
      <c r="R1316">
        <v>-0.98715079999999999</v>
      </c>
      <c r="S1316">
        <v>0.21990970000000001</v>
      </c>
      <c r="T1316">
        <v>-9.361506E-2</v>
      </c>
      <c r="U1316">
        <v>-3.0384829999999998</v>
      </c>
      <c r="V1316">
        <v>0.18931619999999999</v>
      </c>
      <c r="W1316">
        <v>0.15876570000000001</v>
      </c>
      <c r="X1316">
        <v>0.96899579999999996</v>
      </c>
      <c r="Y1316">
        <v>0.17840210000000001</v>
      </c>
      <c r="Z1316">
        <v>1.5256509999999999E-2</v>
      </c>
      <c r="AA1316">
        <v>0.98383940000000003</v>
      </c>
      <c r="AB1316">
        <v>28</v>
      </c>
      <c r="AC1316">
        <v>2.5484000000000102</v>
      </c>
      <c r="AD1316">
        <v>-1.1156795859491999</v>
      </c>
      <c r="AE1316">
        <v>-35.911200000000001</v>
      </c>
      <c r="AF1316">
        <v>6.4679942966022503</v>
      </c>
      <c r="AG1316">
        <v>-1.1156795859491999</v>
      </c>
      <c r="AH1316">
        <v>35.3806130181867</v>
      </c>
      <c r="AI1316">
        <v>91.776720298035102</v>
      </c>
      <c r="AJ1316">
        <v>79.640053651092003</v>
      </c>
      <c r="AK1316">
        <v>35.984266960743703</v>
      </c>
      <c r="AL1316">
        <v>80.864739842125005</v>
      </c>
      <c r="AM1316">
        <v>78.945170753186304</v>
      </c>
      <c r="AN1316">
        <v>1.00000001574828</v>
      </c>
    </row>
    <row r="1317" spans="1:40" x14ac:dyDescent="0.25">
      <c r="A1317" t="str">
        <f>"20190303162804853"</f>
        <v>20190303162804853</v>
      </c>
      <c r="B1317" t="str">
        <f>"1551601684842873"</f>
        <v>1551601684842873</v>
      </c>
      <c r="C1317" t="s">
        <v>40</v>
      </c>
      <c r="D1317">
        <v>5.3808150000000001</v>
      </c>
      <c r="E1317">
        <v>0.52245969999999997</v>
      </c>
      <c r="F1317" t="s">
        <v>41</v>
      </c>
      <c r="G1317">
        <v>-189.22120000000001</v>
      </c>
      <c r="H1317" s="1">
        <v>-4.032702E-6</v>
      </c>
      <c r="I1317">
        <v>308.71109999999999</v>
      </c>
      <c r="J1317">
        <v>-191.7003</v>
      </c>
      <c r="K1317">
        <v>1.1154090000000001</v>
      </c>
      <c r="L1317">
        <v>346.20940000000002</v>
      </c>
      <c r="M1317">
        <v>0.24127170000000001</v>
      </c>
      <c r="N1317">
        <v>-1.3962550000000001E-2</v>
      </c>
      <c r="O1317">
        <v>-0.97035740000000004</v>
      </c>
      <c r="P1317">
        <v>5.592826E-2</v>
      </c>
      <c r="Q1317">
        <v>0.14849079999999901</v>
      </c>
      <c r="R1317">
        <v>-0.98733159999999998</v>
      </c>
      <c r="S1317">
        <v>0.2045593</v>
      </c>
      <c r="T1317">
        <v>-8.9782600000000004E-2</v>
      </c>
      <c r="U1317">
        <v>-3.0399780000000001</v>
      </c>
      <c r="V1317">
        <v>0.1862877</v>
      </c>
      <c r="W1317">
        <v>0.15936449999999999</v>
      </c>
      <c r="X1317">
        <v>0.96948429999999997</v>
      </c>
      <c r="Y1317">
        <v>0.17554890000000001</v>
      </c>
      <c r="Z1317">
        <v>1.411077E-2</v>
      </c>
      <c r="AA1317">
        <v>0.98436959999999996</v>
      </c>
      <c r="AB1317">
        <v>28</v>
      </c>
      <c r="AC1317">
        <v>2.4790999999999799</v>
      </c>
      <c r="AD1317">
        <v>-1.115413032702</v>
      </c>
      <c r="AE1317">
        <v>-37.4983</v>
      </c>
      <c r="AF1317">
        <v>6.6364650645145504</v>
      </c>
      <c r="AG1317">
        <v>-1.115413032702</v>
      </c>
      <c r="AH1317">
        <v>36.955930010437903</v>
      </c>
      <c r="AI1317">
        <v>91.701588095267894</v>
      </c>
      <c r="AJ1317">
        <v>79.819458426700905</v>
      </c>
      <c r="AK1317">
        <v>37.563647023717301</v>
      </c>
      <c r="AL1317">
        <v>80.829988345535398</v>
      </c>
      <c r="AM1317">
        <v>79.123112458399106</v>
      </c>
      <c r="AN1317">
        <v>0.99999997948901398</v>
      </c>
    </row>
    <row r="1318" spans="1:40" x14ac:dyDescent="0.25">
      <c r="A1318" t="str">
        <f>"20190303162804875"</f>
        <v>20190303162804875</v>
      </c>
      <c r="B1318" t="str">
        <f>"1551601684862393"</f>
        <v>1551601684862393</v>
      </c>
      <c r="C1318" t="s">
        <v>40</v>
      </c>
      <c r="D1318">
        <v>5.2979019999999997</v>
      </c>
      <c r="E1318">
        <v>0.52582879999999999</v>
      </c>
      <c r="F1318" t="s">
        <v>41</v>
      </c>
      <c r="G1318">
        <v>-191.7979</v>
      </c>
      <c r="H1318" s="1">
        <v>-3.4855439999999999E-6</v>
      </c>
      <c r="I1318">
        <v>306.59890000000001</v>
      </c>
      <c r="J1318">
        <v>-191.6421</v>
      </c>
      <c r="K1318">
        <v>1.1151489999999999</v>
      </c>
      <c r="L1318">
        <v>345.94069999999999</v>
      </c>
      <c r="M1318">
        <v>0.2334572</v>
      </c>
      <c r="N1318">
        <v>-1.3992539999999999E-2</v>
      </c>
      <c r="O1318">
        <v>-0.97226650000000003</v>
      </c>
      <c r="P1318">
        <v>5.0439629999999999E-2</v>
      </c>
      <c r="Q1318">
        <v>0.14894170000000001</v>
      </c>
      <c r="R1318">
        <v>-0.98755910000000002</v>
      </c>
      <c r="S1318">
        <v>-7.5225830000000002E-3</v>
      </c>
      <c r="T1318">
        <v>-8.5937739999999999E-2</v>
      </c>
      <c r="U1318">
        <v>-3.0518190000000001</v>
      </c>
      <c r="V1318">
        <v>0.18396219999999999</v>
      </c>
      <c r="W1318">
        <v>0.15976979999999999</v>
      </c>
      <c r="X1318">
        <v>0.96986159999999999</v>
      </c>
      <c r="Y1318">
        <v>0.2358044</v>
      </c>
      <c r="Z1318">
        <v>1.2590779999999999E-2</v>
      </c>
      <c r="AA1318">
        <v>0.971719</v>
      </c>
      <c r="AB1318">
        <v>28</v>
      </c>
      <c r="AC1318">
        <v>-0.15579999999999899</v>
      </c>
      <c r="AD1318">
        <v>-1.115152485544</v>
      </c>
      <c r="AE1318">
        <v>-39.3417999999999</v>
      </c>
      <c r="AF1318">
        <v>9.3295230356652397</v>
      </c>
      <c r="AG1318">
        <v>-1.115152485544</v>
      </c>
      <c r="AH1318">
        <v>38.187397984879603</v>
      </c>
      <c r="AI1318">
        <v>91.624918527319906</v>
      </c>
      <c r="AJ1318">
        <v>76.271057557750098</v>
      </c>
      <c r="AK1318">
        <v>39.326338883687299</v>
      </c>
      <c r="AL1318">
        <v>80.806465167056601</v>
      </c>
      <c r="AM1318">
        <v>79.259795260169</v>
      </c>
      <c r="AN1318">
        <v>1.00000000158772</v>
      </c>
    </row>
    <row r="1319" spans="1:40" x14ac:dyDescent="0.25">
      <c r="A1319" t="str">
        <f>"20190303162804897"</f>
        <v>20190303162804897</v>
      </c>
      <c r="B1319" t="str">
        <f>"1551601684892648"</f>
        <v>1551601684892648</v>
      </c>
      <c r="C1319" t="s">
        <v>40</v>
      </c>
      <c r="D1319">
        <v>5.3125640000000001</v>
      </c>
      <c r="E1319">
        <v>0.52630809999999995</v>
      </c>
      <c r="F1319" t="s">
        <v>41</v>
      </c>
      <c r="G1319">
        <v>-192.18709999999999</v>
      </c>
      <c r="H1319" s="1">
        <v>-2.191988E-6</v>
      </c>
      <c r="I1319">
        <v>312.99770000000001</v>
      </c>
      <c r="J1319">
        <v>-191.58580000000001</v>
      </c>
      <c r="K1319">
        <v>1.1148899999999999</v>
      </c>
      <c r="L1319">
        <v>345.66840000000002</v>
      </c>
      <c r="M1319">
        <v>0.22517309999999999</v>
      </c>
      <c r="N1319">
        <v>-1.4027929999999999E-2</v>
      </c>
      <c r="O1319">
        <v>-0.97421800000000003</v>
      </c>
      <c r="P1319">
        <v>4.4775479999999999E-2</v>
      </c>
      <c r="Q1319">
        <v>0.15064149999999901</v>
      </c>
      <c r="R1319">
        <v>-0.98757430000000002</v>
      </c>
      <c r="S1319">
        <v>-5.0552369999999999E-2</v>
      </c>
      <c r="T1319">
        <v>-0.1034484</v>
      </c>
      <c r="U1319">
        <v>-3.056</v>
      </c>
      <c r="V1319">
        <v>0.181337</v>
      </c>
      <c r="W1319">
        <v>0.16142979999999901</v>
      </c>
      <c r="X1319">
        <v>0.97008110000000003</v>
      </c>
      <c r="Y1319">
        <v>0.24119299999999999</v>
      </c>
      <c r="Z1319">
        <v>1.7976289999999999E-2</v>
      </c>
      <c r="AA1319">
        <v>0.97031069999999997</v>
      </c>
      <c r="AB1319">
        <v>28</v>
      </c>
      <c r="AC1319">
        <v>-0.60129999999997996</v>
      </c>
      <c r="AD1319">
        <v>-1.1148921919879999</v>
      </c>
      <c r="AE1319">
        <v>-32.670699999999997</v>
      </c>
      <c r="AF1319">
        <v>7.9339038893892999</v>
      </c>
      <c r="AG1319">
        <v>-1.1148921919879999</v>
      </c>
      <c r="AH1319">
        <v>31.659244057877</v>
      </c>
      <c r="AI1319">
        <v>91.956410440819099</v>
      </c>
      <c r="AJ1319">
        <v>75.931240105540098</v>
      </c>
      <c r="AK1319">
        <v>32.657274072433502</v>
      </c>
      <c r="AL1319">
        <v>80.710103465357804</v>
      </c>
      <c r="AM1319">
        <v>79.411912252020997</v>
      </c>
      <c r="AN1319">
        <v>1.0000000142371199</v>
      </c>
    </row>
    <row r="1320" spans="1:40" x14ac:dyDescent="0.25">
      <c r="A1320" t="str">
        <f>"20190303162804919"</f>
        <v>20190303162804919</v>
      </c>
      <c r="B1320" t="str">
        <f>"1551601684912169"</f>
        <v>1551601684912169</v>
      </c>
      <c r="C1320" t="s">
        <v>40</v>
      </c>
      <c r="D1320">
        <v>5.3656730000000001</v>
      </c>
      <c r="E1320">
        <v>0.52630589999999999</v>
      </c>
      <c r="F1320" t="s">
        <v>41</v>
      </c>
      <c r="G1320">
        <v>-192.2259</v>
      </c>
      <c r="H1320" s="1">
        <v>-4.5792150000000003E-6</v>
      </c>
      <c r="I1320">
        <v>318.1825</v>
      </c>
      <c r="J1320">
        <v>-191.5309</v>
      </c>
      <c r="K1320">
        <v>1.114609</v>
      </c>
      <c r="L1320">
        <v>345.38900000000001</v>
      </c>
      <c r="M1320">
        <v>0.21630550000000001</v>
      </c>
      <c r="N1320">
        <v>-1.4069480000000001E-2</v>
      </c>
      <c r="O1320">
        <v>-0.97622430000000004</v>
      </c>
      <c r="P1320">
        <v>3.9793080000000002E-2</v>
      </c>
      <c r="Q1320">
        <v>0.1528235</v>
      </c>
      <c r="R1320">
        <v>-0.98745210000000005</v>
      </c>
      <c r="S1320">
        <v>-7.1258539999999995E-2</v>
      </c>
      <c r="T1320">
        <v>-0.1241186</v>
      </c>
      <c r="U1320">
        <v>-3.0599370000000001</v>
      </c>
      <c r="V1320">
        <v>0.17747660000000001</v>
      </c>
      <c r="W1320">
        <v>0.1635964</v>
      </c>
      <c r="X1320">
        <v>0.97043199999999996</v>
      </c>
      <c r="Y1320">
        <v>0.238896</v>
      </c>
      <c r="Z1320">
        <v>2.4399130000000002E-2</v>
      </c>
      <c r="AA1320">
        <v>0.97073860000000001</v>
      </c>
      <c r="AB1320">
        <v>28</v>
      </c>
      <c r="AC1320">
        <v>-0.69499999999999296</v>
      </c>
      <c r="AD1320">
        <v>-1.114613579215</v>
      </c>
      <c r="AE1320">
        <v>-27.206499999999998</v>
      </c>
      <c r="AF1320">
        <v>6.5530498354446998</v>
      </c>
      <c r="AG1320">
        <v>-1.114613579215</v>
      </c>
      <c r="AH1320">
        <v>26.367702134843601</v>
      </c>
      <c r="AI1320">
        <v>92.349183926477096</v>
      </c>
      <c r="AJ1320">
        <v>76.043290018526704</v>
      </c>
      <c r="AK1320">
        <v>27.192656020488801</v>
      </c>
      <c r="AL1320">
        <v>80.584293769046894</v>
      </c>
      <c r="AM1320">
        <v>79.636045376150406</v>
      </c>
      <c r="AN1320">
        <v>0.99999999613225998</v>
      </c>
    </row>
    <row r="1321" spans="1:40" x14ac:dyDescent="0.25">
      <c r="A1321" t="str">
        <f>"20190303162804941"</f>
        <v>20190303162804941</v>
      </c>
      <c r="B1321" t="str">
        <f>"1551601684932665"</f>
        <v>1551601684932665</v>
      </c>
      <c r="C1321" t="s">
        <v>40</v>
      </c>
      <c r="D1321">
        <v>5.3116269999999997</v>
      </c>
      <c r="E1321">
        <v>0.52604469999999903</v>
      </c>
      <c r="F1321" t="s">
        <v>41</v>
      </c>
      <c r="G1321">
        <v>-192.30029999999999</v>
      </c>
      <c r="H1321" s="1">
        <v>-4.6216430000000001E-6</v>
      </c>
      <c r="I1321">
        <v>318.2586</v>
      </c>
      <c r="J1321">
        <v>-191.4778</v>
      </c>
      <c r="K1321">
        <v>1.1143190000000001</v>
      </c>
      <c r="L1321">
        <v>345.10320000000002</v>
      </c>
      <c r="M1321">
        <v>0.2068641</v>
      </c>
      <c r="N1321">
        <v>-1.411509E-2</v>
      </c>
      <c r="O1321">
        <v>-0.97826800000000003</v>
      </c>
      <c r="P1321">
        <v>3.5362780000000003E-2</v>
      </c>
      <c r="Q1321">
        <v>0.15347040000000001</v>
      </c>
      <c r="R1321">
        <v>-0.98752070000000003</v>
      </c>
      <c r="S1321">
        <v>-8.6807250000000002E-2</v>
      </c>
      <c r="T1321">
        <v>-0.12576080000000001</v>
      </c>
      <c r="U1321">
        <v>-3.061096</v>
      </c>
      <c r="V1321">
        <v>0.17254900000000001</v>
      </c>
      <c r="W1321">
        <v>0.16425919999999999</v>
      </c>
      <c r="X1321">
        <v>0.97120839999999997</v>
      </c>
      <c r="Y1321">
        <v>0.23443159999999999</v>
      </c>
      <c r="Z1321">
        <v>2.4987039999999999E-2</v>
      </c>
      <c r="AA1321">
        <v>0.97181139999999999</v>
      </c>
      <c r="AB1321">
        <v>28</v>
      </c>
      <c r="AC1321">
        <v>-0.82249999999999002</v>
      </c>
      <c r="AD1321">
        <v>-1.1143236216429999</v>
      </c>
      <c r="AE1321">
        <v>-26.8446</v>
      </c>
      <c r="AF1321">
        <v>6.3475149292481401</v>
      </c>
      <c r="AG1321">
        <v>-1.1143236216429999</v>
      </c>
      <c r="AH1321">
        <v>26.048820960674099</v>
      </c>
      <c r="AI1321">
        <v>92.379963963844801</v>
      </c>
      <c r="AJ1321">
        <v>76.305197065394694</v>
      </c>
      <c r="AK1321">
        <v>26.834189690617301</v>
      </c>
      <c r="AL1321">
        <v>80.545797388439198</v>
      </c>
      <c r="AM1321">
        <v>79.925708202240799</v>
      </c>
      <c r="AN1321">
        <v>0.99999999920809901</v>
      </c>
    </row>
    <row r="1322" spans="1:40" x14ac:dyDescent="0.25">
      <c r="A1322" t="str">
        <f>"20190303162804964"</f>
        <v>20190303162804964</v>
      </c>
      <c r="B1322" t="str">
        <f>"1551601684953161"</f>
        <v>1551601684953161</v>
      </c>
      <c r="C1322" t="s">
        <v>40</v>
      </c>
      <c r="D1322">
        <v>5.3348240000000002</v>
      </c>
      <c r="E1322">
        <v>0.52572779999999997</v>
      </c>
      <c r="F1322" t="s">
        <v>41</v>
      </c>
      <c r="G1322">
        <v>-192.32730000000001</v>
      </c>
      <c r="H1322" s="1">
        <v>-4.9414580000000001E-6</v>
      </c>
      <c r="I1322">
        <v>319.07889999999998</v>
      </c>
      <c r="J1322">
        <v>-191.42859999999999</v>
      </c>
      <c r="K1322">
        <v>1.1140369999999999</v>
      </c>
      <c r="L1322">
        <v>344.82029999999997</v>
      </c>
      <c r="M1322">
        <v>0.1971522</v>
      </c>
      <c r="N1322">
        <v>-1.416108E-2</v>
      </c>
      <c r="O1322">
        <v>-0.98027070000000005</v>
      </c>
      <c r="P1322">
        <v>3.112964E-2</v>
      </c>
      <c r="Q1322">
        <v>0.15329999999999999</v>
      </c>
      <c r="R1322">
        <v>-0.98768959999999995</v>
      </c>
      <c r="S1322">
        <v>-9.9945069999999997E-2</v>
      </c>
      <c r="T1322">
        <v>-0.13110469999999999</v>
      </c>
      <c r="U1322">
        <v>-3.0618590000000001</v>
      </c>
      <c r="V1322">
        <v>0.16717889999999999</v>
      </c>
      <c r="W1322">
        <v>0.16412939999999901</v>
      </c>
      <c r="X1322">
        <v>0.97216910000000001</v>
      </c>
      <c r="Y1322">
        <v>0.2289438</v>
      </c>
      <c r="Z1322">
        <v>2.674145E-2</v>
      </c>
      <c r="AA1322">
        <v>0.97307220000000005</v>
      </c>
      <c r="AB1322">
        <v>28</v>
      </c>
      <c r="AC1322">
        <v>-0.89870000000001904</v>
      </c>
      <c r="AD1322">
        <v>-1.1140419414579901</v>
      </c>
      <c r="AE1322">
        <v>-25.741399999999999</v>
      </c>
      <c r="AF1322">
        <v>5.9454174541814897</v>
      </c>
      <c r="AG1322">
        <v>-1.1140419414579901</v>
      </c>
      <c r="AH1322">
        <v>25.012079400273301</v>
      </c>
      <c r="AI1322">
        <v>92.481233126202099</v>
      </c>
      <c r="AJ1322">
        <v>76.628834612882699</v>
      </c>
      <c r="AK1322">
        <v>25.7331147371901</v>
      </c>
      <c r="AL1322">
        <v>80.553336728543201</v>
      </c>
      <c r="AM1322">
        <v>80.242575592125505</v>
      </c>
      <c r="AN1322">
        <v>1.00000000177219</v>
      </c>
    </row>
    <row r="1323" spans="1:40" x14ac:dyDescent="0.25">
      <c r="A1323" t="str">
        <f>"20190303162804985"</f>
        <v>20190303162804985</v>
      </c>
      <c r="B1323" t="str">
        <f>"1551601684972681"</f>
        <v>1551601684972681</v>
      </c>
      <c r="C1323" t="s">
        <v>40</v>
      </c>
      <c r="D1323">
        <v>5.3259550000000004</v>
      </c>
      <c r="E1323">
        <v>0.52566729999999995</v>
      </c>
      <c r="F1323" t="s">
        <v>41</v>
      </c>
      <c r="G1323">
        <v>-192.3313</v>
      </c>
      <c r="H1323" s="1">
        <v>-8.2456259999999997E-7</v>
      </c>
      <c r="I1323">
        <v>320.06529999999998</v>
      </c>
      <c r="J1323">
        <v>-191.38470000000001</v>
      </c>
      <c r="K1323">
        <v>1.113796</v>
      </c>
      <c r="L1323">
        <v>344.55</v>
      </c>
      <c r="M1323">
        <v>0.18755250000000001</v>
      </c>
      <c r="N1323">
        <v>-1.420484E-2</v>
      </c>
      <c r="O1323">
        <v>-0.98215189999999997</v>
      </c>
      <c r="P1323">
        <v>2.963493E-2</v>
      </c>
      <c r="Q1323">
        <v>0.1540136</v>
      </c>
      <c r="R1323">
        <v>-0.98762419999999995</v>
      </c>
      <c r="S1323">
        <v>-0.11166379999999999</v>
      </c>
      <c r="T1323">
        <v>-0.137812299999999</v>
      </c>
      <c r="U1323">
        <v>-3.0623170000000002</v>
      </c>
      <c r="V1323">
        <v>0.1592046</v>
      </c>
      <c r="W1323">
        <v>0.1649543</v>
      </c>
      <c r="X1323">
        <v>0.97336730000000005</v>
      </c>
      <c r="Y1323">
        <v>0.2231274</v>
      </c>
      <c r="Z1323">
        <v>2.893426E-2</v>
      </c>
      <c r="AA1323">
        <v>0.9743598</v>
      </c>
      <c r="AB1323">
        <v>28</v>
      </c>
      <c r="AC1323">
        <v>-0.94659999999998901</v>
      </c>
      <c r="AD1323">
        <v>-1.1137968245626</v>
      </c>
      <c r="AE1323">
        <v>-24.4847</v>
      </c>
      <c r="AF1323">
        <v>5.5110417137436896</v>
      </c>
      <c r="AG1323">
        <v>-1.1137968245626</v>
      </c>
      <c r="AH1323">
        <v>23.823341215562699</v>
      </c>
      <c r="AI1323">
        <v>92.607989481843106</v>
      </c>
      <c r="AJ1323">
        <v>76.974908744053195</v>
      </c>
      <c r="AK1323">
        <v>24.477820793734001</v>
      </c>
      <c r="AL1323">
        <v>80.505419973874098</v>
      </c>
      <c r="AM1323">
        <v>80.710915720643399</v>
      </c>
      <c r="AN1323">
        <v>0.99999996322946905</v>
      </c>
    </row>
    <row r="1324" spans="1:40" x14ac:dyDescent="0.25">
      <c r="A1324" t="str">
        <f>"20190303162805018"</f>
        <v>20190303162805018</v>
      </c>
      <c r="B1324" t="str">
        <f>"1551601685002937"</f>
        <v>1551601685002937</v>
      </c>
      <c r="C1324" t="s">
        <v>40</v>
      </c>
      <c r="D1324">
        <v>5.3442790000000002</v>
      </c>
      <c r="E1324">
        <v>0.52473029999999998</v>
      </c>
      <c r="F1324" t="s">
        <v>41</v>
      </c>
      <c r="G1324">
        <v>-192.3355</v>
      </c>
      <c r="H1324" s="1">
        <v>-6.6217319999999997E-7</v>
      </c>
      <c r="I1324">
        <v>319.6841</v>
      </c>
      <c r="J1324">
        <v>-191.3229</v>
      </c>
      <c r="K1324">
        <v>1.1135120000000001</v>
      </c>
      <c r="L1324">
        <v>344.13299999999998</v>
      </c>
      <c r="M1324">
        <v>0.1722812</v>
      </c>
      <c r="N1324">
        <v>-1.4266890000000001E-2</v>
      </c>
      <c r="O1324">
        <v>-0.9849445</v>
      </c>
      <c r="P1324">
        <v>2.2493559999999999E-2</v>
      </c>
      <c r="Q1324">
        <v>0.15436639999999999</v>
      </c>
      <c r="R1324">
        <v>-0.98775769999999996</v>
      </c>
      <c r="S1324">
        <v>-0.1170959</v>
      </c>
      <c r="T1324">
        <v>-0.1371763</v>
      </c>
      <c r="U1324">
        <v>-3.0625</v>
      </c>
      <c r="V1324">
        <v>0.15122189999999999</v>
      </c>
      <c r="W1324">
        <v>0.16542699999999999</v>
      </c>
      <c r="X1324">
        <v>0.97455930000000002</v>
      </c>
      <c r="Y1324">
        <v>0.2097021</v>
      </c>
      <c r="Z1324">
        <v>2.892515E-2</v>
      </c>
      <c r="AA1324">
        <v>0.97733740000000002</v>
      </c>
      <c r="AB1324">
        <v>28</v>
      </c>
      <c r="AC1324">
        <v>-1.01259999999999</v>
      </c>
      <c r="AD1324">
        <v>-1.1135126621731899</v>
      </c>
      <c r="AE1324">
        <v>-24.448899999999998</v>
      </c>
      <c r="AF1324">
        <v>5.1992045805302798</v>
      </c>
      <c r="AG1324">
        <v>-1.1135126621731899</v>
      </c>
      <c r="AH1324">
        <v>23.859383944642602</v>
      </c>
      <c r="AI1324">
        <v>92.610862143709696</v>
      </c>
      <c r="AJ1324">
        <v>77.706837099847107</v>
      </c>
      <c r="AK1324">
        <v>24.444668967627599</v>
      </c>
      <c r="AL1324">
        <v>80.477959268384893</v>
      </c>
      <c r="AM1324">
        <v>81.179782282466405</v>
      </c>
      <c r="AN1324">
        <v>0.99999999229254899</v>
      </c>
    </row>
    <row r="1325" spans="1:40" x14ac:dyDescent="0.25">
      <c r="A1325" t="str">
        <f>"20190303162805042"</f>
        <v>20190303162805042</v>
      </c>
      <c r="B1325" t="str">
        <f>"1551601685032216"</f>
        <v>1551601685032216</v>
      </c>
      <c r="C1325" t="s">
        <v>40</v>
      </c>
      <c r="D1325">
        <v>5.3429080000000004</v>
      </c>
      <c r="E1325">
        <v>0.52375729999999998</v>
      </c>
      <c r="F1325" t="s">
        <v>41</v>
      </c>
      <c r="G1325">
        <v>-192.4503</v>
      </c>
      <c r="H1325" s="1">
        <v>-4.6767210000000004E-6</v>
      </c>
      <c r="I1325">
        <v>318.33269999999999</v>
      </c>
      <c r="J1325">
        <v>-191.2826</v>
      </c>
      <c r="K1325">
        <v>1.113364</v>
      </c>
      <c r="L1325">
        <v>343.8329</v>
      </c>
      <c r="M1325">
        <v>0.16101670000000001</v>
      </c>
      <c r="N1325">
        <v>-1.4304839999999999E-2</v>
      </c>
      <c r="O1325">
        <v>-0.98684810000000001</v>
      </c>
      <c r="P1325">
        <v>1.5735639999999999E-2</v>
      </c>
      <c r="Q1325">
        <v>0.15584729999999999</v>
      </c>
      <c r="R1325">
        <v>-0.98765599999999998</v>
      </c>
      <c r="S1325">
        <v>-0.1337585</v>
      </c>
      <c r="T1325">
        <v>-0.132104799999999</v>
      </c>
      <c r="U1325">
        <v>-3.060883</v>
      </c>
      <c r="V1325">
        <v>0.1467986</v>
      </c>
      <c r="W1325">
        <v>0.16698099999999999</v>
      </c>
      <c r="X1325">
        <v>0.97497049999999996</v>
      </c>
      <c r="Y1325">
        <v>0.2038652</v>
      </c>
      <c r="Z1325">
        <v>2.7454820000000001E-2</v>
      </c>
      <c r="AA1325">
        <v>0.97861390000000004</v>
      </c>
      <c r="AB1325">
        <v>28</v>
      </c>
      <c r="AC1325">
        <v>-1.16769999999999</v>
      </c>
      <c r="AD1325">
        <v>-1.11336867672099</v>
      </c>
      <c r="AE1325">
        <v>-25.5002</v>
      </c>
      <c r="AF1325">
        <v>5.2488532496448004</v>
      </c>
      <c r="AG1325">
        <v>-1.11336867672099</v>
      </c>
      <c r="AH1325">
        <v>24.931930122270501</v>
      </c>
      <c r="AI1325">
        <v>92.502144331393097</v>
      </c>
      <c r="AJ1325">
        <v>78.111285063925806</v>
      </c>
      <c r="AK1325">
        <v>25.502768278529899</v>
      </c>
      <c r="AL1325">
        <v>80.387665635959394</v>
      </c>
      <c r="AM1325">
        <v>81.437452741290301</v>
      </c>
      <c r="AN1325">
        <v>0.99999997959660403</v>
      </c>
    </row>
    <row r="1326" spans="1:40" x14ac:dyDescent="0.25">
      <c r="A1326" t="str">
        <f>"20190303162805067"</f>
        <v>20190303162805067</v>
      </c>
      <c r="B1326" t="str">
        <f>"1551601685062473"</f>
        <v>1551601685062473</v>
      </c>
      <c r="C1326" t="s">
        <v>40</v>
      </c>
      <c r="D1326">
        <v>5.3623909999999997</v>
      </c>
      <c r="E1326">
        <v>0.52281109999999997</v>
      </c>
      <c r="F1326" t="s">
        <v>41</v>
      </c>
      <c r="G1326">
        <v>-192.60409999999999</v>
      </c>
      <c r="H1326" s="1">
        <v>-3.9725889999999998E-6</v>
      </c>
      <c r="I1326">
        <v>316.52980000000002</v>
      </c>
      <c r="J1326">
        <v>-191.24610000000001</v>
      </c>
      <c r="K1326">
        <v>1.1132629999999999</v>
      </c>
      <c r="L1326">
        <v>343.53109999999998</v>
      </c>
      <c r="M1326">
        <v>0.14949689999999999</v>
      </c>
      <c r="N1326">
        <v>-1.4338E-2</v>
      </c>
      <c r="O1326">
        <v>-0.98865829999999999</v>
      </c>
      <c r="P1326">
        <v>7.2695930000000004E-3</v>
      </c>
      <c r="Q1326">
        <v>0.158713299999999</v>
      </c>
      <c r="R1326">
        <v>-0.98729829999999996</v>
      </c>
      <c r="S1326">
        <v>-0.14808650000000001</v>
      </c>
      <c r="T1326">
        <v>-0.1247605</v>
      </c>
      <c r="U1326">
        <v>-3.0595089999999998</v>
      </c>
      <c r="V1326">
        <v>0.14381269999999999</v>
      </c>
      <c r="W1326">
        <v>0.16989889999999999</v>
      </c>
      <c r="X1326">
        <v>0.97491139999999998</v>
      </c>
      <c r="Y1326">
        <v>0.19704469999999999</v>
      </c>
      <c r="Z1326">
        <v>2.525152E-2</v>
      </c>
      <c r="AA1326">
        <v>0.98006930000000003</v>
      </c>
      <c r="AB1326">
        <v>28</v>
      </c>
      <c r="AC1326">
        <v>-1.3579999999999699</v>
      </c>
      <c r="AD1326">
        <v>-1.1132669725890001</v>
      </c>
      <c r="AE1326">
        <v>-27.001299999999901</v>
      </c>
      <c r="AF1326">
        <v>5.3706545968885004</v>
      </c>
      <c r="AG1326">
        <v>-1.1132669725890001</v>
      </c>
      <c r="AH1326">
        <v>26.449914905032099</v>
      </c>
      <c r="AI1326">
        <v>92.361991712666295</v>
      </c>
      <c r="AJ1326">
        <v>78.522136913211696</v>
      </c>
      <c r="AK1326">
        <v>27.012613583931099</v>
      </c>
      <c r="AL1326">
        <v>80.218058892588203</v>
      </c>
      <c r="AM1326">
        <v>81.608609799409805</v>
      </c>
      <c r="AN1326">
        <v>0.99999998337622897</v>
      </c>
    </row>
    <row r="1327" spans="1:40" x14ac:dyDescent="0.25">
      <c r="A1327" t="str">
        <f>"20190303162805085"</f>
        <v>20190303162805085</v>
      </c>
      <c r="B1327" t="str">
        <f>"1551601685072232"</f>
        <v>1551601685072232</v>
      </c>
      <c r="C1327" t="s">
        <v>40</v>
      </c>
      <c r="D1327">
        <v>5.3377730000000003</v>
      </c>
      <c r="E1327">
        <v>0.52248309999999998</v>
      </c>
      <c r="F1327" t="s">
        <v>41</v>
      </c>
      <c r="G1327">
        <v>-192.84289999999999</v>
      </c>
      <c r="H1327" s="1">
        <v>-2.8657130000000001E-6</v>
      </c>
      <c r="I1327">
        <v>314.05380000000002</v>
      </c>
      <c r="J1327">
        <v>-191.22020000000001</v>
      </c>
      <c r="K1327">
        <v>1.1132070000000001</v>
      </c>
      <c r="L1327">
        <v>343.29759999999999</v>
      </c>
      <c r="M1327">
        <v>0.14050209999999999</v>
      </c>
      <c r="N1327">
        <v>-1.436046E-2</v>
      </c>
      <c r="O1327">
        <v>-0.98997639999999998</v>
      </c>
      <c r="P1327">
        <v>5.784885E-4</v>
      </c>
      <c r="Q1327">
        <v>0.1621156</v>
      </c>
      <c r="R1327">
        <v>-0.98677190000000004</v>
      </c>
      <c r="S1327">
        <v>-0.16567989999999999</v>
      </c>
      <c r="T1327">
        <v>-0.1155052</v>
      </c>
      <c r="U1327">
        <v>-3.0583800000000001</v>
      </c>
      <c r="V1327">
        <v>0.1415672</v>
      </c>
      <c r="W1327">
        <v>0.17334369999999999</v>
      </c>
      <c r="X1327">
        <v>0.97463359999999999</v>
      </c>
      <c r="Y1327">
        <v>0.19378000000000001</v>
      </c>
      <c r="Z1327">
        <v>2.2384009999999999E-2</v>
      </c>
      <c r="AA1327">
        <v>0.98078960000000004</v>
      </c>
      <c r="AB1327">
        <v>28</v>
      </c>
      <c r="AC1327">
        <v>-1.62269999999998</v>
      </c>
      <c r="AD1327">
        <v>-1.1132098657130001</v>
      </c>
      <c r="AE1327">
        <v>-29.243799999999901</v>
      </c>
      <c r="AF1327">
        <v>5.7075931958605697</v>
      </c>
      <c r="AG1327">
        <v>-1.1132098657130001</v>
      </c>
      <c r="AH1327">
        <v>28.6841988131509</v>
      </c>
      <c r="AI1327">
        <v>92.179794931003698</v>
      </c>
      <c r="AJ1327">
        <v>78.746250727833598</v>
      </c>
      <c r="AK1327">
        <v>29.267714598972798</v>
      </c>
      <c r="AL1327">
        <v>80.017713746346999</v>
      </c>
      <c r="AM1327">
        <v>81.735488161192094</v>
      </c>
      <c r="AN1327">
        <v>0.99999998234724397</v>
      </c>
    </row>
    <row r="1328" spans="1:40" x14ac:dyDescent="0.25">
      <c r="A1328" t="str">
        <f>"20190303162805108"</f>
        <v>20190303162805108</v>
      </c>
      <c r="B1328" t="str">
        <f>"1551601685102489"</f>
        <v>1551601685102489</v>
      </c>
      <c r="C1328" t="s">
        <v>40</v>
      </c>
      <c r="D1328">
        <v>5.3212080000000004</v>
      </c>
      <c r="E1328">
        <v>0.51165119999999997</v>
      </c>
      <c r="F1328" t="s">
        <v>41</v>
      </c>
      <c r="G1328">
        <v>-193.15549999999999</v>
      </c>
      <c r="H1328" s="1">
        <v>-1.4551679999999901E-6</v>
      </c>
      <c r="I1328">
        <v>310.8938</v>
      </c>
      <c r="J1328">
        <v>-191.19149999999999</v>
      </c>
      <c r="K1328">
        <v>1.1131629999999999</v>
      </c>
      <c r="L1328">
        <v>343.00979999999998</v>
      </c>
      <c r="M1328">
        <v>0.12935830000000001</v>
      </c>
      <c r="N1328">
        <v>-1.438307E-2</v>
      </c>
      <c r="O1328">
        <v>-0.99149370000000003</v>
      </c>
      <c r="P1328">
        <v>-8.1554149999999992E-3</v>
      </c>
      <c r="Q1328">
        <v>0.16418529999999901</v>
      </c>
      <c r="R1328">
        <v>-0.98639600000000005</v>
      </c>
      <c r="S1328">
        <v>-0.18261720000000001</v>
      </c>
      <c r="T1328">
        <v>-0.1050413</v>
      </c>
      <c r="U1328">
        <v>-3.0575869999999998</v>
      </c>
      <c r="V1328">
        <v>0.13924349999999999</v>
      </c>
      <c r="W1328">
        <v>0.1754655</v>
      </c>
      <c r="X1328">
        <v>0.97458869999999997</v>
      </c>
      <c r="Y1328">
        <v>0.1881825</v>
      </c>
      <c r="Z1328">
        <v>1.9130270000000001E-2</v>
      </c>
      <c r="AA1328">
        <v>0.98194769999999998</v>
      </c>
      <c r="AB1328">
        <v>28</v>
      </c>
      <c r="AC1328">
        <v>-1.96399999999999</v>
      </c>
      <c r="AD1328">
        <v>-1.113164455168</v>
      </c>
      <c r="AE1328">
        <v>-32.1159999999999</v>
      </c>
      <c r="AF1328">
        <v>6.0951002511992698</v>
      </c>
      <c r="AG1328">
        <v>-1.113164455168</v>
      </c>
      <c r="AH1328">
        <v>31.554249744826599</v>
      </c>
      <c r="AI1328">
        <v>91.983790728887101</v>
      </c>
      <c r="AJ1328">
        <v>79.067245897974601</v>
      </c>
      <c r="AK1328">
        <v>32.1568042431973</v>
      </c>
      <c r="AL1328">
        <v>79.894251682224294</v>
      </c>
      <c r="AM1328">
        <v>81.868944549455705</v>
      </c>
      <c r="AN1328">
        <v>1.00000001407509</v>
      </c>
    </row>
    <row r="1329" spans="1:40" x14ac:dyDescent="0.25">
      <c r="A1329" t="str">
        <f>"20190303162805131"</f>
        <v>20190303162805131</v>
      </c>
      <c r="B1329" t="str">
        <f>"1551601685122985"</f>
        <v>1551601685122985</v>
      </c>
      <c r="C1329" t="s">
        <v>40</v>
      </c>
      <c r="D1329">
        <v>5.3034030000000003</v>
      </c>
      <c r="E1329">
        <v>0.51281290000000002</v>
      </c>
      <c r="F1329" t="s">
        <v>41</v>
      </c>
      <c r="G1329">
        <v>-192.6224</v>
      </c>
      <c r="H1329" s="1">
        <v>-4.0751759999999997E-6</v>
      </c>
      <c r="I1329">
        <v>307.5949</v>
      </c>
      <c r="J1329">
        <v>-191.16540000000001</v>
      </c>
      <c r="K1329">
        <v>1.113137</v>
      </c>
      <c r="L1329">
        <v>342.71289999999999</v>
      </c>
      <c r="M1329">
        <v>0.11783100000000001</v>
      </c>
      <c r="N1329">
        <v>-1.4400949999999999E-2</v>
      </c>
      <c r="O1329">
        <v>-0.99292919999999996</v>
      </c>
      <c r="P1329">
        <v>-1.595471E-2</v>
      </c>
      <c r="Q1329">
        <v>0.16473689999999999</v>
      </c>
      <c r="R1329">
        <v>-0.98620870000000005</v>
      </c>
      <c r="S1329">
        <v>-0.1234894</v>
      </c>
      <c r="T1329">
        <v>-9.6067310000000003E-2</v>
      </c>
      <c r="U1329">
        <v>-3.0563349999999998</v>
      </c>
      <c r="V1329">
        <v>0.13562769999999999</v>
      </c>
      <c r="W1329">
        <v>0.17610619999999999</v>
      </c>
      <c r="X1329">
        <v>0.97498289999999999</v>
      </c>
      <c r="Y1329">
        <v>0.15777929999999901</v>
      </c>
      <c r="Z1329">
        <v>1.644729E-2</v>
      </c>
      <c r="AA1329">
        <v>0.98733740000000003</v>
      </c>
      <c r="AB1329">
        <v>28</v>
      </c>
      <c r="AC1329">
        <v>-1.4569999999999901</v>
      </c>
      <c r="AD1329">
        <v>-1.113141075176</v>
      </c>
      <c r="AE1329">
        <v>-35.117999999999903</v>
      </c>
      <c r="AF1329">
        <v>5.5796699709061803</v>
      </c>
      <c r="AG1329">
        <v>-1.113141075176</v>
      </c>
      <c r="AH1329">
        <v>34.666837370469302</v>
      </c>
      <c r="AI1329">
        <v>91.815764650415105</v>
      </c>
      <c r="AJ1329">
        <v>80.856590157992301</v>
      </c>
      <c r="AK1329">
        <v>35.130633545497602</v>
      </c>
      <c r="AL1329">
        <v>79.856961067033794</v>
      </c>
      <c r="AM1329">
        <v>82.080533866205101</v>
      </c>
      <c r="AN1329">
        <v>0.99999996098906896</v>
      </c>
    </row>
    <row r="1330" spans="1:40" x14ac:dyDescent="0.25">
      <c r="A1330" t="str">
        <f>"20190303162805154"</f>
        <v>20190303162805154</v>
      </c>
      <c r="B1330" t="str">
        <f>"1551601685142505"</f>
        <v>1551601685142505</v>
      </c>
      <c r="C1330" t="s">
        <v>40</v>
      </c>
      <c r="D1330">
        <v>5.3296099999999997</v>
      </c>
      <c r="E1330">
        <v>0.511829599999999</v>
      </c>
      <c r="F1330" t="s">
        <v>41</v>
      </c>
      <c r="G1330">
        <v>-192.84379999999999</v>
      </c>
      <c r="H1330" s="1">
        <v>-1.018744E-6</v>
      </c>
      <c r="I1330">
        <v>310.14600000000002</v>
      </c>
      <c r="J1330">
        <v>-191.14359999999999</v>
      </c>
      <c r="K1330">
        <v>1.113138</v>
      </c>
      <c r="L1330">
        <v>342.42880000000002</v>
      </c>
      <c r="M1330">
        <v>0.1068173</v>
      </c>
      <c r="N1330">
        <v>-1.441276E-2</v>
      </c>
      <c r="O1330">
        <v>-0.99417420000000001</v>
      </c>
      <c r="P1330">
        <v>-2.1236419999999999E-2</v>
      </c>
      <c r="Q1330">
        <v>0.16422249999999999</v>
      </c>
      <c r="R1330">
        <v>-0.98619480000000004</v>
      </c>
      <c r="S1330">
        <v>-0.15754699999999999</v>
      </c>
      <c r="T1330">
        <v>-0.1044846</v>
      </c>
      <c r="U1330">
        <v>-3.0568849999999999</v>
      </c>
      <c r="V1330">
        <v>0.13002269999999999</v>
      </c>
      <c r="W1330">
        <v>0.1757302</v>
      </c>
      <c r="X1330">
        <v>0.97581399999999996</v>
      </c>
      <c r="Y1330">
        <v>0.1577972</v>
      </c>
      <c r="Z1330">
        <v>1.918276E-2</v>
      </c>
      <c r="AA1330">
        <v>0.98728519999999997</v>
      </c>
      <c r="AB1330">
        <v>28</v>
      </c>
      <c r="AC1330">
        <v>-1.7001999999999899</v>
      </c>
      <c r="AD1330">
        <v>-1.113139018744</v>
      </c>
      <c r="AE1330">
        <v>-32.282800000000002</v>
      </c>
      <c r="AF1330">
        <v>5.1331042799552904</v>
      </c>
      <c r="AG1330">
        <v>-1.113139018744</v>
      </c>
      <c r="AH1330">
        <v>31.878634533705998</v>
      </c>
      <c r="AI1330">
        <v>91.974431326211004</v>
      </c>
      <c r="AJ1330">
        <v>80.852737761756501</v>
      </c>
      <c r="AK1330">
        <v>32.308438181960099</v>
      </c>
      <c r="AL1330">
        <v>79.878845811576099</v>
      </c>
      <c r="AM1330">
        <v>82.410308437224998</v>
      </c>
      <c r="AN1330">
        <v>0.99999998415166402</v>
      </c>
    </row>
    <row r="1331" spans="1:40" x14ac:dyDescent="0.25">
      <c r="A1331" t="str">
        <f>"20190303162805176"</f>
        <v>20190303162805176</v>
      </c>
      <c r="B1331" t="str">
        <f>"1551601685163001"</f>
        <v>1551601685163001</v>
      </c>
      <c r="C1331" t="s">
        <v>40</v>
      </c>
      <c r="D1331">
        <v>5.3587879999999997</v>
      </c>
      <c r="E1331">
        <v>0.50470530000000002</v>
      </c>
      <c r="F1331" t="s">
        <v>41</v>
      </c>
      <c r="G1331">
        <v>-192.84630000000001</v>
      </c>
      <c r="H1331" s="1">
        <v>-1.53237E-6</v>
      </c>
      <c r="I1331">
        <v>311.2312</v>
      </c>
      <c r="J1331">
        <v>-191.1249</v>
      </c>
      <c r="K1331">
        <v>1.113189</v>
      </c>
      <c r="L1331">
        <v>342.1465</v>
      </c>
      <c r="M1331">
        <v>9.5931050000000004E-2</v>
      </c>
      <c r="N1331">
        <v>-1.441858E-2</v>
      </c>
      <c r="O1331">
        <v>-0.99528369999999999</v>
      </c>
      <c r="P1331">
        <v>-2.4990930000000001E-2</v>
      </c>
      <c r="Q1331">
        <v>0.16700219999999999</v>
      </c>
      <c r="R1331">
        <v>-0.98563990000000001</v>
      </c>
      <c r="S1331">
        <v>-0.16682429999999901</v>
      </c>
      <c r="T1331">
        <v>-0.1090608</v>
      </c>
      <c r="U1331">
        <v>-3.05661</v>
      </c>
      <c r="V1331">
        <v>0.1230334</v>
      </c>
      <c r="W1331">
        <v>0.17867359999999999</v>
      </c>
      <c r="X1331">
        <v>0.97618570000000005</v>
      </c>
      <c r="Y1331">
        <v>0.1499779</v>
      </c>
      <c r="Z1331">
        <v>2.0731989999999999E-2</v>
      </c>
      <c r="AA1331">
        <v>0.98847200000000002</v>
      </c>
      <c r="AB1331">
        <v>28</v>
      </c>
      <c r="AC1331">
        <v>-1.72140000000001</v>
      </c>
      <c r="AD1331">
        <v>-1.11319053237</v>
      </c>
      <c r="AE1331">
        <v>-30.915299999999998</v>
      </c>
      <c r="AF1331">
        <v>4.6734635960812403</v>
      </c>
      <c r="AG1331">
        <v>-1.11319053237</v>
      </c>
      <c r="AH1331">
        <v>30.5680248075744</v>
      </c>
      <c r="AI1331">
        <v>92.061673846348299</v>
      </c>
      <c r="AJ1331">
        <v>81.307511989805604</v>
      </c>
      <c r="AK1331">
        <v>30.943247983715899</v>
      </c>
      <c r="AL1331">
        <v>79.707489679687598</v>
      </c>
      <c r="AM1331">
        <v>82.81661181714</v>
      </c>
      <c r="AN1331">
        <v>0.99999999686850405</v>
      </c>
    </row>
    <row r="1332" spans="1:40" x14ac:dyDescent="0.25">
      <c r="A1332" t="str">
        <f>"20190303162805198"</f>
        <v>20190303162805198</v>
      </c>
      <c r="B1332" t="str">
        <f>"1551601685192282"</f>
        <v>1551601685192282</v>
      </c>
      <c r="C1332" t="s">
        <v>40</v>
      </c>
      <c r="D1332">
        <v>5.4830779999999999</v>
      </c>
      <c r="E1332">
        <v>0.50648300000000002</v>
      </c>
      <c r="F1332" t="s">
        <v>41</v>
      </c>
      <c r="G1332">
        <v>-192.41800000000001</v>
      </c>
      <c r="H1332" s="1">
        <v>-7.7779869999999898E-7</v>
      </c>
      <c r="I1332">
        <v>309.87599999999998</v>
      </c>
      <c r="J1332">
        <v>-191.1104</v>
      </c>
      <c r="K1332">
        <v>1.1132770000000001</v>
      </c>
      <c r="L1332">
        <v>341.88650000000001</v>
      </c>
      <c r="M1332">
        <v>8.6011149999999995E-2</v>
      </c>
      <c r="N1332">
        <v>-1.4417889999999999E-2</v>
      </c>
      <c r="O1332">
        <v>-0.99619009999999997</v>
      </c>
      <c r="P1332">
        <v>-2.710862E-2</v>
      </c>
      <c r="Q1332">
        <v>0.1713334</v>
      </c>
      <c r="R1332">
        <v>-0.98484050000000001</v>
      </c>
      <c r="S1332">
        <v>-0.1225586</v>
      </c>
      <c r="T1332">
        <v>-0.105505</v>
      </c>
      <c r="U1332">
        <v>-3.0585019999999998</v>
      </c>
      <c r="V1332">
        <v>0.11537509999999999</v>
      </c>
      <c r="W1332">
        <v>0.18317900000000001</v>
      </c>
      <c r="X1332">
        <v>0.97628579999999998</v>
      </c>
      <c r="Y1332">
        <v>0.1257896</v>
      </c>
      <c r="Z1332">
        <v>1.9695009999999999E-2</v>
      </c>
      <c r="AA1332">
        <v>0.9918614</v>
      </c>
      <c r="AB1332">
        <v>28</v>
      </c>
      <c r="AC1332">
        <v>-1.3076000000000001</v>
      </c>
      <c r="AD1332">
        <v>-1.1132777777987</v>
      </c>
      <c r="AE1332">
        <v>-32.0105</v>
      </c>
      <c r="AF1332">
        <v>4.0514064877360303</v>
      </c>
      <c r="AG1332">
        <v>-1.1132777777987</v>
      </c>
      <c r="AH1332">
        <v>31.741041905334999</v>
      </c>
      <c r="AI1332">
        <v>91.992602373047802</v>
      </c>
      <c r="AJ1332">
        <v>82.726134297490503</v>
      </c>
      <c r="AK1332">
        <v>32.0179172210755</v>
      </c>
      <c r="AL1332">
        <v>79.445016976863101</v>
      </c>
      <c r="AM1332">
        <v>83.260182995523195</v>
      </c>
      <c r="AN1332">
        <v>0.99999996151132398</v>
      </c>
    </row>
    <row r="1333" spans="1:40" x14ac:dyDescent="0.25">
      <c r="A1333" t="str">
        <f>"20190303162805220"</f>
        <v>20190303162805220</v>
      </c>
      <c r="B1333" t="str">
        <f>"1551601685212777"</f>
        <v>1551601685212777</v>
      </c>
      <c r="C1333" t="s">
        <v>40</v>
      </c>
      <c r="D1333">
        <v>5.4165269999999897</v>
      </c>
      <c r="E1333">
        <v>0.50619349999999996</v>
      </c>
      <c r="F1333" t="s">
        <v>41</v>
      </c>
      <c r="G1333">
        <v>-192.8828</v>
      </c>
      <c r="H1333" s="1">
        <v>-2.7744489999999999E-6</v>
      </c>
      <c r="I1333">
        <v>304.26850000000002</v>
      </c>
      <c r="J1333">
        <v>-191.09690000000001</v>
      </c>
      <c r="K1333">
        <v>1.1134040000000001</v>
      </c>
      <c r="L1333">
        <v>341.5924</v>
      </c>
      <c r="M1333">
        <v>7.4962059999999997E-2</v>
      </c>
      <c r="N1333">
        <v>-1.440927E-2</v>
      </c>
      <c r="O1333">
        <v>-0.99708240000000004</v>
      </c>
      <c r="P1333">
        <v>-2.9075130000000001E-2</v>
      </c>
      <c r="Q1333">
        <v>0.17385590000000001</v>
      </c>
      <c r="R1333">
        <v>-0.98434200000000005</v>
      </c>
      <c r="S1333">
        <v>-0.14407349999999999</v>
      </c>
      <c r="T1333">
        <v>-9.0497850000000005E-2</v>
      </c>
      <c r="U1333">
        <v>-3.0579529999999999</v>
      </c>
      <c r="V1333">
        <v>0.1064338</v>
      </c>
      <c r="W1333">
        <v>0.18591070000000001</v>
      </c>
      <c r="X1333">
        <v>0.97678509999999996</v>
      </c>
      <c r="Y1333">
        <v>0.12177259999999999</v>
      </c>
      <c r="Z1333">
        <v>1.489856E-2</v>
      </c>
      <c r="AA1333">
        <v>0.99244619999999995</v>
      </c>
      <c r="AB1333">
        <v>28</v>
      </c>
      <c r="AC1333">
        <v>-1.7858999999999901</v>
      </c>
      <c r="AD1333">
        <v>-1.1134067744489999</v>
      </c>
      <c r="AE1333">
        <v>-37.323899999999902</v>
      </c>
      <c r="AF1333">
        <v>4.5749788048628597</v>
      </c>
      <c r="AG1333">
        <v>-1.1134067744489999</v>
      </c>
      <c r="AH1333">
        <v>37.052077778473503</v>
      </c>
      <c r="AI1333">
        <v>91.708242782249798</v>
      </c>
      <c r="AJ1333">
        <v>82.961071914907393</v>
      </c>
      <c r="AK1333">
        <v>37.350054530246403</v>
      </c>
      <c r="AL1333">
        <v>79.285767584226804</v>
      </c>
      <c r="AM1333">
        <v>83.781392327828101</v>
      </c>
      <c r="AN1333">
        <v>1.0000000368694599</v>
      </c>
    </row>
    <row r="1334" spans="1:40" x14ac:dyDescent="0.25">
      <c r="A1334" t="str">
        <f>"20190303162805244"</f>
        <v>20190303162805244</v>
      </c>
      <c r="B1334" t="str">
        <f>"1551601685232297"</f>
        <v>1551601685232297</v>
      </c>
      <c r="C1334" t="s">
        <v>40</v>
      </c>
      <c r="D1334">
        <v>5.3654469999999996</v>
      </c>
      <c r="E1334">
        <v>0.50526490000000002</v>
      </c>
      <c r="F1334" t="s">
        <v>41</v>
      </c>
      <c r="G1334">
        <v>-192.99510000000001</v>
      </c>
      <c r="H1334" s="1">
        <v>-1.9260389999999999E-6</v>
      </c>
      <c r="I1334">
        <v>302.22120000000001</v>
      </c>
      <c r="J1334">
        <v>-191.0865</v>
      </c>
      <c r="K1334">
        <v>1.1135889999999999</v>
      </c>
      <c r="L1334">
        <v>341.29910000000001</v>
      </c>
      <c r="M1334">
        <v>6.4214729999999998E-2</v>
      </c>
      <c r="N1334">
        <v>-1.439117E-2</v>
      </c>
      <c r="O1334">
        <v>-0.99783250000000001</v>
      </c>
      <c r="P1334">
        <v>-2.99274E-2</v>
      </c>
      <c r="Q1334">
        <v>0.17464739999999901</v>
      </c>
      <c r="R1334">
        <v>-0.98417650000000001</v>
      </c>
      <c r="S1334">
        <v>-0.14746090000000001</v>
      </c>
      <c r="T1334">
        <v>-8.6498619999999998E-2</v>
      </c>
      <c r="U1334">
        <v>-3.0586850000000001</v>
      </c>
      <c r="V1334">
        <v>9.66471E-2</v>
      </c>
      <c r="W1334">
        <v>0.1869297</v>
      </c>
      <c r="X1334">
        <v>0.97760760000000002</v>
      </c>
      <c r="Y1334">
        <v>0.1121631</v>
      </c>
      <c r="Z1334">
        <v>1.36647E-2</v>
      </c>
      <c r="AA1334">
        <v>0.99359580000000003</v>
      </c>
      <c r="AB1334">
        <v>28</v>
      </c>
      <c r="AC1334">
        <v>-1.9086000000000001</v>
      </c>
      <c r="AD1334">
        <v>-1.113590926039</v>
      </c>
      <c r="AE1334">
        <v>-39.0779</v>
      </c>
      <c r="AF1334">
        <v>4.4107230487479603</v>
      </c>
      <c r="AG1334">
        <v>-1.113590926039</v>
      </c>
      <c r="AH1334">
        <v>38.843189695103703</v>
      </c>
      <c r="AI1334">
        <v>91.631676242727295</v>
      </c>
      <c r="AJ1334">
        <v>83.521696702451607</v>
      </c>
      <c r="AK1334">
        <v>39.108668454105199</v>
      </c>
      <c r="AL1334">
        <v>79.2263410171348</v>
      </c>
      <c r="AM1334">
        <v>84.354037451348702</v>
      </c>
      <c r="AN1334">
        <v>0.99999999712913001</v>
      </c>
    </row>
    <row r="1335" spans="1:40" x14ac:dyDescent="0.25">
      <c r="A1335" t="str">
        <f>"20190303162805268"</f>
        <v>20190303162805268</v>
      </c>
      <c r="B1335" t="str">
        <f>"1551601685262554"</f>
        <v>1551601685262554</v>
      </c>
      <c r="C1335" t="s">
        <v>40</v>
      </c>
      <c r="D1335">
        <v>5.374314</v>
      </c>
      <c r="E1335">
        <v>0.49129909999999999</v>
      </c>
      <c r="F1335" t="s">
        <v>41</v>
      </c>
      <c r="G1335">
        <v>-192.84530000000001</v>
      </c>
      <c r="H1335" s="1">
        <v>-2.277232E-6</v>
      </c>
      <c r="I1335">
        <v>303.1327</v>
      </c>
      <c r="J1335">
        <v>-191.0789</v>
      </c>
      <c r="K1335">
        <v>1.1138619999999999</v>
      </c>
      <c r="L1335">
        <v>340.99450000000002</v>
      </c>
      <c r="M1335">
        <v>5.3481140000000003E-2</v>
      </c>
      <c r="N1335">
        <v>-1.435965E-2</v>
      </c>
      <c r="O1335">
        <v>-0.99846559999999995</v>
      </c>
      <c r="P1335">
        <v>-3.020596E-2</v>
      </c>
      <c r="Q1335">
        <v>0.174566</v>
      </c>
      <c r="R1335">
        <v>-0.98418220000000001</v>
      </c>
      <c r="S1335">
        <v>-0.14100650000000001</v>
      </c>
      <c r="T1335">
        <v>-8.9275960000000001E-2</v>
      </c>
      <c r="U1335">
        <v>-3.0597840000000001</v>
      </c>
      <c r="V1335">
        <v>8.6253960000000005E-2</v>
      </c>
      <c r="W1335">
        <v>0.18708469999999999</v>
      </c>
      <c r="X1335">
        <v>0.97854969999999997</v>
      </c>
      <c r="Y1335">
        <v>9.9362950000000005E-2</v>
      </c>
      <c r="Z1335">
        <v>1.464036E-2</v>
      </c>
      <c r="AA1335">
        <v>0.99494360000000004</v>
      </c>
      <c r="AB1335">
        <v>28</v>
      </c>
      <c r="AC1335">
        <v>-1.7664</v>
      </c>
      <c r="AD1335">
        <v>-1.113864277232</v>
      </c>
      <c r="AE1335">
        <v>-37.861800000000002</v>
      </c>
      <c r="AF1335">
        <v>3.7857031786119602</v>
      </c>
      <c r="AG1335">
        <v>-1.113864277232</v>
      </c>
      <c r="AH1335">
        <v>37.680583104791403</v>
      </c>
      <c r="AI1335">
        <v>91.684733591718995</v>
      </c>
      <c r="AJ1335">
        <v>84.262843570605298</v>
      </c>
      <c r="AK1335">
        <v>37.8866544485223</v>
      </c>
      <c r="AL1335">
        <v>79.217300423161404</v>
      </c>
      <c r="AM1335">
        <v>84.962700098724497</v>
      </c>
      <c r="AN1335">
        <v>0.99999997297993004</v>
      </c>
    </row>
    <row r="1336" spans="1:40" x14ac:dyDescent="0.25">
      <c r="A1336" t="str">
        <f>"20190303162805287"</f>
        <v>20190303162805287</v>
      </c>
      <c r="B1336" t="str">
        <f>"1551601685283051"</f>
        <v>1551601685283051</v>
      </c>
      <c r="C1336" t="s">
        <v>40</v>
      </c>
      <c r="D1336">
        <v>5.4322589999999904</v>
      </c>
      <c r="E1336">
        <v>0.49045060000000001</v>
      </c>
      <c r="F1336" t="s">
        <v>41</v>
      </c>
      <c r="G1336">
        <v>-191.3852</v>
      </c>
      <c r="H1336" s="1">
        <v>-9.4263559999999995E-7</v>
      </c>
      <c r="I1336">
        <v>310.80610000000001</v>
      </c>
      <c r="J1336">
        <v>-191.0746</v>
      </c>
      <c r="K1336">
        <v>1.1141160000000001</v>
      </c>
      <c r="L1336">
        <v>340.74450000000002</v>
      </c>
      <c r="M1336">
        <v>4.4957560000000001E-2</v>
      </c>
      <c r="N1336">
        <v>-1.432858E-2</v>
      </c>
      <c r="O1336">
        <v>-0.99888639999999995</v>
      </c>
      <c r="P1336">
        <v>-2.8247930000000001E-2</v>
      </c>
      <c r="Q1336">
        <v>0.17644949999999901</v>
      </c>
      <c r="R1336">
        <v>-0.98390469999999997</v>
      </c>
      <c r="S1336">
        <v>-3.1127930000000002E-2</v>
      </c>
      <c r="T1336">
        <v>-0.11317489999999999</v>
      </c>
      <c r="U1336">
        <v>-3.0673219999999999</v>
      </c>
      <c r="V1336">
        <v>7.5829220000000003E-2</v>
      </c>
      <c r="W1336">
        <v>0.18917999999999999</v>
      </c>
      <c r="X1336">
        <v>0.97901020000000005</v>
      </c>
      <c r="Y1336">
        <v>5.507451E-2</v>
      </c>
      <c r="Z1336">
        <v>2.2461160000000001E-2</v>
      </c>
      <c r="AA1336">
        <v>0.99822960000000005</v>
      </c>
      <c r="AB1336">
        <v>28</v>
      </c>
      <c r="AC1336">
        <v>-0.31059999999999299</v>
      </c>
      <c r="AD1336">
        <v>-1.1141169426355999</v>
      </c>
      <c r="AE1336">
        <v>-29.938400000000001</v>
      </c>
      <c r="AF1336">
        <v>1.6540907040991799</v>
      </c>
      <c r="AG1336">
        <v>-1.1141169426355999</v>
      </c>
      <c r="AH1336">
        <v>29.852820378690598</v>
      </c>
      <c r="AI1336">
        <v>92.134034894089993</v>
      </c>
      <c r="AJ1336">
        <v>86.828587468928205</v>
      </c>
      <c r="AK1336">
        <v>29.919360908642702</v>
      </c>
      <c r="AL1336">
        <v>79.095066820806693</v>
      </c>
      <c r="AM1336">
        <v>85.570999084020698</v>
      </c>
      <c r="AN1336">
        <v>1.0000000573549199</v>
      </c>
    </row>
    <row r="1337" spans="1:40" x14ac:dyDescent="0.25">
      <c r="A1337" t="str">
        <f>"20190303162805309"</f>
        <v>20190303162805309</v>
      </c>
      <c r="B1337" t="str">
        <f>"1551601685302569"</f>
        <v>1551601685302569</v>
      </c>
      <c r="C1337" t="s">
        <v>40</v>
      </c>
      <c r="D1337">
        <v>5.4301550000000001</v>
      </c>
      <c r="E1337">
        <v>0.49058459999999998</v>
      </c>
      <c r="F1337" t="s">
        <v>41</v>
      </c>
      <c r="G1337">
        <v>-191.267</v>
      </c>
      <c r="H1337" s="1">
        <v>-4.4993210000000002E-6</v>
      </c>
      <c r="I1337">
        <v>309.54790000000003</v>
      </c>
      <c r="J1337">
        <v>-191.072</v>
      </c>
      <c r="K1337">
        <v>1.1144449999999999</v>
      </c>
      <c r="L1337">
        <v>340.47199999999998</v>
      </c>
      <c r="M1337">
        <v>3.6085199999999998E-2</v>
      </c>
      <c r="N1337">
        <v>-1.4290550000000001E-2</v>
      </c>
      <c r="O1337">
        <v>-0.99924669999999904</v>
      </c>
      <c r="P1337">
        <v>-2.7109609999999999E-2</v>
      </c>
      <c r="Q1337">
        <v>0.17849970000000001</v>
      </c>
      <c r="R1337">
        <v>-0.98356670000000002</v>
      </c>
      <c r="S1337">
        <v>-1.8920900000000001E-2</v>
      </c>
      <c r="T1337">
        <v>-0.1095723</v>
      </c>
      <c r="U1337">
        <v>-3.068146</v>
      </c>
      <c r="V1337">
        <v>6.5849889999999994E-2</v>
      </c>
      <c r="W1337">
        <v>0.1914228</v>
      </c>
      <c r="X1337">
        <v>0.97929619999999995</v>
      </c>
      <c r="Y1337">
        <v>4.2234430000000003E-2</v>
      </c>
      <c r="Z1337">
        <v>2.1352320000000001E-2</v>
      </c>
      <c r="AA1337">
        <v>0.99887959999999998</v>
      </c>
      <c r="AB1337">
        <v>28</v>
      </c>
      <c r="AC1337">
        <v>-0.19499999999999301</v>
      </c>
      <c r="AD1337">
        <v>-1.1144494993209999</v>
      </c>
      <c r="AE1337">
        <v>-30.9240999999999</v>
      </c>
      <c r="AF1337">
        <v>1.30918884013646</v>
      </c>
      <c r="AG1337">
        <v>-1.1144494993209999</v>
      </c>
      <c r="AH1337">
        <v>30.856844388327001</v>
      </c>
      <c r="AI1337">
        <v>92.066581736684</v>
      </c>
      <c r="AJ1337">
        <v>87.570521692880604</v>
      </c>
      <c r="AK1337">
        <v>30.904705446114502</v>
      </c>
      <c r="AL1337">
        <v>78.964170854760198</v>
      </c>
      <c r="AM1337">
        <v>86.1531049110759</v>
      </c>
      <c r="AN1337">
        <v>0.99999997185364498</v>
      </c>
    </row>
    <row r="1338" spans="1:40" x14ac:dyDescent="0.25">
      <c r="A1338" t="str">
        <f>"20190303162805331"</f>
        <v>20190303162805331</v>
      </c>
      <c r="B1338" t="str">
        <f>"1551601685323065"</f>
        <v>1551601685323065</v>
      </c>
      <c r="C1338" t="s">
        <v>40</v>
      </c>
      <c r="D1338">
        <v>5.3732179999999996</v>
      </c>
      <c r="E1338">
        <v>0.4910004</v>
      </c>
      <c r="F1338" t="s">
        <v>41</v>
      </c>
      <c r="G1338">
        <v>-191.22139999999999</v>
      </c>
      <c r="H1338" s="1">
        <v>-4.0882070000000001E-6</v>
      </c>
      <c r="I1338">
        <v>308.36349999999999</v>
      </c>
      <c r="J1338">
        <v>-191.07130000000001</v>
      </c>
      <c r="K1338">
        <v>1.114868</v>
      </c>
      <c r="L1338">
        <v>340.18869999999998</v>
      </c>
      <c r="M1338">
        <v>2.7449009999999999E-2</v>
      </c>
      <c r="N1338">
        <v>-1.424306E-2</v>
      </c>
      <c r="O1338">
        <v>-0.99952169999999896</v>
      </c>
      <c r="P1338">
        <v>-2.5895049999999999E-2</v>
      </c>
      <c r="Q1338">
        <v>0.17950439999999901</v>
      </c>
      <c r="R1338">
        <v>-0.98341639999999997</v>
      </c>
      <c r="S1338">
        <v>-1.428223E-2</v>
      </c>
      <c r="T1338">
        <v>-0.1065248</v>
      </c>
      <c r="U1338">
        <v>-3.0690919999999999</v>
      </c>
      <c r="V1338">
        <v>5.5973130000000003E-2</v>
      </c>
      <c r="W1338">
        <v>0.19260630000000001</v>
      </c>
      <c r="X1338">
        <v>0.97967850000000001</v>
      </c>
      <c r="Y1338">
        <v>3.2091099999999997E-2</v>
      </c>
      <c r="Z1338">
        <v>2.0420379999999998E-2</v>
      </c>
      <c r="AA1338">
        <v>0.99927630000000001</v>
      </c>
      <c r="AB1338">
        <v>28</v>
      </c>
      <c r="AC1338">
        <v>-0.15009999999998</v>
      </c>
      <c r="AD1338">
        <v>-1.114872088207</v>
      </c>
      <c r="AE1338">
        <v>-31.825199999999899</v>
      </c>
      <c r="AF1338">
        <v>1.02244761389947</v>
      </c>
      <c r="AG1338">
        <v>-1.114872088207</v>
      </c>
      <c r="AH1338">
        <v>31.770098752301401</v>
      </c>
      <c r="AI1338">
        <v>92.008752044589698</v>
      </c>
      <c r="AJ1338">
        <v>88.156703222234697</v>
      </c>
      <c r="AK1338">
        <v>31.806092397954501</v>
      </c>
      <c r="AL1338">
        <v>78.895076685488903</v>
      </c>
      <c r="AM1338">
        <v>86.730007492104704</v>
      </c>
      <c r="AN1338">
        <v>1.0000000707219601</v>
      </c>
    </row>
    <row r="1339" spans="1:40" x14ac:dyDescent="0.25">
      <c r="A1339" t="str">
        <f>"20190303162805355"</f>
        <v>20190303162805355</v>
      </c>
      <c r="B1339" t="str">
        <f>"1551601685342585"</f>
        <v>1551601685342585</v>
      </c>
      <c r="C1339" t="s">
        <v>40</v>
      </c>
      <c r="D1339">
        <v>5.4872259999999997</v>
      </c>
      <c r="E1339">
        <v>0.49398700000000001</v>
      </c>
      <c r="F1339" t="s">
        <v>41</v>
      </c>
      <c r="G1339">
        <v>-191.20490000000001</v>
      </c>
      <c r="H1339" s="1">
        <v>-3.9964259999999998E-6</v>
      </c>
      <c r="I1339">
        <v>308.1576</v>
      </c>
      <c r="J1339">
        <v>-191.07239999999999</v>
      </c>
      <c r="K1339">
        <v>1.115383</v>
      </c>
      <c r="L1339">
        <v>339.90519999999998</v>
      </c>
      <c r="M1339">
        <v>1.9513920000000001E-2</v>
      </c>
      <c r="N1339">
        <v>-1.4185420000000001E-2</v>
      </c>
      <c r="O1339">
        <v>-0.99970899999999996</v>
      </c>
      <c r="P1339">
        <v>-2.3080199999999999E-2</v>
      </c>
      <c r="Q1339">
        <v>0.1798177</v>
      </c>
      <c r="R1339">
        <v>-0.9834292</v>
      </c>
      <c r="S1339">
        <v>-1.280212E-2</v>
      </c>
      <c r="T1339">
        <v>-0.106846</v>
      </c>
      <c r="U1339">
        <v>-3.069763</v>
      </c>
      <c r="V1339">
        <v>4.5132569999999997E-2</v>
      </c>
      <c r="W1339">
        <v>0.19309380000000001</v>
      </c>
      <c r="X1339">
        <v>0.98014179999999995</v>
      </c>
      <c r="Y1339">
        <v>2.367617E-2</v>
      </c>
      <c r="Z1339">
        <v>2.0589E-2</v>
      </c>
      <c r="AA1339">
        <v>0.9995077</v>
      </c>
      <c r="AB1339">
        <v>28</v>
      </c>
      <c r="AC1339">
        <v>-0.13250000000002099</v>
      </c>
      <c r="AD1339">
        <v>-1.1153869964259999</v>
      </c>
      <c r="AE1339">
        <v>-31.747599999999899</v>
      </c>
      <c r="AF1339">
        <v>0.75113007849107605</v>
      </c>
      <c r="AG1339">
        <v>-1.1153869964259999</v>
      </c>
      <c r="AH1339">
        <v>31.699840512012798</v>
      </c>
      <c r="AI1339">
        <v>92.014606443411196</v>
      </c>
      <c r="AJ1339">
        <v>88.642626240713795</v>
      </c>
      <c r="AK1339">
        <v>31.728349673969099</v>
      </c>
      <c r="AL1339">
        <v>78.866610474136195</v>
      </c>
      <c r="AM1339">
        <v>87.3635646922002</v>
      </c>
      <c r="AN1339">
        <v>1.00000005629024</v>
      </c>
    </row>
    <row r="1340" spans="1:40" x14ac:dyDescent="0.25">
      <c r="A1340" t="str">
        <f>"20190303162805377"</f>
        <v>20190303162805377</v>
      </c>
      <c r="B1340" t="str">
        <f>"1551601685363080"</f>
        <v>1551601685363080</v>
      </c>
      <c r="C1340" t="s">
        <v>40</v>
      </c>
      <c r="D1340">
        <v>5.3704020000000003</v>
      </c>
      <c r="E1340">
        <v>0.49343510000000002</v>
      </c>
      <c r="F1340" t="s">
        <v>41</v>
      </c>
      <c r="G1340">
        <v>-191.28540000000001</v>
      </c>
      <c r="H1340" s="1">
        <v>-3.60237E-6</v>
      </c>
      <c r="I1340">
        <v>316.4889</v>
      </c>
      <c r="J1340">
        <v>-191.07480000000001</v>
      </c>
      <c r="K1340">
        <v>1.1159709999999901</v>
      </c>
      <c r="L1340">
        <v>339.62880000000001</v>
      </c>
      <c r="M1340">
        <v>1.256298E-2</v>
      </c>
      <c r="N1340">
        <v>-1.41227E-2</v>
      </c>
      <c r="O1340">
        <v>-0.99982139999999997</v>
      </c>
      <c r="P1340">
        <v>-1.9990009999999999E-2</v>
      </c>
      <c r="Q1340">
        <v>0.1831748</v>
      </c>
      <c r="R1340">
        <v>-0.98287729999999995</v>
      </c>
      <c r="S1340">
        <v>-2.7984620000000002E-2</v>
      </c>
      <c r="T1340">
        <v>-0.1465515</v>
      </c>
      <c r="U1340">
        <v>-3.0766909999999998</v>
      </c>
      <c r="V1340">
        <v>3.497521E-2</v>
      </c>
      <c r="W1340">
        <v>0.19658139999999999</v>
      </c>
      <c r="X1340">
        <v>0.9798635</v>
      </c>
      <c r="Y1340">
        <v>2.1643780000000001E-2</v>
      </c>
      <c r="Z1340">
        <v>3.3454449999999997E-2</v>
      </c>
      <c r="AA1340">
        <v>0.99920589999999998</v>
      </c>
      <c r="AB1340">
        <v>28</v>
      </c>
      <c r="AC1340">
        <v>-0.21059999999999901</v>
      </c>
      <c r="AD1340">
        <v>-1.1159746023699999</v>
      </c>
      <c r="AE1340">
        <v>-23.139900000000001</v>
      </c>
      <c r="AF1340">
        <v>0.50015525618102996</v>
      </c>
      <c r="AG1340">
        <v>-1.1159746023699999</v>
      </c>
      <c r="AH1340">
        <v>23.081746744835801</v>
      </c>
      <c r="AI1340">
        <v>92.767377681636802</v>
      </c>
      <c r="AJ1340">
        <v>88.758659745551199</v>
      </c>
      <c r="AK1340">
        <v>23.114120952053501</v>
      </c>
      <c r="AL1340">
        <v>78.662880542245603</v>
      </c>
      <c r="AM1340">
        <v>87.955754522811702</v>
      </c>
      <c r="AN1340">
        <v>0.99999999538637696</v>
      </c>
    </row>
    <row r="1341" spans="1:40" x14ac:dyDescent="0.25">
      <c r="A1341" t="str">
        <f>"20190303162805401"</f>
        <v>20190303162805401</v>
      </c>
      <c r="B1341" t="str">
        <f>"1551601685392361"</f>
        <v>1551601685392361</v>
      </c>
      <c r="C1341" t="s">
        <v>40</v>
      </c>
      <c r="D1341">
        <v>5.4782219999999997</v>
      </c>
      <c r="E1341">
        <v>0.49438199999999999</v>
      </c>
      <c r="F1341" t="s">
        <v>41</v>
      </c>
      <c r="G1341">
        <v>-191.1756</v>
      </c>
      <c r="H1341" s="1">
        <v>-2.5622089999999998E-6</v>
      </c>
      <c r="I1341">
        <v>314.35019999999997</v>
      </c>
      <c r="J1341">
        <v>-191.07839999999999</v>
      </c>
      <c r="K1341">
        <v>1.116692</v>
      </c>
      <c r="L1341">
        <v>339.33749999999998</v>
      </c>
      <c r="M1341">
        <v>6.1806109999999999E-3</v>
      </c>
      <c r="N1341">
        <v>-1.40547E-2</v>
      </c>
      <c r="O1341">
        <v>-0.99988220000000005</v>
      </c>
      <c r="P1341">
        <v>-1.8081429999999999E-2</v>
      </c>
      <c r="Q1341">
        <v>0.1858476</v>
      </c>
      <c r="R1341">
        <v>-0.98241250000000002</v>
      </c>
      <c r="S1341">
        <v>-1.2268070000000001E-2</v>
      </c>
      <c r="T1341">
        <v>-0.13585520000000001</v>
      </c>
      <c r="U1341">
        <v>-3.0773320000000002</v>
      </c>
      <c r="V1341">
        <v>2.6485979999999999E-2</v>
      </c>
      <c r="W1341">
        <v>0.1993386</v>
      </c>
      <c r="X1341">
        <v>0.97957269999999996</v>
      </c>
      <c r="Y1341">
        <v>1.0161699999999999E-2</v>
      </c>
      <c r="Z1341">
        <v>3.0055990000000001E-2</v>
      </c>
      <c r="AA1341">
        <v>0.99949659999999996</v>
      </c>
      <c r="AB1341">
        <v>28</v>
      </c>
      <c r="AC1341">
        <v>-9.7200000000014997E-2</v>
      </c>
      <c r="AD1341">
        <v>-1.1166945622090001</v>
      </c>
      <c r="AE1341">
        <v>-24.987300000000001</v>
      </c>
      <c r="AF1341">
        <v>0.25114857218590703</v>
      </c>
      <c r="AG1341">
        <v>-1.1166945622090001</v>
      </c>
      <c r="AH1341">
        <v>24.936418583819599</v>
      </c>
      <c r="AI1341">
        <v>92.563957954533194</v>
      </c>
      <c r="AJ1341">
        <v>89.422961775741598</v>
      </c>
      <c r="AK1341">
        <v>24.9626732169862</v>
      </c>
      <c r="AL1341">
        <v>78.501715510467506</v>
      </c>
      <c r="AM1341">
        <v>88.451196910134996</v>
      </c>
      <c r="AN1341">
        <v>1.0000000295859</v>
      </c>
    </row>
    <row r="1342" spans="1:40" x14ac:dyDescent="0.25">
      <c r="A1342" t="str">
        <f>"20190303162805422"</f>
        <v>20190303162805422</v>
      </c>
      <c r="B1342" t="str">
        <f>"1551601685412858"</f>
        <v>1551601685412858</v>
      </c>
      <c r="C1342" t="s">
        <v>40</v>
      </c>
      <c r="D1342">
        <v>5.2231940000000003</v>
      </c>
      <c r="E1342">
        <v>0.49458259999999998</v>
      </c>
      <c r="F1342" t="s">
        <v>41</v>
      </c>
      <c r="G1342">
        <v>-191.16550000000001</v>
      </c>
      <c r="H1342" s="1">
        <v>-1.4660470000000001E-6</v>
      </c>
      <c r="I1342">
        <v>312.03699999999998</v>
      </c>
      <c r="J1342">
        <v>-191.08240000000001</v>
      </c>
      <c r="K1342">
        <v>1.1173900000000001</v>
      </c>
      <c r="L1342">
        <v>339.07330000000002</v>
      </c>
      <c r="M1342">
        <v>1.3462560000000001E-3</v>
      </c>
      <c r="N1342">
        <v>-1.399413E-2</v>
      </c>
      <c r="O1342">
        <v>-0.99990120000000005</v>
      </c>
      <c r="P1342">
        <v>-1.45682E-2</v>
      </c>
      <c r="Q1342">
        <v>0.184721</v>
      </c>
      <c r="R1342">
        <v>-0.98268290000000003</v>
      </c>
      <c r="S1342">
        <v>-9.8114010000000008E-3</v>
      </c>
      <c r="T1342">
        <v>-0.12587329999999999</v>
      </c>
      <c r="U1342">
        <v>-3.0773009999999998</v>
      </c>
      <c r="V1342">
        <v>1.7871999999999999E-2</v>
      </c>
      <c r="W1342">
        <v>0.19828580000000001</v>
      </c>
      <c r="X1342">
        <v>0.97998130000000006</v>
      </c>
      <c r="Y1342">
        <v>4.5317839999999996E-3</v>
      </c>
      <c r="Z1342">
        <v>2.688279E-2</v>
      </c>
      <c r="AA1342">
        <v>0.99962830000000003</v>
      </c>
      <c r="AB1342">
        <v>28</v>
      </c>
      <c r="AC1342">
        <v>-8.31000000000017E-2</v>
      </c>
      <c r="AD1342">
        <v>-1.1173914660469999</v>
      </c>
      <c r="AE1342">
        <v>-27.036299999999901</v>
      </c>
      <c r="AF1342">
        <v>0.11929749774649701</v>
      </c>
      <c r="AG1342">
        <v>-1.1173914660469999</v>
      </c>
      <c r="AH1342">
        <v>26.990062013400401</v>
      </c>
      <c r="AI1342">
        <v>92.370674478596598</v>
      </c>
      <c r="AJ1342">
        <v>89.746751281586597</v>
      </c>
      <c r="AK1342">
        <v>27.0134455978604</v>
      </c>
      <c r="AL1342">
        <v>78.563264932691297</v>
      </c>
      <c r="AM1342">
        <v>88.955207950663507</v>
      </c>
      <c r="AN1342">
        <v>1.0000000076076601</v>
      </c>
    </row>
    <row r="1343" spans="1:40" x14ac:dyDescent="0.25">
      <c r="A1343" t="str">
        <f>"20190303162805447"</f>
        <v>20190303162805447</v>
      </c>
      <c r="B1343" t="str">
        <f>"1551601685443114"</f>
        <v>1551601685443114</v>
      </c>
      <c r="C1343" t="s">
        <v>40</v>
      </c>
      <c r="D1343">
        <v>5.4119380000000001</v>
      </c>
      <c r="E1343">
        <v>0.49496570000000001</v>
      </c>
      <c r="F1343" t="s">
        <v>41</v>
      </c>
      <c r="G1343">
        <v>-191.07570000000001</v>
      </c>
      <c r="H1343" s="1">
        <v>-1.9591800000000001E-6</v>
      </c>
      <c r="I1343">
        <v>313.13080000000002</v>
      </c>
      <c r="J1343">
        <v>-191.0873</v>
      </c>
      <c r="K1343">
        <v>1.118239</v>
      </c>
      <c r="L1343">
        <v>338.7647</v>
      </c>
      <c r="M1343">
        <v>-3.0103339999999999E-3</v>
      </c>
      <c r="N1343">
        <v>-1.3927510000000001E-2</v>
      </c>
      <c r="O1343">
        <v>-0.99989859999999997</v>
      </c>
      <c r="P1343">
        <v>-8.7989250000000008E-3</v>
      </c>
      <c r="Q1343">
        <v>0.18183859999999999</v>
      </c>
      <c r="R1343">
        <v>-0.98328919999999997</v>
      </c>
      <c r="S1343">
        <v>7.9345700000000002E-4</v>
      </c>
      <c r="T1343">
        <v>-0.1325674</v>
      </c>
      <c r="U1343">
        <v>-3.07782</v>
      </c>
      <c r="V1343">
        <v>7.37902E-3</v>
      </c>
      <c r="W1343">
        <v>0.1954639</v>
      </c>
      <c r="X1343">
        <v>0.98068310000000003</v>
      </c>
      <c r="Y1343">
        <v>-3.2670170000000001E-3</v>
      </c>
      <c r="Z1343">
        <v>2.9112760000000001E-2</v>
      </c>
      <c r="AA1343">
        <v>0.99957079999999998</v>
      </c>
      <c r="AB1343">
        <v>28</v>
      </c>
      <c r="AC1343">
        <v>1.15999999999871E-2</v>
      </c>
      <c r="AD1343">
        <v>-1.11824095918</v>
      </c>
      <c r="AE1343">
        <v>-25.633899999999901</v>
      </c>
      <c r="AF1343">
        <v>-8.8605406812390805E-2</v>
      </c>
      <c r="AG1343">
        <v>-1.11824095918</v>
      </c>
      <c r="AH1343">
        <v>25.585060250652099</v>
      </c>
      <c r="AI1343">
        <v>92.502607084909599</v>
      </c>
      <c r="AJ1343">
        <v>90.198424217369805</v>
      </c>
      <c r="AK1343">
        <v>25.609639235850299</v>
      </c>
      <c r="AL1343">
        <v>78.728174986333599</v>
      </c>
      <c r="AM1343">
        <v>89.568893637130898</v>
      </c>
      <c r="AN1343">
        <v>0.99999996438248895</v>
      </c>
    </row>
    <row r="1344" spans="1:40" x14ac:dyDescent="0.25">
      <c r="A1344" t="str">
        <f>"20190303162805466"</f>
        <v>20190303162805466</v>
      </c>
      <c r="B1344" t="str">
        <f>"1551601685452874"</f>
        <v>1551601685452874</v>
      </c>
      <c r="C1344" t="s">
        <v>40</v>
      </c>
      <c r="D1344">
        <v>5.4716570000000004</v>
      </c>
      <c r="E1344">
        <v>0.49542439999999999</v>
      </c>
      <c r="F1344" t="s">
        <v>41</v>
      </c>
      <c r="G1344">
        <v>-190.97300000000001</v>
      </c>
      <c r="H1344" s="1">
        <v>-2.8584469999999998E-6</v>
      </c>
      <c r="I1344">
        <v>315.09089999999998</v>
      </c>
      <c r="J1344">
        <v>-191.09110000000001</v>
      </c>
      <c r="K1344">
        <v>1.1189039999999999</v>
      </c>
      <c r="L1344">
        <v>338.524</v>
      </c>
      <c r="M1344">
        <v>-5.5337440000000002E-3</v>
      </c>
      <c r="N1344">
        <v>-1.388064E-2</v>
      </c>
      <c r="O1344">
        <v>-0.99988860000000002</v>
      </c>
      <c r="P1344">
        <v>-3.8453290000000002E-3</v>
      </c>
      <c r="Q1344">
        <v>0.18126400000000001</v>
      </c>
      <c r="R1344">
        <v>-0.98342719999999995</v>
      </c>
      <c r="S1344">
        <v>1.486206E-2</v>
      </c>
      <c r="T1344">
        <v>-0.14539070000000001</v>
      </c>
      <c r="U1344">
        <v>-3.0780029999999998</v>
      </c>
      <c r="V1344">
        <v>-3.8006249999999998E-4</v>
      </c>
      <c r="W1344">
        <v>0.1949032</v>
      </c>
      <c r="X1344">
        <v>0.98082239999999998</v>
      </c>
      <c r="Y1344">
        <v>-1.035548E-2</v>
      </c>
      <c r="Z1344">
        <v>3.3310279999999998E-2</v>
      </c>
      <c r="AA1344">
        <v>0.99939140000000004</v>
      </c>
      <c r="AB1344">
        <v>27</v>
      </c>
      <c r="AC1344">
        <v>0.118100000000026</v>
      </c>
      <c r="AD1344">
        <v>-1.1189068584469899</v>
      </c>
      <c r="AE1344">
        <v>-23.4331</v>
      </c>
      <c r="AF1344">
        <v>-0.247219790602005</v>
      </c>
      <c r="AG1344">
        <v>-1.1189068584469899</v>
      </c>
      <c r="AH1344">
        <v>23.3787860577347</v>
      </c>
      <c r="AI1344">
        <v>92.739927698798795</v>
      </c>
      <c r="AJ1344">
        <v>90.605853642125396</v>
      </c>
      <c r="AK1344">
        <v>23.406851725853201</v>
      </c>
      <c r="AL1344">
        <v>78.760931035587603</v>
      </c>
      <c r="AM1344">
        <v>90.022201752438804</v>
      </c>
      <c r="AN1344">
        <v>0.99999999107975102</v>
      </c>
    </row>
    <row r="1345" spans="1:40" x14ac:dyDescent="0.25">
      <c r="A1345" t="str">
        <f>"20190303162805488"</f>
        <v>20190303162805488</v>
      </c>
      <c r="B1345" t="str">
        <f>"1551601685483130"</f>
        <v>1551601685483130</v>
      </c>
      <c r="C1345" t="s">
        <v>40</v>
      </c>
      <c r="D1345">
        <v>5.3355110000000003</v>
      </c>
      <c r="E1345">
        <v>0.49600430000000001</v>
      </c>
      <c r="F1345" t="s">
        <v>41</v>
      </c>
      <c r="G1345">
        <v>-190.86869999999999</v>
      </c>
      <c r="H1345" s="1">
        <v>-2.897039E-6</v>
      </c>
      <c r="I1345">
        <v>315.23129999999998</v>
      </c>
      <c r="J1345">
        <v>-191.09540000000001</v>
      </c>
      <c r="K1345">
        <v>1.119599</v>
      </c>
      <c r="L1345">
        <v>338.24639999999999</v>
      </c>
      <c r="M1345">
        <v>-7.583294E-3</v>
      </c>
      <c r="N1345">
        <v>-1.383208E-2</v>
      </c>
      <c r="O1345">
        <v>-0.99987550000000003</v>
      </c>
      <c r="P1345">
        <v>-1.8490080000000001E-3</v>
      </c>
      <c r="Q1345">
        <v>0.18142910000000001</v>
      </c>
      <c r="R1345">
        <v>-0.98340240000000001</v>
      </c>
      <c r="S1345">
        <v>2.938843E-2</v>
      </c>
      <c r="T1345">
        <v>-0.14785110000000001</v>
      </c>
      <c r="U1345">
        <v>-3.0778810000000001</v>
      </c>
      <c r="V1345">
        <v>-4.717766E-3</v>
      </c>
      <c r="W1345">
        <v>0.1950374</v>
      </c>
      <c r="X1345">
        <v>0.98078449999999995</v>
      </c>
      <c r="Y1345">
        <v>-1.7118339999999999E-2</v>
      </c>
      <c r="Z1345">
        <v>3.4153419999999997E-2</v>
      </c>
      <c r="AA1345">
        <v>0.99926999999999999</v>
      </c>
      <c r="AB1345">
        <v>27</v>
      </c>
      <c r="AC1345">
        <v>0.226700000000022</v>
      </c>
      <c r="AD1345">
        <v>-1.119601897039</v>
      </c>
      <c r="AE1345">
        <v>-23.0151</v>
      </c>
      <c r="AF1345">
        <v>-0.40029327057872799</v>
      </c>
      <c r="AG1345">
        <v>-1.119601897039</v>
      </c>
      <c r="AH1345">
        <v>22.9583936656696</v>
      </c>
      <c r="AI1345">
        <v>92.791482690158205</v>
      </c>
      <c r="AJ1345">
        <v>90.9988848365347</v>
      </c>
      <c r="AK1345">
        <v>22.989162290483399</v>
      </c>
      <c r="AL1345">
        <v>78.753092052675996</v>
      </c>
      <c r="AM1345">
        <v>90.275601822585998</v>
      </c>
      <c r="AN1345">
        <v>1.00000004007751</v>
      </c>
    </row>
    <row r="1346" spans="1:40" x14ac:dyDescent="0.25">
      <c r="A1346" t="str">
        <f>"20190303162805510"</f>
        <v>20190303162805510</v>
      </c>
      <c r="B1346" t="str">
        <f>"1551601685502649"</f>
        <v>1551601685502649</v>
      </c>
      <c r="C1346" t="s">
        <v>40</v>
      </c>
      <c r="D1346">
        <v>5.5246399999999998</v>
      </c>
      <c r="E1346">
        <v>0.49648900000000001</v>
      </c>
      <c r="F1346" t="s">
        <v>41</v>
      </c>
      <c r="G1346">
        <v>-190.82140000000001</v>
      </c>
      <c r="H1346" s="1">
        <v>-2.8917129999999999E-6</v>
      </c>
      <c r="I1346">
        <v>315.2466</v>
      </c>
      <c r="J1346">
        <v>-191.09909999999999</v>
      </c>
      <c r="K1346">
        <v>1.120185</v>
      </c>
      <c r="L1346">
        <v>337.98309999999998</v>
      </c>
      <c r="M1346">
        <v>-8.7575900000000009E-3</v>
      </c>
      <c r="N1346">
        <v>-1.378795E-2</v>
      </c>
      <c r="O1346">
        <v>-0.99986649999999999</v>
      </c>
      <c r="P1346">
        <v>-3.2109389999999998E-4</v>
      </c>
      <c r="Q1346">
        <v>0.17912249999999999</v>
      </c>
      <c r="R1346">
        <v>-0.9838268</v>
      </c>
      <c r="S1346">
        <v>3.6666869999999997E-2</v>
      </c>
      <c r="T1346">
        <v>-0.14985010000000001</v>
      </c>
      <c r="U1346">
        <v>-3.0783390000000002</v>
      </c>
      <c r="V1346">
        <v>-7.6850159999999898E-3</v>
      </c>
      <c r="W1346">
        <v>0.19269520000000001</v>
      </c>
      <c r="X1346">
        <v>0.98122860000000001</v>
      </c>
      <c r="Y1346">
        <v>-2.0651630000000001E-2</v>
      </c>
      <c r="Z1346">
        <v>3.483464E-2</v>
      </c>
      <c r="AA1346">
        <v>0.9991797</v>
      </c>
      <c r="AB1346">
        <v>27</v>
      </c>
      <c r="AC1346">
        <v>0.27769999999998102</v>
      </c>
      <c r="AD1346">
        <v>-1.1201878917129999</v>
      </c>
      <c r="AE1346">
        <v>-22.7364999999999</v>
      </c>
      <c r="AF1346">
        <v>-0.47567078810242902</v>
      </c>
      <c r="AG1346">
        <v>-1.1201878917129999</v>
      </c>
      <c r="AH1346">
        <v>22.678155830896699</v>
      </c>
      <c r="AI1346">
        <v>92.827206824134294</v>
      </c>
      <c r="AJ1346">
        <v>91.201593864987004</v>
      </c>
      <c r="AK1346">
        <v>22.710786765363899</v>
      </c>
      <c r="AL1346">
        <v>78.889885423345802</v>
      </c>
      <c r="AM1346">
        <v>90.448733332329198</v>
      </c>
      <c r="AN1346">
        <v>1.0000000325159499</v>
      </c>
    </row>
    <row r="1347" spans="1:40" x14ac:dyDescent="0.25">
      <c r="A1347" t="str">
        <f>"20190303162805534"</f>
        <v>20190303162805534</v>
      </c>
      <c r="B1347" t="str">
        <f>"1551601685522569"</f>
        <v>1551601685522569</v>
      </c>
      <c r="C1347" t="s">
        <v>40</v>
      </c>
      <c r="D1347">
        <v>5.4711280000000002</v>
      </c>
      <c r="E1347">
        <v>0.49689759999999999</v>
      </c>
      <c r="F1347" t="s">
        <v>41</v>
      </c>
      <c r="G1347">
        <v>-190.8082</v>
      </c>
      <c r="H1347" s="1">
        <v>-3.230083E-6</v>
      </c>
      <c r="I1347">
        <v>315.9699</v>
      </c>
      <c r="J1347">
        <v>-191.1028</v>
      </c>
      <c r="K1347">
        <v>1.120741</v>
      </c>
      <c r="L1347">
        <v>337.69650000000001</v>
      </c>
      <c r="M1347">
        <v>-9.2421099999999996E-3</v>
      </c>
      <c r="N1347">
        <v>-1.374245E-2</v>
      </c>
      <c r="O1347">
        <v>-0.99986299999999995</v>
      </c>
      <c r="P1347">
        <v>3.2876049999999999E-3</v>
      </c>
      <c r="Q1347">
        <v>0.17527100000000001</v>
      </c>
      <c r="R1347">
        <v>-0.98451509999999998</v>
      </c>
      <c r="S1347">
        <v>4.0679930000000003E-2</v>
      </c>
      <c r="T1347">
        <v>-0.15662279999999901</v>
      </c>
      <c r="U1347">
        <v>-3.0778500000000002</v>
      </c>
      <c r="V1347">
        <v>-1.2046009999999999E-2</v>
      </c>
      <c r="W1347">
        <v>0.1888049</v>
      </c>
      <c r="X1347">
        <v>0.9819407</v>
      </c>
      <c r="Y1347">
        <v>-2.2438389999999999E-2</v>
      </c>
      <c r="Z1347">
        <v>3.7079099999999997E-2</v>
      </c>
      <c r="AA1347">
        <v>0.99906039999999996</v>
      </c>
      <c r="AB1347">
        <v>27</v>
      </c>
      <c r="AC1347">
        <v>0.29460000000000203</v>
      </c>
      <c r="AD1347">
        <v>-1.1207442300829999</v>
      </c>
      <c r="AE1347">
        <v>-21.726600000000001</v>
      </c>
      <c r="AF1347">
        <v>-0.49409148796805102</v>
      </c>
      <c r="AG1347">
        <v>-1.1207442300829999</v>
      </c>
      <c r="AH1347">
        <v>21.665310166471698</v>
      </c>
      <c r="AI1347">
        <v>92.960496732372306</v>
      </c>
      <c r="AJ1347">
        <v>91.306441052095494</v>
      </c>
      <c r="AK1347">
        <v>21.699904576683402</v>
      </c>
      <c r="AL1347">
        <v>79.116951895224503</v>
      </c>
      <c r="AM1347">
        <v>90.702843780109902</v>
      </c>
      <c r="AN1347">
        <v>0.99999996746870901</v>
      </c>
    </row>
    <row r="1348" spans="1:40" x14ac:dyDescent="0.25">
      <c r="A1348" t="str">
        <f>"20190303162805556"</f>
        <v>20190303162805556</v>
      </c>
      <c r="B1348" t="str">
        <f>"1551601685543065"</f>
        <v>1551601685543065</v>
      </c>
      <c r="C1348" t="s">
        <v>40</v>
      </c>
      <c r="D1348">
        <v>5.5338029999999998</v>
      </c>
      <c r="E1348">
        <v>0.49751610000000002</v>
      </c>
      <c r="F1348" t="s">
        <v>41</v>
      </c>
      <c r="G1348">
        <v>-190.7696</v>
      </c>
      <c r="H1348" s="1">
        <v>-3.7082630000000002E-6</v>
      </c>
      <c r="I1348">
        <v>317.00319999999999</v>
      </c>
      <c r="J1348">
        <v>-191.10570000000001</v>
      </c>
      <c r="K1348">
        <v>1.1212260000000001</v>
      </c>
      <c r="L1348">
        <v>337.4246</v>
      </c>
      <c r="M1348">
        <v>-9.0413739999999996E-3</v>
      </c>
      <c r="N1348">
        <v>-1.370466E-2</v>
      </c>
      <c r="O1348">
        <v>-0.99986520000000001</v>
      </c>
      <c r="P1348">
        <v>4.9857900000000004E-3</v>
      </c>
      <c r="Q1348">
        <v>0.1731645</v>
      </c>
      <c r="R1348">
        <v>-0.98488039999999999</v>
      </c>
      <c r="S1348">
        <v>4.9530030000000003E-2</v>
      </c>
      <c r="T1348">
        <v>-0.166634</v>
      </c>
      <c r="U1348">
        <v>-3.076721</v>
      </c>
      <c r="V1348">
        <v>-1.377858E-2</v>
      </c>
      <c r="W1348">
        <v>0.18665280000000001</v>
      </c>
      <c r="X1348">
        <v>0.98232929999999996</v>
      </c>
      <c r="Y1348">
        <v>-2.511182E-2</v>
      </c>
      <c r="Z1348">
        <v>4.0374319999999998E-2</v>
      </c>
      <c r="AA1348">
        <v>0.99886900000000001</v>
      </c>
      <c r="AB1348">
        <v>27</v>
      </c>
      <c r="AC1348">
        <v>0.336100000000016</v>
      </c>
      <c r="AD1348">
        <v>-1.1212297082630001</v>
      </c>
      <c r="AE1348">
        <v>-20.421399999999998</v>
      </c>
      <c r="AF1348">
        <v>-0.51917647378441401</v>
      </c>
      <c r="AG1348">
        <v>-1.1212297082630001</v>
      </c>
      <c r="AH1348">
        <v>20.356178556608899</v>
      </c>
      <c r="AI1348">
        <v>93.151675064194194</v>
      </c>
      <c r="AJ1348">
        <v>91.460990003125701</v>
      </c>
      <c r="AK1348">
        <v>20.393643757263298</v>
      </c>
      <c r="AL1348">
        <v>79.242490326218103</v>
      </c>
      <c r="AM1348">
        <v>90.803602941623893</v>
      </c>
      <c r="AN1348">
        <v>0.99999998532657297</v>
      </c>
    </row>
    <row r="1349" spans="1:40" x14ac:dyDescent="0.25">
      <c r="A1349" t="str">
        <f>"20190303162805577"</f>
        <v>20190303162805577</v>
      </c>
      <c r="B1349" t="str">
        <f>"1551601685562585"</f>
        <v>1551601685562585</v>
      </c>
      <c r="C1349" t="s">
        <v>40</v>
      </c>
      <c r="D1349">
        <v>5.5629350000000004</v>
      </c>
      <c r="E1349">
        <v>0.49724190000000001</v>
      </c>
      <c r="F1349" t="s">
        <v>41</v>
      </c>
      <c r="G1349">
        <v>-190.77500000000001</v>
      </c>
      <c r="H1349" s="1">
        <v>-3.8658000000000003E-6</v>
      </c>
      <c r="I1349">
        <v>317.33339999999998</v>
      </c>
      <c r="J1349">
        <v>-191.10769999999999</v>
      </c>
      <c r="K1349">
        <v>1.121658</v>
      </c>
      <c r="L1349">
        <v>337.173</v>
      </c>
      <c r="M1349">
        <v>-8.3671600000000002E-3</v>
      </c>
      <c r="N1349">
        <v>-1.367502E-2</v>
      </c>
      <c r="O1349">
        <v>-0.99987159999999997</v>
      </c>
      <c r="P1349">
        <v>4.7670150000000003E-3</v>
      </c>
      <c r="Q1349">
        <v>0.1731771</v>
      </c>
      <c r="R1349">
        <v>-0.98487930000000001</v>
      </c>
      <c r="S1349">
        <v>5.0628659999999999E-2</v>
      </c>
      <c r="T1349">
        <v>-0.17166219999999999</v>
      </c>
      <c r="U1349">
        <v>-3.0759889999999999</v>
      </c>
      <c r="V1349">
        <v>-1.3090549999999999E-2</v>
      </c>
      <c r="W1349">
        <v>0.18662239999999999</v>
      </c>
      <c r="X1349">
        <v>0.98234449999999995</v>
      </c>
      <c r="Y1349">
        <v>-2.479698E-2</v>
      </c>
      <c r="Z1349">
        <v>4.2045289999999999E-2</v>
      </c>
      <c r="AA1349">
        <v>0.99880800000000003</v>
      </c>
      <c r="AB1349">
        <v>27</v>
      </c>
      <c r="AC1349">
        <v>0.33269999999998801</v>
      </c>
      <c r="AD1349">
        <v>-1.1216618657999999</v>
      </c>
      <c r="AE1349">
        <v>-19.839600000000001</v>
      </c>
      <c r="AF1349">
        <v>-0.49711643846884501</v>
      </c>
      <c r="AG1349">
        <v>-1.1216618657999999</v>
      </c>
      <c r="AH1349">
        <v>19.772937358188901</v>
      </c>
      <c r="AI1349">
        <v>93.245721696879301</v>
      </c>
      <c r="AJ1349">
        <v>91.440184352746797</v>
      </c>
      <c r="AK1349">
        <v>19.810964183134701</v>
      </c>
      <c r="AL1349">
        <v>79.244263426877893</v>
      </c>
      <c r="AM1349">
        <v>90.763468289249403</v>
      </c>
      <c r="AN1349">
        <v>0.999999999680656</v>
      </c>
    </row>
    <row r="1350" spans="1:40" x14ac:dyDescent="0.25">
      <c r="A1350" t="str">
        <f>"20190303162805600"</f>
        <v>20190303162805600</v>
      </c>
      <c r="B1350" t="str">
        <f>"1551601685592842"</f>
        <v>1551601685592842</v>
      </c>
      <c r="C1350" t="s">
        <v>40</v>
      </c>
      <c r="D1350">
        <v>5.5034700000000001</v>
      </c>
      <c r="E1350">
        <v>0.47571020000000003</v>
      </c>
      <c r="F1350" t="s">
        <v>41</v>
      </c>
      <c r="G1350">
        <v>-190.74969999999999</v>
      </c>
      <c r="H1350" s="1">
        <v>-3.7162929999999999E-6</v>
      </c>
      <c r="I1350">
        <v>317.03129999999999</v>
      </c>
      <c r="J1350">
        <v>-191.10929999999999</v>
      </c>
      <c r="K1350">
        <v>1.1221190000000001</v>
      </c>
      <c r="L1350">
        <v>336.88220000000001</v>
      </c>
      <c r="M1350">
        <v>-7.1211549999999997E-3</v>
      </c>
      <c r="N1350">
        <v>-1.3645640000000001E-2</v>
      </c>
      <c r="O1350">
        <v>-0.99988160000000004</v>
      </c>
      <c r="P1350">
        <v>5.1117530000000001E-3</v>
      </c>
      <c r="Q1350">
        <v>0.17364749999999901</v>
      </c>
      <c r="R1350">
        <v>-0.98479459999999996</v>
      </c>
      <c r="S1350">
        <v>5.4672239999999997E-2</v>
      </c>
      <c r="T1350">
        <v>-0.17129229999999901</v>
      </c>
      <c r="U1350">
        <v>-3.0758969999999999</v>
      </c>
      <c r="V1350">
        <v>-1.241219E-2</v>
      </c>
      <c r="W1350">
        <v>0.1870501</v>
      </c>
      <c r="X1350">
        <v>0.98227200000000003</v>
      </c>
      <c r="Y1350">
        <v>-2.486443E-2</v>
      </c>
      <c r="Z1350">
        <v>4.1956769999999997E-2</v>
      </c>
      <c r="AA1350">
        <v>0.99880999999999998</v>
      </c>
      <c r="AB1350">
        <v>27</v>
      </c>
      <c r="AC1350">
        <v>0.35959999999999998</v>
      </c>
      <c r="AD1350">
        <v>-1.1221227162930001</v>
      </c>
      <c r="AE1350">
        <v>-19.850899999999999</v>
      </c>
      <c r="AF1350">
        <v>-0.49937022385526397</v>
      </c>
      <c r="AG1350">
        <v>-1.1221227162930001</v>
      </c>
      <c r="AH1350">
        <v>19.784637192483402</v>
      </c>
      <c r="AI1350">
        <v>93.245128249305907</v>
      </c>
      <c r="AJ1350">
        <v>91.445855809709997</v>
      </c>
      <c r="AK1350">
        <v>19.8227243044212</v>
      </c>
      <c r="AL1350">
        <v>79.219319236738599</v>
      </c>
      <c r="AM1350">
        <v>90.723962663743293</v>
      </c>
      <c r="AN1350">
        <v>1.0000000421773001</v>
      </c>
    </row>
    <row r="1351" spans="1:40" x14ac:dyDescent="0.25">
      <c r="A1351" t="str">
        <f>"20190303162805623"</f>
        <v>20190303162805623</v>
      </c>
      <c r="B1351" t="str">
        <f>"1551601685612362"</f>
        <v>1551601685612362</v>
      </c>
      <c r="C1351" t="s">
        <v>40</v>
      </c>
      <c r="D1351">
        <v>5.5060830000000003</v>
      </c>
      <c r="E1351">
        <v>0.47566229999999998</v>
      </c>
      <c r="F1351" t="s">
        <v>41</v>
      </c>
      <c r="G1351">
        <v>-189.48820000000001</v>
      </c>
      <c r="H1351" s="1">
        <v>-2.7366289999999999E-6</v>
      </c>
      <c r="I1351">
        <v>315.2285</v>
      </c>
      <c r="J1351">
        <v>-191.11</v>
      </c>
      <c r="K1351">
        <v>1.1224799999999999</v>
      </c>
      <c r="L1351">
        <v>336.61070000000001</v>
      </c>
      <c r="M1351">
        <v>-5.5806809999999997E-3</v>
      </c>
      <c r="N1351">
        <v>-1.362156E-2</v>
      </c>
      <c r="O1351">
        <v>-0.99989159999999999</v>
      </c>
      <c r="P1351">
        <v>7.0539519999999996E-3</v>
      </c>
      <c r="Q1351">
        <v>0.1724184</v>
      </c>
      <c r="R1351">
        <v>-0.9849985</v>
      </c>
      <c r="S1351">
        <v>0.23008729999999999</v>
      </c>
      <c r="T1351">
        <v>-0.1592587</v>
      </c>
      <c r="U1351">
        <v>-3.073242</v>
      </c>
      <c r="V1351">
        <v>-1.2994749999999999E-2</v>
      </c>
      <c r="W1351">
        <v>0.1857885</v>
      </c>
      <c r="X1351">
        <v>0.98250380000000004</v>
      </c>
      <c r="Y1351">
        <v>-8.0133969999999999E-2</v>
      </c>
      <c r="Z1351">
        <v>3.7984259999999999E-2</v>
      </c>
      <c r="AA1351">
        <v>0.9960601</v>
      </c>
      <c r="AB1351">
        <v>27</v>
      </c>
      <c r="AC1351">
        <v>1.6217999999999999</v>
      </c>
      <c r="AD1351">
        <v>-1.122482736629</v>
      </c>
      <c r="AE1351">
        <v>-21.382200000000001</v>
      </c>
      <c r="AF1351">
        <v>-1.73635530289569</v>
      </c>
      <c r="AG1351">
        <v>-1.122482736629</v>
      </c>
      <c r="AH1351">
        <v>21.314412187043299</v>
      </c>
      <c r="AI1351">
        <v>93.004652599620499</v>
      </c>
      <c r="AJ1351">
        <v>94.657253834531403</v>
      </c>
      <c r="AK1351">
        <v>21.414459229947902</v>
      </c>
      <c r="AL1351">
        <v>79.292892585447802</v>
      </c>
      <c r="AM1351">
        <v>90.757758820571993</v>
      </c>
      <c r="AN1351">
        <v>0.99999997363712501</v>
      </c>
    </row>
    <row r="1352" spans="1:40" x14ac:dyDescent="0.25">
      <c r="A1352" t="str">
        <f>"20190303162805648"</f>
        <v>20190303162805648</v>
      </c>
      <c r="B1352" t="str">
        <f>"1551601685632389"</f>
        <v>1551601685632389</v>
      </c>
      <c r="C1352" t="s">
        <v>40</v>
      </c>
      <c r="D1352">
        <v>5.5028199999999998</v>
      </c>
      <c r="E1352">
        <v>0.47586719999999999</v>
      </c>
      <c r="F1352" t="s">
        <v>41</v>
      </c>
      <c r="G1352">
        <v>-189.46510000000001</v>
      </c>
      <c r="H1352" s="1">
        <v>-2.7547090000000001E-6</v>
      </c>
      <c r="I1352">
        <v>315.25810000000001</v>
      </c>
      <c r="J1352">
        <v>-191.1097</v>
      </c>
      <c r="K1352">
        <v>1.122746</v>
      </c>
      <c r="L1352">
        <v>336.32459999999998</v>
      </c>
      <c r="M1352">
        <v>-3.645892E-3</v>
      </c>
      <c r="N1352">
        <v>-1.359819E-2</v>
      </c>
      <c r="O1352">
        <v>-0.99990120000000005</v>
      </c>
      <c r="P1352">
        <v>9.2395389999999997E-3</v>
      </c>
      <c r="Q1352">
        <v>0.1721782</v>
      </c>
      <c r="R1352">
        <v>-0.98502310000000004</v>
      </c>
      <c r="S1352">
        <v>0.23666380000000001</v>
      </c>
      <c r="T1352">
        <v>-0.16150499999999901</v>
      </c>
      <c r="U1352">
        <v>-3.0722659999999999</v>
      </c>
      <c r="V1352">
        <v>-1.33946E-2</v>
      </c>
      <c r="W1352">
        <v>0.18551619999999999</v>
      </c>
      <c r="X1352">
        <v>0.98254989999999998</v>
      </c>
      <c r="Y1352">
        <v>-8.0346050000000002E-2</v>
      </c>
      <c r="Z1352">
        <v>3.8747299999999998E-2</v>
      </c>
      <c r="AA1352">
        <v>0.99601360000000005</v>
      </c>
      <c r="AB1352">
        <v>27</v>
      </c>
      <c r="AC1352">
        <v>1.6445999999999901</v>
      </c>
      <c r="AD1352">
        <v>-1.122748754709</v>
      </c>
      <c r="AE1352">
        <v>-21.066499999999898</v>
      </c>
      <c r="AF1352">
        <v>-1.7165561487785901</v>
      </c>
      <c r="AG1352">
        <v>-1.122748754709</v>
      </c>
      <c r="AH1352">
        <v>21.001073146313999</v>
      </c>
      <c r="AI1352">
        <v>93.050052484880496</v>
      </c>
      <c r="AJ1352">
        <v>94.6727741655138</v>
      </c>
      <c r="AK1352">
        <v>21.101000049166899</v>
      </c>
      <c r="AL1352">
        <v>79.308770438641105</v>
      </c>
      <c r="AM1352">
        <v>90.781035661531902</v>
      </c>
      <c r="AN1352">
        <v>0.99999999088080405</v>
      </c>
    </row>
    <row r="1353" spans="1:40" x14ac:dyDescent="0.25">
      <c r="A1353" t="str">
        <f>"20190303162805669"</f>
        <v>20190303162805669</v>
      </c>
      <c r="B1353" t="str">
        <f>"1551601685662645"</f>
        <v>1551601685662645</v>
      </c>
      <c r="C1353" t="s">
        <v>40</v>
      </c>
      <c r="D1353">
        <v>5.5029029999999999</v>
      </c>
      <c r="E1353">
        <v>0.47606009999999999</v>
      </c>
      <c r="F1353" t="s">
        <v>41</v>
      </c>
      <c r="G1353">
        <v>-189.47059999999999</v>
      </c>
      <c r="H1353" s="1">
        <v>-2.7501869999999998E-6</v>
      </c>
      <c r="I1353">
        <v>315.25049999999999</v>
      </c>
      <c r="J1353">
        <v>-191.1086</v>
      </c>
      <c r="K1353">
        <v>1.1228929999999999</v>
      </c>
      <c r="L1353">
        <v>336.04820000000001</v>
      </c>
      <c r="M1353">
        <v>-1.600247E-3</v>
      </c>
      <c r="N1353">
        <v>-1.3577250000000001E-2</v>
      </c>
      <c r="O1353">
        <v>-0.99990650000000003</v>
      </c>
      <c r="P1353">
        <v>1.137294E-2</v>
      </c>
      <c r="Q1353">
        <v>0.1716473</v>
      </c>
      <c r="R1353">
        <v>-0.98509310000000005</v>
      </c>
      <c r="S1353">
        <v>0.23893739999999999</v>
      </c>
      <c r="T1353">
        <v>-0.163664</v>
      </c>
      <c r="U1353">
        <v>-3.0719910000000001</v>
      </c>
      <c r="V1353">
        <v>-1.358533E-2</v>
      </c>
      <c r="W1353">
        <v>0.1849605</v>
      </c>
      <c r="X1353">
        <v>0.98265210000000003</v>
      </c>
      <c r="Y1353">
        <v>-7.9044420000000004E-2</v>
      </c>
      <c r="Z1353">
        <v>3.9473759999999997E-2</v>
      </c>
      <c r="AA1353">
        <v>0.99608929999999996</v>
      </c>
      <c r="AB1353">
        <v>27</v>
      </c>
      <c r="AC1353">
        <v>1.6379999999999999</v>
      </c>
      <c r="AD1353">
        <v>-1.1228957501869901</v>
      </c>
      <c r="AE1353">
        <v>-20.797699999999999</v>
      </c>
      <c r="AF1353">
        <v>-1.66645455233647</v>
      </c>
      <c r="AG1353">
        <v>-1.1228957501869901</v>
      </c>
      <c r="AH1353">
        <v>20.734980718577699</v>
      </c>
      <c r="AI1353">
        <v>93.089861729940793</v>
      </c>
      <c r="AJ1353">
        <v>94.594941753382003</v>
      </c>
      <c r="AK1353">
        <v>20.832124016541901</v>
      </c>
      <c r="AL1353">
        <v>79.3411710540298</v>
      </c>
      <c r="AM1353">
        <v>90.792073294192704</v>
      </c>
      <c r="AN1353">
        <v>1.0000000486929299</v>
      </c>
    </row>
    <row r="1354" spans="1:40" x14ac:dyDescent="0.25">
      <c r="A1354" t="str">
        <f>"20190303162805690"</f>
        <v>20190303162805690</v>
      </c>
      <c r="B1354" t="str">
        <f>"1551601685683141"</f>
        <v>1551601685683141</v>
      </c>
      <c r="C1354" t="s">
        <v>40</v>
      </c>
      <c r="D1354">
        <v>5.4445199999999998</v>
      </c>
      <c r="E1354">
        <v>0.47639120000000001</v>
      </c>
      <c r="F1354" t="s">
        <v>41</v>
      </c>
      <c r="G1354">
        <v>-189.45070000000001</v>
      </c>
      <c r="H1354" s="1">
        <v>-2.5966260000000001E-6</v>
      </c>
      <c r="I1354">
        <v>314.91820000000001</v>
      </c>
      <c r="J1354">
        <v>-191.1069</v>
      </c>
      <c r="K1354">
        <v>1.122959</v>
      </c>
      <c r="L1354">
        <v>335.78949999999998</v>
      </c>
      <c r="M1354">
        <v>3.9428029999999999E-4</v>
      </c>
      <c r="N1354">
        <v>-1.355919E-2</v>
      </c>
      <c r="O1354">
        <v>-0.99990809999999997</v>
      </c>
      <c r="P1354">
        <v>1.5163879999999999E-2</v>
      </c>
      <c r="Q1354">
        <v>0.1686724</v>
      </c>
      <c r="R1354">
        <v>-0.98555570000000003</v>
      </c>
      <c r="S1354">
        <v>0.24095150000000001</v>
      </c>
      <c r="T1354">
        <v>-0.1632026</v>
      </c>
      <c r="U1354">
        <v>-3.0710449999999998</v>
      </c>
      <c r="V1354">
        <v>-1.543695E-2</v>
      </c>
      <c r="W1354">
        <v>0.18196519999999999</v>
      </c>
      <c r="X1354">
        <v>0.98318380000000005</v>
      </c>
      <c r="Y1354">
        <v>-7.7730010000000002E-2</v>
      </c>
      <c r="Z1354">
        <v>3.936137E-2</v>
      </c>
      <c r="AA1354">
        <v>0.99619709999999995</v>
      </c>
      <c r="AB1354">
        <v>27</v>
      </c>
      <c r="AC1354">
        <v>1.6561999999999799</v>
      </c>
      <c r="AD1354">
        <v>-1.122961596626</v>
      </c>
      <c r="AE1354">
        <v>-20.871299999999898</v>
      </c>
      <c r="AF1354">
        <v>-1.64324274677381</v>
      </c>
      <c r="AG1354">
        <v>-1.122961596626</v>
      </c>
      <c r="AH1354">
        <v>20.812079941548799</v>
      </c>
      <c r="AI1354">
        <v>93.078961156259297</v>
      </c>
      <c r="AJ1354">
        <v>94.514491336920798</v>
      </c>
      <c r="AK1354">
        <v>20.9070313762079</v>
      </c>
      <c r="AL1354">
        <v>79.515751977647994</v>
      </c>
      <c r="AM1354">
        <v>90.8995260235654</v>
      </c>
      <c r="AN1354">
        <v>1.0000000090093899</v>
      </c>
    </row>
    <row r="1355" spans="1:40" x14ac:dyDescent="0.25">
      <c r="A1355" t="str">
        <f>"20190303162805713"</f>
        <v>20190303162805713</v>
      </c>
      <c r="B1355" t="str">
        <f>"1551601685702660"</f>
        <v>1551601685702660</v>
      </c>
      <c r="C1355" t="s">
        <v>40</v>
      </c>
      <c r="D1355">
        <v>5.5027359999999996</v>
      </c>
      <c r="E1355">
        <v>0.4766997</v>
      </c>
      <c r="F1355" t="s">
        <v>41</v>
      </c>
      <c r="G1355">
        <v>-189.48519999999999</v>
      </c>
      <c r="H1355" s="1">
        <v>-2.967578E-6</v>
      </c>
      <c r="I1355">
        <v>315.71589999999998</v>
      </c>
      <c r="J1355">
        <v>-191.1046</v>
      </c>
      <c r="K1355">
        <v>1.1229750000000001</v>
      </c>
      <c r="L1355">
        <v>335.5206</v>
      </c>
      <c r="M1355">
        <v>2.4890200000000002E-3</v>
      </c>
      <c r="N1355">
        <v>-1.354231E-2</v>
      </c>
      <c r="O1355">
        <v>-0.99990520000000005</v>
      </c>
      <c r="P1355">
        <v>2.0007179999999999E-2</v>
      </c>
      <c r="Q1355">
        <v>0.166187</v>
      </c>
      <c r="R1355">
        <v>-0.98589150000000003</v>
      </c>
      <c r="S1355">
        <v>0.24798580000000001</v>
      </c>
      <c r="T1355">
        <v>-0.17171979999999901</v>
      </c>
      <c r="U1355">
        <v>-3.0695800000000002</v>
      </c>
      <c r="V1355">
        <v>-1.8218950000000001E-2</v>
      </c>
      <c r="W1355">
        <v>0.17945749999999999</v>
      </c>
      <c r="X1355">
        <v>0.98359700000000005</v>
      </c>
      <c r="Y1355">
        <v>-7.7936329999999998E-2</v>
      </c>
      <c r="Z1355">
        <v>4.2154520000000001E-2</v>
      </c>
      <c r="AA1355">
        <v>0.99606669999999997</v>
      </c>
      <c r="AB1355">
        <v>27</v>
      </c>
      <c r="AC1355">
        <v>1.6194000000000099</v>
      </c>
      <c r="AD1355">
        <v>-1.1229779675780001</v>
      </c>
      <c r="AE1355">
        <v>-19.8047</v>
      </c>
      <c r="AF1355">
        <v>-1.5650975113603101</v>
      </c>
      <c r="AG1355">
        <v>-1.1229779675780001</v>
      </c>
      <c r="AH1355">
        <v>19.7456056116607</v>
      </c>
      <c r="AI1355">
        <v>93.244880852606201</v>
      </c>
      <c r="AJ1355">
        <v>94.531964891807803</v>
      </c>
      <c r="AK1355">
        <v>19.839343504939301</v>
      </c>
      <c r="AL1355">
        <v>79.661837592681806</v>
      </c>
      <c r="AM1355">
        <v>91.061155722549699</v>
      </c>
      <c r="AN1355">
        <v>0.99999999142717599</v>
      </c>
    </row>
    <row r="1356" spans="1:40" x14ac:dyDescent="0.25">
      <c r="A1356" t="str">
        <f>"20190303162805734"</f>
        <v>20190303162805734</v>
      </c>
      <c r="B1356" t="str">
        <f>"1551601685723157"</f>
        <v>1551601685723157</v>
      </c>
      <c r="C1356" t="s">
        <v>40</v>
      </c>
      <c r="D1356">
        <v>5.513172</v>
      </c>
      <c r="E1356">
        <v>0.47709000000000001</v>
      </c>
      <c r="F1356" t="s">
        <v>41</v>
      </c>
      <c r="G1356">
        <v>-189.46889999999999</v>
      </c>
      <c r="H1356" s="1">
        <v>-3.1561510000000001E-6</v>
      </c>
      <c r="I1356">
        <v>316.1087</v>
      </c>
      <c r="J1356">
        <v>-191.1018</v>
      </c>
      <c r="K1356">
        <v>1.122952</v>
      </c>
      <c r="L1356">
        <v>335.25699999999898</v>
      </c>
      <c r="M1356">
        <v>4.5102359999999999E-3</v>
      </c>
      <c r="N1356">
        <v>-1.3527559999999999E-2</v>
      </c>
      <c r="O1356">
        <v>-0.99989839999999997</v>
      </c>
      <c r="P1356">
        <v>2.572555E-2</v>
      </c>
      <c r="Q1356">
        <v>0.1649359</v>
      </c>
      <c r="R1356">
        <v>-0.98596890000000004</v>
      </c>
      <c r="S1356">
        <v>0.25848389999999999</v>
      </c>
      <c r="T1356">
        <v>-0.17746099999999901</v>
      </c>
      <c r="U1356">
        <v>-3.067596</v>
      </c>
      <c r="V1356">
        <v>-2.1934829999999999E-2</v>
      </c>
      <c r="W1356">
        <v>0.17818049999999999</v>
      </c>
      <c r="X1356">
        <v>0.98375330000000005</v>
      </c>
      <c r="Y1356">
        <v>-7.9349890000000006E-2</v>
      </c>
      <c r="Z1356">
        <v>4.4052309999999997E-2</v>
      </c>
      <c r="AA1356">
        <v>0.99587300000000001</v>
      </c>
      <c r="AB1356">
        <v>27</v>
      </c>
      <c r="AC1356">
        <v>1.6329</v>
      </c>
      <c r="AD1356">
        <v>-1.1229551561510001</v>
      </c>
      <c r="AE1356">
        <v>-19.1482999999999</v>
      </c>
      <c r="AF1356">
        <v>-1.5412496582784401</v>
      </c>
      <c r="AG1356">
        <v>-1.1229551561510001</v>
      </c>
      <c r="AH1356">
        <v>19.090288283031999</v>
      </c>
      <c r="AI1356">
        <v>93.355558655276894</v>
      </c>
      <c r="AJ1356">
        <v>94.615749188000805</v>
      </c>
      <c r="AK1356">
        <v>19.185296075931099</v>
      </c>
      <c r="AL1356">
        <v>79.736202929589794</v>
      </c>
      <c r="AM1356">
        <v>91.277317161739603</v>
      </c>
      <c r="AN1356">
        <v>0.99999999130413397</v>
      </c>
    </row>
    <row r="1357" spans="1:40" x14ac:dyDescent="0.25">
      <c r="A1357" t="str">
        <f>"20190303162805757"</f>
        <v>20190303162805757</v>
      </c>
      <c r="B1357" t="str">
        <f>"1551601685742677"</f>
        <v>1551601685742677</v>
      </c>
      <c r="C1357" t="s">
        <v>40</v>
      </c>
      <c r="D1357">
        <v>5.4529959999999997</v>
      </c>
      <c r="E1357">
        <v>0.4773403</v>
      </c>
      <c r="F1357" t="s">
        <v>41</v>
      </c>
      <c r="G1357">
        <v>-189.3938</v>
      </c>
      <c r="H1357" s="1">
        <v>-3.099777E-6</v>
      </c>
      <c r="I1357">
        <v>315.96129999999999</v>
      </c>
      <c r="J1357">
        <v>-191.0984</v>
      </c>
      <c r="K1357">
        <v>1.1229209999999901</v>
      </c>
      <c r="L1357">
        <v>334.99130000000002</v>
      </c>
      <c r="M1357">
        <v>6.4762719999999999E-3</v>
      </c>
      <c r="N1357">
        <v>-1.351421E-2</v>
      </c>
      <c r="O1357">
        <v>-0.99988779999999999</v>
      </c>
      <c r="P1357">
        <v>3.0241069999999998E-2</v>
      </c>
      <c r="Q1357">
        <v>0.16518099999999999</v>
      </c>
      <c r="R1357">
        <v>-0.9857998</v>
      </c>
      <c r="S1357">
        <v>0.271347</v>
      </c>
      <c r="T1357">
        <v>-0.1784009</v>
      </c>
      <c r="U1357">
        <v>-3.0654599999999999</v>
      </c>
      <c r="V1357">
        <v>-2.4496859999999999E-2</v>
      </c>
      <c r="W1357">
        <v>0.1784039</v>
      </c>
      <c r="X1357">
        <v>0.98365239999999998</v>
      </c>
      <c r="Y1357">
        <v>-8.1593029999999997E-2</v>
      </c>
      <c r="Z1357">
        <v>4.4394450000000002E-2</v>
      </c>
      <c r="AA1357">
        <v>0.99567649999999996</v>
      </c>
      <c r="AB1357">
        <v>27</v>
      </c>
      <c r="AC1357">
        <v>1.7045999999999899</v>
      </c>
      <c r="AD1357">
        <v>-1.12292409977699</v>
      </c>
      <c r="AE1357">
        <v>-19.03</v>
      </c>
      <c r="AF1357">
        <v>-1.5758661253185999</v>
      </c>
      <c r="AG1357">
        <v>-1.12292409977699</v>
      </c>
      <c r="AH1357">
        <v>18.975096760899401</v>
      </c>
      <c r="AI1357">
        <v>93.375154990792794</v>
      </c>
      <c r="AJ1357">
        <v>94.747472502311695</v>
      </c>
      <c r="AK1357">
        <v>19.0735054372362</v>
      </c>
      <c r="AL1357">
        <v>79.7231951946208</v>
      </c>
      <c r="AM1357">
        <v>91.426598084222206</v>
      </c>
      <c r="AN1357">
        <v>1.0000000458554099</v>
      </c>
    </row>
    <row r="1358" spans="1:40" x14ac:dyDescent="0.25">
      <c r="A1358" t="str">
        <f>"20190303162805779"</f>
        <v>20190303162805779</v>
      </c>
      <c r="B1358" t="str">
        <f>"1551601685772933"</f>
        <v>1551601685772933</v>
      </c>
      <c r="C1358" t="s">
        <v>40</v>
      </c>
      <c r="D1358">
        <v>5.395524</v>
      </c>
      <c r="E1358">
        <v>0.4808849</v>
      </c>
      <c r="F1358" t="s">
        <v>41</v>
      </c>
      <c r="G1358">
        <v>-189.27690000000001</v>
      </c>
      <c r="H1358" s="1">
        <v>-2.7991859999999999E-6</v>
      </c>
      <c r="I1358">
        <v>315.28149999999999</v>
      </c>
      <c r="J1358">
        <v>-191.09440000000001</v>
      </c>
      <c r="K1358">
        <v>1.1228590000000001</v>
      </c>
      <c r="L1358">
        <v>334.71359999999999</v>
      </c>
      <c r="M1358">
        <v>8.4276500000000001E-3</v>
      </c>
      <c r="N1358">
        <v>-1.3501519999999999E-2</v>
      </c>
      <c r="O1358">
        <v>-0.99987360000000003</v>
      </c>
      <c r="P1358">
        <v>3.3191390000000001E-2</v>
      </c>
      <c r="Q1358">
        <v>0.16572010000000001</v>
      </c>
      <c r="R1358">
        <v>-0.98561430000000005</v>
      </c>
      <c r="S1358">
        <v>0.28314210000000001</v>
      </c>
      <c r="T1358">
        <v>-0.17455109999999999</v>
      </c>
      <c r="U1358">
        <v>-3.0637509999999999</v>
      </c>
      <c r="V1358">
        <v>-2.5499999999999998E-2</v>
      </c>
      <c r="W1358">
        <v>0.178928799999999</v>
      </c>
      <c r="X1358">
        <v>0.9835315</v>
      </c>
      <c r="Y1358">
        <v>-8.3503400000000005E-2</v>
      </c>
      <c r="Z1358">
        <v>4.317845E-2</v>
      </c>
      <c r="AA1358">
        <v>0.9955716</v>
      </c>
      <c r="AB1358">
        <v>27</v>
      </c>
      <c r="AC1358">
        <v>1.8174999999999899</v>
      </c>
      <c r="AD1358">
        <v>-1.1228617991859999</v>
      </c>
      <c r="AE1358">
        <v>-19.432099999999899</v>
      </c>
      <c r="AF1358">
        <v>-1.64819805386587</v>
      </c>
      <c r="AG1358">
        <v>-1.1228617991859999</v>
      </c>
      <c r="AH1358">
        <v>19.382571748022201</v>
      </c>
      <c r="AI1358">
        <v>93.303629603070902</v>
      </c>
      <c r="AJ1358">
        <v>94.860457007084193</v>
      </c>
      <c r="AK1358">
        <v>19.4849034642737</v>
      </c>
      <c r="AL1358">
        <v>79.692628221580307</v>
      </c>
      <c r="AM1358">
        <v>91.485173718039803</v>
      </c>
      <c r="AN1358">
        <v>0.99999998848084404</v>
      </c>
    </row>
    <row r="1359" spans="1:40" x14ac:dyDescent="0.25">
      <c r="A1359" t="str">
        <f>"20190303162805802"</f>
        <v>20190303162805802</v>
      </c>
      <c r="B1359" t="str">
        <f>"1551601685792453"</f>
        <v>1551601685792453</v>
      </c>
      <c r="C1359" t="s">
        <v>40</v>
      </c>
      <c r="D1359">
        <v>5.3852929999999999</v>
      </c>
      <c r="E1359">
        <v>0.4810219</v>
      </c>
      <c r="F1359" t="s">
        <v>41</v>
      </c>
      <c r="G1359">
        <v>-188.90260000000001</v>
      </c>
      <c r="H1359" s="1">
        <v>-4.3778620000000003E-6</v>
      </c>
      <c r="I1359">
        <v>309.38389999999998</v>
      </c>
      <c r="J1359">
        <v>-191.09010000000001</v>
      </c>
      <c r="K1359">
        <v>1.1227940000000001</v>
      </c>
      <c r="L1359">
        <v>334.4443</v>
      </c>
      <c r="M1359">
        <v>1.020421E-2</v>
      </c>
      <c r="N1359">
        <v>-1.349039E-2</v>
      </c>
      <c r="O1359">
        <v>-0.99985710000000005</v>
      </c>
      <c r="P1359">
        <v>3.4561120000000001E-2</v>
      </c>
      <c r="Q1359">
        <v>0.16607539999999901</v>
      </c>
      <c r="R1359">
        <v>-0.98550760000000004</v>
      </c>
      <c r="S1359">
        <v>0.26458739999999997</v>
      </c>
      <c r="T1359">
        <v>-0.13554669999999999</v>
      </c>
      <c r="U1359">
        <v>-3.0576780000000001</v>
      </c>
      <c r="V1359">
        <v>-2.508755E-2</v>
      </c>
      <c r="W1359">
        <v>0.17927839999999901</v>
      </c>
      <c r="X1359">
        <v>0.98347850000000003</v>
      </c>
      <c r="Y1359">
        <v>-7.5968300000000002E-2</v>
      </c>
      <c r="Z1359">
        <v>3.066143E-2</v>
      </c>
      <c r="AA1359">
        <v>0.99663869999999999</v>
      </c>
      <c r="AB1359">
        <v>27</v>
      </c>
      <c r="AC1359">
        <v>2.1875</v>
      </c>
      <c r="AD1359">
        <v>-1.1227983778620001</v>
      </c>
      <c r="AE1359">
        <v>-25.060400000000001</v>
      </c>
      <c r="AF1359">
        <v>-1.9278007269608499</v>
      </c>
      <c r="AG1359">
        <v>-1.1227983778620001</v>
      </c>
      <c r="AH1359">
        <v>25.031551109211001</v>
      </c>
      <c r="AI1359">
        <v>92.560726469332593</v>
      </c>
      <c r="AJ1359">
        <v>94.403931626054799</v>
      </c>
      <c r="AK1359">
        <v>25.1307708352379</v>
      </c>
      <c r="AL1359">
        <v>79.672268992157896</v>
      </c>
      <c r="AM1359">
        <v>91.461240968999306</v>
      </c>
      <c r="AN1359">
        <v>1.0000000449169</v>
      </c>
    </row>
    <row r="1360" spans="1:40" x14ac:dyDescent="0.25">
      <c r="A1360" t="str">
        <f>"20190303162805825"</f>
        <v>20190303162805825</v>
      </c>
      <c r="B1360" t="str">
        <f>"1551601685813925"</f>
        <v>1551601685813925</v>
      </c>
      <c r="C1360" t="s">
        <v>40</v>
      </c>
      <c r="D1360">
        <v>5.3852549999999999</v>
      </c>
      <c r="E1360">
        <v>0.48131570000000001</v>
      </c>
      <c r="F1360" t="s">
        <v>41</v>
      </c>
      <c r="G1360">
        <v>-188.79679999999999</v>
      </c>
      <c r="H1360" s="1">
        <v>-3.9780179999999999E-6</v>
      </c>
      <c r="I1360">
        <v>308.40809999999999</v>
      </c>
      <c r="J1360">
        <v>-191.08529999999999</v>
      </c>
      <c r="K1360">
        <v>1.122714</v>
      </c>
      <c r="L1360">
        <v>334.16860000000003</v>
      </c>
      <c r="M1360">
        <v>1.188787E-2</v>
      </c>
      <c r="N1360">
        <v>-1.347985E-2</v>
      </c>
      <c r="O1360">
        <v>-0.99983849999999996</v>
      </c>
      <c r="P1360">
        <v>3.6021089999999999E-2</v>
      </c>
      <c r="Q1360">
        <v>0.16781009999999999</v>
      </c>
      <c r="R1360">
        <v>-0.98516099999999995</v>
      </c>
      <c r="S1360">
        <v>0.26925660000000001</v>
      </c>
      <c r="T1360">
        <v>-0.1318269</v>
      </c>
      <c r="U1360">
        <v>-3.0568849999999999</v>
      </c>
      <c r="V1360">
        <v>-2.4856799999999998E-2</v>
      </c>
      <c r="W1360">
        <v>0.1810049</v>
      </c>
      <c r="X1360">
        <v>0.98316800000000004</v>
      </c>
      <c r="Y1360">
        <v>-7.5826110000000002E-2</v>
      </c>
      <c r="Z1360">
        <v>2.9470759999999999E-2</v>
      </c>
      <c r="AA1360">
        <v>0.99668540000000005</v>
      </c>
      <c r="AB1360">
        <v>27</v>
      </c>
      <c r="AC1360">
        <v>2.2884999999999902</v>
      </c>
      <c r="AD1360">
        <v>-1.1227179780180001</v>
      </c>
      <c r="AE1360">
        <v>-25.7605</v>
      </c>
      <c r="AF1360">
        <v>-1.9783445802264901</v>
      </c>
      <c r="AG1360">
        <v>-1.1227179780180001</v>
      </c>
      <c r="AH1360">
        <v>25.7373825907544</v>
      </c>
      <c r="AI1360">
        <v>92.4904399227824</v>
      </c>
      <c r="AJ1360">
        <v>94.395487352374502</v>
      </c>
      <c r="AK1360">
        <v>25.837708984334199</v>
      </c>
      <c r="AL1360">
        <v>79.571701887589896</v>
      </c>
      <c r="AM1360">
        <v>91.448263574916496</v>
      </c>
      <c r="AN1360">
        <v>0.99999997527712403</v>
      </c>
    </row>
    <row r="1361" spans="1:40" x14ac:dyDescent="0.25">
      <c r="A1361" t="str">
        <f>"20190303162805846"</f>
        <v>20190303162805846</v>
      </c>
      <c r="B1361" t="str">
        <f>"1551601685832976"</f>
        <v>1551601685832976</v>
      </c>
      <c r="C1361" t="s">
        <v>40</v>
      </c>
      <c r="D1361">
        <v>5.3278169999999996</v>
      </c>
      <c r="E1361">
        <v>0.48156369999999998</v>
      </c>
      <c r="F1361" t="s">
        <v>41</v>
      </c>
      <c r="G1361">
        <v>-188.62629999999999</v>
      </c>
      <c r="H1361" s="1">
        <v>-3.1857790000000001E-6</v>
      </c>
      <c r="I1361">
        <v>306.49090000000001</v>
      </c>
      <c r="J1361">
        <v>-191.0804</v>
      </c>
      <c r="K1361">
        <v>1.1226240000000001</v>
      </c>
      <c r="L1361">
        <v>333.90300000000002</v>
      </c>
      <c r="M1361">
        <v>1.3371630000000001E-2</v>
      </c>
      <c r="N1361">
        <v>-1.3470350000000001E-2</v>
      </c>
      <c r="O1361">
        <v>-0.99981989999999998</v>
      </c>
      <c r="P1361">
        <v>3.6616639999999999E-2</v>
      </c>
      <c r="Q1361">
        <v>0.17044989999999999</v>
      </c>
      <c r="R1361">
        <v>-0.9846857</v>
      </c>
      <c r="S1361">
        <v>0.27154539999999999</v>
      </c>
      <c r="T1361">
        <v>-0.12397809999999999</v>
      </c>
      <c r="U1361">
        <v>-3.0563660000000001</v>
      </c>
      <c r="V1361">
        <v>-2.3959769999999998E-2</v>
      </c>
      <c r="W1361">
        <v>0.18363789999999999</v>
      </c>
      <c r="X1361">
        <v>0.98270190000000002</v>
      </c>
      <c r="Y1361">
        <v>-7.5109670000000003E-2</v>
      </c>
      <c r="Z1361">
        <v>2.6933479999999999E-2</v>
      </c>
      <c r="AA1361">
        <v>0.99681140000000001</v>
      </c>
      <c r="AB1361">
        <v>27</v>
      </c>
      <c r="AC1361">
        <v>2.4541000000000102</v>
      </c>
      <c r="AD1361">
        <v>-1.122627185779</v>
      </c>
      <c r="AE1361">
        <v>-27.412099999999999</v>
      </c>
      <c r="AF1361">
        <v>-2.08383561778763</v>
      </c>
      <c r="AG1361">
        <v>-1.122627185779</v>
      </c>
      <c r="AH1361">
        <v>27.396882225927602</v>
      </c>
      <c r="AI1361">
        <v>92.339714727461001</v>
      </c>
      <c r="AJ1361">
        <v>94.349602135047405</v>
      </c>
      <c r="AK1361">
        <v>27.498942132044998</v>
      </c>
      <c r="AL1361">
        <v>79.418270500135904</v>
      </c>
      <c r="AM1361">
        <v>91.396681712966696</v>
      </c>
      <c r="AN1361">
        <v>0.99999998657923606</v>
      </c>
    </row>
    <row r="1362" spans="1:40" x14ac:dyDescent="0.25">
      <c r="A1362" t="str">
        <f>"20190303162805869"</f>
        <v>20190303162805869</v>
      </c>
      <c r="B1362" t="str">
        <f>"1551601685863231"</f>
        <v>1551601685863231</v>
      </c>
      <c r="C1362" t="s">
        <v>40</v>
      </c>
      <c r="D1362">
        <v>5.3292929999999998</v>
      </c>
      <c r="E1362">
        <v>0.48217680000000002</v>
      </c>
      <c r="F1362" t="s">
        <v>41</v>
      </c>
      <c r="G1362">
        <v>-188.41540000000001</v>
      </c>
      <c r="H1362" s="1">
        <v>-2.0634270000000001E-6</v>
      </c>
      <c r="I1362">
        <v>303.78739999999999</v>
      </c>
      <c r="J1362">
        <v>-191.0753</v>
      </c>
      <c r="K1362">
        <v>1.122539</v>
      </c>
      <c r="L1362">
        <v>333.64330000000001</v>
      </c>
      <c r="M1362">
        <v>1.471567E-2</v>
      </c>
      <c r="N1362">
        <v>-1.346208E-2</v>
      </c>
      <c r="O1362">
        <v>-0.9998011</v>
      </c>
      <c r="P1362">
        <v>3.7202850000000003E-2</v>
      </c>
      <c r="Q1362">
        <v>0.17158099999999901</v>
      </c>
      <c r="R1362">
        <v>-0.9844676</v>
      </c>
      <c r="S1362">
        <v>0.27046199999999998</v>
      </c>
      <c r="T1362">
        <v>-0.11392960000000001</v>
      </c>
      <c r="U1362">
        <v>-3.0562740000000002</v>
      </c>
      <c r="V1362">
        <v>-2.3185819999999999E-2</v>
      </c>
      <c r="W1362">
        <v>0.1847655</v>
      </c>
      <c r="X1362">
        <v>0.98250910000000002</v>
      </c>
      <c r="Y1362">
        <v>-7.3430629999999997E-2</v>
      </c>
      <c r="Z1362">
        <v>2.3675270000000002E-2</v>
      </c>
      <c r="AA1362">
        <v>0.99701930000000005</v>
      </c>
      <c r="AB1362">
        <v>27</v>
      </c>
      <c r="AC1362">
        <v>2.6598999999999902</v>
      </c>
      <c r="AD1362">
        <v>-1.1225410634270001</v>
      </c>
      <c r="AE1362">
        <v>-29.855899999999998</v>
      </c>
      <c r="AF1362">
        <v>-2.2171129891438399</v>
      </c>
      <c r="AG1362">
        <v>-1.1225410634270001</v>
      </c>
      <c r="AH1362">
        <v>29.849947035074901</v>
      </c>
      <c r="AI1362">
        <v>92.147747157952196</v>
      </c>
      <c r="AJ1362">
        <v>94.247859616460701</v>
      </c>
      <c r="AK1362">
        <v>29.953213958480099</v>
      </c>
      <c r="AL1362">
        <v>79.352539172727603</v>
      </c>
      <c r="AM1362">
        <v>91.351848152331002</v>
      </c>
      <c r="AN1362">
        <v>1.00000000191106</v>
      </c>
    </row>
    <row r="1363" spans="1:40" x14ac:dyDescent="0.25">
      <c r="A1363" t="str">
        <f>"20190303162805890"</f>
        <v>20190303162805890</v>
      </c>
      <c r="B1363" t="str">
        <f>"1551601685882752"</f>
        <v>1551601685882752</v>
      </c>
      <c r="C1363" t="s">
        <v>40</v>
      </c>
      <c r="D1363">
        <v>5.3357029999999996</v>
      </c>
      <c r="E1363">
        <v>0.48236899999999999</v>
      </c>
      <c r="F1363" t="s">
        <v>41</v>
      </c>
      <c r="G1363">
        <v>-188.34370000000001</v>
      </c>
      <c r="H1363" s="1">
        <v>-1.4497930000000001E-6</v>
      </c>
      <c r="I1363">
        <v>302.32740000000001</v>
      </c>
      <c r="J1363">
        <v>-191.06970000000001</v>
      </c>
      <c r="K1363">
        <v>1.1224369999999999</v>
      </c>
      <c r="L1363">
        <v>333.36950000000002</v>
      </c>
      <c r="M1363">
        <v>1.6007839999999999E-2</v>
      </c>
      <c r="N1363">
        <v>-1.3453959999999999E-2</v>
      </c>
      <c r="O1363">
        <v>-0.99978149999999999</v>
      </c>
      <c r="P1363">
        <v>3.6585520000000003E-2</v>
      </c>
      <c r="Q1363">
        <v>0.17078409999999999</v>
      </c>
      <c r="R1363">
        <v>-0.98462930000000004</v>
      </c>
      <c r="S1363">
        <v>0.26660159999999899</v>
      </c>
      <c r="T1363">
        <v>-0.1095575</v>
      </c>
      <c r="U1363">
        <v>-3.0563660000000001</v>
      </c>
      <c r="V1363">
        <v>-2.1247539999999999E-2</v>
      </c>
      <c r="W1363">
        <v>0.183973</v>
      </c>
      <c r="X1363">
        <v>0.98270159999999995</v>
      </c>
      <c r="Y1363">
        <v>-7.0893520000000002E-2</v>
      </c>
      <c r="Z1363">
        <v>2.2263809999999998E-2</v>
      </c>
      <c r="AA1363">
        <v>0.99723539999999999</v>
      </c>
      <c r="AB1363">
        <v>27</v>
      </c>
      <c r="AC1363">
        <v>2.7259999999999902</v>
      </c>
      <c r="AD1363">
        <v>-1.122438449793</v>
      </c>
      <c r="AE1363">
        <v>-31.042100000000001</v>
      </c>
      <c r="AF1363">
        <v>-2.2258009329965298</v>
      </c>
      <c r="AG1363">
        <v>-1.122438449793</v>
      </c>
      <c r="AH1363">
        <v>31.0414886531224</v>
      </c>
      <c r="AI1363">
        <v>92.065574320911693</v>
      </c>
      <c r="AJ1363">
        <v>94.101320989796903</v>
      </c>
      <c r="AK1363">
        <v>31.141420578850099</v>
      </c>
      <c r="AL1363">
        <v>79.398737815278494</v>
      </c>
      <c r="AM1363">
        <v>91.238631048265802</v>
      </c>
      <c r="AN1363">
        <v>0.99999997866380497</v>
      </c>
    </row>
    <row r="1364" spans="1:40" x14ac:dyDescent="0.25">
      <c r="A1364" t="str">
        <f>"20190303162805913"</f>
        <v>20190303162805913</v>
      </c>
      <c r="B1364" t="str">
        <f>"1551601685903247"</f>
        <v>1551601685903247</v>
      </c>
      <c r="C1364" t="s">
        <v>40</v>
      </c>
      <c r="D1364">
        <v>5.3930910000000001</v>
      </c>
      <c r="E1364">
        <v>0.48270800000000003</v>
      </c>
      <c r="F1364" t="s">
        <v>41</v>
      </c>
      <c r="G1364">
        <v>-188.44329999999999</v>
      </c>
      <c r="H1364" s="1">
        <v>-1.6405899999999999E-6</v>
      </c>
      <c r="I1364">
        <v>302.8134</v>
      </c>
      <c r="J1364">
        <v>-191.0641</v>
      </c>
      <c r="K1364">
        <v>1.1223339999999999</v>
      </c>
      <c r="L1364">
        <v>333.1044</v>
      </c>
      <c r="M1364">
        <v>1.7120719999999999E-2</v>
      </c>
      <c r="N1364">
        <v>-1.344649E-2</v>
      </c>
      <c r="O1364">
        <v>-0.99976310000000002</v>
      </c>
      <c r="P1364">
        <v>3.4685269999999997E-2</v>
      </c>
      <c r="Q1364">
        <v>0.16982839999999999</v>
      </c>
      <c r="R1364">
        <v>-0.98486300000000004</v>
      </c>
      <c r="S1364">
        <v>0.26272579999999901</v>
      </c>
      <c r="T1364">
        <v>-0.11227719999999999</v>
      </c>
      <c r="U1364">
        <v>-3.0565190000000002</v>
      </c>
      <c r="V1364">
        <v>-1.8201149999999999E-2</v>
      </c>
      <c r="W1364">
        <v>0.1830243</v>
      </c>
      <c r="X1364">
        <v>0.98293989999999998</v>
      </c>
      <c r="Y1364">
        <v>-6.852221E-2</v>
      </c>
      <c r="Z1364">
        <v>2.315944E-2</v>
      </c>
      <c r="AA1364">
        <v>0.99738070000000001</v>
      </c>
      <c r="AB1364">
        <v>27</v>
      </c>
      <c r="AC1364">
        <v>2.6208</v>
      </c>
      <c r="AD1364">
        <v>-1.12233564059</v>
      </c>
      <c r="AE1364">
        <v>-30.291</v>
      </c>
      <c r="AF1364">
        <v>-2.0989051866931399</v>
      </c>
      <c r="AG1364">
        <v>-1.12233564059</v>
      </c>
      <c r="AH1364">
        <v>30.290159062187598</v>
      </c>
      <c r="AI1364">
        <v>92.116927573439597</v>
      </c>
      <c r="AJ1364">
        <v>93.963877677252398</v>
      </c>
      <c r="AK1364">
        <v>30.3835280421068</v>
      </c>
      <c r="AL1364">
        <v>79.454033594969601</v>
      </c>
      <c r="AM1364">
        <v>91.060827737962498</v>
      </c>
      <c r="AN1364">
        <v>1.0000000116319101</v>
      </c>
    </row>
    <row r="1365" spans="1:40" x14ac:dyDescent="0.25">
      <c r="A1365" t="str">
        <f>"20190303162805936"</f>
        <v>20190303162805936</v>
      </c>
      <c r="B1365" t="str">
        <f>"1551601685922767"</f>
        <v>1551601685922767</v>
      </c>
      <c r="C1365" t="s">
        <v>40</v>
      </c>
      <c r="D1365">
        <v>5.3312949999999999</v>
      </c>
      <c r="E1365">
        <v>0.48284060000000001</v>
      </c>
      <c r="F1365" t="s">
        <v>41</v>
      </c>
      <c r="G1365">
        <v>-188.6232</v>
      </c>
      <c r="H1365" s="1">
        <v>-1.9938919999999999E-6</v>
      </c>
      <c r="I1365">
        <v>303.71129999999999</v>
      </c>
      <c r="J1365">
        <v>-191.0581</v>
      </c>
      <c r="K1365">
        <v>1.1222259999999999</v>
      </c>
      <c r="L1365">
        <v>332.8245</v>
      </c>
      <c r="M1365">
        <v>1.8139530000000001E-2</v>
      </c>
      <c r="N1365">
        <v>-1.3439059999999999E-2</v>
      </c>
      <c r="O1365">
        <v>-0.99974510000000005</v>
      </c>
      <c r="P1365">
        <v>3.2450020000000003E-2</v>
      </c>
      <c r="Q1365">
        <v>0.16922980000000001</v>
      </c>
      <c r="R1365">
        <v>-0.98504239999999998</v>
      </c>
      <c r="S1365">
        <v>0.25389099999999998</v>
      </c>
      <c r="T1365">
        <v>-0.1167369</v>
      </c>
      <c r="U1365">
        <v>-3.0572509999999999</v>
      </c>
      <c r="V1365">
        <v>-1.490681E-2</v>
      </c>
      <c r="W1365">
        <v>0.18243129999999999</v>
      </c>
      <c r="X1365">
        <v>0.98310560000000002</v>
      </c>
      <c r="Y1365">
        <v>-6.4620670000000005E-2</v>
      </c>
      <c r="Z1365">
        <v>2.4618500000000001E-2</v>
      </c>
      <c r="AA1365">
        <v>0.9976062</v>
      </c>
      <c r="AB1365">
        <v>27</v>
      </c>
      <c r="AC1365">
        <v>2.4348999999999901</v>
      </c>
      <c r="AD1365">
        <v>-1.1222279938919999</v>
      </c>
      <c r="AE1365">
        <v>-29.113199999999999</v>
      </c>
      <c r="AF1365">
        <v>-1.9035430386422201</v>
      </c>
      <c r="AG1365">
        <v>-1.1222279938919999</v>
      </c>
      <c r="AH1365">
        <v>29.109628111323101</v>
      </c>
      <c r="AI1365">
        <v>92.203060372193406</v>
      </c>
      <c r="AJ1365">
        <v>93.741371080330495</v>
      </c>
      <c r="AK1365">
        <v>29.193378025671699</v>
      </c>
      <c r="AL1365">
        <v>79.488591775856094</v>
      </c>
      <c r="AM1365">
        <v>90.868708154209401</v>
      </c>
      <c r="AN1365">
        <v>1.0000000064777099</v>
      </c>
    </row>
    <row r="1366" spans="1:40" x14ac:dyDescent="0.25">
      <c r="A1366" t="str">
        <f>"20190303162805955"</f>
        <v>20190303162805955</v>
      </c>
      <c r="B1366" t="str">
        <f>"1551601685942288"</f>
        <v>1551601685942288</v>
      </c>
      <c r="C1366" t="s">
        <v>40</v>
      </c>
      <c r="D1366">
        <v>5.2766900000000003</v>
      </c>
      <c r="E1366">
        <v>0.48293580000000003</v>
      </c>
      <c r="F1366" t="s">
        <v>41</v>
      </c>
      <c r="G1366">
        <v>-188.74780000000001</v>
      </c>
      <c r="H1366" s="1">
        <v>-2.1029860000000001E-6</v>
      </c>
      <c r="I1366">
        <v>304.0172</v>
      </c>
      <c r="J1366">
        <v>-191.05289999999999</v>
      </c>
      <c r="K1366">
        <v>1.122126</v>
      </c>
      <c r="L1366">
        <v>332.58679999999998</v>
      </c>
      <c r="M1366">
        <v>1.8873150000000002E-2</v>
      </c>
      <c r="N1366">
        <v>-1.3433189999999999E-2</v>
      </c>
      <c r="O1366">
        <v>-0.99973179999999995</v>
      </c>
      <c r="P1366">
        <v>2.9835469999999999E-2</v>
      </c>
      <c r="Q1366">
        <v>0.17080619999999999</v>
      </c>
      <c r="R1366">
        <v>-0.98485319999999998</v>
      </c>
      <c r="S1366">
        <v>0.24523929999999999</v>
      </c>
      <c r="T1366">
        <v>-0.1191266</v>
      </c>
      <c r="U1366">
        <v>-3.0579529999999999</v>
      </c>
      <c r="V1366">
        <v>-1.152853E-2</v>
      </c>
      <c r="W1366">
        <v>0.18400820000000001</v>
      </c>
      <c r="X1366">
        <v>0.98285710000000004</v>
      </c>
      <c r="Y1366">
        <v>-6.106466E-2</v>
      </c>
      <c r="Z1366">
        <v>2.5401460000000001E-2</v>
      </c>
      <c r="AA1366">
        <v>0.99781050000000004</v>
      </c>
      <c r="AB1366">
        <v>27</v>
      </c>
      <c r="AC1366">
        <v>2.3050999999999799</v>
      </c>
      <c r="AD1366">
        <v>-1.122128102986</v>
      </c>
      <c r="AE1366">
        <v>-28.569599999999902</v>
      </c>
      <c r="AF1366">
        <v>-1.7627406785237401</v>
      </c>
      <c r="AG1366">
        <v>-1.122128102986</v>
      </c>
      <c r="AH1366">
        <v>28.564238315005401</v>
      </c>
      <c r="AI1366">
        <v>92.2454046491345</v>
      </c>
      <c r="AJ1366">
        <v>93.5313276154764</v>
      </c>
      <c r="AK1366">
        <v>28.640568023271701</v>
      </c>
      <c r="AL1366">
        <v>79.396686223431402</v>
      </c>
      <c r="AM1366">
        <v>90.672026302176405</v>
      </c>
      <c r="AN1366">
        <v>1.0000000018458</v>
      </c>
    </row>
    <row r="1367" spans="1:40" x14ac:dyDescent="0.25">
      <c r="A1367" t="str">
        <f>"20190303162805978"</f>
        <v>20190303162805978</v>
      </c>
      <c r="B1367" t="str">
        <f>"1551601685972544"</f>
        <v>1551601685972544</v>
      </c>
      <c r="C1367" t="s">
        <v>40</v>
      </c>
      <c r="D1367">
        <v>5.2773180000000002</v>
      </c>
      <c r="E1367">
        <v>0.48310150000000002</v>
      </c>
      <c r="F1367" t="s">
        <v>41</v>
      </c>
      <c r="G1367">
        <v>-188.75110000000001</v>
      </c>
      <c r="H1367" s="1">
        <v>-1.5576060000000001E-6</v>
      </c>
      <c r="I1367">
        <v>302.74720000000002</v>
      </c>
      <c r="J1367">
        <v>-191.04679999999999</v>
      </c>
      <c r="K1367">
        <v>1.122007</v>
      </c>
      <c r="L1367">
        <v>332.31299999999999</v>
      </c>
      <c r="M1367">
        <v>1.9568579999999999E-2</v>
      </c>
      <c r="N1367">
        <v>-1.342674E-2</v>
      </c>
      <c r="O1367">
        <v>-0.99971860000000001</v>
      </c>
      <c r="P1367">
        <v>2.6217460000000001E-2</v>
      </c>
      <c r="Q1367">
        <v>0.17238139999999999</v>
      </c>
      <c r="R1367">
        <v>-0.98468149999999999</v>
      </c>
      <c r="S1367">
        <v>0.2359619</v>
      </c>
      <c r="T1367">
        <v>-0.1150346</v>
      </c>
      <c r="U1367">
        <v>-3.0589900000000001</v>
      </c>
      <c r="V1367">
        <v>-7.1737930000000004E-3</v>
      </c>
      <c r="W1367">
        <v>0.18558269999999999</v>
      </c>
      <c r="X1367">
        <v>0.98260250000000005</v>
      </c>
      <c r="Y1367">
        <v>-5.7339750000000002E-2</v>
      </c>
      <c r="Z1367">
        <v>2.4070999999999999E-2</v>
      </c>
      <c r="AA1367">
        <v>0.99806450000000002</v>
      </c>
      <c r="AB1367">
        <v>27</v>
      </c>
      <c r="AC1367">
        <v>2.2956999999999801</v>
      </c>
      <c r="AD1367">
        <v>-1.1220085576059999</v>
      </c>
      <c r="AE1367">
        <v>-29.565799999999999</v>
      </c>
      <c r="AF1367">
        <v>-1.71419366229555</v>
      </c>
      <c r="AG1367">
        <v>-1.1220085576059999</v>
      </c>
      <c r="AH1367">
        <v>29.562745102737701</v>
      </c>
      <c r="AI1367">
        <v>92.169888724501604</v>
      </c>
      <c r="AJ1367">
        <v>93.318575713826803</v>
      </c>
      <c r="AK1367">
        <v>29.633650823424301</v>
      </c>
      <c r="AL1367">
        <v>79.304893439823502</v>
      </c>
      <c r="AM1367">
        <v>90.418298100592594</v>
      </c>
      <c r="AN1367">
        <v>1.00000003742577</v>
      </c>
    </row>
    <row r="1368" spans="1:40" x14ac:dyDescent="0.25">
      <c r="A1368" t="str">
        <f>"20190303162806002"</f>
        <v>20190303162806002</v>
      </c>
      <c r="B1368" t="str">
        <f>"1551601685993040"</f>
        <v>1551601685993040</v>
      </c>
      <c r="C1368" t="s">
        <v>40</v>
      </c>
      <c r="D1368">
        <v>5.2752239999999997</v>
      </c>
      <c r="E1368">
        <v>0.48311159999999997</v>
      </c>
      <c r="F1368" t="s">
        <v>41</v>
      </c>
      <c r="G1368">
        <v>-188.779</v>
      </c>
      <c r="H1368" s="1">
        <v>-9.1170559999999998E-7</v>
      </c>
      <c r="I1368">
        <v>301.25310000000002</v>
      </c>
      <c r="J1368">
        <v>-191.04060000000001</v>
      </c>
      <c r="K1368">
        <v>1.1218760000000001</v>
      </c>
      <c r="L1368">
        <v>332.03379999999999</v>
      </c>
      <c r="M1368">
        <v>2.0110329999999999E-2</v>
      </c>
      <c r="N1368">
        <v>-1.3420899999999999E-2</v>
      </c>
      <c r="O1368">
        <v>-0.99970780000000004</v>
      </c>
      <c r="P1368">
        <v>2.1455060000000001E-2</v>
      </c>
      <c r="Q1368">
        <v>0.1727099</v>
      </c>
      <c r="R1368">
        <v>-0.98473920000000004</v>
      </c>
      <c r="S1368">
        <v>0.22343440000000001</v>
      </c>
      <c r="T1368">
        <v>-0.1105438</v>
      </c>
      <c r="U1368">
        <v>-3.06012</v>
      </c>
      <c r="V1368">
        <v>-1.8191069999999999E-3</v>
      </c>
      <c r="W1368">
        <v>0.18591170000000001</v>
      </c>
      <c r="X1368">
        <v>0.98256469999999996</v>
      </c>
      <c r="Y1368">
        <v>-5.2711540000000001E-2</v>
      </c>
      <c r="Z1368">
        <v>2.2610979999999999E-2</v>
      </c>
      <c r="AA1368">
        <v>0.99835379999999996</v>
      </c>
      <c r="AB1368">
        <v>27</v>
      </c>
      <c r="AC1368">
        <v>2.2615999999999801</v>
      </c>
      <c r="AD1368">
        <v>-1.1218769117056</v>
      </c>
      <c r="AE1368">
        <v>-30.7806999999999</v>
      </c>
      <c r="AF1368">
        <v>-1.63991004646008</v>
      </c>
      <c r="AG1368">
        <v>-1.1218769117056</v>
      </c>
      <c r="AH1368">
        <v>30.7792915225277</v>
      </c>
      <c r="AI1368">
        <v>92.084500509340202</v>
      </c>
      <c r="AJ1368">
        <v>93.049815711606598</v>
      </c>
      <c r="AK1368">
        <v>30.843357459820201</v>
      </c>
      <c r="AL1368">
        <v>79.285708108056795</v>
      </c>
      <c r="AM1368">
        <v>90.106076510278498</v>
      </c>
      <c r="AN1368">
        <v>0.99999992951662597</v>
      </c>
    </row>
    <row r="1369" spans="1:40" x14ac:dyDescent="0.25">
      <c r="A1369" t="str">
        <f>"20190303162806024"</f>
        <v>20190303162806024</v>
      </c>
      <c r="B1369" t="str">
        <f>"1551601686012559"</f>
        <v>1551601686012559</v>
      </c>
      <c r="C1369" t="s">
        <v>40</v>
      </c>
      <c r="D1369">
        <v>5.2117940000000003</v>
      </c>
      <c r="E1369">
        <v>0.48307610000000001</v>
      </c>
      <c r="F1369" t="s">
        <v>41</v>
      </c>
      <c r="G1369">
        <v>-188.87629999999999</v>
      </c>
      <c r="H1369" s="1">
        <v>-5.8348049999999999E-7</v>
      </c>
      <c r="I1369">
        <v>300.48399999999998</v>
      </c>
      <c r="J1369">
        <v>-191.03479999999999</v>
      </c>
      <c r="K1369">
        <v>1.1217520000000001</v>
      </c>
      <c r="L1369">
        <v>331.76859999999999</v>
      </c>
      <c r="M1369">
        <v>2.0461969999999999E-2</v>
      </c>
      <c r="N1369">
        <v>-1.341552E-2</v>
      </c>
      <c r="O1369">
        <v>-0.9997009</v>
      </c>
      <c r="P1369">
        <v>1.6480169999999999E-2</v>
      </c>
      <c r="Q1369">
        <v>0.17184140000000001</v>
      </c>
      <c r="R1369">
        <v>-0.98498699999999995</v>
      </c>
      <c r="S1369">
        <v>0.2099915</v>
      </c>
      <c r="T1369">
        <v>-0.1088461</v>
      </c>
      <c r="U1369">
        <v>-3.0610050000000002</v>
      </c>
      <c r="V1369">
        <v>3.5590079999999998E-3</v>
      </c>
      <c r="W1369">
        <v>0.18504390000000001</v>
      </c>
      <c r="X1369">
        <v>0.98272380000000004</v>
      </c>
      <c r="Y1369">
        <v>-4.7978750000000001E-2</v>
      </c>
      <c r="Z1369">
        <v>2.2062379999999999E-2</v>
      </c>
      <c r="AA1369">
        <v>0.99860470000000001</v>
      </c>
      <c r="AB1369">
        <v>27</v>
      </c>
      <c r="AC1369">
        <v>2.1585000000000001</v>
      </c>
      <c r="AD1369">
        <v>-1.1217525834805</v>
      </c>
      <c r="AE1369">
        <v>-31.284599999999902</v>
      </c>
      <c r="AF1369">
        <v>-1.5159062800643699</v>
      </c>
      <c r="AG1369">
        <v>-1.1217525834805</v>
      </c>
      <c r="AH1369">
        <v>31.2821916119292</v>
      </c>
      <c r="AI1369">
        <v>92.051292551247897</v>
      </c>
      <c r="AJ1369">
        <v>92.774330583111393</v>
      </c>
      <c r="AK1369">
        <v>31.338982318415098</v>
      </c>
      <c r="AL1369">
        <v>79.336308010967002</v>
      </c>
      <c r="AM1369">
        <v>89.792499941334299</v>
      </c>
      <c r="AN1369">
        <v>0.99999998927579703</v>
      </c>
    </row>
    <row r="1370" spans="1:40" x14ac:dyDescent="0.25">
      <c r="A1370" t="str">
        <f>"20190303162806046"</f>
        <v>20190303162806046</v>
      </c>
      <c r="B1370" t="str">
        <f>"1551601686033055"</f>
        <v>1551601686033055</v>
      </c>
      <c r="C1370" t="s">
        <v>40</v>
      </c>
      <c r="D1370">
        <v>5.2116540000000002</v>
      </c>
      <c r="E1370">
        <v>0.48295100000000002</v>
      </c>
      <c r="F1370" t="s">
        <v>41</v>
      </c>
      <c r="G1370">
        <v>-189.0401</v>
      </c>
      <c r="H1370" s="1">
        <v>-6.4936689999999998E-7</v>
      </c>
      <c r="I1370">
        <v>300.74959999999999</v>
      </c>
      <c r="J1370">
        <v>-191.0292</v>
      </c>
      <c r="K1370">
        <v>1.121648</v>
      </c>
      <c r="L1370">
        <v>331.50729999999999</v>
      </c>
      <c r="M1370">
        <v>2.0665280000000001E-2</v>
      </c>
      <c r="N1370">
        <v>-1.3405E-2</v>
      </c>
      <c r="O1370">
        <v>-0.99969680000000005</v>
      </c>
      <c r="P1370">
        <v>1.114274E-2</v>
      </c>
      <c r="Q1370">
        <v>0.17155109999999901</v>
      </c>
      <c r="R1370">
        <v>-0.98511249999999995</v>
      </c>
      <c r="S1370">
        <v>0.19688420000000001</v>
      </c>
      <c r="T1370">
        <v>-0.11072269999999899</v>
      </c>
      <c r="U1370">
        <v>-3.0617369999999999</v>
      </c>
      <c r="V1370">
        <v>9.1445680000000005E-3</v>
      </c>
      <c r="W1370">
        <v>0.18474489999999999</v>
      </c>
      <c r="X1370">
        <v>0.98274399999999995</v>
      </c>
      <c r="Y1370">
        <v>-4.3503010000000002E-2</v>
      </c>
      <c r="Z1370">
        <v>2.2683229999999999E-2</v>
      </c>
      <c r="AA1370">
        <v>0.99879569999999995</v>
      </c>
      <c r="AB1370">
        <v>27</v>
      </c>
      <c r="AC1370">
        <v>1.9891000000000001</v>
      </c>
      <c r="AD1370">
        <v>-1.12164864936689</v>
      </c>
      <c r="AE1370">
        <v>-30.7577</v>
      </c>
      <c r="AF1370">
        <v>-1.3512122538437501</v>
      </c>
      <c r="AG1370">
        <v>-1.12164864936689</v>
      </c>
      <c r="AH1370">
        <v>30.7515146247808</v>
      </c>
      <c r="AI1370">
        <v>92.086901757404107</v>
      </c>
      <c r="AJ1370">
        <v>92.515940886069501</v>
      </c>
      <c r="AK1370">
        <v>30.8016155739544</v>
      </c>
      <c r="AL1370">
        <v>79.353740501312302</v>
      </c>
      <c r="AM1370">
        <v>89.466870282979201</v>
      </c>
      <c r="AN1370">
        <v>1.0000000353679499</v>
      </c>
    </row>
    <row r="1371" spans="1:40" x14ac:dyDescent="0.25">
      <c r="A1371" t="str">
        <f>"20190303162806071"</f>
        <v>20190303162806071</v>
      </c>
      <c r="B1371" t="str">
        <f>"1551601686063311"</f>
        <v>1551601686063311</v>
      </c>
      <c r="C1371" t="s">
        <v>40</v>
      </c>
      <c r="D1371">
        <v>5.2184710000000001</v>
      </c>
      <c r="E1371">
        <v>0.48263099999999998</v>
      </c>
      <c r="F1371" t="s">
        <v>41</v>
      </c>
      <c r="G1371">
        <v>-189.18600000000001</v>
      </c>
      <c r="H1371" s="1">
        <v>-5.9736949999999999E-7</v>
      </c>
      <c r="I1371">
        <v>300.68869999999998</v>
      </c>
      <c r="J1371">
        <v>-191.023</v>
      </c>
      <c r="K1371">
        <v>1.121556</v>
      </c>
      <c r="L1371">
        <v>331.21800000000002</v>
      </c>
      <c r="M1371">
        <v>2.0769659999999999E-2</v>
      </c>
      <c r="N1371">
        <v>-1.338934E-2</v>
      </c>
      <c r="O1371">
        <v>-0.99969459999999999</v>
      </c>
      <c r="P1371">
        <v>6.0562029999999996E-3</v>
      </c>
      <c r="Q1371">
        <v>0.17168329999999901</v>
      </c>
      <c r="R1371">
        <v>-0.98513379999999995</v>
      </c>
      <c r="S1371">
        <v>0.18316650000000001</v>
      </c>
      <c r="T1371">
        <v>-0.1114657</v>
      </c>
      <c r="U1371">
        <v>-3.0626530000000001</v>
      </c>
      <c r="V1371">
        <v>1.437367E-2</v>
      </c>
      <c r="W1371">
        <v>0.18485979999999999</v>
      </c>
      <c r="X1371">
        <v>0.98265979999999997</v>
      </c>
      <c r="Y1371">
        <v>-3.8923810000000003E-2</v>
      </c>
      <c r="Z1371">
        <v>2.2937679999999998E-2</v>
      </c>
      <c r="AA1371">
        <v>0.9989789</v>
      </c>
      <c r="AB1371">
        <v>27</v>
      </c>
      <c r="AC1371">
        <v>1.83700000000001</v>
      </c>
      <c r="AD1371">
        <v>-1.1215565973694901</v>
      </c>
      <c r="AE1371">
        <v>-30.529299999999999</v>
      </c>
      <c r="AF1371">
        <v>-1.2008487893261399</v>
      </c>
      <c r="AG1371">
        <v>-1.1215565973694901</v>
      </c>
      <c r="AH1371">
        <v>30.5198292393736</v>
      </c>
      <c r="AI1371">
        <v>92.102958633570694</v>
      </c>
      <c r="AJ1371">
        <v>92.253226708253393</v>
      </c>
      <c r="AK1371">
        <v>30.564029574263401</v>
      </c>
      <c r="AL1371">
        <v>79.347041620343902</v>
      </c>
      <c r="AM1371">
        <v>89.1619766072522</v>
      </c>
      <c r="AN1371">
        <v>1.0000000152906701</v>
      </c>
    </row>
    <row r="1372" spans="1:40" x14ac:dyDescent="0.25">
      <c r="A1372" t="str">
        <f>"20190303162806093"</f>
        <v>20190303162806093</v>
      </c>
      <c r="B1372" t="str">
        <f>"1551601686082833"</f>
        <v>1551601686082833</v>
      </c>
      <c r="C1372" t="s">
        <v>40</v>
      </c>
      <c r="D1372">
        <v>5.1059559999999999</v>
      </c>
      <c r="E1372">
        <v>0.47827150000000002</v>
      </c>
      <c r="F1372" t="s">
        <v>41</v>
      </c>
      <c r="G1372">
        <v>-189.29859999999999</v>
      </c>
      <c r="H1372" s="1">
        <v>-4.5632089999999998E-7</v>
      </c>
      <c r="I1372">
        <v>300.40640000000002</v>
      </c>
      <c r="J1372">
        <v>-191.0172</v>
      </c>
      <c r="K1372">
        <v>1.121497</v>
      </c>
      <c r="L1372">
        <v>330.9427</v>
      </c>
      <c r="M1372">
        <v>2.0784130000000001E-2</v>
      </c>
      <c r="N1372">
        <v>-1.337229E-2</v>
      </c>
      <c r="O1372">
        <v>-0.99969479999999999</v>
      </c>
      <c r="P1372">
        <v>1.5130300000000001E-3</v>
      </c>
      <c r="Q1372">
        <v>0.17236689999999999</v>
      </c>
      <c r="R1372">
        <v>-0.98503200000000002</v>
      </c>
      <c r="S1372">
        <v>0.171463</v>
      </c>
      <c r="T1372">
        <v>-0.11151899999999999</v>
      </c>
      <c r="U1372">
        <v>-3.06366</v>
      </c>
      <c r="V1372">
        <v>1.8956219999999999E-2</v>
      </c>
      <c r="W1372">
        <v>0.18552179999999999</v>
      </c>
      <c r="X1372">
        <v>0.98245729999999998</v>
      </c>
      <c r="Y1372">
        <v>-3.5087309999999997E-2</v>
      </c>
      <c r="Z1372">
        <v>2.2966190000000001E-2</v>
      </c>
      <c r="AA1372">
        <v>0.99912040000000002</v>
      </c>
      <c r="AB1372">
        <v>27</v>
      </c>
      <c r="AC1372">
        <v>1.7185999999999999</v>
      </c>
      <c r="AD1372">
        <v>-1.1214974563208999</v>
      </c>
      <c r="AE1372">
        <v>-30.536299999999901</v>
      </c>
      <c r="AF1372">
        <v>-1.0820467566771601</v>
      </c>
      <c r="AG1372">
        <v>-1.1214974563208999</v>
      </c>
      <c r="AH1372">
        <v>30.5243825458017</v>
      </c>
      <c r="AI1372">
        <v>92.102840251701807</v>
      </c>
      <c r="AJ1372">
        <v>92.030205309889794</v>
      </c>
      <c r="AK1372">
        <v>30.564137670325501</v>
      </c>
      <c r="AL1372">
        <v>79.308444136397895</v>
      </c>
      <c r="AM1372">
        <v>88.894632214095196</v>
      </c>
      <c r="AN1372">
        <v>1.0000000114376</v>
      </c>
    </row>
    <row r="1373" spans="1:40" x14ac:dyDescent="0.25">
      <c r="A1373" t="str">
        <f>"20190303162806114"</f>
        <v>20190303162806114</v>
      </c>
      <c r="B1373" t="str">
        <f>"1551601686102351"</f>
        <v>1551601686102351</v>
      </c>
      <c r="C1373" t="s">
        <v>40</v>
      </c>
      <c r="D1373">
        <v>5.1588529999999997</v>
      </c>
      <c r="E1373">
        <v>0.47742210000000002</v>
      </c>
      <c r="F1373" t="s">
        <v>41</v>
      </c>
      <c r="G1373">
        <v>-189.04929999999999</v>
      </c>
      <c r="H1373" s="1">
        <v>-2.9559540000000002E-7</v>
      </c>
      <c r="I1373">
        <v>299.77339999999998</v>
      </c>
      <c r="J1373">
        <v>-191.0119</v>
      </c>
      <c r="K1373">
        <v>1.121456</v>
      </c>
      <c r="L1373">
        <v>330.69229999999999</v>
      </c>
      <c r="M1373">
        <v>2.0746799999999999E-2</v>
      </c>
      <c r="N1373">
        <v>-1.3352670000000001E-2</v>
      </c>
      <c r="O1373">
        <v>-0.99969580000000002</v>
      </c>
      <c r="P1373">
        <v>-3.2414599999999998E-3</v>
      </c>
      <c r="Q1373">
        <v>0.17348479999999999</v>
      </c>
      <c r="R1373">
        <v>-0.98483169999999998</v>
      </c>
      <c r="S1373">
        <v>0.1934814</v>
      </c>
      <c r="T1373">
        <v>-0.110267</v>
      </c>
      <c r="U1373">
        <v>-3.0646059999999999</v>
      </c>
      <c r="V1373">
        <v>2.3687329999999999E-2</v>
      </c>
      <c r="W1373">
        <v>0.1866139</v>
      </c>
      <c r="X1373">
        <v>0.98214769999999896</v>
      </c>
      <c r="Y1373">
        <v>-4.2257860000000001E-2</v>
      </c>
      <c r="Z1373">
        <v>2.255569E-2</v>
      </c>
      <c r="AA1373">
        <v>0.99885210000000002</v>
      </c>
      <c r="AB1373">
        <v>27</v>
      </c>
      <c r="AC1373">
        <v>1.9625999999999999</v>
      </c>
      <c r="AD1373">
        <v>-1.1214562955953999</v>
      </c>
      <c r="AE1373">
        <v>-30.918900000000001</v>
      </c>
      <c r="AF1373">
        <v>-1.3189240206889901</v>
      </c>
      <c r="AG1373">
        <v>-1.1214562955953999</v>
      </c>
      <c r="AH1373">
        <v>30.912460627976799</v>
      </c>
      <c r="AI1373">
        <v>92.075804239300894</v>
      </c>
      <c r="AJ1373">
        <v>92.443123990983494</v>
      </c>
      <c r="AK1373">
        <v>30.9609019066224</v>
      </c>
      <c r="AL1373">
        <v>79.244758836865202</v>
      </c>
      <c r="AM1373">
        <v>88.618414538728501</v>
      </c>
      <c r="AN1373">
        <v>0.99999997094551396</v>
      </c>
    </row>
    <row r="1374" spans="1:40" x14ac:dyDescent="0.25">
      <c r="A1374" t="str">
        <f>"20190303162806136"</f>
        <v>20190303162806136</v>
      </c>
      <c r="B1374" t="str">
        <f>"1551601686122847"</f>
        <v>1551601686122847</v>
      </c>
      <c r="C1374" t="s">
        <v>40</v>
      </c>
      <c r="D1374">
        <v>5.2748970000000002</v>
      </c>
      <c r="E1374">
        <v>0.47729840000000001</v>
      </c>
      <c r="F1374" t="s">
        <v>47</v>
      </c>
      <c r="G1374">
        <v>-189.02090000000001</v>
      </c>
      <c r="H1374" s="1">
        <v>5.1979920000000005E-7</v>
      </c>
      <c r="I1374">
        <v>298.14589999999998</v>
      </c>
      <c r="J1374">
        <v>-191.00659999999999</v>
      </c>
      <c r="K1374">
        <v>1.121413</v>
      </c>
      <c r="L1374">
        <v>330.43270000000001</v>
      </c>
      <c r="M1374">
        <v>2.0666940000000002E-2</v>
      </c>
      <c r="N1374">
        <v>-1.332761E-2</v>
      </c>
      <c r="O1374">
        <v>-0.99969770000000002</v>
      </c>
      <c r="P1374">
        <v>-8.1393179999999996E-3</v>
      </c>
      <c r="Q1374">
        <v>0.1745033</v>
      </c>
      <c r="R1374">
        <v>-0.98462300000000003</v>
      </c>
      <c r="S1374">
        <v>0.18753049999999999</v>
      </c>
      <c r="T1374">
        <v>-0.10562680000000001</v>
      </c>
      <c r="U1374">
        <v>-3.0654599999999999</v>
      </c>
      <c r="V1374">
        <v>2.8518149999999999E-2</v>
      </c>
      <c r="W1374">
        <v>0.18760089999999999</v>
      </c>
      <c r="X1374">
        <v>0.98183129999999996</v>
      </c>
      <c r="Y1374">
        <v>-4.0391539999999997E-2</v>
      </c>
      <c r="Z1374">
        <v>2.1065110000000001E-2</v>
      </c>
      <c r="AA1374">
        <v>0.99896189999999996</v>
      </c>
      <c r="AB1374">
        <v>27</v>
      </c>
      <c r="AC1374">
        <v>1.98569999999998</v>
      </c>
      <c r="AD1374">
        <v>-1.1214124802008001</v>
      </c>
      <c r="AE1374">
        <v>-32.286799999999999</v>
      </c>
      <c r="AF1374">
        <v>-1.31636522218824</v>
      </c>
      <c r="AG1374">
        <v>-1.1214124802008001</v>
      </c>
      <c r="AH1374">
        <v>32.282147330952199</v>
      </c>
      <c r="AI1374">
        <v>91.9878816749262</v>
      </c>
      <c r="AJ1374">
        <v>92.335049449330896</v>
      </c>
      <c r="AK1374">
        <v>32.328430516284598</v>
      </c>
      <c r="AL1374">
        <v>79.187192001937404</v>
      </c>
      <c r="AM1374">
        <v>88.336261677070894</v>
      </c>
      <c r="AN1374">
        <v>1.00000004210996</v>
      </c>
    </row>
    <row r="1375" spans="1:40" x14ac:dyDescent="0.25">
      <c r="A1375" t="str">
        <f>"20190303162806158"</f>
        <v>20190303162806158</v>
      </c>
      <c r="B1375" t="str">
        <f>"1551601686153104"</f>
        <v>1551601686153104</v>
      </c>
      <c r="C1375" t="s">
        <v>40</v>
      </c>
      <c r="D1375">
        <v>4.9676859999999996</v>
      </c>
      <c r="E1375">
        <v>0.5112778</v>
      </c>
      <c r="F1375" t="s">
        <v>47</v>
      </c>
      <c r="G1375">
        <v>-189.06370000000001</v>
      </c>
      <c r="H1375" s="1">
        <v>1.1493810000000001E-6</v>
      </c>
      <c r="I1375">
        <v>296.36489999999998</v>
      </c>
      <c r="J1375">
        <v>-191.00120000000001</v>
      </c>
      <c r="K1375">
        <v>1.121364</v>
      </c>
      <c r="L1375">
        <v>330.16669999999999</v>
      </c>
      <c r="M1375">
        <v>2.0539890000000002E-2</v>
      </c>
      <c r="N1375">
        <v>-1.329806E-2</v>
      </c>
      <c r="O1375">
        <v>-0.99970060000000005</v>
      </c>
      <c r="P1375">
        <v>-1.2732820000000001E-2</v>
      </c>
      <c r="Q1375">
        <v>0.1746791</v>
      </c>
      <c r="R1375">
        <v>-0.98454339999999996</v>
      </c>
      <c r="S1375">
        <v>0.17486570000000001</v>
      </c>
      <c r="T1375">
        <v>-0.1009299</v>
      </c>
      <c r="U1375">
        <v>-3.0661930000000002</v>
      </c>
      <c r="V1375">
        <v>3.300355E-2</v>
      </c>
      <c r="W1375">
        <v>0.18774099999999999</v>
      </c>
      <c r="X1375">
        <v>0.98166390000000003</v>
      </c>
      <c r="Y1375">
        <v>-3.639527E-2</v>
      </c>
      <c r="Z1375">
        <v>1.956521E-2</v>
      </c>
      <c r="AA1375">
        <v>0.99914590000000003</v>
      </c>
      <c r="AB1375">
        <v>27</v>
      </c>
      <c r="AC1375">
        <v>1.9375</v>
      </c>
      <c r="AD1375">
        <v>-1.1213628506190001</v>
      </c>
      <c r="AE1375">
        <v>-33.8018</v>
      </c>
      <c r="AF1375">
        <v>-1.24138279770869</v>
      </c>
      <c r="AG1375">
        <v>-1.1213628506190001</v>
      </c>
      <c r="AH1375">
        <v>33.797393109778497</v>
      </c>
      <c r="AI1375">
        <v>91.899038476107904</v>
      </c>
      <c r="AJ1375">
        <v>92.1035360709011</v>
      </c>
      <c r="AK1375">
        <v>33.838768696719697</v>
      </c>
      <c r="AL1375">
        <v>79.179018812275899</v>
      </c>
      <c r="AM1375">
        <v>88.074440598973595</v>
      </c>
      <c r="AN1375">
        <v>0.99999996497840504</v>
      </c>
    </row>
    <row r="1376" spans="1:40" x14ac:dyDescent="0.25">
      <c r="A1376" t="str">
        <f>"20190303162806180"</f>
        <v>20190303162806180</v>
      </c>
      <c r="B1376" t="str">
        <f>"1551601686172624"</f>
        <v>1551601686172624</v>
      </c>
      <c r="C1376" t="s">
        <v>40</v>
      </c>
      <c r="D1376">
        <v>4.9392750000000003</v>
      </c>
      <c r="E1376">
        <v>0.51356290000000004</v>
      </c>
      <c r="F1376" t="s">
        <v>47</v>
      </c>
      <c r="G1376">
        <v>-192.1542</v>
      </c>
      <c r="H1376" s="1">
        <v>3.5349540000000002E-7</v>
      </c>
      <c r="I1376">
        <v>298.0652</v>
      </c>
      <c r="J1376">
        <v>-190.99590000000001</v>
      </c>
      <c r="K1376">
        <v>1.1213109999999999</v>
      </c>
      <c r="L1376">
        <v>329.90120000000002</v>
      </c>
      <c r="M1376">
        <v>2.0357799999999999E-2</v>
      </c>
      <c r="N1376">
        <v>-1.3268490000000001E-2</v>
      </c>
      <c r="O1376">
        <v>-0.9997047</v>
      </c>
      <c r="P1376">
        <v>-1.765982E-2</v>
      </c>
      <c r="Q1376">
        <v>0.1755139</v>
      </c>
      <c r="R1376">
        <v>-0.98431860000000004</v>
      </c>
      <c r="S1376">
        <v>-0.11007690000000001</v>
      </c>
      <c r="T1376">
        <v>-0.1070555</v>
      </c>
      <c r="U1376">
        <v>-3.0646969999999998</v>
      </c>
      <c r="V1376">
        <v>3.7770539999999998E-2</v>
      </c>
      <c r="W1376">
        <v>0.1885366</v>
      </c>
      <c r="X1376">
        <v>0.98133959999999998</v>
      </c>
      <c r="Y1376">
        <v>5.6207260000000002E-2</v>
      </c>
      <c r="Z1376">
        <v>2.159256E-2</v>
      </c>
      <c r="AA1376">
        <v>0.99818560000000001</v>
      </c>
      <c r="AB1376">
        <v>27</v>
      </c>
      <c r="AC1376">
        <v>-1.1582999999999899</v>
      </c>
      <c r="AD1376">
        <v>-1.1213106465046001</v>
      </c>
      <c r="AE1376">
        <v>-31.835999999999999</v>
      </c>
      <c r="AF1376">
        <v>1.80399290752228</v>
      </c>
      <c r="AG1376">
        <v>-1.1213106465046001</v>
      </c>
      <c r="AH1376">
        <v>31.766462737154502</v>
      </c>
      <c r="AI1376">
        <v>92.018370289525095</v>
      </c>
      <c r="AJ1376">
        <v>86.749707973352301</v>
      </c>
      <c r="AK1376">
        <v>31.837397550795298</v>
      </c>
      <c r="AL1376">
        <v>79.132606249150797</v>
      </c>
      <c r="AM1376">
        <v>87.7958447175929</v>
      </c>
      <c r="AN1376">
        <v>1.0000000368798001</v>
      </c>
    </row>
    <row r="1377" spans="1:40" x14ac:dyDescent="0.25">
      <c r="A1377" t="str">
        <f>"20190303162806204"</f>
        <v>20190303162806204</v>
      </c>
      <c r="B1377" t="str">
        <f>"1551601686193120"</f>
        <v>1551601686193120</v>
      </c>
      <c r="C1377" t="s">
        <v>40</v>
      </c>
      <c r="D1377">
        <v>4.8885529999999999</v>
      </c>
      <c r="E1377">
        <v>0.51341059999999905</v>
      </c>
      <c r="F1377" t="s">
        <v>47</v>
      </c>
      <c r="G1377">
        <v>-192.6395</v>
      </c>
      <c r="H1377" s="1">
        <v>1.382613E-6</v>
      </c>
      <c r="I1377">
        <v>295.03230000000002</v>
      </c>
      <c r="J1377">
        <v>-190.9905</v>
      </c>
      <c r="K1377">
        <v>1.1212390000000001</v>
      </c>
      <c r="L1377">
        <v>329.61950000000002</v>
      </c>
      <c r="M1377">
        <v>2.0079739999999999E-2</v>
      </c>
      <c r="N1377">
        <v>-1.3234559999999999E-2</v>
      </c>
      <c r="O1377">
        <v>-0.99971080000000001</v>
      </c>
      <c r="P1377">
        <v>-2.2285050000000001E-2</v>
      </c>
      <c r="Q1377">
        <v>0.1760806</v>
      </c>
      <c r="R1377">
        <v>-0.98412359999999999</v>
      </c>
      <c r="S1377">
        <v>-0.1443634</v>
      </c>
      <c r="T1377">
        <v>-9.8493339999999999E-2</v>
      </c>
      <c r="U1377">
        <v>-3.062805</v>
      </c>
      <c r="V1377">
        <v>4.2148140000000001E-2</v>
      </c>
      <c r="W1377">
        <v>0.1890578</v>
      </c>
      <c r="X1377">
        <v>0.98106099999999996</v>
      </c>
      <c r="Y1377">
        <v>6.7103339999999997E-2</v>
      </c>
      <c r="Z1377">
        <v>1.884075E-2</v>
      </c>
      <c r="AA1377">
        <v>0.99756809999999996</v>
      </c>
      <c r="AB1377">
        <v>27</v>
      </c>
      <c r="AC1377">
        <v>-1.649</v>
      </c>
      <c r="AD1377">
        <v>-1.12123761738699</v>
      </c>
      <c r="AE1377">
        <v>-34.587200000000003</v>
      </c>
      <c r="AF1377">
        <v>2.3407759150654699</v>
      </c>
      <c r="AG1377">
        <v>-1.12123761738699</v>
      </c>
      <c r="AH1377">
        <v>34.510925434943402</v>
      </c>
      <c r="AI1377">
        <v>91.856585481497305</v>
      </c>
      <c r="AJ1377">
        <v>86.119736679758404</v>
      </c>
      <c r="AK1377">
        <v>34.608385978768503</v>
      </c>
      <c r="AL1377">
        <v>79.102196419885303</v>
      </c>
      <c r="AM1377">
        <v>87.539983310489006</v>
      </c>
      <c r="AN1377">
        <v>1.0000000015836401</v>
      </c>
    </row>
    <row r="1378" spans="1:40" x14ac:dyDescent="0.25">
      <c r="A1378" t="str">
        <f>"20190303162806225"</f>
        <v>20190303162806225</v>
      </c>
      <c r="B1378" t="str">
        <f>"1551601686212641"</f>
        <v>1551601686212641</v>
      </c>
      <c r="C1378" t="s">
        <v>40</v>
      </c>
      <c r="D1378">
        <v>5.1445129999999999</v>
      </c>
      <c r="E1378">
        <v>0.51264390000000004</v>
      </c>
      <c r="F1378" t="s">
        <v>47</v>
      </c>
      <c r="G1378">
        <v>-192.85249999999999</v>
      </c>
      <c r="H1378" s="1">
        <v>1.7058240000000001E-6</v>
      </c>
      <c r="I1378">
        <v>293.50869999999998</v>
      </c>
      <c r="J1378">
        <v>-190.98589999999999</v>
      </c>
      <c r="K1378">
        <v>1.1211719999999901</v>
      </c>
      <c r="L1378">
        <v>329.37020000000001</v>
      </c>
      <c r="M1378">
        <v>1.9732389999999999E-2</v>
      </c>
      <c r="N1378">
        <v>-1.320211E-2</v>
      </c>
      <c r="O1378">
        <v>-0.99971829999999995</v>
      </c>
      <c r="P1378">
        <v>-2.5645520000000002E-2</v>
      </c>
      <c r="Q1378">
        <v>0.17641809999999999</v>
      </c>
      <c r="R1378">
        <v>-0.98398149999999995</v>
      </c>
      <c r="S1378">
        <v>-0.15788269999999999</v>
      </c>
      <c r="T1378">
        <v>-9.5070360000000007E-2</v>
      </c>
      <c r="U1378">
        <v>-3.0618590000000001</v>
      </c>
      <c r="V1378">
        <v>4.519277E-2</v>
      </c>
      <c r="W1378">
        <v>0.1893523</v>
      </c>
      <c r="X1378">
        <v>0.98086859999999998</v>
      </c>
      <c r="Y1378">
        <v>7.1164920000000007E-2</v>
      </c>
      <c r="Z1378">
        <v>1.7760789999999999E-2</v>
      </c>
      <c r="AA1378">
        <v>0.99730640000000004</v>
      </c>
      <c r="AB1378">
        <v>27</v>
      </c>
      <c r="AC1378">
        <v>-1.8666</v>
      </c>
      <c r="AD1378">
        <v>-1.12117029417599</v>
      </c>
      <c r="AE1378">
        <v>-35.861499999999999</v>
      </c>
      <c r="AF1378">
        <v>2.5714245645573701</v>
      </c>
      <c r="AG1378">
        <v>-1.12117029417599</v>
      </c>
      <c r="AH1378">
        <v>35.782800045429099</v>
      </c>
      <c r="AI1378">
        <v>91.790028999494794</v>
      </c>
      <c r="AJ1378">
        <v>85.889674840359405</v>
      </c>
      <c r="AK1378">
        <v>35.892590129592399</v>
      </c>
      <c r="AL1378">
        <v>79.085011805889806</v>
      </c>
      <c r="AM1378">
        <v>87.362006432010901</v>
      </c>
      <c r="AN1378">
        <v>0.99999994522075897</v>
      </c>
    </row>
    <row r="1379" spans="1:40" x14ac:dyDescent="0.25">
      <c r="A1379" t="str">
        <f>"20190303162806247"</f>
        <v>20190303162806247</v>
      </c>
      <c r="B1379" t="str">
        <f>"1551601686233136"</f>
        <v>1551601686233136</v>
      </c>
      <c r="C1379" t="s">
        <v>40</v>
      </c>
      <c r="D1379">
        <v>4.9315569999999997</v>
      </c>
      <c r="E1379">
        <v>0.51165039999999995</v>
      </c>
      <c r="F1379" t="s">
        <v>47</v>
      </c>
      <c r="G1379">
        <v>-192.9187</v>
      </c>
      <c r="H1379" s="1">
        <v>1.7932250000000001E-6</v>
      </c>
      <c r="I1379">
        <v>293.05770000000001</v>
      </c>
      <c r="J1379">
        <v>-190.9811</v>
      </c>
      <c r="K1379">
        <v>1.1211040000000001</v>
      </c>
      <c r="L1379">
        <v>329.10210000000001</v>
      </c>
      <c r="M1379">
        <v>1.9265600000000001E-2</v>
      </c>
      <c r="N1379">
        <v>-1.31678E-2</v>
      </c>
      <c r="O1379">
        <v>-0.99972799999999995</v>
      </c>
      <c r="P1379">
        <v>-2.8084669999999999E-2</v>
      </c>
      <c r="Q1379">
        <v>0.176088299999999</v>
      </c>
      <c r="R1379">
        <v>-0.98397400000000002</v>
      </c>
      <c r="S1379">
        <v>-0.16296389999999999</v>
      </c>
      <c r="T1379">
        <v>-9.4527239999999998E-2</v>
      </c>
      <c r="U1379">
        <v>-3.0615540000000001</v>
      </c>
      <c r="V1379">
        <v>4.7201010000000002E-2</v>
      </c>
      <c r="W1379">
        <v>0.1889796</v>
      </c>
      <c r="X1379">
        <v>0.98084590000000005</v>
      </c>
      <c r="Y1379">
        <v>7.2354829999999995E-2</v>
      </c>
      <c r="Z1379">
        <v>1.761911E-2</v>
      </c>
      <c r="AA1379">
        <v>0.99722330000000003</v>
      </c>
      <c r="AB1379">
        <v>27</v>
      </c>
      <c r="AC1379">
        <v>-1.9376</v>
      </c>
      <c r="AD1379">
        <v>-1.1211022067750001</v>
      </c>
      <c r="AE1379">
        <v>-36.044400000000003</v>
      </c>
      <c r="AF1379">
        <v>2.6291811144077202</v>
      </c>
      <c r="AG1379">
        <v>-1.1211022067750001</v>
      </c>
      <c r="AH1379">
        <v>35.965683144497604</v>
      </c>
      <c r="AI1379">
        <v>91.780665443151193</v>
      </c>
      <c r="AJ1379">
        <v>85.818972840414503</v>
      </c>
      <c r="AK1379">
        <v>36.079077420865303</v>
      </c>
      <c r="AL1379">
        <v>79.106758654728694</v>
      </c>
      <c r="AM1379">
        <v>87.244894506966006</v>
      </c>
      <c r="AN1379">
        <v>0.99999995205399395</v>
      </c>
    </row>
    <row r="1380" spans="1:40" x14ac:dyDescent="0.25">
      <c r="A1380" t="str">
        <f>"20190303162806272"</f>
        <v>20190303162806272</v>
      </c>
      <c r="B1380" t="str">
        <f>"1551601686262415"</f>
        <v>1551601686262415</v>
      </c>
      <c r="C1380" t="s">
        <v>40</v>
      </c>
      <c r="D1380">
        <v>4.9508539999999996</v>
      </c>
      <c r="E1380">
        <v>0.51030600000000004</v>
      </c>
      <c r="F1380" t="s">
        <v>47</v>
      </c>
      <c r="G1380">
        <v>-192.80369999999999</v>
      </c>
      <c r="H1380" s="1">
        <v>1.436487E-6</v>
      </c>
      <c r="I1380">
        <v>294.83870000000002</v>
      </c>
      <c r="J1380">
        <v>-190.97620000000001</v>
      </c>
      <c r="K1380">
        <v>1.121022</v>
      </c>
      <c r="L1380">
        <v>328.8168</v>
      </c>
      <c r="M1380">
        <v>1.8663260000000001E-2</v>
      </c>
      <c r="N1380">
        <v>-1.312847E-2</v>
      </c>
      <c r="O1380">
        <v>-0.99973959999999995</v>
      </c>
      <c r="P1380">
        <v>-2.9729370000000001E-2</v>
      </c>
      <c r="Q1380">
        <v>0.1755874</v>
      </c>
      <c r="R1380">
        <v>-0.98401470000000002</v>
      </c>
      <c r="S1380">
        <v>-0.16288759999999999</v>
      </c>
      <c r="T1380">
        <v>-0.1001942</v>
      </c>
      <c r="U1380">
        <v>-3.0621640000000001</v>
      </c>
      <c r="V1380">
        <v>4.8283390000000002E-2</v>
      </c>
      <c r="W1380">
        <v>0.18843219999999999</v>
      </c>
      <c r="X1380">
        <v>0.98089859999999895</v>
      </c>
      <c r="Y1380">
        <v>7.1716119999999994E-2</v>
      </c>
      <c r="Z1380">
        <v>1.9498100000000001E-2</v>
      </c>
      <c r="AA1380">
        <v>0.99723450000000002</v>
      </c>
      <c r="AB1380">
        <v>27</v>
      </c>
      <c r="AC1380">
        <v>-1.8274999999999799</v>
      </c>
      <c r="AD1380">
        <v>-1.1210205635129999</v>
      </c>
      <c r="AE1380">
        <v>-33.978099999999898</v>
      </c>
      <c r="AF1380">
        <v>2.4587098425762601</v>
      </c>
      <c r="AG1380">
        <v>-1.1210205635129999</v>
      </c>
      <c r="AH1380">
        <v>33.901275691761001</v>
      </c>
      <c r="AI1380">
        <v>91.888963599054605</v>
      </c>
      <c r="AJ1380">
        <v>85.851852944612702</v>
      </c>
      <c r="AK1380">
        <v>34.008799371965303</v>
      </c>
      <c r="AL1380">
        <v>79.138696931771804</v>
      </c>
      <c r="AM1380">
        <v>87.181968263748402</v>
      </c>
      <c r="AN1380">
        <v>1.0000000216143401</v>
      </c>
    </row>
    <row r="1381" spans="1:40" x14ac:dyDescent="0.25">
      <c r="A1381" t="str">
        <f>"20190303162806293"</f>
        <v>20190303162806293</v>
      </c>
      <c r="B1381" t="str">
        <f>"1551601686282912"</f>
        <v>1551601686282912</v>
      </c>
      <c r="C1381" t="s">
        <v>40</v>
      </c>
      <c r="D1381">
        <v>4.825704</v>
      </c>
      <c r="E1381">
        <v>0.50961880000000004</v>
      </c>
      <c r="F1381" t="s">
        <v>47</v>
      </c>
      <c r="G1381">
        <v>-192.66229999999999</v>
      </c>
      <c r="H1381" s="1">
        <v>1.041981E-6</v>
      </c>
      <c r="I1381">
        <v>295.99009999999998</v>
      </c>
      <c r="J1381">
        <v>-190.97200000000001</v>
      </c>
      <c r="K1381">
        <v>1.120951</v>
      </c>
      <c r="L1381">
        <v>328.55279999999999</v>
      </c>
      <c r="M1381">
        <v>1.8010390000000001E-2</v>
      </c>
      <c r="N1381">
        <v>-1.308922E-2</v>
      </c>
      <c r="O1381">
        <v>-0.99975239999999999</v>
      </c>
      <c r="P1381">
        <v>-3.099764E-2</v>
      </c>
      <c r="Q1381">
        <v>0.1752803</v>
      </c>
      <c r="R1381">
        <v>-0.98403070000000004</v>
      </c>
      <c r="S1381">
        <v>-0.1573029</v>
      </c>
      <c r="T1381">
        <v>-0.10458969999999999</v>
      </c>
      <c r="U1381">
        <v>-3.0626829999999998</v>
      </c>
      <c r="V1381">
        <v>4.8937439999999999E-2</v>
      </c>
      <c r="W1381">
        <v>0.1880791</v>
      </c>
      <c r="X1381">
        <v>0.98093399999999997</v>
      </c>
      <c r="Y1381">
        <v>6.9240759999999998E-2</v>
      </c>
      <c r="Z1381">
        <v>2.096756E-2</v>
      </c>
      <c r="AA1381">
        <v>0.99737960000000003</v>
      </c>
      <c r="AB1381">
        <v>27</v>
      </c>
      <c r="AC1381">
        <v>-1.6902999999999699</v>
      </c>
      <c r="AD1381">
        <v>-1.1209499580190001</v>
      </c>
      <c r="AE1381">
        <v>-32.5627</v>
      </c>
      <c r="AF1381">
        <v>2.27385543299919</v>
      </c>
      <c r="AG1381">
        <v>-1.1209499580190001</v>
      </c>
      <c r="AH1381">
        <v>32.4885751813638</v>
      </c>
      <c r="AI1381">
        <v>91.971268049304499</v>
      </c>
      <c r="AJ1381">
        <v>85.996432224707306</v>
      </c>
      <c r="AK1381">
        <v>32.587335955148099</v>
      </c>
      <c r="AL1381">
        <v>79.1592968820881</v>
      </c>
      <c r="AM1381">
        <v>87.143960706989105</v>
      </c>
      <c r="AN1381">
        <v>1.00000006662327</v>
      </c>
    </row>
    <row r="1382" spans="1:40" x14ac:dyDescent="0.25">
      <c r="A1382" t="str">
        <f>"20190303162806318"</f>
        <v>20190303162806318</v>
      </c>
      <c r="B1382" t="str">
        <f>"1551601686302431"</f>
        <v>1551601686302431</v>
      </c>
      <c r="C1382" t="s">
        <v>40</v>
      </c>
      <c r="D1382">
        <v>4.9088500000000002</v>
      </c>
      <c r="E1382">
        <v>0.50901030000000003</v>
      </c>
      <c r="F1382" t="s">
        <v>47</v>
      </c>
      <c r="G1382">
        <v>-192.5812</v>
      </c>
      <c r="H1382" s="1">
        <v>7.1899630000000004E-7</v>
      </c>
      <c r="I1382">
        <v>296.92419999999998</v>
      </c>
      <c r="J1382">
        <v>-190.96770000000001</v>
      </c>
      <c r="K1382">
        <v>1.1208769999999999</v>
      </c>
      <c r="L1382">
        <v>328.26299999999998</v>
      </c>
      <c r="M1382">
        <v>1.7196949999999999E-2</v>
      </c>
      <c r="N1382">
        <v>-1.303961E-2</v>
      </c>
      <c r="O1382">
        <v>-0.99976739999999997</v>
      </c>
      <c r="P1382">
        <v>-3.2299880000000003E-2</v>
      </c>
      <c r="Q1382">
        <v>0.1755757</v>
      </c>
      <c r="R1382">
        <v>-0.98393629999999999</v>
      </c>
      <c r="S1382">
        <v>-0.155838</v>
      </c>
      <c r="T1382">
        <v>-0.1085588</v>
      </c>
      <c r="U1382">
        <v>-3.0630799999999998</v>
      </c>
      <c r="V1382">
        <v>4.9469109999999997E-2</v>
      </c>
      <c r="W1382">
        <v>0.18831600000000001</v>
      </c>
      <c r="X1382">
        <v>0.98086180000000001</v>
      </c>
      <c r="Y1382">
        <v>6.7945099999999994E-2</v>
      </c>
      <c r="Z1382">
        <v>2.230706E-2</v>
      </c>
      <c r="AA1382">
        <v>0.99743959999999998</v>
      </c>
      <c r="AB1382">
        <v>27</v>
      </c>
      <c r="AC1382">
        <v>-1.61349999999998</v>
      </c>
      <c r="AD1382">
        <v>-1.1208762810036901</v>
      </c>
      <c r="AE1382">
        <v>-31.338799999999999</v>
      </c>
      <c r="AF1382">
        <v>2.1494963472885402</v>
      </c>
      <c r="AG1382">
        <v>-1.1208762810036901</v>
      </c>
      <c r="AH1382">
        <v>31.2665237356216</v>
      </c>
      <c r="AI1382">
        <v>92.048291565494196</v>
      </c>
      <c r="AJ1382">
        <v>86.067244457166694</v>
      </c>
      <c r="AK1382">
        <v>31.3603604044104</v>
      </c>
      <c r="AL1382">
        <v>79.145475715067604</v>
      </c>
      <c r="AM1382">
        <v>87.112771961602704</v>
      </c>
      <c r="AN1382">
        <v>0.99999998969971604</v>
      </c>
    </row>
    <row r="1383" spans="1:40" x14ac:dyDescent="0.25">
      <c r="A1383" t="str">
        <f>"20190303162806337"</f>
        <v>20190303162806337</v>
      </c>
      <c r="B1383" t="str">
        <f>"1551601686332688"</f>
        <v>1551601686332688</v>
      </c>
      <c r="C1383" t="s">
        <v>40</v>
      </c>
      <c r="D1383">
        <v>4.8738010000000003</v>
      </c>
      <c r="E1383">
        <v>0.50834049999999997</v>
      </c>
      <c r="F1383" t="s">
        <v>47</v>
      </c>
      <c r="G1383">
        <v>-192.57740000000001</v>
      </c>
      <c r="H1383" s="1">
        <v>9.1856779999999996E-7</v>
      </c>
      <c r="I1383">
        <v>296.36059999999998</v>
      </c>
      <c r="J1383">
        <v>-190.96449999999999</v>
      </c>
      <c r="K1383">
        <v>1.120816</v>
      </c>
      <c r="L1383">
        <v>328.03289999999998</v>
      </c>
      <c r="M1383">
        <v>1.6489759999999999E-2</v>
      </c>
      <c r="N1383">
        <v>-1.2986630000000001E-2</v>
      </c>
      <c r="O1383">
        <v>-0.99977990000000005</v>
      </c>
      <c r="P1383">
        <v>-3.4428729999999998E-2</v>
      </c>
      <c r="Q1383">
        <v>0.1762291</v>
      </c>
      <c r="R1383">
        <v>-0.98374760000000006</v>
      </c>
      <c r="S1383">
        <v>-0.15455629999999901</v>
      </c>
      <c r="T1383">
        <v>-0.107622</v>
      </c>
      <c r="U1383">
        <v>-3.0631409999999999</v>
      </c>
      <c r="V1383">
        <v>5.0922189999999999E-2</v>
      </c>
      <c r="W1383">
        <v>0.18890660000000001</v>
      </c>
      <c r="X1383">
        <v>0.98067380000000004</v>
      </c>
      <c r="Y1383">
        <v>6.6822909999999999E-2</v>
      </c>
      <c r="Z1383">
        <v>2.2057219999999999E-2</v>
      </c>
      <c r="AA1383">
        <v>0.99752099999999999</v>
      </c>
      <c r="AB1383">
        <v>27</v>
      </c>
      <c r="AC1383">
        <v>-1.61290000000002</v>
      </c>
      <c r="AD1383">
        <v>-1.1208150814322</v>
      </c>
      <c r="AE1383">
        <v>-31.6723</v>
      </c>
      <c r="AF1383">
        <v>2.1323298171811298</v>
      </c>
      <c r="AG1383">
        <v>-1.1208150814322</v>
      </c>
      <c r="AH1383">
        <v>31.6019216163062</v>
      </c>
      <c r="AI1383">
        <v>92.026635013379007</v>
      </c>
      <c r="AJ1383">
        <v>86.139836256991401</v>
      </c>
      <c r="AK1383">
        <v>31.693603561904599</v>
      </c>
      <c r="AL1383">
        <v>79.111017804777404</v>
      </c>
      <c r="AM1383">
        <v>87.027545185282193</v>
      </c>
      <c r="AN1383">
        <v>0.99999993748219596</v>
      </c>
    </row>
    <row r="1384" spans="1:40" x14ac:dyDescent="0.25">
      <c r="A1384" t="str">
        <f>"20190303162806360"</f>
        <v>20190303162806360</v>
      </c>
      <c r="B1384" t="str">
        <f>"1551601686353184"</f>
        <v>1551601686353184</v>
      </c>
      <c r="C1384" t="s">
        <v>40</v>
      </c>
      <c r="D1384">
        <v>4.9020260000000002</v>
      </c>
      <c r="E1384">
        <v>0.50805259999999997</v>
      </c>
      <c r="F1384" t="s">
        <v>47</v>
      </c>
      <c r="G1384">
        <v>-192.62790000000001</v>
      </c>
      <c r="H1384" s="1">
        <v>1.3713760000000001E-6</v>
      </c>
      <c r="I1384">
        <v>295.06700000000001</v>
      </c>
      <c r="J1384">
        <v>-190.96109999999999</v>
      </c>
      <c r="K1384">
        <v>1.1207640000000001</v>
      </c>
      <c r="L1384">
        <v>327.76839999999999</v>
      </c>
      <c r="M1384">
        <v>1.5631969999999999E-2</v>
      </c>
      <c r="N1384">
        <v>-1.2901640000000001E-2</v>
      </c>
      <c r="O1384">
        <v>-0.99979470000000004</v>
      </c>
      <c r="P1384">
        <v>-3.7088950000000002E-2</v>
      </c>
      <c r="Q1384">
        <v>0.1764743</v>
      </c>
      <c r="R1384">
        <v>-0.98360639999999999</v>
      </c>
      <c r="S1384">
        <v>-0.15454100000000001</v>
      </c>
      <c r="T1384">
        <v>-0.1041318</v>
      </c>
      <c r="U1384">
        <v>-3.0627749999999998</v>
      </c>
      <c r="V1384">
        <v>5.275693E-2</v>
      </c>
      <c r="W1384">
        <v>0.1890587</v>
      </c>
      <c r="X1384">
        <v>0.98054750000000002</v>
      </c>
      <c r="Y1384">
        <v>6.5969920000000001E-2</v>
      </c>
      <c r="Z1384">
        <v>2.1012650000000001E-2</v>
      </c>
      <c r="AA1384">
        <v>0.9976003</v>
      </c>
      <c r="AB1384">
        <v>27</v>
      </c>
      <c r="AC1384">
        <v>-1.66680000000002</v>
      </c>
      <c r="AD1384">
        <v>-1.12076262862399</v>
      </c>
      <c r="AE1384">
        <v>-32.7013999999999</v>
      </c>
      <c r="AF1384">
        <v>2.1752776066871999</v>
      </c>
      <c r="AG1384">
        <v>-1.12076262862399</v>
      </c>
      <c r="AH1384">
        <v>32.633114190369199</v>
      </c>
      <c r="AI1384">
        <v>91.962660182688396</v>
      </c>
      <c r="AJ1384">
        <v>86.186385479686393</v>
      </c>
      <c r="AK1384">
        <v>32.724731982058302</v>
      </c>
      <c r="AL1384">
        <v>79.102143257454301</v>
      </c>
      <c r="AM1384">
        <v>86.920253519989402</v>
      </c>
      <c r="AN1384">
        <v>0.99999994273248005</v>
      </c>
    </row>
    <row r="1385" spans="1:40" x14ac:dyDescent="0.25">
      <c r="A1385" t="str">
        <f>"20190303162806382"</f>
        <v>20190303162806382</v>
      </c>
      <c r="B1385" t="str">
        <f>"1551601686372704"</f>
        <v>1551601686372704</v>
      </c>
      <c r="C1385" t="s">
        <v>40</v>
      </c>
      <c r="D1385">
        <v>5.1984719999999998</v>
      </c>
      <c r="E1385">
        <v>0.50786790000000004</v>
      </c>
      <c r="F1385" t="s">
        <v>47</v>
      </c>
      <c r="G1385">
        <v>-192.65100000000001</v>
      </c>
      <c r="H1385" s="1">
        <v>1.273477E-6</v>
      </c>
      <c r="I1385">
        <v>295.3381</v>
      </c>
      <c r="J1385">
        <v>-190.9579</v>
      </c>
      <c r="K1385">
        <v>1.1207149999999999</v>
      </c>
      <c r="L1385">
        <v>327.49740000000003</v>
      </c>
      <c r="M1385">
        <v>1.47178E-2</v>
      </c>
      <c r="N1385">
        <v>-1.278898E-2</v>
      </c>
      <c r="O1385">
        <v>-0.99980979999999997</v>
      </c>
      <c r="P1385">
        <v>-4.1044379999999998E-2</v>
      </c>
      <c r="Q1385">
        <v>0.17560789999999901</v>
      </c>
      <c r="R1385">
        <v>-0.98360429999999999</v>
      </c>
      <c r="S1385">
        <v>-0.1596069</v>
      </c>
      <c r="T1385">
        <v>-0.1058552</v>
      </c>
      <c r="U1385">
        <v>-3.0630190000000002</v>
      </c>
      <c r="V1385">
        <v>5.5823560000000001E-2</v>
      </c>
      <c r="W1385">
        <v>0.1880735</v>
      </c>
      <c r="X1385">
        <v>0.98056719999999997</v>
      </c>
      <c r="Y1385">
        <v>6.6698160000000006E-2</v>
      </c>
      <c r="Z1385">
        <v>2.1682E-2</v>
      </c>
      <c r="AA1385">
        <v>0.99753760000000002</v>
      </c>
      <c r="AB1385">
        <v>27</v>
      </c>
      <c r="AC1385">
        <v>-1.6930999999999801</v>
      </c>
      <c r="AD1385">
        <v>-1.1207137265229901</v>
      </c>
      <c r="AE1385">
        <v>-32.159300000000002</v>
      </c>
      <c r="AF1385">
        <v>2.1636491287212598</v>
      </c>
      <c r="AG1385">
        <v>-1.1207137265229901</v>
      </c>
      <c r="AH1385">
        <v>32.092029291348602</v>
      </c>
      <c r="AI1385">
        <v>91.995536555750206</v>
      </c>
      <c r="AJ1385">
        <v>86.142947465153497</v>
      </c>
      <c r="AK1385">
        <v>32.184401825198101</v>
      </c>
      <c r="AL1385">
        <v>79.159622535483905</v>
      </c>
      <c r="AM1385">
        <v>86.741675958537996</v>
      </c>
      <c r="AN1385">
        <v>0.99999997248458095</v>
      </c>
    </row>
    <row r="1386" spans="1:40" x14ac:dyDescent="0.25">
      <c r="A1386" t="str">
        <f>"20190303162806415"</f>
        <v>20190303162806415</v>
      </c>
      <c r="B1386" t="str">
        <f>"1551601686402960"</f>
        <v>1551601686402960</v>
      </c>
      <c r="C1386" t="s">
        <v>40</v>
      </c>
      <c r="D1386">
        <v>5.0095640000000001</v>
      </c>
      <c r="E1386">
        <v>0.50748400000000005</v>
      </c>
      <c r="F1386" t="s">
        <v>47</v>
      </c>
      <c r="G1386">
        <v>-192.666</v>
      </c>
      <c r="H1386" s="1">
        <v>8.2767989999999997E-7</v>
      </c>
      <c r="I1386">
        <v>296.59539999999998</v>
      </c>
      <c r="J1386">
        <v>-190.9538</v>
      </c>
      <c r="K1386">
        <v>1.120682</v>
      </c>
      <c r="L1386">
        <v>327.11180000000002</v>
      </c>
      <c r="M1386">
        <v>1.3386759999999999E-2</v>
      </c>
      <c r="N1386">
        <v>-1.2581480000000001E-2</v>
      </c>
      <c r="O1386">
        <v>-0.99983149999999998</v>
      </c>
      <c r="P1386">
        <v>-4.5971409999999997E-2</v>
      </c>
      <c r="Q1386">
        <v>0.17624879999999901</v>
      </c>
      <c r="R1386">
        <v>-0.98327200000000003</v>
      </c>
      <c r="S1386">
        <v>-0.16929629999999901</v>
      </c>
      <c r="T1386">
        <v>-0.111077</v>
      </c>
      <c r="U1386">
        <v>-3.0627749999999998</v>
      </c>
      <c r="V1386">
        <v>5.9439119999999998E-2</v>
      </c>
      <c r="W1386">
        <v>0.1885001</v>
      </c>
      <c r="X1386">
        <v>0.98027280000000006</v>
      </c>
      <c r="Y1386">
        <v>6.8517300000000003E-2</v>
      </c>
      <c r="Z1386">
        <v>2.3587190000000001E-2</v>
      </c>
      <c r="AA1386">
        <v>0.99737109999999995</v>
      </c>
      <c r="AB1386">
        <v>27</v>
      </c>
      <c r="AC1386">
        <v>-1.71219999999999</v>
      </c>
      <c r="AD1386">
        <v>-1.1206811723201</v>
      </c>
      <c r="AE1386">
        <v>-30.516400000000001</v>
      </c>
      <c r="AF1386">
        <v>2.1177473770085098</v>
      </c>
      <c r="AG1386">
        <v>-1.1206811723201</v>
      </c>
      <c r="AH1386">
        <v>30.449805379527199</v>
      </c>
      <c r="AI1386">
        <v>92.102700107162903</v>
      </c>
      <c r="AJ1386">
        <v>86.021553754155093</v>
      </c>
      <c r="AK1386">
        <v>30.543926202993401</v>
      </c>
      <c r="AL1386">
        <v>79.134735646699497</v>
      </c>
      <c r="AM1386">
        <v>86.530102472719193</v>
      </c>
      <c r="AN1386">
        <v>1.00000002955311</v>
      </c>
    </row>
    <row r="1387" spans="1:40" x14ac:dyDescent="0.25">
      <c r="A1387" t="str">
        <f>"20190303162806437"</f>
        <v>20190303162806437</v>
      </c>
      <c r="B1387" t="str">
        <f>"1551601686433216"</f>
        <v>1551601686433216</v>
      </c>
      <c r="C1387" t="s">
        <v>40</v>
      </c>
      <c r="D1387">
        <v>4.8983650000000001</v>
      </c>
      <c r="E1387">
        <v>0.52878780000000003</v>
      </c>
      <c r="F1387" t="s">
        <v>47</v>
      </c>
      <c r="G1387">
        <v>-192.83799999999999</v>
      </c>
      <c r="H1387" s="1">
        <v>1.2600030000000001E-6</v>
      </c>
      <c r="I1387">
        <v>295.32929999999999</v>
      </c>
      <c r="J1387">
        <v>-190.9513</v>
      </c>
      <c r="K1387">
        <v>1.1206739999999999</v>
      </c>
      <c r="L1387">
        <v>326.85449999999997</v>
      </c>
      <c r="M1387">
        <v>1.2502299999999999E-2</v>
      </c>
      <c r="N1387">
        <v>-1.241883E-2</v>
      </c>
      <c r="O1387">
        <v>-0.99984479999999998</v>
      </c>
      <c r="P1387">
        <v>-4.8669629999999998E-2</v>
      </c>
      <c r="Q1387">
        <v>0.177705</v>
      </c>
      <c r="R1387">
        <v>-0.98287959999999996</v>
      </c>
      <c r="S1387">
        <v>-0.1815338</v>
      </c>
      <c r="T1387">
        <v>-0.1079671</v>
      </c>
      <c r="U1387">
        <v>-3.0619510000000001</v>
      </c>
      <c r="V1387">
        <v>6.1260929999999998E-2</v>
      </c>
      <c r="W1387">
        <v>0.1897905</v>
      </c>
      <c r="X1387">
        <v>0.97991159999999999</v>
      </c>
      <c r="Y1387">
        <v>7.1623300000000001E-2</v>
      </c>
      <c r="Z1387">
        <v>2.2740349999999999E-2</v>
      </c>
      <c r="AA1387">
        <v>0.99717250000000002</v>
      </c>
      <c r="AB1387">
        <v>27</v>
      </c>
      <c r="AC1387">
        <v>-1.8866999999999901</v>
      </c>
      <c r="AD1387">
        <v>-1.120672739997</v>
      </c>
      <c r="AE1387">
        <v>-31.525199999999899</v>
      </c>
      <c r="AF1387">
        <v>2.2778521574945199</v>
      </c>
      <c r="AG1387">
        <v>-1.120672739997</v>
      </c>
      <c r="AH1387">
        <v>31.459532466342498</v>
      </c>
      <c r="AI1387">
        <v>92.034843856896103</v>
      </c>
      <c r="AJ1387">
        <v>85.858681082331401</v>
      </c>
      <c r="AK1387">
        <v>31.561791787578102</v>
      </c>
      <c r="AL1387">
        <v>79.059442164369003</v>
      </c>
      <c r="AM1387">
        <v>86.422707240001799</v>
      </c>
      <c r="AN1387">
        <v>1.00000003962463</v>
      </c>
    </row>
    <row r="1388" spans="1:40" x14ac:dyDescent="0.25">
      <c r="A1388" t="str">
        <f>"20190303162806459"</f>
        <v>20190303162806459</v>
      </c>
      <c r="B1388" t="str">
        <f>"1551601686452735"</f>
        <v>1551601686452735</v>
      </c>
      <c r="C1388" t="s">
        <v>40</v>
      </c>
      <c r="D1388">
        <v>4.8800919999999897</v>
      </c>
      <c r="E1388">
        <v>0.53156130000000001</v>
      </c>
      <c r="F1388" t="s">
        <v>47</v>
      </c>
      <c r="G1388">
        <v>-194.97669999999999</v>
      </c>
      <c r="H1388" s="1">
        <v>1.65239E-6</v>
      </c>
      <c r="I1388">
        <v>292.7423</v>
      </c>
      <c r="J1388">
        <v>-190.94880000000001</v>
      </c>
      <c r="K1388">
        <v>1.12066</v>
      </c>
      <c r="L1388">
        <v>326.5736</v>
      </c>
      <c r="M1388">
        <v>1.155482E-2</v>
      </c>
      <c r="N1388">
        <v>-1.2218909999999999E-2</v>
      </c>
      <c r="O1388">
        <v>-0.99985880000000005</v>
      </c>
      <c r="P1388">
        <v>-5.0890440000000002E-2</v>
      </c>
      <c r="Q1388">
        <v>0.17959420000000001</v>
      </c>
      <c r="R1388">
        <v>-0.98242399999999996</v>
      </c>
      <c r="S1388">
        <v>-0.36021419999999998</v>
      </c>
      <c r="T1388">
        <v>-0.1002841</v>
      </c>
      <c r="U1388">
        <v>-3.0525509999999998</v>
      </c>
      <c r="V1388">
        <v>6.2542189999999998E-2</v>
      </c>
      <c r="W1388">
        <v>0.1914785</v>
      </c>
      <c r="X1388">
        <v>0.97950210000000004</v>
      </c>
      <c r="Y1388">
        <v>0.12859999999999999</v>
      </c>
      <c r="Z1388">
        <v>2.0359220000000001E-2</v>
      </c>
      <c r="AA1388">
        <v>0.99148760000000002</v>
      </c>
      <c r="AB1388">
        <v>27</v>
      </c>
      <c r="AC1388">
        <v>-4.0278999999999803</v>
      </c>
      <c r="AD1388">
        <v>-1.12065834761</v>
      </c>
      <c r="AE1388">
        <v>-33.831299999999999</v>
      </c>
      <c r="AF1388">
        <v>4.4137993531476702</v>
      </c>
      <c r="AG1388">
        <v>-1.12065834761</v>
      </c>
      <c r="AH1388">
        <v>33.745985442909799</v>
      </c>
      <c r="AI1388">
        <v>91.885964341145396</v>
      </c>
      <c r="AJ1388">
        <v>82.548310664650202</v>
      </c>
      <c r="AK1388">
        <v>34.051858001803602</v>
      </c>
      <c r="AL1388">
        <v>78.960919119784506</v>
      </c>
      <c r="AM1388">
        <v>86.346566668801501</v>
      </c>
      <c r="AN1388">
        <v>0.99999995269832698</v>
      </c>
    </row>
    <row r="1389" spans="1:40" x14ac:dyDescent="0.25">
      <c r="A1389" t="str">
        <f>"20190303162806484"</f>
        <v>20190303162806484</v>
      </c>
      <c r="B1389" t="str">
        <f>"1551601686473231"</f>
        <v>1551601686473231</v>
      </c>
      <c r="C1389" t="s">
        <v>40</v>
      </c>
      <c r="D1389">
        <v>4.8706050000000003</v>
      </c>
      <c r="E1389">
        <v>0.53159619999999996</v>
      </c>
      <c r="F1389" t="s">
        <v>47</v>
      </c>
      <c r="G1389">
        <v>-194.49090000000001</v>
      </c>
      <c r="H1389" s="1">
        <v>1.5344840000000001E-7</v>
      </c>
      <c r="I1389">
        <v>298.745</v>
      </c>
      <c r="J1389">
        <v>-190.94649999999999</v>
      </c>
      <c r="K1389">
        <v>1.1206449999999999</v>
      </c>
      <c r="L1389">
        <v>326.28460000000001</v>
      </c>
      <c r="M1389">
        <v>1.060725E-2</v>
      </c>
      <c r="N1389">
        <v>-1.1978590000000001E-2</v>
      </c>
      <c r="O1389">
        <v>-0.99987230000000005</v>
      </c>
      <c r="P1389">
        <v>-5.2454420000000002E-2</v>
      </c>
      <c r="Q1389">
        <v>0.18085950000000001</v>
      </c>
      <c r="R1389">
        <v>-0.98210949999999997</v>
      </c>
      <c r="S1389">
        <v>-0.38897710000000002</v>
      </c>
      <c r="T1389">
        <v>-0.1230665</v>
      </c>
      <c r="U1389">
        <v>-3.0560299999999998</v>
      </c>
      <c r="V1389">
        <v>6.3167710000000002E-2</v>
      </c>
      <c r="W1389">
        <v>0.19250610000000001</v>
      </c>
      <c r="X1389">
        <v>0.97926060000000004</v>
      </c>
      <c r="Y1389">
        <v>0.13668759999999999</v>
      </c>
      <c r="Z1389">
        <v>2.7904749999999999E-2</v>
      </c>
      <c r="AA1389">
        <v>0.99022109999999997</v>
      </c>
      <c r="AB1389">
        <v>27</v>
      </c>
      <c r="AC1389">
        <v>-3.54440000000002</v>
      </c>
      <c r="AD1389">
        <v>-1.1206448465515999</v>
      </c>
      <c r="AE1389">
        <v>-27.5396</v>
      </c>
      <c r="AF1389">
        <v>3.8301021295020399</v>
      </c>
      <c r="AG1389">
        <v>-1.1206448465515999</v>
      </c>
      <c r="AH1389">
        <v>27.455729656476901</v>
      </c>
      <c r="AI1389">
        <v>92.314920217570204</v>
      </c>
      <c r="AJ1389">
        <v>82.058431723854596</v>
      </c>
      <c r="AK1389">
        <v>27.744235764642401</v>
      </c>
      <c r="AL1389">
        <v>78.900926868571602</v>
      </c>
      <c r="AM1389">
        <v>86.3092195929365</v>
      </c>
      <c r="AN1389">
        <v>1.0000000404181</v>
      </c>
    </row>
    <row r="1390" spans="1:40" x14ac:dyDescent="0.25">
      <c r="A1390" t="str">
        <f>"20190303162806507"</f>
        <v>20190303162806507</v>
      </c>
      <c r="B1390" t="str">
        <f>"1551601686502511"</f>
        <v>1551601686502511</v>
      </c>
      <c r="C1390" t="s">
        <v>40</v>
      </c>
      <c r="D1390">
        <v>4.8932460000000004</v>
      </c>
      <c r="E1390">
        <v>0.53148130000000005</v>
      </c>
      <c r="F1390" t="s">
        <v>41</v>
      </c>
      <c r="G1390">
        <v>-194.3613</v>
      </c>
      <c r="H1390" s="1">
        <v>-1.2719390000000001E-6</v>
      </c>
      <c r="I1390">
        <v>299.84899999999999</v>
      </c>
      <c r="J1390">
        <v>-190.94460000000001</v>
      </c>
      <c r="K1390">
        <v>1.1206210000000001</v>
      </c>
      <c r="L1390">
        <v>326.01060000000001</v>
      </c>
      <c r="M1390">
        <v>9.7376419999999995E-3</v>
      </c>
      <c r="N1390">
        <v>-1.173195E-2</v>
      </c>
      <c r="O1390">
        <v>-0.99988370000000004</v>
      </c>
      <c r="P1390">
        <v>-5.3103629999999999E-2</v>
      </c>
      <c r="Q1390">
        <v>0.1814209</v>
      </c>
      <c r="R1390">
        <v>-0.98197080000000003</v>
      </c>
      <c r="S1390">
        <v>-0.39494319999999999</v>
      </c>
      <c r="T1390">
        <v>-0.12960969999999999</v>
      </c>
      <c r="U1390">
        <v>-3.0574340000000002</v>
      </c>
      <c r="V1390">
        <v>6.2957289999999999E-2</v>
      </c>
      <c r="W1390">
        <v>0.19282659999999999</v>
      </c>
      <c r="X1390">
        <v>0.97921100000000005</v>
      </c>
      <c r="Y1390">
        <v>0.13766039999999999</v>
      </c>
      <c r="Z1390">
        <v>3.0243200000000001E-2</v>
      </c>
      <c r="AA1390">
        <v>0.9900177</v>
      </c>
      <c r="AB1390">
        <v>27</v>
      </c>
      <c r="AC1390">
        <v>-3.4166999999999899</v>
      </c>
      <c r="AD1390">
        <v>-1.12062227193899</v>
      </c>
      <c r="AE1390">
        <v>-26.1616</v>
      </c>
      <c r="AF1390">
        <v>3.66469658996105</v>
      </c>
      <c r="AG1390">
        <v>-1.12062227193899</v>
      </c>
      <c r="AH1390">
        <v>26.0800372695089</v>
      </c>
      <c r="AI1390">
        <v>92.436497440161105</v>
      </c>
      <c r="AJ1390">
        <v>82.001321961301997</v>
      </c>
      <c r="AK1390">
        <v>26.360086102890701</v>
      </c>
      <c r="AL1390">
        <v>78.882211939170503</v>
      </c>
      <c r="AM1390">
        <v>86.321294441300196</v>
      </c>
      <c r="AN1390">
        <v>0.99999995027635002</v>
      </c>
    </row>
    <row r="1391" spans="1:40" x14ac:dyDescent="0.25">
      <c r="A1391" t="str">
        <f>"20190303162806526"</f>
        <v>20190303162806526</v>
      </c>
      <c r="B1391" t="str">
        <f>"1551601686523009"</f>
        <v>1551601686523009</v>
      </c>
      <c r="C1391" t="s">
        <v>40</v>
      </c>
      <c r="D1391">
        <v>4.8871699999999896</v>
      </c>
      <c r="E1391">
        <v>0.53117819999999905</v>
      </c>
      <c r="F1391" t="s">
        <v>41</v>
      </c>
      <c r="G1391">
        <v>-194.2448</v>
      </c>
      <c r="H1391" s="1">
        <v>-1.560785E-6</v>
      </c>
      <c r="I1391">
        <v>300.59460000000001</v>
      </c>
      <c r="J1391">
        <v>-190.94300000000001</v>
      </c>
      <c r="K1391">
        <v>1.1206</v>
      </c>
      <c r="L1391">
        <v>325.76960000000003</v>
      </c>
      <c r="M1391">
        <v>8.9877140000000008E-3</v>
      </c>
      <c r="N1391">
        <v>-1.1521989999999999E-2</v>
      </c>
      <c r="O1391">
        <v>-0.99989320000000004</v>
      </c>
      <c r="P1391">
        <v>-5.3741570000000002E-2</v>
      </c>
      <c r="Q1391">
        <v>0.18204229999999999</v>
      </c>
      <c r="R1391">
        <v>-0.98182080000000005</v>
      </c>
      <c r="S1391">
        <v>-0.3971558</v>
      </c>
      <c r="T1391">
        <v>-0.1348559</v>
      </c>
      <c r="U1391">
        <v>-3.0585629999999999</v>
      </c>
      <c r="V1391">
        <v>6.2854779999999999E-2</v>
      </c>
      <c r="W1391">
        <v>0.193243</v>
      </c>
      <c r="X1391">
        <v>0.97913550000000005</v>
      </c>
      <c r="Y1391">
        <v>0.13756750000000001</v>
      </c>
      <c r="Z1391">
        <v>3.213303E-2</v>
      </c>
      <c r="AA1391">
        <v>0.98997100000000005</v>
      </c>
      <c r="AB1391">
        <v>27</v>
      </c>
      <c r="AC1391">
        <v>-3.3018000000000098</v>
      </c>
      <c r="AD1391">
        <v>-1.120601560785</v>
      </c>
      <c r="AE1391">
        <v>-25.175000000000001</v>
      </c>
      <c r="AF1391">
        <v>3.5210887787602099</v>
      </c>
      <c r="AG1391">
        <v>-1.120601560785</v>
      </c>
      <c r="AH1391">
        <v>25.095423195625099</v>
      </c>
      <c r="AI1391">
        <v>92.531997023707504</v>
      </c>
      <c r="AJ1391">
        <v>82.013082156456505</v>
      </c>
      <c r="AK1391">
        <v>25.366002432655101</v>
      </c>
      <c r="AL1391">
        <v>78.857896691811604</v>
      </c>
      <c r="AM1391">
        <v>86.326985448736096</v>
      </c>
      <c r="AN1391">
        <v>0.99999995388904805</v>
      </c>
    </row>
    <row r="1392" spans="1:40" x14ac:dyDescent="0.25">
      <c r="A1392" t="str">
        <f>"20190303162806548"</f>
        <v>20190303162806548</v>
      </c>
      <c r="B1392" t="str">
        <f>"1551601686542528"</f>
        <v>1551601686542528</v>
      </c>
      <c r="C1392" t="s">
        <v>40</v>
      </c>
      <c r="D1392">
        <v>4.8685780000000003</v>
      </c>
      <c r="E1392">
        <v>0.53087530000000005</v>
      </c>
      <c r="F1392" t="s">
        <v>41</v>
      </c>
      <c r="G1392">
        <v>-194.1506</v>
      </c>
      <c r="H1392" s="1">
        <v>-1.7267520000000001E-6</v>
      </c>
      <c r="I1392">
        <v>301.03989999999999</v>
      </c>
      <c r="J1392">
        <v>-190.94149999999999</v>
      </c>
      <c r="K1392">
        <v>1.120576</v>
      </c>
      <c r="L1392">
        <v>325.5061</v>
      </c>
      <c r="M1392">
        <v>8.1783180000000004E-3</v>
      </c>
      <c r="N1392">
        <v>-1.131004E-2</v>
      </c>
      <c r="O1392">
        <v>-0.99990270000000003</v>
      </c>
      <c r="P1392">
        <v>-5.4588949999999997E-2</v>
      </c>
      <c r="Q1392">
        <v>0.1821566</v>
      </c>
      <c r="R1392">
        <v>-0.98175330000000005</v>
      </c>
      <c r="S1392">
        <v>-0.3968353</v>
      </c>
      <c r="T1392">
        <v>-0.13863989999999901</v>
      </c>
      <c r="U1392">
        <v>-3.0595400000000001</v>
      </c>
      <c r="V1392">
        <v>6.290424E-2</v>
      </c>
      <c r="W1392">
        <v>0.19314990000000001</v>
      </c>
      <c r="X1392">
        <v>0.97915070000000004</v>
      </c>
      <c r="Y1392">
        <v>0.13661760000000001</v>
      </c>
      <c r="Z1392">
        <v>3.3558150000000002E-2</v>
      </c>
      <c r="AA1392">
        <v>0.99005529999999997</v>
      </c>
      <c r="AB1392">
        <v>27</v>
      </c>
      <c r="AC1392">
        <v>-3.2090999999999998</v>
      </c>
      <c r="AD1392">
        <v>-1.1205777267520001</v>
      </c>
      <c r="AE1392">
        <v>-24.466200000000001</v>
      </c>
      <c r="AF1392">
        <v>3.40208183856558</v>
      </c>
      <c r="AG1392">
        <v>-1.1205777267520001</v>
      </c>
      <c r="AH1392">
        <v>24.388838900572502</v>
      </c>
      <c r="AI1392">
        <v>92.6054889249681</v>
      </c>
      <c r="AJ1392">
        <v>82.058860162456199</v>
      </c>
      <c r="AK1392">
        <v>24.6504628393884</v>
      </c>
      <c r="AL1392">
        <v>78.863333427623601</v>
      </c>
      <c r="AM1392">
        <v>86.324160006797797</v>
      </c>
      <c r="AN1392">
        <v>0.99999996029523797</v>
      </c>
    </row>
    <row r="1393" spans="1:40" x14ac:dyDescent="0.25">
      <c r="A1393" t="str">
        <f>"20190303162806571"</f>
        <v>20190303162806571</v>
      </c>
      <c r="B1393" t="str">
        <f>"1551601686563024"</f>
        <v>1551601686563024</v>
      </c>
      <c r="C1393" t="s">
        <v>40</v>
      </c>
      <c r="D1393">
        <v>4.9218590000000004</v>
      </c>
      <c r="E1393">
        <v>0.53065010000000001</v>
      </c>
      <c r="F1393" t="s">
        <v>41</v>
      </c>
      <c r="G1393">
        <v>-194.06120000000001</v>
      </c>
      <c r="H1393" s="1">
        <v>-1.8730399999999999E-6</v>
      </c>
      <c r="I1393">
        <v>301.43639999999999</v>
      </c>
      <c r="J1393">
        <v>-190.9402</v>
      </c>
      <c r="K1393">
        <v>1.1205560000000001</v>
      </c>
      <c r="L1393">
        <v>325.2269</v>
      </c>
      <c r="M1393">
        <v>7.3285709999999999E-3</v>
      </c>
      <c r="N1393">
        <v>-1.110556E-2</v>
      </c>
      <c r="O1393">
        <v>-0.99991169999999996</v>
      </c>
      <c r="P1393">
        <v>-5.6083139999999997E-2</v>
      </c>
      <c r="Q1393">
        <v>0.1825832</v>
      </c>
      <c r="R1393">
        <v>-0.98158990000000002</v>
      </c>
      <c r="S1393">
        <v>-0.39662170000000002</v>
      </c>
      <c r="T1393">
        <v>-0.1424685</v>
      </c>
      <c r="U1393">
        <v>-3.060181</v>
      </c>
      <c r="V1393">
        <v>6.3562090000000002E-2</v>
      </c>
      <c r="W1393">
        <v>0.1933745</v>
      </c>
      <c r="X1393">
        <v>0.97906389999999999</v>
      </c>
      <c r="Y1393">
        <v>0.1356753</v>
      </c>
      <c r="Z1393">
        <v>3.4994249999999998E-2</v>
      </c>
      <c r="AA1393">
        <v>0.99013510000000005</v>
      </c>
      <c r="AB1393">
        <v>27</v>
      </c>
      <c r="AC1393">
        <v>-3.121</v>
      </c>
      <c r="AD1393">
        <v>-1.1205578730400001</v>
      </c>
      <c r="AE1393">
        <v>-23.790500000000002</v>
      </c>
      <c r="AF1393">
        <v>3.2881059798332402</v>
      </c>
      <c r="AG1393">
        <v>-1.1205578730400001</v>
      </c>
      <c r="AH1393">
        <v>23.715264751253301</v>
      </c>
      <c r="AI1393">
        <v>92.679645819683003</v>
      </c>
      <c r="AJ1393">
        <v>82.106302714791994</v>
      </c>
      <c r="AK1393">
        <v>23.9683348003879</v>
      </c>
      <c r="AL1393">
        <v>78.850217727299395</v>
      </c>
      <c r="AM1393">
        <v>86.285496907428296</v>
      </c>
      <c r="AN1393">
        <v>0.99999997840931298</v>
      </c>
    </row>
    <row r="1394" spans="1:40" x14ac:dyDescent="0.25">
      <c r="A1394" t="str">
        <f>"20190303162806594"</f>
        <v>20190303162806594</v>
      </c>
      <c r="B1394" t="str">
        <f>"1551601686582544"</f>
        <v>1551601686582544</v>
      </c>
      <c r="C1394" t="s">
        <v>40</v>
      </c>
      <c r="D1394">
        <v>4.9203140000000003</v>
      </c>
      <c r="E1394">
        <v>0.53038019999999997</v>
      </c>
      <c r="F1394" t="s">
        <v>41</v>
      </c>
      <c r="G1394">
        <v>-194.0735</v>
      </c>
      <c r="H1394" s="1">
        <v>-1.7735489999999999E-6</v>
      </c>
      <c r="I1394">
        <v>301.1968</v>
      </c>
      <c r="J1394">
        <v>-190.9391</v>
      </c>
      <c r="K1394">
        <v>1.1205259999999999</v>
      </c>
      <c r="L1394">
        <v>324.95909999999998</v>
      </c>
      <c r="M1394">
        <v>6.5167519999999998E-3</v>
      </c>
      <c r="N1394">
        <v>-1.092745E-2</v>
      </c>
      <c r="O1394">
        <v>-0.99991909999999895</v>
      </c>
      <c r="P1394">
        <v>-5.7693899999999999E-2</v>
      </c>
      <c r="Q1394">
        <v>0.1813485</v>
      </c>
      <c r="R1394">
        <v>-0.98172519999999996</v>
      </c>
      <c r="S1394">
        <v>-0.39900210000000003</v>
      </c>
      <c r="T1394">
        <v>-0.1426935</v>
      </c>
      <c r="U1394">
        <v>-3.060028</v>
      </c>
      <c r="V1394">
        <v>6.4374760000000003E-2</v>
      </c>
      <c r="W1394">
        <v>0.1919661</v>
      </c>
      <c r="X1394">
        <v>0.97928800000000005</v>
      </c>
      <c r="Y1394">
        <v>0.13563420000000001</v>
      </c>
      <c r="Z1394">
        <v>3.5246090000000001E-2</v>
      </c>
      <c r="AA1394">
        <v>0.99013189999999995</v>
      </c>
      <c r="AB1394">
        <v>27</v>
      </c>
      <c r="AC1394">
        <v>-3.1343999999999901</v>
      </c>
      <c r="AD1394">
        <v>-1.120527773549</v>
      </c>
      <c r="AE1394">
        <v>-23.7622999999999</v>
      </c>
      <c r="AF1394">
        <v>3.28202240094623</v>
      </c>
      <c r="AG1394">
        <v>-1.120527773549</v>
      </c>
      <c r="AH1394">
        <v>23.689591330822399</v>
      </c>
      <c r="AI1394">
        <v>92.682512483186002</v>
      </c>
      <c r="AJ1394">
        <v>82.112292166554198</v>
      </c>
      <c r="AK1394">
        <v>23.942096628177399</v>
      </c>
      <c r="AL1394">
        <v>78.932454618596793</v>
      </c>
      <c r="AM1394">
        <v>86.238999211842895</v>
      </c>
      <c r="AN1394">
        <v>1.00000004010913</v>
      </c>
    </row>
    <row r="1395" spans="1:40" x14ac:dyDescent="0.25">
      <c r="A1395" t="str">
        <f>"20190303162806615"</f>
        <v>20190303162806615</v>
      </c>
      <c r="B1395" t="str">
        <f>"1551601686603040"</f>
        <v>1551601686603040</v>
      </c>
      <c r="C1395" t="s">
        <v>40</v>
      </c>
      <c r="D1395">
        <v>4.9131879999999999</v>
      </c>
      <c r="E1395">
        <v>0.53019530000000004</v>
      </c>
      <c r="F1395" t="s">
        <v>41</v>
      </c>
      <c r="G1395">
        <v>-193.9846</v>
      </c>
      <c r="H1395" s="1">
        <v>-1.9894949999999998E-6</v>
      </c>
      <c r="I1395">
        <v>301.75529999999998</v>
      </c>
      <c r="J1395">
        <v>-190.9383</v>
      </c>
      <c r="K1395">
        <v>1.120506</v>
      </c>
      <c r="L1395">
        <v>324.69319999999999</v>
      </c>
      <c r="M1395">
        <v>5.7119780000000004E-3</v>
      </c>
      <c r="N1395">
        <v>-1.0768740000000001E-2</v>
      </c>
      <c r="O1395">
        <v>-0.99992579999999998</v>
      </c>
      <c r="P1395">
        <v>-6.0120510000000002E-2</v>
      </c>
      <c r="Q1395">
        <v>0.1806693</v>
      </c>
      <c r="R1395">
        <v>-0.98170500000000005</v>
      </c>
      <c r="S1395">
        <v>-0.40156560000000002</v>
      </c>
      <c r="T1395">
        <v>-0.1477475</v>
      </c>
      <c r="U1395">
        <v>-3.0595400000000001</v>
      </c>
      <c r="V1395">
        <v>6.6010620000000006E-2</v>
      </c>
      <c r="W1395">
        <v>0.19112879999999999</v>
      </c>
      <c r="X1395">
        <v>0.97934279999999996</v>
      </c>
      <c r="Y1395">
        <v>0.1356638</v>
      </c>
      <c r="Z1395">
        <v>3.7042819999999997E-2</v>
      </c>
      <c r="AA1395">
        <v>0.9900622</v>
      </c>
      <c r="AB1395">
        <v>27</v>
      </c>
      <c r="AC1395">
        <v>-3.0463</v>
      </c>
      <c r="AD1395">
        <v>-1.1205079894949901</v>
      </c>
      <c r="AE1395">
        <v>-22.937899999999999</v>
      </c>
      <c r="AF1395">
        <v>3.1698456040671901</v>
      </c>
      <c r="AG1395">
        <v>-1.1205079894949901</v>
      </c>
      <c r="AH1395">
        <v>22.866504051602899</v>
      </c>
      <c r="AI1395">
        <v>92.778842054232996</v>
      </c>
      <c r="AJ1395">
        <v>82.107729230432</v>
      </c>
      <c r="AK1395">
        <v>23.112344468922199</v>
      </c>
      <c r="AL1395">
        <v>78.981332664477506</v>
      </c>
      <c r="AM1395">
        <v>86.143926434464106</v>
      </c>
      <c r="AN1395">
        <v>0.999999970027031</v>
      </c>
    </row>
    <row r="1396" spans="1:40" x14ac:dyDescent="0.25">
      <c r="A1396" t="str">
        <f>"20190303162806638"</f>
        <v>20190303162806638</v>
      </c>
      <c r="B1396" t="str">
        <f>"1551601686632321"</f>
        <v>1551601686632321</v>
      </c>
      <c r="C1396" t="s">
        <v>40</v>
      </c>
      <c r="D1396">
        <v>4.9220050000000004</v>
      </c>
      <c r="E1396">
        <v>0.52986359999999999</v>
      </c>
      <c r="F1396" t="s">
        <v>41</v>
      </c>
      <c r="G1396">
        <v>-193.93369999999999</v>
      </c>
      <c r="H1396" s="1">
        <v>-2.1531269999999999E-6</v>
      </c>
      <c r="I1396">
        <v>302.16829999999999</v>
      </c>
      <c r="J1396">
        <v>-190.9376</v>
      </c>
      <c r="K1396">
        <v>1.1204970000000001</v>
      </c>
      <c r="L1396">
        <v>324.42419999999998</v>
      </c>
      <c r="M1396">
        <v>4.8965509999999999E-3</v>
      </c>
      <c r="N1396">
        <v>-1.062631E-2</v>
      </c>
      <c r="O1396">
        <v>-0.99993180000000004</v>
      </c>
      <c r="P1396">
        <v>-6.279767E-2</v>
      </c>
      <c r="Q1396">
        <v>0.1807242</v>
      </c>
      <c r="R1396">
        <v>-0.98152720000000004</v>
      </c>
      <c r="S1396">
        <v>-0.40679929999999997</v>
      </c>
      <c r="T1396">
        <v>-0.15217169999999999</v>
      </c>
      <c r="U1396">
        <v>-3.059021</v>
      </c>
      <c r="V1396">
        <v>6.7887249999999996E-2</v>
      </c>
      <c r="W1396">
        <v>0.19103990000000001</v>
      </c>
      <c r="X1396">
        <v>0.97923190000000004</v>
      </c>
      <c r="Y1396">
        <v>0.13653379999999901</v>
      </c>
      <c r="Z1396">
        <v>3.8614599999999999E-2</v>
      </c>
      <c r="AA1396">
        <v>0.9898825</v>
      </c>
      <c r="AB1396">
        <v>27</v>
      </c>
      <c r="AC1396">
        <v>-2.9960999999999798</v>
      </c>
      <c r="AD1396">
        <v>-1.1204991531270001</v>
      </c>
      <c r="AE1396">
        <v>-22.2559</v>
      </c>
      <c r="AF1396">
        <v>3.0973361712340002</v>
      </c>
      <c r="AG1396">
        <v>-1.1204991531270001</v>
      </c>
      <c r="AH1396">
        <v>22.185727804341401</v>
      </c>
      <c r="AI1396">
        <v>92.863564822432394</v>
      </c>
      <c r="AJ1396">
        <v>82.052340242191207</v>
      </c>
      <c r="AK1396">
        <v>22.428899391591202</v>
      </c>
      <c r="AL1396">
        <v>78.986522413267394</v>
      </c>
      <c r="AM1396">
        <v>86.034198555918906</v>
      </c>
      <c r="AN1396">
        <v>1.00000001804109</v>
      </c>
    </row>
    <row r="1397" spans="1:40" x14ac:dyDescent="0.25">
      <c r="A1397" t="str">
        <f>"20190303162806660"</f>
        <v>20190303162806660</v>
      </c>
      <c r="B1397" t="str">
        <f>"1551601686652816"</f>
        <v>1551601686652816</v>
      </c>
      <c r="C1397" t="s">
        <v>40</v>
      </c>
      <c r="D1397">
        <v>4.8988360000000002</v>
      </c>
      <c r="E1397">
        <v>0.5296419</v>
      </c>
      <c r="F1397" t="s">
        <v>41</v>
      </c>
      <c r="G1397">
        <v>-193.9522</v>
      </c>
      <c r="H1397" s="1">
        <v>-2.1102569999999998E-6</v>
      </c>
      <c r="I1397">
        <v>302.05689999999998</v>
      </c>
      <c r="J1397">
        <v>-190.93719999999999</v>
      </c>
      <c r="K1397">
        <v>1.1204959999999999</v>
      </c>
      <c r="L1397">
        <v>324.14819999999997</v>
      </c>
      <c r="M1397">
        <v>4.0581819999999996E-3</v>
      </c>
      <c r="N1397">
        <v>-1.04978E-2</v>
      </c>
      <c r="O1397">
        <v>-0.99993679999999996</v>
      </c>
      <c r="P1397">
        <v>-6.5527520000000006E-2</v>
      </c>
      <c r="Q1397">
        <v>0.18069740000000001</v>
      </c>
      <c r="R1397">
        <v>-0.98135329999999998</v>
      </c>
      <c r="S1397">
        <v>-0.41218569999999999</v>
      </c>
      <c r="T1397">
        <v>-0.15320629999999999</v>
      </c>
      <c r="U1397">
        <v>-3.0582889999999998</v>
      </c>
      <c r="V1397">
        <v>6.9794510000000004E-2</v>
      </c>
      <c r="W1397">
        <v>0.19088269999999999</v>
      </c>
      <c r="X1397">
        <v>0.97912849999999996</v>
      </c>
      <c r="Y1397">
        <v>0.1374446</v>
      </c>
      <c r="Z1397">
        <v>3.9080810000000001E-2</v>
      </c>
      <c r="AA1397">
        <v>0.98973820000000001</v>
      </c>
      <c r="AB1397">
        <v>27</v>
      </c>
      <c r="AC1397">
        <v>-3.0150000000000099</v>
      </c>
      <c r="AD1397">
        <v>-1.120498110257</v>
      </c>
      <c r="AE1397">
        <v>-22.091299999999901</v>
      </c>
      <c r="AF1397">
        <v>3.0968093099309302</v>
      </c>
      <c r="AG1397">
        <v>-1.120498110257</v>
      </c>
      <c r="AH1397">
        <v>22.023260013487601</v>
      </c>
      <c r="AI1397">
        <v>92.884253329688093</v>
      </c>
      <c r="AJ1397">
        <v>81.995811042561002</v>
      </c>
      <c r="AK1397">
        <v>22.2681325112558</v>
      </c>
      <c r="AL1397">
        <v>78.995698512419395</v>
      </c>
      <c r="AM1397">
        <v>85.922722750692003</v>
      </c>
      <c r="AN1397">
        <v>1.0000000491488299</v>
      </c>
    </row>
    <row r="1398" spans="1:40" x14ac:dyDescent="0.25">
      <c r="A1398" t="str">
        <f>"20190303162806686"</f>
        <v>20190303162806686</v>
      </c>
      <c r="B1398" t="str">
        <f>"1551601686672337"</f>
        <v>1551601686672337</v>
      </c>
      <c r="C1398" t="s">
        <v>40</v>
      </c>
      <c r="D1398">
        <v>5.0458360000000004</v>
      </c>
      <c r="E1398">
        <v>0.52981160000000005</v>
      </c>
      <c r="F1398" t="s">
        <v>41</v>
      </c>
      <c r="G1398">
        <v>-193.99379999999999</v>
      </c>
      <c r="H1398" s="1">
        <v>-2.0194589999999998E-6</v>
      </c>
      <c r="I1398">
        <v>301.81950000000001</v>
      </c>
      <c r="J1398">
        <v>-190.93700000000001</v>
      </c>
      <c r="K1398">
        <v>1.1204829999999999</v>
      </c>
      <c r="L1398">
        <v>323.8535</v>
      </c>
      <c r="M1398">
        <v>3.1604440000000001E-3</v>
      </c>
      <c r="N1398">
        <v>-1.0379309999999999E-2</v>
      </c>
      <c r="O1398">
        <v>-0.99994110000000003</v>
      </c>
      <c r="P1398">
        <v>-6.7700010000000005E-2</v>
      </c>
      <c r="Q1398">
        <v>0.18070249999999999</v>
      </c>
      <c r="R1398">
        <v>-0.98120490000000005</v>
      </c>
      <c r="S1398">
        <v>-0.4185181</v>
      </c>
      <c r="T1398">
        <v>-0.1534199</v>
      </c>
      <c r="U1398">
        <v>-3.0572810000000001</v>
      </c>
      <c r="V1398">
        <v>7.1086590000000005E-2</v>
      </c>
      <c r="W1398">
        <v>0.19076889999999999</v>
      </c>
      <c r="X1398">
        <v>0.97905770000000003</v>
      </c>
      <c r="Y1398">
        <v>0.13861039999999999</v>
      </c>
      <c r="Z1398">
        <v>3.9274280000000002E-2</v>
      </c>
      <c r="AA1398">
        <v>0.98956789999999994</v>
      </c>
      <c r="AB1398">
        <v>27</v>
      </c>
      <c r="AC1398">
        <v>-3.05679999999998</v>
      </c>
      <c r="AD1398">
        <v>-1.1204850194589999</v>
      </c>
      <c r="AE1398">
        <v>-22.033999999999899</v>
      </c>
      <c r="AF1398">
        <v>3.1185135701074098</v>
      </c>
      <c r="AG1398">
        <v>-1.1204850194589999</v>
      </c>
      <c r="AH1398">
        <v>21.968491205532999</v>
      </c>
      <c r="AI1398">
        <v>92.890862896850507</v>
      </c>
      <c r="AJ1398">
        <v>81.920619562328497</v>
      </c>
      <c r="AK1398">
        <v>22.217002934989999</v>
      </c>
      <c r="AL1398">
        <v>79.002340598429399</v>
      </c>
      <c r="AM1398">
        <v>85.8472040373764</v>
      </c>
      <c r="AN1398">
        <v>1.0000000282071599</v>
      </c>
    </row>
    <row r="1399" spans="1:40" x14ac:dyDescent="0.25">
      <c r="A1399" t="str">
        <f>"20190303162806708"</f>
        <v>20190303162806708</v>
      </c>
      <c r="B1399" t="str">
        <f>"1551601686702592"</f>
        <v>1551601686702592</v>
      </c>
      <c r="C1399" t="s">
        <v>40</v>
      </c>
      <c r="D1399">
        <v>4.955355</v>
      </c>
      <c r="E1399">
        <v>0.5668647</v>
      </c>
      <c r="F1399" t="s">
        <v>41</v>
      </c>
      <c r="G1399">
        <v>-194.03129999999999</v>
      </c>
      <c r="H1399" s="1">
        <v>-1.9798079999999999E-6</v>
      </c>
      <c r="I1399">
        <v>301.7038</v>
      </c>
      <c r="J1399">
        <v>-190.93700000000001</v>
      </c>
      <c r="K1399">
        <v>1.120474</v>
      </c>
      <c r="L1399">
        <v>323.57580000000002</v>
      </c>
      <c r="M1399">
        <v>2.3135740000000001E-3</v>
      </c>
      <c r="N1399">
        <v>-1.028368E-2</v>
      </c>
      <c r="O1399">
        <v>-0.99994459999999996</v>
      </c>
      <c r="P1399">
        <v>-7.0199209999999998E-2</v>
      </c>
      <c r="Q1399">
        <v>0.1800002</v>
      </c>
      <c r="R1399">
        <v>-0.98115859999999999</v>
      </c>
      <c r="S1399">
        <v>-0.4269867</v>
      </c>
      <c r="T1399">
        <v>-0.15461710000000001</v>
      </c>
      <c r="U1399">
        <v>-3.0564580000000001</v>
      </c>
      <c r="V1399">
        <v>7.2754689999999997E-2</v>
      </c>
      <c r="W1399">
        <v>0.18996979999999999</v>
      </c>
      <c r="X1399">
        <v>0.97909049999999997</v>
      </c>
      <c r="Y1399">
        <v>0.1404946</v>
      </c>
      <c r="Z1399">
        <v>3.9754440000000002E-2</v>
      </c>
      <c r="AA1399">
        <v>0.98928300000000002</v>
      </c>
      <c r="AB1399">
        <v>27</v>
      </c>
      <c r="AC1399">
        <v>-3.0942999999999699</v>
      </c>
      <c r="AD1399">
        <v>-1.120475979808</v>
      </c>
      <c r="AE1399">
        <v>-21.872</v>
      </c>
      <c r="AF1399">
        <v>3.13682615880293</v>
      </c>
      <c r="AG1399">
        <v>-1.120475979808</v>
      </c>
      <c r="AH1399">
        <v>21.8086708146439</v>
      </c>
      <c r="AI1399">
        <v>92.911223018193098</v>
      </c>
      <c r="AJ1399">
        <v>81.815060427770703</v>
      </c>
      <c r="AK1399">
        <v>22.061578988671201</v>
      </c>
      <c r="AL1399">
        <v>79.048978105410498</v>
      </c>
      <c r="AM1399">
        <v>85.750250395882105</v>
      </c>
      <c r="AN1399">
        <v>0.999999988509642</v>
      </c>
    </row>
    <row r="1400" spans="1:40" x14ac:dyDescent="0.25">
      <c r="A1400" t="str">
        <f>"20190303162806731"</f>
        <v>20190303162806731</v>
      </c>
      <c r="B1400" t="str">
        <f>"1551601686723088"</f>
        <v>1551601686723088</v>
      </c>
      <c r="C1400" t="s">
        <v>40</v>
      </c>
      <c r="D1400">
        <v>4.9313750000000001</v>
      </c>
      <c r="E1400">
        <v>0.56649229999999995</v>
      </c>
      <c r="F1400" t="s">
        <v>41</v>
      </c>
      <c r="G1400">
        <v>-194.84100000000001</v>
      </c>
      <c r="H1400" s="1">
        <v>-4.3619550000000002E-6</v>
      </c>
      <c r="I1400">
        <v>307.28129999999999</v>
      </c>
      <c r="J1400">
        <v>-190.93729999999999</v>
      </c>
      <c r="K1400">
        <v>1.1204590000000001</v>
      </c>
      <c r="L1400">
        <v>323.29660000000001</v>
      </c>
      <c r="M1400">
        <v>1.461773E-3</v>
      </c>
      <c r="N1400">
        <v>-1.020043E-2</v>
      </c>
      <c r="O1400">
        <v>-0.99994700000000003</v>
      </c>
      <c r="P1400">
        <v>-7.251117E-2</v>
      </c>
      <c r="Q1400">
        <v>0.179417299999999</v>
      </c>
      <c r="R1400">
        <v>-0.98109729999999995</v>
      </c>
      <c r="S1400">
        <v>-0.72926329999999995</v>
      </c>
      <c r="T1400">
        <v>-0.2093053</v>
      </c>
      <c r="U1400">
        <v>-3.0438230000000002</v>
      </c>
      <c r="V1400">
        <v>7.4230889999999994E-2</v>
      </c>
      <c r="W1400">
        <v>0.1893032</v>
      </c>
      <c r="X1400">
        <v>0.9791088</v>
      </c>
      <c r="Y1400">
        <v>0.2339521</v>
      </c>
      <c r="Z1400">
        <v>5.6528259999999997E-2</v>
      </c>
      <c r="AA1400">
        <v>0.97060340000000001</v>
      </c>
      <c r="AB1400">
        <v>27</v>
      </c>
      <c r="AC1400">
        <v>-3.9036999999999802</v>
      </c>
      <c r="AD1400">
        <v>-1.120463361955</v>
      </c>
      <c r="AE1400">
        <v>-16.0153</v>
      </c>
      <c r="AF1400">
        <v>3.9090472384992201</v>
      </c>
      <c r="AG1400">
        <v>-1.120463361955</v>
      </c>
      <c r="AH1400">
        <v>15.935949161675801</v>
      </c>
      <c r="AI1400">
        <v>93.906436391823107</v>
      </c>
      <c r="AJ1400">
        <v>76.217624387212595</v>
      </c>
      <c r="AK1400">
        <v>16.446597342362899</v>
      </c>
      <c r="AL1400">
        <v>79.087877278849604</v>
      </c>
      <c r="AM1400">
        <v>85.664428817214699</v>
      </c>
      <c r="AN1400">
        <v>0.999999984398935</v>
      </c>
    </row>
    <row r="1401" spans="1:40" x14ac:dyDescent="0.25">
      <c r="A1401" t="str">
        <f>"20190303162806752"</f>
        <v>20190303162806752</v>
      </c>
      <c r="B1401" t="str">
        <f>"1551601686742608"</f>
        <v>1551601686742608</v>
      </c>
      <c r="C1401" t="s">
        <v>40</v>
      </c>
      <c r="D1401">
        <v>4.9593049999999996</v>
      </c>
      <c r="E1401">
        <v>0.56596880000000005</v>
      </c>
      <c r="F1401" t="s">
        <v>41</v>
      </c>
      <c r="G1401">
        <v>-194.92230000000001</v>
      </c>
      <c r="H1401" s="1">
        <v>-4.2106019999999996E-6</v>
      </c>
      <c r="I1401">
        <v>306.79410000000001</v>
      </c>
      <c r="J1401">
        <v>-190.93780000000001</v>
      </c>
      <c r="K1401">
        <v>1.1204590000000001</v>
      </c>
      <c r="L1401">
        <v>323.0412</v>
      </c>
      <c r="M1401">
        <v>6.8349589999999998E-4</v>
      </c>
      <c r="N1401">
        <v>-1.0136340000000001E-2</v>
      </c>
      <c r="O1401">
        <v>-0.99994839999999996</v>
      </c>
      <c r="P1401">
        <v>-7.4107619999999999E-2</v>
      </c>
      <c r="Q1401">
        <v>0.17854690000000001</v>
      </c>
      <c r="R1401">
        <v>-0.98113669999999997</v>
      </c>
      <c r="S1401">
        <v>-0.73440550000000004</v>
      </c>
      <c r="T1401">
        <v>-0.20649519999999999</v>
      </c>
      <c r="U1401">
        <v>-3.0413209999999999</v>
      </c>
      <c r="V1401">
        <v>7.5063179999999993E-2</v>
      </c>
      <c r="W1401">
        <v>0.18836900000000001</v>
      </c>
      <c r="X1401">
        <v>0.97922549999999997</v>
      </c>
      <c r="Y1401">
        <v>0.23493929999999999</v>
      </c>
      <c r="Z1401">
        <v>5.5732780000000003E-2</v>
      </c>
      <c r="AA1401">
        <v>0.97041089999999997</v>
      </c>
      <c r="AB1401">
        <v>27</v>
      </c>
      <c r="AC1401">
        <v>-3.9844999999999899</v>
      </c>
      <c r="AD1401">
        <v>-1.120463210602</v>
      </c>
      <c r="AE1401">
        <v>-16.2470999999999</v>
      </c>
      <c r="AF1401">
        <v>3.9777594497244002</v>
      </c>
      <c r="AG1401">
        <v>-1.120463210602</v>
      </c>
      <c r="AH1401">
        <v>16.1718226780722</v>
      </c>
      <c r="AI1401">
        <v>93.849034631848795</v>
      </c>
      <c r="AJ1401">
        <v>76.181360699857805</v>
      </c>
      <c r="AK1401">
        <v>16.6914905498938</v>
      </c>
      <c r="AL1401">
        <v>79.1423834912476</v>
      </c>
      <c r="AM1401">
        <v>85.616526513589093</v>
      </c>
      <c r="AN1401">
        <v>0.99999997050148004</v>
      </c>
    </row>
    <row r="1402" spans="1:40" x14ac:dyDescent="0.25">
      <c r="A1402" t="str">
        <f>"20190303162806771"</f>
        <v>20190303162806771</v>
      </c>
      <c r="B1402" t="str">
        <f>"1551601686763105"</f>
        <v>1551601686763105</v>
      </c>
      <c r="C1402" t="s">
        <v>40</v>
      </c>
      <c r="D1402">
        <v>4.9682360000000001</v>
      </c>
      <c r="E1402">
        <v>0.56531330000000002</v>
      </c>
      <c r="F1402" t="s">
        <v>41</v>
      </c>
      <c r="G1402">
        <v>-194.876</v>
      </c>
      <c r="H1402" s="1">
        <v>-4.1958910000000003E-6</v>
      </c>
      <c r="I1402">
        <v>306.77499999999998</v>
      </c>
      <c r="J1402">
        <v>-190.9384</v>
      </c>
      <c r="K1402">
        <v>1.120457</v>
      </c>
      <c r="L1402">
        <v>322.79349999999999</v>
      </c>
      <c r="M1402" s="1">
        <v>-7.0092369999999896E-5</v>
      </c>
      <c r="N1402">
        <v>-1.00868E-2</v>
      </c>
      <c r="O1402">
        <v>-0.99994919999999998</v>
      </c>
      <c r="P1402">
        <v>-7.5374830000000004E-2</v>
      </c>
      <c r="Q1402">
        <v>0.17785960000000001</v>
      </c>
      <c r="R1402">
        <v>-0.98116510000000001</v>
      </c>
      <c r="S1402">
        <v>-0.73605350000000003</v>
      </c>
      <c r="T1402">
        <v>-0.20941580000000001</v>
      </c>
      <c r="U1402">
        <v>-3.0401609999999999</v>
      </c>
      <c r="V1402">
        <v>7.5590409999999997E-2</v>
      </c>
      <c r="W1402">
        <v>0.1876332</v>
      </c>
      <c r="X1402">
        <v>0.97932620000000004</v>
      </c>
      <c r="Y1402">
        <v>0.2347745</v>
      </c>
      <c r="Z1402">
        <v>5.673276E-2</v>
      </c>
      <c r="AA1402">
        <v>0.9703929</v>
      </c>
      <c r="AB1402">
        <v>27</v>
      </c>
      <c r="AC1402">
        <v>-3.93759999999997</v>
      </c>
      <c r="AD1402">
        <v>-1.120461195891</v>
      </c>
      <c r="AE1402">
        <v>-16.0185</v>
      </c>
      <c r="AF1402">
        <v>3.9183979933658102</v>
      </c>
      <c r="AG1402">
        <v>-1.120461195891</v>
      </c>
      <c r="AH1402">
        <v>15.9452061039997</v>
      </c>
      <c r="AI1402">
        <v>93.903767853898799</v>
      </c>
      <c r="AJ1402">
        <v>76.193630070969903</v>
      </c>
      <c r="AK1402">
        <v>16.4577906726553</v>
      </c>
      <c r="AL1402">
        <v>79.185307067776407</v>
      </c>
      <c r="AM1402">
        <v>85.586311156152505</v>
      </c>
      <c r="AN1402">
        <v>0.99999996691632298</v>
      </c>
    </row>
    <row r="1403" spans="1:40" x14ac:dyDescent="0.25">
      <c r="A1403" t="str">
        <f>"20190303162806795"</f>
        <v>20190303162806795</v>
      </c>
      <c r="B1403" t="str">
        <f>"1551601686782624"</f>
        <v>1551601686782624</v>
      </c>
      <c r="C1403" t="s">
        <v>40</v>
      </c>
      <c r="D1403">
        <v>4.9805400000000004</v>
      </c>
      <c r="E1403">
        <v>0.56528400000000001</v>
      </c>
      <c r="F1403" t="s">
        <v>41</v>
      </c>
      <c r="G1403">
        <v>-194.81020000000001</v>
      </c>
      <c r="H1403" s="1">
        <v>-4.187726E-6</v>
      </c>
      <c r="I1403">
        <v>306.78530000000001</v>
      </c>
      <c r="J1403">
        <v>-190.9393</v>
      </c>
      <c r="K1403">
        <v>1.1204510000000001</v>
      </c>
      <c r="L1403">
        <v>322.517</v>
      </c>
      <c r="M1403">
        <v>-9.0996339999999999E-4</v>
      </c>
      <c r="N1403">
        <v>-1.004268E-2</v>
      </c>
      <c r="O1403">
        <v>-0.99994919999999998</v>
      </c>
      <c r="P1403">
        <v>-7.6515520000000004E-2</v>
      </c>
      <c r="Q1403">
        <v>0.17808979999999999</v>
      </c>
      <c r="R1403">
        <v>-0.98103510000000005</v>
      </c>
      <c r="S1403">
        <v>-0.7351685</v>
      </c>
      <c r="T1403">
        <v>-0.21275379999999999</v>
      </c>
      <c r="U1403">
        <v>-3.0396420000000002</v>
      </c>
      <c r="V1403">
        <v>7.5908000000000003E-2</v>
      </c>
      <c r="W1403">
        <v>0.18781870000000001</v>
      </c>
      <c r="X1403">
        <v>0.97926610000000003</v>
      </c>
      <c r="Y1403">
        <v>0.23371339999999999</v>
      </c>
      <c r="Z1403">
        <v>5.7860500000000002E-2</v>
      </c>
      <c r="AA1403">
        <v>0.97058239999999996</v>
      </c>
      <c r="AB1403">
        <v>27</v>
      </c>
      <c r="AC1403">
        <v>-3.8708999999999998</v>
      </c>
      <c r="AD1403">
        <v>-1.1204551877260001</v>
      </c>
      <c r="AE1403">
        <v>-15.731699999999901</v>
      </c>
      <c r="AF1403">
        <v>3.83822382020477</v>
      </c>
      <c r="AG1403">
        <v>-1.1204551877260001</v>
      </c>
      <c r="AH1403">
        <v>15.660311303418</v>
      </c>
      <c r="AI1403">
        <v>93.975134195584005</v>
      </c>
      <c r="AJ1403">
        <v>76.228703219529905</v>
      </c>
      <c r="AK1403">
        <v>16.162695692292498</v>
      </c>
      <c r="AL1403">
        <v>79.174486593220394</v>
      </c>
      <c r="AM1403">
        <v>85.567570030022097</v>
      </c>
      <c r="AN1403">
        <v>0.99999999157144903</v>
      </c>
    </row>
    <row r="1404" spans="1:40" x14ac:dyDescent="0.25">
      <c r="A1404" t="str">
        <f>"20190303162806817"</f>
        <v>20190303162806817</v>
      </c>
      <c r="B1404" t="str">
        <f>"1551601686803120"</f>
        <v>1551601686803120</v>
      </c>
      <c r="C1404" t="s">
        <v>40</v>
      </c>
      <c r="D1404">
        <v>5.0119610000000003</v>
      </c>
      <c r="E1404">
        <v>0.56500989999999995</v>
      </c>
      <c r="F1404" t="s">
        <v>41</v>
      </c>
      <c r="G1404">
        <v>-194.89609999999999</v>
      </c>
      <c r="H1404" s="1">
        <v>-4.0146480000000001E-6</v>
      </c>
      <c r="I1404">
        <v>306.2319</v>
      </c>
      <c r="J1404">
        <v>-190.94049999999999</v>
      </c>
      <c r="K1404">
        <v>1.120447</v>
      </c>
      <c r="L1404">
        <v>322.24310000000003</v>
      </c>
      <c r="M1404">
        <v>-1.740866E-3</v>
      </c>
      <c r="N1404">
        <v>-1.0006640000000001E-2</v>
      </c>
      <c r="O1404">
        <v>-0.99994870000000002</v>
      </c>
      <c r="P1404">
        <v>-7.7207750000000006E-2</v>
      </c>
      <c r="Q1404">
        <v>0.1772338</v>
      </c>
      <c r="R1404">
        <v>-0.98113600000000001</v>
      </c>
      <c r="S1404">
        <v>-0.73823549999999905</v>
      </c>
      <c r="T1404">
        <v>-0.20904890000000001</v>
      </c>
      <c r="U1404">
        <v>-3.0383909999999998</v>
      </c>
      <c r="V1404">
        <v>7.578414E-2</v>
      </c>
      <c r="W1404">
        <v>0.18692919999999999</v>
      </c>
      <c r="X1404">
        <v>0.97944589999999998</v>
      </c>
      <c r="Y1404">
        <v>0.23393910000000001</v>
      </c>
      <c r="Z1404">
        <v>5.6736920000000003E-2</v>
      </c>
      <c r="AA1404">
        <v>0.97059430000000002</v>
      </c>
      <c r="AB1404">
        <v>27</v>
      </c>
      <c r="AC1404">
        <v>-3.9556</v>
      </c>
      <c r="AD1404">
        <v>-1.120451014648</v>
      </c>
      <c r="AE1404">
        <v>-16.011199999999999</v>
      </c>
      <c r="AF1404">
        <v>3.9096745917298499</v>
      </c>
      <c r="AG1404">
        <v>-1.120451014648</v>
      </c>
      <c r="AH1404">
        <v>15.944472293058601</v>
      </c>
      <c r="AI1404">
        <v>93.904394410136206</v>
      </c>
      <c r="AJ1404">
        <v>76.222584525063894</v>
      </c>
      <c r="AK1404">
        <v>16.4550041809036</v>
      </c>
      <c r="AL1404">
        <v>79.226370388687698</v>
      </c>
      <c r="AM1404">
        <v>85.575582855463793</v>
      </c>
      <c r="AN1404">
        <v>1.00000001635749</v>
      </c>
    </row>
    <row r="1405" spans="1:40" x14ac:dyDescent="0.25">
      <c r="A1405" t="str">
        <f>"20190303162806839"</f>
        <v>20190303162806839</v>
      </c>
      <c r="B1405" t="str">
        <f>"1551601686832400"</f>
        <v>1551601686832400</v>
      </c>
      <c r="C1405" t="s">
        <v>40</v>
      </c>
      <c r="D1405">
        <v>5.0177430000000003</v>
      </c>
      <c r="E1405">
        <v>0.56483479999999997</v>
      </c>
      <c r="F1405" t="s">
        <v>41</v>
      </c>
      <c r="G1405">
        <v>-194.83080000000001</v>
      </c>
      <c r="H1405" s="1">
        <v>-4.0024279999999999E-6</v>
      </c>
      <c r="I1405">
        <v>306.23</v>
      </c>
      <c r="J1405">
        <v>-190.9418</v>
      </c>
      <c r="K1405">
        <v>1.120439</v>
      </c>
      <c r="L1405">
        <v>321.96719999999999</v>
      </c>
      <c r="M1405">
        <v>-2.5764579999999998E-3</v>
      </c>
      <c r="N1405">
        <v>-9.9798669999999999E-3</v>
      </c>
      <c r="O1405">
        <v>-0.99994700000000003</v>
      </c>
      <c r="P1405">
        <v>-7.8167890000000004E-2</v>
      </c>
      <c r="Q1405">
        <v>0.1763381</v>
      </c>
      <c r="R1405">
        <v>-0.98122100000000001</v>
      </c>
      <c r="S1405">
        <v>-0.73808289999999999</v>
      </c>
      <c r="T1405">
        <v>-0.2125717</v>
      </c>
      <c r="U1405">
        <v>-3.0379939999999999</v>
      </c>
      <c r="V1405">
        <v>7.5923450000000003E-2</v>
      </c>
      <c r="W1405">
        <v>0.18600820000000001</v>
      </c>
      <c r="X1405">
        <v>0.97961039999999999</v>
      </c>
      <c r="Y1405">
        <v>0.2330932</v>
      </c>
      <c r="Z1405">
        <v>5.7900260000000002E-2</v>
      </c>
      <c r="AA1405">
        <v>0.97072919999999996</v>
      </c>
      <c r="AB1405">
        <v>27</v>
      </c>
      <c r="AC1405">
        <v>-3.8889999999999998</v>
      </c>
      <c r="AD1405">
        <v>-1.1204430024280001</v>
      </c>
      <c r="AE1405">
        <v>-15.7371999999999</v>
      </c>
      <c r="AF1405">
        <v>3.8301411730221799</v>
      </c>
      <c r="AG1405">
        <v>-1.1204430024280001</v>
      </c>
      <c r="AH1405">
        <v>15.672297105517501</v>
      </c>
      <c r="AI1405">
        <v>93.9727037078422</v>
      </c>
      <c r="AJ1405">
        <v>76.266715012154606</v>
      </c>
      <c r="AK1405">
        <v>16.172392231534001</v>
      </c>
      <c r="AL1405">
        <v>79.280081440251706</v>
      </c>
      <c r="AM1405">
        <v>85.568223424616704</v>
      </c>
      <c r="AN1405">
        <v>0.99999997825765097</v>
      </c>
    </row>
    <row r="1406" spans="1:40" x14ac:dyDescent="0.25">
      <c r="A1406" t="str">
        <f>"20190303162806862"</f>
        <v>20190303162806862</v>
      </c>
      <c r="B1406" t="str">
        <f>"1551601686852896"</f>
        <v>1551601686852896</v>
      </c>
      <c r="C1406" t="s">
        <v>40</v>
      </c>
      <c r="D1406">
        <v>5.0412339999999896</v>
      </c>
      <c r="E1406">
        <v>0.56466899999999998</v>
      </c>
      <c r="F1406" t="s">
        <v>41</v>
      </c>
      <c r="G1406">
        <v>-194.77699999999999</v>
      </c>
      <c r="H1406" s="1">
        <v>-3.988309E-6</v>
      </c>
      <c r="I1406">
        <v>306.21660000000003</v>
      </c>
      <c r="J1406">
        <v>-190.9435</v>
      </c>
      <c r="K1406">
        <v>1.1204320000000001</v>
      </c>
      <c r="L1406">
        <v>321.69119999999998</v>
      </c>
      <c r="M1406">
        <v>-3.4118479999999999E-3</v>
      </c>
      <c r="N1406">
        <v>-9.9634449999999996E-3</v>
      </c>
      <c r="O1406">
        <v>-0.99994459999999996</v>
      </c>
      <c r="P1406">
        <v>-7.9292550000000003E-2</v>
      </c>
      <c r="Q1406">
        <v>0.175108399999999</v>
      </c>
      <c r="R1406">
        <v>-0.98135110000000003</v>
      </c>
      <c r="S1406">
        <v>-0.73956299999999997</v>
      </c>
      <c r="T1406">
        <v>-0.21606210000000001</v>
      </c>
      <c r="U1406">
        <v>-3.0372919999999999</v>
      </c>
      <c r="V1406">
        <v>7.6226619999999995E-2</v>
      </c>
      <c r="W1406">
        <v>0.1847637</v>
      </c>
      <c r="X1406">
        <v>0.97982239999999998</v>
      </c>
      <c r="Y1406">
        <v>0.2327622</v>
      </c>
      <c r="Z1406">
        <v>5.904119E-2</v>
      </c>
      <c r="AA1406">
        <v>0.97073989999999999</v>
      </c>
      <c r="AB1406">
        <v>27</v>
      </c>
      <c r="AC1406">
        <v>-3.8335000000000101</v>
      </c>
      <c r="AD1406">
        <v>-1.12043598830899</v>
      </c>
      <c r="AE1406">
        <v>-15.474599999999899</v>
      </c>
      <c r="AF1406">
        <v>3.7620958252782799</v>
      </c>
      <c r="AG1406">
        <v>-1.12043598830899</v>
      </c>
      <c r="AH1406">
        <v>15.4114674587812</v>
      </c>
      <c r="AI1406">
        <v>94.039952350527201</v>
      </c>
      <c r="AJ1406">
        <v>76.281806114525395</v>
      </c>
      <c r="AK1406">
        <v>15.9035238559115</v>
      </c>
      <c r="AL1406">
        <v>79.352644403551693</v>
      </c>
      <c r="AM1406">
        <v>85.551556647649093</v>
      </c>
      <c r="AN1406">
        <v>1.00000002898803</v>
      </c>
    </row>
    <row r="1407" spans="1:40" x14ac:dyDescent="0.25">
      <c r="A1407" t="str">
        <f>"20190303162806884"</f>
        <v>20190303162806884</v>
      </c>
      <c r="B1407" t="str">
        <f>"1551601686872416"</f>
        <v>1551601686872416</v>
      </c>
      <c r="C1407" t="s">
        <v>40</v>
      </c>
      <c r="D1407">
        <v>5.0699829999999997</v>
      </c>
      <c r="E1407">
        <v>0.56456660000000003</v>
      </c>
      <c r="F1407" t="s">
        <v>41</v>
      </c>
      <c r="G1407">
        <v>-194.709</v>
      </c>
      <c r="H1407" s="1">
        <v>-3.9914429999999997E-6</v>
      </c>
      <c r="I1407">
        <v>306.26130000000001</v>
      </c>
      <c r="J1407">
        <v>-190.9453</v>
      </c>
      <c r="K1407">
        <v>1.120425</v>
      </c>
      <c r="L1407">
        <v>321.4237</v>
      </c>
      <c r="M1407">
        <v>-4.2226130000000001E-3</v>
      </c>
      <c r="N1407">
        <v>-9.9533720000000003E-3</v>
      </c>
      <c r="O1407">
        <v>-0.99994179999999999</v>
      </c>
      <c r="P1407">
        <v>-8.0586370000000004E-2</v>
      </c>
      <c r="Q1407">
        <v>0.17450589999999999</v>
      </c>
      <c r="R1407">
        <v>-0.98135320000000004</v>
      </c>
      <c r="S1407">
        <v>-0.74099729999999997</v>
      </c>
      <c r="T1407">
        <v>-0.22048809999999999</v>
      </c>
      <c r="U1407">
        <v>-3.0364070000000001</v>
      </c>
      <c r="V1407">
        <v>7.6724639999999997E-2</v>
      </c>
      <c r="W1407">
        <v>0.1841507</v>
      </c>
      <c r="X1407">
        <v>0.97989890000000002</v>
      </c>
      <c r="Y1407">
        <v>0.23244980000000001</v>
      </c>
      <c r="Z1407">
        <v>6.0477400000000001E-2</v>
      </c>
      <c r="AA1407">
        <v>0.97072630000000004</v>
      </c>
      <c r="AB1407">
        <v>27</v>
      </c>
      <c r="AC1407">
        <v>-3.7637</v>
      </c>
      <c r="AD1407">
        <v>-1.1204289914429999</v>
      </c>
      <c r="AE1407">
        <v>-15.1623999999999</v>
      </c>
      <c r="AF1407">
        <v>3.68070634110396</v>
      </c>
      <c r="AG1407">
        <v>-1.1204289914429999</v>
      </c>
      <c r="AH1407">
        <v>15.100487713053701</v>
      </c>
      <c r="AI1407">
        <v>94.123184585345498</v>
      </c>
      <c r="AJ1407">
        <v>76.301417439052202</v>
      </c>
      <c r="AK1407">
        <v>15.582929425059801</v>
      </c>
      <c r="AL1407">
        <v>79.388379633040003</v>
      </c>
      <c r="AM1407">
        <v>85.522959050207305</v>
      </c>
      <c r="AN1407">
        <v>1.0000000024574101</v>
      </c>
    </row>
    <row r="1408" spans="1:40" x14ac:dyDescent="0.25">
      <c r="A1408" t="str">
        <f>"20190303162806907"</f>
        <v>20190303162806907</v>
      </c>
      <c r="B1408" t="str">
        <f>"1551601686902672"</f>
        <v>1551601686902672</v>
      </c>
      <c r="C1408" t="s">
        <v>40</v>
      </c>
      <c r="D1408">
        <v>5.0869390000000001</v>
      </c>
      <c r="E1408">
        <v>0.56442689999999995</v>
      </c>
      <c r="F1408" t="s">
        <v>41</v>
      </c>
      <c r="G1408">
        <v>-194.66460000000001</v>
      </c>
      <c r="H1408" s="1">
        <v>-3.9762059999999999E-6</v>
      </c>
      <c r="I1408">
        <v>306.23970000000003</v>
      </c>
      <c r="J1408">
        <v>-190.94739999999999</v>
      </c>
      <c r="K1408">
        <v>1.1204209999999999</v>
      </c>
      <c r="L1408">
        <v>321.13600000000002</v>
      </c>
      <c r="M1408">
        <v>-5.0976099999999998E-3</v>
      </c>
      <c r="N1408">
        <v>-9.945733E-3</v>
      </c>
      <c r="O1408">
        <v>-0.99993770000000004</v>
      </c>
      <c r="P1408">
        <v>-8.2010189999999997E-2</v>
      </c>
      <c r="Q1408">
        <v>0.17420620000000001</v>
      </c>
      <c r="R1408">
        <v>-0.98128850000000001</v>
      </c>
      <c r="S1408">
        <v>-0.74360660000000001</v>
      </c>
      <c r="T1408">
        <v>-0.22400829999999999</v>
      </c>
      <c r="U1408">
        <v>-3.0357669999999999</v>
      </c>
      <c r="V1408">
        <v>7.7290709999999999E-2</v>
      </c>
      <c r="W1408">
        <v>0.18384229999999999</v>
      </c>
      <c r="X1408">
        <v>0.97991229999999996</v>
      </c>
      <c r="Y1408">
        <v>0.2324156</v>
      </c>
      <c r="Z1408">
        <v>6.161233E-2</v>
      </c>
      <c r="AA1408">
        <v>0.9706631</v>
      </c>
      <c r="AB1408">
        <v>27</v>
      </c>
      <c r="AC1408">
        <v>-3.71720000000002</v>
      </c>
      <c r="AD1408">
        <v>-1.1204249762059999</v>
      </c>
      <c r="AE1408">
        <v>-14.896299999999901</v>
      </c>
      <c r="AF1408">
        <v>3.6219232667704802</v>
      </c>
      <c r="AG1408">
        <v>-1.1204249762059999</v>
      </c>
      <c r="AH1408">
        <v>14.836044365342</v>
      </c>
      <c r="AI1408">
        <v>94.196034371451205</v>
      </c>
      <c r="AJ1408">
        <v>76.280734323646001</v>
      </c>
      <c r="AK1408">
        <v>15.312801595007899</v>
      </c>
      <c r="AL1408">
        <v>79.406356337307102</v>
      </c>
      <c r="AM1408">
        <v>85.490124887885599</v>
      </c>
      <c r="AN1408">
        <v>0.999999980406441</v>
      </c>
    </row>
    <row r="1409" spans="1:40" x14ac:dyDescent="0.25">
      <c r="A1409" t="str">
        <f>"20190303162806930"</f>
        <v>20190303162806930</v>
      </c>
      <c r="B1409" t="str">
        <f>"1551601686923168"</f>
        <v>1551601686923168</v>
      </c>
      <c r="C1409" t="s">
        <v>40</v>
      </c>
      <c r="D1409">
        <v>5.0976629999999998</v>
      </c>
      <c r="E1409">
        <v>0.56442490000000001</v>
      </c>
      <c r="F1409" t="s">
        <v>41</v>
      </c>
      <c r="G1409">
        <v>-194.6591</v>
      </c>
      <c r="H1409" s="1">
        <v>-3.9105799999999998E-6</v>
      </c>
      <c r="I1409">
        <v>306.04969999999997</v>
      </c>
      <c r="J1409">
        <v>-190.94990000000001</v>
      </c>
      <c r="K1409">
        <v>1.120412</v>
      </c>
      <c r="L1409">
        <v>320.85079999999999</v>
      </c>
      <c r="M1409">
        <v>-5.9662040000000001E-3</v>
      </c>
      <c r="N1409">
        <v>-9.9405520000000001E-3</v>
      </c>
      <c r="O1409">
        <v>-0.99993270000000001</v>
      </c>
      <c r="P1409">
        <v>-8.3635139999999997E-2</v>
      </c>
      <c r="Q1409">
        <v>0.17386879999999999</v>
      </c>
      <c r="R1409">
        <v>-0.98121069999999999</v>
      </c>
      <c r="S1409">
        <v>-0.7466583</v>
      </c>
      <c r="T1409">
        <v>-0.2253916</v>
      </c>
      <c r="U1409">
        <v>-3.0348510000000002</v>
      </c>
      <c r="V1409">
        <v>7.8064350000000005E-2</v>
      </c>
      <c r="W1409">
        <v>0.18349779999999999</v>
      </c>
      <c r="X1409">
        <v>0.9799156</v>
      </c>
      <c r="Y1409">
        <v>0.2325518</v>
      </c>
      <c r="Z1409">
        <v>6.2069039999999999E-2</v>
      </c>
      <c r="AA1409">
        <v>0.97060139999999995</v>
      </c>
      <c r="AB1409">
        <v>28</v>
      </c>
      <c r="AC1409">
        <v>-3.7091999999999801</v>
      </c>
      <c r="AD1409">
        <v>-1.12041591058</v>
      </c>
      <c r="AE1409">
        <v>-14.8011</v>
      </c>
      <c r="AF1409">
        <v>3.6014058581106698</v>
      </c>
      <c r="AG1409">
        <v>-1.12041591058</v>
      </c>
      <c r="AH1409">
        <v>14.743476450557701</v>
      </c>
      <c r="AI1409">
        <v>94.222113579132298</v>
      </c>
      <c r="AJ1409">
        <v>76.273101598486605</v>
      </c>
      <c r="AK1409">
        <v>15.2182638239605</v>
      </c>
      <c r="AL1409">
        <v>79.426436911474994</v>
      </c>
      <c r="AM1409">
        <v>85.445187659846496</v>
      </c>
      <c r="AN1409">
        <v>1.0000000342345601</v>
      </c>
    </row>
    <row r="1410" spans="1:40" x14ac:dyDescent="0.25">
      <c r="A1410" t="str">
        <f>"20190303162806951"</f>
        <v>20190303162806951</v>
      </c>
      <c r="B1410" t="str">
        <f>"1551601686942688"</f>
        <v>1551601686942688</v>
      </c>
      <c r="C1410" t="s">
        <v>40</v>
      </c>
      <c r="D1410">
        <v>5.1192099999999998</v>
      </c>
      <c r="E1410">
        <v>0.56444680000000003</v>
      </c>
      <c r="F1410" t="s">
        <v>41</v>
      </c>
      <c r="G1410">
        <v>-194.6609</v>
      </c>
      <c r="H1410" s="1">
        <v>-3.8498059999999997E-6</v>
      </c>
      <c r="I1410">
        <v>305.87009999999998</v>
      </c>
      <c r="J1410">
        <v>-190.95230000000001</v>
      </c>
      <c r="K1410">
        <v>1.120398</v>
      </c>
      <c r="L1410">
        <v>320.58909999999997</v>
      </c>
      <c r="M1410">
        <v>-6.7646769999999898E-3</v>
      </c>
      <c r="N1410">
        <v>-9.9376369999999992E-3</v>
      </c>
      <c r="O1410">
        <v>-0.99992780000000003</v>
      </c>
      <c r="P1410">
        <v>-8.511254E-2</v>
      </c>
      <c r="Q1410">
        <v>0.17402409999999999</v>
      </c>
      <c r="R1410">
        <v>-0.98105659999999895</v>
      </c>
      <c r="S1410">
        <v>-0.75149540000000004</v>
      </c>
      <c r="T1410">
        <v>-0.22688820000000001</v>
      </c>
      <c r="U1410">
        <v>-3.03363</v>
      </c>
      <c r="V1410">
        <v>7.8760179999999999E-2</v>
      </c>
      <c r="W1410">
        <v>0.1836478</v>
      </c>
      <c r="X1410">
        <v>0.97983180000000003</v>
      </c>
      <c r="Y1410">
        <v>0.23331640000000001</v>
      </c>
      <c r="Z1410">
        <v>6.2555979999999997E-2</v>
      </c>
      <c r="AA1410">
        <v>0.97038659999999999</v>
      </c>
      <c r="AB1410">
        <v>28</v>
      </c>
      <c r="AC1410">
        <v>-3.7085999999999899</v>
      </c>
      <c r="AD1410">
        <v>-1.120401849806</v>
      </c>
      <c r="AE1410">
        <v>-14.7189999999999</v>
      </c>
      <c r="AF1410">
        <v>3.5893849390930002</v>
      </c>
      <c r="AG1410">
        <v>-1.120401849806</v>
      </c>
      <c r="AH1410">
        <v>14.663858966331</v>
      </c>
      <c r="AI1410">
        <v>94.2444066735071</v>
      </c>
      <c r="AJ1410">
        <v>76.245718244015407</v>
      </c>
      <c r="AK1410">
        <v>15.138287364509999</v>
      </c>
      <c r="AL1410">
        <v>79.417693798206201</v>
      </c>
      <c r="AM1410">
        <v>85.404369930820195</v>
      </c>
      <c r="AN1410">
        <v>1.0000000183448501</v>
      </c>
    </row>
    <row r="1411" spans="1:40" x14ac:dyDescent="0.25">
      <c r="A1411" t="str">
        <f>"20190303162806973"</f>
        <v>20190303162806973</v>
      </c>
      <c r="B1411" t="str">
        <f>"1551601686963184"</f>
        <v>1551601686963184</v>
      </c>
      <c r="C1411" t="s">
        <v>40</v>
      </c>
      <c r="D1411">
        <v>5.1087049999999996</v>
      </c>
      <c r="E1411">
        <v>0.56443460000000001</v>
      </c>
      <c r="F1411" t="s">
        <v>41</v>
      </c>
      <c r="G1411">
        <v>-194.69159999999999</v>
      </c>
      <c r="H1411" s="1">
        <v>-3.7625189999999999E-6</v>
      </c>
      <c r="I1411">
        <v>305.5976</v>
      </c>
      <c r="J1411">
        <v>-190.95500000000001</v>
      </c>
      <c r="K1411">
        <v>1.1203879999999999</v>
      </c>
      <c r="L1411">
        <v>320.31580000000002</v>
      </c>
      <c r="M1411">
        <v>-7.5996359999999999E-3</v>
      </c>
      <c r="N1411">
        <v>-9.9363219999999992E-3</v>
      </c>
      <c r="O1411">
        <v>-0.99992179999999997</v>
      </c>
      <c r="P1411">
        <v>-8.6426119999999995E-2</v>
      </c>
      <c r="Q1411">
        <v>0.17341760000000001</v>
      </c>
      <c r="R1411">
        <v>-0.98104910000000001</v>
      </c>
      <c r="S1411">
        <v>-0.75639339999999999</v>
      </c>
      <c r="T1411">
        <v>-0.22663630000000001</v>
      </c>
      <c r="U1411">
        <v>-3.0325009999999999</v>
      </c>
      <c r="V1411">
        <v>7.9254169999999999E-2</v>
      </c>
      <c r="W1411">
        <v>0.18303929999999999</v>
      </c>
      <c r="X1411">
        <v>0.97990580000000005</v>
      </c>
      <c r="Y1411">
        <v>0.23406579999999999</v>
      </c>
      <c r="Z1411">
        <v>6.2483230000000001E-2</v>
      </c>
      <c r="AA1411">
        <v>0.97021089999999999</v>
      </c>
      <c r="AB1411">
        <v>28</v>
      </c>
      <c r="AC1411">
        <v>-3.7365999999999802</v>
      </c>
      <c r="AD1411">
        <v>-1.1203917625190001</v>
      </c>
      <c r="AE1411">
        <v>-14.7182</v>
      </c>
      <c r="AF1411">
        <v>3.6050085820928901</v>
      </c>
      <c r="AG1411">
        <v>-1.1203917625190001</v>
      </c>
      <c r="AH1411">
        <v>14.666332235698601</v>
      </c>
      <c r="AI1411">
        <v>94.242653843683996</v>
      </c>
      <c r="AJ1411">
        <v>76.190377385018294</v>
      </c>
      <c r="AK1411">
        <v>15.1443938745127</v>
      </c>
      <c r="AL1411">
        <v>79.453159189880694</v>
      </c>
      <c r="AM1411">
        <v>85.376018108441698</v>
      </c>
      <c r="AN1411">
        <v>0.99999999284025898</v>
      </c>
    </row>
    <row r="1412" spans="1:40" x14ac:dyDescent="0.25">
      <c r="A1412" t="str">
        <f>"20190303162806995"</f>
        <v>20190303162806995</v>
      </c>
      <c r="B1412" t="str">
        <f>"1551601686982704"</f>
        <v>1551601686982704</v>
      </c>
      <c r="C1412" t="s">
        <v>40</v>
      </c>
      <c r="D1412">
        <v>5.2268749999999997</v>
      </c>
      <c r="E1412">
        <v>0.56441819999999998</v>
      </c>
      <c r="F1412" t="s">
        <v>41</v>
      </c>
      <c r="G1412">
        <v>-194.68029999999999</v>
      </c>
      <c r="H1412" s="1">
        <v>-3.7161849999999999E-6</v>
      </c>
      <c r="I1412">
        <v>305.46730000000002</v>
      </c>
      <c r="J1412">
        <v>-190.958</v>
      </c>
      <c r="K1412">
        <v>1.120376</v>
      </c>
      <c r="L1412">
        <v>320.04820000000001</v>
      </c>
      <c r="M1412">
        <v>-8.4179500000000004E-3</v>
      </c>
      <c r="N1412">
        <v>-9.9362229999999992E-3</v>
      </c>
      <c r="O1412">
        <v>-0.99991540000000001</v>
      </c>
      <c r="P1412">
        <v>-8.7160420000000002E-2</v>
      </c>
      <c r="Q1412">
        <v>0.17275850000000001</v>
      </c>
      <c r="R1412">
        <v>-0.98110030000000004</v>
      </c>
      <c r="S1412">
        <v>-0.7605286</v>
      </c>
      <c r="T1412">
        <v>-0.2287304</v>
      </c>
      <c r="U1412">
        <v>-3.031342</v>
      </c>
      <c r="V1412">
        <v>7.9184370000000004E-2</v>
      </c>
      <c r="W1412">
        <v>0.18238109999999999</v>
      </c>
      <c r="X1412">
        <v>0.98003419999999997</v>
      </c>
      <c r="Y1412">
        <v>0.23459160000000001</v>
      </c>
      <c r="Z1412">
        <v>6.3159789999999993E-2</v>
      </c>
      <c r="AA1412">
        <v>0.97004000000000001</v>
      </c>
      <c r="AB1412">
        <v>28</v>
      </c>
      <c r="AC1412">
        <v>-3.72229999999999</v>
      </c>
      <c r="AD1412">
        <v>-1.120379716185</v>
      </c>
      <c r="AE1412">
        <v>-14.5808999999999</v>
      </c>
      <c r="AF1412">
        <v>3.5795792787402099</v>
      </c>
      <c r="AG1412">
        <v>-1.120379716185</v>
      </c>
      <c r="AH1412">
        <v>14.531173149950501</v>
      </c>
      <c r="AI1412">
        <v>94.281393359549298</v>
      </c>
      <c r="AJ1412">
        <v>76.161404177884407</v>
      </c>
      <c r="AK1412">
        <v>15.007452536492201</v>
      </c>
      <c r="AL1412">
        <v>79.491517368707804</v>
      </c>
      <c r="AM1412">
        <v>85.380675526658607</v>
      </c>
      <c r="AN1412">
        <v>1.0000000316295701</v>
      </c>
    </row>
    <row r="1413" spans="1:40" x14ac:dyDescent="0.25">
      <c r="A1413" t="str">
        <f>"20190303162807017"</f>
        <v>20190303162807017</v>
      </c>
      <c r="B1413" t="str">
        <f>"1551601687003200"</f>
        <v>1551601687003200</v>
      </c>
      <c r="C1413" t="s">
        <v>40</v>
      </c>
      <c r="D1413">
        <v>5.2417569999999998</v>
      </c>
      <c r="E1413">
        <v>0.5385934</v>
      </c>
      <c r="F1413" t="s">
        <v>41</v>
      </c>
      <c r="G1413">
        <v>-194.6609</v>
      </c>
      <c r="H1413" s="1">
        <v>-3.6673379999999998E-6</v>
      </c>
      <c r="I1413">
        <v>305.334</v>
      </c>
      <c r="J1413">
        <v>-190.96119999999999</v>
      </c>
      <c r="K1413">
        <v>1.120377</v>
      </c>
      <c r="L1413">
        <v>319.76929999999999</v>
      </c>
      <c r="M1413">
        <v>-9.2709890000000003E-3</v>
      </c>
      <c r="N1413">
        <v>-9.9369950000000005E-3</v>
      </c>
      <c r="O1413">
        <v>-0.99990769999999995</v>
      </c>
      <c r="P1413">
        <v>-8.8424589999999997E-2</v>
      </c>
      <c r="Q1413">
        <v>0.17242360000000001</v>
      </c>
      <c r="R1413">
        <v>-0.98104610000000003</v>
      </c>
      <c r="S1413">
        <v>-0.76268009999999997</v>
      </c>
      <c r="T1413">
        <v>-0.23076060000000001</v>
      </c>
      <c r="U1413">
        <v>-3.03064</v>
      </c>
      <c r="V1413">
        <v>7.9611559999999998E-2</v>
      </c>
      <c r="W1413">
        <v>0.18204629999999999</v>
      </c>
      <c r="X1413">
        <v>0.98006179999999998</v>
      </c>
      <c r="Y1413">
        <v>0.2344523</v>
      </c>
      <c r="Z1413">
        <v>6.3816070000000003E-2</v>
      </c>
      <c r="AA1413">
        <v>0.97003070000000002</v>
      </c>
      <c r="AB1413">
        <v>28</v>
      </c>
      <c r="AC1413">
        <v>-3.6997</v>
      </c>
      <c r="AD1413">
        <v>-1.1203806673379999</v>
      </c>
      <c r="AE1413">
        <v>-14.4352999999999</v>
      </c>
      <c r="AF1413">
        <v>3.5456625920132301</v>
      </c>
      <c r="AG1413">
        <v>-1.1203806673379999</v>
      </c>
      <c r="AH1413">
        <v>14.3876531922435</v>
      </c>
      <c r="AI1413">
        <v>94.323843682595694</v>
      </c>
      <c r="AJ1413">
        <v>76.156006427247604</v>
      </c>
      <c r="AK1413">
        <v>14.8604017589169</v>
      </c>
      <c r="AL1413">
        <v>79.511026199106098</v>
      </c>
      <c r="AM1413">
        <v>85.355993768013093</v>
      </c>
      <c r="AN1413">
        <v>0.99999999382428095</v>
      </c>
    </row>
    <row r="1414" spans="1:40" x14ac:dyDescent="0.25">
      <c r="A1414" t="str">
        <f>"20190303162807040"</f>
        <v>20190303162807040</v>
      </c>
      <c r="B1414" t="str">
        <f>"1551601687032481"</f>
        <v>1551601687032481</v>
      </c>
      <c r="C1414" t="s">
        <v>40</v>
      </c>
      <c r="D1414">
        <v>5.3412379999999997</v>
      </c>
      <c r="E1414">
        <v>0.52041389999999998</v>
      </c>
      <c r="F1414" t="s">
        <v>44</v>
      </c>
      <c r="G1414">
        <v>-191.10769999999999</v>
      </c>
      <c r="H1414">
        <v>1.038605</v>
      </c>
      <c r="I1414">
        <v>318.96940000000001</v>
      </c>
      <c r="J1414">
        <v>-190.9648</v>
      </c>
      <c r="K1414">
        <v>1.120374</v>
      </c>
      <c r="L1414">
        <v>319.48970000000003</v>
      </c>
      <c r="M1414">
        <v>-1.012623E-2</v>
      </c>
      <c r="N1414">
        <v>-9.9382470000000007E-3</v>
      </c>
      <c r="O1414">
        <v>-0.99989939999999999</v>
      </c>
      <c r="P1414">
        <v>-8.9729809999999993E-2</v>
      </c>
      <c r="Q1414">
        <v>0.17179939999999999</v>
      </c>
      <c r="R1414">
        <v>-0.98103720000000005</v>
      </c>
      <c r="S1414">
        <v>-0.55973819999999996</v>
      </c>
      <c r="T1414">
        <v>-0.31329200000000001</v>
      </c>
      <c r="U1414">
        <v>-3.062592</v>
      </c>
      <c r="V1414">
        <v>8.0076690000000006E-2</v>
      </c>
      <c r="W1414">
        <v>0.18142320000000001</v>
      </c>
      <c r="X1414">
        <v>0.98013939999999999</v>
      </c>
      <c r="Y1414">
        <v>0.16899029999999901</v>
      </c>
      <c r="Z1414">
        <v>9.0321440000000003E-2</v>
      </c>
      <c r="AA1414">
        <v>0.98147050000000002</v>
      </c>
      <c r="AB1414">
        <v>28</v>
      </c>
      <c r="AC1414">
        <v>-0.142899999999997</v>
      </c>
      <c r="AD1414">
        <v>-8.1768999999999897E-2</v>
      </c>
      <c r="AE1414">
        <v>-0.52030000000001997</v>
      </c>
      <c r="AF1414">
        <v>0.13453401754592301</v>
      </c>
      <c r="AG1414">
        <v>-8.1768999999999897E-2</v>
      </c>
      <c r="AH1414">
        <v>0.51000756108605805</v>
      </c>
      <c r="AI1414">
        <v>98.812188306721296</v>
      </c>
      <c r="AJ1414">
        <v>75.222663244776101</v>
      </c>
      <c r="AK1414">
        <v>0.533753954180197</v>
      </c>
      <c r="AL1414">
        <v>79.547331297624893</v>
      </c>
      <c r="AM1414">
        <v>85.329349087031105</v>
      </c>
      <c r="AN1414">
        <v>0.99999994860597596</v>
      </c>
    </row>
    <row r="1415" spans="1:40" x14ac:dyDescent="0.25">
      <c r="A1415" t="str">
        <f>"20190303162807063"</f>
        <v>20190303162807063</v>
      </c>
      <c r="B1415" t="str">
        <f>"1551601687052977"</f>
        <v>1551601687052977</v>
      </c>
      <c r="C1415" t="s">
        <v>40</v>
      </c>
      <c r="D1415">
        <v>5.3954170000000001</v>
      </c>
      <c r="E1415">
        <v>0.51437429999999995</v>
      </c>
      <c r="F1415" t="s">
        <v>44</v>
      </c>
      <c r="G1415">
        <v>-191.0669</v>
      </c>
      <c r="H1415">
        <v>1.0190520000000001</v>
      </c>
      <c r="I1415">
        <v>318.73329999999999</v>
      </c>
      <c r="J1415">
        <v>-190.96860000000001</v>
      </c>
      <c r="K1415">
        <v>1.1203700000000001</v>
      </c>
      <c r="L1415">
        <v>319.20119999999997</v>
      </c>
      <c r="M1415">
        <v>-1.1007980000000001E-2</v>
      </c>
      <c r="N1415">
        <v>-9.9446340000000008E-3</v>
      </c>
      <c r="O1415">
        <v>-0.9998901</v>
      </c>
      <c r="P1415">
        <v>-9.1647080000000006E-2</v>
      </c>
      <c r="Q1415">
        <v>0.17191689999999901</v>
      </c>
      <c r="R1415">
        <v>-0.98083920000000002</v>
      </c>
      <c r="S1415">
        <v>-0.41712949999999999</v>
      </c>
      <c r="T1415">
        <v>-0.41432649999999999</v>
      </c>
      <c r="U1415">
        <v>-3.0924070000000001</v>
      </c>
      <c r="V1415">
        <v>8.1131049999999996E-2</v>
      </c>
      <c r="W1415">
        <v>0.18154419999999999</v>
      </c>
      <c r="X1415">
        <v>0.98003039999999997</v>
      </c>
      <c r="Y1415">
        <v>0.1216777</v>
      </c>
      <c r="Z1415">
        <v>0.1218481</v>
      </c>
      <c r="AA1415">
        <v>0.9850622</v>
      </c>
      <c r="AB1415">
        <v>28</v>
      </c>
      <c r="AC1415">
        <v>-9.8299999999994697E-2</v>
      </c>
      <c r="AD1415">
        <v>-0.10131800000000001</v>
      </c>
      <c r="AE1415">
        <v>-0.46789999999998599</v>
      </c>
      <c r="AF1415">
        <v>8.9140177531763107E-2</v>
      </c>
      <c r="AG1415">
        <v>-0.10131800000000001</v>
      </c>
      <c r="AH1415">
        <v>0.44879973600324102</v>
      </c>
      <c r="AI1415">
        <v>102.485430017347</v>
      </c>
      <c r="AJ1415">
        <v>78.766167080237906</v>
      </c>
      <c r="AK1415">
        <v>0.46864966810078201</v>
      </c>
      <c r="AL1415">
        <v>79.540282662178498</v>
      </c>
      <c r="AM1415">
        <v>85.2676047542285</v>
      </c>
      <c r="AN1415">
        <v>1.0000000643759399</v>
      </c>
    </row>
    <row r="1416" spans="1:40" x14ac:dyDescent="0.25">
      <c r="A1416" t="str">
        <f>"20190303162807086"</f>
        <v>20190303162807086</v>
      </c>
      <c r="B1416" t="str">
        <f>"1551601687072497"</f>
        <v>1551601687072497</v>
      </c>
      <c r="C1416" t="s">
        <v>40</v>
      </c>
      <c r="D1416">
        <v>5.2636839999999996</v>
      </c>
      <c r="E1416">
        <v>0.51106439999999997</v>
      </c>
      <c r="F1416" t="s">
        <v>44</v>
      </c>
      <c r="G1416">
        <v>-191.05549999999999</v>
      </c>
      <c r="H1416">
        <v>1.018851</v>
      </c>
      <c r="I1416">
        <v>318.48450000000003</v>
      </c>
      <c r="J1416">
        <v>-190.9725</v>
      </c>
      <c r="K1416">
        <v>1.1203650000000001</v>
      </c>
      <c r="L1416">
        <v>318.92930000000001</v>
      </c>
      <c r="M1416">
        <v>-1.183819E-2</v>
      </c>
      <c r="N1416">
        <v>-9.9558259999999992E-3</v>
      </c>
      <c r="O1416">
        <v>-0.99988030000000006</v>
      </c>
      <c r="P1416">
        <v>-9.4110589999999994E-2</v>
      </c>
      <c r="Q1416">
        <v>0.172049799999999</v>
      </c>
      <c r="R1416">
        <v>-0.98058270000000003</v>
      </c>
      <c r="S1416">
        <v>-0.37512210000000001</v>
      </c>
      <c r="T1416">
        <v>-0.43934119999999999</v>
      </c>
      <c r="U1416">
        <v>-3.1005549999999999</v>
      </c>
      <c r="V1416">
        <v>8.2783170000000003E-2</v>
      </c>
      <c r="W1416">
        <v>0.18168339999999999</v>
      </c>
      <c r="X1416">
        <v>0.97986640000000003</v>
      </c>
      <c r="Y1416">
        <v>0.10725609999999999</v>
      </c>
      <c r="Z1416">
        <v>0.12952130000000001</v>
      </c>
      <c r="AA1416">
        <v>0.98575880000000005</v>
      </c>
      <c r="AB1416">
        <v>28</v>
      </c>
      <c r="AC1416">
        <v>-8.2999999999998395E-2</v>
      </c>
      <c r="AD1416">
        <v>-0.10151399999999999</v>
      </c>
      <c r="AE1416">
        <v>-0.44479999999998598</v>
      </c>
      <c r="AF1416">
        <v>7.4003439096548398E-2</v>
      </c>
      <c r="AG1416">
        <v>-0.10151399999999999</v>
      </c>
      <c r="AH1416">
        <v>0.42439037159487702</v>
      </c>
      <c r="AI1416">
        <v>103.259503101504</v>
      </c>
      <c r="AJ1416">
        <v>80.108455726702005</v>
      </c>
      <c r="AK1416">
        <v>0.442593254237516</v>
      </c>
      <c r="AL1416">
        <v>79.532171917373404</v>
      </c>
      <c r="AM1416">
        <v>85.170882949017198</v>
      </c>
      <c r="AN1416">
        <v>1.00000003645988</v>
      </c>
    </row>
    <row r="1417" spans="1:40" x14ac:dyDescent="0.25">
      <c r="A1417" t="str">
        <f>"20190303162807110"</f>
        <v>20190303162807110</v>
      </c>
      <c r="B1417" t="str">
        <f>"1551601687102752"</f>
        <v>1551601687102752</v>
      </c>
      <c r="C1417" t="s">
        <v>40</v>
      </c>
      <c r="D1417">
        <v>5.2404609999999998</v>
      </c>
      <c r="E1417">
        <v>0.50980349999999997</v>
      </c>
      <c r="F1417" t="s">
        <v>44</v>
      </c>
      <c r="G1417">
        <v>-191.07919999999999</v>
      </c>
      <c r="H1417">
        <v>0.98547739999999995</v>
      </c>
      <c r="I1417">
        <v>318.00229999999999</v>
      </c>
      <c r="J1417">
        <v>-190.97720000000001</v>
      </c>
      <c r="K1417">
        <v>1.120363</v>
      </c>
      <c r="L1417">
        <v>318.6216</v>
      </c>
      <c r="M1417">
        <v>-1.2777449999999999E-2</v>
      </c>
      <c r="N1417">
        <v>-9.9692970000000002E-3</v>
      </c>
      <c r="O1417">
        <v>-0.99986889999999995</v>
      </c>
      <c r="P1417">
        <v>-9.6822930000000001E-2</v>
      </c>
      <c r="Q1417">
        <v>0.1715767</v>
      </c>
      <c r="R1417">
        <v>-0.98040170000000004</v>
      </c>
      <c r="S1417">
        <v>-0.35629270000000002</v>
      </c>
      <c r="T1417">
        <v>-0.45184489999999999</v>
      </c>
      <c r="U1417">
        <v>-3.1044619999999998</v>
      </c>
      <c r="V1417">
        <v>8.4575540000000005E-2</v>
      </c>
      <c r="W1417">
        <v>0.18121970000000001</v>
      </c>
      <c r="X1417">
        <v>0.97979919999999998</v>
      </c>
      <c r="Y1417">
        <v>0.1002204</v>
      </c>
      <c r="Z1417">
        <v>0.13332379999999999</v>
      </c>
      <c r="AA1417">
        <v>0.98599219999999999</v>
      </c>
      <c r="AB1417">
        <v>28</v>
      </c>
      <c r="AC1417">
        <v>-0.101999999999975</v>
      </c>
      <c r="AD1417">
        <v>-0.13488559999999999</v>
      </c>
      <c r="AE1417">
        <v>-0.61930000000000895</v>
      </c>
      <c r="AF1417">
        <v>8.9924982484948998E-2</v>
      </c>
      <c r="AG1417">
        <v>-0.13488559999999999</v>
      </c>
      <c r="AH1417">
        <v>0.59315756719336898</v>
      </c>
      <c r="AI1417">
        <v>102.671306703168</v>
      </c>
      <c r="AJ1417">
        <v>81.379382782584699</v>
      </c>
      <c r="AK1417">
        <v>0.61491180431101999</v>
      </c>
      <c r="AL1417">
        <v>79.559188452552107</v>
      </c>
      <c r="AM1417">
        <v>85.066499763845101</v>
      </c>
      <c r="AN1417">
        <v>1.0000000369775099</v>
      </c>
    </row>
    <row r="1418" spans="1:40" x14ac:dyDescent="0.25">
      <c r="A1418" t="str">
        <f>"20190303162807132"</f>
        <v>20190303162807132</v>
      </c>
      <c r="B1418" t="str">
        <f>"1551601687123249"</f>
        <v>1551601687123249</v>
      </c>
      <c r="C1418" t="s">
        <v>40</v>
      </c>
      <c r="D1418">
        <v>5.2582060000000004</v>
      </c>
      <c r="E1418">
        <v>0.50939480000000004</v>
      </c>
      <c r="F1418" t="s">
        <v>44</v>
      </c>
      <c r="G1418">
        <v>-191.0763</v>
      </c>
      <c r="H1418">
        <v>0.98662720000000004</v>
      </c>
      <c r="I1418">
        <v>317.75200000000001</v>
      </c>
      <c r="J1418">
        <v>-190.98179999999999</v>
      </c>
      <c r="K1418">
        <v>1.1203620000000001</v>
      </c>
      <c r="L1418">
        <v>318.34219999999999</v>
      </c>
      <c r="M1418">
        <v>-1.3631229999999999E-2</v>
      </c>
      <c r="N1418">
        <v>-9.9809129999999992E-3</v>
      </c>
      <c r="O1418">
        <v>-0.99985740000000001</v>
      </c>
      <c r="P1418">
        <v>-9.9836919999999996E-2</v>
      </c>
      <c r="Q1418">
        <v>0.1715624</v>
      </c>
      <c r="R1418">
        <v>-0.98010180000000002</v>
      </c>
      <c r="S1418">
        <v>-0.3541107</v>
      </c>
      <c r="T1418">
        <v>-0.47809839999999998</v>
      </c>
      <c r="U1418">
        <v>-3.1087039999999999</v>
      </c>
      <c r="V1418">
        <v>8.6756040000000006E-2</v>
      </c>
      <c r="W1418">
        <v>0.1812107</v>
      </c>
      <c r="X1418">
        <v>0.97961010000000004</v>
      </c>
      <c r="Y1418">
        <v>9.8407679999999997E-2</v>
      </c>
      <c r="Z1418">
        <v>0.14127419999999999</v>
      </c>
      <c r="AA1418">
        <v>0.98506720000000003</v>
      </c>
      <c r="AB1418">
        <v>28</v>
      </c>
      <c r="AC1418">
        <v>-9.4500000000010603E-2</v>
      </c>
      <c r="AD1418">
        <v>-0.13373479999999999</v>
      </c>
      <c r="AE1418">
        <v>-0.59019999999998096</v>
      </c>
      <c r="AF1418">
        <v>8.2324448828310706E-2</v>
      </c>
      <c r="AG1418">
        <v>-0.13373479999999999</v>
      </c>
      <c r="AH1418">
        <v>0.56323732583089003</v>
      </c>
      <c r="AI1418">
        <v>103.221465105581</v>
      </c>
      <c r="AJ1418">
        <v>81.684361575464905</v>
      </c>
      <c r="AK1418">
        <v>0.58472095636727195</v>
      </c>
      <c r="AL1418">
        <v>79.559711752457602</v>
      </c>
      <c r="AM1418">
        <v>84.9389862113633</v>
      </c>
      <c r="AN1418">
        <v>0.99999993814648902</v>
      </c>
    </row>
    <row r="1419" spans="1:40" x14ac:dyDescent="0.25">
      <c r="A1419" t="str">
        <f>"20190303162807154"</f>
        <v>20190303162807154</v>
      </c>
      <c r="B1419" t="str">
        <f>"1551601687142769"</f>
        <v>1551601687142769</v>
      </c>
      <c r="C1419" t="s">
        <v>40</v>
      </c>
      <c r="D1419">
        <v>5.2503799999999998</v>
      </c>
      <c r="E1419">
        <v>0.50906039999999997</v>
      </c>
      <c r="F1419" t="s">
        <v>44</v>
      </c>
      <c r="G1419">
        <v>-191.0788</v>
      </c>
      <c r="H1419">
        <v>0.98672629999999995</v>
      </c>
      <c r="I1419">
        <v>317.50189999999998</v>
      </c>
      <c r="J1419">
        <v>-190.98650000000001</v>
      </c>
      <c r="K1419">
        <v>1.120355</v>
      </c>
      <c r="L1419">
        <v>318.06270000000001</v>
      </c>
      <c r="M1419">
        <v>-1.4488839999999999E-2</v>
      </c>
      <c r="N1419">
        <v>-9.9921019999999992E-3</v>
      </c>
      <c r="O1419">
        <v>-0.99984530000000005</v>
      </c>
      <c r="P1419">
        <v>-0.1029201</v>
      </c>
      <c r="Q1419">
        <v>0.1720854</v>
      </c>
      <c r="R1419">
        <v>-0.97969110000000004</v>
      </c>
      <c r="S1419">
        <v>-0.35910029999999998</v>
      </c>
      <c r="T1419">
        <v>-0.49474079999999898</v>
      </c>
      <c r="U1419">
        <v>-3.1109010000000001</v>
      </c>
      <c r="V1419">
        <v>8.9005470000000003E-2</v>
      </c>
      <c r="W1419">
        <v>0.18173729999999999</v>
      </c>
      <c r="X1419">
        <v>0.97931080000000004</v>
      </c>
      <c r="Y1419">
        <v>9.8948969999999997E-2</v>
      </c>
      <c r="Z1419">
        <v>0.14627770000000001</v>
      </c>
      <c r="AA1419">
        <v>0.9842824</v>
      </c>
      <c r="AB1419">
        <v>28</v>
      </c>
      <c r="AC1419">
        <v>-9.2299999999994498E-2</v>
      </c>
      <c r="AD1419">
        <v>-0.13362869999999899</v>
      </c>
      <c r="AE1419">
        <v>-0.56080000000002805</v>
      </c>
      <c r="AF1419">
        <v>7.9755599109992803E-2</v>
      </c>
      <c r="AG1419">
        <v>-0.13362869999999899</v>
      </c>
      <c r="AH1419">
        <v>0.53263399744458795</v>
      </c>
      <c r="AI1419">
        <v>103.93463699533299</v>
      </c>
      <c r="AJ1419">
        <v>81.483910903415307</v>
      </c>
      <c r="AK1419">
        <v>0.55490229796504298</v>
      </c>
      <c r="AL1419">
        <v>79.529031338750301</v>
      </c>
      <c r="AM1419">
        <v>84.806893206277095</v>
      </c>
      <c r="AN1419">
        <v>1.0000000314489199</v>
      </c>
    </row>
    <row r="1420" spans="1:40" x14ac:dyDescent="0.25">
      <c r="A1420" t="str">
        <f>"20190303162807174"</f>
        <v>20190303162807174</v>
      </c>
      <c r="B1420" t="str">
        <f>"1551601687162288"</f>
        <v>1551601687162288</v>
      </c>
      <c r="C1420" t="s">
        <v>40</v>
      </c>
      <c r="D1420">
        <v>5.2414750000000003</v>
      </c>
      <c r="E1420">
        <v>0.50877850000000002</v>
      </c>
      <c r="F1420" t="s">
        <v>44</v>
      </c>
      <c r="G1420">
        <v>-191.08160000000001</v>
      </c>
      <c r="H1420">
        <v>0.98847070000000004</v>
      </c>
      <c r="I1420">
        <v>317.25080000000003</v>
      </c>
      <c r="J1420">
        <v>-190.99109999999999</v>
      </c>
      <c r="K1420">
        <v>1.1203479999999999</v>
      </c>
      <c r="L1420">
        <v>317.80500000000001</v>
      </c>
      <c r="M1420">
        <v>-1.52872999999999E-2</v>
      </c>
      <c r="N1420">
        <v>-1.000216E-2</v>
      </c>
      <c r="O1420">
        <v>-0.99983310000000003</v>
      </c>
      <c r="P1420">
        <v>-0.1055111</v>
      </c>
      <c r="Q1420">
        <v>0.1717185</v>
      </c>
      <c r="R1420">
        <v>-0.97947980000000001</v>
      </c>
      <c r="S1420">
        <v>-0.36451719999999999</v>
      </c>
      <c r="T1420">
        <v>-0.50561859999999903</v>
      </c>
      <c r="U1420">
        <v>-3.1127009999999999</v>
      </c>
      <c r="V1420">
        <v>9.0817969999999998E-2</v>
      </c>
      <c r="W1420">
        <v>0.1813748</v>
      </c>
      <c r="X1420">
        <v>0.97921159999999996</v>
      </c>
      <c r="Y1420">
        <v>9.9720970000000006E-2</v>
      </c>
      <c r="Z1420">
        <v>0.1495059</v>
      </c>
      <c r="AA1420">
        <v>0.98371929999999996</v>
      </c>
      <c r="AB1420">
        <v>28</v>
      </c>
      <c r="AC1420">
        <v>-9.0500000000019995E-2</v>
      </c>
      <c r="AD1420">
        <v>-0.131877299999999</v>
      </c>
      <c r="AE1420">
        <v>-0.55419999999998004</v>
      </c>
      <c r="AF1420">
        <v>7.7729668722818196E-2</v>
      </c>
      <c r="AG1420">
        <v>-0.131877299999999</v>
      </c>
      <c r="AH1420">
        <v>0.526481209835998</v>
      </c>
      <c r="AI1420">
        <v>103.917652136508</v>
      </c>
      <c r="AJ1420">
        <v>81.601524357119303</v>
      </c>
      <c r="AK1420">
        <v>0.54828458665680602</v>
      </c>
      <c r="AL1420">
        <v>79.550152159028897</v>
      </c>
      <c r="AM1420">
        <v>84.701203401463403</v>
      </c>
      <c r="AN1420">
        <v>1.0000000396622499</v>
      </c>
    </row>
    <row r="1421" spans="1:40" x14ac:dyDescent="0.25">
      <c r="A1421" t="str">
        <f>"20190303162807196"</f>
        <v>20190303162807196</v>
      </c>
      <c r="B1421" t="str">
        <f>"1551601687192545"</f>
        <v>1551601687192545</v>
      </c>
      <c r="C1421" t="s">
        <v>40</v>
      </c>
      <c r="D1421">
        <v>5.3024589999999998</v>
      </c>
      <c r="E1421">
        <v>0.50036320000000001</v>
      </c>
      <c r="F1421" t="s">
        <v>44</v>
      </c>
      <c r="G1421">
        <v>-191.08690000000001</v>
      </c>
      <c r="H1421">
        <v>0.98658230000000002</v>
      </c>
      <c r="I1421">
        <v>317.00110000000001</v>
      </c>
      <c r="J1421">
        <v>-190.99590000000001</v>
      </c>
      <c r="K1421">
        <v>1.120336</v>
      </c>
      <c r="L1421">
        <v>317.54590000000002</v>
      </c>
      <c r="M1421">
        <v>-1.610106E-2</v>
      </c>
      <c r="N1421">
        <v>-1.001198E-2</v>
      </c>
      <c r="O1421">
        <v>-0.9998205</v>
      </c>
      <c r="P1421">
        <v>-0.1079048</v>
      </c>
      <c r="Q1421">
        <v>0.17139660000000001</v>
      </c>
      <c r="R1421">
        <v>-0.97927560000000002</v>
      </c>
      <c r="S1421">
        <v>-0.37065120000000001</v>
      </c>
      <c r="T1421">
        <v>-0.51825519999999903</v>
      </c>
      <c r="U1421">
        <v>-3.1137389999999998</v>
      </c>
      <c r="V1421">
        <v>9.241982E-2</v>
      </c>
      <c r="W1421">
        <v>0.18105689999999999</v>
      </c>
      <c r="X1421">
        <v>0.97912049999999995</v>
      </c>
      <c r="Y1421">
        <v>0.100713</v>
      </c>
      <c r="Z1421">
        <v>0.15329860000000001</v>
      </c>
      <c r="AA1421">
        <v>0.98303430000000003</v>
      </c>
      <c r="AB1421">
        <v>28</v>
      </c>
      <c r="AC1421">
        <v>-9.1000000000008199E-2</v>
      </c>
      <c r="AD1421">
        <v>-0.133753699999999</v>
      </c>
      <c r="AE1421">
        <v>-0.54480000000000905</v>
      </c>
      <c r="AF1421">
        <v>7.7661893149550895E-2</v>
      </c>
      <c r="AG1421">
        <v>-0.133753699999999</v>
      </c>
      <c r="AH1421">
        <v>0.51594041858087003</v>
      </c>
      <c r="AI1421">
        <v>104.378401779372</v>
      </c>
      <c r="AJ1421">
        <v>81.439822452531899</v>
      </c>
      <c r="AK1421">
        <v>0.53862411516443098</v>
      </c>
      <c r="AL1421">
        <v>79.568672595964799</v>
      </c>
      <c r="AM1421">
        <v>84.607790416991406</v>
      </c>
      <c r="AN1421">
        <v>0.99999998884334595</v>
      </c>
    </row>
    <row r="1422" spans="1:40" x14ac:dyDescent="0.25">
      <c r="A1422" t="str">
        <f>"20190303162807218"</f>
        <v>20190303162807218</v>
      </c>
      <c r="B1422" t="str">
        <f>"1551601687213041"</f>
        <v>1551601687213041</v>
      </c>
      <c r="C1422" t="s">
        <v>40</v>
      </c>
      <c r="D1422">
        <v>5.3256639999999997</v>
      </c>
      <c r="E1422">
        <v>0.49989919999999999</v>
      </c>
      <c r="F1422" t="s">
        <v>44</v>
      </c>
      <c r="G1422">
        <v>-191.06870000000001</v>
      </c>
      <c r="H1422">
        <v>0.90934009999999998</v>
      </c>
      <c r="I1422">
        <v>316.78710000000001</v>
      </c>
      <c r="J1422">
        <v>-191.0017</v>
      </c>
      <c r="K1422">
        <v>1.1203190000000001</v>
      </c>
      <c r="L1422">
        <v>317.25529999999998</v>
      </c>
      <c r="M1422">
        <v>-1.7031290000000001E-2</v>
      </c>
      <c r="N1422">
        <v>-1.0022329999999999E-2</v>
      </c>
      <c r="O1422">
        <v>-0.99980500000000005</v>
      </c>
      <c r="P1422">
        <v>-0.1099937</v>
      </c>
      <c r="Q1422">
        <v>0.17246789999999901</v>
      </c>
      <c r="R1422">
        <v>-0.97885500000000003</v>
      </c>
      <c r="S1422">
        <v>-0.30506899999999998</v>
      </c>
      <c r="T1422">
        <v>-0.88554370000000004</v>
      </c>
      <c r="U1422">
        <v>-3.1848749999999999</v>
      </c>
      <c r="V1422">
        <v>9.3611139999999995E-2</v>
      </c>
      <c r="W1422">
        <v>0.18213019999999999</v>
      </c>
      <c r="X1422">
        <v>0.97880820000000002</v>
      </c>
      <c r="Y1422">
        <v>7.5063790000000005E-2</v>
      </c>
      <c r="Z1422">
        <v>0.25722289999999998</v>
      </c>
      <c r="AA1422">
        <v>0.96343230000000002</v>
      </c>
      <c r="AB1422">
        <v>28</v>
      </c>
      <c r="AC1422">
        <v>-6.7000000000007207E-2</v>
      </c>
      <c r="AD1422">
        <v>-0.2109789</v>
      </c>
      <c r="AE1422">
        <v>-0.46819999999996698</v>
      </c>
      <c r="AF1422">
        <v>4.9221658323408302E-2</v>
      </c>
      <c r="AG1422">
        <v>-0.2109789</v>
      </c>
      <c r="AH1422">
        <v>0.39139339127061301</v>
      </c>
      <c r="AI1422">
        <v>118.13933617072701</v>
      </c>
      <c r="AJ1422">
        <v>82.832109130868304</v>
      </c>
      <c r="AK1422">
        <v>0.44735182420956698</v>
      </c>
      <c r="AL1422">
        <v>79.506137140237001</v>
      </c>
      <c r="AM1422">
        <v>84.536968811689704</v>
      </c>
      <c r="AN1422">
        <v>0.99999997383568895</v>
      </c>
    </row>
    <row r="1423" spans="1:40" x14ac:dyDescent="0.25">
      <c r="A1423" t="str">
        <f>"20190303162807241"</f>
        <v>20190303162807241</v>
      </c>
      <c r="B1423" t="str">
        <f>"1551601687232561"</f>
        <v>1551601687232561</v>
      </c>
      <c r="C1423" t="s">
        <v>40</v>
      </c>
      <c r="D1423">
        <v>5.316395</v>
      </c>
      <c r="E1423">
        <v>0.50026550000000003</v>
      </c>
      <c r="F1423" t="s">
        <v>44</v>
      </c>
      <c r="G1423">
        <v>-191.0712</v>
      </c>
      <c r="H1423">
        <v>0.91200130000000001</v>
      </c>
      <c r="I1423">
        <v>316.53449999999998</v>
      </c>
      <c r="J1423">
        <v>-191.00739999999999</v>
      </c>
      <c r="K1423">
        <v>1.120301</v>
      </c>
      <c r="L1423">
        <v>316.97469999999998</v>
      </c>
      <c r="M1423">
        <v>-1.7951640000000001E-2</v>
      </c>
      <c r="N1423">
        <v>-1.003159E-2</v>
      </c>
      <c r="O1423">
        <v>-0.99978860000000003</v>
      </c>
      <c r="P1423">
        <v>-0.1123219</v>
      </c>
      <c r="Q1423">
        <v>0.1736731</v>
      </c>
      <c r="R1423">
        <v>-0.97837719999999995</v>
      </c>
      <c r="S1423">
        <v>-0.306610099999999</v>
      </c>
      <c r="T1423">
        <v>-0.92280499999999999</v>
      </c>
      <c r="U1423">
        <v>-3.1929319999999999</v>
      </c>
      <c r="V1423">
        <v>9.5054620000000006E-2</v>
      </c>
      <c r="W1423">
        <v>0.18333459999999999</v>
      </c>
      <c r="X1423">
        <v>0.97844419999999999</v>
      </c>
      <c r="Y1423">
        <v>7.4119760000000007E-2</v>
      </c>
      <c r="Z1423">
        <v>0.2669764</v>
      </c>
      <c r="AA1423">
        <v>0.96084849999999999</v>
      </c>
      <c r="AB1423">
        <v>28</v>
      </c>
      <c r="AC1423">
        <v>-6.3800000000014706E-2</v>
      </c>
      <c r="AD1423">
        <v>-0.20829969999999901</v>
      </c>
      <c r="AE1423">
        <v>-0.44020000000000398</v>
      </c>
      <c r="AF1423">
        <v>4.5835126631471497E-2</v>
      </c>
      <c r="AG1423">
        <v>-0.20829969999999901</v>
      </c>
      <c r="AH1423">
        <v>0.361906456103115</v>
      </c>
      <c r="AI1423">
        <v>119.72641260437899</v>
      </c>
      <c r="AJ1423">
        <v>82.781969829075294</v>
      </c>
      <c r="AK1423">
        <v>0.42007845317574799</v>
      </c>
      <c r="AL1423">
        <v>79.435948632293304</v>
      </c>
      <c r="AM1423">
        <v>84.451199863673097</v>
      </c>
      <c r="AN1423">
        <v>1.00000000442707</v>
      </c>
    </row>
    <row r="1424" spans="1:40" x14ac:dyDescent="0.25">
      <c r="A1424" t="str">
        <f>"20190303162807264"</f>
        <v>20190303162807264</v>
      </c>
      <c r="B1424" t="str">
        <f>"1551601687253056"</f>
        <v>1551601687253056</v>
      </c>
      <c r="C1424" t="s">
        <v>40</v>
      </c>
      <c r="D1424">
        <v>5.3016839999999998</v>
      </c>
      <c r="E1424">
        <v>0.50050249999999996</v>
      </c>
      <c r="F1424" t="s">
        <v>44</v>
      </c>
      <c r="G1424">
        <v>-191.0762</v>
      </c>
      <c r="H1424">
        <v>0.91992569999999996</v>
      </c>
      <c r="I1424">
        <v>316.27940000000001</v>
      </c>
      <c r="J1424">
        <v>-191.0136</v>
      </c>
      <c r="K1424">
        <v>1.1202859999999999</v>
      </c>
      <c r="L1424">
        <v>316.68920000000003</v>
      </c>
      <c r="M1424">
        <v>-1.8913039999999999E-2</v>
      </c>
      <c r="N1424">
        <v>-1.0040200000000001E-2</v>
      </c>
      <c r="O1424">
        <v>-0.99977079999999996</v>
      </c>
      <c r="P1424">
        <v>-0.1135631</v>
      </c>
      <c r="Q1424">
        <v>0.17376929999999999</v>
      </c>
      <c r="R1424">
        <v>-0.97821670000000005</v>
      </c>
      <c r="S1424">
        <v>-0.31607059999999998</v>
      </c>
      <c r="T1424">
        <v>-0.92030429999999996</v>
      </c>
      <c r="U1424">
        <v>-3.19339</v>
      </c>
      <c r="V1424">
        <v>9.5365240000000004E-2</v>
      </c>
      <c r="W1424">
        <v>0.1834335</v>
      </c>
      <c r="X1424">
        <v>0.97839540000000003</v>
      </c>
      <c r="Y1424">
        <v>7.5986789999999999E-2</v>
      </c>
      <c r="Z1424">
        <v>0.2661752</v>
      </c>
      <c r="AA1424">
        <v>0.96092500000000003</v>
      </c>
      <c r="AB1424">
        <v>28</v>
      </c>
      <c r="AC1424">
        <v>-6.2600000000003306E-2</v>
      </c>
      <c r="AD1424">
        <v>-0.20036029999999999</v>
      </c>
      <c r="AE1424">
        <v>-0.40980000000001798</v>
      </c>
      <c r="AF1424">
        <v>4.4453724649172903E-2</v>
      </c>
      <c r="AG1424">
        <v>-0.20036029999999999</v>
      </c>
      <c r="AH1424">
        <v>0.33310044410211698</v>
      </c>
      <c r="AI1424">
        <v>120.804042013136</v>
      </c>
      <c r="AJ1424">
        <v>82.398540492619006</v>
      </c>
      <c r="AK1424">
        <v>0.39124965087818497</v>
      </c>
      <c r="AL1424">
        <v>79.430183938925893</v>
      </c>
      <c r="AM1424">
        <v>84.432905262935094</v>
      </c>
      <c r="AN1424">
        <v>0.99999996833183302</v>
      </c>
    </row>
    <row r="1425" spans="1:40" x14ac:dyDescent="0.25">
      <c r="A1425" t="str">
        <f>"20190303162807287"</f>
        <v>20190303162807287</v>
      </c>
      <c r="B1425" t="str">
        <f>"1551601687282336"</f>
        <v>1551601687282336</v>
      </c>
      <c r="C1425" t="s">
        <v>40</v>
      </c>
      <c r="D1425">
        <v>5.3128339999999996</v>
      </c>
      <c r="E1425">
        <v>0.50122979999999995</v>
      </c>
      <c r="F1425" t="s">
        <v>44</v>
      </c>
      <c r="G1425">
        <v>-191.10329999999999</v>
      </c>
      <c r="H1425">
        <v>0.86262269999999897</v>
      </c>
      <c r="I1425">
        <v>315.8</v>
      </c>
      <c r="J1425">
        <v>-191.02019999999999</v>
      </c>
      <c r="K1425">
        <v>1.120271</v>
      </c>
      <c r="L1425">
        <v>316.39960000000002</v>
      </c>
      <c r="M1425">
        <v>-1.9918189999999999E-2</v>
      </c>
      <c r="N1425">
        <v>-1.004846E-2</v>
      </c>
      <c r="O1425">
        <v>-0.99975139999999996</v>
      </c>
      <c r="P1425">
        <v>-0.11575770000000001</v>
      </c>
      <c r="Q1425">
        <v>0.1737717</v>
      </c>
      <c r="R1425">
        <v>-0.97795949999999998</v>
      </c>
      <c r="S1425">
        <v>-0.322235099999999</v>
      </c>
      <c r="T1425">
        <v>-0.9254677</v>
      </c>
      <c r="U1425">
        <v>-3.1937869999999999</v>
      </c>
      <c r="V1425">
        <v>9.6588670000000001E-2</v>
      </c>
      <c r="W1425">
        <v>0.18343590000000001</v>
      </c>
      <c r="X1425">
        <v>0.97827489999999995</v>
      </c>
      <c r="Y1425">
        <v>7.6769710000000005E-2</v>
      </c>
      <c r="Z1425">
        <v>0.2675283</v>
      </c>
      <c r="AA1425">
        <v>0.96048690000000003</v>
      </c>
      <c r="AB1425">
        <v>28</v>
      </c>
      <c r="AC1425">
        <v>-8.31000000000017E-2</v>
      </c>
      <c r="AD1425">
        <v>-0.2576483</v>
      </c>
      <c r="AE1425">
        <v>-0.59960000000000901</v>
      </c>
      <c r="AF1425">
        <v>6.0228766012721299E-2</v>
      </c>
      <c r="AG1425">
        <v>-0.2576483</v>
      </c>
      <c r="AH1425">
        <v>0.50893612632853802</v>
      </c>
      <c r="AI1425">
        <v>116.69053358668999</v>
      </c>
      <c r="AJ1425">
        <v>83.2508653306638</v>
      </c>
      <c r="AK1425">
        <v>0.57360799456650002</v>
      </c>
      <c r="AL1425">
        <v>79.430043755530207</v>
      </c>
      <c r="AM1425">
        <v>84.361252893828507</v>
      </c>
      <c r="AN1425">
        <v>0.99999994027559203</v>
      </c>
    </row>
    <row r="1426" spans="1:40" x14ac:dyDescent="0.25">
      <c r="A1426" t="str">
        <f>"20190303162807310"</f>
        <v>20190303162807310</v>
      </c>
      <c r="B1426" t="str">
        <f>"1551601687302833"</f>
        <v>1551601687302833</v>
      </c>
      <c r="C1426" t="s">
        <v>40</v>
      </c>
      <c r="D1426">
        <v>5.3727349999999996</v>
      </c>
      <c r="E1426">
        <v>0.50160649999999996</v>
      </c>
      <c r="F1426" t="s">
        <v>44</v>
      </c>
      <c r="G1426">
        <v>-191.1096</v>
      </c>
      <c r="H1426">
        <v>0.87157999999999902</v>
      </c>
      <c r="I1426">
        <v>315.54419999999999</v>
      </c>
      <c r="J1426">
        <v>-191.02709999999999</v>
      </c>
      <c r="K1426">
        <v>1.120255</v>
      </c>
      <c r="L1426">
        <v>316.10739999999998</v>
      </c>
      <c r="M1426">
        <v>-2.095493E-2</v>
      </c>
      <c r="N1426">
        <v>-1.0057770000000001E-2</v>
      </c>
      <c r="O1426">
        <v>-0.99973000000000001</v>
      </c>
      <c r="P1426">
        <v>-0.11875869999999999</v>
      </c>
      <c r="Q1426">
        <v>0.17416879999999901</v>
      </c>
      <c r="R1426">
        <v>-0.97752830000000002</v>
      </c>
      <c r="S1426">
        <v>-0.33326719999999999</v>
      </c>
      <c r="T1426">
        <v>-0.92829139999999999</v>
      </c>
      <c r="U1426">
        <v>-3.1931150000000001</v>
      </c>
      <c r="V1426">
        <v>9.8590999999999998E-2</v>
      </c>
      <c r="W1426">
        <v>0.18383099999999999</v>
      </c>
      <c r="X1426">
        <v>0.97800100000000001</v>
      </c>
      <c r="Y1426">
        <v>7.9014299999999996E-2</v>
      </c>
      <c r="Z1426">
        <v>0.26827859999999998</v>
      </c>
      <c r="AA1426">
        <v>0.96009549999999999</v>
      </c>
      <c r="AB1426">
        <v>28</v>
      </c>
      <c r="AC1426">
        <v>-8.2500000000010204E-2</v>
      </c>
      <c r="AD1426">
        <v>-0.24867500000000001</v>
      </c>
      <c r="AE1426">
        <v>-0.56319999999999404</v>
      </c>
      <c r="AF1426">
        <v>5.93515406973417E-2</v>
      </c>
      <c r="AG1426">
        <v>-0.24867500000000001</v>
      </c>
      <c r="AH1426">
        <v>0.47428280858967198</v>
      </c>
      <c r="AI1426">
        <v>117.48616474482201</v>
      </c>
      <c r="AJ1426">
        <v>82.867110758694196</v>
      </c>
      <c r="AK1426">
        <v>0.53880056007010202</v>
      </c>
      <c r="AL1426">
        <v>79.407015096678094</v>
      </c>
      <c r="AM1426">
        <v>84.243534757396901</v>
      </c>
      <c r="AN1426">
        <v>0.99999998892149999</v>
      </c>
    </row>
    <row r="1427" spans="1:40" x14ac:dyDescent="0.25">
      <c r="A1427" t="str">
        <f>"20190303162807332"</f>
        <v>20190303162807332</v>
      </c>
      <c r="B1427" t="str">
        <f>"1551601687323328"</f>
        <v>1551601687323328</v>
      </c>
      <c r="C1427" t="s">
        <v>40</v>
      </c>
      <c r="D1427">
        <v>5.2956750000000001</v>
      </c>
      <c r="E1427">
        <v>0.51291160000000002</v>
      </c>
      <c r="F1427" t="s">
        <v>44</v>
      </c>
      <c r="G1427">
        <v>-191.1155</v>
      </c>
      <c r="H1427">
        <v>0.87961019999999901</v>
      </c>
      <c r="I1427">
        <v>315.28829999999999</v>
      </c>
      <c r="J1427">
        <v>-191.0341</v>
      </c>
      <c r="K1427">
        <v>1.1202449999999999</v>
      </c>
      <c r="L1427">
        <v>315.82749999999999</v>
      </c>
      <c r="M1427">
        <v>-2.1967879999999999E-2</v>
      </c>
      <c r="N1427">
        <v>-1.0071480000000001E-2</v>
      </c>
      <c r="O1427">
        <v>-0.99970809999999999</v>
      </c>
      <c r="P1427">
        <v>-0.1221289</v>
      </c>
      <c r="Q1427">
        <v>0.174236</v>
      </c>
      <c r="R1427">
        <v>-0.97710109999999994</v>
      </c>
      <c r="S1427">
        <v>-0.34394839999999999</v>
      </c>
      <c r="T1427">
        <v>-0.93847380000000002</v>
      </c>
      <c r="U1427">
        <v>-3.1943969999999999</v>
      </c>
      <c r="V1427">
        <v>0.1009843</v>
      </c>
      <c r="W1427">
        <v>0.1839008</v>
      </c>
      <c r="X1427">
        <v>0.97774369999999999</v>
      </c>
      <c r="Y1427">
        <v>8.1055970000000005E-2</v>
      </c>
      <c r="Z1427">
        <v>0.2709027</v>
      </c>
      <c r="AA1427">
        <v>0.95918800000000004</v>
      </c>
      <c r="AB1427">
        <v>28</v>
      </c>
      <c r="AC1427">
        <v>-8.1400000000002096E-2</v>
      </c>
      <c r="AD1427">
        <v>-0.24063480000000001</v>
      </c>
      <c r="AE1427">
        <v>-0.53919999999999302</v>
      </c>
      <c r="AF1427">
        <v>5.8201213279866298E-2</v>
      </c>
      <c r="AG1427">
        <v>-0.24063480000000001</v>
      </c>
      <c r="AH1427">
        <v>0.452703637237233</v>
      </c>
      <c r="AI1427">
        <v>117.798701484825</v>
      </c>
      <c r="AJ1427">
        <v>82.674034099243002</v>
      </c>
      <c r="AK1427">
        <v>0.51597778185316201</v>
      </c>
      <c r="AL1427">
        <v>79.402947012839405</v>
      </c>
      <c r="AM1427">
        <v>84.103228536389096</v>
      </c>
      <c r="AN1427">
        <v>1.0000000379884</v>
      </c>
    </row>
    <row r="1428" spans="1:40" x14ac:dyDescent="0.25">
      <c r="A1428" t="str">
        <f>"20190303162807354"</f>
        <v>20190303162807354</v>
      </c>
      <c r="B1428" t="str">
        <f>"1551601687343016"</f>
        <v>1551601687343016</v>
      </c>
      <c r="C1428" t="s">
        <v>40</v>
      </c>
      <c r="D1428">
        <v>5.3129330000000001</v>
      </c>
      <c r="E1428">
        <v>0.51477689999999998</v>
      </c>
      <c r="F1428" t="s">
        <v>44</v>
      </c>
      <c r="G1428">
        <v>-191.14009999999999</v>
      </c>
      <c r="H1428">
        <v>0.84029100000000001</v>
      </c>
      <c r="I1428">
        <v>315.0514</v>
      </c>
      <c r="J1428">
        <v>-191.04130000000001</v>
      </c>
      <c r="K1428">
        <v>1.120231</v>
      </c>
      <c r="L1428">
        <v>315.54989999999998</v>
      </c>
      <c r="M1428">
        <v>-2.2990790000000001E-2</v>
      </c>
      <c r="N1428">
        <v>-1.008977E-2</v>
      </c>
      <c r="O1428">
        <v>-0.99968480000000004</v>
      </c>
      <c r="P1428">
        <v>-0.12538779999999999</v>
      </c>
      <c r="Q1428">
        <v>0.17487920000000001</v>
      </c>
      <c r="R1428">
        <v>-0.97657320000000003</v>
      </c>
      <c r="S1428">
        <v>-0.4392548</v>
      </c>
      <c r="T1428">
        <v>-1.1623939999999999</v>
      </c>
      <c r="U1428">
        <v>-3.2226870000000001</v>
      </c>
      <c r="V1428">
        <v>0.10326</v>
      </c>
      <c r="W1428">
        <v>0.18454999999999999</v>
      </c>
      <c r="X1428">
        <v>0.97738360000000002</v>
      </c>
      <c r="Y1428">
        <v>0.10459450000000001</v>
      </c>
      <c r="Z1428">
        <v>0.32737129999999998</v>
      </c>
      <c r="AA1428">
        <v>0.9390889</v>
      </c>
      <c r="AB1428">
        <v>28</v>
      </c>
      <c r="AC1428">
        <v>-9.8799999999982901E-2</v>
      </c>
      <c r="AD1428">
        <v>-0.27994000000000002</v>
      </c>
      <c r="AE1428">
        <v>-0.49849999999997802</v>
      </c>
      <c r="AF1428">
        <v>6.6986346627996199E-2</v>
      </c>
      <c r="AG1428">
        <v>-0.27994000000000002</v>
      </c>
      <c r="AH1428">
        <v>0.38409248479451902</v>
      </c>
      <c r="AI1428">
        <v>125.67824853885899</v>
      </c>
      <c r="AJ1428">
        <v>80.107024467472201</v>
      </c>
      <c r="AK1428">
        <v>0.47997980281486202</v>
      </c>
      <c r="AL1428">
        <v>79.365102615268896</v>
      </c>
      <c r="AM1428">
        <v>83.969106875179307</v>
      </c>
      <c r="AN1428">
        <v>1.0000000158244799</v>
      </c>
    </row>
    <row r="1429" spans="1:40" x14ac:dyDescent="0.25">
      <c r="A1429" t="str">
        <f>"20190303162807375"</f>
        <v>20190303162807375</v>
      </c>
      <c r="B1429" t="str">
        <f>"1551601687372295"</f>
        <v>1551601687372295</v>
      </c>
      <c r="C1429" t="s">
        <v>40</v>
      </c>
      <c r="D1429">
        <v>5.2477429999999998</v>
      </c>
      <c r="E1429">
        <v>0.51527009999999995</v>
      </c>
      <c r="F1429" t="s">
        <v>44</v>
      </c>
      <c r="G1429">
        <v>-191.1497</v>
      </c>
      <c r="H1429">
        <v>0.84357859999999996</v>
      </c>
      <c r="I1429">
        <v>314.79700000000003</v>
      </c>
      <c r="J1429">
        <v>-191.04849999999999</v>
      </c>
      <c r="K1429">
        <v>1.1202209999999999</v>
      </c>
      <c r="L1429">
        <v>315.28399999999999</v>
      </c>
      <c r="M1429">
        <v>-2.398521E-2</v>
      </c>
      <c r="N1429">
        <v>-1.0111530000000001E-2</v>
      </c>
      <c r="O1429">
        <v>-0.99966129999999997</v>
      </c>
      <c r="P1429">
        <v>-0.12839100000000001</v>
      </c>
      <c r="Q1429">
        <v>0.1754116</v>
      </c>
      <c r="R1429">
        <v>-0.97608740000000005</v>
      </c>
      <c r="S1429">
        <v>-0.46394350000000001</v>
      </c>
      <c r="T1429">
        <v>-1.184833</v>
      </c>
      <c r="U1429">
        <v>-3.2245180000000002</v>
      </c>
      <c r="V1429">
        <v>0.105307</v>
      </c>
      <c r="W1429">
        <v>0.18509310000000001</v>
      </c>
      <c r="X1429">
        <v>0.9770624</v>
      </c>
      <c r="Y1429">
        <v>0.1103058</v>
      </c>
      <c r="Z1429">
        <v>0.33266820000000002</v>
      </c>
      <c r="AA1429">
        <v>0.93657060000000003</v>
      </c>
      <c r="AB1429">
        <v>28</v>
      </c>
      <c r="AC1429">
        <v>-0.10120000000000499</v>
      </c>
      <c r="AD1429">
        <v>-0.27664240000000001</v>
      </c>
      <c r="AE1429">
        <v>-0.48699999999996602</v>
      </c>
      <c r="AF1429">
        <v>6.83476400481937E-2</v>
      </c>
      <c r="AG1429">
        <v>-0.27664240000000001</v>
      </c>
      <c r="AH1429">
        <v>0.37369341192394501</v>
      </c>
      <c r="AI1429">
        <v>126.062582321512</v>
      </c>
      <c r="AJ1429">
        <v>79.635296132236206</v>
      </c>
      <c r="AK1429">
        <v>0.46994593677706797</v>
      </c>
      <c r="AL1429">
        <v>79.333439371308003</v>
      </c>
      <c r="AM1429">
        <v>83.848453122520596</v>
      </c>
      <c r="AN1429">
        <v>0.99999997670518403</v>
      </c>
    </row>
    <row r="1430" spans="1:40" x14ac:dyDescent="0.25">
      <c r="A1430" t="str">
        <f>"20190303162807398"</f>
        <v>20190303162807398</v>
      </c>
      <c r="B1430" t="str">
        <f>"1551601687392791"</f>
        <v>1551601687392791</v>
      </c>
      <c r="C1430" t="s">
        <v>40</v>
      </c>
      <c r="D1430">
        <v>5.3109209999999996</v>
      </c>
      <c r="E1430">
        <v>0.51532840000000002</v>
      </c>
      <c r="F1430" t="s">
        <v>44</v>
      </c>
      <c r="G1430">
        <v>-191.15860000000001</v>
      </c>
      <c r="H1430">
        <v>0.84910790000000003</v>
      </c>
      <c r="I1430">
        <v>314.54160000000002</v>
      </c>
      <c r="J1430">
        <v>-191.0566</v>
      </c>
      <c r="K1430">
        <v>1.1202129999999999</v>
      </c>
      <c r="L1430">
        <v>314.99560000000002</v>
      </c>
      <c r="M1430">
        <v>-2.5074969999999999E-2</v>
      </c>
      <c r="N1430">
        <v>-1.0139850000000001E-2</v>
      </c>
      <c r="O1430">
        <v>-0.99963440000000003</v>
      </c>
      <c r="P1430">
        <v>-0.13169710000000001</v>
      </c>
      <c r="Q1430">
        <v>0.17580399999999999</v>
      </c>
      <c r="R1430">
        <v>-0.97557649999999996</v>
      </c>
      <c r="S1430">
        <v>-0.47679139999999998</v>
      </c>
      <c r="T1430">
        <v>-1.1765209999999999</v>
      </c>
      <c r="U1430">
        <v>-3.2221980000000001</v>
      </c>
      <c r="V1430">
        <v>0.1075643</v>
      </c>
      <c r="W1430">
        <v>0.18550220000000001</v>
      </c>
      <c r="X1430">
        <v>0.97673889999999997</v>
      </c>
      <c r="Y1430">
        <v>0.1130776</v>
      </c>
      <c r="Z1430">
        <v>0.33057789999999998</v>
      </c>
      <c r="AA1430">
        <v>0.93698009999999998</v>
      </c>
      <c r="AB1430">
        <v>28</v>
      </c>
      <c r="AC1430">
        <v>-0.102000000000003</v>
      </c>
      <c r="AD1430">
        <v>-0.27110509999999899</v>
      </c>
      <c r="AE1430">
        <v>-0.45400000000000701</v>
      </c>
      <c r="AF1430">
        <v>6.7627178940004098E-2</v>
      </c>
      <c r="AG1430">
        <v>-0.27110509999999899</v>
      </c>
      <c r="AH1430">
        <v>0.34074777141199503</v>
      </c>
      <c r="AI1430">
        <v>127.96836945612699</v>
      </c>
      <c r="AJ1430">
        <v>78.774550010520002</v>
      </c>
      <c r="AK1430">
        <v>0.44065911348755099</v>
      </c>
      <c r="AL1430">
        <v>79.309586974974707</v>
      </c>
      <c r="AM1430">
        <v>83.7155714365406</v>
      </c>
      <c r="AN1430">
        <v>1.00000001180626</v>
      </c>
    </row>
    <row r="1431" spans="1:40" x14ac:dyDescent="0.25">
      <c r="A1431" t="str">
        <f>"20190303162807421"</f>
        <v>20190303162807421</v>
      </c>
      <c r="B1431" t="str">
        <f>"1551601687413287"</f>
        <v>1551601687413287</v>
      </c>
      <c r="C1431" t="s">
        <v>40</v>
      </c>
      <c r="D1431">
        <v>5.3187709999999999</v>
      </c>
      <c r="E1431">
        <v>0.51462019999999997</v>
      </c>
      <c r="F1431" t="s">
        <v>44</v>
      </c>
      <c r="G1431">
        <v>-191.16460000000001</v>
      </c>
      <c r="H1431">
        <v>0.86110710000000001</v>
      </c>
      <c r="I1431">
        <v>314.28320000000002</v>
      </c>
      <c r="J1431">
        <v>-191.0651</v>
      </c>
      <c r="K1431">
        <v>1.1202049999999999</v>
      </c>
      <c r="L1431">
        <v>314.70549999999997</v>
      </c>
      <c r="M1431">
        <v>-2.6179649999999999E-2</v>
      </c>
      <c r="N1431">
        <v>-1.0180359999999999E-2</v>
      </c>
      <c r="O1431">
        <v>-0.99960550000000004</v>
      </c>
      <c r="P1431">
        <v>-0.13510179999999899</v>
      </c>
      <c r="Q1431">
        <v>0.1760487</v>
      </c>
      <c r="R1431">
        <v>-0.97506649999999995</v>
      </c>
      <c r="S1431">
        <v>-0.48774719999999999</v>
      </c>
      <c r="T1431">
        <v>-1.171197</v>
      </c>
      <c r="U1431">
        <v>-3.2203059999999999</v>
      </c>
      <c r="V1431">
        <v>0.10990519999999999</v>
      </c>
      <c r="W1431">
        <v>0.18577579999999999</v>
      </c>
      <c r="X1431">
        <v>0.97642620000000002</v>
      </c>
      <c r="Y1431">
        <v>0.115245</v>
      </c>
      <c r="Z1431">
        <v>0.32921899999999998</v>
      </c>
      <c r="AA1431">
        <v>0.93719450000000004</v>
      </c>
      <c r="AB1431">
        <v>28</v>
      </c>
      <c r="AC1431">
        <v>-9.9500000000006097E-2</v>
      </c>
      <c r="AD1431">
        <v>-0.25909789999999899</v>
      </c>
      <c r="AE1431">
        <v>-0.42229999999994999</v>
      </c>
      <c r="AF1431">
        <v>6.5168438301604001E-2</v>
      </c>
      <c r="AG1431">
        <v>-0.25909789999999899</v>
      </c>
      <c r="AH1431">
        <v>0.31309886176725499</v>
      </c>
      <c r="AI1431">
        <v>129.013159846191</v>
      </c>
      <c r="AJ1431">
        <v>78.242320651655405</v>
      </c>
      <c r="AK1431">
        <v>0.41159390711602001</v>
      </c>
      <c r="AL1431">
        <v>79.293633012917397</v>
      </c>
      <c r="AM1431">
        <v>83.577895755589296</v>
      </c>
      <c r="AN1431">
        <v>0.99999996244955902</v>
      </c>
    </row>
    <row r="1432" spans="1:40" x14ac:dyDescent="0.25">
      <c r="A1432" t="str">
        <f>"20190303162807443"</f>
        <v>20190303162807443</v>
      </c>
      <c r="B1432" t="str">
        <f>"1551601687432808"</f>
        <v>1551601687432808</v>
      </c>
      <c r="C1432" t="s">
        <v>40</v>
      </c>
      <c r="D1432">
        <v>5.3103930000000004</v>
      </c>
      <c r="E1432">
        <v>0.51393929999999999</v>
      </c>
      <c r="F1432" t="s">
        <v>44</v>
      </c>
      <c r="G1432">
        <v>-191.16909999999999</v>
      </c>
      <c r="H1432">
        <v>0.87237809999999905</v>
      </c>
      <c r="I1432">
        <v>314.0249</v>
      </c>
      <c r="J1432">
        <v>-191.07390000000001</v>
      </c>
      <c r="K1432">
        <v>1.1202080000000001</v>
      </c>
      <c r="L1432">
        <v>314.41590000000002</v>
      </c>
      <c r="M1432">
        <v>-2.728761E-2</v>
      </c>
      <c r="N1432">
        <v>-1.024489E-2</v>
      </c>
      <c r="O1432">
        <v>-0.99957530000000006</v>
      </c>
      <c r="P1432">
        <v>-0.138991</v>
      </c>
      <c r="Q1432">
        <v>0.17574589999999901</v>
      </c>
      <c r="R1432">
        <v>-0.97457459999999996</v>
      </c>
      <c r="S1432">
        <v>-0.49174499999999999</v>
      </c>
      <c r="T1432">
        <v>-1.172493</v>
      </c>
      <c r="U1432">
        <v>-3.2202760000000001</v>
      </c>
      <c r="V1432">
        <v>0.1127253</v>
      </c>
      <c r="W1432">
        <v>0.1855251</v>
      </c>
      <c r="X1432">
        <v>0.97615240000000003</v>
      </c>
      <c r="Y1432">
        <v>0.1152695</v>
      </c>
      <c r="Z1432">
        <v>0.32945269999999999</v>
      </c>
      <c r="AA1432">
        <v>0.93710939999999998</v>
      </c>
      <c r="AB1432">
        <v>28</v>
      </c>
      <c r="AC1432">
        <v>-9.5199999999976997E-2</v>
      </c>
      <c r="AD1432">
        <v>-0.24782989999999999</v>
      </c>
      <c r="AE1432">
        <v>-0.391000000000019</v>
      </c>
      <c r="AF1432">
        <v>6.1260562879370803E-2</v>
      </c>
      <c r="AG1432">
        <v>-0.24782989999999999</v>
      </c>
      <c r="AH1432">
        <v>0.28526235699741598</v>
      </c>
      <c r="AI1432">
        <v>130.34500140342701</v>
      </c>
      <c r="AJ1432">
        <v>77.879721039113306</v>
      </c>
      <c r="AK1432">
        <v>0.382814743992481</v>
      </c>
      <c r="AL1432">
        <v>79.308251942468402</v>
      </c>
      <c r="AM1432">
        <v>83.412707203121499</v>
      </c>
      <c r="AN1432">
        <v>1.0000000320079201</v>
      </c>
    </row>
    <row r="1433" spans="1:40" x14ac:dyDescent="0.25">
      <c r="A1433" t="str">
        <f>"20190303162807464"</f>
        <v>20190303162807464</v>
      </c>
      <c r="B1433" t="str">
        <f>"1551601687452327"</f>
        <v>1551601687452327</v>
      </c>
      <c r="C1433" t="s">
        <v>40</v>
      </c>
      <c r="D1433">
        <v>5.3018999999999998</v>
      </c>
      <c r="E1433">
        <v>0.51340160000000001</v>
      </c>
      <c r="F1433" t="s">
        <v>44</v>
      </c>
      <c r="G1433">
        <v>-191.209</v>
      </c>
      <c r="H1433">
        <v>0.80305280000000001</v>
      </c>
      <c r="I1433">
        <v>313.54509999999999</v>
      </c>
      <c r="J1433">
        <v>-191.0821</v>
      </c>
      <c r="K1433">
        <v>1.1202179999999999</v>
      </c>
      <c r="L1433">
        <v>314.15550000000002</v>
      </c>
      <c r="M1433">
        <v>-2.8286889999999999E-2</v>
      </c>
      <c r="N1433">
        <v>-1.033071E-2</v>
      </c>
      <c r="O1433">
        <v>-0.9995465</v>
      </c>
      <c r="P1433">
        <v>-0.14312429999999901</v>
      </c>
      <c r="Q1433">
        <v>0.1752619</v>
      </c>
      <c r="R1433">
        <v>-0.97406320000000002</v>
      </c>
      <c r="S1433">
        <v>-0.49876399999999999</v>
      </c>
      <c r="T1433">
        <v>-1.172131</v>
      </c>
      <c r="U1433">
        <v>-3.2185670000000002</v>
      </c>
      <c r="V1433">
        <v>0.1158955</v>
      </c>
      <c r="W1433">
        <v>0.18511369999999999</v>
      </c>
      <c r="X1433">
        <v>0.97585920000000004</v>
      </c>
      <c r="Y1433">
        <v>0.1163492</v>
      </c>
      <c r="Z1433">
        <v>0.32935399999999998</v>
      </c>
      <c r="AA1433">
        <v>0.93701060000000003</v>
      </c>
      <c r="AB1433">
        <v>28</v>
      </c>
      <c r="AC1433">
        <v>-0.12690000000000601</v>
      </c>
      <c r="AD1433">
        <v>-0.31716519999999898</v>
      </c>
      <c r="AE1433">
        <v>-0.61040000000002603</v>
      </c>
      <c r="AF1433">
        <v>8.7052670633114504E-2</v>
      </c>
      <c r="AG1433">
        <v>-0.31716519999999898</v>
      </c>
      <c r="AH1433">
        <v>0.48756363095489003</v>
      </c>
      <c r="AI1433">
        <v>122.634813697396</v>
      </c>
      <c r="AJ1433">
        <v>79.876724950885205</v>
      </c>
      <c r="AK1433">
        <v>0.58812432850997898</v>
      </c>
      <c r="AL1433">
        <v>79.332238720474606</v>
      </c>
      <c r="AM1433">
        <v>83.227132536908996</v>
      </c>
      <c r="AN1433">
        <v>1.0000000135362901</v>
      </c>
    </row>
    <row r="1434" spans="1:40" x14ac:dyDescent="0.25">
      <c r="A1434" t="str">
        <f>"20190303162807487"</f>
        <v>20190303162807487</v>
      </c>
      <c r="B1434" t="str">
        <f>"1551601687482583"</f>
        <v>1551601687482583</v>
      </c>
      <c r="C1434" t="s">
        <v>40</v>
      </c>
      <c r="D1434">
        <v>5.3068499999999998</v>
      </c>
      <c r="E1434">
        <v>0.51302979999999998</v>
      </c>
      <c r="F1434" t="s">
        <v>44</v>
      </c>
      <c r="G1434">
        <v>-191.21879999999999</v>
      </c>
      <c r="H1434">
        <v>0.8050851</v>
      </c>
      <c r="I1434">
        <v>313.2903</v>
      </c>
      <c r="J1434">
        <v>-191.09139999999999</v>
      </c>
      <c r="K1434">
        <v>1.1202350000000001</v>
      </c>
      <c r="L1434">
        <v>313.86930000000001</v>
      </c>
      <c r="M1434">
        <v>-2.9385430000000001E-2</v>
      </c>
      <c r="N1434">
        <v>-1.043696E-2</v>
      </c>
      <c r="O1434">
        <v>-0.99951380000000001</v>
      </c>
      <c r="P1434">
        <v>-0.1472715</v>
      </c>
      <c r="Q1434">
        <v>0.17475950000000001</v>
      </c>
      <c r="R1434">
        <v>-0.97353509999999999</v>
      </c>
      <c r="S1434">
        <v>-0.50779719999999995</v>
      </c>
      <c r="T1434">
        <v>-1.171316</v>
      </c>
      <c r="U1434">
        <v>-3.2160030000000002</v>
      </c>
      <c r="V1434">
        <v>0.1189833</v>
      </c>
      <c r="W1434">
        <v>0.18470410000000001</v>
      </c>
      <c r="X1434">
        <v>0.97556509999999996</v>
      </c>
      <c r="Y1434">
        <v>0.11794499999999999</v>
      </c>
      <c r="Z1434">
        <v>0.3291712</v>
      </c>
      <c r="AA1434">
        <v>0.93687529999999997</v>
      </c>
      <c r="AB1434">
        <v>28</v>
      </c>
      <c r="AC1434">
        <v>-0.12739999999999399</v>
      </c>
      <c r="AD1434">
        <v>-0.31514989999999998</v>
      </c>
      <c r="AE1434">
        <v>-0.57900000000000695</v>
      </c>
      <c r="AF1434">
        <v>8.6021728976945697E-2</v>
      </c>
      <c r="AG1434">
        <v>-0.31514989999999998</v>
      </c>
      <c r="AH1434">
        <v>0.45415732807542503</v>
      </c>
      <c r="AI1434">
        <v>124.286164032828</v>
      </c>
      <c r="AJ1434">
        <v>79.274688765740905</v>
      </c>
      <c r="AK1434">
        <v>0.55944443510575903</v>
      </c>
      <c r="AL1434">
        <v>79.356118155505101</v>
      </c>
      <c r="AM1434">
        <v>83.046351195545796</v>
      </c>
      <c r="AN1434">
        <v>0.99999994728685304</v>
      </c>
    </row>
    <row r="1435" spans="1:40" x14ac:dyDescent="0.25">
      <c r="A1435" t="str">
        <f>"20190303162807510"</f>
        <v>20190303162807510</v>
      </c>
      <c r="B1435" t="str">
        <f>"1551601687503079"</f>
        <v>1551601687503079</v>
      </c>
      <c r="C1435" t="s">
        <v>40</v>
      </c>
      <c r="D1435">
        <v>5.311801</v>
      </c>
      <c r="E1435">
        <v>0.51263359999999902</v>
      </c>
      <c r="F1435" t="s">
        <v>44</v>
      </c>
      <c r="G1435">
        <v>-191.22669999999999</v>
      </c>
      <c r="H1435">
        <v>0.81515099999999996</v>
      </c>
      <c r="I1435">
        <v>313.03210000000001</v>
      </c>
      <c r="J1435">
        <v>-191.10159999999999</v>
      </c>
      <c r="K1435">
        <v>1.120255</v>
      </c>
      <c r="L1435">
        <v>313.5659</v>
      </c>
      <c r="M1435">
        <v>-3.0548579999999999E-2</v>
      </c>
      <c r="N1435">
        <v>-1.055874E-2</v>
      </c>
      <c r="O1435">
        <v>-0.99947759999999997</v>
      </c>
      <c r="P1435">
        <v>-0.15148539999999999</v>
      </c>
      <c r="Q1435">
        <v>0.17507410000000001</v>
      </c>
      <c r="R1435">
        <v>-0.97283180000000002</v>
      </c>
      <c r="S1435">
        <v>-0.51921079999999997</v>
      </c>
      <c r="T1435">
        <v>-1.1709830000000001</v>
      </c>
      <c r="U1435">
        <v>-3.2132260000000001</v>
      </c>
      <c r="V1435">
        <v>0.12208189999999999</v>
      </c>
      <c r="W1435">
        <v>0.18512500000000001</v>
      </c>
      <c r="X1435">
        <v>0.97510240000000004</v>
      </c>
      <c r="Y1435">
        <v>0.12015770000000001</v>
      </c>
      <c r="Z1435">
        <v>0.3290843</v>
      </c>
      <c r="AA1435">
        <v>0.93662460000000003</v>
      </c>
      <c r="AB1435">
        <v>28</v>
      </c>
      <c r="AC1435">
        <v>-0.12510000000000299</v>
      </c>
      <c r="AD1435">
        <v>-0.30510399999999899</v>
      </c>
      <c r="AE1435">
        <v>-0.53379999999998495</v>
      </c>
      <c r="AF1435">
        <v>8.3023025975097295E-2</v>
      </c>
      <c r="AG1435">
        <v>-0.30510399999999899</v>
      </c>
      <c r="AH1435">
        <v>0.41030735751293301</v>
      </c>
      <c r="AI1435">
        <v>126.085619429689</v>
      </c>
      <c r="AJ1435">
        <v>78.561017687380797</v>
      </c>
      <c r="AK1435">
        <v>0.51800907452216305</v>
      </c>
      <c r="AL1435">
        <v>79.331579455728104</v>
      </c>
      <c r="AM1435">
        <v>82.863754319295893</v>
      </c>
      <c r="AN1435">
        <v>0.99999997320918399</v>
      </c>
    </row>
    <row r="1436" spans="1:40" x14ac:dyDescent="0.25">
      <c r="A1436" t="str">
        <f>"20190303162807534"</f>
        <v>20190303162807534</v>
      </c>
      <c r="B1436" t="str">
        <f>"1551601687522599"</f>
        <v>1551601687522599</v>
      </c>
      <c r="C1436" t="s">
        <v>40</v>
      </c>
      <c r="D1436">
        <v>5.2676740000000004</v>
      </c>
      <c r="E1436">
        <v>0.51868740000000002</v>
      </c>
      <c r="F1436" t="s">
        <v>44</v>
      </c>
      <c r="G1436">
        <v>-191.23259999999999</v>
      </c>
      <c r="H1436">
        <v>0.83126749999999905</v>
      </c>
      <c r="I1436">
        <v>312.7715</v>
      </c>
      <c r="J1436">
        <v>-191.11199999999999</v>
      </c>
      <c r="K1436">
        <v>1.1202669999999999</v>
      </c>
      <c r="L1436">
        <v>313.2688</v>
      </c>
      <c r="M1436">
        <v>-3.1687229999999997E-2</v>
      </c>
      <c r="N1436">
        <v>-1.0683079999999999E-2</v>
      </c>
      <c r="O1436">
        <v>-0.99944080000000002</v>
      </c>
      <c r="P1436">
        <v>-0.15619169999999999</v>
      </c>
      <c r="Q1436">
        <v>0.17618329999999999</v>
      </c>
      <c r="R1436">
        <v>-0.97188669999999999</v>
      </c>
      <c r="S1436">
        <v>-0.52888489999999999</v>
      </c>
      <c r="T1436">
        <v>-1.168356</v>
      </c>
      <c r="U1436">
        <v>-3.2117309999999999</v>
      </c>
      <c r="V1436">
        <v>0.12570609999999999</v>
      </c>
      <c r="W1436">
        <v>0.18634039999999999</v>
      </c>
      <c r="X1436">
        <v>0.9744102</v>
      </c>
      <c r="Y1436">
        <v>0.12188259999999999</v>
      </c>
      <c r="Z1436">
        <v>0.32830679999999901</v>
      </c>
      <c r="AA1436">
        <v>0.93667460000000002</v>
      </c>
      <c r="AB1436">
        <v>28</v>
      </c>
      <c r="AC1436">
        <v>-0.120599999999996</v>
      </c>
      <c r="AD1436">
        <v>-0.28899950000000002</v>
      </c>
      <c r="AE1436">
        <v>-0.49729999999999502</v>
      </c>
      <c r="AF1436">
        <v>7.9441620424804904E-2</v>
      </c>
      <c r="AG1436">
        <v>-0.28899950000000002</v>
      </c>
      <c r="AH1436">
        <v>0.37974707665405899</v>
      </c>
      <c r="AI1436">
        <v>126.682661347208</v>
      </c>
      <c r="AJ1436">
        <v>78.184340747090801</v>
      </c>
      <c r="AK1436">
        <v>0.48377631637283802</v>
      </c>
      <c r="AL1436">
        <v>79.260709359274301</v>
      </c>
      <c r="AM1436">
        <v>82.649023111020895</v>
      </c>
      <c r="AN1436">
        <v>1.0000000030567</v>
      </c>
    </row>
    <row r="1437" spans="1:40" x14ac:dyDescent="0.25">
      <c r="A1437" t="str">
        <f>"20190303162807577"</f>
        <v>20190303162807577</v>
      </c>
      <c r="B1437" t="str">
        <f>"1551601687572375"</f>
        <v>1551601687572375</v>
      </c>
      <c r="C1437" t="s">
        <v>40</v>
      </c>
      <c r="D1437">
        <v>5.3297439999999998</v>
      </c>
      <c r="E1437">
        <v>0.52935559999999904</v>
      </c>
      <c r="F1437" t="s">
        <v>44</v>
      </c>
      <c r="G1437">
        <v>-191.26410000000001</v>
      </c>
      <c r="H1437">
        <v>0.93251530000000005</v>
      </c>
      <c r="I1437">
        <v>312.4742</v>
      </c>
      <c r="J1437">
        <v>-191.1318</v>
      </c>
      <c r="K1437">
        <v>1.120295</v>
      </c>
      <c r="L1437">
        <v>312.72620000000001</v>
      </c>
      <c r="M1437">
        <v>-3.3765969999999999E-2</v>
      </c>
      <c r="N1437">
        <v>-1.089529E-2</v>
      </c>
      <c r="O1437">
        <v>-0.9993708</v>
      </c>
      <c r="P1437">
        <v>-0.16625119999999999</v>
      </c>
      <c r="Q1437">
        <v>0.17672270000000001</v>
      </c>
      <c r="R1437">
        <v>-0.97011879999999995</v>
      </c>
      <c r="S1437">
        <v>-0.59764099999999998</v>
      </c>
      <c r="T1437">
        <v>-0.73833919999999997</v>
      </c>
      <c r="U1437">
        <v>-3.1245419999999999</v>
      </c>
      <c r="V1437">
        <v>0.13378950000000001</v>
      </c>
      <c r="W1437">
        <v>0.1870571</v>
      </c>
      <c r="X1437">
        <v>0.97319580000000006</v>
      </c>
      <c r="Y1437">
        <v>0.14996309999999999</v>
      </c>
      <c r="Z1437">
        <v>0.2159518</v>
      </c>
      <c r="AA1437">
        <v>0.96481910000000004</v>
      </c>
      <c r="AB1437">
        <v>28</v>
      </c>
      <c r="AC1437">
        <v>-0.13230000000001399</v>
      </c>
      <c r="AD1437">
        <v>-0.18777969999999999</v>
      </c>
      <c r="AE1437">
        <v>-0.25200000000000899</v>
      </c>
      <c r="AF1437">
        <v>8.6195472374700904E-2</v>
      </c>
      <c r="AG1437">
        <v>-0.18777969999999999</v>
      </c>
      <c r="AH1437">
        <v>0.17858744371656601</v>
      </c>
      <c r="AI1437">
        <v>133.43904249796799</v>
      </c>
      <c r="AJ1437">
        <v>64.235656668457096</v>
      </c>
      <c r="AK1437">
        <v>0.27310135525699197</v>
      </c>
      <c r="AL1437">
        <v>79.218910795102104</v>
      </c>
      <c r="AM1437">
        <v>82.172363552255902</v>
      </c>
      <c r="AN1437">
        <v>1.00000002705414</v>
      </c>
    </row>
    <row r="1438" spans="1:40" x14ac:dyDescent="0.25">
      <c r="A1438" t="str">
        <f>"20190303162807599"</f>
        <v>20190303162807599</v>
      </c>
      <c r="B1438" t="str">
        <f>"1551601687592872"</f>
        <v>1551601687592872</v>
      </c>
      <c r="C1438" t="s">
        <v>40</v>
      </c>
      <c r="D1438">
        <v>5.3450610000000003</v>
      </c>
      <c r="E1438">
        <v>0.52979549999999997</v>
      </c>
      <c r="F1438" t="s">
        <v>44</v>
      </c>
      <c r="G1438">
        <v>-191.32060000000001</v>
      </c>
      <c r="H1438">
        <v>1.0144409999999999</v>
      </c>
      <c r="I1438">
        <v>311.92700000000002</v>
      </c>
      <c r="J1438">
        <v>-191.14269999999999</v>
      </c>
      <c r="K1438">
        <v>1.1203080000000001</v>
      </c>
      <c r="L1438">
        <v>312.43959999999998</v>
      </c>
      <c r="M1438">
        <v>-3.4863949999999998E-2</v>
      </c>
      <c r="N1438">
        <v>-1.0994189999999999E-2</v>
      </c>
      <c r="O1438">
        <v>-0.99933159999999999</v>
      </c>
      <c r="P1438">
        <v>-0.17063439999999999</v>
      </c>
      <c r="Q1438">
        <v>0.1756635</v>
      </c>
      <c r="R1438">
        <v>-0.96954949999999995</v>
      </c>
      <c r="S1438">
        <v>-0.71797180000000005</v>
      </c>
      <c r="T1438">
        <v>-0.40314040000000001</v>
      </c>
      <c r="U1438">
        <v>-3.042786</v>
      </c>
      <c r="V1438">
        <v>0.1371154</v>
      </c>
      <c r="W1438">
        <v>0.186085</v>
      </c>
      <c r="X1438">
        <v>0.97291919999999998</v>
      </c>
      <c r="Y1438">
        <v>0.19384460000000001</v>
      </c>
      <c r="Z1438">
        <v>0.11738469999999999</v>
      </c>
      <c r="AA1438">
        <v>0.97398410000000002</v>
      </c>
      <c r="AB1438">
        <v>28</v>
      </c>
      <c r="AC1438">
        <v>-0.17790000000002201</v>
      </c>
      <c r="AD1438">
        <v>-0.105867</v>
      </c>
      <c r="AE1438">
        <v>-0.51259999999996297</v>
      </c>
      <c r="AF1438">
        <v>0.154054765695707</v>
      </c>
      <c r="AG1438">
        <v>-0.105867</v>
      </c>
      <c r="AH1438">
        <v>0.499476381779899</v>
      </c>
      <c r="AI1438">
        <v>101.449846088627</v>
      </c>
      <c r="AJ1438">
        <v>72.8585353472712</v>
      </c>
      <c r="AK1438">
        <v>0.53330793026027501</v>
      </c>
      <c r="AL1438">
        <v>79.275603331693205</v>
      </c>
      <c r="AM1438">
        <v>81.978025980767697</v>
      </c>
      <c r="AN1438">
        <v>1.00000001493539</v>
      </c>
    </row>
    <row r="1439" spans="1:40" x14ac:dyDescent="0.25">
      <c r="A1439" t="str">
        <f>"20190303162807621"</f>
        <v>20190303162807621</v>
      </c>
      <c r="B1439" t="str">
        <f>"1551601687612392"</f>
        <v>1551601687612392</v>
      </c>
      <c r="C1439" t="s">
        <v>40</v>
      </c>
      <c r="D1439">
        <v>5.3327559999999998</v>
      </c>
      <c r="E1439">
        <v>0.53017979999999998</v>
      </c>
      <c r="F1439" t="s">
        <v>44</v>
      </c>
      <c r="G1439">
        <v>-191.3306</v>
      </c>
      <c r="H1439">
        <v>1.025574</v>
      </c>
      <c r="I1439">
        <v>311.66520000000003</v>
      </c>
      <c r="J1439">
        <v>-191.15379999999999</v>
      </c>
      <c r="K1439">
        <v>1.1203160000000001</v>
      </c>
      <c r="L1439">
        <v>312.15699999999998</v>
      </c>
      <c r="M1439">
        <v>-3.5946569999999997E-2</v>
      </c>
      <c r="N1439">
        <v>-1.108281E-2</v>
      </c>
      <c r="O1439">
        <v>-0.99929239999999997</v>
      </c>
      <c r="P1439">
        <v>-0.1748671</v>
      </c>
      <c r="Q1439">
        <v>0.17558109999999999</v>
      </c>
      <c r="R1439">
        <v>-0.96881010000000001</v>
      </c>
      <c r="S1439">
        <v>-0.73526000000000002</v>
      </c>
      <c r="T1439">
        <v>-0.37099529999999997</v>
      </c>
      <c r="U1439">
        <v>-3.0320740000000002</v>
      </c>
      <c r="V1439">
        <v>0.14031469999999999</v>
      </c>
      <c r="W1439">
        <v>0.18607850000000001</v>
      </c>
      <c r="X1439">
        <v>0.9724642</v>
      </c>
      <c r="Y1439">
        <v>0.19907040000000001</v>
      </c>
      <c r="Z1439">
        <v>0.10746650000000001</v>
      </c>
      <c r="AA1439">
        <v>0.97407489999999997</v>
      </c>
      <c r="AB1439">
        <v>28</v>
      </c>
      <c r="AC1439">
        <v>-0.176800000000014</v>
      </c>
      <c r="AD1439">
        <v>-9.4742000000000104E-2</v>
      </c>
      <c r="AE1439">
        <v>-0.491799999999955</v>
      </c>
      <c r="AF1439">
        <v>0.15394678044818799</v>
      </c>
      <c r="AG1439">
        <v>-9.4742000000000104E-2</v>
      </c>
      <c r="AH1439">
        <v>0.48199740776534999</v>
      </c>
      <c r="AI1439">
        <v>100.605407441957</v>
      </c>
      <c r="AJ1439">
        <v>72.286862278267407</v>
      </c>
      <c r="AK1439">
        <v>0.51477874748952102</v>
      </c>
      <c r="AL1439">
        <v>79.275982448352494</v>
      </c>
      <c r="AM1439">
        <v>81.789583735176393</v>
      </c>
      <c r="AN1439">
        <v>1.00000002173998</v>
      </c>
    </row>
    <row r="1440" spans="1:40" x14ac:dyDescent="0.25">
      <c r="A1440" t="str">
        <f>"20190303162807645"</f>
        <v>20190303162807645</v>
      </c>
      <c r="B1440" t="str">
        <f>"1551601687632419"</f>
        <v>1551601687632419</v>
      </c>
      <c r="C1440" t="s">
        <v>40</v>
      </c>
      <c r="D1440">
        <v>5.461608</v>
      </c>
      <c r="E1440">
        <v>0.53000970000000003</v>
      </c>
      <c r="F1440" t="s">
        <v>41</v>
      </c>
      <c r="G1440">
        <v>-193.55350000000001</v>
      </c>
      <c r="H1440" s="1">
        <v>-2.1962479999999999E-6</v>
      </c>
      <c r="I1440">
        <v>302.50459999999998</v>
      </c>
      <c r="J1440">
        <v>-191.16569999999999</v>
      </c>
      <c r="K1440">
        <v>1.120328</v>
      </c>
      <c r="L1440">
        <v>311.86110000000002</v>
      </c>
      <c r="M1440">
        <v>-3.7079769999999998E-2</v>
      </c>
      <c r="N1440">
        <v>-1.116515E-2</v>
      </c>
      <c r="O1440">
        <v>-0.99925010000000003</v>
      </c>
      <c r="P1440">
        <v>-0.17948</v>
      </c>
      <c r="Q1440">
        <v>0.17659320000000001</v>
      </c>
      <c r="R1440">
        <v>-0.96778220000000004</v>
      </c>
      <c r="S1440">
        <v>-0.75193789999999905</v>
      </c>
      <c r="T1440">
        <v>-0.3510392</v>
      </c>
      <c r="U1440">
        <v>-3.0244749999999998</v>
      </c>
      <c r="V1440">
        <v>0.14385870000000001</v>
      </c>
      <c r="W1440">
        <v>0.1871555</v>
      </c>
      <c r="X1440">
        <v>0.97173940000000003</v>
      </c>
      <c r="Y1440">
        <v>0.20374320000000001</v>
      </c>
      <c r="Z1440">
        <v>0.1012304</v>
      </c>
      <c r="AA1440">
        <v>0.97377670000000005</v>
      </c>
      <c r="AB1440">
        <v>28</v>
      </c>
      <c r="AC1440">
        <v>-2.3878000000000199</v>
      </c>
      <c r="AD1440">
        <v>-1.1203301962479999</v>
      </c>
      <c r="AE1440">
        <v>-9.3565000000000396</v>
      </c>
      <c r="AF1440">
        <v>2.0121150797361098</v>
      </c>
      <c r="AG1440">
        <v>-1.1203301962479999</v>
      </c>
      <c r="AH1440">
        <v>9.3132477997760805</v>
      </c>
      <c r="AI1440">
        <v>96.706124746747705</v>
      </c>
      <c r="AJ1440">
        <v>77.808700902789099</v>
      </c>
      <c r="AK1440">
        <v>9.5937652370047299</v>
      </c>
      <c r="AL1440">
        <v>79.213171064737793</v>
      </c>
      <c r="AM1440">
        <v>81.578955998867499</v>
      </c>
      <c r="AN1440">
        <v>0.99999998412914903</v>
      </c>
    </row>
    <row r="1441" spans="1:40" x14ac:dyDescent="0.25">
      <c r="A1441" t="str">
        <f>"20190303162807690"</f>
        <v>20190303162807690</v>
      </c>
      <c r="B1441" t="str">
        <f>"1551601687683171"</f>
        <v>1551601687683171</v>
      </c>
      <c r="C1441" t="s">
        <v>40</v>
      </c>
      <c r="D1441">
        <v>5.3284339999999997</v>
      </c>
      <c r="E1441">
        <v>0.52934950000000003</v>
      </c>
      <c r="F1441" t="s">
        <v>41</v>
      </c>
      <c r="G1441">
        <v>-193.7749</v>
      </c>
      <c r="H1441" s="1">
        <v>-1.8511120000000001E-6</v>
      </c>
      <c r="I1441">
        <v>301.56279999999998</v>
      </c>
      <c r="J1441">
        <v>-191.18989999999999</v>
      </c>
      <c r="K1441">
        <v>1.1203289999999999</v>
      </c>
      <c r="L1441">
        <v>311.28429999999997</v>
      </c>
      <c r="M1441">
        <v>-3.9284689999999997E-2</v>
      </c>
      <c r="N1441">
        <v>-1.126687E-2</v>
      </c>
      <c r="O1441">
        <v>-0.99916450000000001</v>
      </c>
      <c r="P1441">
        <v>-0.18751870000000001</v>
      </c>
      <c r="Q1441">
        <v>0.17646239999999999</v>
      </c>
      <c r="R1441">
        <v>-0.96628049999999999</v>
      </c>
      <c r="S1441">
        <v>-0.76464840000000001</v>
      </c>
      <c r="T1441">
        <v>-0.32831680000000002</v>
      </c>
      <c r="U1441">
        <v>-3.017944</v>
      </c>
      <c r="V1441">
        <v>0.1497996</v>
      </c>
      <c r="W1441">
        <v>0.18710299999999999</v>
      </c>
      <c r="X1441">
        <v>0.97085149999999998</v>
      </c>
      <c r="Y1441">
        <v>0.20611160000000001</v>
      </c>
      <c r="Z1441">
        <v>9.4068189999999996E-2</v>
      </c>
      <c r="AA1441">
        <v>0.97399650000000004</v>
      </c>
      <c r="AB1441">
        <v>28</v>
      </c>
      <c r="AC1441">
        <v>-2.585</v>
      </c>
      <c r="AD1441">
        <v>-1.120330851112</v>
      </c>
      <c r="AE1441">
        <v>-9.72149999999999</v>
      </c>
      <c r="AF1441">
        <v>2.1741066521833701</v>
      </c>
      <c r="AG1441">
        <v>-1.120330851112</v>
      </c>
      <c r="AH1441">
        <v>9.6952931946544094</v>
      </c>
      <c r="AI1441">
        <v>96.433154293945705</v>
      </c>
      <c r="AJ1441">
        <v>77.360877902325299</v>
      </c>
      <c r="AK1441">
        <v>9.9990295069738409</v>
      </c>
      <c r="AL1441">
        <v>79.216233837030103</v>
      </c>
      <c r="AM1441">
        <v>81.228597859826195</v>
      </c>
      <c r="AN1441">
        <v>1.0000000439107</v>
      </c>
    </row>
    <row r="1442" spans="1:40" x14ac:dyDescent="0.25">
      <c r="A1442" t="str">
        <f>"20190303162807712"</f>
        <v>20190303162807712</v>
      </c>
      <c r="B1442" t="str">
        <f>"1551601687702691"</f>
        <v>1551601687702691</v>
      </c>
      <c r="C1442" t="s">
        <v>40</v>
      </c>
      <c r="D1442">
        <v>5.4669299999999996</v>
      </c>
      <c r="E1442">
        <v>0.52889059999999999</v>
      </c>
      <c r="F1442" t="s">
        <v>41</v>
      </c>
      <c r="G1442">
        <v>-194.0378</v>
      </c>
      <c r="H1442" s="1">
        <v>-1.3973229999999999E-6</v>
      </c>
      <c r="I1442">
        <v>300.34199999999998</v>
      </c>
      <c r="J1442">
        <v>-191.20230000000001</v>
      </c>
      <c r="K1442">
        <v>1.120328</v>
      </c>
      <c r="L1442">
        <v>310.99950000000001</v>
      </c>
      <c r="M1442">
        <v>-4.0373840000000001E-2</v>
      </c>
      <c r="N1442">
        <v>-1.129967E-2</v>
      </c>
      <c r="O1442">
        <v>-0.99912080000000003</v>
      </c>
      <c r="P1442">
        <v>-0.19098689999999999</v>
      </c>
      <c r="Q1442">
        <v>0.17593839999999999</v>
      </c>
      <c r="R1442">
        <v>-0.96569649999999996</v>
      </c>
      <c r="S1442">
        <v>-0.78311160000000002</v>
      </c>
      <c r="T1442">
        <v>-0.30807069999999998</v>
      </c>
      <c r="U1442">
        <v>-3.0089419999999998</v>
      </c>
      <c r="V1442">
        <v>0.15222629999999901</v>
      </c>
      <c r="W1442">
        <v>0.1866032</v>
      </c>
      <c r="X1442">
        <v>0.97057009999999999</v>
      </c>
      <c r="Y1442">
        <v>0.21149029999999999</v>
      </c>
      <c r="Z1442">
        <v>8.7755780000000005E-2</v>
      </c>
      <c r="AA1442">
        <v>0.97343250000000003</v>
      </c>
      <c r="AB1442">
        <v>28</v>
      </c>
      <c r="AC1442">
        <v>-2.8354999999999899</v>
      </c>
      <c r="AD1442">
        <v>-1.120329397323</v>
      </c>
      <c r="AE1442">
        <v>-10.657500000000001</v>
      </c>
      <c r="AF1442">
        <v>2.3783318237083799</v>
      </c>
      <c r="AG1442">
        <v>-1.120329397323</v>
      </c>
      <c r="AH1442">
        <v>10.6533543711086</v>
      </c>
      <c r="AI1442">
        <v>95.860066270517905</v>
      </c>
      <c r="AJ1442">
        <v>77.415239686801399</v>
      </c>
      <c r="AK1442">
        <v>10.972946713558301</v>
      </c>
      <c r="AL1442">
        <v>79.245382742272298</v>
      </c>
      <c r="AM1442">
        <v>81.086224790374203</v>
      </c>
      <c r="AN1442">
        <v>0.99999995983796897</v>
      </c>
    </row>
    <row r="1443" spans="1:40" x14ac:dyDescent="0.25">
      <c r="A1443" t="str">
        <f>"20190303162807759"</f>
        <v>20190303162807759</v>
      </c>
      <c r="B1443" t="str">
        <f>"1551601687752467"</f>
        <v>1551601687752467</v>
      </c>
      <c r="C1443" t="s">
        <v>40</v>
      </c>
      <c r="D1443">
        <v>5.4229269999999996</v>
      </c>
      <c r="E1443">
        <v>0.52749140000000005</v>
      </c>
      <c r="F1443" t="s">
        <v>41</v>
      </c>
      <c r="G1443">
        <v>-194.10509999999999</v>
      </c>
      <c r="H1443" s="1">
        <v>-1.2474239999999999E-6</v>
      </c>
      <c r="I1443">
        <v>299.95080000000002</v>
      </c>
      <c r="J1443">
        <v>-191.22929999999999</v>
      </c>
      <c r="K1443">
        <v>1.1203190000000001</v>
      </c>
      <c r="L1443">
        <v>310.40300000000002</v>
      </c>
      <c r="M1443">
        <v>-4.2653770000000001E-2</v>
      </c>
      <c r="N1443">
        <v>-1.1333910000000001E-2</v>
      </c>
      <c r="O1443">
        <v>-0.99902570000000002</v>
      </c>
      <c r="P1443">
        <v>-0.1993045</v>
      </c>
      <c r="Q1443">
        <v>0.17656659999999999</v>
      </c>
      <c r="R1443">
        <v>-0.96389959999999997</v>
      </c>
      <c r="S1443">
        <v>-0.78973389999999999</v>
      </c>
      <c r="T1443">
        <v>-0.30479909999999999</v>
      </c>
      <c r="U1443">
        <v>-3.0059200000000001</v>
      </c>
      <c r="V1443">
        <v>0.158393899999999</v>
      </c>
      <c r="W1443">
        <v>0.1872393</v>
      </c>
      <c r="X1443">
        <v>0.96946010000000005</v>
      </c>
      <c r="Y1443">
        <v>0.21152950000000001</v>
      </c>
      <c r="Z1443">
        <v>8.6737519999999999E-2</v>
      </c>
      <c r="AA1443">
        <v>0.97351520000000002</v>
      </c>
      <c r="AB1443">
        <v>28</v>
      </c>
      <c r="AC1443">
        <v>-2.8757999999999901</v>
      </c>
      <c r="AD1443">
        <v>-1.1203202474239999</v>
      </c>
      <c r="AE1443">
        <v>-10.452199999999999</v>
      </c>
      <c r="AF1443">
        <v>2.4016778200316802</v>
      </c>
      <c r="AG1443">
        <v>-1.1203202474239999</v>
      </c>
      <c r="AH1443">
        <v>10.4537107588071</v>
      </c>
      <c r="AI1443">
        <v>95.962839910824698</v>
      </c>
      <c r="AJ1443">
        <v>77.061164467233297</v>
      </c>
      <c r="AK1443">
        <v>10.7843981026676</v>
      </c>
      <c r="AL1443">
        <v>79.208283820960702</v>
      </c>
      <c r="AM1443">
        <v>80.720795498337594</v>
      </c>
      <c r="AN1443">
        <v>1.00000003425685</v>
      </c>
    </row>
    <row r="1444" spans="1:40" x14ac:dyDescent="0.25">
      <c r="A1444" t="str">
        <f>"20190303162807778"</f>
        <v>20190303162807778</v>
      </c>
      <c r="B1444" t="str">
        <f>"1551601687772963"</f>
        <v>1551601687772963</v>
      </c>
      <c r="C1444" t="s">
        <v>40</v>
      </c>
      <c r="D1444">
        <v>5.3361710000000002</v>
      </c>
      <c r="E1444">
        <v>0.52677479999999999</v>
      </c>
      <c r="F1444" t="s">
        <v>47</v>
      </c>
      <c r="G1444">
        <v>-194.32679999999999</v>
      </c>
      <c r="H1444" s="1">
        <v>1.367281E-7</v>
      </c>
      <c r="I1444">
        <v>298.83999999999997</v>
      </c>
      <c r="J1444">
        <v>-191.2413</v>
      </c>
      <c r="K1444">
        <v>1.1203160000000001</v>
      </c>
      <c r="L1444">
        <v>310.14870000000002</v>
      </c>
      <c r="M1444">
        <v>-4.3625329999999997E-2</v>
      </c>
      <c r="N1444">
        <v>-1.1335929999999999E-2</v>
      </c>
      <c r="O1444">
        <v>-0.99898370000000003</v>
      </c>
      <c r="P1444">
        <v>-0.20500280000000001</v>
      </c>
      <c r="Q1444">
        <v>0.1762214</v>
      </c>
      <c r="R1444">
        <v>-0.96276700000000004</v>
      </c>
      <c r="S1444">
        <v>-0.80346680000000004</v>
      </c>
      <c r="T1444">
        <v>-0.29060829999999999</v>
      </c>
      <c r="U1444">
        <v>-2.9994200000000002</v>
      </c>
      <c r="V1444">
        <v>0.1631908</v>
      </c>
      <c r="W1444">
        <v>0.18687770000000001</v>
      </c>
      <c r="X1444">
        <v>0.96873399999999998</v>
      </c>
      <c r="Y1444">
        <v>0.21535979999999999</v>
      </c>
      <c r="Z1444">
        <v>8.2309399999999894E-2</v>
      </c>
      <c r="AA1444">
        <v>0.97305980000000003</v>
      </c>
      <c r="AB1444">
        <v>28</v>
      </c>
      <c r="AC1444">
        <v>-3.0854999999999899</v>
      </c>
      <c r="AD1444">
        <v>-1.1203158632718999</v>
      </c>
      <c r="AE1444">
        <v>-11.3087</v>
      </c>
      <c r="AF1444">
        <v>2.5657485197413399</v>
      </c>
      <c r="AG1444">
        <v>-1.1203158632718999</v>
      </c>
      <c r="AH1444">
        <v>11.3290645862277</v>
      </c>
      <c r="AI1444">
        <v>95.508919587386401</v>
      </c>
      <c r="AJ1444">
        <v>77.239209564727304</v>
      </c>
      <c r="AK1444">
        <v>11.6698705005228</v>
      </c>
      <c r="AL1444">
        <v>79.229374279856501</v>
      </c>
      <c r="AM1444">
        <v>80.437856047394803</v>
      </c>
      <c r="AN1444">
        <v>1.0000000373589599</v>
      </c>
    </row>
    <row r="1445" spans="1:40" x14ac:dyDescent="0.25">
      <c r="A1445" t="str">
        <f>"20190303162807812"</f>
        <v>20190303162807812</v>
      </c>
      <c r="B1445" t="str">
        <f>"1551601687803218"</f>
        <v>1551601687803218</v>
      </c>
      <c r="C1445" t="s">
        <v>40</v>
      </c>
      <c r="D1445">
        <v>5.2710140000000001</v>
      </c>
      <c r="E1445">
        <v>0.52600859999999905</v>
      </c>
      <c r="F1445" t="s">
        <v>47</v>
      </c>
      <c r="G1445">
        <v>-194.4366</v>
      </c>
      <c r="H1445" s="1">
        <v>2.1393000000000001E-7</v>
      </c>
      <c r="I1445">
        <v>298.40159999999997</v>
      </c>
      <c r="J1445">
        <v>-191.2619</v>
      </c>
      <c r="K1445">
        <v>1.120303</v>
      </c>
      <c r="L1445">
        <v>309.71949999999998</v>
      </c>
      <c r="M1445">
        <v>-4.5264569999999997E-2</v>
      </c>
      <c r="N1445">
        <v>-1.132415E-2</v>
      </c>
      <c r="O1445">
        <v>-0.99891099999999999</v>
      </c>
      <c r="P1445">
        <v>-0.2110747</v>
      </c>
      <c r="Q1445">
        <v>0.17418549999999999</v>
      </c>
      <c r="R1445">
        <v>-0.96182520000000005</v>
      </c>
      <c r="S1445">
        <v>-0.81463619999999903</v>
      </c>
      <c r="T1445">
        <v>-0.28561839999999999</v>
      </c>
      <c r="U1445">
        <v>-2.9948429999999999</v>
      </c>
      <c r="V1445">
        <v>0.16770199999999999</v>
      </c>
      <c r="W1445">
        <v>0.18481620000000001</v>
      </c>
      <c r="X1445">
        <v>0.96835890000000002</v>
      </c>
      <c r="Y1445">
        <v>0.2175445</v>
      </c>
      <c r="Z1445">
        <v>8.0789199999999894E-2</v>
      </c>
      <c r="AA1445">
        <v>0.97270109999999999</v>
      </c>
      <c r="AB1445">
        <v>29</v>
      </c>
      <c r="AC1445">
        <v>-3.1747000000000001</v>
      </c>
      <c r="AD1445">
        <v>-1.1203027860699999</v>
      </c>
      <c r="AE1445">
        <v>-11.3179</v>
      </c>
      <c r="AF1445">
        <v>2.6351767540151401</v>
      </c>
      <c r="AG1445">
        <v>-1.1203027860699999</v>
      </c>
      <c r="AH1445">
        <v>11.3469404986537</v>
      </c>
      <c r="AI1445">
        <v>95.493371517413493</v>
      </c>
      <c r="AJ1445">
        <v>76.925576816824005</v>
      </c>
      <c r="AK1445">
        <v>11.702661814192799</v>
      </c>
      <c r="AL1445">
        <v>79.349583069681799</v>
      </c>
      <c r="AM1445">
        <v>80.174873117172993</v>
      </c>
      <c r="AN1445">
        <v>0.99999997389782402</v>
      </c>
    </row>
    <row r="1446" spans="1:40" x14ac:dyDescent="0.25">
      <c r="A1446" t="str">
        <f>"20190303162807836"</f>
        <v>20190303162807836</v>
      </c>
      <c r="B1446" t="str">
        <f>"1551601687832499"</f>
        <v>1551601687832499</v>
      </c>
      <c r="C1446" t="s">
        <v>40</v>
      </c>
      <c r="D1446">
        <v>5.3246719999999996</v>
      </c>
      <c r="E1446">
        <v>0.52552779999999999</v>
      </c>
      <c r="F1446" t="s">
        <v>47</v>
      </c>
      <c r="G1446">
        <v>-194.43350000000001</v>
      </c>
      <c r="H1446" s="1">
        <v>2.3965520000000002E-7</v>
      </c>
      <c r="I1446">
        <v>298.25560000000002</v>
      </c>
      <c r="J1446">
        <v>-191.27709999999999</v>
      </c>
      <c r="K1446">
        <v>1.1202939999999999</v>
      </c>
      <c r="L1446">
        <v>309.41489999999999</v>
      </c>
      <c r="M1446">
        <v>-4.6428230000000001E-2</v>
      </c>
      <c r="N1446">
        <v>-1.130956E-2</v>
      </c>
      <c r="O1446">
        <v>-0.99885760000000001</v>
      </c>
      <c r="P1446">
        <v>-0.21491779999999999</v>
      </c>
      <c r="Q1446">
        <v>0.17388339999999999</v>
      </c>
      <c r="R1446">
        <v>-0.9610282</v>
      </c>
      <c r="S1446">
        <v>-0.82730099999999995</v>
      </c>
      <c r="T1446">
        <v>-0.29223569999999999</v>
      </c>
      <c r="U1446">
        <v>-2.9904169999999999</v>
      </c>
      <c r="V1446">
        <v>0.17044709999999999</v>
      </c>
      <c r="W1446">
        <v>0.18448899999999999</v>
      </c>
      <c r="X1446">
        <v>0.96794190000000002</v>
      </c>
      <c r="Y1446">
        <v>0.2205501</v>
      </c>
      <c r="Z1446">
        <v>8.2963179999999997E-2</v>
      </c>
      <c r="AA1446">
        <v>0.97184090000000001</v>
      </c>
      <c r="AB1446">
        <v>29</v>
      </c>
      <c r="AC1446">
        <v>-3.1564000000000099</v>
      </c>
      <c r="AD1446">
        <v>-1.1202937603448</v>
      </c>
      <c r="AE1446">
        <v>-11.159299999999901</v>
      </c>
      <c r="AF1446">
        <v>2.6104955245997998</v>
      </c>
      <c r="AG1446">
        <v>-1.1202937603448</v>
      </c>
      <c r="AH1446">
        <v>11.1894029336176</v>
      </c>
      <c r="AI1446">
        <v>95.568885813356403</v>
      </c>
      <c r="AJ1446">
        <v>76.867750977396895</v>
      </c>
      <c r="AK1446">
        <v>11.5443701865573</v>
      </c>
      <c r="AL1446">
        <v>79.368658156307703</v>
      </c>
      <c r="AM1446">
        <v>80.013042170625994</v>
      </c>
      <c r="AN1446">
        <v>0.99999996339750896</v>
      </c>
    </row>
    <row r="1447" spans="1:40" x14ac:dyDescent="0.25">
      <c r="A1447" t="str">
        <f>"20190303162807857"</f>
        <v>20190303162807857</v>
      </c>
      <c r="B1447" t="str">
        <f>"1551601687852995"</f>
        <v>1551601687852995</v>
      </c>
      <c r="C1447" t="s">
        <v>40</v>
      </c>
      <c r="D1447">
        <v>5.1891030000000002</v>
      </c>
      <c r="E1447">
        <v>0.52594449999999904</v>
      </c>
      <c r="F1447" t="s">
        <v>47</v>
      </c>
      <c r="G1447">
        <v>-194.4684</v>
      </c>
      <c r="H1447" s="1">
        <v>2.8276989999999999E-7</v>
      </c>
      <c r="I1447">
        <v>298.01069999999999</v>
      </c>
      <c r="J1447">
        <v>-191.29069999999999</v>
      </c>
      <c r="K1447">
        <v>1.1202920000000001</v>
      </c>
      <c r="L1447">
        <v>309.14609999999999</v>
      </c>
      <c r="M1447">
        <v>-4.7458609999999998E-2</v>
      </c>
      <c r="N1447">
        <v>-1.129615E-2</v>
      </c>
      <c r="O1447">
        <v>-0.99880939999999996</v>
      </c>
      <c r="P1447">
        <v>-0.21861120000000001</v>
      </c>
      <c r="Q1447">
        <v>0.17453529999999901</v>
      </c>
      <c r="R1447">
        <v>-0.9600765</v>
      </c>
      <c r="S1447">
        <v>-0.83609009999999995</v>
      </c>
      <c r="T1447">
        <v>-0.29350670000000001</v>
      </c>
      <c r="U1447">
        <v>-2.9877929999999999</v>
      </c>
      <c r="V1447">
        <v>0.17318329999999901</v>
      </c>
      <c r="W1447">
        <v>0.18511459999999999</v>
      </c>
      <c r="X1447">
        <v>0.96733659999999999</v>
      </c>
      <c r="Y1447">
        <v>0.2224052</v>
      </c>
      <c r="Z1447">
        <v>8.3400970000000005E-2</v>
      </c>
      <c r="AA1447">
        <v>0.97138060000000004</v>
      </c>
      <c r="AB1447">
        <v>29</v>
      </c>
      <c r="AC1447">
        <v>-3.17770000000001</v>
      </c>
      <c r="AD1447">
        <v>-1.1202917172300999</v>
      </c>
      <c r="AE1447">
        <v>-11.135400000000001</v>
      </c>
      <c r="AF1447">
        <v>2.6210827666642502</v>
      </c>
      <c r="AG1447">
        <v>-1.1202917172300999</v>
      </c>
      <c r="AH1447">
        <v>11.1691330746958</v>
      </c>
      <c r="AI1447">
        <v>95.577232271115903</v>
      </c>
      <c r="AJ1447">
        <v>76.793259742026194</v>
      </c>
      <c r="AK1447">
        <v>11.5271272241466</v>
      </c>
      <c r="AL1447">
        <v>79.332185929852699</v>
      </c>
      <c r="AM1447">
        <v>79.849809067274904</v>
      </c>
      <c r="AN1447">
        <v>0.99999998411580404</v>
      </c>
    </row>
    <row r="1448" spans="1:40" x14ac:dyDescent="0.25">
      <c r="A1448" t="str">
        <f>"20190303162807878"</f>
        <v>20190303162807878</v>
      </c>
      <c r="B1448" t="str">
        <f>"1551601687872515"</f>
        <v>1551601687872515</v>
      </c>
      <c r="C1448" t="s">
        <v>40</v>
      </c>
      <c r="D1448">
        <v>5.1540269999999904</v>
      </c>
      <c r="E1448">
        <v>0.55736830000000004</v>
      </c>
      <c r="F1448" t="s">
        <v>47</v>
      </c>
      <c r="G1448">
        <v>-194.56219999999999</v>
      </c>
      <c r="H1448" s="1">
        <v>3.4362229999999998E-7</v>
      </c>
      <c r="I1448">
        <v>297.66520000000003</v>
      </c>
      <c r="J1448">
        <v>-191.30430000000001</v>
      </c>
      <c r="K1448">
        <v>1.1202829999999999</v>
      </c>
      <c r="L1448">
        <v>308.88389999999998</v>
      </c>
      <c r="M1448">
        <v>-4.847158E-2</v>
      </c>
      <c r="N1448">
        <v>-1.127997E-2</v>
      </c>
      <c r="O1448">
        <v>-0.99876089999999995</v>
      </c>
      <c r="P1448">
        <v>-0.2225473</v>
      </c>
      <c r="Q1448">
        <v>0.175396</v>
      </c>
      <c r="R1448">
        <v>-0.95901479999999995</v>
      </c>
      <c r="S1448">
        <v>-0.85031129999999999</v>
      </c>
      <c r="T1448">
        <v>-0.291182</v>
      </c>
      <c r="U1448">
        <v>-2.98407</v>
      </c>
      <c r="V1448">
        <v>0.17618729999999999</v>
      </c>
      <c r="W1448">
        <v>0.185943</v>
      </c>
      <c r="X1448">
        <v>0.96663500000000002</v>
      </c>
      <c r="Y1448">
        <v>0.22603200000000001</v>
      </c>
      <c r="Z1448">
        <v>8.2682829999999999E-2</v>
      </c>
      <c r="AA1448">
        <v>0.97060449999999998</v>
      </c>
      <c r="AB1448">
        <v>29</v>
      </c>
      <c r="AC1448">
        <v>-3.25789999999997</v>
      </c>
      <c r="AD1448">
        <v>-1.1202826563777</v>
      </c>
      <c r="AE1448">
        <v>-11.218699999999901</v>
      </c>
      <c r="AF1448">
        <v>2.6855505204259198</v>
      </c>
      <c r="AG1448">
        <v>-1.1202826563777</v>
      </c>
      <c r="AH1448">
        <v>11.259888938019699</v>
      </c>
      <c r="AI1448">
        <v>95.527793885477493</v>
      </c>
      <c r="AJ1448">
        <v>76.585234639274404</v>
      </c>
      <c r="AK1448">
        <v>11.629802823972501</v>
      </c>
      <c r="AL1448">
        <v>79.283883619819804</v>
      </c>
      <c r="AM1448">
        <v>79.6701690095434</v>
      </c>
      <c r="AN1448">
        <v>0.99999999357764502</v>
      </c>
    </row>
    <row r="1449" spans="1:40" x14ac:dyDescent="0.25">
      <c r="A1449" t="str">
        <f>"20190303162807901"</f>
        <v>20190303162807901</v>
      </c>
      <c r="B1449" t="str">
        <f>"1551601687893012"</f>
        <v>1551601687893012</v>
      </c>
      <c r="C1449" t="s">
        <v>40</v>
      </c>
      <c r="D1449">
        <v>5.0583010000000002</v>
      </c>
      <c r="E1449">
        <v>0.55787149999999996</v>
      </c>
      <c r="F1449" t="s">
        <v>47</v>
      </c>
      <c r="G1449">
        <v>-195.86609999999999</v>
      </c>
      <c r="H1449" s="1">
        <v>4.9109570000000002E-7</v>
      </c>
      <c r="I1449">
        <v>296.82780000000002</v>
      </c>
      <c r="J1449">
        <v>-191.3201</v>
      </c>
      <c r="K1449">
        <v>1.1202529999999999</v>
      </c>
      <c r="L1449">
        <v>308.58300000000003</v>
      </c>
      <c r="M1449">
        <v>-4.9648919999999999E-2</v>
      </c>
      <c r="N1449">
        <v>-1.1257319999999999E-2</v>
      </c>
      <c r="O1449">
        <v>-0.99870320000000001</v>
      </c>
      <c r="P1449">
        <v>-0.2266312</v>
      </c>
      <c r="Q1449">
        <v>0.17446719999999999</v>
      </c>
      <c r="R1449">
        <v>-0.95822750000000001</v>
      </c>
      <c r="S1449">
        <v>-1.1054079999999999</v>
      </c>
      <c r="T1449">
        <v>-0.27146419999999999</v>
      </c>
      <c r="U1449">
        <v>-2.9213870000000002</v>
      </c>
      <c r="V1449">
        <v>0.17916670000000001</v>
      </c>
      <c r="W1449">
        <v>0.1849769</v>
      </c>
      <c r="X1449">
        <v>0.96627269999999998</v>
      </c>
      <c r="Y1449">
        <v>0.30583670000000002</v>
      </c>
      <c r="Z1449">
        <v>7.6033340000000005E-2</v>
      </c>
      <c r="AA1449">
        <v>0.94904319999999998</v>
      </c>
      <c r="AB1449">
        <v>29</v>
      </c>
      <c r="AC1449">
        <v>-4.5459999999999896</v>
      </c>
      <c r="AD1449">
        <v>-1.1202525089043001</v>
      </c>
      <c r="AE1449">
        <v>-11.755199999999901</v>
      </c>
      <c r="AF1449">
        <v>3.9257086446266198</v>
      </c>
      <c r="AG1449">
        <v>-1.1202525089043001</v>
      </c>
      <c r="AH1449">
        <v>11.8726221532386</v>
      </c>
      <c r="AI1449">
        <v>95.119217202712505</v>
      </c>
      <c r="AJ1449">
        <v>71.703418021188199</v>
      </c>
      <c r="AK1449">
        <v>12.5548919087252</v>
      </c>
      <c r="AL1449">
        <v>79.340214868251195</v>
      </c>
      <c r="AM1449">
        <v>79.495491875872503</v>
      </c>
      <c r="AN1449">
        <v>1.00000004534389</v>
      </c>
    </row>
    <row r="1450" spans="1:40" x14ac:dyDescent="0.25">
      <c r="A1450" t="str">
        <f>"20190303162807925"</f>
        <v>20190303162807925</v>
      </c>
      <c r="B1450" t="str">
        <f>"1551601687913507"</f>
        <v>1551601687913507</v>
      </c>
      <c r="C1450" t="s">
        <v>40</v>
      </c>
      <c r="D1450">
        <v>5.0556390000000002</v>
      </c>
      <c r="E1450">
        <v>0.55755250000000001</v>
      </c>
      <c r="F1450" t="s">
        <v>47</v>
      </c>
      <c r="G1450">
        <v>-195.9229</v>
      </c>
      <c r="H1450" s="1">
        <v>5.3496339999999997E-7</v>
      </c>
      <c r="I1450">
        <v>296.60640000000001</v>
      </c>
      <c r="J1450">
        <v>-191.33629999999999</v>
      </c>
      <c r="K1450">
        <v>1.120225</v>
      </c>
      <c r="L1450">
        <v>308.2842</v>
      </c>
      <c r="M1450">
        <v>-5.0844449999999999E-2</v>
      </c>
      <c r="N1450">
        <v>-1.123417E-2</v>
      </c>
      <c r="O1450">
        <v>-0.99864350000000002</v>
      </c>
      <c r="P1450">
        <v>-0.22996369999999999</v>
      </c>
      <c r="Q1450">
        <v>0.17201429999999901</v>
      </c>
      <c r="R1450">
        <v>-0.95787670000000003</v>
      </c>
      <c r="S1450">
        <v>-1.1204379999999901</v>
      </c>
      <c r="T1450">
        <v>-0.27269840000000001</v>
      </c>
      <c r="U1450">
        <v>-2.9154360000000001</v>
      </c>
      <c r="V1450">
        <v>0.18135660000000001</v>
      </c>
      <c r="W1450">
        <v>0.18248890000000001</v>
      </c>
      <c r="X1450">
        <v>0.96633720000000001</v>
      </c>
      <c r="Y1450">
        <v>0.30959179999999997</v>
      </c>
      <c r="Z1450">
        <v>7.6479580000000005E-2</v>
      </c>
      <c r="AA1450">
        <v>0.94778890000000005</v>
      </c>
      <c r="AB1450">
        <v>29</v>
      </c>
      <c r="AC1450">
        <v>-4.5865999999999998</v>
      </c>
      <c r="AD1450">
        <v>-1.1202244650366</v>
      </c>
      <c r="AE1450">
        <v>-11.6777999999999</v>
      </c>
      <c r="AF1450">
        <v>3.9553449533965201</v>
      </c>
      <c r="AG1450">
        <v>-1.1202244650366</v>
      </c>
      <c r="AH1450">
        <v>11.8018240323517</v>
      </c>
      <c r="AI1450">
        <v>95.142739363557098</v>
      </c>
      <c r="AJ1450">
        <v>71.471582432111802</v>
      </c>
      <c r="AK1450">
        <v>12.497307991844499</v>
      </c>
      <c r="AL1450">
        <v>79.485235119165296</v>
      </c>
      <c r="AM1450">
        <v>79.3707008410491</v>
      </c>
      <c r="AN1450">
        <v>0.99999999954530405</v>
      </c>
    </row>
    <row r="1451" spans="1:40" x14ac:dyDescent="0.25">
      <c r="A1451" t="str">
        <f>"20190303162807947"</f>
        <v>20190303162807947</v>
      </c>
      <c r="B1451" t="str">
        <f>"1551601687942786"</f>
        <v>1551601687942786</v>
      </c>
      <c r="C1451" t="s">
        <v>40</v>
      </c>
      <c r="D1451">
        <v>5.0542949999999998</v>
      </c>
      <c r="E1451">
        <v>0.55703190000000002</v>
      </c>
      <c r="F1451" t="s">
        <v>47</v>
      </c>
      <c r="G1451">
        <v>-195.8237</v>
      </c>
      <c r="H1451" s="1">
        <v>5.1422990000000003E-7</v>
      </c>
      <c r="I1451">
        <v>296.69650000000001</v>
      </c>
      <c r="J1451">
        <v>-191.35210000000001</v>
      </c>
      <c r="K1451">
        <v>1.1201909999999999</v>
      </c>
      <c r="L1451">
        <v>307.99950000000001</v>
      </c>
      <c r="M1451">
        <v>-5.201919E-2</v>
      </c>
      <c r="N1451">
        <v>-1.1213849999999999E-2</v>
      </c>
      <c r="O1451">
        <v>-0.99858329999999995</v>
      </c>
      <c r="P1451">
        <v>-0.23302610000000001</v>
      </c>
      <c r="Q1451">
        <v>0.17038</v>
      </c>
      <c r="R1451">
        <v>-0.95742899999999997</v>
      </c>
      <c r="S1451">
        <v>-1.127594</v>
      </c>
      <c r="T1451">
        <v>-0.28148980000000001</v>
      </c>
      <c r="U1451">
        <v>-2.9117739999999999</v>
      </c>
      <c r="V1451">
        <v>0.1833062</v>
      </c>
      <c r="W1451">
        <v>0.1808187</v>
      </c>
      <c r="X1451">
        <v>0.96628329999999996</v>
      </c>
      <c r="Y1451">
        <v>0.31081409999999998</v>
      </c>
      <c r="Z1451">
        <v>7.9344929999999994E-2</v>
      </c>
      <c r="AA1451">
        <v>0.94715309999999997</v>
      </c>
      <c r="AB1451">
        <v>29</v>
      </c>
      <c r="AC1451">
        <v>-4.4715999999999898</v>
      </c>
      <c r="AD1451">
        <v>-1.1201904857700999</v>
      </c>
      <c r="AE1451">
        <v>-11.3029999999999</v>
      </c>
      <c r="AF1451">
        <v>3.8448817533651698</v>
      </c>
      <c r="AG1451">
        <v>-1.1201904857700999</v>
      </c>
      <c r="AH1451">
        <v>11.4233033275625</v>
      </c>
      <c r="AI1451">
        <v>95.309741072335001</v>
      </c>
      <c r="AJ1451">
        <v>71.397677714438103</v>
      </c>
      <c r="AK1451">
        <v>12.1049494561221</v>
      </c>
      <c r="AL1451">
        <v>79.582549513340894</v>
      </c>
      <c r="AM1451">
        <v>79.258494427717494</v>
      </c>
      <c r="AN1451">
        <v>0.99999999054350996</v>
      </c>
    </row>
    <row r="1452" spans="1:40" x14ac:dyDescent="0.25">
      <c r="A1452" t="str">
        <f>"20190303162807968"</f>
        <v>20190303162807968</v>
      </c>
      <c r="B1452" t="str">
        <f>"1551601687963283"</f>
        <v>1551601687963283</v>
      </c>
      <c r="C1452" t="s">
        <v>40</v>
      </c>
      <c r="D1452">
        <v>4.9503149999999998</v>
      </c>
      <c r="E1452">
        <v>0.55669780000000002</v>
      </c>
      <c r="F1452" t="s">
        <v>47</v>
      </c>
      <c r="G1452">
        <v>-195.83260000000001</v>
      </c>
      <c r="H1452" s="1">
        <v>5.8510979999999999E-7</v>
      </c>
      <c r="I1452">
        <v>296.48719999999997</v>
      </c>
      <c r="J1452">
        <v>-191.36699999999999</v>
      </c>
      <c r="K1452">
        <v>1.12016</v>
      </c>
      <c r="L1452">
        <v>307.73649999999998</v>
      </c>
      <c r="M1452">
        <v>-5.3132649999999997E-2</v>
      </c>
      <c r="N1452">
        <v>-1.1196869999999999E-2</v>
      </c>
      <c r="O1452">
        <v>-0.998525</v>
      </c>
      <c r="P1452">
        <v>-0.2367515</v>
      </c>
      <c r="Q1452">
        <v>0.1702804</v>
      </c>
      <c r="R1452">
        <v>-0.95653220000000005</v>
      </c>
      <c r="S1452">
        <v>-1.1318820000000001</v>
      </c>
      <c r="T1452">
        <v>-0.2829875</v>
      </c>
      <c r="U1452">
        <v>-2.9082949999999999</v>
      </c>
      <c r="V1452">
        <v>0.186005</v>
      </c>
      <c r="W1452">
        <v>0.1806799</v>
      </c>
      <c r="X1452">
        <v>0.96579340000000002</v>
      </c>
      <c r="Y1452">
        <v>0.31133240000000001</v>
      </c>
      <c r="Z1452">
        <v>7.9903109999999999E-2</v>
      </c>
      <c r="AA1452">
        <v>0.94693590000000005</v>
      </c>
      <c r="AB1452">
        <v>29</v>
      </c>
      <c r="AC1452">
        <v>-4.4655999999999896</v>
      </c>
      <c r="AD1452">
        <v>-1.1201594148901901</v>
      </c>
      <c r="AE1452">
        <v>-11.2493</v>
      </c>
      <c r="AF1452">
        <v>3.8287535008004099</v>
      </c>
      <c r="AG1452">
        <v>-1.1201594148901901</v>
      </c>
      <c r="AH1452">
        <v>11.3732732785198</v>
      </c>
      <c r="AI1452">
        <v>95.3327165070272</v>
      </c>
      <c r="AJ1452">
        <v>71.394460523227707</v>
      </c>
      <c r="AK1452">
        <v>12.0526119805024</v>
      </c>
      <c r="AL1452">
        <v>79.590635330327501</v>
      </c>
      <c r="AM1452">
        <v>79.098712601236301</v>
      </c>
      <c r="AN1452">
        <v>0.99999998888628405</v>
      </c>
    </row>
    <row r="1453" spans="1:40" x14ac:dyDescent="0.25">
      <c r="A1453" t="str">
        <f>"20190303162807990"</f>
        <v>20190303162807990</v>
      </c>
      <c r="B1453" t="str">
        <f>"1551601687982804"</f>
        <v>1551601687982804</v>
      </c>
      <c r="C1453" t="s">
        <v>40</v>
      </c>
      <c r="D1453">
        <v>5.0327780000000004</v>
      </c>
      <c r="E1453">
        <v>0.55651119999999898</v>
      </c>
      <c r="F1453" t="s">
        <v>47</v>
      </c>
      <c r="G1453">
        <v>-195.8759</v>
      </c>
      <c r="H1453" s="1">
        <v>6.6920209999999998E-7</v>
      </c>
      <c r="I1453">
        <v>296.23840000000001</v>
      </c>
      <c r="J1453">
        <v>-191.3845</v>
      </c>
      <c r="K1453">
        <v>1.1201209999999999</v>
      </c>
      <c r="L1453">
        <v>307.4357</v>
      </c>
      <c r="M1453">
        <v>-5.4450999999999999E-2</v>
      </c>
      <c r="N1453">
        <v>-1.1179359999999999E-2</v>
      </c>
      <c r="O1453">
        <v>-0.99845399999999995</v>
      </c>
      <c r="P1453">
        <v>-0.241509</v>
      </c>
      <c r="Q1453">
        <v>0.1701339</v>
      </c>
      <c r="R1453">
        <v>-0.95536799999999999</v>
      </c>
      <c r="S1453">
        <v>-1.139084</v>
      </c>
      <c r="T1453">
        <v>-0.28298909999999899</v>
      </c>
      <c r="U1453">
        <v>-2.904785</v>
      </c>
      <c r="V1453">
        <v>0.1895549</v>
      </c>
      <c r="W1453">
        <v>0.18048620000000001</v>
      </c>
      <c r="X1453">
        <v>0.96513919999999997</v>
      </c>
      <c r="Y1453">
        <v>0.31249929999999998</v>
      </c>
      <c r="Z1453">
        <v>7.9958989999999994E-2</v>
      </c>
      <c r="AA1453">
        <v>0.94654669999999996</v>
      </c>
      <c r="AB1453">
        <v>29</v>
      </c>
      <c r="AC1453">
        <v>-4.4913999999999898</v>
      </c>
      <c r="AD1453">
        <v>-1.1201203307979</v>
      </c>
      <c r="AE1453">
        <v>-11.197299999999901</v>
      </c>
      <c r="AF1453">
        <v>3.8418764954767499</v>
      </c>
      <c r="AG1453">
        <v>-1.1201203307979</v>
      </c>
      <c r="AH1453">
        <v>11.327617763524101</v>
      </c>
      <c r="AI1453">
        <v>95.349840534761299</v>
      </c>
      <c r="AJ1453">
        <v>71.265111628436102</v>
      </c>
      <c r="AK1453">
        <v>12.0137258483149</v>
      </c>
      <c r="AL1453">
        <v>79.601919167171403</v>
      </c>
      <c r="AM1453">
        <v>78.888446443931798</v>
      </c>
      <c r="AN1453">
        <v>1.00000000194054</v>
      </c>
    </row>
    <row r="1454" spans="1:40" x14ac:dyDescent="0.25">
      <c r="A1454" t="str">
        <f>"20190303162808014"</f>
        <v>20190303162808014</v>
      </c>
      <c r="B1454" t="str">
        <f>"1551601688003299"</f>
        <v>1551601688003299</v>
      </c>
      <c r="C1454" t="s">
        <v>40</v>
      </c>
      <c r="D1454">
        <v>5.0101800000000001</v>
      </c>
      <c r="E1454">
        <v>0.55636229999999998</v>
      </c>
      <c r="F1454" t="s">
        <v>47</v>
      </c>
      <c r="G1454">
        <v>-195.9957</v>
      </c>
      <c r="H1454" s="1">
        <v>8.0862279999999999E-7</v>
      </c>
      <c r="I1454">
        <v>295.81400000000002</v>
      </c>
      <c r="J1454">
        <v>-191.4016</v>
      </c>
      <c r="K1454">
        <v>1.1200840000000001</v>
      </c>
      <c r="L1454">
        <v>307.149</v>
      </c>
      <c r="M1454">
        <v>-5.576354E-2</v>
      </c>
      <c r="N1454">
        <v>-1.11646E-2</v>
      </c>
      <c r="O1454">
        <v>-0.99838190000000004</v>
      </c>
      <c r="P1454">
        <v>-0.2466536</v>
      </c>
      <c r="Q1454">
        <v>0.169243</v>
      </c>
      <c r="R1454">
        <v>-0.95421129999999998</v>
      </c>
      <c r="S1454">
        <v>-1.1502840000000001</v>
      </c>
      <c r="T1454">
        <v>-0.27942250000000002</v>
      </c>
      <c r="U1454">
        <v>-2.8991389999999999</v>
      </c>
      <c r="V1454">
        <v>0.193499</v>
      </c>
      <c r="W1454">
        <v>0.1795467</v>
      </c>
      <c r="X1454">
        <v>0.96453149999999999</v>
      </c>
      <c r="Y1454">
        <v>0.31507190000000002</v>
      </c>
      <c r="Z1454">
        <v>7.88909E-2</v>
      </c>
      <c r="AA1454">
        <v>0.94578320000000005</v>
      </c>
      <c r="AB1454">
        <v>29</v>
      </c>
      <c r="AC1454">
        <v>-4.5940999999999903</v>
      </c>
      <c r="AD1454">
        <v>-1.12008319137719</v>
      </c>
      <c r="AE1454">
        <v>-11.3349999999999</v>
      </c>
      <c r="AF1454">
        <v>3.92193869727681</v>
      </c>
      <c r="AG1454">
        <v>-1.12008319137719</v>
      </c>
      <c r="AH1454">
        <v>11.4773002517073</v>
      </c>
      <c r="AI1454">
        <v>95.276205857296702</v>
      </c>
      <c r="AJ1454">
        <v>71.134053175406294</v>
      </c>
      <c r="AK1454">
        <v>12.1805012445566</v>
      </c>
      <c r="AL1454">
        <v>79.656641967602397</v>
      </c>
      <c r="AM1454">
        <v>78.656217700354802</v>
      </c>
      <c r="AN1454">
        <v>0.999999947487068</v>
      </c>
    </row>
    <row r="1455" spans="1:40" x14ac:dyDescent="0.25">
      <c r="A1455" t="str">
        <f>"20190303162808035"</f>
        <v>20190303162808035</v>
      </c>
      <c r="B1455" t="str">
        <f>"1551601688022819"</f>
        <v>1551601688022819</v>
      </c>
      <c r="C1455" t="s">
        <v>40</v>
      </c>
      <c r="D1455">
        <v>5.0017569999999996</v>
      </c>
      <c r="E1455">
        <v>0.55625159999999996</v>
      </c>
      <c r="F1455" t="s">
        <v>47</v>
      </c>
      <c r="G1455">
        <v>-196.07650000000001</v>
      </c>
      <c r="H1455" s="1">
        <v>9.0397609999999996E-7</v>
      </c>
      <c r="I1455">
        <v>295.52390000000003</v>
      </c>
      <c r="J1455">
        <v>-191.4187</v>
      </c>
      <c r="K1455">
        <v>1.120031</v>
      </c>
      <c r="L1455">
        <v>306.8682</v>
      </c>
      <c r="M1455">
        <v>-5.7112179999999999E-2</v>
      </c>
      <c r="N1455">
        <v>-1.1152179999999999E-2</v>
      </c>
      <c r="O1455">
        <v>-0.99830560000000002</v>
      </c>
      <c r="P1455">
        <v>-0.25192730000000002</v>
      </c>
      <c r="Q1455">
        <v>0.16839219999999999</v>
      </c>
      <c r="R1455">
        <v>-0.95298340000000004</v>
      </c>
      <c r="S1455">
        <v>-1.1632690000000001</v>
      </c>
      <c r="T1455">
        <v>-0.27871230000000002</v>
      </c>
      <c r="U1455">
        <v>-2.8927</v>
      </c>
      <c r="V1455">
        <v>0.19754620000000001</v>
      </c>
      <c r="W1455">
        <v>0.178645</v>
      </c>
      <c r="X1455">
        <v>0.96387829999999997</v>
      </c>
      <c r="Y1455">
        <v>0.31817400000000001</v>
      </c>
      <c r="Z1455">
        <v>7.8735050000000001E-2</v>
      </c>
      <c r="AA1455">
        <v>0.94475719999999996</v>
      </c>
      <c r="AB1455">
        <v>29</v>
      </c>
      <c r="AC1455">
        <v>-4.6577999999999999</v>
      </c>
      <c r="AD1455">
        <v>-1.1200300960239</v>
      </c>
      <c r="AE1455">
        <v>-11.344299999999899</v>
      </c>
      <c r="AF1455">
        <v>3.9691497585689701</v>
      </c>
      <c r="AG1455">
        <v>-1.1200300960239</v>
      </c>
      <c r="AH1455">
        <v>11.4959212621216</v>
      </c>
      <c r="AI1455">
        <v>95.261744240692806</v>
      </c>
      <c r="AJ1455">
        <v>70.951951575440106</v>
      </c>
      <c r="AK1455">
        <v>12.2133051581809</v>
      </c>
      <c r="AL1455">
        <v>79.709154721666707</v>
      </c>
      <c r="AM1455">
        <v>78.417660566946196</v>
      </c>
      <c r="AN1455">
        <v>0.99999995718516399</v>
      </c>
    </row>
    <row r="1456" spans="1:40" x14ac:dyDescent="0.25">
      <c r="A1456" t="str">
        <f>"20190303162808057"</f>
        <v>20190303162808057</v>
      </c>
      <c r="B1456" t="str">
        <f>"1551601688053075"</f>
        <v>1551601688053075</v>
      </c>
      <c r="C1456" t="s">
        <v>40</v>
      </c>
      <c r="D1456">
        <v>4.9942320000000002</v>
      </c>
      <c r="E1456">
        <v>0.556033</v>
      </c>
      <c r="F1456" t="s">
        <v>47</v>
      </c>
      <c r="G1456">
        <v>-196.14930000000001</v>
      </c>
      <c r="H1456" s="1">
        <v>9.8578599999999998E-7</v>
      </c>
      <c r="I1456">
        <v>295.27420000000001</v>
      </c>
      <c r="J1456">
        <v>-191.43629999999999</v>
      </c>
      <c r="K1456">
        <v>1.1199730000000001</v>
      </c>
      <c r="L1456">
        <v>306.58730000000003</v>
      </c>
      <c r="M1456">
        <v>-5.8533490000000001E-2</v>
      </c>
      <c r="N1456">
        <v>-1.1141649999999999E-2</v>
      </c>
      <c r="O1456">
        <v>-0.99822339999999998</v>
      </c>
      <c r="P1456">
        <v>-0.25764150000000002</v>
      </c>
      <c r="Q1456">
        <v>0.1678441</v>
      </c>
      <c r="R1456">
        <v>-0.95155109999999998</v>
      </c>
      <c r="S1456">
        <v>-1.1775359999999999</v>
      </c>
      <c r="T1456">
        <v>-0.27879880000000001</v>
      </c>
      <c r="U1456">
        <v>-2.8859859999999999</v>
      </c>
      <c r="V1456">
        <v>0.20198150000000001</v>
      </c>
      <c r="W1456">
        <v>0.1780388</v>
      </c>
      <c r="X1456">
        <v>0.96307089999999995</v>
      </c>
      <c r="Y1456">
        <v>0.32158969999999998</v>
      </c>
      <c r="Z1456">
        <v>7.882567E-2</v>
      </c>
      <c r="AA1456">
        <v>0.9435924</v>
      </c>
      <c r="AB1456">
        <v>29</v>
      </c>
      <c r="AC1456">
        <v>-4.7130000000000196</v>
      </c>
      <c r="AD1456">
        <v>-1.1199720142139999</v>
      </c>
      <c r="AE1456">
        <v>-11.3131</v>
      </c>
      <c r="AF1456">
        <v>4.0092004565882604</v>
      </c>
      <c r="AG1456">
        <v>-1.1199720142139999</v>
      </c>
      <c r="AH1456">
        <v>11.4737664701893</v>
      </c>
      <c r="AI1456">
        <v>95.264824996995898</v>
      </c>
      <c r="AJ1456">
        <v>70.739399523381294</v>
      </c>
      <c r="AK1456">
        <v>12.205545568559</v>
      </c>
      <c r="AL1456">
        <v>79.744453232584704</v>
      </c>
      <c r="AM1456">
        <v>78.1552296036798</v>
      </c>
      <c r="AN1456">
        <v>0.99999994953724802</v>
      </c>
    </row>
    <row r="1457" spans="1:40" x14ac:dyDescent="0.25">
      <c r="A1457" t="str">
        <f>"20190303162808080"</f>
        <v>20190303162808080</v>
      </c>
      <c r="B1457" t="str">
        <f>"1551601688072595"</f>
        <v>1551601688072595</v>
      </c>
      <c r="C1457" t="s">
        <v>40</v>
      </c>
      <c r="D1457">
        <v>5.0084850000000003</v>
      </c>
      <c r="E1457">
        <v>0.55591899999999905</v>
      </c>
      <c r="F1457" t="s">
        <v>47</v>
      </c>
      <c r="G1457">
        <v>-196.24209999999999</v>
      </c>
      <c r="H1457" s="1">
        <v>1.081972E-6</v>
      </c>
      <c r="I1457">
        <v>294.97890000000001</v>
      </c>
      <c r="J1457">
        <v>-191.45519999999999</v>
      </c>
      <c r="K1457">
        <v>1.119896</v>
      </c>
      <c r="L1457">
        <v>306.29379999999998</v>
      </c>
      <c r="M1457">
        <v>-6.0110230000000001E-2</v>
      </c>
      <c r="N1457">
        <v>-1.113252E-2</v>
      </c>
      <c r="O1457">
        <v>-0.99812970000000001</v>
      </c>
      <c r="P1457">
        <v>-0.26472770000000001</v>
      </c>
      <c r="Q1457">
        <v>0.16698389999999999</v>
      </c>
      <c r="R1457">
        <v>-0.94975580000000004</v>
      </c>
      <c r="S1457">
        <v>-1.191864</v>
      </c>
      <c r="T1457">
        <v>-0.27776380000000001</v>
      </c>
      <c r="U1457">
        <v>-2.8789980000000002</v>
      </c>
      <c r="V1457">
        <v>0.20766560000000001</v>
      </c>
      <c r="W1457">
        <v>0.1771083</v>
      </c>
      <c r="X1457">
        <v>0.96203309999999997</v>
      </c>
      <c r="Y1457">
        <v>0.3249165</v>
      </c>
      <c r="Z1457">
        <v>7.856233E-2</v>
      </c>
      <c r="AA1457">
        <v>0.94247400000000003</v>
      </c>
      <c r="AB1457">
        <v>29</v>
      </c>
      <c r="AC1457">
        <v>-4.7869000000000002</v>
      </c>
      <c r="AD1457">
        <v>-1.119894918028</v>
      </c>
      <c r="AE1457">
        <v>-11.3148999999999</v>
      </c>
      <c r="AF1457">
        <v>4.0642896372700497</v>
      </c>
      <c r="AG1457">
        <v>-1.119894918028</v>
      </c>
      <c r="AH1457">
        <v>11.4867538368655</v>
      </c>
      <c r="AI1457">
        <v>95.251349435631994</v>
      </c>
      <c r="AJ1457">
        <v>70.514996529208602</v>
      </c>
      <c r="AK1457">
        <v>12.2359359507882</v>
      </c>
      <c r="AL1457">
        <v>79.798628640290502</v>
      </c>
      <c r="AM1457">
        <v>77.818966274655594</v>
      </c>
      <c r="AN1457">
        <v>1.0000000184239199</v>
      </c>
    </row>
    <row r="1458" spans="1:40" x14ac:dyDescent="0.25">
      <c r="A1458" t="str">
        <f>"20190303162808100"</f>
        <v>20190303162808100</v>
      </c>
      <c r="B1458" t="str">
        <f>"1551601688093091"</f>
        <v>1551601688093091</v>
      </c>
      <c r="C1458" t="s">
        <v>40</v>
      </c>
      <c r="D1458">
        <v>5.0216440000000002</v>
      </c>
      <c r="E1458">
        <v>0.55580719999999995</v>
      </c>
      <c r="F1458" t="s">
        <v>47</v>
      </c>
      <c r="G1458">
        <v>-196.33109999999999</v>
      </c>
      <c r="H1458" s="1">
        <v>1.160863E-6</v>
      </c>
      <c r="I1458">
        <v>294.73329999999999</v>
      </c>
      <c r="J1458">
        <v>-191.47380000000001</v>
      </c>
      <c r="K1458">
        <v>1.119799</v>
      </c>
      <c r="L1458">
        <v>306.0138</v>
      </c>
      <c r="M1458">
        <v>-6.1727900000000002E-2</v>
      </c>
      <c r="N1458">
        <v>-1.1125609999999999E-2</v>
      </c>
      <c r="O1458">
        <v>-0.99803109999999995</v>
      </c>
      <c r="P1458">
        <v>-0.27366360000000001</v>
      </c>
      <c r="Q1458">
        <v>0.1643819</v>
      </c>
      <c r="R1458">
        <v>-0.94767440000000003</v>
      </c>
      <c r="S1458">
        <v>-1.2105709999999901</v>
      </c>
      <c r="T1458">
        <v>-0.27804240000000002</v>
      </c>
      <c r="U1458">
        <v>-2.8701780000000001</v>
      </c>
      <c r="V1458">
        <v>0.2151776</v>
      </c>
      <c r="W1458">
        <v>0.17442179999999999</v>
      </c>
      <c r="X1458">
        <v>0.96087230000000001</v>
      </c>
      <c r="Y1458">
        <v>0.32962329999999901</v>
      </c>
      <c r="Z1458">
        <v>7.872005E-2</v>
      </c>
      <c r="AA1458">
        <v>0.94082500000000002</v>
      </c>
      <c r="AB1458">
        <v>29</v>
      </c>
      <c r="AC1458">
        <v>-4.85729999999998</v>
      </c>
      <c r="AD1458">
        <v>-1.119797839137</v>
      </c>
      <c r="AE1458">
        <v>-11.2805</v>
      </c>
      <c r="AF1458">
        <v>4.1174434396193798</v>
      </c>
      <c r="AG1458">
        <v>-1.119797839137</v>
      </c>
      <c r="AH1458">
        <v>11.4635394850872</v>
      </c>
      <c r="AI1458">
        <v>95.252618957081197</v>
      </c>
      <c r="AJ1458">
        <v>70.242862488339696</v>
      </c>
      <c r="AK1458">
        <v>12.231926471539699</v>
      </c>
      <c r="AL1458">
        <v>79.954987493387804</v>
      </c>
      <c r="AM1458">
        <v>77.377444770729198</v>
      </c>
      <c r="AN1458">
        <v>0.99999997038214405</v>
      </c>
    </row>
    <row r="1459" spans="1:40" x14ac:dyDescent="0.25">
      <c r="A1459" t="str">
        <f>"20190303162808126"</f>
        <v>20190303162808126</v>
      </c>
      <c r="B1459" t="str">
        <f>"1551601688112611"</f>
        <v>1551601688112611</v>
      </c>
      <c r="C1459" t="s">
        <v>40</v>
      </c>
      <c r="D1459">
        <v>5.0326510000000004</v>
      </c>
      <c r="E1459">
        <v>0.55560639999999994</v>
      </c>
      <c r="F1459" t="s">
        <v>47</v>
      </c>
      <c r="G1459">
        <v>-196.3433</v>
      </c>
      <c r="H1459" s="1">
        <v>1.1594329999999999E-6</v>
      </c>
      <c r="I1459">
        <v>294.73430000000002</v>
      </c>
      <c r="J1459">
        <v>-191.49459999999999</v>
      </c>
      <c r="K1459">
        <v>1.119656</v>
      </c>
      <c r="L1459">
        <v>305.71050000000002</v>
      </c>
      <c r="M1459">
        <v>-6.3664090000000007E-2</v>
      </c>
      <c r="N1459">
        <v>-1.112087E-2</v>
      </c>
      <c r="O1459">
        <v>-0.99790970000000001</v>
      </c>
      <c r="P1459">
        <v>-0.2830067</v>
      </c>
      <c r="Q1459">
        <v>0.1619418</v>
      </c>
      <c r="R1459">
        <v>-0.94534779999999996</v>
      </c>
      <c r="S1459">
        <v>-1.2340850000000001</v>
      </c>
      <c r="T1459">
        <v>-0.28379330000000003</v>
      </c>
      <c r="U1459">
        <v>-2.8585820000000002</v>
      </c>
      <c r="V1459">
        <v>0.22282479999999999</v>
      </c>
      <c r="W1459">
        <v>0.17187359999999999</v>
      </c>
      <c r="X1459">
        <v>0.95958770000000004</v>
      </c>
      <c r="Y1459">
        <v>0.335626599999999</v>
      </c>
      <c r="Z1459">
        <v>8.0653249999999996E-2</v>
      </c>
      <c r="AA1459">
        <v>0.93853600000000004</v>
      </c>
      <c r="AB1459">
        <v>29</v>
      </c>
      <c r="AC1459">
        <v>-4.8487</v>
      </c>
      <c r="AD1459">
        <v>-1.1196548405669999</v>
      </c>
      <c r="AE1459">
        <v>-10.9762</v>
      </c>
      <c r="AF1459">
        <v>4.10429563068202</v>
      </c>
      <c r="AG1459">
        <v>-1.1196548405669999</v>
      </c>
      <c r="AH1459">
        <v>11.1654256438055</v>
      </c>
      <c r="AI1459">
        <v>95.376908615513997</v>
      </c>
      <c r="AJ1459">
        <v>69.817091388948796</v>
      </c>
      <c r="AK1459">
        <v>11.9484559418107</v>
      </c>
      <c r="AL1459">
        <v>80.103227882334593</v>
      </c>
      <c r="AM1459">
        <v>76.927091913232601</v>
      </c>
      <c r="AN1459">
        <v>0.99999998993164496</v>
      </c>
    </row>
    <row r="1460" spans="1:40" x14ac:dyDescent="0.25">
      <c r="A1460" t="str">
        <f>"20190303162808150"</f>
        <v>20190303162808150</v>
      </c>
      <c r="B1460" t="str">
        <f>"1551601688142867"</f>
        <v>1551601688142867</v>
      </c>
      <c r="C1460" t="s">
        <v>40</v>
      </c>
      <c r="D1460">
        <v>5.0567260000000003</v>
      </c>
      <c r="E1460">
        <v>0.55525839999999904</v>
      </c>
      <c r="F1460" t="s">
        <v>47</v>
      </c>
      <c r="G1460">
        <v>-196.37370000000001</v>
      </c>
      <c r="H1460" s="1">
        <v>1.1723350000000001E-6</v>
      </c>
      <c r="I1460">
        <v>294.6902</v>
      </c>
      <c r="J1460">
        <v>-191.51730000000001</v>
      </c>
      <c r="K1460">
        <v>1.1194789999999999</v>
      </c>
      <c r="L1460">
        <v>305.39319999999998</v>
      </c>
      <c r="M1460">
        <v>-6.5960190000000002E-2</v>
      </c>
      <c r="N1460">
        <v>-1.1119230000000001E-2</v>
      </c>
      <c r="O1460">
        <v>-0.99776030000000004</v>
      </c>
      <c r="P1460">
        <v>-0.29195369999999998</v>
      </c>
      <c r="Q1460">
        <v>0.15983539999999999</v>
      </c>
      <c r="R1460">
        <v>-0.94298269999999995</v>
      </c>
      <c r="S1460">
        <v>-1.2599180000000001</v>
      </c>
      <c r="T1460">
        <v>-0.28912769999999999</v>
      </c>
      <c r="U1460">
        <v>-2.845764</v>
      </c>
      <c r="V1460">
        <v>0.22975960000000001</v>
      </c>
      <c r="W1460">
        <v>0.16963200000000001</v>
      </c>
      <c r="X1460">
        <v>0.95835040000000005</v>
      </c>
      <c r="Y1460">
        <v>0.34207029999999999</v>
      </c>
      <c r="Z1460">
        <v>8.2458439999999994E-2</v>
      </c>
      <c r="AA1460">
        <v>0.93604940000000003</v>
      </c>
      <c r="AB1460">
        <v>29</v>
      </c>
      <c r="AC1460">
        <v>-4.8563999999999998</v>
      </c>
      <c r="AD1460">
        <v>-1.1194778276649999</v>
      </c>
      <c r="AE1460">
        <v>-10.7029999999999</v>
      </c>
      <c r="AF1460">
        <v>4.1025874153988999</v>
      </c>
      <c r="AG1460">
        <v>-1.1194778276649999</v>
      </c>
      <c r="AH1460">
        <v>10.9011396726352</v>
      </c>
      <c r="AI1460">
        <v>95.489977299261895</v>
      </c>
      <c r="AJ1460">
        <v>69.376431929748705</v>
      </c>
      <c r="AK1460">
        <v>11.701252081291299</v>
      </c>
      <c r="AL1460">
        <v>80.233576438027995</v>
      </c>
      <c r="AM1460">
        <v>76.518088810454302</v>
      </c>
      <c r="AN1460">
        <v>0.99999998919815902</v>
      </c>
    </row>
    <row r="1461" spans="1:40" x14ac:dyDescent="0.25">
      <c r="A1461" t="str">
        <f>"20190303162808170"</f>
        <v>20190303162808170</v>
      </c>
      <c r="B1461" t="str">
        <f>"1551601688163363"</f>
        <v>1551601688163363</v>
      </c>
      <c r="C1461" t="s">
        <v>40</v>
      </c>
      <c r="D1461">
        <v>5.0521649999999996</v>
      </c>
      <c r="E1461">
        <v>0.55090810000000001</v>
      </c>
      <c r="F1461" t="s">
        <v>47</v>
      </c>
      <c r="G1461">
        <v>-196.4597</v>
      </c>
      <c r="H1461" s="1">
        <v>1.2122729999999999E-6</v>
      </c>
      <c r="I1461">
        <v>294.49450000000002</v>
      </c>
      <c r="J1461">
        <v>-191.53739999999999</v>
      </c>
      <c r="K1461">
        <v>1.119319</v>
      </c>
      <c r="L1461">
        <v>305.12389999999999</v>
      </c>
      <c r="M1461">
        <v>-6.8102259999999998E-2</v>
      </c>
      <c r="N1461">
        <v>-1.11202E-2</v>
      </c>
      <c r="O1461">
        <v>-0.99761639999999996</v>
      </c>
      <c r="P1461">
        <v>-0.30036010000000002</v>
      </c>
      <c r="Q1461">
        <v>0.1580308</v>
      </c>
      <c r="R1461">
        <v>-0.94064340000000002</v>
      </c>
      <c r="S1461">
        <v>-1.284683</v>
      </c>
      <c r="T1461">
        <v>-0.29098580000000002</v>
      </c>
      <c r="U1461">
        <v>-2.8328859999999998</v>
      </c>
      <c r="V1461">
        <v>0.2363026</v>
      </c>
      <c r="W1461">
        <v>0.1676974</v>
      </c>
      <c r="X1461">
        <v>0.95709909999999998</v>
      </c>
      <c r="Y1461">
        <v>0.34840120000000002</v>
      </c>
      <c r="Z1461">
        <v>8.3154309999999995E-2</v>
      </c>
      <c r="AA1461">
        <v>0.93364979999999997</v>
      </c>
      <c r="AB1461">
        <v>29</v>
      </c>
      <c r="AC1461">
        <v>-4.9222999999999999</v>
      </c>
      <c r="AD1461">
        <v>-1.119317787727</v>
      </c>
      <c r="AE1461">
        <v>-10.629399999999899</v>
      </c>
      <c r="AF1461">
        <v>4.1490554230216601</v>
      </c>
      <c r="AG1461">
        <v>-1.119317787727</v>
      </c>
      <c r="AH1461">
        <v>10.8409723905863</v>
      </c>
      <c r="AI1461">
        <v>95.507885714935099</v>
      </c>
      <c r="AJ1461">
        <v>69.057159069722402</v>
      </c>
      <c r="AK1461">
        <v>11.661655782378499</v>
      </c>
      <c r="AL1461">
        <v>80.346032191535897</v>
      </c>
      <c r="AM1461">
        <v>76.131338532971199</v>
      </c>
      <c r="AN1461">
        <v>1.0000000119771599</v>
      </c>
    </row>
    <row r="1462" spans="1:40" x14ac:dyDescent="0.25">
      <c r="A1462" t="str">
        <f>"20190303162808192"</f>
        <v>20190303162808192</v>
      </c>
      <c r="B1462" t="str">
        <f>"1551601688182883"</f>
        <v>1551601688182883</v>
      </c>
      <c r="C1462" t="s">
        <v>40</v>
      </c>
      <c r="D1462">
        <v>5.0319260000000003</v>
      </c>
      <c r="E1462">
        <v>0.55046209999999995</v>
      </c>
      <c r="F1462" t="s">
        <v>47</v>
      </c>
      <c r="G1462">
        <v>-197.3141</v>
      </c>
      <c r="H1462" s="1">
        <v>1.508037E-6</v>
      </c>
      <c r="I1462">
        <v>292.38490000000002</v>
      </c>
      <c r="J1462">
        <v>-191.5591</v>
      </c>
      <c r="K1462">
        <v>1.11913</v>
      </c>
      <c r="L1462">
        <v>304.84219999999999</v>
      </c>
      <c r="M1462">
        <v>-7.0610629999999994E-2</v>
      </c>
      <c r="N1462">
        <v>-1.1123350000000001E-2</v>
      </c>
      <c r="O1462">
        <v>-0.99744189999999999</v>
      </c>
      <c r="P1462">
        <v>-0.3076622</v>
      </c>
      <c r="Q1462">
        <v>0.1585492</v>
      </c>
      <c r="R1462">
        <v>-0.93819330000000001</v>
      </c>
      <c r="S1462">
        <v>-1.2798160000000001</v>
      </c>
      <c r="T1462">
        <v>-0.24797930000000001</v>
      </c>
      <c r="U1462">
        <v>-2.8222659999999999</v>
      </c>
      <c r="V1462">
        <v>0.24143000000000001</v>
      </c>
      <c r="W1462">
        <v>0.16806689999999999</v>
      </c>
      <c r="X1462">
        <v>0.95575359999999998</v>
      </c>
      <c r="Y1462">
        <v>0.34648230000000002</v>
      </c>
      <c r="Z1462">
        <v>6.9653389999999996E-2</v>
      </c>
      <c r="AA1462">
        <v>0.93546689999999999</v>
      </c>
      <c r="AB1462">
        <v>29</v>
      </c>
      <c r="AC1462">
        <v>-5.7549999999999901</v>
      </c>
      <c r="AD1462">
        <v>-1.119128491963</v>
      </c>
      <c r="AE1462">
        <v>-12.457299999999901</v>
      </c>
      <c r="AF1462">
        <v>4.8288436526255802</v>
      </c>
      <c r="AG1462">
        <v>-1.119128491963</v>
      </c>
      <c r="AH1462">
        <v>12.7478033849127</v>
      </c>
      <c r="AI1462">
        <v>94.693302549215602</v>
      </c>
      <c r="AJ1462">
        <v>69.253407768637402</v>
      </c>
      <c r="AK1462">
        <v>13.677597403908999</v>
      </c>
      <c r="AL1462">
        <v>80.324555855905302</v>
      </c>
      <c r="AM1462">
        <v>75.823262172635793</v>
      </c>
      <c r="AN1462">
        <v>0.99999993584428204</v>
      </c>
    </row>
    <row r="1463" spans="1:40" x14ac:dyDescent="0.25">
      <c r="A1463" t="str">
        <f>"20190303162808214"</f>
        <v>20190303162808214</v>
      </c>
      <c r="B1463" t="str">
        <f>"1551601688203380"</f>
        <v>1551601688203380</v>
      </c>
      <c r="C1463" t="s">
        <v>40</v>
      </c>
      <c r="D1463">
        <v>5.0748059999999997</v>
      </c>
      <c r="E1463">
        <v>0.55002980000000001</v>
      </c>
      <c r="F1463" t="s">
        <v>47</v>
      </c>
      <c r="G1463">
        <v>-197.5547</v>
      </c>
      <c r="H1463" s="1">
        <v>1.5768690000000001E-6</v>
      </c>
      <c r="I1463">
        <v>291.87290000000002</v>
      </c>
      <c r="J1463">
        <v>-191.5814</v>
      </c>
      <c r="K1463">
        <v>1.1188979999999999</v>
      </c>
      <c r="L1463">
        <v>304.5686</v>
      </c>
      <c r="M1463">
        <v>-7.3388200000000001E-2</v>
      </c>
      <c r="N1463">
        <v>-1.1129979999999999E-2</v>
      </c>
      <c r="O1463">
        <v>-0.9972415</v>
      </c>
      <c r="P1463">
        <v>-0.31319570000000002</v>
      </c>
      <c r="Q1463">
        <v>0.16126699999999999</v>
      </c>
      <c r="R1463">
        <v>-0.93589650000000002</v>
      </c>
      <c r="S1463">
        <v>-1.300095</v>
      </c>
      <c r="T1463">
        <v>-0.2426769</v>
      </c>
      <c r="U1463">
        <v>-2.8123170000000002</v>
      </c>
      <c r="V1463">
        <v>0.2445611</v>
      </c>
      <c r="W1463">
        <v>0.17062160000000001</v>
      </c>
      <c r="X1463">
        <v>0.95450409999999997</v>
      </c>
      <c r="Y1463">
        <v>0.35073330000000003</v>
      </c>
      <c r="Z1463">
        <v>6.7994659999999998E-2</v>
      </c>
      <c r="AA1463">
        <v>0.93400369999999999</v>
      </c>
      <c r="AB1463">
        <v>29</v>
      </c>
      <c r="AC1463">
        <v>-5.9732999999999903</v>
      </c>
      <c r="AD1463">
        <v>-1.1188964231309999</v>
      </c>
      <c r="AE1463">
        <v>-12.695699999999899</v>
      </c>
      <c r="AF1463">
        <v>4.9936616062697903</v>
      </c>
      <c r="AG1463">
        <v>-1.1188964231309999</v>
      </c>
      <c r="AH1463">
        <v>13.017076498280201</v>
      </c>
      <c r="AI1463">
        <v>94.5883432811993</v>
      </c>
      <c r="AJ1463">
        <v>69.011992866433303</v>
      </c>
      <c r="AK1463">
        <v>13.9868819257798</v>
      </c>
      <c r="AL1463">
        <v>80.1760375468766</v>
      </c>
      <c r="AM1463">
        <v>75.628943593332906</v>
      </c>
      <c r="AN1463">
        <v>0.99999996946828895</v>
      </c>
    </row>
    <row r="1464" spans="1:40" x14ac:dyDescent="0.25">
      <c r="A1464" t="str">
        <f>"20190303162808236"</f>
        <v>20190303162808236</v>
      </c>
      <c r="B1464" t="str">
        <f>"1551601688222901"</f>
        <v>1551601688222901</v>
      </c>
      <c r="C1464" t="s">
        <v>40</v>
      </c>
      <c r="D1464">
        <v>5.0901699999999996</v>
      </c>
      <c r="E1464">
        <v>0.54967339999999998</v>
      </c>
      <c r="F1464" t="s">
        <v>47</v>
      </c>
      <c r="G1464">
        <v>-197.86529999999999</v>
      </c>
      <c r="H1464" s="1">
        <v>1.6749630000000001E-6</v>
      </c>
      <c r="I1464">
        <v>291.15949999999998</v>
      </c>
      <c r="J1464">
        <v>-191.6061</v>
      </c>
      <c r="K1464">
        <v>1.118601</v>
      </c>
      <c r="L1464">
        <v>304.27850000000001</v>
      </c>
      <c r="M1464">
        <v>-7.6754849999999999E-2</v>
      </c>
      <c r="N1464">
        <v>-1.114273E-2</v>
      </c>
      <c r="O1464">
        <v>-0.99698779999999998</v>
      </c>
      <c r="P1464">
        <v>-0.3189053</v>
      </c>
      <c r="Q1464">
        <v>0.16473360000000001</v>
      </c>
      <c r="R1464">
        <v>-0.93336090000000005</v>
      </c>
      <c r="S1464">
        <v>-1.3148959999999901</v>
      </c>
      <c r="T1464">
        <v>-0.234125</v>
      </c>
      <c r="U1464">
        <v>-2.8058169999999998</v>
      </c>
      <c r="V1464">
        <v>0.24736639999999999</v>
      </c>
      <c r="W1464">
        <v>0.1738865</v>
      </c>
      <c r="X1464">
        <v>0.95319120000000002</v>
      </c>
      <c r="Y1464">
        <v>0.3525258</v>
      </c>
      <c r="Z1464">
        <v>6.5249370000000001E-2</v>
      </c>
      <c r="AA1464">
        <v>0.93352449999999998</v>
      </c>
      <c r="AB1464">
        <v>29</v>
      </c>
      <c r="AC1464">
        <v>-6.2591999999999901</v>
      </c>
      <c r="AD1464">
        <v>-1.1185993250370001</v>
      </c>
      <c r="AE1464">
        <v>-13.119</v>
      </c>
      <c r="AF1464">
        <v>5.2029113268357401</v>
      </c>
      <c r="AG1464">
        <v>-1.1185993250370001</v>
      </c>
      <c r="AH1464">
        <v>13.4809119395174</v>
      </c>
      <c r="AI1464">
        <v>94.426507419203801</v>
      </c>
      <c r="AJ1464">
        <v>68.896077564981894</v>
      </c>
      <c r="AK1464">
        <v>14.4933273421224</v>
      </c>
      <c r="AL1464">
        <v>79.9861347710372</v>
      </c>
      <c r="AM1464">
        <v>75.451872894563905</v>
      </c>
      <c r="AN1464">
        <v>1.00000005724432</v>
      </c>
    </row>
    <row r="1465" spans="1:40" x14ac:dyDescent="0.25">
      <c r="A1465" t="str">
        <f>"20190303162808257"</f>
        <v>20190303162808257</v>
      </c>
      <c r="B1465" t="str">
        <f>"1551601688253155"</f>
        <v>1551601688253155</v>
      </c>
      <c r="C1465" t="s">
        <v>40</v>
      </c>
      <c r="D1465">
        <v>5.126544</v>
      </c>
      <c r="E1465">
        <v>0.54567919999999903</v>
      </c>
      <c r="F1465" t="s">
        <v>47</v>
      </c>
      <c r="G1465">
        <v>-198.28319999999999</v>
      </c>
      <c r="H1465" s="1">
        <v>1.8385860000000001E-6</v>
      </c>
      <c r="I1465">
        <v>290.23750000000001</v>
      </c>
      <c r="J1465">
        <v>-191.63079999999999</v>
      </c>
      <c r="K1465">
        <v>1.118285</v>
      </c>
      <c r="L1465">
        <v>304.00560000000002</v>
      </c>
      <c r="M1465">
        <v>-8.0359009999999995E-2</v>
      </c>
      <c r="N1465">
        <v>-1.1157459999999999E-2</v>
      </c>
      <c r="O1465">
        <v>-0.99670349999999996</v>
      </c>
      <c r="P1465">
        <v>-0.32429350000000001</v>
      </c>
      <c r="Q1465">
        <v>0.1683375</v>
      </c>
      <c r="R1465">
        <v>-0.93085810000000002</v>
      </c>
      <c r="S1465">
        <v>-1.330948</v>
      </c>
      <c r="T1465">
        <v>-0.22297139999999999</v>
      </c>
      <c r="U1465">
        <v>-2.7987980000000001</v>
      </c>
      <c r="V1465">
        <v>0.2496495</v>
      </c>
      <c r="W1465">
        <v>0.1772753</v>
      </c>
      <c r="X1465">
        <v>0.95197089999999995</v>
      </c>
      <c r="Y1465">
        <v>0.3545219</v>
      </c>
      <c r="Z1465">
        <v>6.1655010000000003E-2</v>
      </c>
      <c r="AA1465">
        <v>0.93301279999999998</v>
      </c>
      <c r="AB1465">
        <v>29</v>
      </c>
      <c r="AC1465">
        <v>-6.6524000000000001</v>
      </c>
      <c r="AD1465">
        <v>-1.1182831614139901</v>
      </c>
      <c r="AE1465">
        <v>-13.7681</v>
      </c>
      <c r="AF1465">
        <v>5.4950334249800399</v>
      </c>
      <c r="AG1465">
        <v>-1.1182831614139901</v>
      </c>
      <c r="AH1465">
        <v>14.182327742796099</v>
      </c>
      <c r="AI1465">
        <v>94.205078520049696</v>
      </c>
      <c r="AJ1465">
        <v>68.820823287287695</v>
      </c>
      <c r="AK1465">
        <v>15.2507170249413</v>
      </c>
      <c r="AL1465">
        <v>79.788906210082999</v>
      </c>
      <c r="AM1465">
        <v>75.305371649328407</v>
      </c>
      <c r="AN1465">
        <v>0.999999999643575</v>
      </c>
    </row>
    <row r="1466" spans="1:40" x14ac:dyDescent="0.25">
      <c r="A1466" t="str">
        <f>"20190303162808280"</f>
        <v>20190303162808280</v>
      </c>
      <c r="B1466" t="str">
        <f>"1551601688272675"</f>
        <v>1551601688272675</v>
      </c>
      <c r="C1466" t="s">
        <v>40</v>
      </c>
      <c r="D1466">
        <v>5.1088930000000001</v>
      </c>
      <c r="E1466">
        <v>0.54502510000000004</v>
      </c>
      <c r="F1466" t="s">
        <v>47</v>
      </c>
      <c r="G1466">
        <v>-198.24600000000001</v>
      </c>
      <c r="H1466" s="1">
        <v>1.9555979999999999E-6</v>
      </c>
      <c r="I1466">
        <v>289.92520000000002</v>
      </c>
      <c r="J1466">
        <v>-191.65989999999999</v>
      </c>
      <c r="K1466">
        <v>1.1178889999999999</v>
      </c>
      <c r="L1466">
        <v>303.70060000000001</v>
      </c>
      <c r="M1466">
        <v>-8.4898580000000001E-2</v>
      </c>
      <c r="N1466">
        <v>-1.1174109999999999E-2</v>
      </c>
      <c r="O1466">
        <v>-0.99632690000000002</v>
      </c>
      <c r="P1466">
        <v>-0.32944869999999998</v>
      </c>
      <c r="Q1466">
        <v>0.16970769999999999</v>
      </c>
      <c r="R1466">
        <v>-0.92879690000000004</v>
      </c>
      <c r="S1466">
        <v>-1.3174440000000001</v>
      </c>
      <c r="T1466">
        <v>-0.2227083</v>
      </c>
      <c r="U1466">
        <v>-2.804138</v>
      </c>
      <c r="V1466">
        <v>0.25079839999999998</v>
      </c>
      <c r="W1466">
        <v>0.17840149999999999</v>
      </c>
      <c r="X1466">
        <v>0.95145840000000004</v>
      </c>
      <c r="Y1466">
        <v>0.3458909</v>
      </c>
      <c r="Z1466">
        <v>6.158806E-2</v>
      </c>
      <c r="AA1466">
        <v>0.93625119999999895</v>
      </c>
      <c r="AB1466">
        <v>29</v>
      </c>
      <c r="AC1466">
        <v>-6.5860999999999796</v>
      </c>
      <c r="AD1466">
        <v>-1.1178870444019999</v>
      </c>
      <c r="AE1466">
        <v>-13.7753999999999</v>
      </c>
      <c r="AF1466">
        <v>5.3639815026346103</v>
      </c>
      <c r="AG1466">
        <v>-1.1178870444019999</v>
      </c>
      <c r="AH1466">
        <v>14.208682935940701</v>
      </c>
      <c r="AI1466">
        <v>94.209717052294707</v>
      </c>
      <c r="AJ1466">
        <v>69.317759391015201</v>
      </c>
      <c r="AK1466">
        <v>15.2285468702283</v>
      </c>
      <c r="AL1466">
        <v>79.723334571763104</v>
      </c>
      <c r="AM1466">
        <v>75.233089337401495</v>
      </c>
      <c r="AN1466">
        <v>1.00000000978768</v>
      </c>
    </row>
    <row r="1467" spans="1:40" x14ac:dyDescent="0.25">
      <c r="A1467" t="str">
        <f>"20190303162808305"</f>
        <v>20190303162808305</v>
      </c>
      <c r="B1467" t="str">
        <f>"1551601688293171"</f>
        <v>1551601688293171</v>
      </c>
      <c r="C1467" t="s">
        <v>40</v>
      </c>
      <c r="D1467">
        <v>5.1268129999999896</v>
      </c>
      <c r="E1467">
        <v>0.54477469999999995</v>
      </c>
      <c r="F1467" t="s">
        <v>47</v>
      </c>
      <c r="G1467">
        <v>-198.285</v>
      </c>
      <c r="H1467" s="1">
        <v>2.0163090000000001E-6</v>
      </c>
      <c r="I1467">
        <v>289.73390000000001</v>
      </c>
      <c r="J1467">
        <v>-191.69110000000001</v>
      </c>
      <c r="K1467">
        <v>1.117472</v>
      </c>
      <c r="L1467">
        <v>303.3963</v>
      </c>
      <c r="M1467">
        <v>-9.0000709999999998E-2</v>
      </c>
      <c r="N1467">
        <v>-1.119298E-2</v>
      </c>
      <c r="O1467">
        <v>-0.99587919999999996</v>
      </c>
      <c r="P1467">
        <v>-0.33567180000000002</v>
      </c>
      <c r="Q1467">
        <v>0.168719799999999</v>
      </c>
      <c r="R1467">
        <v>-0.92674659999999998</v>
      </c>
      <c r="S1467">
        <v>-1.328125</v>
      </c>
      <c r="T1467">
        <v>-0.2241013</v>
      </c>
      <c r="U1467">
        <v>-2.7998959999999999</v>
      </c>
      <c r="V1467">
        <v>0.25246469999999999</v>
      </c>
      <c r="W1467">
        <v>0.17716409999999999</v>
      </c>
      <c r="X1467">
        <v>0.95124889999999995</v>
      </c>
      <c r="Y1467">
        <v>0.3445394</v>
      </c>
      <c r="Z1467">
        <v>6.2047369999999998E-2</v>
      </c>
      <c r="AA1467">
        <v>0.93671910000000003</v>
      </c>
      <c r="AB1467">
        <v>29</v>
      </c>
      <c r="AC1467">
        <v>-6.5938999999999899</v>
      </c>
      <c r="AD1467">
        <v>-1.117469983691</v>
      </c>
      <c r="AE1467">
        <v>-13.6623999999999</v>
      </c>
      <c r="AF1467">
        <v>5.3086298705160102</v>
      </c>
      <c r="AG1467">
        <v>-1.117469983691</v>
      </c>
      <c r="AH1467">
        <v>14.123804104396701</v>
      </c>
      <c r="AI1467">
        <v>94.235646805080094</v>
      </c>
      <c r="AJ1467">
        <v>69.400565441570194</v>
      </c>
      <c r="AK1467">
        <v>15.129842452780499</v>
      </c>
      <c r="AL1467">
        <v>79.795380041725195</v>
      </c>
      <c r="AM1467">
        <v>75.136178164147694</v>
      </c>
      <c r="AN1467">
        <v>1.0000000064130501</v>
      </c>
    </row>
    <row r="1468" spans="1:40" x14ac:dyDescent="0.25">
      <c r="A1468" t="str">
        <f>"20190303162808326"</f>
        <v>20190303162808326</v>
      </c>
      <c r="B1468" t="str">
        <f>"1551601688312691"</f>
        <v>1551601688312691</v>
      </c>
      <c r="C1468" t="s">
        <v>40</v>
      </c>
      <c r="D1468">
        <v>5.1604960000000002</v>
      </c>
      <c r="E1468">
        <v>0.54446569999999905</v>
      </c>
      <c r="F1468" t="s">
        <v>47</v>
      </c>
      <c r="G1468">
        <v>-198.18369999999999</v>
      </c>
      <c r="H1468" s="1">
        <v>1.9755669999999999E-6</v>
      </c>
      <c r="I1468">
        <v>289.89999999999998</v>
      </c>
      <c r="J1468">
        <v>-191.72200000000001</v>
      </c>
      <c r="K1468">
        <v>1.1170880000000001</v>
      </c>
      <c r="L1468">
        <v>303.1146</v>
      </c>
      <c r="M1468">
        <v>-9.5242129999999994E-2</v>
      </c>
      <c r="N1468">
        <v>-1.121376E-2</v>
      </c>
      <c r="O1468">
        <v>-0.99539100000000003</v>
      </c>
      <c r="P1468">
        <v>-0.34221509999999999</v>
      </c>
      <c r="Q1468">
        <v>0.16621150000000001</v>
      </c>
      <c r="R1468">
        <v>-0.92480430000000002</v>
      </c>
      <c r="S1468">
        <v>-1.3434299999999999</v>
      </c>
      <c r="T1468">
        <v>-0.23122509999999999</v>
      </c>
      <c r="U1468">
        <v>-2.7926329999999999</v>
      </c>
      <c r="V1468">
        <v>0.25427759999999999</v>
      </c>
      <c r="W1468">
        <v>0.17443120000000001</v>
      </c>
      <c r="X1468">
        <v>0.95127110000000004</v>
      </c>
      <c r="Y1468">
        <v>0.34465109999999999</v>
      </c>
      <c r="Z1468">
        <v>6.4385109999999995E-2</v>
      </c>
      <c r="AA1468">
        <v>0.93652029999999997</v>
      </c>
      <c r="AB1468">
        <v>29</v>
      </c>
      <c r="AC1468">
        <v>-6.4616999999999702</v>
      </c>
      <c r="AD1468">
        <v>-1.1170860244330001</v>
      </c>
      <c r="AE1468">
        <v>-13.214600000000001</v>
      </c>
      <c r="AF1468">
        <v>5.1439906098959503</v>
      </c>
      <c r="AG1468">
        <v>-1.1170860244330001</v>
      </c>
      <c r="AH1468">
        <v>13.6910278442968</v>
      </c>
      <c r="AI1468">
        <v>94.367737184254295</v>
      </c>
      <c r="AJ1468">
        <v>69.407805062432701</v>
      </c>
      <c r="AK1468">
        <v>14.668086583259299</v>
      </c>
      <c r="AL1468">
        <v>79.954441067767803</v>
      </c>
      <c r="AM1468">
        <v>75.034550591181599</v>
      </c>
      <c r="AN1468">
        <v>1.0000000235452</v>
      </c>
    </row>
    <row r="1469" spans="1:40" x14ac:dyDescent="0.25">
      <c r="A1469" t="str">
        <f>"20190303162808349"</f>
        <v>20190303162808349</v>
      </c>
      <c r="B1469" t="str">
        <f>"1551601688342948"</f>
        <v>1551601688342948</v>
      </c>
      <c r="C1469" t="s">
        <v>40</v>
      </c>
      <c r="D1469">
        <v>5.2263710000000003</v>
      </c>
      <c r="E1469">
        <v>0.54414010000000002</v>
      </c>
      <c r="F1469" t="s">
        <v>47</v>
      </c>
      <c r="G1469">
        <v>-197.85310000000001</v>
      </c>
      <c r="H1469" s="1">
        <v>1.810353E-6</v>
      </c>
      <c r="I1469">
        <v>290.5333</v>
      </c>
      <c r="J1469">
        <v>-191.75700000000001</v>
      </c>
      <c r="K1469">
        <v>1.1167199999999999</v>
      </c>
      <c r="L1469">
        <v>302.81470000000002</v>
      </c>
      <c r="M1469">
        <v>-0.1012578</v>
      </c>
      <c r="N1469">
        <v>-1.123559E-2</v>
      </c>
      <c r="O1469">
        <v>-0.99479669999999998</v>
      </c>
      <c r="P1469">
        <v>-0.34966839999999999</v>
      </c>
      <c r="Q1469">
        <v>0.16383529999999999</v>
      </c>
      <c r="R1469">
        <v>-0.92243710000000001</v>
      </c>
      <c r="S1469">
        <v>-1.357666</v>
      </c>
      <c r="T1469">
        <v>-0.2473669</v>
      </c>
      <c r="U1469">
        <v>-2.7860109999999998</v>
      </c>
      <c r="V1469">
        <v>0.25628840000000003</v>
      </c>
      <c r="W1469">
        <v>0.171839299999999</v>
      </c>
      <c r="X1469">
        <v>0.95120320000000003</v>
      </c>
      <c r="Y1469">
        <v>0.34355859999999999</v>
      </c>
      <c r="Z1469">
        <v>6.9639969999999995E-2</v>
      </c>
      <c r="AA1469">
        <v>0.93654570000000004</v>
      </c>
      <c r="AB1469">
        <v>29</v>
      </c>
      <c r="AC1469">
        <v>-6.0960999999999999</v>
      </c>
      <c r="AD1469">
        <v>-1.116718189647</v>
      </c>
      <c r="AE1469">
        <v>-12.2814</v>
      </c>
      <c r="AF1469">
        <v>4.78932745060954</v>
      </c>
      <c r="AG1469">
        <v>-1.116718189647</v>
      </c>
      <c r="AH1469">
        <v>12.7510016858488</v>
      </c>
      <c r="AI1469">
        <v>94.686988949324601</v>
      </c>
      <c r="AJ1469">
        <v>69.413619889073104</v>
      </c>
      <c r="AK1469">
        <v>13.666483122470501</v>
      </c>
      <c r="AL1469">
        <v>80.105222992117604</v>
      </c>
      <c r="AM1469">
        <v>74.920547464936902</v>
      </c>
      <c r="AN1469">
        <v>1.0000000083446401</v>
      </c>
    </row>
    <row r="1470" spans="1:40" x14ac:dyDescent="0.25">
      <c r="A1470" t="str">
        <f>"20190303162808372"</f>
        <v>20190303162808372</v>
      </c>
      <c r="B1470" t="str">
        <f>"1551601688363443"</f>
        <v>1551601688363443</v>
      </c>
      <c r="C1470" t="s">
        <v>40</v>
      </c>
      <c r="D1470">
        <v>5.2055980000000002</v>
      </c>
      <c r="E1470">
        <v>0.54397819999999997</v>
      </c>
      <c r="F1470" t="s">
        <v>47</v>
      </c>
      <c r="G1470">
        <v>-197.60130000000001</v>
      </c>
      <c r="H1470" s="1">
        <v>1.726121E-6</v>
      </c>
      <c r="I1470">
        <v>291.00189999999998</v>
      </c>
      <c r="J1470">
        <v>-191.7938</v>
      </c>
      <c r="K1470">
        <v>1.1163860000000001</v>
      </c>
      <c r="L1470">
        <v>302.51780000000002</v>
      </c>
      <c r="M1470">
        <v>-0.1076134</v>
      </c>
      <c r="N1470">
        <v>-1.1255340000000001E-2</v>
      </c>
      <c r="O1470">
        <v>-0.99412909999999999</v>
      </c>
      <c r="P1470">
        <v>-0.35705340000000002</v>
      </c>
      <c r="Q1470">
        <v>0.15977479999999999</v>
      </c>
      <c r="R1470">
        <v>-0.92031799999999997</v>
      </c>
      <c r="S1470">
        <v>-1.374374</v>
      </c>
      <c r="T1470">
        <v>-0.26261020000000002</v>
      </c>
      <c r="U1470">
        <v>-2.7779240000000001</v>
      </c>
      <c r="V1470">
        <v>0.25784489999999999</v>
      </c>
      <c r="W1470">
        <v>0.16759260000000001</v>
      </c>
      <c r="X1470">
        <v>0.95154019999999995</v>
      </c>
      <c r="Y1470">
        <v>0.34300029999999998</v>
      </c>
      <c r="Z1470">
        <v>7.4610070000000001E-2</v>
      </c>
      <c r="AA1470">
        <v>0.93636750000000002</v>
      </c>
      <c r="AB1470">
        <v>29</v>
      </c>
      <c r="AC1470">
        <v>-5.8075000000000001</v>
      </c>
      <c r="AD1470">
        <v>-1.116384273879</v>
      </c>
      <c r="AE1470">
        <v>-11.5159</v>
      </c>
      <c r="AF1470">
        <v>4.5007055994845597</v>
      </c>
      <c r="AG1470">
        <v>-1.116384273879</v>
      </c>
      <c r="AH1470">
        <v>11.984229928715999</v>
      </c>
      <c r="AI1470">
        <v>94.984005528057807</v>
      </c>
      <c r="AJ1470">
        <v>69.416214695400896</v>
      </c>
      <c r="AK1470">
        <v>12.850075164158699</v>
      </c>
      <c r="AL1470">
        <v>80.352122991032303</v>
      </c>
      <c r="AM1470">
        <v>74.838297407425202</v>
      </c>
      <c r="AN1470">
        <v>1.0000000121234001</v>
      </c>
    </row>
    <row r="1471" spans="1:40" x14ac:dyDescent="0.25">
      <c r="A1471" t="str">
        <f>"20190303162808393"</f>
        <v>20190303162808393</v>
      </c>
      <c r="B1471" t="str">
        <f>"1551601688382963"</f>
        <v>1551601688382963</v>
      </c>
      <c r="C1471" t="s">
        <v>40</v>
      </c>
      <c r="D1471">
        <v>5.2036619999999996</v>
      </c>
      <c r="E1471">
        <v>0.54382569999999997</v>
      </c>
      <c r="F1471" t="s">
        <v>47</v>
      </c>
      <c r="G1471">
        <v>-197.39169999999999</v>
      </c>
      <c r="H1471" s="1">
        <v>1.6749780000000001E-6</v>
      </c>
      <c r="I1471">
        <v>291.39789999999999</v>
      </c>
      <c r="J1471">
        <v>-191.82980000000001</v>
      </c>
      <c r="K1471">
        <v>1.116101</v>
      </c>
      <c r="L1471">
        <v>302.2439</v>
      </c>
      <c r="M1471">
        <v>-0.1138059</v>
      </c>
      <c r="N1471">
        <v>-1.127396E-2</v>
      </c>
      <c r="O1471">
        <v>-0.99343910000000002</v>
      </c>
      <c r="P1471">
        <v>-0.36367519999999998</v>
      </c>
      <c r="Q1471">
        <v>0.15649370000000001</v>
      </c>
      <c r="R1471">
        <v>-0.91828659999999995</v>
      </c>
      <c r="S1471">
        <v>-1.393173</v>
      </c>
      <c r="T1471">
        <v>-0.27783920000000001</v>
      </c>
      <c r="U1471">
        <v>-2.7674560000000001</v>
      </c>
      <c r="V1471">
        <v>0.25877660000000002</v>
      </c>
      <c r="W1471">
        <v>0.16415950000000001</v>
      </c>
      <c r="X1471">
        <v>0.95188569999999995</v>
      </c>
      <c r="Y1471">
        <v>0.34346169999999998</v>
      </c>
      <c r="Z1471">
        <v>7.9607520000000001E-2</v>
      </c>
      <c r="AA1471">
        <v>0.93578669999999997</v>
      </c>
      <c r="AB1471">
        <v>29</v>
      </c>
      <c r="AC1471">
        <v>-5.5618999999999801</v>
      </c>
      <c r="AD1471">
        <v>-1.1160993250219999</v>
      </c>
      <c r="AE1471">
        <v>-10.846</v>
      </c>
      <c r="AF1471">
        <v>4.2556613160349501</v>
      </c>
      <c r="AG1471">
        <v>-1.1160993250219999</v>
      </c>
      <c r="AH1471">
        <v>11.313683095952699</v>
      </c>
      <c r="AI1471">
        <v>95.275403927745998</v>
      </c>
      <c r="AJ1471">
        <v>69.386123772733796</v>
      </c>
      <c r="AK1471">
        <v>12.1390179230347</v>
      </c>
      <c r="AL1471">
        <v>80.551588662104805</v>
      </c>
      <c r="AM1471">
        <v>74.791313136698903</v>
      </c>
      <c r="AN1471">
        <v>1.0000000280061401</v>
      </c>
    </row>
    <row r="1472" spans="1:40" x14ac:dyDescent="0.25">
      <c r="A1472" t="str">
        <f>"20190303162808416"</f>
        <v>20190303162808416</v>
      </c>
      <c r="B1472" t="str">
        <f>"1551601688402483"</f>
        <v>1551601688402483</v>
      </c>
      <c r="C1472" t="s">
        <v>40</v>
      </c>
      <c r="D1472">
        <v>5.2279299999999997</v>
      </c>
      <c r="E1472">
        <v>0.54364659999999998</v>
      </c>
      <c r="F1472" t="s">
        <v>47</v>
      </c>
      <c r="G1472">
        <v>-197.28460000000001</v>
      </c>
      <c r="H1472" s="1">
        <v>1.6505929999999999E-6</v>
      </c>
      <c r="I1472">
        <v>291.59030000000001</v>
      </c>
      <c r="J1472">
        <v>-191.87100000000001</v>
      </c>
      <c r="K1472">
        <v>1.1158269999999999</v>
      </c>
      <c r="L1472">
        <v>301.94819999999999</v>
      </c>
      <c r="M1472">
        <v>-0.1208178</v>
      </c>
      <c r="N1472">
        <v>-1.1296469999999999E-2</v>
      </c>
      <c r="O1472">
        <v>-0.99261049999999995</v>
      </c>
      <c r="P1472">
        <v>-0.37087360000000003</v>
      </c>
      <c r="Q1472">
        <v>0.15616189999999999</v>
      </c>
      <c r="R1472">
        <v>-0.91545989999999999</v>
      </c>
      <c r="S1472">
        <v>-1.411667</v>
      </c>
      <c r="T1472">
        <v>-0.28884280000000001</v>
      </c>
      <c r="U1472">
        <v>-2.7571110000000001</v>
      </c>
      <c r="V1472">
        <v>0.25962619999999997</v>
      </c>
      <c r="W1472">
        <v>0.16366889999999901</v>
      </c>
      <c r="X1472">
        <v>0.9517388</v>
      </c>
      <c r="Y1472">
        <v>0.3430879</v>
      </c>
      <c r="Z1472">
        <v>8.3230499999999999E-2</v>
      </c>
      <c r="AA1472">
        <v>0.93560860000000001</v>
      </c>
      <c r="AB1472">
        <v>29</v>
      </c>
      <c r="AC1472">
        <v>-5.4136000000000299</v>
      </c>
      <c r="AD1472">
        <v>-1.1158253494069901</v>
      </c>
      <c r="AE1472">
        <v>-10.3578999999999</v>
      </c>
      <c r="AF1472">
        <v>4.08520302115486</v>
      </c>
      <c r="AG1472">
        <v>-1.1158253494069901</v>
      </c>
      <c r="AH1472">
        <v>10.837332650165401</v>
      </c>
      <c r="AI1472">
        <v>95.503091882153896</v>
      </c>
      <c r="AJ1472">
        <v>69.345739141179394</v>
      </c>
      <c r="AK1472">
        <v>11.635365439244801</v>
      </c>
      <c r="AL1472">
        <v>80.580083183155296</v>
      </c>
      <c r="AM1472">
        <v>74.741459240918701</v>
      </c>
      <c r="AN1472">
        <v>1.0000000079895399</v>
      </c>
    </row>
    <row r="1473" spans="1:40" x14ac:dyDescent="0.25">
      <c r="A1473" t="str">
        <f>"20190303162808436"</f>
        <v>20190303162808436</v>
      </c>
      <c r="B1473" t="str">
        <f>"1551601688422979"</f>
        <v>1551601688422979</v>
      </c>
      <c r="C1473" t="s">
        <v>40</v>
      </c>
      <c r="D1473">
        <v>5.288888</v>
      </c>
      <c r="E1473">
        <v>0.54351870000000002</v>
      </c>
      <c r="F1473" t="s">
        <v>47</v>
      </c>
      <c r="G1473">
        <v>-197.39019999999999</v>
      </c>
      <c r="H1473" s="1">
        <v>1.680315E-6</v>
      </c>
      <c r="I1473">
        <v>291.36829999999998</v>
      </c>
      <c r="J1473">
        <v>-191.9092</v>
      </c>
      <c r="K1473">
        <v>1.115604</v>
      </c>
      <c r="L1473">
        <v>301.68770000000001</v>
      </c>
      <c r="M1473">
        <v>-0.12725259999999999</v>
      </c>
      <c r="N1473">
        <v>-1.131825E-2</v>
      </c>
      <c r="O1473">
        <v>-0.99180579999999996</v>
      </c>
      <c r="P1473">
        <v>-0.37907200000000002</v>
      </c>
      <c r="Q1473">
        <v>0.15689220000000001</v>
      </c>
      <c r="R1473">
        <v>-0.91197010000000001</v>
      </c>
      <c r="S1473">
        <v>-1.4325559999999999</v>
      </c>
      <c r="T1473">
        <v>-0.28961979999999998</v>
      </c>
      <c r="U1473">
        <v>-2.7460629999999999</v>
      </c>
      <c r="V1473">
        <v>0.26211230000000002</v>
      </c>
      <c r="W1473">
        <v>0.16423660000000001</v>
      </c>
      <c r="X1473">
        <v>0.95095929999999995</v>
      </c>
      <c r="Y1473">
        <v>0.34412429999999999</v>
      </c>
      <c r="Z1473">
        <v>8.3528699999999997E-2</v>
      </c>
      <c r="AA1473">
        <v>0.93520130000000001</v>
      </c>
      <c r="AB1473">
        <v>29</v>
      </c>
      <c r="AC1473">
        <v>-5.4809999999999901</v>
      </c>
      <c r="AD1473">
        <v>-1.115602319685</v>
      </c>
      <c r="AE1473">
        <v>-10.3194</v>
      </c>
      <c r="AF1473">
        <v>4.0859352208205904</v>
      </c>
      <c r="AG1473">
        <v>-1.115602319685</v>
      </c>
      <c r="AH1473">
        <v>10.834251229631001</v>
      </c>
      <c r="AI1473">
        <v>95.503238317494194</v>
      </c>
      <c r="AJ1473">
        <v>69.336970724235201</v>
      </c>
      <c r="AK1473">
        <v>11.632731187094</v>
      </c>
      <c r="AL1473">
        <v>80.5471106276173</v>
      </c>
      <c r="AM1473">
        <v>74.590229940285496</v>
      </c>
      <c r="AN1473">
        <v>1.00000005442366</v>
      </c>
    </row>
    <row r="1474" spans="1:40" x14ac:dyDescent="0.25">
      <c r="A1474" t="str">
        <f>"20190303162808460"</f>
        <v>20190303162808460</v>
      </c>
      <c r="B1474" t="str">
        <f>"1551601688453235"</f>
        <v>1551601688453235</v>
      </c>
      <c r="C1474" t="s">
        <v>40</v>
      </c>
      <c r="D1474">
        <v>5.3096709999999998</v>
      </c>
      <c r="E1474">
        <v>0.54337259999999998</v>
      </c>
      <c r="F1474" t="s">
        <v>47</v>
      </c>
      <c r="G1474">
        <v>-197.5472</v>
      </c>
      <c r="H1474" s="1">
        <v>1.7134979999999999E-6</v>
      </c>
      <c r="I1474">
        <v>291.10079999999999</v>
      </c>
      <c r="J1474">
        <v>-191.95760000000001</v>
      </c>
      <c r="K1474">
        <v>1.1153420000000001</v>
      </c>
      <c r="L1474">
        <v>301.37569999999999</v>
      </c>
      <c r="M1474">
        <v>-0.1352389</v>
      </c>
      <c r="N1474">
        <v>-1.134518E-2</v>
      </c>
      <c r="O1474">
        <v>-0.99074819999999997</v>
      </c>
      <c r="P1474">
        <v>-0.38968799999999998</v>
      </c>
      <c r="Q1474">
        <v>0.15898599999999999</v>
      </c>
      <c r="R1474">
        <v>-0.90712029999999999</v>
      </c>
      <c r="S1474">
        <v>-1.4559329999999999</v>
      </c>
      <c r="T1474">
        <v>-0.28808919999999999</v>
      </c>
      <c r="U1474">
        <v>-2.7339169999999999</v>
      </c>
      <c r="V1474">
        <v>0.26573479999999999</v>
      </c>
      <c r="W1474">
        <v>0.16612669999999999</v>
      </c>
      <c r="X1474">
        <v>0.94962469999999999</v>
      </c>
      <c r="Y1474">
        <v>0.34453650000000002</v>
      </c>
      <c r="Z1474">
        <v>8.3067710000000003E-2</v>
      </c>
      <c r="AA1474">
        <v>0.93509050000000005</v>
      </c>
      <c r="AB1474">
        <v>29</v>
      </c>
      <c r="AC1474">
        <v>-5.5895999999999901</v>
      </c>
      <c r="AD1474">
        <v>-1.1153402865019999</v>
      </c>
      <c r="AE1474">
        <v>-10.274900000000001</v>
      </c>
      <c r="AF1474">
        <v>4.1112060572446101</v>
      </c>
      <c r="AG1474">
        <v>-1.1153402865019999</v>
      </c>
      <c r="AH1474">
        <v>10.837930629558601</v>
      </c>
      <c r="AI1474">
        <v>95.496112670435394</v>
      </c>
      <c r="AJ1474">
        <v>69.2265120267963</v>
      </c>
      <c r="AK1474">
        <v>11.645030679690899</v>
      </c>
      <c r="AL1474">
        <v>80.437307642509396</v>
      </c>
      <c r="AM1474">
        <v>74.366712232458596</v>
      </c>
      <c r="AN1474">
        <v>1.000000067617</v>
      </c>
    </row>
    <row r="1475" spans="1:40" x14ac:dyDescent="0.25">
      <c r="A1475" t="str">
        <f>"20190303162808482"</f>
        <v>20190303162808482</v>
      </c>
      <c r="B1475" t="str">
        <f>"1551601688472756"</f>
        <v>1551601688472756</v>
      </c>
      <c r="C1475" t="s">
        <v>40</v>
      </c>
      <c r="D1475">
        <v>5.3330840000000004</v>
      </c>
      <c r="E1475">
        <v>0.54330019999999901</v>
      </c>
      <c r="F1475" t="s">
        <v>47</v>
      </c>
      <c r="G1475">
        <v>-197.8135</v>
      </c>
      <c r="H1475" s="1">
        <v>1.7740080000000001E-6</v>
      </c>
      <c r="I1475">
        <v>290.65589999999997</v>
      </c>
      <c r="J1475">
        <v>-192.00479999999999</v>
      </c>
      <c r="K1475">
        <v>1.1151260000000001</v>
      </c>
      <c r="L1475">
        <v>301.08769999999998</v>
      </c>
      <c r="M1475">
        <v>-0.14287149999999901</v>
      </c>
      <c r="N1475">
        <v>-1.1370150000000001E-2</v>
      </c>
      <c r="O1475">
        <v>-0.98967609999999995</v>
      </c>
      <c r="P1475">
        <v>-0.3993215</v>
      </c>
      <c r="Q1475">
        <v>0.16054160000000001</v>
      </c>
      <c r="R1475">
        <v>-0.90264560000000005</v>
      </c>
      <c r="S1475">
        <v>-1.485168</v>
      </c>
      <c r="T1475">
        <v>-0.28287230000000002</v>
      </c>
      <c r="U1475">
        <v>-2.71875</v>
      </c>
      <c r="V1475">
        <v>0.26867960000000002</v>
      </c>
      <c r="W1475">
        <v>0.1675085</v>
      </c>
      <c r="X1475">
        <v>0.94855270000000003</v>
      </c>
      <c r="Y1475">
        <v>0.34731099999999998</v>
      </c>
      <c r="Z1475">
        <v>8.1414570000000006E-2</v>
      </c>
      <c r="AA1475">
        <v>0.93420919999999996</v>
      </c>
      <c r="AB1475">
        <v>29</v>
      </c>
      <c r="AC1475">
        <v>-5.8087000000000097</v>
      </c>
      <c r="AD1475">
        <v>-1.115124225992</v>
      </c>
      <c r="AE1475">
        <v>-10.431800000000001</v>
      </c>
      <c r="AF1475">
        <v>4.2217750269368999</v>
      </c>
      <c r="AG1475">
        <v>-1.115124225992</v>
      </c>
      <c r="AH1475">
        <v>11.058264930294699</v>
      </c>
      <c r="AI1475">
        <v>95.381874449436594</v>
      </c>
      <c r="AJ1475">
        <v>69.104367038293603</v>
      </c>
      <c r="AK1475">
        <v>11.8891593347069</v>
      </c>
      <c r="AL1475">
        <v>80.357010784562405</v>
      </c>
      <c r="AM1475">
        <v>74.185111480151605</v>
      </c>
      <c r="AN1475">
        <v>1.00000002485284</v>
      </c>
    </row>
    <row r="1476" spans="1:40" x14ac:dyDescent="0.25">
      <c r="A1476" t="str">
        <f>"20190303162808506"</f>
        <v>20190303162808506</v>
      </c>
      <c r="B1476" t="str">
        <f>"1551601688503012"</f>
        <v>1551601688503012</v>
      </c>
      <c r="C1476" t="s">
        <v>40</v>
      </c>
      <c r="D1476">
        <v>5.3673690000000001</v>
      </c>
      <c r="E1476">
        <v>0.54301390000000005</v>
      </c>
      <c r="F1476" t="s">
        <v>47</v>
      </c>
      <c r="G1476">
        <v>-198.0497</v>
      </c>
      <c r="H1476" s="1">
        <v>1.8624730000000001E-6</v>
      </c>
      <c r="I1476">
        <v>290.28719999999998</v>
      </c>
      <c r="J1476">
        <v>-192.05760000000001</v>
      </c>
      <c r="K1476">
        <v>1.114908</v>
      </c>
      <c r="L1476">
        <v>300.78309999999999</v>
      </c>
      <c r="M1476">
        <v>-0.15121709999999999</v>
      </c>
      <c r="N1476">
        <v>-1.1397350000000001E-2</v>
      </c>
      <c r="O1476">
        <v>-0.98843490000000001</v>
      </c>
      <c r="P1476">
        <v>-0.40814</v>
      </c>
      <c r="Q1476">
        <v>0.16104979999999999</v>
      </c>
      <c r="R1476">
        <v>-0.89860149999999905</v>
      </c>
      <c r="S1476">
        <v>-1.5132289999999999</v>
      </c>
      <c r="T1476">
        <v>-0.27915259999999997</v>
      </c>
      <c r="U1476">
        <v>-2.703735</v>
      </c>
      <c r="V1476">
        <v>0.27007619999999999</v>
      </c>
      <c r="W1476">
        <v>0.1678742</v>
      </c>
      <c r="X1476">
        <v>0.94809129999999997</v>
      </c>
      <c r="Y1476">
        <v>0.3490452</v>
      </c>
      <c r="Z1476">
        <v>8.0239179999999993E-2</v>
      </c>
      <c r="AA1476">
        <v>0.9336643</v>
      </c>
      <c r="AB1476">
        <v>29</v>
      </c>
      <c r="AC1476">
        <v>-5.99209999999999</v>
      </c>
      <c r="AD1476">
        <v>-1.114906137527</v>
      </c>
      <c r="AE1476">
        <v>-10.495900000000001</v>
      </c>
      <c r="AF1476">
        <v>4.2993363152592803</v>
      </c>
      <c r="AG1476">
        <v>-1.114906137527</v>
      </c>
      <c r="AH1476">
        <v>11.1861625304737</v>
      </c>
      <c r="AI1476">
        <v>95.315124704851399</v>
      </c>
      <c r="AJ1476">
        <v>68.976027320140204</v>
      </c>
      <c r="AK1476">
        <v>12.035677820769999</v>
      </c>
      <c r="AL1476">
        <v>80.335756577305105</v>
      </c>
      <c r="AM1476">
        <v>74.099704371361099</v>
      </c>
      <c r="AN1476">
        <v>1.0000000069838799</v>
      </c>
    </row>
    <row r="1477" spans="1:40" x14ac:dyDescent="0.25">
      <c r="A1477" t="str">
        <f>"20190303162808527"</f>
        <v>20190303162808527</v>
      </c>
      <c r="B1477" t="str">
        <f>"1551601688522531"</f>
        <v>1551601688522531</v>
      </c>
      <c r="C1477" t="s">
        <v>40</v>
      </c>
      <c r="D1477">
        <v>5.327636</v>
      </c>
      <c r="E1477">
        <v>0.54283890000000001</v>
      </c>
      <c r="F1477" t="s">
        <v>47</v>
      </c>
      <c r="G1477">
        <v>-198.22380000000001</v>
      </c>
      <c r="H1477" s="1">
        <v>1.9306019999999998E-6</v>
      </c>
      <c r="I1477">
        <v>290.00700000000001</v>
      </c>
      <c r="J1477">
        <v>-192.108</v>
      </c>
      <c r="K1477">
        <v>1.114722</v>
      </c>
      <c r="L1477">
        <v>300.50749999999999</v>
      </c>
      <c r="M1477">
        <v>-0.15898570000000001</v>
      </c>
      <c r="N1477">
        <v>-1.1422679999999999E-2</v>
      </c>
      <c r="O1477">
        <v>-0.98721479999999995</v>
      </c>
      <c r="P1477">
        <v>-0.41780889999999998</v>
      </c>
      <c r="Q1477">
        <v>0.16130810000000001</v>
      </c>
      <c r="R1477">
        <v>-0.89410040000000002</v>
      </c>
      <c r="S1477">
        <v>-1.5389250000000001</v>
      </c>
      <c r="T1477">
        <v>-0.2782539</v>
      </c>
      <c r="U1477">
        <v>-2.6894529999999999</v>
      </c>
      <c r="V1477">
        <v>0.27293849999999997</v>
      </c>
      <c r="W1477">
        <v>0.16798179999999999</v>
      </c>
      <c r="X1477">
        <v>0.94725219999999999</v>
      </c>
      <c r="Y1477">
        <v>0.3505472</v>
      </c>
      <c r="Z1477">
        <v>7.9976800000000001E-2</v>
      </c>
      <c r="AA1477">
        <v>0.93312399999999995</v>
      </c>
      <c r="AB1477">
        <v>29</v>
      </c>
      <c r="AC1477">
        <v>-6.1158000000000001</v>
      </c>
      <c r="AD1477">
        <v>-1.1147200693979999</v>
      </c>
      <c r="AE1477">
        <v>-10.500499999999899</v>
      </c>
      <c r="AF1477">
        <v>4.3320097261200896</v>
      </c>
      <c r="AG1477">
        <v>-1.1147200693979999</v>
      </c>
      <c r="AH1477">
        <v>11.244688587086401</v>
      </c>
      <c r="AI1477">
        <v>95.285145707004702</v>
      </c>
      <c r="AJ1477">
        <v>68.930849666727298</v>
      </c>
      <c r="AK1477">
        <v>12.1017325421143</v>
      </c>
      <c r="AL1477">
        <v>80.329502871040802</v>
      </c>
      <c r="AM1477">
        <v>73.926346226010807</v>
      </c>
      <c r="AN1477">
        <v>1.0000000201591599</v>
      </c>
    </row>
    <row r="1478" spans="1:40" x14ac:dyDescent="0.25">
      <c r="A1478" t="str">
        <f>"20190303162808550"</f>
        <v>20190303162808550</v>
      </c>
      <c r="B1478" t="str">
        <f>"1551601688543027"</f>
        <v>1551601688543027</v>
      </c>
      <c r="C1478" t="s">
        <v>40</v>
      </c>
      <c r="D1478">
        <v>5.3590070000000001</v>
      </c>
      <c r="E1478">
        <v>0.54264969999999901</v>
      </c>
      <c r="F1478" t="s">
        <v>47</v>
      </c>
      <c r="G1478">
        <v>-198.38800000000001</v>
      </c>
      <c r="H1478" s="1">
        <v>1.9796839999999998E-6</v>
      </c>
      <c r="I1478">
        <v>289.78579999999999</v>
      </c>
      <c r="J1478">
        <v>-192.1661</v>
      </c>
      <c r="K1478">
        <v>1.114533</v>
      </c>
      <c r="L1478">
        <v>300.20510000000002</v>
      </c>
      <c r="M1478">
        <v>-0.1677109</v>
      </c>
      <c r="N1478">
        <v>-1.145033E-2</v>
      </c>
      <c r="O1478">
        <v>-0.98576969999999997</v>
      </c>
      <c r="P1478">
        <v>-0.4287629</v>
      </c>
      <c r="Q1478">
        <v>0.1602037</v>
      </c>
      <c r="R1478">
        <v>-0.88909919999999998</v>
      </c>
      <c r="S1478">
        <v>-1.566055</v>
      </c>
      <c r="T1478">
        <v>-0.27797709999999998</v>
      </c>
      <c r="U1478">
        <v>-2.6736759999999999</v>
      </c>
      <c r="V1478">
        <v>0.27622720000000001</v>
      </c>
      <c r="W1478">
        <v>0.16672429999999999</v>
      </c>
      <c r="X1478">
        <v>0.94652069999999999</v>
      </c>
      <c r="Y1478">
        <v>0.35172059999999999</v>
      </c>
      <c r="Z1478">
        <v>7.9920660000000004E-2</v>
      </c>
      <c r="AA1478">
        <v>0.93268709999999999</v>
      </c>
      <c r="AB1478">
        <v>29</v>
      </c>
      <c r="AC1478">
        <v>-6.2218999999999998</v>
      </c>
      <c r="AD1478">
        <v>-1.1145310203159999</v>
      </c>
      <c r="AE1478">
        <v>-10.4193</v>
      </c>
      <c r="AF1478">
        <v>4.3495318871150603</v>
      </c>
      <c r="AG1478">
        <v>-1.1145310203159999</v>
      </c>
      <c r="AH1478">
        <v>11.2206126090538</v>
      </c>
      <c r="AI1478">
        <v>95.291301995600804</v>
      </c>
      <c r="AJ1478">
        <v>68.811793765734606</v>
      </c>
      <c r="AK1478">
        <v>12.085642488288901</v>
      </c>
      <c r="AL1478">
        <v>80.4025822538905</v>
      </c>
      <c r="AM1478">
        <v>73.730944345429606</v>
      </c>
      <c r="AN1478">
        <v>0.99999994687940796</v>
      </c>
    </row>
    <row r="1479" spans="1:40" x14ac:dyDescent="0.25">
      <c r="A1479" t="str">
        <f>"20190303162808584"</f>
        <v>20190303162808584</v>
      </c>
      <c r="B1479" t="str">
        <f>"1551601688573284"</f>
        <v>1551601688573284</v>
      </c>
      <c r="C1479" t="s">
        <v>40</v>
      </c>
      <c r="D1479">
        <v>5.4145139999999996</v>
      </c>
      <c r="E1479">
        <v>0.54258119999999999</v>
      </c>
      <c r="F1479" t="s">
        <v>47</v>
      </c>
      <c r="G1479">
        <v>-198.46100000000001</v>
      </c>
      <c r="H1479" s="1">
        <v>1.983864E-6</v>
      </c>
      <c r="I1479">
        <v>289.73739999999998</v>
      </c>
      <c r="J1479">
        <v>-192.2534</v>
      </c>
      <c r="K1479">
        <v>1.1142890000000001</v>
      </c>
      <c r="L1479">
        <v>299.7756</v>
      </c>
      <c r="M1479">
        <v>-0.1804413</v>
      </c>
      <c r="N1479">
        <v>-1.148833E-2</v>
      </c>
      <c r="O1479">
        <v>-0.98351880000000003</v>
      </c>
      <c r="P1479">
        <v>-0.44363580000000002</v>
      </c>
      <c r="Q1479">
        <v>0.1580338</v>
      </c>
      <c r="R1479">
        <v>-0.8821639</v>
      </c>
      <c r="S1479">
        <v>-1.596695</v>
      </c>
      <c r="T1479">
        <v>-0.28269850000000002</v>
      </c>
      <c r="U1479">
        <v>-2.6551209999999998</v>
      </c>
      <c r="V1479">
        <v>0.279885099999999</v>
      </c>
      <c r="W1479">
        <v>0.16436220000000001</v>
      </c>
      <c r="X1479">
        <v>0.94585909999999995</v>
      </c>
      <c r="Y1479">
        <v>0.35033809999999999</v>
      </c>
      <c r="Z1479">
        <v>8.1470619999999994E-2</v>
      </c>
      <c r="AA1479">
        <v>0.93307329999999999</v>
      </c>
      <c r="AB1479">
        <v>29</v>
      </c>
      <c r="AC1479">
        <v>-6.2075999999999798</v>
      </c>
      <c r="AD1479">
        <v>-1.1142870161359999</v>
      </c>
      <c r="AE1479">
        <v>-10.0382</v>
      </c>
      <c r="AF1479">
        <v>4.2563298437236696</v>
      </c>
      <c r="AG1479">
        <v>-1.1142870161359999</v>
      </c>
      <c r="AH1479">
        <v>10.8964651850526</v>
      </c>
      <c r="AI1479">
        <v>95.441142486869495</v>
      </c>
      <c r="AJ1479">
        <v>68.6636054451007</v>
      </c>
      <c r="AK1479">
        <v>11.7512098450315</v>
      </c>
      <c r="AL1479">
        <v>80.539814802935695</v>
      </c>
      <c r="AM1479">
        <v>73.516214109353797</v>
      </c>
      <c r="AN1479">
        <v>1.0000000195218199</v>
      </c>
    </row>
    <row r="1480" spans="1:40" x14ac:dyDescent="0.25">
      <c r="A1480" t="str">
        <f>"20190303162808606"</f>
        <v>20190303162808606</v>
      </c>
      <c r="B1480" t="str">
        <f>"1551601688592803"</f>
        <v>1551601688592803</v>
      </c>
      <c r="C1480" t="s">
        <v>40</v>
      </c>
      <c r="D1480">
        <v>5.3623200000000004</v>
      </c>
      <c r="E1480">
        <v>0.55991359999999901</v>
      </c>
      <c r="F1480" t="s">
        <v>47</v>
      </c>
      <c r="G1480">
        <v>-198.56229999999999</v>
      </c>
      <c r="H1480" s="1">
        <v>1.9904489999999999E-6</v>
      </c>
      <c r="I1480">
        <v>289.66789999999997</v>
      </c>
      <c r="J1480">
        <v>-192.31489999999999</v>
      </c>
      <c r="K1480">
        <v>1.114117</v>
      </c>
      <c r="L1480">
        <v>299.49090000000001</v>
      </c>
      <c r="M1480">
        <v>-0.18915390000000001</v>
      </c>
      <c r="N1480">
        <v>-1.151656E-2</v>
      </c>
      <c r="O1480">
        <v>-0.98187990000000003</v>
      </c>
      <c r="P1480">
        <v>-0.45208660000000001</v>
      </c>
      <c r="Q1480">
        <v>0.15816469999999999</v>
      </c>
      <c r="R1480">
        <v>-0.87783940000000005</v>
      </c>
      <c r="S1480">
        <v>-1.640198</v>
      </c>
      <c r="T1480">
        <v>-0.289689799999999</v>
      </c>
      <c r="U1480">
        <v>-2.627777</v>
      </c>
      <c r="V1480">
        <v>0.28065759999999901</v>
      </c>
      <c r="W1480">
        <v>0.16439089999999901</v>
      </c>
      <c r="X1480">
        <v>0.94562520000000005</v>
      </c>
      <c r="Y1480">
        <v>0.35739070000000001</v>
      </c>
      <c r="Z1480">
        <v>8.3838339999999997E-2</v>
      </c>
      <c r="AA1480">
        <v>0.93018440000000002</v>
      </c>
      <c r="AB1480">
        <v>29</v>
      </c>
      <c r="AC1480">
        <v>-6.2473999999999901</v>
      </c>
      <c r="AD1480">
        <v>-1.114115009551</v>
      </c>
      <c r="AE1480">
        <v>-9.8230000000000306</v>
      </c>
      <c r="AF1480">
        <v>4.2376087562807703</v>
      </c>
      <c r="AG1480">
        <v>-1.114115009551</v>
      </c>
      <c r="AH1480">
        <v>10.7291750714706</v>
      </c>
      <c r="AI1480">
        <v>95.516499343351001</v>
      </c>
      <c r="AJ1480">
        <v>68.447899005061103</v>
      </c>
      <c r="AK1480">
        <v>11.5893821207207</v>
      </c>
      <c r="AL1480">
        <v>80.538147911296406</v>
      </c>
      <c r="AM1480">
        <v>73.4693318288965</v>
      </c>
      <c r="AN1480">
        <v>1.0000000376578</v>
      </c>
    </row>
    <row r="1481" spans="1:40" x14ac:dyDescent="0.25">
      <c r="A1481" t="str">
        <f>"20190303162808626"</f>
        <v>20190303162808626</v>
      </c>
      <c r="B1481" t="str">
        <f>"1551601688613299"</f>
        <v>1551601688613299</v>
      </c>
      <c r="C1481" t="s">
        <v>40</v>
      </c>
      <c r="D1481">
        <v>5.3500519999999998</v>
      </c>
      <c r="E1481">
        <v>0.56199440000000001</v>
      </c>
      <c r="F1481" t="s">
        <v>47</v>
      </c>
      <c r="G1481">
        <v>-199.6652</v>
      </c>
      <c r="H1481" s="1">
        <v>1.862792E-6</v>
      </c>
      <c r="I1481">
        <v>289.04719999999998</v>
      </c>
      <c r="J1481">
        <v>-192.37440000000001</v>
      </c>
      <c r="K1481">
        <v>1.1139650000000001</v>
      </c>
      <c r="L1481">
        <v>299.22739999999999</v>
      </c>
      <c r="M1481">
        <v>-0.1973752</v>
      </c>
      <c r="N1481">
        <v>-1.154464E-2</v>
      </c>
      <c r="O1481">
        <v>-0.98026020000000003</v>
      </c>
      <c r="P1481">
        <v>-0.4596074</v>
      </c>
      <c r="Q1481">
        <v>0.15768170000000001</v>
      </c>
      <c r="R1481">
        <v>-0.87401249999999997</v>
      </c>
      <c r="S1481">
        <v>-1.7906040000000001</v>
      </c>
      <c r="T1481">
        <v>-0.27140879999999901</v>
      </c>
      <c r="U1481">
        <v>-2.5441889999999998</v>
      </c>
      <c r="V1481">
        <v>0.28088970000000002</v>
      </c>
      <c r="W1481">
        <v>0.16382739999999901</v>
      </c>
      <c r="X1481">
        <v>0.94565399999999999</v>
      </c>
      <c r="Y1481">
        <v>0.4008369</v>
      </c>
      <c r="Z1481">
        <v>7.7996919999999997E-2</v>
      </c>
      <c r="AA1481">
        <v>0.9128233</v>
      </c>
      <c r="AB1481">
        <v>29</v>
      </c>
      <c r="AC1481">
        <v>-7.2907999999999902</v>
      </c>
      <c r="AD1481">
        <v>-1.1139631372080001</v>
      </c>
      <c r="AE1481">
        <v>-10.180199999999999</v>
      </c>
      <c r="AF1481">
        <v>5.0975596207459102</v>
      </c>
      <c r="AG1481">
        <v>-1.1139631372080001</v>
      </c>
      <c r="AH1481">
        <v>11.3293623029386</v>
      </c>
      <c r="AI1481">
        <v>95.123832462866005</v>
      </c>
      <c r="AJ1481">
        <v>65.775002771960899</v>
      </c>
      <c r="AK1481">
        <v>12.473190375736401</v>
      </c>
      <c r="AL1481">
        <v>80.570877128827902</v>
      </c>
      <c r="AM1481">
        <v>73.456884460587403</v>
      </c>
      <c r="AN1481">
        <v>0.999999964136424</v>
      </c>
    </row>
    <row r="1482" spans="1:40" x14ac:dyDescent="0.25">
      <c r="A1482" t="str">
        <f>"20190303162808649"</f>
        <v>20190303162808649</v>
      </c>
      <c r="B1482" t="str">
        <f>"1551601688642579"</f>
        <v>1551601688642579</v>
      </c>
      <c r="C1482" t="s">
        <v>40</v>
      </c>
      <c r="D1482">
        <v>5.3865669999999897</v>
      </c>
      <c r="E1482">
        <v>0.56193230000000005</v>
      </c>
      <c r="F1482" t="s">
        <v>47</v>
      </c>
      <c r="G1482">
        <v>-199.84889999999999</v>
      </c>
      <c r="H1482" s="1">
        <v>1.840437E-6</v>
      </c>
      <c r="I1482">
        <v>288.93029999999999</v>
      </c>
      <c r="J1482">
        <v>-192.4452</v>
      </c>
      <c r="K1482">
        <v>1.1137729999999999</v>
      </c>
      <c r="L1482">
        <v>298.9273</v>
      </c>
      <c r="M1482">
        <v>-0.206978</v>
      </c>
      <c r="N1482">
        <v>-1.157825E-2</v>
      </c>
      <c r="O1482">
        <v>-0.97827710000000001</v>
      </c>
      <c r="P1482">
        <v>-0.46832980000000002</v>
      </c>
      <c r="Q1482">
        <v>0.1569005</v>
      </c>
      <c r="R1482">
        <v>-0.86951139999999905</v>
      </c>
      <c r="S1482">
        <v>-1.829056</v>
      </c>
      <c r="T1482">
        <v>-0.27259290000000003</v>
      </c>
      <c r="U1482">
        <v>-2.5197750000000001</v>
      </c>
      <c r="V1482">
        <v>0.2811129</v>
      </c>
      <c r="W1482">
        <v>0.16294529999999999</v>
      </c>
      <c r="X1482">
        <v>0.94574009999999997</v>
      </c>
      <c r="Y1482">
        <v>0.40517239999999999</v>
      </c>
      <c r="Z1482">
        <v>7.8379409999999997E-2</v>
      </c>
      <c r="AA1482">
        <v>0.91087430000000003</v>
      </c>
      <c r="AB1482">
        <v>29</v>
      </c>
      <c r="AC1482">
        <v>-7.4036999999999802</v>
      </c>
      <c r="AD1482">
        <v>-1.113771159563</v>
      </c>
      <c r="AE1482">
        <v>-9.9970000000000105</v>
      </c>
      <c r="AF1482">
        <v>5.1329133327501602</v>
      </c>
      <c r="AG1482">
        <v>-1.113771159563</v>
      </c>
      <c r="AH1482">
        <v>11.223035502686599</v>
      </c>
      <c r="AI1482">
        <v>95.156902996413095</v>
      </c>
      <c r="AJ1482">
        <v>65.422767493115302</v>
      </c>
      <c r="AK1482">
        <v>12.391279650301</v>
      </c>
      <c r="AL1482">
        <v>80.622106344667699</v>
      </c>
      <c r="AM1482">
        <v>73.445883030503197</v>
      </c>
      <c r="AN1482">
        <v>0.99999998504325405</v>
      </c>
    </row>
    <row r="1483" spans="1:40" x14ac:dyDescent="0.25">
      <c r="A1483" t="str">
        <f>"20190303162808672"</f>
        <v>20190303162808672</v>
      </c>
      <c r="B1483" t="str">
        <f>"1551601688663076"</f>
        <v>1551601688663076</v>
      </c>
      <c r="C1483" t="s">
        <v>40</v>
      </c>
      <c r="D1483">
        <v>5.384868</v>
      </c>
      <c r="E1483">
        <v>0.56159709999999996</v>
      </c>
      <c r="F1483" t="s">
        <v>47</v>
      </c>
      <c r="G1483">
        <v>-199.9462</v>
      </c>
      <c r="H1483" s="1">
        <v>1.8326349999999999E-6</v>
      </c>
      <c r="I1483">
        <v>288.822</v>
      </c>
      <c r="J1483">
        <v>-192.5187</v>
      </c>
      <c r="K1483">
        <v>1.113564</v>
      </c>
      <c r="L1483">
        <v>298.62990000000002</v>
      </c>
      <c r="M1483">
        <v>-0.21675710000000001</v>
      </c>
      <c r="N1483">
        <v>-1.161536E-2</v>
      </c>
      <c r="O1483">
        <v>-0.97615669999999999</v>
      </c>
      <c r="P1483">
        <v>-0.47796470000000002</v>
      </c>
      <c r="Q1483">
        <v>0.15745379999999901</v>
      </c>
      <c r="R1483">
        <v>-0.86415209999999998</v>
      </c>
      <c r="S1483">
        <v>-1.8559110000000001</v>
      </c>
      <c r="T1483">
        <v>-0.2755705</v>
      </c>
      <c r="U1483">
        <v>-2.5002749999999998</v>
      </c>
      <c r="V1483">
        <v>0.28227619999999998</v>
      </c>
      <c r="W1483">
        <v>0.16336779999999901</v>
      </c>
      <c r="X1483">
        <v>0.94532070000000001</v>
      </c>
      <c r="Y1483">
        <v>0.40568910000000002</v>
      </c>
      <c r="Z1483">
        <v>7.9359109999999997E-2</v>
      </c>
      <c r="AA1483">
        <v>0.91055940000000002</v>
      </c>
      <c r="AB1483">
        <v>29</v>
      </c>
      <c r="AC1483">
        <v>-7.4275000000000002</v>
      </c>
      <c r="AD1483">
        <v>-1.113562167365</v>
      </c>
      <c r="AE1483">
        <v>-9.8079000000000107</v>
      </c>
      <c r="AF1483">
        <v>5.0831731767807202</v>
      </c>
      <c r="AG1483">
        <v>-1.113562167365</v>
      </c>
      <c r="AH1483">
        <v>11.0938773367235</v>
      </c>
      <c r="AI1483">
        <v>95.213987497587496</v>
      </c>
      <c r="AJ1483">
        <v>65.382925550702893</v>
      </c>
      <c r="AK1483">
        <v>12.2536845319274</v>
      </c>
      <c r="AL1483">
        <v>80.597570793245197</v>
      </c>
      <c r="AM1483">
        <v>73.374183629216702</v>
      </c>
      <c r="AN1483">
        <v>1.0000000585058799</v>
      </c>
    </row>
    <row r="1484" spans="1:40" x14ac:dyDescent="0.25">
      <c r="A1484" t="str">
        <f>"20190303162808697"</f>
        <v>20190303162808697</v>
      </c>
      <c r="B1484" t="str">
        <f>"1551601688693332"</f>
        <v>1551601688693332</v>
      </c>
      <c r="C1484" t="s">
        <v>40</v>
      </c>
      <c r="D1484">
        <v>5.4248620000000001</v>
      </c>
      <c r="E1484">
        <v>0.560921</v>
      </c>
      <c r="F1484" t="s">
        <v>47</v>
      </c>
      <c r="G1484">
        <v>-200.18729999999999</v>
      </c>
      <c r="H1484" s="1">
        <v>1.9579060000000001E-6</v>
      </c>
      <c r="I1484">
        <v>288.52980000000002</v>
      </c>
      <c r="J1484">
        <v>-192.5984</v>
      </c>
      <c r="K1484">
        <v>1.113337</v>
      </c>
      <c r="L1484">
        <v>298.322</v>
      </c>
      <c r="M1484">
        <v>-0.22715840000000001</v>
      </c>
      <c r="N1484">
        <v>-1.165713E-2</v>
      </c>
      <c r="O1484">
        <v>-0.97378830000000005</v>
      </c>
      <c r="P1484">
        <v>-0.48989949999999999</v>
      </c>
      <c r="Q1484">
        <v>0.15968460000000001</v>
      </c>
      <c r="R1484">
        <v>-0.85702969999999901</v>
      </c>
      <c r="S1484">
        <v>-1.882919</v>
      </c>
      <c r="T1484">
        <v>-0.27342240000000001</v>
      </c>
      <c r="U1484">
        <v>-2.4799500000000001</v>
      </c>
      <c r="V1484">
        <v>0.28552670000000002</v>
      </c>
      <c r="W1484">
        <v>0.16541049999999999</v>
      </c>
      <c r="X1484">
        <v>0.9439883</v>
      </c>
      <c r="Y1484">
        <v>0.40586359999999999</v>
      </c>
      <c r="Z1484">
        <v>7.8665659999999998E-2</v>
      </c>
      <c r="AA1484">
        <v>0.91054179999999996</v>
      </c>
      <c r="AB1484">
        <v>29</v>
      </c>
      <c r="AC1484">
        <v>-7.58889999999999</v>
      </c>
      <c r="AD1484">
        <v>-1.113335042094</v>
      </c>
      <c r="AE1484">
        <v>-9.7921999999999798</v>
      </c>
      <c r="AF1484">
        <v>5.1245645990693101</v>
      </c>
      <c r="AG1484">
        <v>-1.113335042094</v>
      </c>
      <c r="AH1484">
        <v>11.1699643344891</v>
      </c>
      <c r="AI1484">
        <v>95.176474251833199</v>
      </c>
      <c r="AJ1484">
        <v>65.355254064963205</v>
      </c>
      <c r="AK1484">
        <v>12.3397236792299</v>
      </c>
      <c r="AL1484">
        <v>80.478918123265899</v>
      </c>
      <c r="AM1484">
        <v>73.171088938525401</v>
      </c>
      <c r="AN1484">
        <v>1.0000000202300099</v>
      </c>
    </row>
    <row r="1485" spans="1:40" x14ac:dyDescent="0.25">
      <c r="A1485" t="str">
        <f>"20190303162808717"</f>
        <v>20190303162808717</v>
      </c>
      <c r="B1485" t="str">
        <f>"1551601688712851"</f>
        <v>1551601688712851</v>
      </c>
      <c r="C1485" t="s">
        <v>40</v>
      </c>
      <c r="D1485">
        <v>5.4304829999999997</v>
      </c>
      <c r="E1485">
        <v>0.56031489999999995</v>
      </c>
      <c r="F1485" t="s">
        <v>47</v>
      </c>
      <c r="G1485">
        <v>-200.48310000000001</v>
      </c>
      <c r="H1485" s="1">
        <v>2.118655E-6</v>
      </c>
      <c r="I1485">
        <v>288.1918</v>
      </c>
      <c r="J1485">
        <v>-192.6696</v>
      </c>
      <c r="K1485">
        <v>1.1131329999999999</v>
      </c>
      <c r="L1485">
        <v>298.05860000000001</v>
      </c>
      <c r="M1485">
        <v>-0.2362747</v>
      </c>
      <c r="N1485">
        <v>-1.1693769999999999E-2</v>
      </c>
      <c r="O1485">
        <v>-0.97161589999999998</v>
      </c>
      <c r="P1485">
        <v>-0.50267390000000001</v>
      </c>
      <c r="Q1485">
        <v>0.16072139999999999</v>
      </c>
      <c r="R1485">
        <v>-0.84940450000000001</v>
      </c>
      <c r="S1485">
        <v>-1.91272</v>
      </c>
      <c r="T1485">
        <v>-0.27007910000000002</v>
      </c>
      <c r="U1485">
        <v>-2.4574280000000002</v>
      </c>
      <c r="V1485">
        <v>0.29095850000000001</v>
      </c>
      <c r="W1485">
        <v>0.16622779999999901</v>
      </c>
      <c r="X1485">
        <v>0.94218440000000003</v>
      </c>
      <c r="Y1485">
        <v>0.40827740000000001</v>
      </c>
      <c r="Z1485">
        <v>7.7596979999999996E-2</v>
      </c>
      <c r="AA1485">
        <v>0.90955390000000003</v>
      </c>
      <c r="AB1485">
        <v>29</v>
      </c>
      <c r="AC1485">
        <v>-7.8135000000000003</v>
      </c>
      <c r="AD1485">
        <v>-1.1131308813449901</v>
      </c>
      <c r="AE1485">
        <v>-9.8668000000000102</v>
      </c>
      <c r="AF1485">
        <v>5.2199741969989102</v>
      </c>
      <c r="AG1485">
        <v>-1.1131308813449901</v>
      </c>
      <c r="AH1485">
        <v>11.3449129174641</v>
      </c>
      <c r="AI1485">
        <v>95.093575517976802</v>
      </c>
      <c r="AJ1485">
        <v>65.292091763429795</v>
      </c>
      <c r="AK1485">
        <v>12.5377127132975</v>
      </c>
      <c r="AL1485">
        <v>80.431432583505895</v>
      </c>
      <c r="AM1485">
        <v>72.838648124245097</v>
      </c>
      <c r="AN1485">
        <v>0.99999998690922398</v>
      </c>
    </row>
    <row r="1486" spans="1:40" x14ac:dyDescent="0.25">
      <c r="A1486" t="str">
        <f>"20190303162808741"</f>
        <v>20190303162808741</v>
      </c>
      <c r="B1486" t="str">
        <f>"1551601688733347"</f>
        <v>1551601688733347</v>
      </c>
      <c r="C1486" t="s">
        <v>40</v>
      </c>
      <c r="D1486">
        <v>5.4399189999999997</v>
      </c>
      <c r="E1486">
        <v>0.55996610000000002</v>
      </c>
      <c r="F1486" t="s">
        <v>47</v>
      </c>
      <c r="G1486">
        <v>-200.58459999999999</v>
      </c>
      <c r="H1486" s="1">
        <v>2.1679320000000001E-6</v>
      </c>
      <c r="I1486">
        <v>288.14280000000002</v>
      </c>
      <c r="J1486">
        <v>-192.7542</v>
      </c>
      <c r="K1486">
        <v>1.11291299999999</v>
      </c>
      <c r="L1486">
        <v>297.75810000000001</v>
      </c>
      <c r="M1486">
        <v>-0.24688669999999999</v>
      </c>
      <c r="N1486">
        <v>-1.1733560000000001E-2</v>
      </c>
      <c r="O1486">
        <v>-0.96897359999999999</v>
      </c>
      <c r="P1486">
        <v>-0.51808540000000003</v>
      </c>
      <c r="Q1486">
        <v>0.1573195</v>
      </c>
      <c r="R1486">
        <v>-0.84073690000000001</v>
      </c>
      <c r="S1486">
        <v>-1.94278</v>
      </c>
      <c r="T1486">
        <v>-0.2732252</v>
      </c>
      <c r="U1486">
        <v>-2.4338989999999998</v>
      </c>
      <c r="V1486">
        <v>0.29770150000000001</v>
      </c>
      <c r="W1486">
        <v>0.1625769</v>
      </c>
      <c r="X1486">
        <v>0.94071380000000004</v>
      </c>
      <c r="Y1486">
        <v>0.40939520000000001</v>
      </c>
      <c r="Z1486">
        <v>7.862065E-2</v>
      </c>
      <c r="AA1486">
        <v>0.90896339999999998</v>
      </c>
      <c r="AB1486">
        <v>29</v>
      </c>
      <c r="AC1486">
        <v>-7.8303999999999903</v>
      </c>
      <c r="AD1486">
        <v>-1.1129108320679999</v>
      </c>
      <c r="AE1486">
        <v>-9.6152999999999906</v>
      </c>
      <c r="AF1486">
        <v>5.1722574822082299</v>
      </c>
      <c r="AG1486">
        <v>-1.1129108320679999</v>
      </c>
      <c r="AH1486">
        <v>11.1610653888232</v>
      </c>
      <c r="AI1486">
        <v>95.169538546498003</v>
      </c>
      <c r="AJ1486">
        <v>65.136064878219997</v>
      </c>
      <c r="AK1486">
        <v>12.351526164647799</v>
      </c>
      <c r="AL1486">
        <v>80.6434989739911</v>
      </c>
      <c r="AM1486">
        <v>72.439326045551098</v>
      </c>
      <c r="AN1486">
        <v>0.99999994251314805</v>
      </c>
    </row>
    <row r="1487" spans="1:40" x14ac:dyDescent="0.25">
      <c r="A1487" t="str">
        <f>"20190303162808763"</f>
        <v>20190303162808763</v>
      </c>
      <c r="B1487" t="str">
        <f>"1551601688753844"</f>
        <v>1551601688753844</v>
      </c>
      <c r="C1487" t="s">
        <v>40</v>
      </c>
      <c r="D1487">
        <v>5.4523159999999997</v>
      </c>
      <c r="E1487">
        <v>0.55262670000000003</v>
      </c>
      <c r="F1487" t="s">
        <v>47</v>
      </c>
      <c r="G1487">
        <v>-200.40960000000001</v>
      </c>
      <c r="H1487" s="1">
        <v>2.0619900000000001E-6</v>
      </c>
      <c r="I1487">
        <v>288.46699999999998</v>
      </c>
      <c r="J1487">
        <v>-192.83510000000001</v>
      </c>
      <c r="K1487">
        <v>1.112735</v>
      </c>
      <c r="L1487">
        <v>297.4828</v>
      </c>
      <c r="M1487">
        <v>-0.2567796</v>
      </c>
      <c r="N1487">
        <v>-1.1765899999999999E-2</v>
      </c>
      <c r="O1487">
        <v>-0.96639839999999999</v>
      </c>
      <c r="P1487">
        <v>-0.53194669999999999</v>
      </c>
      <c r="Q1487">
        <v>0.15222069999999999</v>
      </c>
      <c r="R1487">
        <v>-0.83298379999999905</v>
      </c>
      <c r="S1487">
        <v>-1.979401</v>
      </c>
      <c r="T1487">
        <v>-0.2877574</v>
      </c>
      <c r="U1487">
        <v>-2.4023439999999998</v>
      </c>
      <c r="V1487">
        <v>0.30339260000000001</v>
      </c>
      <c r="W1487">
        <v>0.15727829999999901</v>
      </c>
      <c r="X1487">
        <v>0.93979599999999996</v>
      </c>
      <c r="Y1487">
        <v>0.41390959999999899</v>
      </c>
      <c r="Z1487">
        <v>8.3437059999999993E-2</v>
      </c>
      <c r="AA1487">
        <v>0.90648609999999996</v>
      </c>
      <c r="AB1487">
        <v>29</v>
      </c>
      <c r="AC1487">
        <v>-7.5744999999999996</v>
      </c>
      <c r="AD1487">
        <v>-1.11273293801</v>
      </c>
      <c r="AE1487">
        <v>-9.0158000000000094</v>
      </c>
      <c r="AF1487">
        <v>4.9609574956585396</v>
      </c>
      <c r="AG1487">
        <v>-1.11273293801</v>
      </c>
      <c r="AH1487">
        <v>10.5642335514096</v>
      </c>
      <c r="AI1487">
        <v>95.446176990178998</v>
      </c>
      <c r="AJ1487">
        <v>64.845279258818195</v>
      </c>
      <c r="AK1487">
        <v>11.7240054756807</v>
      </c>
      <c r="AL1487">
        <v>80.951046084646705</v>
      </c>
      <c r="AM1487">
        <v>72.108460142144907</v>
      </c>
      <c r="AN1487">
        <v>1.0000000275008201</v>
      </c>
    </row>
    <row r="1488" spans="1:40" x14ac:dyDescent="0.25">
      <c r="A1488" t="str">
        <f>"20190303162808785"</f>
        <v>20190303162808785</v>
      </c>
      <c r="B1488" t="str">
        <f>"1551601688773363"</f>
        <v>1551601688773363</v>
      </c>
      <c r="C1488" t="s">
        <v>40</v>
      </c>
      <c r="D1488">
        <v>5.4718070000000001</v>
      </c>
      <c r="E1488">
        <v>0.55179500000000004</v>
      </c>
      <c r="F1488" t="s">
        <v>47</v>
      </c>
      <c r="G1488">
        <v>-199.4076</v>
      </c>
      <c r="H1488" s="1">
        <v>1.874294E-6</v>
      </c>
      <c r="I1488">
        <v>289.4384</v>
      </c>
      <c r="J1488">
        <v>-192.91919999999999</v>
      </c>
      <c r="K1488">
        <v>1.1125969999999901</v>
      </c>
      <c r="L1488">
        <v>297.20749999999998</v>
      </c>
      <c r="M1488">
        <v>-0.2667968</v>
      </c>
      <c r="N1488">
        <v>-1.179319E-2</v>
      </c>
      <c r="O1488">
        <v>-0.96368089999999995</v>
      </c>
      <c r="P1488">
        <v>-0.54455010000000004</v>
      </c>
      <c r="Q1488">
        <v>0.1475496</v>
      </c>
      <c r="R1488">
        <v>-0.82564819999999906</v>
      </c>
      <c r="S1488">
        <v>-1.9663090000000001</v>
      </c>
      <c r="T1488">
        <v>-0.332899</v>
      </c>
      <c r="U1488">
        <v>-2.406647</v>
      </c>
      <c r="V1488">
        <v>0.30765330000000002</v>
      </c>
      <c r="W1488">
        <v>0.1524577</v>
      </c>
      <c r="X1488">
        <v>0.93920510000000001</v>
      </c>
      <c r="Y1488">
        <v>0.3997986</v>
      </c>
      <c r="Z1488">
        <v>9.7963350000000005E-2</v>
      </c>
      <c r="AA1488">
        <v>0.91135299999999997</v>
      </c>
      <c r="AB1488">
        <v>29</v>
      </c>
      <c r="AC1488">
        <v>-6.4884000000000102</v>
      </c>
      <c r="AD1488">
        <v>-1.1125951257059901</v>
      </c>
      <c r="AE1488">
        <v>-7.7690999999999804</v>
      </c>
      <c r="AF1488">
        <v>4.1303640729367697</v>
      </c>
      <c r="AG1488">
        <v>-1.1125951257059901</v>
      </c>
      <c r="AH1488">
        <v>9.1086091557253592</v>
      </c>
      <c r="AI1488">
        <v>96.347751247168603</v>
      </c>
      <c r="AJ1488">
        <v>65.607743737554998</v>
      </c>
      <c r="AK1488">
        <v>10.063028174486799</v>
      </c>
      <c r="AL1488">
        <v>81.230619711279203</v>
      </c>
      <c r="AM1488">
        <v>71.862872943320795</v>
      </c>
      <c r="AN1488">
        <v>1.00000006157809</v>
      </c>
    </row>
    <row r="1489" spans="1:40" x14ac:dyDescent="0.25">
      <c r="A1489" t="str">
        <f>"20190303162808807"</f>
        <v>20190303162808807</v>
      </c>
      <c r="B1489" t="str">
        <f>"1551601688802643"</f>
        <v>1551601688802643</v>
      </c>
      <c r="C1489" t="s">
        <v>40</v>
      </c>
      <c r="D1489">
        <v>5.4800139999999997</v>
      </c>
      <c r="E1489">
        <v>0.55058430000000003</v>
      </c>
      <c r="F1489" t="s">
        <v>47</v>
      </c>
      <c r="G1489">
        <v>-199.386</v>
      </c>
      <c r="H1489" s="1">
        <v>1.873573E-6</v>
      </c>
      <c r="I1489">
        <v>289.49040000000002</v>
      </c>
      <c r="J1489">
        <v>-193.00720000000001</v>
      </c>
      <c r="K1489">
        <v>1.112495</v>
      </c>
      <c r="L1489">
        <v>296.93029999999999</v>
      </c>
      <c r="M1489">
        <v>-0.27696720000000002</v>
      </c>
      <c r="N1489">
        <v>-1.1816449999999999E-2</v>
      </c>
      <c r="O1489">
        <v>-0.96080679999999996</v>
      </c>
      <c r="P1489">
        <v>-0.55675869999999905</v>
      </c>
      <c r="Q1489">
        <v>0.14497550000000001</v>
      </c>
      <c r="R1489">
        <v>-0.81792580000000004</v>
      </c>
      <c r="S1489">
        <v>-1.99411</v>
      </c>
      <c r="T1489">
        <v>-0.34308169999999999</v>
      </c>
      <c r="U1489">
        <v>-2.3796390000000001</v>
      </c>
      <c r="V1489">
        <v>0.3115368</v>
      </c>
      <c r="W1489">
        <v>0.14975769999999999</v>
      </c>
      <c r="X1489">
        <v>0.9383589</v>
      </c>
      <c r="Y1489">
        <v>0.40122370000000002</v>
      </c>
      <c r="Z1489">
        <v>0.1013479</v>
      </c>
      <c r="AA1489">
        <v>0.9103561</v>
      </c>
      <c r="AB1489">
        <v>29</v>
      </c>
      <c r="AC1489">
        <v>-6.3787999999999796</v>
      </c>
      <c r="AD1489">
        <v>-1.1124931264269999</v>
      </c>
      <c r="AE1489">
        <v>-7.4398999999999598</v>
      </c>
      <c r="AF1489">
        <v>4.0167082924337096</v>
      </c>
      <c r="AG1489">
        <v>-1.1124931264269999</v>
      </c>
      <c r="AH1489">
        <v>8.8022162991397206</v>
      </c>
      <c r="AI1489">
        <v>96.559170980006698</v>
      </c>
      <c r="AJ1489">
        <v>65.471401417557402</v>
      </c>
      <c r="AK1489">
        <v>9.73912718058933</v>
      </c>
      <c r="AL1489">
        <v>81.387114691984806</v>
      </c>
      <c r="AM1489">
        <v>71.633743110571601</v>
      </c>
      <c r="AN1489">
        <v>0.99999998583636895</v>
      </c>
    </row>
    <row r="1490" spans="1:40" x14ac:dyDescent="0.25">
      <c r="A1490" t="str">
        <f>"20190303162808828"</f>
        <v>20190303162808828</v>
      </c>
      <c r="B1490" t="str">
        <f>"1551601688823140"</f>
        <v>1551601688823140</v>
      </c>
      <c r="C1490" t="s">
        <v>40</v>
      </c>
      <c r="D1490">
        <v>5.484648</v>
      </c>
      <c r="E1490">
        <v>0.54982330000000001</v>
      </c>
      <c r="F1490" t="s">
        <v>47</v>
      </c>
      <c r="G1490">
        <v>-199.40379999999999</v>
      </c>
      <c r="H1490" s="1">
        <v>1.8725559999999999E-6</v>
      </c>
      <c r="I1490">
        <v>289.46600000000001</v>
      </c>
      <c r="J1490">
        <v>-193.10230000000001</v>
      </c>
      <c r="K1490">
        <v>1.112422</v>
      </c>
      <c r="L1490">
        <v>296.642</v>
      </c>
      <c r="M1490">
        <v>-0.28760170000000002</v>
      </c>
      <c r="N1490">
        <v>-1.1837E-2</v>
      </c>
      <c r="O1490">
        <v>-0.95767729999999995</v>
      </c>
      <c r="P1490">
        <v>-0.56936980000000004</v>
      </c>
      <c r="Q1490">
        <v>0.14272739999999901</v>
      </c>
      <c r="R1490">
        <v>-0.80959720000000002</v>
      </c>
      <c r="S1490">
        <v>-2.0188139999999999</v>
      </c>
      <c r="T1490">
        <v>-0.35111520000000002</v>
      </c>
      <c r="U1490">
        <v>-2.355804</v>
      </c>
      <c r="V1490">
        <v>0.31554280000000001</v>
      </c>
      <c r="W1490">
        <v>0.14739249999999901</v>
      </c>
      <c r="X1490">
        <v>0.93739439999999996</v>
      </c>
      <c r="Y1490">
        <v>0.40094030000000003</v>
      </c>
      <c r="Z1490">
        <v>0.10396320000000001</v>
      </c>
      <c r="AA1490">
        <v>0.91018600000000005</v>
      </c>
      <c r="AB1490">
        <v>29</v>
      </c>
      <c r="AC1490">
        <v>-6.3014999999999697</v>
      </c>
      <c r="AD1490">
        <v>-1.112420127444</v>
      </c>
      <c r="AE1490">
        <v>-7.1759999999999797</v>
      </c>
      <c r="AF1490">
        <v>3.9180889387851101</v>
      </c>
      <c r="AG1490">
        <v>-1.112420127444</v>
      </c>
      <c r="AH1490">
        <v>8.5689541656728707</v>
      </c>
      <c r="AI1490">
        <v>96.733363128561905</v>
      </c>
      <c r="AJ1490">
        <v>65.428112605538999</v>
      </c>
      <c r="AK1490">
        <v>9.4876696277629406</v>
      </c>
      <c r="AL1490">
        <v>81.524152076834895</v>
      </c>
      <c r="AM1490">
        <v>71.395897072501199</v>
      </c>
      <c r="AN1490">
        <v>1.00000003441972</v>
      </c>
    </row>
    <row r="1491" spans="1:40" x14ac:dyDescent="0.25">
      <c r="A1491" t="str">
        <f>"20190303162808852"</f>
        <v>20190303162808852</v>
      </c>
      <c r="B1491" t="str">
        <f>"1551601688842659"</f>
        <v>1551601688842659</v>
      </c>
      <c r="C1491" t="s">
        <v>40</v>
      </c>
      <c r="D1491">
        <v>5.5803599999999998</v>
      </c>
      <c r="E1491">
        <v>0.54943889999999995</v>
      </c>
      <c r="F1491" t="s">
        <v>47</v>
      </c>
      <c r="G1491">
        <v>-199.54050000000001</v>
      </c>
      <c r="H1491" s="1">
        <v>1.8609109999999999E-6</v>
      </c>
      <c r="I1491">
        <v>289.3218</v>
      </c>
      <c r="J1491">
        <v>-193.20050000000001</v>
      </c>
      <c r="K1491">
        <v>1.1123639999999999</v>
      </c>
      <c r="L1491">
        <v>296.35469999999998</v>
      </c>
      <c r="M1491">
        <v>-0.29823480000000002</v>
      </c>
      <c r="N1491">
        <v>-1.1854969999999999E-2</v>
      </c>
      <c r="O1491">
        <v>-0.95441900000000002</v>
      </c>
      <c r="P1491">
        <v>-0.58093050000000002</v>
      </c>
      <c r="Q1491">
        <v>0.1403353</v>
      </c>
      <c r="R1491">
        <v>-0.80176440000000004</v>
      </c>
      <c r="S1491">
        <v>-2.047485</v>
      </c>
      <c r="T1491">
        <v>-0.35377309999999901</v>
      </c>
      <c r="U1491">
        <v>-2.3279719999999999</v>
      </c>
      <c r="V1491">
        <v>0.31841409999999998</v>
      </c>
      <c r="W1491">
        <v>0.14491879999999999</v>
      </c>
      <c r="X1491">
        <v>0.93680890000000006</v>
      </c>
      <c r="Y1491">
        <v>0.40240169999999997</v>
      </c>
      <c r="Z1491">
        <v>0.1048685</v>
      </c>
      <c r="AA1491">
        <v>0.90943689999999999</v>
      </c>
      <c r="AB1491">
        <v>29</v>
      </c>
      <c r="AC1491">
        <v>-6.34</v>
      </c>
      <c r="AD1491">
        <v>-1.1123621390889999</v>
      </c>
      <c r="AE1491">
        <v>-7.0328999999999802</v>
      </c>
      <c r="AF1491">
        <v>3.9000148155922099</v>
      </c>
      <c r="AG1491">
        <v>-1.1123621390889999</v>
      </c>
      <c r="AH1491">
        <v>8.4866230414265402</v>
      </c>
      <c r="AI1491">
        <v>96.791845765239302</v>
      </c>
      <c r="AJ1491">
        <v>65.318924982307294</v>
      </c>
      <c r="AK1491">
        <v>9.4058617753818492</v>
      </c>
      <c r="AL1491">
        <v>81.667422527730395</v>
      </c>
      <c r="AM1491">
        <v>71.227500029411601</v>
      </c>
      <c r="AN1491">
        <v>0.99999995639572903</v>
      </c>
    </row>
    <row r="1492" spans="1:40" x14ac:dyDescent="0.25">
      <c r="A1492" t="str">
        <f>"20190303162808873"</f>
        <v>20190303162808873</v>
      </c>
      <c r="B1492" t="str">
        <f>"1551601688863155"</f>
        <v>1551601688863155</v>
      </c>
      <c r="C1492" t="s">
        <v>40</v>
      </c>
      <c r="D1492">
        <v>5.4891540000000001</v>
      </c>
      <c r="E1492">
        <v>0.57024160000000002</v>
      </c>
      <c r="F1492" t="s">
        <v>47</v>
      </c>
      <c r="G1492">
        <v>-199.61240000000001</v>
      </c>
      <c r="H1492" s="1">
        <v>1.8548800000000001E-6</v>
      </c>
      <c r="I1492">
        <v>289.2448</v>
      </c>
      <c r="J1492">
        <v>-193.297</v>
      </c>
      <c r="K1492">
        <v>1.1123209999999999</v>
      </c>
      <c r="L1492">
        <v>296.08199999999999</v>
      </c>
      <c r="M1492">
        <v>-0.30833480000000002</v>
      </c>
      <c r="N1492">
        <v>-1.187001E-2</v>
      </c>
      <c r="O1492">
        <v>-0.95120389999999999</v>
      </c>
      <c r="P1492">
        <v>-0.59159859999999997</v>
      </c>
      <c r="Q1492">
        <v>0.139005399999999</v>
      </c>
      <c r="R1492">
        <v>-0.79415909999999901</v>
      </c>
      <c r="S1492">
        <v>-2.075256</v>
      </c>
      <c r="T1492">
        <v>-0.36002289999999998</v>
      </c>
      <c r="U1492">
        <v>-2.3011469999999998</v>
      </c>
      <c r="V1492">
        <v>0.3209243</v>
      </c>
      <c r="W1492">
        <v>0.14352019999999999</v>
      </c>
      <c r="X1492">
        <v>0.93616750000000004</v>
      </c>
      <c r="Y1492">
        <v>0.40387099999999998</v>
      </c>
      <c r="Z1492">
        <v>0.10690280000000001</v>
      </c>
      <c r="AA1492">
        <v>0.90854829999999998</v>
      </c>
      <c r="AB1492">
        <v>29</v>
      </c>
      <c r="AC1492">
        <v>-6.3154000000000101</v>
      </c>
      <c r="AD1492">
        <v>-1.1123191451200001</v>
      </c>
      <c r="AE1492">
        <v>-6.8371999999999904</v>
      </c>
      <c r="AF1492">
        <v>3.8444552292007801</v>
      </c>
      <c r="AG1492">
        <v>-1.1123191451200001</v>
      </c>
      <c r="AH1492">
        <v>8.3324219823335905</v>
      </c>
      <c r="AI1492">
        <v>96.911288083555803</v>
      </c>
      <c r="AJ1492">
        <v>65.232104427648096</v>
      </c>
      <c r="AK1492">
        <v>9.2437192721115107</v>
      </c>
      <c r="AL1492">
        <v>81.748403545693407</v>
      </c>
      <c r="AM1492">
        <v>71.077952259406104</v>
      </c>
      <c r="AN1492">
        <v>1.0000000210973801</v>
      </c>
    </row>
    <row r="1493" spans="1:40" x14ac:dyDescent="0.25">
      <c r="A1493" t="str">
        <f>"20190303162808895"</f>
        <v>20190303162808895</v>
      </c>
      <c r="B1493" t="str">
        <f>"1551601688882675"</f>
        <v>1551601688882675</v>
      </c>
      <c r="C1493" t="s">
        <v>40</v>
      </c>
      <c r="D1493">
        <v>5.7765360000000001</v>
      </c>
      <c r="E1493">
        <v>0.57291709999999996</v>
      </c>
      <c r="F1493" t="s">
        <v>47</v>
      </c>
      <c r="G1493">
        <v>-203.2105</v>
      </c>
      <c r="H1493" s="1">
        <v>3.4737249999999999E-6</v>
      </c>
      <c r="I1493">
        <v>286.52629999999999</v>
      </c>
      <c r="J1493">
        <v>-193.39519999999999</v>
      </c>
      <c r="K1493">
        <v>1.1122840000000001</v>
      </c>
      <c r="L1493">
        <v>295.8134</v>
      </c>
      <c r="M1493">
        <v>-0.3182913</v>
      </c>
      <c r="N1493">
        <v>-1.1883370000000001E-2</v>
      </c>
      <c r="O1493">
        <v>-0.9479185</v>
      </c>
      <c r="P1493">
        <v>-0.60216700000000001</v>
      </c>
      <c r="Q1493">
        <v>0.139850799999999</v>
      </c>
      <c r="R1493">
        <v>-0.78602609999999995</v>
      </c>
      <c r="S1493">
        <v>-2.2362980000000001</v>
      </c>
      <c r="T1493">
        <v>-0.25091740000000001</v>
      </c>
      <c r="U1493">
        <v>-2.1555789999999999</v>
      </c>
      <c r="V1493">
        <v>0.32370700000000002</v>
      </c>
      <c r="W1493">
        <v>0.14428650000000001</v>
      </c>
      <c r="X1493">
        <v>0.93509100000000001</v>
      </c>
      <c r="Y1493">
        <v>0.45947470000000001</v>
      </c>
      <c r="Z1493">
        <v>7.2281150000000002E-2</v>
      </c>
      <c r="AA1493">
        <v>0.88524480000000005</v>
      </c>
      <c r="AB1493">
        <v>29</v>
      </c>
      <c r="AC1493">
        <v>-9.8153000000000006</v>
      </c>
      <c r="AD1493">
        <v>-1.112280526275</v>
      </c>
      <c r="AE1493">
        <v>-9.2871000000000095</v>
      </c>
      <c r="AF1493">
        <v>6.3058233924606801</v>
      </c>
      <c r="AG1493">
        <v>-1.112280526275</v>
      </c>
      <c r="AH1493">
        <v>11.8481018930809</v>
      </c>
      <c r="AI1493">
        <v>94.737393970579006</v>
      </c>
      <c r="AJ1493">
        <v>61.977098720415697</v>
      </c>
      <c r="AK1493">
        <v>13.467668509985799</v>
      </c>
      <c r="AL1493">
        <v>81.704035800571305</v>
      </c>
      <c r="AM1493">
        <v>70.9053231818787</v>
      </c>
      <c r="AN1493">
        <v>0.99999999710612497</v>
      </c>
    </row>
    <row r="1494" spans="1:40" x14ac:dyDescent="0.25">
      <c r="A1494" t="str">
        <f>"20190303162808916"</f>
        <v>20190303162808916</v>
      </c>
      <c r="B1494" t="str">
        <f>"1551601688912932"</f>
        <v>1551601688912932</v>
      </c>
      <c r="C1494" t="s">
        <v>40</v>
      </c>
      <c r="D1494">
        <v>5.720351</v>
      </c>
      <c r="E1494">
        <v>0.57456499999999999</v>
      </c>
      <c r="F1494" t="s">
        <v>47</v>
      </c>
      <c r="G1494">
        <v>-200.58359999999999</v>
      </c>
      <c r="H1494" s="1">
        <v>2.0831130000000002E-6</v>
      </c>
      <c r="I1494">
        <v>289.1078</v>
      </c>
      <c r="J1494">
        <v>-193.49770000000001</v>
      </c>
      <c r="K1494">
        <v>1.1122609999999999</v>
      </c>
      <c r="L1494">
        <v>295.54180000000002</v>
      </c>
      <c r="M1494">
        <v>-0.32836690000000002</v>
      </c>
      <c r="N1494">
        <v>-1.189602E-2</v>
      </c>
      <c r="O1494">
        <v>-0.94447530000000002</v>
      </c>
      <c r="P1494">
        <v>-0.6131877</v>
      </c>
      <c r="Q1494">
        <v>0.1414831</v>
      </c>
      <c r="R1494">
        <v>-0.77716379999999996</v>
      </c>
      <c r="S1494">
        <v>-2.283493</v>
      </c>
      <c r="T1494">
        <v>-0.35333160000000002</v>
      </c>
      <c r="U1494">
        <v>-2.1301269999999999</v>
      </c>
      <c r="V1494">
        <v>0.32707629999999999</v>
      </c>
      <c r="W1494">
        <v>0.1458217</v>
      </c>
      <c r="X1494">
        <v>0.93367929999999999</v>
      </c>
      <c r="Y1494">
        <v>0.46221329999999999</v>
      </c>
      <c r="Z1494">
        <v>0.1050966</v>
      </c>
      <c r="AA1494">
        <v>0.88051889999999999</v>
      </c>
      <c r="AB1494">
        <v>29</v>
      </c>
      <c r="AC1494">
        <v>-7.0858999999999801</v>
      </c>
      <c r="AD1494">
        <v>-1.1122589168870001</v>
      </c>
      <c r="AE1494">
        <v>-6.4340000000000197</v>
      </c>
      <c r="AF1494">
        <v>4.5190406661788396</v>
      </c>
      <c r="AG1494">
        <v>-1.1122589168870001</v>
      </c>
      <c r="AH1494">
        <v>8.2921408528328708</v>
      </c>
      <c r="AI1494">
        <v>96.717309481293896</v>
      </c>
      <c r="AJ1494">
        <v>61.410554078727699</v>
      </c>
      <c r="AK1494">
        <v>9.5088615703454593</v>
      </c>
      <c r="AL1494">
        <v>81.6151347138034</v>
      </c>
      <c r="AM1494">
        <v>70.694180928103094</v>
      </c>
      <c r="AN1494">
        <v>0.99999995473053405</v>
      </c>
    </row>
    <row r="1495" spans="1:40" x14ac:dyDescent="0.25">
      <c r="A1495" t="str">
        <f>"20190303162808941"</f>
        <v>20190303162808941</v>
      </c>
      <c r="B1495" t="str">
        <f>"1551601688932451"</f>
        <v>1551601688932451</v>
      </c>
      <c r="C1495" t="s">
        <v>40</v>
      </c>
      <c r="D1495">
        <v>5.7175250000000002</v>
      </c>
      <c r="E1495">
        <v>0.57493809999999901</v>
      </c>
      <c r="F1495" t="s">
        <v>47</v>
      </c>
      <c r="G1495">
        <v>-199.92840000000001</v>
      </c>
      <c r="H1495" s="1">
        <v>1.7432610000000001E-6</v>
      </c>
      <c r="I1495">
        <v>289.73259999999999</v>
      </c>
      <c r="J1495">
        <v>-193.61529999999999</v>
      </c>
      <c r="K1495">
        <v>1.1122289999999999</v>
      </c>
      <c r="L1495">
        <v>295.24040000000002</v>
      </c>
      <c r="M1495">
        <v>-0.33955940000000001</v>
      </c>
      <c r="N1495">
        <v>-1.1909589999999999E-2</v>
      </c>
      <c r="O1495">
        <v>-0.94050929999999999</v>
      </c>
      <c r="P1495">
        <v>-0.62437730000000002</v>
      </c>
      <c r="Q1495">
        <v>0.1434396</v>
      </c>
      <c r="R1495">
        <v>-0.76784030000000003</v>
      </c>
      <c r="S1495">
        <v>-2.3242029999999998</v>
      </c>
      <c r="T1495">
        <v>-0.40199479999999999</v>
      </c>
      <c r="U1495">
        <v>-2.099548</v>
      </c>
      <c r="V1495">
        <v>0.32968920000000002</v>
      </c>
      <c r="W1495">
        <v>0.1476933</v>
      </c>
      <c r="X1495">
        <v>0.9324654</v>
      </c>
      <c r="Y1495">
        <v>0.46441700000000002</v>
      </c>
      <c r="Z1495">
        <v>0.1203762</v>
      </c>
      <c r="AA1495">
        <v>0.87739750000000005</v>
      </c>
      <c r="AB1495">
        <v>29</v>
      </c>
      <c r="AC1495">
        <v>-6.3131000000000101</v>
      </c>
      <c r="AD1495">
        <v>-1.1122272567389999</v>
      </c>
      <c r="AE1495">
        <v>-5.5078000000000298</v>
      </c>
      <c r="AF1495">
        <v>3.9971463361850699</v>
      </c>
      <c r="AG1495">
        <v>-1.1122272567389999</v>
      </c>
      <c r="AH1495">
        <v>7.1974798547354899</v>
      </c>
      <c r="AI1495">
        <v>97.693804025644496</v>
      </c>
      <c r="AJ1495">
        <v>60.954238876586899</v>
      </c>
      <c r="AK1495">
        <v>8.3077039284530407</v>
      </c>
      <c r="AL1495">
        <v>81.506726511271594</v>
      </c>
      <c r="AM1495">
        <v>70.528075000296397</v>
      </c>
      <c r="AN1495">
        <v>1.0000000008293399</v>
      </c>
    </row>
    <row r="1496" spans="1:40" x14ac:dyDescent="0.25">
      <c r="A1496" t="str">
        <f>"20190303162808964"</f>
        <v>20190303162808964</v>
      </c>
      <c r="B1496" t="str">
        <f>"1551601688952674"</f>
        <v>1551601688952674</v>
      </c>
      <c r="C1496" t="s">
        <v>40</v>
      </c>
      <c r="D1496">
        <v>5.7779550000000004</v>
      </c>
      <c r="E1496">
        <v>0.5744302</v>
      </c>
      <c r="F1496" t="s">
        <v>47</v>
      </c>
      <c r="G1496">
        <v>-200.06659999999999</v>
      </c>
      <c r="H1496" s="1">
        <v>1.8121500000000001E-6</v>
      </c>
      <c r="I1496">
        <v>289.5849</v>
      </c>
      <c r="J1496">
        <v>-193.7285</v>
      </c>
      <c r="K1496">
        <v>1.112188</v>
      </c>
      <c r="L1496">
        <v>294.95979999999997</v>
      </c>
      <c r="M1496">
        <v>-0.35001290000000002</v>
      </c>
      <c r="N1496">
        <v>-1.1922820000000001E-2</v>
      </c>
      <c r="O1496">
        <v>-0.93666910000000003</v>
      </c>
      <c r="P1496">
        <v>-0.63380709999999996</v>
      </c>
      <c r="Q1496">
        <v>0.14477960000000001</v>
      </c>
      <c r="R1496">
        <v>-0.75982099999999997</v>
      </c>
      <c r="S1496">
        <v>-2.357056</v>
      </c>
      <c r="T1496">
        <v>-0.406364</v>
      </c>
      <c r="U1496">
        <v>-2.0663149999999999</v>
      </c>
      <c r="V1496">
        <v>0.3309474</v>
      </c>
      <c r="W1496">
        <v>0.148978799999999</v>
      </c>
      <c r="X1496">
        <v>0.93181499999999995</v>
      </c>
      <c r="Y1496">
        <v>0.46750809999999998</v>
      </c>
      <c r="Z1496">
        <v>0.12167360000000001</v>
      </c>
      <c r="AA1496">
        <v>0.87557499999999999</v>
      </c>
      <c r="AB1496">
        <v>29</v>
      </c>
      <c r="AC1496">
        <v>-6.3380999999999901</v>
      </c>
      <c r="AD1496">
        <v>-1.1121861878499999</v>
      </c>
      <c r="AE1496">
        <v>-5.3748999999999603</v>
      </c>
      <c r="AF1496">
        <v>3.9843421191517399</v>
      </c>
      <c r="AG1496">
        <v>-1.1121861878499999</v>
      </c>
      <c r="AH1496">
        <v>7.1258035700620699</v>
      </c>
      <c r="AI1496">
        <v>97.757612811420699</v>
      </c>
      <c r="AJ1496">
        <v>60.788573939818299</v>
      </c>
      <c r="AK1496">
        <v>8.2394791557476701</v>
      </c>
      <c r="AL1496">
        <v>81.432249081641899</v>
      </c>
      <c r="AM1496">
        <v>70.446779205540196</v>
      </c>
      <c r="AN1496">
        <v>1.00000002932059</v>
      </c>
    </row>
    <row r="1497" spans="1:40" x14ac:dyDescent="0.25">
      <c r="A1497" t="str">
        <f>"20190303162808989"</f>
        <v>20190303162808989</v>
      </c>
      <c r="B1497" t="str">
        <f>"1551601688982930"</f>
        <v>1551601688982930</v>
      </c>
      <c r="C1497" t="s">
        <v>40</v>
      </c>
      <c r="D1497">
        <v>5.4722860000000004</v>
      </c>
      <c r="E1497">
        <v>0.59194329999999995</v>
      </c>
      <c r="F1497" t="s">
        <v>47</v>
      </c>
      <c r="G1497">
        <v>-200.1181</v>
      </c>
      <c r="H1497" s="1">
        <v>1.8440250000000001E-6</v>
      </c>
      <c r="I1497">
        <v>289.48169999999999</v>
      </c>
      <c r="J1497">
        <v>-193.85919999999999</v>
      </c>
      <c r="K1497">
        <v>1.1121369999999999</v>
      </c>
      <c r="L1497">
        <v>294.64769999999999</v>
      </c>
      <c r="M1497">
        <v>-0.36171360000000002</v>
      </c>
      <c r="N1497">
        <v>-1.19395E-2</v>
      </c>
      <c r="O1497">
        <v>-0.93221290000000001</v>
      </c>
      <c r="P1497">
        <v>-0.64335469999999995</v>
      </c>
      <c r="Q1497">
        <v>0.1469299</v>
      </c>
      <c r="R1497">
        <v>-0.75133680000000003</v>
      </c>
      <c r="S1497">
        <v>-2.3808289999999999</v>
      </c>
      <c r="T1497">
        <v>-0.41441289999999997</v>
      </c>
      <c r="U1497">
        <v>-2.041229</v>
      </c>
      <c r="V1497">
        <v>0.3312697</v>
      </c>
      <c r="W1497">
        <v>0.15108469999999999</v>
      </c>
      <c r="X1497">
        <v>0.93136129999999995</v>
      </c>
      <c r="Y1497">
        <v>0.46586490000000003</v>
      </c>
      <c r="Z1497">
        <v>0.1240074</v>
      </c>
      <c r="AA1497">
        <v>0.8761234</v>
      </c>
      <c r="AB1497">
        <v>29</v>
      </c>
      <c r="AC1497">
        <v>-6.2589000000000103</v>
      </c>
      <c r="AD1497">
        <v>-1.1121351559749999</v>
      </c>
      <c r="AE1497">
        <v>-5.1659999999999897</v>
      </c>
      <c r="AF1497">
        <v>3.8931851216014302</v>
      </c>
      <c r="AG1497">
        <v>-1.1121351559749999</v>
      </c>
      <c r="AH1497">
        <v>6.9497325762714599</v>
      </c>
      <c r="AI1497">
        <v>97.947798460993795</v>
      </c>
      <c r="AJ1497">
        <v>60.742796486277101</v>
      </c>
      <c r="AK1497">
        <v>8.0431659113748903</v>
      </c>
      <c r="AL1497">
        <v>81.31020858142</v>
      </c>
      <c r="AM1497">
        <v>70.420374513234904</v>
      </c>
      <c r="AN1497">
        <v>1.0000000359249299</v>
      </c>
    </row>
    <row r="1498" spans="1:40" x14ac:dyDescent="0.25">
      <c r="A1498" t="str">
        <f>"20190303162809008"</f>
        <v>20190303162809008</v>
      </c>
      <c r="B1498" t="str">
        <f>"1551601689002450"</f>
        <v>1551601689002450</v>
      </c>
      <c r="C1498" t="s">
        <v>40</v>
      </c>
      <c r="D1498">
        <v>5.801679</v>
      </c>
      <c r="E1498">
        <v>0.58190489999999995</v>
      </c>
      <c r="F1498" t="s">
        <v>47</v>
      </c>
      <c r="G1498">
        <v>-207.76240000000001</v>
      </c>
      <c r="H1498" s="1">
        <v>5.6956199999999999E-6</v>
      </c>
      <c r="I1498">
        <v>284.20069999999998</v>
      </c>
      <c r="J1498">
        <v>-193.9589</v>
      </c>
      <c r="K1498">
        <v>1.1120950000000001</v>
      </c>
      <c r="L1498">
        <v>294.41649999999998</v>
      </c>
      <c r="M1498">
        <v>-0.3704189</v>
      </c>
      <c r="N1498">
        <v>-1.195267E-2</v>
      </c>
      <c r="O1498">
        <v>-0.92878780000000005</v>
      </c>
      <c r="P1498">
        <v>-0.65062430000000004</v>
      </c>
      <c r="Q1498">
        <v>0.14974309999999999</v>
      </c>
      <c r="R1498">
        <v>-0.74448999999999999</v>
      </c>
      <c r="S1498">
        <v>-2.5080260000000001</v>
      </c>
      <c r="T1498">
        <v>-0.20061989999999999</v>
      </c>
      <c r="U1498">
        <v>-1.884552</v>
      </c>
      <c r="V1498">
        <v>0.33189159999999901</v>
      </c>
      <c r="W1498">
        <v>0.1538506</v>
      </c>
      <c r="X1498">
        <v>0.93068680000000004</v>
      </c>
      <c r="Y1498">
        <v>0.51855309999999999</v>
      </c>
      <c r="Z1498">
        <v>5.605868E-2</v>
      </c>
      <c r="AA1498">
        <v>0.85320569999999896</v>
      </c>
      <c r="AB1498">
        <v>29</v>
      </c>
      <c r="AC1498">
        <v>-13.8035</v>
      </c>
      <c r="AD1498">
        <v>-1.11208930438</v>
      </c>
      <c r="AE1498">
        <v>-10.2158</v>
      </c>
      <c r="AF1498">
        <v>8.9993023422181402</v>
      </c>
      <c r="AG1498">
        <v>-1.11208930438</v>
      </c>
      <c r="AH1498">
        <v>14.5414485981475</v>
      </c>
      <c r="AI1498">
        <v>93.720762454231206</v>
      </c>
      <c r="AJ1498">
        <v>58.247775140180401</v>
      </c>
      <c r="AK1498">
        <v>17.1370333663716</v>
      </c>
      <c r="AL1498">
        <v>81.1498589121734</v>
      </c>
      <c r="AM1498">
        <v>70.373291152396305</v>
      </c>
      <c r="AN1498">
        <v>0.99999998048257899</v>
      </c>
    </row>
    <row r="1499" spans="1:40" x14ac:dyDescent="0.25">
      <c r="A1499" t="str">
        <f>"20190303162809029"</f>
        <v>20190303162809029</v>
      </c>
      <c r="B1499" t="str">
        <f>"1551601689022946"</f>
        <v>1551601689022946</v>
      </c>
      <c r="C1499" t="s">
        <v>40</v>
      </c>
      <c r="D1499">
        <v>5.8203189999999996</v>
      </c>
      <c r="E1499">
        <v>0.57736299999999996</v>
      </c>
      <c r="F1499" t="s">
        <v>47</v>
      </c>
      <c r="G1499">
        <v>-202.7782</v>
      </c>
      <c r="H1499" s="1">
        <v>3.1957830000000001E-6</v>
      </c>
      <c r="I1499">
        <v>287.51280000000003</v>
      </c>
      <c r="J1499">
        <v>-194.0745</v>
      </c>
      <c r="K1499">
        <v>1.112039</v>
      </c>
      <c r="L1499">
        <v>294.1558</v>
      </c>
      <c r="M1499">
        <v>-0.38030409999999998</v>
      </c>
      <c r="N1499">
        <v>-1.1968299999999999E-2</v>
      </c>
      <c r="O1499">
        <v>-0.9247841</v>
      </c>
      <c r="P1499">
        <v>-0.65916770000000002</v>
      </c>
      <c r="Q1499">
        <v>0.15198049999999999</v>
      </c>
      <c r="R1499">
        <v>-0.73647810000000002</v>
      </c>
      <c r="S1499">
        <v>-2.4701390000000001</v>
      </c>
      <c r="T1499">
        <v>-0.31147750000000002</v>
      </c>
      <c r="U1499">
        <v>-1.933624</v>
      </c>
      <c r="V1499">
        <v>0.33294659999999998</v>
      </c>
      <c r="W1499">
        <v>0.1560213</v>
      </c>
      <c r="X1499">
        <v>0.92994829999999995</v>
      </c>
      <c r="Y1499">
        <v>0.49009849999999999</v>
      </c>
      <c r="Z1499">
        <v>9.1457780000000002E-2</v>
      </c>
      <c r="AA1499">
        <v>0.86685569999999901</v>
      </c>
      <c r="AB1499">
        <v>29</v>
      </c>
      <c r="AC1499">
        <v>-8.7036999999999907</v>
      </c>
      <c r="AD1499">
        <v>-1.112035804217</v>
      </c>
      <c r="AE1499">
        <v>-6.6429999999999696</v>
      </c>
      <c r="AF1499">
        <v>5.4666887030306004</v>
      </c>
      <c r="AG1499">
        <v>-1.112035804217</v>
      </c>
      <c r="AH1499">
        <v>9.3575455344169196</v>
      </c>
      <c r="AI1499">
        <v>95.858691406567004</v>
      </c>
      <c r="AJ1499">
        <v>59.7064791227995</v>
      </c>
      <c r="AK1499">
        <v>10.8942630514592</v>
      </c>
      <c r="AL1499">
        <v>81.023966563336998</v>
      </c>
      <c r="AM1499">
        <v>70.3012613791512</v>
      </c>
      <c r="AN1499">
        <v>0.99999996258906898</v>
      </c>
    </row>
    <row r="1500" spans="1:40" x14ac:dyDescent="0.25">
      <c r="A1500" t="str">
        <f>"20190303162809065"</f>
        <v>20190303162809065</v>
      </c>
      <c r="B1500" t="str">
        <f>"1551601689053202"</f>
        <v>1551601689053202</v>
      </c>
      <c r="C1500" t="s">
        <v>40</v>
      </c>
      <c r="D1500">
        <v>5.5392199999999896</v>
      </c>
      <c r="E1500">
        <v>0.57952609999999904</v>
      </c>
      <c r="F1500" t="s">
        <v>47</v>
      </c>
      <c r="G1500">
        <v>-201.6241</v>
      </c>
      <c r="H1500" s="1">
        <v>2.621869E-6</v>
      </c>
      <c r="I1500">
        <v>288.22309999999999</v>
      </c>
      <c r="J1500">
        <v>-194.27279999999999</v>
      </c>
      <c r="K1500">
        <v>1.111904</v>
      </c>
      <c r="L1500">
        <v>293.7251</v>
      </c>
      <c r="M1500">
        <v>-0.3968237</v>
      </c>
      <c r="N1500">
        <v>-1.199794E-2</v>
      </c>
      <c r="O1500">
        <v>-0.91781630000000003</v>
      </c>
      <c r="P1500">
        <v>-0.67217249999999995</v>
      </c>
      <c r="Q1500">
        <v>0.14998739999999999</v>
      </c>
      <c r="R1500">
        <v>-0.72504360000000001</v>
      </c>
      <c r="S1500">
        <v>-2.4680629999999999</v>
      </c>
      <c r="T1500">
        <v>-0.3635408</v>
      </c>
      <c r="U1500">
        <v>-1.939484</v>
      </c>
      <c r="V1500">
        <v>0.33266699999999999</v>
      </c>
      <c r="W1500">
        <v>0.15396409999999999</v>
      </c>
      <c r="X1500">
        <v>0.93039119999999997</v>
      </c>
      <c r="Y1500">
        <v>0.4714006</v>
      </c>
      <c r="Z1500">
        <v>0.10738880000000001</v>
      </c>
      <c r="AA1500">
        <v>0.87535659999999904</v>
      </c>
      <c r="AB1500">
        <v>29</v>
      </c>
      <c r="AC1500">
        <v>-7.3513000000000002</v>
      </c>
      <c r="AD1500">
        <v>-1.1119013781309901</v>
      </c>
      <c r="AE1500">
        <v>-5.5019999999999998</v>
      </c>
      <c r="AF1500">
        <v>4.49818926428651</v>
      </c>
      <c r="AG1500">
        <v>-1.1119013781309901</v>
      </c>
      <c r="AH1500">
        <v>7.8524264853432397</v>
      </c>
      <c r="AI1500">
        <v>97.004719553326098</v>
      </c>
      <c r="AJ1500">
        <v>60.194164071809602</v>
      </c>
      <c r="AK1500">
        <v>9.1176001798583002</v>
      </c>
      <c r="AL1500">
        <v>81.143277875590499</v>
      </c>
      <c r="AM1500">
        <v>70.325182693769804</v>
      </c>
      <c r="AN1500">
        <v>1.00000003100762</v>
      </c>
    </row>
    <row r="1501" spans="1:40" x14ac:dyDescent="0.25">
      <c r="A1501" t="str">
        <f>"20190303162809087"</f>
        <v>20190303162809087</v>
      </c>
      <c r="B1501" t="str">
        <f>"1551601689072722"</f>
        <v>1551601689072722</v>
      </c>
      <c r="C1501" t="s">
        <v>40</v>
      </c>
      <c r="D1501">
        <v>5.5238659999999999</v>
      </c>
      <c r="E1501">
        <v>0.57976070000000002</v>
      </c>
      <c r="F1501" t="s">
        <v>47</v>
      </c>
      <c r="G1501">
        <v>-202.94390000000001</v>
      </c>
      <c r="H1501" s="1">
        <v>3.291324E-6</v>
      </c>
      <c r="I1501">
        <v>287.26060000000001</v>
      </c>
      <c r="J1501">
        <v>-194.40180000000001</v>
      </c>
      <c r="K1501">
        <v>1.1118030000000001</v>
      </c>
      <c r="L1501">
        <v>293.45620000000002</v>
      </c>
      <c r="M1501">
        <v>-0.40729569999999998</v>
      </c>
      <c r="N1501">
        <v>-1.2020009999999999E-2</v>
      </c>
      <c r="O1501">
        <v>-0.91321730000000001</v>
      </c>
      <c r="P1501">
        <v>-0.68040959999999995</v>
      </c>
      <c r="Q1501">
        <v>0.14955470000000001</v>
      </c>
      <c r="R1501">
        <v>-0.71740979999999999</v>
      </c>
      <c r="S1501">
        <v>-2.5136409999999998</v>
      </c>
      <c r="T1501">
        <v>-0.32232329999999998</v>
      </c>
      <c r="U1501">
        <v>-1.8739619999999999</v>
      </c>
      <c r="V1501">
        <v>0.33264100000000002</v>
      </c>
      <c r="W1501">
        <v>0.15347740000000001</v>
      </c>
      <c r="X1501">
        <v>0.9304808</v>
      </c>
      <c r="Y1501">
        <v>0.48466490000000001</v>
      </c>
      <c r="Z1501">
        <v>9.4584580000000001E-2</v>
      </c>
      <c r="AA1501">
        <v>0.86957099999999898</v>
      </c>
      <c r="AB1501">
        <v>29</v>
      </c>
      <c r="AC1501">
        <v>-8.5420999999999996</v>
      </c>
      <c r="AD1501">
        <v>-1.1117997086759901</v>
      </c>
      <c r="AE1501">
        <v>-6.1956000000000104</v>
      </c>
      <c r="AF1501">
        <v>5.2197897954745001</v>
      </c>
      <c r="AG1501">
        <v>-1.1117997086759901</v>
      </c>
      <c r="AH1501">
        <v>9.0374273398614804</v>
      </c>
      <c r="AI1501">
        <v>96.080761029055196</v>
      </c>
      <c r="AJ1501">
        <v>59.990354780253</v>
      </c>
      <c r="AK1501">
        <v>10.4955894081479</v>
      </c>
      <c r="AL1501">
        <v>81.171498289169605</v>
      </c>
      <c r="AM1501">
        <v>70.328351378220702</v>
      </c>
      <c r="AN1501">
        <v>0.99999993318019698</v>
      </c>
    </row>
    <row r="1502" spans="1:40" x14ac:dyDescent="0.25">
      <c r="A1502" t="str">
        <f>"20190303162809107"</f>
        <v>20190303162809107</v>
      </c>
      <c r="B1502" t="str">
        <f>"1551601689093219"</f>
        <v>1551601689093219</v>
      </c>
      <c r="C1502" t="s">
        <v>40</v>
      </c>
      <c r="D1502">
        <v>5.5327359999999999</v>
      </c>
      <c r="E1502">
        <v>0.57986870000000001</v>
      </c>
      <c r="F1502" t="s">
        <v>47</v>
      </c>
      <c r="G1502">
        <v>-203.4905</v>
      </c>
      <c r="H1502" s="1">
        <v>3.5696090000000001E-6</v>
      </c>
      <c r="I1502">
        <v>286.84989999999999</v>
      </c>
      <c r="J1502">
        <v>-194.52170000000001</v>
      </c>
      <c r="K1502">
        <v>1.111707</v>
      </c>
      <c r="L1502">
        <v>293.21300000000002</v>
      </c>
      <c r="M1502">
        <v>-0.41685470000000002</v>
      </c>
      <c r="N1502">
        <v>-1.204064E-2</v>
      </c>
      <c r="O1502">
        <v>-0.90889330000000002</v>
      </c>
      <c r="P1502">
        <v>-0.68883019999999995</v>
      </c>
      <c r="Q1502">
        <v>0.15013489999999999</v>
      </c>
      <c r="R1502">
        <v>-0.7092058</v>
      </c>
      <c r="S1502">
        <v>-2.5346980000000001</v>
      </c>
      <c r="T1502">
        <v>-0.3100638</v>
      </c>
      <c r="U1502">
        <v>-1.8424069999999999</v>
      </c>
      <c r="V1502">
        <v>0.33396029999999999</v>
      </c>
      <c r="W1502">
        <v>0.15397069999999999</v>
      </c>
      <c r="X1502">
        <v>0.92992660000000005</v>
      </c>
      <c r="Y1502">
        <v>0.4863345</v>
      </c>
      <c r="Z1502">
        <v>9.0636690000000006E-2</v>
      </c>
      <c r="AA1502">
        <v>0.86905909999999997</v>
      </c>
      <c r="AB1502">
        <v>29</v>
      </c>
      <c r="AC1502">
        <v>-8.9687999999999803</v>
      </c>
      <c r="AD1502">
        <v>-1.1117034303910001</v>
      </c>
      <c r="AE1502">
        <v>-6.36309999999997</v>
      </c>
      <c r="AF1502">
        <v>5.4439561186104699</v>
      </c>
      <c r="AG1502">
        <v>-1.1117034303910001</v>
      </c>
      <c r="AH1502">
        <v>9.4264187297961204</v>
      </c>
      <c r="AI1502">
        <v>95.831230918265703</v>
      </c>
      <c r="AJ1502">
        <v>59.992657784988701</v>
      </c>
      <c r="AK1502">
        <v>10.9421164683963</v>
      </c>
      <c r="AL1502">
        <v>81.142894614438006</v>
      </c>
      <c r="AM1502">
        <v>70.245495564394503</v>
      </c>
      <c r="AN1502">
        <v>0.99999996991106899</v>
      </c>
    </row>
    <row r="1503" spans="1:40" x14ac:dyDescent="0.25">
      <c r="A1503" t="str">
        <f>"20190303162809132"</f>
        <v>20190303162809132</v>
      </c>
      <c r="B1503" t="str">
        <f>"1551601689122498"</f>
        <v>1551601689122498</v>
      </c>
      <c r="C1503" t="s">
        <v>40</v>
      </c>
      <c r="D1503">
        <v>5.5795879999999896</v>
      </c>
      <c r="E1503">
        <v>0.57980520000000002</v>
      </c>
      <c r="F1503" t="s">
        <v>47</v>
      </c>
      <c r="G1503">
        <v>-203.928</v>
      </c>
      <c r="H1503" s="1">
        <v>3.7902780000000002E-6</v>
      </c>
      <c r="I1503">
        <v>286.54509999999999</v>
      </c>
      <c r="J1503">
        <v>-194.66980000000001</v>
      </c>
      <c r="K1503">
        <v>1.1115930000000001</v>
      </c>
      <c r="L1503">
        <v>292.92189999999999</v>
      </c>
      <c r="M1503">
        <v>-0.42844339999999997</v>
      </c>
      <c r="N1503">
        <v>-1.2066230000000001E-2</v>
      </c>
      <c r="O1503">
        <v>-0.90348819999999996</v>
      </c>
      <c r="P1503">
        <v>-0.69973019999999997</v>
      </c>
      <c r="Q1503">
        <v>0.14858550000000001</v>
      </c>
      <c r="R1503">
        <v>-0.69878479999999998</v>
      </c>
      <c r="S1503">
        <v>-2.5557400000000001</v>
      </c>
      <c r="T1503">
        <v>-0.3020562</v>
      </c>
      <c r="U1503">
        <v>-1.811707</v>
      </c>
      <c r="V1503">
        <v>0.33633849999999998</v>
      </c>
      <c r="W1503">
        <v>0.1522937</v>
      </c>
      <c r="X1503">
        <v>0.92934550000000005</v>
      </c>
      <c r="Y1503">
        <v>0.48570960000000002</v>
      </c>
      <c r="Z1503">
        <v>8.7926779999999996E-2</v>
      </c>
      <c r="AA1503">
        <v>0.86968679999999998</v>
      </c>
      <c r="AB1503">
        <v>29</v>
      </c>
      <c r="AC1503">
        <v>-9.2581999999999791</v>
      </c>
      <c r="AD1503">
        <v>-1.1115892097219999</v>
      </c>
      <c r="AE1503">
        <v>-6.3768000000000002</v>
      </c>
      <c r="AF1503">
        <v>5.5784439393357799</v>
      </c>
      <c r="AG1503">
        <v>-1.1115892097219999</v>
      </c>
      <c r="AH1503">
        <v>9.6344861860278694</v>
      </c>
      <c r="AI1503">
        <v>95.701905976851904</v>
      </c>
      <c r="AJ1503">
        <v>59.928818242726699</v>
      </c>
      <c r="AK1503">
        <v>11.188297074365</v>
      </c>
      <c r="AL1503">
        <v>81.240126768389601</v>
      </c>
      <c r="AM1503">
        <v>70.1043539919349</v>
      </c>
      <c r="AN1503">
        <v>1.00000000800609</v>
      </c>
    </row>
    <row r="1504" spans="1:40" x14ac:dyDescent="0.25">
      <c r="A1504" t="str">
        <f>"20190303162809154"</f>
        <v>20190303162809154</v>
      </c>
      <c r="B1504" t="str">
        <f>"1551601689142994"</f>
        <v>1551601689142994</v>
      </c>
      <c r="C1504" t="s">
        <v>40</v>
      </c>
      <c r="D1504">
        <v>5.5629790000000003</v>
      </c>
      <c r="E1504">
        <v>0.57961130000000005</v>
      </c>
      <c r="F1504" t="s">
        <v>47</v>
      </c>
      <c r="G1504">
        <v>-204.26560000000001</v>
      </c>
      <c r="H1504" s="1">
        <v>3.9576750000000002E-6</v>
      </c>
      <c r="I1504">
        <v>286.34280000000001</v>
      </c>
      <c r="J1504">
        <v>-194.80789999999999</v>
      </c>
      <c r="K1504">
        <v>1.111472</v>
      </c>
      <c r="L1504">
        <v>292.65839999999997</v>
      </c>
      <c r="M1504">
        <v>-0.43908009999999997</v>
      </c>
      <c r="N1504">
        <v>-1.209181E-2</v>
      </c>
      <c r="O1504">
        <v>-0.89836659999999902</v>
      </c>
      <c r="P1504">
        <v>-0.70931769999999905</v>
      </c>
      <c r="Q1504">
        <v>0.1464781</v>
      </c>
      <c r="R1504">
        <v>-0.6895019</v>
      </c>
      <c r="S1504">
        <v>-2.582611</v>
      </c>
      <c r="T1504">
        <v>-0.29917100000000002</v>
      </c>
      <c r="U1504">
        <v>-1.770691</v>
      </c>
      <c r="V1504">
        <v>0.33800580000000002</v>
      </c>
      <c r="W1504">
        <v>0.1500764</v>
      </c>
      <c r="X1504">
        <v>0.92910130000000002</v>
      </c>
      <c r="Y1504">
        <v>0.48907850000000003</v>
      </c>
      <c r="Z1504">
        <v>8.6995390000000006E-2</v>
      </c>
      <c r="AA1504">
        <v>0.86789050000000001</v>
      </c>
      <c r="AB1504">
        <v>29</v>
      </c>
      <c r="AC1504">
        <v>-9.4577000000000098</v>
      </c>
      <c r="AD1504">
        <v>-1.1114680423250001</v>
      </c>
      <c r="AE1504">
        <v>-6.3155999999999599</v>
      </c>
      <c r="AF1504">
        <v>5.6696908223672997</v>
      </c>
      <c r="AG1504">
        <v>-1.1114680423250001</v>
      </c>
      <c r="AH1504">
        <v>9.7341527574999098</v>
      </c>
      <c r="AI1504">
        <v>95.634909258557002</v>
      </c>
      <c r="AJ1504">
        <v>59.781191684177898</v>
      </c>
      <c r="AK1504">
        <v>11.3196503981655</v>
      </c>
      <c r="AL1504">
        <v>81.368646239715304</v>
      </c>
      <c r="AM1504">
        <v>70.008681444735402</v>
      </c>
      <c r="AN1504">
        <v>1.0000000361661401</v>
      </c>
    </row>
    <row r="1505" spans="1:40" x14ac:dyDescent="0.25">
      <c r="A1505" t="str">
        <f>"20190303162809179"</f>
        <v>20190303162809179</v>
      </c>
      <c r="B1505" t="str">
        <f>"1551601689173250"</f>
        <v>1551601689173250</v>
      </c>
      <c r="C1505" t="s">
        <v>40</v>
      </c>
      <c r="D1505">
        <v>5.5516030000000001</v>
      </c>
      <c r="E1505">
        <v>0.57917919999999901</v>
      </c>
      <c r="F1505" t="s">
        <v>47</v>
      </c>
      <c r="G1505">
        <v>-204.4342</v>
      </c>
      <c r="H1505" s="1">
        <v>4.0408149999999997E-6</v>
      </c>
      <c r="I1505">
        <v>286.2473</v>
      </c>
      <c r="J1505">
        <v>-194.96520000000001</v>
      </c>
      <c r="K1505">
        <v>1.1113249999999999</v>
      </c>
      <c r="L1505">
        <v>292.36739999999998</v>
      </c>
      <c r="M1505">
        <v>-0.45101259999999999</v>
      </c>
      <c r="N1505">
        <v>-1.212417E-2</v>
      </c>
      <c r="O1505">
        <v>-0.89243539999999999</v>
      </c>
      <c r="P1505">
        <v>-0.72047439999999996</v>
      </c>
      <c r="Q1505">
        <v>0.1446567</v>
      </c>
      <c r="R1505">
        <v>-0.67822660000000001</v>
      </c>
      <c r="S1505">
        <v>-2.6050260000000001</v>
      </c>
      <c r="T1505">
        <v>-0.3007782</v>
      </c>
      <c r="U1505">
        <v>-1.734955</v>
      </c>
      <c r="V1505">
        <v>0.34062360000000003</v>
      </c>
      <c r="W1505">
        <v>0.14809939999999999</v>
      </c>
      <c r="X1505">
        <v>0.92846220000000002</v>
      </c>
      <c r="Y1505">
        <v>0.48912</v>
      </c>
      <c r="Z1505">
        <v>8.7373339999999994E-2</v>
      </c>
      <c r="AA1505">
        <v>0.86782919999999997</v>
      </c>
      <c r="AB1505">
        <v>29</v>
      </c>
      <c r="AC1505">
        <v>-9.4689999999999905</v>
      </c>
      <c r="AD1505">
        <v>-1.111320959185</v>
      </c>
      <c r="AE1505">
        <v>-6.1200999999999697</v>
      </c>
      <c r="AF1505">
        <v>5.6358894686716701</v>
      </c>
      <c r="AG1505">
        <v>-1.111320959185</v>
      </c>
      <c r="AH1505">
        <v>9.6394918560206193</v>
      </c>
      <c r="AI1505">
        <v>95.683692698087199</v>
      </c>
      <c r="AJ1505">
        <v>59.686597459867201</v>
      </c>
      <c r="AK1505">
        <v>11.221322899716199</v>
      </c>
      <c r="AL1505">
        <v>81.483199645905501</v>
      </c>
      <c r="AM1505">
        <v>69.853499970398303</v>
      </c>
      <c r="AN1505">
        <v>0.99999996299307903</v>
      </c>
    </row>
    <row r="1506" spans="1:40" x14ac:dyDescent="0.25">
      <c r="A1506" t="str">
        <f>"20190303162809198"</f>
        <v>20190303162809198</v>
      </c>
      <c r="B1506" t="str">
        <f>"1551601689192771"</f>
        <v>1551601689192771</v>
      </c>
      <c r="C1506" t="s">
        <v>40</v>
      </c>
      <c r="D1506">
        <v>5.5758809999999999</v>
      </c>
      <c r="E1506">
        <v>0.57905519999999999</v>
      </c>
      <c r="F1506" t="s">
        <v>47</v>
      </c>
      <c r="G1506">
        <v>-204.72219999999999</v>
      </c>
      <c r="H1506" s="1">
        <v>4.1820370000000003E-6</v>
      </c>
      <c r="I1506">
        <v>286.09249999999997</v>
      </c>
      <c r="J1506">
        <v>-195.09649999999999</v>
      </c>
      <c r="K1506">
        <v>1.111183</v>
      </c>
      <c r="L1506">
        <v>292.13170000000002</v>
      </c>
      <c r="M1506">
        <v>-0.46084849999999999</v>
      </c>
      <c r="N1506">
        <v>-1.215483E-2</v>
      </c>
      <c r="O1506">
        <v>-0.88739570000000001</v>
      </c>
      <c r="P1506">
        <v>-0.73044969999999998</v>
      </c>
      <c r="Q1506">
        <v>0.1438487</v>
      </c>
      <c r="R1506">
        <v>-0.66764609999999902</v>
      </c>
      <c r="S1506">
        <v>-2.6311650000000002</v>
      </c>
      <c r="T1506">
        <v>-0.29968879999999998</v>
      </c>
      <c r="U1506">
        <v>-1.6921389999999901</v>
      </c>
      <c r="V1506">
        <v>0.34407989999999999</v>
      </c>
      <c r="W1506">
        <v>0.147112299999999</v>
      </c>
      <c r="X1506">
        <v>0.92734399999999995</v>
      </c>
      <c r="Y1506">
        <v>0.49341380000000001</v>
      </c>
      <c r="Z1506">
        <v>8.7040359999999997E-2</v>
      </c>
      <c r="AA1506">
        <v>0.86542859999999999</v>
      </c>
      <c r="AB1506">
        <v>29</v>
      </c>
      <c r="AC1506">
        <v>-9.6256999999999895</v>
      </c>
      <c r="AD1506">
        <v>-1.111178817963</v>
      </c>
      <c r="AE1506">
        <v>-6.0392000000000499</v>
      </c>
      <c r="AF1506">
        <v>5.7045260175964101</v>
      </c>
      <c r="AG1506">
        <v>-1.111178817963</v>
      </c>
      <c r="AH1506">
        <v>9.7030900560349398</v>
      </c>
      <c r="AI1506">
        <v>95.638035241937999</v>
      </c>
      <c r="AJ1506">
        <v>59.548381257735898</v>
      </c>
      <c r="AK1506">
        <v>11.3104505695594</v>
      </c>
      <c r="AL1506">
        <v>81.540382574764706</v>
      </c>
      <c r="AM1506">
        <v>69.643230398863693</v>
      </c>
      <c r="AN1506">
        <v>0.99999995036564804</v>
      </c>
    </row>
    <row r="1507" spans="1:40" x14ac:dyDescent="0.25">
      <c r="A1507" t="str">
        <f>"20190303162809220"</f>
        <v>20190303162809220</v>
      </c>
      <c r="B1507" t="str">
        <f>"1551601689213268"</f>
        <v>1551601689213268</v>
      </c>
      <c r="C1507" t="s">
        <v>40</v>
      </c>
      <c r="D1507">
        <v>5.5297519999999896</v>
      </c>
      <c r="E1507">
        <v>0.57869300000000001</v>
      </c>
      <c r="F1507" t="s">
        <v>47</v>
      </c>
      <c r="G1507">
        <v>-205.09889999999999</v>
      </c>
      <c r="H1507" s="1">
        <v>4.3649419999999901E-6</v>
      </c>
      <c r="I1507">
        <v>285.911</v>
      </c>
      <c r="J1507">
        <v>-195.23509999999999</v>
      </c>
      <c r="K1507">
        <v>1.1110180000000001</v>
      </c>
      <c r="L1507">
        <v>291.8897</v>
      </c>
      <c r="M1507">
        <v>-0.47113670000000002</v>
      </c>
      <c r="N1507">
        <v>-1.2191189999999999E-2</v>
      </c>
      <c r="O1507">
        <v>-0.88197599999999998</v>
      </c>
      <c r="P1507">
        <v>-0.73941199999999996</v>
      </c>
      <c r="Q1507">
        <v>0.14526259999999999</v>
      </c>
      <c r="R1507">
        <v>-0.65739519999999996</v>
      </c>
      <c r="S1507">
        <v>-2.6556090000000001</v>
      </c>
      <c r="T1507">
        <v>-0.29501490000000002</v>
      </c>
      <c r="U1507">
        <v>-1.651581</v>
      </c>
      <c r="V1507">
        <v>0.34607880000000002</v>
      </c>
      <c r="W1507">
        <v>0.14836579999999999</v>
      </c>
      <c r="X1507">
        <v>0.92640009999999995</v>
      </c>
      <c r="Y1507">
        <v>0.49653000000000003</v>
      </c>
      <c r="Z1507">
        <v>8.5494619999999993E-2</v>
      </c>
      <c r="AA1507">
        <v>0.86379899999999998</v>
      </c>
      <c r="AB1507">
        <v>29</v>
      </c>
      <c r="AC1507">
        <v>-9.8637999999999906</v>
      </c>
      <c r="AD1507">
        <v>-1.111013635058</v>
      </c>
      <c r="AE1507">
        <v>-5.9786999999999999</v>
      </c>
      <c r="AF1507">
        <v>5.8292030057709603</v>
      </c>
      <c r="AG1507">
        <v>-1.111013635058</v>
      </c>
      <c r="AH1507">
        <v>9.8298032005491702</v>
      </c>
      <c r="AI1507">
        <v>95.552647596180407</v>
      </c>
      <c r="AJ1507">
        <v>59.331499801251603</v>
      </c>
      <c r="AK1507">
        <v>11.4821160916139</v>
      </c>
      <c r="AL1507">
        <v>81.467766253956498</v>
      </c>
      <c r="AM1507">
        <v>69.515629417393399</v>
      </c>
      <c r="AN1507">
        <v>1.0000000458495399</v>
      </c>
    </row>
    <row r="1508" spans="1:40" x14ac:dyDescent="0.25">
      <c r="A1508" t="str">
        <f>"20190303162809242"</f>
        <v>20190303162809242</v>
      </c>
      <c r="B1508" t="str">
        <f>"1551601689232787"</f>
        <v>1551601689232787</v>
      </c>
      <c r="C1508" t="s">
        <v>40</v>
      </c>
      <c r="D1508">
        <v>5.5658139999999996</v>
      </c>
      <c r="E1508">
        <v>0.57817069999999904</v>
      </c>
      <c r="F1508" t="s">
        <v>47</v>
      </c>
      <c r="G1508">
        <v>-205.64769999999999</v>
      </c>
      <c r="H1508" s="1">
        <v>4.6350490000000004E-6</v>
      </c>
      <c r="I1508">
        <v>285.6053</v>
      </c>
      <c r="J1508">
        <v>-195.38900000000001</v>
      </c>
      <c r="K1508">
        <v>1.1108229999999999</v>
      </c>
      <c r="L1508">
        <v>291.62869999999998</v>
      </c>
      <c r="M1508">
        <v>-0.48246800000000001</v>
      </c>
      <c r="N1508">
        <v>-1.2236850000000001E-2</v>
      </c>
      <c r="O1508">
        <v>-0.875828099999999</v>
      </c>
      <c r="P1508">
        <v>-0.74808339999999995</v>
      </c>
      <c r="Q1508">
        <v>0.14694260000000001</v>
      </c>
      <c r="R1508">
        <v>-0.64713149999999997</v>
      </c>
      <c r="S1508">
        <v>-2.6769409999999998</v>
      </c>
      <c r="T1508">
        <v>-0.28562739999999998</v>
      </c>
      <c r="U1508">
        <v>-1.6156619999999999</v>
      </c>
      <c r="V1508">
        <v>0.34674579999999999</v>
      </c>
      <c r="W1508">
        <v>0.14989630000000001</v>
      </c>
      <c r="X1508">
        <v>0.92590410000000001</v>
      </c>
      <c r="Y1508">
        <v>0.49714259999999899</v>
      </c>
      <c r="Z1508">
        <v>8.2329830000000007E-2</v>
      </c>
      <c r="AA1508">
        <v>0.86375400000000002</v>
      </c>
      <c r="AB1508">
        <v>29</v>
      </c>
      <c r="AC1508">
        <v>-10.2586999999999</v>
      </c>
      <c r="AD1508">
        <v>-1.1108183649509999</v>
      </c>
      <c r="AE1508">
        <v>-6.0233999999999801</v>
      </c>
      <c r="AF1508">
        <v>6.0266693517445598</v>
      </c>
      <c r="AG1508">
        <v>-1.1108183649509999</v>
      </c>
      <c r="AH1508">
        <v>10.137336874939701</v>
      </c>
      <c r="AI1508">
        <v>95.380765388281404</v>
      </c>
      <c r="AJ1508">
        <v>59.268422382917201</v>
      </c>
      <c r="AK1508">
        <v>11.8456852833081</v>
      </c>
      <c r="AL1508">
        <v>81.379082753814203</v>
      </c>
      <c r="AM1508">
        <v>69.469361705961006</v>
      </c>
      <c r="AN1508">
        <v>0.99999997648406902</v>
      </c>
    </row>
    <row r="1509" spans="1:40" x14ac:dyDescent="0.25">
      <c r="A1509" t="str">
        <f>"20190303162809265"</f>
        <v>20190303162809265</v>
      </c>
      <c r="B1509" t="str">
        <f>"1551601689253282"</f>
        <v>1551601689253282</v>
      </c>
      <c r="C1509" t="s">
        <v>40</v>
      </c>
      <c r="D1509">
        <v>5.5733059999999996</v>
      </c>
      <c r="E1509">
        <v>0.577704</v>
      </c>
      <c r="F1509" t="s">
        <v>47</v>
      </c>
      <c r="G1509">
        <v>-206.19730000000001</v>
      </c>
      <c r="H1509" s="1">
        <v>4.9063349999999998E-6</v>
      </c>
      <c r="I1509">
        <v>285.2901</v>
      </c>
      <c r="J1509">
        <v>-195.55119999999999</v>
      </c>
      <c r="K1509">
        <v>1.1105940000000001</v>
      </c>
      <c r="L1509">
        <v>291.36270000000002</v>
      </c>
      <c r="M1509">
        <v>-0.49433470000000002</v>
      </c>
      <c r="N1509">
        <v>-1.2292340000000001E-2</v>
      </c>
      <c r="O1509">
        <v>-0.86918490000000004</v>
      </c>
      <c r="P1509">
        <v>-0.75594050000000002</v>
      </c>
      <c r="Q1509">
        <v>0.14818199999999901</v>
      </c>
      <c r="R1509">
        <v>-0.63764889999999996</v>
      </c>
      <c r="S1509">
        <v>-2.6966399999999999</v>
      </c>
      <c r="T1509">
        <v>-0.27714499999999997</v>
      </c>
      <c r="U1509">
        <v>-1.5814509999999999</v>
      </c>
      <c r="V1509">
        <v>0.34573379999999998</v>
      </c>
      <c r="W1509">
        <v>0.15101500000000001</v>
      </c>
      <c r="X1509">
        <v>0.92610079999999995</v>
      </c>
      <c r="Y1509">
        <v>0.49648589999999998</v>
      </c>
      <c r="Z1509">
        <v>7.9398330000000003E-2</v>
      </c>
      <c r="AA1509">
        <v>0.86440589999999995</v>
      </c>
      <c r="AB1509">
        <v>29</v>
      </c>
      <c r="AC1509">
        <v>-10.646100000000001</v>
      </c>
      <c r="AD1509">
        <v>-1.110589093665</v>
      </c>
      <c r="AE1509">
        <v>-6.07260000000002</v>
      </c>
      <c r="AF1509">
        <v>6.2010874075067104</v>
      </c>
      <c r="AG1509">
        <v>-1.110589093665</v>
      </c>
      <c r="AH1509">
        <v>10.455891526034801</v>
      </c>
      <c r="AI1509">
        <v>95.219940451535294</v>
      </c>
      <c r="AJ1509">
        <v>59.3290440493045</v>
      </c>
      <c r="AK1509">
        <v>12.207070114270399</v>
      </c>
      <c r="AL1509">
        <v>81.314248496347503</v>
      </c>
      <c r="AM1509">
        <v>69.528290555773296</v>
      </c>
      <c r="AN1509">
        <v>1.00000004122403</v>
      </c>
    </row>
    <row r="1510" spans="1:40" x14ac:dyDescent="0.25">
      <c r="A1510" t="str">
        <f>"20190303162809287"</f>
        <v>20190303162809287</v>
      </c>
      <c r="B1510" t="str">
        <f>"1551601689282562"</f>
        <v>1551601689282562</v>
      </c>
      <c r="C1510" t="s">
        <v>40</v>
      </c>
      <c r="D1510">
        <v>5.5920839999999998</v>
      </c>
      <c r="E1510">
        <v>0.57693019999999995</v>
      </c>
      <c r="F1510" t="s">
        <v>47</v>
      </c>
      <c r="G1510">
        <v>-206.77250000000001</v>
      </c>
      <c r="H1510" s="1">
        <v>5.1898949999999997E-6</v>
      </c>
      <c r="I1510">
        <v>284.96429999999998</v>
      </c>
      <c r="J1510">
        <v>-195.70490000000001</v>
      </c>
      <c r="K1510">
        <v>1.1103620000000001</v>
      </c>
      <c r="L1510">
        <v>291.11829999999998</v>
      </c>
      <c r="M1510">
        <v>-0.50552180000000002</v>
      </c>
      <c r="N1510">
        <v>-1.235049E-2</v>
      </c>
      <c r="O1510">
        <v>-0.86272569999999904</v>
      </c>
      <c r="P1510">
        <v>-0.76305529999999999</v>
      </c>
      <c r="Q1510">
        <v>0.14950559999999999</v>
      </c>
      <c r="R1510">
        <v>-0.62880459999999905</v>
      </c>
      <c r="S1510">
        <v>-2.7152859999999999</v>
      </c>
      <c r="T1510">
        <v>-0.26873520000000001</v>
      </c>
      <c r="U1510">
        <v>-1.5482479999999901</v>
      </c>
      <c r="V1510">
        <v>0.34445150000000002</v>
      </c>
      <c r="W1510">
        <v>0.15222769999999999</v>
      </c>
      <c r="X1510">
        <v>0.92637999999999998</v>
      </c>
      <c r="Y1510">
        <v>0.496031</v>
      </c>
      <c r="Z1510">
        <v>7.650448E-2</v>
      </c>
      <c r="AA1510">
        <v>0.86492789999999997</v>
      </c>
      <c r="AB1510">
        <v>30</v>
      </c>
      <c r="AC1510">
        <v>-11.067600000000001</v>
      </c>
      <c r="AD1510">
        <v>-1.1103568101050001</v>
      </c>
      <c r="AE1510">
        <v>-6.1539999999999901</v>
      </c>
      <c r="AF1510">
        <v>6.3886943479733302</v>
      </c>
      <c r="AG1510">
        <v>-1.1103568101050001</v>
      </c>
      <c r="AH1510">
        <v>10.8217573858589</v>
      </c>
      <c r="AI1510">
        <v>95.049312404215001</v>
      </c>
      <c r="AJ1510">
        <v>59.444247690178798</v>
      </c>
      <c r="AK1510">
        <v>12.6158131183037</v>
      </c>
      <c r="AL1510">
        <v>81.243952887379706</v>
      </c>
      <c r="AM1510">
        <v>69.603593415496306</v>
      </c>
      <c r="AN1510">
        <v>1.0000000064497601</v>
      </c>
    </row>
    <row r="1511" spans="1:40" x14ac:dyDescent="0.25">
      <c r="A1511" t="str">
        <f>"20190303162809310"</f>
        <v>20190303162809310</v>
      </c>
      <c r="B1511" t="str">
        <f>"1551601689303059"</f>
        <v>1551601689303059</v>
      </c>
      <c r="C1511" t="s">
        <v>40</v>
      </c>
      <c r="D1511">
        <v>5.5735900000000003</v>
      </c>
      <c r="E1511">
        <v>0.5763144</v>
      </c>
      <c r="F1511" t="s">
        <v>47</v>
      </c>
      <c r="G1511">
        <v>-207.28229999999999</v>
      </c>
      <c r="H1511" s="1">
        <v>5.4417309999999997E-6</v>
      </c>
      <c r="I1511">
        <v>284.66980000000001</v>
      </c>
      <c r="J1511">
        <v>-195.87620000000001</v>
      </c>
      <c r="K1511">
        <v>1.1101129999999999</v>
      </c>
      <c r="L1511">
        <v>290.85469999999998</v>
      </c>
      <c r="M1511">
        <v>-0.51788710000000004</v>
      </c>
      <c r="N1511">
        <v>-1.2417600000000001E-2</v>
      </c>
      <c r="O1511">
        <v>-0.85535879999999997</v>
      </c>
      <c r="P1511">
        <v>-0.77090599999999998</v>
      </c>
      <c r="Q1511">
        <v>0.15329980000000001</v>
      </c>
      <c r="R1511">
        <v>-0.61822589999999999</v>
      </c>
      <c r="S1511">
        <v>-2.7298740000000001</v>
      </c>
      <c r="T1511">
        <v>-0.26181330000000003</v>
      </c>
      <c r="U1511">
        <v>-1.520508</v>
      </c>
      <c r="V1511">
        <v>0.3434469</v>
      </c>
      <c r="W1511">
        <v>0.15589220000000001</v>
      </c>
      <c r="X1511">
        <v>0.92614350000000001</v>
      </c>
      <c r="Y1511">
        <v>0.49239430000000001</v>
      </c>
      <c r="Z1511">
        <v>7.3970289999999994E-2</v>
      </c>
      <c r="AA1511">
        <v>0.86722330000000003</v>
      </c>
      <c r="AB1511">
        <v>30</v>
      </c>
      <c r="AC1511">
        <v>-11.406099999999901</v>
      </c>
      <c r="AD1511">
        <v>-1.1101075582690001</v>
      </c>
      <c r="AE1511">
        <v>-6.1848999999999696</v>
      </c>
      <c r="AF1511">
        <v>6.5061088714456004</v>
      </c>
      <c r="AG1511">
        <v>-1.1101075582690001</v>
      </c>
      <c r="AH1511">
        <v>11.116868958913701</v>
      </c>
      <c r="AI1511">
        <v>94.925769343381504</v>
      </c>
      <c r="AJ1511">
        <v>59.661843771914597</v>
      </c>
      <c r="AK1511">
        <v>12.9285175827582</v>
      </c>
      <c r="AL1511">
        <v>81.031455117780297</v>
      </c>
      <c r="AM1511">
        <v>69.653430810488899</v>
      </c>
      <c r="AN1511">
        <v>0.99999996686634895</v>
      </c>
    </row>
    <row r="1512" spans="1:40" x14ac:dyDescent="0.25">
      <c r="A1512" t="str">
        <f>"20190303162809332"</f>
        <v>20190303162809332</v>
      </c>
      <c r="B1512" t="str">
        <f>"1551601689322578"</f>
        <v>1551601689322578</v>
      </c>
      <c r="C1512" t="s">
        <v>40</v>
      </c>
      <c r="D1512">
        <v>5.6028890000000002</v>
      </c>
      <c r="E1512">
        <v>0.57566319999999904</v>
      </c>
      <c r="F1512" t="s">
        <v>47</v>
      </c>
      <c r="G1512">
        <v>-208.07470000000001</v>
      </c>
      <c r="H1512" s="1">
        <v>5.8301009999999997E-6</v>
      </c>
      <c r="I1512">
        <v>284.24669999999998</v>
      </c>
      <c r="J1512">
        <v>-196.04339999999999</v>
      </c>
      <c r="K1512">
        <v>1.1098669999999999</v>
      </c>
      <c r="L1512">
        <v>290.60570000000001</v>
      </c>
      <c r="M1512">
        <v>-0.52986739999999999</v>
      </c>
      <c r="N1512">
        <v>-1.248261E-2</v>
      </c>
      <c r="O1512">
        <v>-0.84798869999999904</v>
      </c>
      <c r="P1512">
        <v>-0.77876330000000005</v>
      </c>
      <c r="Q1512">
        <v>0.1545687</v>
      </c>
      <c r="R1512">
        <v>-0.6079774</v>
      </c>
      <c r="S1512">
        <v>-2.74762</v>
      </c>
      <c r="T1512">
        <v>-0.25004280000000001</v>
      </c>
      <c r="U1512">
        <v>-1.4884029999999999</v>
      </c>
      <c r="V1512">
        <v>0.34258309999999997</v>
      </c>
      <c r="W1512">
        <v>0.1570395</v>
      </c>
      <c r="X1512">
        <v>0.92626960000000003</v>
      </c>
      <c r="Y1512">
        <v>0.4906297</v>
      </c>
      <c r="Z1512">
        <v>6.9954999999999906E-2</v>
      </c>
      <c r="AA1512">
        <v>0.86855559999999998</v>
      </c>
      <c r="AB1512">
        <v>30</v>
      </c>
      <c r="AC1512">
        <v>-12.0313</v>
      </c>
      <c r="AD1512">
        <v>-1.109861169899</v>
      </c>
      <c r="AE1512">
        <v>-6.3590000000000302</v>
      </c>
      <c r="AF1512">
        <v>6.7883586537708398</v>
      </c>
      <c r="AG1512">
        <v>-1.109861169899</v>
      </c>
      <c r="AH1512">
        <v>11.690510150362</v>
      </c>
      <c r="AI1512">
        <v>94.693424796709493</v>
      </c>
      <c r="AJ1512">
        <v>59.857439726385302</v>
      </c>
      <c r="AK1512">
        <v>13.563982918169399</v>
      </c>
      <c r="AL1512">
        <v>80.964900033345998</v>
      </c>
      <c r="AM1512">
        <v>69.702961612313899</v>
      </c>
      <c r="AN1512">
        <v>0.99999997842500898</v>
      </c>
    </row>
    <row r="1513" spans="1:40" x14ac:dyDescent="0.25">
      <c r="A1513" t="str">
        <f>"20190303162809355"</f>
        <v>20190303162809355</v>
      </c>
      <c r="B1513" t="str">
        <f>"1551601689343074"</f>
        <v>1551601689343074</v>
      </c>
      <c r="C1513" t="s">
        <v>40</v>
      </c>
      <c r="D1513">
        <v>5.6282310000000004</v>
      </c>
      <c r="E1513">
        <v>0.56323409999999996</v>
      </c>
      <c r="F1513" t="s">
        <v>47</v>
      </c>
      <c r="G1513">
        <v>-208.46719999999999</v>
      </c>
      <c r="H1513" s="1">
        <v>6.0207239999999996E-6</v>
      </c>
      <c r="I1513">
        <v>284.05709999999999</v>
      </c>
      <c r="J1513">
        <v>-196.21979999999999</v>
      </c>
      <c r="K1513">
        <v>1.109599</v>
      </c>
      <c r="L1513">
        <v>290.35120000000001</v>
      </c>
      <c r="M1513">
        <v>-0.54241989999999995</v>
      </c>
      <c r="N1513">
        <v>-1.255349E-2</v>
      </c>
      <c r="O1513">
        <v>-0.84001389999999998</v>
      </c>
      <c r="P1513">
        <v>-0.78728619999999905</v>
      </c>
      <c r="Q1513">
        <v>0.1529481</v>
      </c>
      <c r="R1513">
        <v>-0.59731699999999999</v>
      </c>
      <c r="S1513">
        <v>-2.7639010000000002</v>
      </c>
      <c r="T1513">
        <v>-0.24690870000000001</v>
      </c>
      <c r="U1513">
        <v>-1.4568479999999999</v>
      </c>
      <c r="V1513">
        <v>0.34174169999999998</v>
      </c>
      <c r="W1513">
        <v>0.1552974</v>
      </c>
      <c r="X1513">
        <v>0.92687399999999998</v>
      </c>
      <c r="Y1513">
        <v>0.48763410000000001</v>
      </c>
      <c r="Z1513">
        <v>6.8616830000000004E-2</v>
      </c>
      <c r="AA1513">
        <v>0.87034750000000005</v>
      </c>
      <c r="AB1513">
        <v>30</v>
      </c>
      <c r="AC1513">
        <v>-12.247400000000001</v>
      </c>
      <c r="AD1513">
        <v>-1.109592979276</v>
      </c>
      <c r="AE1513">
        <v>-6.29410000000001</v>
      </c>
      <c r="AF1513">
        <v>6.8301327263818399</v>
      </c>
      <c r="AG1513">
        <v>-1.109592979276</v>
      </c>
      <c r="AH1513">
        <v>11.8543313790271</v>
      </c>
      <c r="AI1513">
        <v>94.636730567547403</v>
      </c>
      <c r="AJ1513">
        <v>60.050662187604402</v>
      </c>
      <c r="AK1513">
        <v>13.726145929700699</v>
      </c>
      <c r="AL1513">
        <v>81.065955498293206</v>
      </c>
      <c r="AM1513">
        <v>69.760892242593599</v>
      </c>
      <c r="AN1513">
        <v>1.0000000419208199</v>
      </c>
    </row>
    <row r="1514" spans="1:40" x14ac:dyDescent="0.25">
      <c r="A1514" t="str">
        <f>"20190303162809379"</f>
        <v>20190303162809379</v>
      </c>
      <c r="B1514" t="str">
        <f>"1551601689373331"</f>
        <v>1551601689373331</v>
      </c>
      <c r="C1514" t="s">
        <v>40</v>
      </c>
      <c r="D1514">
        <v>5.6752570000000002</v>
      </c>
      <c r="E1514">
        <v>0.56213789999999997</v>
      </c>
      <c r="F1514" t="s">
        <v>47</v>
      </c>
      <c r="G1514">
        <v>-207.20660000000001</v>
      </c>
      <c r="H1514" s="1">
        <v>5.4400569999999997E-6</v>
      </c>
      <c r="I1514">
        <v>284.30500000000001</v>
      </c>
      <c r="J1514">
        <v>-196.39920000000001</v>
      </c>
      <c r="K1514">
        <v>1.1093329999999999</v>
      </c>
      <c r="L1514">
        <v>290.10079999999999</v>
      </c>
      <c r="M1514">
        <v>-0.55509129999999995</v>
      </c>
      <c r="N1514">
        <v>-1.262929E-2</v>
      </c>
      <c r="O1514">
        <v>-0.83169369999999998</v>
      </c>
      <c r="P1514">
        <v>-0.79676380000000002</v>
      </c>
      <c r="Q1514">
        <v>0.151928799999999</v>
      </c>
      <c r="R1514">
        <v>-0.58488030000000002</v>
      </c>
      <c r="S1514">
        <v>-2.7259060000000002</v>
      </c>
      <c r="T1514">
        <v>-0.27529599999999999</v>
      </c>
      <c r="U1514">
        <v>-1.500092</v>
      </c>
      <c r="V1514">
        <v>0.34248260000000003</v>
      </c>
      <c r="W1514">
        <v>0.15410779999999999</v>
      </c>
      <c r="X1514">
        <v>0.92679909999999999</v>
      </c>
      <c r="Y1514">
        <v>0.4578776</v>
      </c>
      <c r="Z1514">
        <v>7.6470280000000002E-2</v>
      </c>
      <c r="AA1514">
        <v>0.88572030000000002</v>
      </c>
      <c r="AB1514">
        <v>30</v>
      </c>
      <c r="AC1514">
        <v>-10.807399999999999</v>
      </c>
      <c r="AD1514">
        <v>-1.1093275599429999</v>
      </c>
      <c r="AE1514">
        <v>-5.7957999999999803</v>
      </c>
      <c r="AF1514">
        <v>5.7248629945835896</v>
      </c>
      <c r="AG1514">
        <v>-1.1093275599429999</v>
      </c>
      <c r="AH1514">
        <v>10.7324649400936</v>
      </c>
      <c r="AI1514">
        <v>95.210876288475504</v>
      </c>
      <c r="AJ1514">
        <v>61.9238485997544</v>
      </c>
      <c r="AK1514">
        <v>12.214354982246901</v>
      </c>
      <c r="AL1514">
        <v>81.134945267811801</v>
      </c>
      <c r="AM1514">
        <v>69.719078728545099</v>
      </c>
      <c r="AN1514">
        <v>1.0000000585422</v>
      </c>
    </row>
    <row r="1515" spans="1:40" x14ac:dyDescent="0.25">
      <c r="A1515" t="str">
        <f>"20190303162809399"</f>
        <v>20190303162809399</v>
      </c>
      <c r="B1515" t="str">
        <f>"1551601689392851"</f>
        <v>1551601689392851</v>
      </c>
      <c r="C1515" t="s">
        <v>40</v>
      </c>
      <c r="D1515">
        <v>5.7209300000000001</v>
      </c>
      <c r="E1515">
        <v>0.56179000000000001</v>
      </c>
      <c r="F1515" t="s">
        <v>47</v>
      </c>
      <c r="G1515">
        <v>-206.93639999999999</v>
      </c>
      <c r="H1515" s="1">
        <v>5.304862E-6</v>
      </c>
      <c r="I1515">
        <v>284.48039999999997</v>
      </c>
      <c r="J1515">
        <v>-196.5694</v>
      </c>
      <c r="K1515">
        <v>1.109094</v>
      </c>
      <c r="L1515">
        <v>289.87099999999998</v>
      </c>
      <c r="M1515">
        <v>-0.5669999</v>
      </c>
      <c r="N1515">
        <v>-1.270319E-2</v>
      </c>
      <c r="O1515">
        <v>-0.82362009999999997</v>
      </c>
      <c r="P1515">
        <v>-0.80681879999999995</v>
      </c>
      <c r="Q1515">
        <v>0.15310370000000001</v>
      </c>
      <c r="R1515">
        <v>-0.57061640000000002</v>
      </c>
      <c r="S1515">
        <v>-2.7453919999999998</v>
      </c>
      <c r="T1515">
        <v>-0.28902820000000001</v>
      </c>
      <c r="U1515">
        <v>-1.4643550000000001</v>
      </c>
      <c r="V1515">
        <v>0.34558080000000002</v>
      </c>
      <c r="W1515">
        <v>0.1550434</v>
      </c>
      <c r="X1515">
        <v>0.92549199999999998</v>
      </c>
      <c r="Y1515">
        <v>0.45635419999999999</v>
      </c>
      <c r="Z1515">
        <v>8.0251859999999994E-2</v>
      </c>
      <c r="AA1515">
        <v>0.88617179999999995</v>
      </c>
      <c r="AB1515">
        <v>30</v>
      </c>
      <c r="AC1515">
        <v>-10.3669999999999</v>
      </c>
      <c r="AD1515">
        <v>-1.1090886951379999</v>
      </c>
      <c r="AE1515">
        <v>-5.3906000000000001</v>
      </c>
      <c r="AF1515">
        <v>5.43348911340735</v>
      </c>
      <c r="AG1515">
        <v>-1.1090886951379999</v>
      </c>
      <c r="AH1515">
        <v>10.226590324919499</v>
      </c>
      <c r="AI1515">
        <v>95.470692248743603</v>
      </c>
      <c r="AJ1515">
        <v>62.017847189377598</v>
      </c>
      <c r="AK1515">
        <v>11.6334015383694</v>
      </c>
      <c r="AL1515">
        <v>81.080686624330596</v>
      </c>
      <c r="AM1515">
        <v>69.524254689670201</v>
      </c>
      <c r="AN1515">
        <v>0.99999999363809999</v>
      </c>
    </row>
    <row r="1516" spans="1:40" x14ac:dyDescent="0.25">
      <c r="A1516" t="str">
        <f>"20190303162809422"</f>
        <v>20190303162809422</v>
      </c>
      <c r="B1516" t="str">
        <f>"1551601689413346"</f>
        <v>1551601689413346</v>
      </c>
      <c r="C1516" t="s">
        <v>40</v>
      </c>
      <c r="D1516">
        <v>5.6206519999999998</v>
      </c>
      <c r="E1516">
        <v>0.5614053</v>
      </c>
      <c r="F1516" t="s">
        <v>47</v>
      </c>
      <c r="G1516">
        <v>-207.55369999999999</v>
      </c>
      <c r="H1516" s="1">
        <v>5.5988319999999997E-6</v>
      </c>
      <c r="I1516">
        <v>284.2491</v>
      </c>
      <c r="J1516">
        <v>-196.75309999999999</v>
      </c>
      <c r="K1516">
        <v>1.1088290000000001</v>
      </c>
      <c r="L1516">
        <v>289.63080000000002</v>
      </c>
      <c r="M1516">
        <v>-0.57971099999999998</v>
      </c>
      <c r="N1516">
        <v>-1.2781529999999999E-2</v>
      </c>
      <c r="O1516">
        <v>-0.81472199999999995</v>
      </c>
      <c r="P1516">
        <v>-0.81870350000000003</v>
      </c>
      <c r="Q1516">
        <v>0.15200259999999999</v>
      </c>
      <c r="R1516">
        <v>-0.55373260000000002</v>
      </c>
      <c r="S1516">
        <v>-2.7690429999999999</v>
      </c>
      <c r="T1516">
        <v>-0.27959139999999999</v>
      </c>
      <c r="U1516">
        <v>-1.4172359999999999</v>
      </c>
      <c r="V1516">
        <v>0.35068139999999998</v>
      </c>
      <c r="W1516">
        <v>0.1536352</v>
      </c>
      <c r="X1516">
        <v>0.92380669999999998</v>
      </c>
      <c r="Y1516">
        <v>0.45783289999999999</v>
      </c>
      <c r="Z1516">
        <v>7.7019110000000002E-2</v>
      </c>
      <c r="AA1516">
        <v>0.88569580000000003</v>
      </c>
      <c r="AB1516">
        <v>30</v>
      </c>
      <c r="AC1516">
        <v>-10.800599999999999</v>
      </c>
      <c r="AD1516">
        <v>-1.108823401168</v>
      </c>
      <c r="AE1516">
        <v>-5.3817000000000199</v>
      </c>
      <c r="AF1516">
        <v>5.6325614196287201</v>
      </c>
      <c r="AG1516">
        <v>-1.108823401168</v>
      </c>
      <c r="AH1516">
        <v>10.557543495305801</v>
      </c>
      <c r="AI1516">
        <v>95.294123532522804</v>
      </c>
      <c r="AJ1516">
        <v>61.9196060018241</v>
      </c>
      <c r="AK1516">
        <v>12.0173608640225</v>
      </c>
      <c r="AL1516">
        <v>81.1623492613829</v>
      </c>
      <c r="AM1516">
        <v>69.213000874604504</v>
      </c>
      <c r="AN1516">
        <v>1.0000000189749401</v>
      </c>
    </row>
    <row r="1517" spans="1:40" x14ac:dyDescent="0.25">
      <c r="A1517" t="str">
        <f>"20190303162809446"</f>
        <v>20190303162809446</v>
      </c>
      <c r="B1517" t="str">
        <f>"1551601689432866"</f>
        <v>1551601689432866</v>
      </c>
      <c r="C1517" t="s">
        <v>40</v>
      </c>
      <c r="D1517">
        <v>5.641985</v>
      </c>
      <c r="E1517">
        <v>0.56097989999999998</v>
      </c>
      <c r="F1517" t="s">
        <v>47</v>
      </c>
      <c r="G1517">
        <v>-207.881</v>
      </c>
      <c r="H1517" s="1">
        <v>5.747424E-6</v>
      </c>
      <c r="I1517">
        <v>284.20979999999997</v>
      </c>
      <c r="J1517">
        <v>-196.94970000000001</v>
      </c>
      <c r="K1517">
        <v>1.1085609999999999</v>
      </c>
      <c r="L1517">
        <v>289.3827</v>
      </c>
      <c r="M1517">
        <v>-0.59311380000000002</v>
      </c>
      <c r="N1517">
        <v>-1.286021E-2</v>
      </c>
      <c r="O1517">
        <v>-0.80501610000000001</v>
      </c>
      <c r="P1517">
        <v>-0.830134499999999</v>
      </c>
      <c r="Q1517">
        <v>0.14721389999999901</v>
      </c>
      <c r="R1517">
        <v>-0.53777769999999903</v>
      </c>
      <c r="S1517">
        <v>-2.7950900000000001</v>
      </c>
      <c r="T1517">
        <v>-0.27851199999999998</v>
      </c>
      <c r="U1517">
        <v>-1.3616330000000001</v>
      </c>
      <c r="V1517">
        <v>0.35392689999999999</v>
      </c>
      <c r="W1517">
        <v>0.14861240000000001</v>
      </c>
      <c r="X1517">
        <v>0.92339059999999995</v>
      </c>
      <c r="Y1517">
        <v>0.46064929999999898</v>
      </c>
      <c r="Z1517">
        <v>7.6374280000000003E-2</v>
      </c>
      <c r="AA1517">
        <v>0.88429020000000003</v>
      </c>
      <c r="AB1517">
        <v>30</v>
      </c>
      <c r="AC1517">
        <v>-10.931299999999901</v>
      </c>
      <c r="AD1517">
        <v>-1.1085552525759901</v>
      </c>
      <c r="AE1517">
        <v>-5.1729000000000198</v>
      </c>
      <c r="AF1517">
        <v>5.6844632188691104</v>
      </c>
      <c r="AG1517">
        <v>-1.1085552525759901</v>
      </c>
      <c r="AH1517">
        <v>10.559921244968599</v>
      </c>
      <c r="AI1517">
        <v>95.281172192168</v>
      </c>
      <c r="AJ1517">
        <v>61.706177467557097</v>
      </c>
      <c r="AK1517">
        <v>12.0438346690175</v>
      </c>
      <c r="AL1517">
        <v>81.453478743577605</v>
      </c>
      <c r="AM1517">
        <v>69.028643366769003</v>
      </c>
      <c r="AN1517">
        <v>1.0000000480728599</v>
      </c>
    </row>
    <row r="1518" spans="1:40" x14ac:dyDescent="0.25">
      <c r="A1518" t="str">
        <f>"20190303162809467"</f>
        <v>20190303162809467</v>
      </c>
      <c r="B1518" t="str">
        <f>"1551601689453363"</f>
        <v>1551601689453363</v>
      </c>
      <c r="C1518" t="s">
        <v>40</v>
      </c>
      <c r="D1518">
        <v>5.6033239999999997</v>
      </c>
      <c r="E1518">
        <v>0.56059989999999904</v>
      </c>
      <c r="F1518" t="s">
        <v>47</v>
      </c>
      <c r="G1518">
        <v>-207.6268</v>
      </c>
      <c r="H1518" s="1">
        <v>5.61519699999999E-6</v>
      </c>
      <c r="I1518">
        <v>284.43259999999998</v>
      </c>
      <c r="J1518">
        <v>-197.13140000000001</v>
      </c>
      <c r="K1518">
        <v>1.1083339999999999</v>
      </c>
      <c r="L1518">
        <v>289.161</v>
      </c>
      <c r="M1518">
        <v>-0.60528079999999995</v>
      </c>
      <c r="N1518">
        <v>-1.292549E-2</v>
      </c>
      <c r="O1518">
        <v>-0.79590699999999903</v>
      </c>
      <c r="P1518">
        <v>-0.83888879999999999</v>
      </c>
      <c r="Q1518">
        <v>0.14201129999999901</v>
      </c>
      <c r="R1518">
        <v>-0.5254508</v>
      </c>
      <c r="S1518">
        <v>-2.8190919999999999</v>
      </c>
      <c r="T1518">
        <v>-0.29269529999999999</v>
      </c>
      <c r="U1518">
        <v>-1.3069759999999999</v>
      </c>
      <c r="V1518">
        <v>0.35416429999999999</v>
      </c>
      <c r="W1518">
        <v>0.143308299999999</v>
      </c>
      <c r="X1518">
        <v>0.9241376</v>
      </c>
      <c r="Y1518">
        <v>0.46377180000000001</v>
      </c>
      <c r="Z1518">
        <v>8.038294E-2</v>
      </c>
      <c r="AA1518">
        <v>0.88230059999999999</v>
      </c>
      <c r="AB1518">
        <v>30</v>
      </c>
      <c r="AC1518">
        <v>-10.495399999999901</v>
      </c>
      <c r="AD1518">
        <v>-1.1083283848030001</v>
      </c>
      <c r="AE1518">
        <v>-4.7284000000000201</v>
      </c>
      <c r="AF1518">
        <v>5.4413696941820104</v>
      </c>
      <c r="AG1518">
        <v>-1.1083283848030001</v>
      </c>
      <c r="AH1518">
        <v>10.0239535357801</v>
      </c>
      <c r="AI1518">
        <v>95.550227729294207</v>
      </c>
      <c r="AJ1518">
        <v>61.505266798613903</v>
      </c>
      <c r="AK1518">
        <v>11.4593429325071</v>
      </c>
      <c r="AL1518">
        <v>81.760670845988798</v>
      </c>
      <c r="AM1518">
        <v>69.031287801359795</v>
      </c>
      <c r="AN1518">
        <v>0.999999961988569</v>
      </c>
    </row>
    <row r="1519" spans="1:40" x14ac:dyDescent="0.25">
      <c r="A1519" t="str">
        <f>"20190303162809488"</f>
        <v>20190303162809488</v>
      </c>
      <c r="B1519" t="str">
        <f>"1551601689482643"</f>
        <v>1551601689482643</v>
      </c>
      <c r="C1519" t="s">
        <v>40</v>
      </c>
      <c r="D1519">
        <v>5.6197549999999996</v>
      </c>
      <c r="E1519">
        <v>0.55950619999999995</v>
      </c>
      <c r="F1519" t="s">
        <v>47</v>
      </c>
      <c r="G1519">
        <v>-207.60300000000001</v>
      </c>
      <c r="H1519" s="1">
        <v>5.5985480000000003E-6</v>
      </c>
      <c r="I1519">
        <v>284.50229999999999</v>
      </c>
      <c r="J1519">
        <v>-197.3219</v>
      </c>
      <c r="K1519">
        <v>1.1081460000000001</v>
      </c>
      <c r="L1519">
        <v>288.93610000000001</v>
      </c>
      <c r="M1519">
        <v>-0.61778319999999998</v>
      </c>
      <c r="N1519">
        <v>-1.298477E-2</v>
      </c>
      <c r="O1519">
        <v>-0.78624130000000003</v>
      </c>
      <c r="P1519">
        <v>-0.84698869999999904</v>
      </c>
      <c r="Q1519">
        <v>0.13944319999999999</v>
      </c>
      <c r="R1519">
        <v>-0.51299659999999903</v>
      </c>
      <c r="S1519">
        <v>-2.8365480000000001</v>
      </c>
      <c r="T1519">
        <v>-0.3002261</v>
      </c>
      <c r="U1519">
        <v>-1.2619629999999999</v>
      </c>
      <c r="V1519">
        <v>0.3535296</v>
      </c>
      <c r="W1519">
        <v>0.14068249999999999</v>
      </c>
      <c r="X1519">
        <v>0.92478389999999999</v>
      </c>
      <c r="Y1519">
        <v>0.46328560000000002</v>
      </c>
      <c r="Z1519">
        <v>8.2207340000000004E-2</v>
      </c>
      <c r="AA1519">
        <v>0.8823879</v>
      </c>
      <c r="AB1519">
        <v>30</v>
      </c>
      <c r="AC1519">
        <v>-10.281099999999901</v>
      </c>
      <c r="AD1519">
        <v>-1.10814040145199</v>
      </c>
      <c r="AE1519">
        <v>-4.4338000000000104</v>
      </c>
      <c r="AF1519">
        <v>5.2929014301086497</v>
      </c>
      <c r="AG1519">
        <v>-1.10814040145199</v>
      </c>
      <c r="AH1519">
        <v>9.7429186862642894</v>
      </c>
      <c r="AI1519">
        <v>95.707321635565805</v>
      </c>
      <c r="AJ1519">
        <v>61.4867023068077</v>
      </c>
      <c r="AK1519">
        <v>11.1430357275445</v>
      </c>
      <c r="AL1519">
        <v>81.912658528247803</v>
      </c>
      <c r="AM1519">
        <v>69.078970959024801</v>
      </c>
      <c r="AN1519">
        <v>1.00000000279081</v>
      </c>
    </row>
    <row r="1520" spans="1:40" x14ac:dyDescent="0.25">
      <c r="A1520" t="str">
        <f>"20190303162809510"</f>
        <v>20190303162809510</v>
      </c>
      <c r="B1520" t="str">
        <f>"1551601689503139"</f>
        <v>1551601689503139</v>
      </c>
      <c r="C1520" t="s">
        <v>40</v>
      </c>
      <c r="D1520">
        <v>5.6175889999999997</v>
      </c>
      <c r="E1520">
        <v>0.55900509999999903</v>
      </c>
      <c r="F1520" t="s">
        <v>47</v>
      </c>
      <c r="G1520">
        <v>-207.86349999999999</v>
      </c>
      <c r="H1520" s="1">
        <v>5.7228039999999998E-6</v>
      </c>
      <c r="I1520">
        <v>284.40280000000001</v>
      </c>
      <c r="J1520">
        <v>-197.52</v>
      </c>
      <c r="K1520">
        <v>1.1079810000000001</v>
      </c>
      <c r="L1520">
        <v>288.7097</v>
      </c>
      <c r="M1520">
        <v>-0.63049769999999905</v>
      </c>
      <c r="N1520">
        <v>-1.303751E-2</v>
      </c>
      <c r="O1520">
        <v>-0.77608159999999904</v>
      </c>
      <c r="P1520">
        <v>-0.85571350000000002</v>
      </c>
      <c r="Q1520">
        <v>0.1379243</v>
      </c>
      <c r="R1520">
        <v>-0.4987298</v>
      </c>
      <c r="S1520">
        <v>-2.8491520000000001</v>
      </c>
      <c r="T1520">
        <v>-0.29950359999999998</v>
      </c>
      <c r="U1520">
        <v>-1.22525</v>
      </c>
      <c r="V1520">
        <v>0.35416940000000002</v>
      </c>
      <c r="W1520">
        <v>0.13907539999999999</v>
      </c>
      <c r="X1520">
        <v>0.9247822</v>
      </c>
      <c r="Y1520">
        <v>0.4599239</v>
      </c>
      <c r="Z1520">
        <v>8.1409540000000002E-2</v>
      </c>
      <c r="AA1520">
        <v>0.88421859999999997</v>
      </c>
      <c r="AB1520">
        <v>30</v>
      </c>
      <c r="AC1520">
        <v>-10.343499999999899</v>
      </c>
      <c r="AD1520">
        <v>-1.1079752771960001</v>
      </c>
      <c r="AE1520">
        <v>-4.3068999999999802</v>
      </c>
      <c r="AF1520">
        <v>5.2609154370751199</v>
      </c>
      <c r="AG1520">
        <v>-1.1079752771960001</v>
      </c>
      <c r="AH1520">
        <v>9.7693643633830103</v>
      </c>
      <c r="AI1520">
        <v>95.702367219205996</v>
      </c>
      <c r="AJ1520">
        <v>61.697023393832303</v>
      </c>
      <c r="AK1520">
        <v>11.1510232945443</v>
      </c>
      <c r="AL1520">
        <v>82.005653020785402</v>
      </c>
      <c r="AM1520">
        <v>69.0443586920846</v>
      </c>
      <c r="AN1520">
        <v>1.00000002410917</v>
      </c>
    </row>
    <row r="1521" spans="1:40" x14ac:dyDescent="0.25">
      <c r="A1521" t="str">
        <f>"20190303162809532"</f>
        <v>20190303162809532</v>
      </c>
      <c r="B1521" t="str">
        <f>"1551601689522658"</f>
        <v>1551601689522658</v>
      </c>
      <c r="C1521" t="s">
        <v>40</v>
      </c>
      <c r="D1521">
        <v>5.6118329999999998</v>
      </c>
      <c r="E1521">
        <v>0.5537744</v>
      </c>
      <c r="F1521" t="s">
        <v>47</v>
      </c>
      <c r="G1521">
        <v>-208.23249999999999</v>
      </c>
      <c r="H1521" s="1">
        <v>5.8948929999999899E-6</v>
      </c>
      <c r="I1521">
        <v>284.30599999999998</v>
      </c>
      <c r="J1521">
        <v>-197.72059999999999</v>
      </c>
      <c r="K1521">
        <v>1.107845</v>
      </c>
      <c r="L1521">
        <v>288.48790000000002</v>
      </c>
      <c r="M1521">
        <v>-0.64305639999999997</v>
      </c>
      <c r="N1521">
        <v>-1.3082989999999999E-2</v>
      </c>
      <c r="O1521">
        <v>-0.76570709999999997</v>
      </c>
      <c r="P1521">
        <v>-0.86376409999999904</v>
      </c>
      <c r="Q1521">
        <v>0.1359842</v>
      </c>
      <c r="R1521">
        <v>-0.48520079999999999</v>
      </c>
      <c r="S1521">
        <v>-2.8667910000000001</v>
      </c>
      <c r="T1521">
        <v>-0.29650700000000002</v>
      </c>
      <c r="U1521">
        <v>-1.1784669999999999</v>
      </c>
      <c r="V1521">
        <v>0.35387049999999998</v>
      </c>
      <c r="W1521">
        <v>0.1370989</v>
      </c>
      <c r="X1521">
        <v>0.9251916</v>
      </c>
      <c r="Y1521">
        <v>0.45982869999999998</v>
      </c>
      <c r="Z1521">
        <v>8.0021780000000001E-2</v>
      </c>
      <c r="AA1521">
        <v>0.88439469999999998</v>
      </c>
      <c r="AB1521">
        <v>30</v>
      </c>
      <c r="AC1521">
        <v>-10.511899999999899</v>
      </c>
      <c r="AD1521">
        <v>-1.107839105107</v>
      </c>
      <c r="AE1521">
        <v>-4.1819000000000397</v>
      </c>
      <c r="AF1521">
        <v>5.3093846814868302</v>
      </c>
      <c r="AG1521">
        <v>-1.107839105107</v>
      </c>
      <c r="AH1521">
        <v>9.8680803215020294</v>
      </c>
      <c r="AI1521">
        <v>95.646116905378804</v>
      </c>
      <c r="AJ1521">
        <v>61.718138905504802</v>
      </c>
      <c r="AK1521">
        <v>11.2603677742082</v>
      </c>
      <c r="AL1521">
        <v>82.119993073184105</v>
      </c>
      <c r="AM1521">
        <v>69.068973335307803</v>
      </c>
      <c r="AN1521">
        <v>0.99999996793100898</v>
      </c>
    </row>
    <row r="1522" spans="1:40" x14ac:dyDescent="0.25">
      <c r="A1522" t="str">
        <f>"20190303162809557"</f>
        <v>20190303162809557</v>
      </c>
      <c r="B1522" t="str">
        <f>"1551601689552914"</f>
        <v>1551601689552914</v>
      </c>
      <c r="C1522" t="s">
        <v>40</v>
      </c>
      <c r="D1522">
        <v>5.8681229999999998</v>
      </c>
      <c r="E1522">
        <v>0.56040559999999995</v>
      </c>
      <c r="F1522" t="s">
        <v>48</v>
      </c>
      <c r="G1522">
        <v>-211.54669999999999</v>
      </c>
      <c r="H1522" s="1">
        <v>-7.1369880000000003E-7</v>
      </c>
      <c r="I1522">
        <v>282.8895</v>
      </c>
      <c r="J1522">
        <v>-197.946</v>
      </c>
      <c r="K1522">
        <v>1.1077330000000001</v>
      </c>
      <c r="L1522">
        <v>288.24689999999998</v>
      </c>
      <c r="M1522">
        <v>-0.65679219999999905</v>
      </c>
      <c r="N1522">
        <v>-1.3126530000000001E-2</v>
      </c>
      <c r="O1522">
        <v>-0.75395760000000001</v>
      </c>
      <c r="P1522">
        <v>-0.87235779999999996</v>
      </c>
      <c r="Q1522">
        <v>0.1351329</v>
      </c>
      <c r="R1522">
        <v>-0.46982079999999998</v>
      </c>
      <c r="S1522">
        <v>-2.8589630000000001</v>
      </c>
      <c r="T1522">
        <v>-0.2290797</v>
      </c>
      <c r="U1522">
        <v>-1.1576229999999901</v>
      </c>
      <c r="V1522">
        <v>0.35364469999999998</v>
      </c>
      <c r="W1522">
        <v>0.13621559999999999</v>
      </c>
      <c r="X1522">
        <v>0.92540840000000002</v>
      </c>
      <c r="Y1522">
        <v>0.45011509999999999</v>
      </c>
      <c r="Z1522">
        <v>5.9642580000000001E-2</v>
      </c>
      <c r="AA1522">
        <v>0.89097649999999995</v>
      </c>
      <c r="AB1522">
        <v>30</v>
      </c>
      <c r="AC1522">
        <v>-13.6006999999999</v>
      </c>
      <c r="AD1522">
        <v>-1.1077337136987999</v>
      </c>
      <c r="AE1522">
        <v>-5.3573999999999797</v>
      </c>
      <c r="AF1522">
        <v>6.6977694272001003</v>
      </c>
      <c r="AG1522">
        <v>-1.1077337136987999</v>
      </c>
      <c r="AH1522">
        <v>12.8991275250818</v>
      </c>
      <c r="AI1522">
        <v>94.358362222046793</v>
      </c>
      <c r="AJ1522">
        <v>62.559762937025198</v>
      </c>
      <c r="AK1522">
        <v>14.576511248879999</v>
      </c>
      <c r="AL1522">
        <v>82.171081868193397</v>
      </c>
      <c r="AM1522">
        <v>69.08565002409</v>
      </c>
      <c r="AN1522">
        <v>0.99999998515600497</v>
      </c>
    </row>
    <row r="1523" spans="1:40" x14ac:dyDescent="0.25">
      <c r="A1523" t="str">
        <f>"20190303162809580"</f>
        <v>20190303162809580</v>
      </c>
      <c r="B1523" t="str">
        <f>"1551601689572434"</f>
        <v>1551601689572434</v>
      </c>
      <c r="C1523" t="s">
        <v>40</v>
      </c>
      <c r="D1523">
        <v>5.6027800000000001</v>
      </c>
      <c r="E1523">
        <v>0.57847799999999905</v>
      </c>
      <c r="F1523" t="s">
        <v>48</v>
      </c>
      <c r="G1523">
        <v>-213.37469999999999</v>
      </c>
      <c r="H1523" s="1">
        <v>2.590376E-7</v>
      </c>
      <c r="I1523">
        <v>282.62880000000001</v>
      </c>
      <c r="J1523">
        <v>-198.15860000000001</v>
      </c>
      <c r="K1523">
        <v>1.1076429999999999</v>
      </c>
      <c r="L1523">
        <v>288.0274</v>
      </c>
      <c r="M1523">
        <v>-0.66936830000000003</v>
      </c>
      <c r="N1523">
        <v>-1.316166E-2</v>
      </c>
      <c r="O1523">
        <v>-0.74281430000000004</v>
      </c>
      <c r="P1523">
        <v>-0.88054619999999995</v>
      </c>
      <c r="Q1523">
        <v>0.13504459999999999</v>
      </c>
      <c r="R1523">
        <v>-0.45431490000000002</v>
      </c>
      <c r="S1523">
        <v>-2.9020999999999999</v>
      </c>
      <c r="T1523">
        <v>-0.2083623</v>
      </c>
      <c r="U1523">
        <v>-1.0567629999999999</v>
      </c>
      <c r="V1523">
        <v>0.35449899999999901</v>
      </c>
      <c r="W1523">
        <v>0.13606679999999999</v>
      </c>
      <c r="X1523">
        <v>0.92510340000000002</v>
      </c>
      <c r="Y1523">
        <v>0.46709469999999997</v>
      </c>
      <c r="Z1523">
        <v>5.3639699999999901E-2</v>
      </c>
      <c r="AA1523">
        <v>0.8825788</v>
      </c>
      <c r="AB1523">
        <v>30</v>
      </c>
      <c r="AC1523">
        <v>-15.2160999999999</v>
      </c>
      <c r="AD1523">
        <v>-1.1076427409623999</v>
      </c>
      <c r="AE1523">
        <v>-5.3985999999999796</v>
      </c>
      <c r="AF1523">
        <v>7.6537276473896902</v>
      </c>
      <c r="AG1523">
        <v>-1.1076427409623999</v>
      </c>
      <c r="AH1523">
        <v>14.1300567672666</v>
      </c>
      <c r="AI1523">
        <v>93.942991707349293</v>
      </c>
      <c r="AJ1523">
        <v>61.557237852079801</v>
      </c>
      <c r="AK1523">
        <v>16.107914936086601</v>
      </c>
      <c r="AL1523">
        <v>82.179687783315899</v>
      </c>
      <c r="AM1523">
        <v>69.033201200118398</v>
      </c>
      <c r="AN1523">
        <v>1.0000000078774001</v>
      </c>
    </row>
    <row r="1524" spans="1:40" x14ac:dyDescent="0.25">
      <c r="A1524" t="str">
        <f>"20190303162809600"</f>
        <v>20190303162809600</v>
      </c>
      <c r="B1524" t="str">
        <f>"1551601689592930"</f>
        <v>1551601689592930</v>
      </c>
      <c r="C1524" t="s">
        <v>40</v>
      </c>
      <c r="D1524">
        <v>5.5823499999999999</v>
      </c>
      <c r="E1524">
        <v>0.58715989999999996</v>
      </c>
      <c r="F1524" t="s">
        <v>48</v>
      </c>
      <c r="G1524">
        <v>-210.77080000000001</v>
      </c>
      <c r="H1524" s="1">
        <v>-1.1266350000000001E-6</v>
      </c>
      <c r="I1524">
        <v>284.30099999999999</v>
      </c>
      <c r="J1524">
        <v>-198.3562</v>
      </c>
      <c r="K1524">
        <v>1.1075839999999999</v>
      </c>
      <c r="L1524">
        <v>287.82979999999998</v>
      </c>
      <c r="M1524">
        <v>-0.68073640000000002</v>
      </c>
      <c r="N1524">
        <v>-1.3189909999999999E-2</v>
      </c>
      <c r="O1524">
        <v>-0.7324098</v>
      </c>
      <c r="P1524">
        <v>-0.88791919999999902</v>
      </c>
      <c r="Q1524">
        <v>0.13536090000000001</v>
      </c>
      <c r="R1524">
        <v>-0.43963269999999999</v>
      </c>
      <c r="S1524">
        <v>-2.9912719999999999</v>
      </c>
      <c r="T1524">
        <v>-0.26270349999999998</v>
      </c>
      <c r="U1524">
        <v>-0.88378909999999999</v>
      </c>
      <c r="V1524">
        <v>0.35559649999999998</v>
      </c>
      <c r="W1524">
        <v>0.13632</v>
      </c>
      <c r="X1524">
        <v>0.92464480000000004</v>
      </c>
      <c r="Y1524">
        <v>0.50632759999999999</v>
      </c>
      <c r="Z1524">
        <v>6.9909360000000004E-2</v>
      </c>
      <c r="AA1524">
        <v>0.85950280000000001</v>
      </c>
      <c r="AB1524">
        <v>30</v>
      </c>
      <c r="AC1524">
        <v>-12.4146</v>
      </c>
      <c r="AD1524">
        <v>-1.1075851266349901</v>
      </c>
      <c r="AE1524">
        <v>-3.52879999999998</v>
      </c>
      <c r="AF1524">
        <v>6.6420580481569402</v>
      </c>
      <c r="AG1524">
        <v>-1.1075851266349901</v>
      </c>
      <c r="AH1524">
        <v>10.9558722771995</v>
      </c>
      <c r="AI1524">
        <v>94.940870322170198</v>
      </c>
      <c r="AJ1524">
        <v>58.773430247205098</v>
      </c>
      <c r="AK1524">
        <v>12.859814045395</v>
      </c>
      <c r="AL1524">
        <v>82.165044059894797</v>
      </c>
      <c r="AM1524">
        <v>68.964438507632707</v>
      </c>
      <c r="AN1524">
        <v>1.00000000968964</v>
      </c>
    </row>
    <row r="1525" spans="1:40" x14ac:dyDescent="0.25">
      <c r="A1525" t="str">
        <f>"20190303162809622"</f>
        <v>20190303162809622</v>
      </c>
      <c r="B1525" t="str">
        <f>"1551601689612450"</f>
        <v>1551601689612450</v>
      </c>
      <c r="C1525" t="s">
        <v>40</v>
      </c>
      <c r="D1525">
        <v>5.5008319999999999</v>
      </c>
      <c r="E1525">
        <v>0.59204969999999901</v>
      </c>
      <c r="F1525" t="s">
        <v>48</v>
      </c>
      <c r="G1525">
        <v>-210.87</v>
      </c>
      <c r="H1525" s="1">
        <v>-1.073831E-6</v>
      </c>
      <c r="I1525">
        <v>284.64929999999998</v>
      </c>
      <c r="J1525">
        <v>-198.5677</v>
      </c>
      <c r="K1525">
        <v>1.1075379999999999</v>
      </c>
      <c r="L1525">
        <v>287.62490000000003</v>
      </c>
      <c r="M1525">
        <v>-0.69256479999999998</v>
      </c>
      <c r="N1525">
        <v>-1.3216840000000001E-2</v>
      </c>
      <c r="O1525">
        <v>-0.72123470000000001</v>
      </c>
      <c r="P1525">
        <v>-0.89484619999999904</v>
      </c>
      <c r="Q1525">
        <v>0.13714609999999999</v>
      </c>
      <c r="R1525">
        <v>-0.42478389999999999</v>
      </c>
      <c r="S1525">
        <v>-3.037445</v>
      </c>
      <c r="T1525">
        <v>-0.26884219999999998</v>
      </c>
      <c r="U1525">
        <v>-0.772003199999999</v>
      </c>
      <c r="V1525">
        <v>0.35582940000000002</v>
      </c>
      <c r="W1525">
        <v>0.1380728</v>
      </c>
      <c r="X1525">
        <v>0.92429510000000004</v>
      </c>
      <c r="Y1525">
        <v>0.52500930000000001</v>
      </c>
      <c r="Z1525">
        <v>7.1633909999999995E-2</v>
      </c>
      <c r="AA1525">
        <v>0.84807659999999996</v>
      </c>
      <c r="AB1525">
        <v>30</v>
      </c>
      <c r="AC1525">
        <v>-12.302300000000001</v>
      </c>
      <c r="AD1525">
        <v>-1.10753907383099</v>
      </c>
      <c r="AE1525">
        <v>-2.97560000000004</v>
      </c>
      <c r="AF1525">
        <v>6.7608768592793602</v>
      </c>
      <c r="AG1525">
        <v>-1.10753907383099</v>
      </c>
      <c r="AH1525">
        <v>10.5861197369446</v>
      </c>
      <c r="AI1525">
        <v>95.038953439866603</v>
      </c>
      <c r="AJ1525">
        <v>57.4354658527241</v>
      </c>
      <c r="AK1525">
        <v>12.609600699123201</v>
      </c>
      <c r="AL1525">
        <v>82.063657567146606</v>
      </c>
      <c r="AM1525">
        <v>68.944601622325095</v>
      </c>
      <c r="AN1525">
        <v>1.0000000459441001</v>
      </c>
    </row>
    <row r="1526" spans="1:40" x14ac:dyDescent="0.25">
      <c r="A1526" t="str">
        <f>"20190303162809646"</f>
        <v>20190303162809646</v>
      </c>
      <c r="B1526" t="str">
        <f>"1551601689642707"</f>
        <v>1551601689642707</v>
      </c>
      <c r="C1526" t="s">
        <v>40</v>
      </c>
      <c r="D1526">
        <v>5.5267200000000001</v>
      </c>
      <c r="E1526">
        <v>0.59504820000000003</v>
      </c>
      <c r="F1526" t="s">
        <v>48</v>
      </c>
      <c r="G1526">
        <v>-211.41990000000001</v>
      </c>
      <c r="H1526" s="1">
        <v>-7.8120309999999995E-7</v>
      </c>
      <c r="I1526">
        <v>284.75479999999999</v>
      </c>
      <c r="J1526">
        <v>-198.7998</v>
      </c>
      <c r="K1526">
        <v>1.10748</v>
      </c>
      <c r="L1526">
        <v>287.40780000000001</v>
      </c>
      <c r="M1526">
        <v>-0.70515069999999902</v>
      </c>
      <c r="N1526">
        <v>-1.324357E-2</v>
      </c>
      <c r="O1526">
        <v>-0.70893390000000001</v>
      </c>
      <c r="P1526">
        <v>-0.90185389999999999</v>
      </c>
      <c r="Q1526">
        <v>0.1392447</v>
      </c>
      <c r="R1526">
        <v>-0.4089872</v>
      </c>
      <c r="S1526">
        <v>-3.067825</v>
      </c>
      <c r="T1526">
        <v>-0.26437040000000001</v>
      </c>
      <c r="U1526">
        <v>-0.68508910000000001</v>
      </c>
      <c r="V1526">
        <v>0.35567029999999999</v>
      </c>
      <c r="W1526">
        <v>0.14015050000000001</v>
      </c>
      <c r="X1526">
        <v>0.92404350000000002</v>
      </c>
      <c r="Y1526">
        <v>0.53489399999999998</v>
      </c>
      <c r="Z1526">
        <v>7.0002850000000005E-2</v>
      </c>
      <c r="AA1526">
        <v>0.84201419999999905</v>
      </c>
      <c r="AB1526">
        <v>30</v>
      </c>
      <c r="AC1526">
        <v>-12.620100000000001</v>
      </c>
      <c r="AD1526">
        <v>-1.1074807812031</v>
      </c>
      <c r="AE1526">
        <v>-2.65300000000002</v>
      </c>
      <c r="AF1526">
        <v>7.0248630380822803</v>
      </c>
      <c r="AG1526">
        <v>-1.1074807812031</v>
      </c>
      <c r="AH1526">
        <v>10.7018913006996</v>
      </c>
      <c r="AI1526">
        <v>94.944438540823199</v>
      </c>
      <c r="AJ1526">
        <v>56.718575398844102</v>
      </c>
      <c r="AK1526">
        <v>12.8493459676568</v>
      </c>
      <c r="AL1526">
        <v>81.943444530525696</v>
      </c>
      <c r="AM1526">
        <v>68.947962822386998</v>
      </c>
      <c r="AN1526">
        <v>0.99999995742229397</v>
      </c>
    </row>
    <row r="1527" spans="1:40" x14ac:dyDescent="0.25">
      <c r="A1527" t="str">
        <f>"20190303162809669"</f>
        <v>20190303162809669</v>
      </c>
      <c r="B1527" t="str">
        <f>"1551601689663203"</f>
        <v>1551601689663203</v>
      </c>
      <c r="C1527" t="s">
        <v>40</v>
      </c>
      <c r="D1527">
        <v>5.7022110000000001</v>
      </c>
      <c r="E1527">
        <v>0.59489130000000001</v>
      </c>
      <c r="F1527" t="s">
        <v>48</v>
      </c>
      <c r="G1527">
        <v>-211.86009999999999</v>
      </c>
      <c r="H1527" s="1">
        <v>-5.4691259999999997E-7</v>
      </c>
      <c r="I1527">
        <v>284.82569999999998</v>
      </c>
      <c r="J1527">
        <v>-199.0283</v>
      </c>
      <c r="K1527">
        <v>1.107426</v>
      </c>
      <c r="L1527">
        <v>287.20150000000001</v>
      </c>
      <c r="M1527">
        <v>-0.71716679999999999</v>
      </c>
      <c r="N1527">
        <v>-1.3268469999999999E-2</v>
      </c>
      <c r="O1527">
        <v>-0.69677529999999999</v>
      </c>
      <c r="P1527">
        <v>-0.90809459999999997</v>
      </c>
      <c r="Q1527">
        <v>0.14024879999999901</v>
      </c>
      <c r="R1527">
        <v>-0.39458140000000003</v>
      </c>
      <c r="S1527">
        <v>-3.08989</v>
      </c>
      <c r="T1527">
        <v>-0.2620133</v>
      </c>
      <c r="U1527">
        <v>-0.61090089999999997</v>
      </c>
      <c r="V1527">
        <v>0.3545237</v>
      </c>
      <c r="W1527">
        <v>0.1411702</v>
      </c>
      <c r="X1527">
        <v>0.92432890000000001</v>
      </c>
      <c r="Y1527">
        <v>0.54117479999999996</v>
      </c>
      <c r="Z1527">
        <v>6.8927740000000001E-2</v>
      </c>
      <c r="AA1527">
        <v>0.83808039999999995</v>
      </c>
      <c r="AB1527">
        <v>30</v>
      </c>
      <c r="AC1527">
        <v>-12.8317999999999</v>
      </c>
      <c r="AD1527">
        <v>-1.1074265469125999</v>
      </c>
      <c r="AE1527">
        <v>-2.3758000000000199</v>
      </c>
      <c r="AF1527">
        <v>7.1859245591639596</v>
      </c>
      <c r="AG1527">
        <v>-1.1074265469125999</v>
      </c>
      <c r="AH1527">
        <v>10.7812550793178</v>
      </c>
      <c r="AI1527">
        <v>94.885319001382001</v>
      </c>
      <c r="AJ1527">
        <v>56.315741674693001</v>
      </c>
      <c r="AK1527">
        <v>13.0038212234757</v>
      </c>
      <c r="AL1527">
        <v>81.884433650010806</v>
      </c>
      <c r="AM1527">
        <v>69.015826923293702</v>
      </c>
      <c r="AN1527">
        <v>0.99999999730247002</v>
      </c>
    </row>
    <row r="1528" spans="1:40" x14ac:dyDescent="0.25">
      <c r="A1528" t="str">
        <f>"20190303162809690"</f>
        <v>20190303162809690</v>
      </c>
      <c r="B1528" t="str">
        <f>"1551601689682723"</f>
        <v>1551601689682723</v>
      </c>
      <c r="C1528" t="s">
        <v>40</v>
      </c>
      <c r="D1528">
        <v>5.7226530000000002</v>
      </c>
      <c r="E1528">
        <v>0.59445939999999997</v>
      </c>
      <c r="F1528" t="s">
        <v>48</v>
      </c>
      <c r="G1528">
        <v>-212.0729</v>
      </c>
      <c r="H1528" s="1">
        <v>-4.3370540000000003E-7</v>
      </c>
      <c r="I1528">
        <v>284.83010000000002</v>
      </c>
      <c r="J1528">
        <v>-199.25149999999999</v>
      </c>
      <c r="K1528">
        <v>1.107378</v>
      </c>
      <c r="L1528">
        <v>287.00659999999999</v>
      </c>
      <c r="M1528">
        <v>-0.72855709999999996</v>
      </c>
      <c r="N1528">
        <v>-1.3291620000000001E-2</v>
      </c>
      <c r="O1528">
        <v>-0.68485640000000003</v>
      </c>
      <c r="P1528">
        <v>-0.91300729999999997</v>
      </c>
      <c r="Q1528">
        <v>0.14120779999999999</v>
      </c>
      <c r="R1528">
        <v>-0.38272499999999998</v>
      </c>
      <c r="S1528">
        <v>-3.0994259999999998</v>
      </c>
      <c r="T1528">
        <v>-0.263127099999999</v>
      </c>
      <c r="U1528">
        <v>-0.563446</v>
      </c>
      <c r="V1528">
        <v>0.35126069999999998</v>
      </c>
      <c r="W1528">
        <v>0.14222470000000001</v>
      </c>
      <c r="X1528">
        <v>0.92541240000000002</v>
      </c>
      <c r="Y1528">
        <v>0.54020210000000002</v>
      </c>
      <c r="Z1528">
        <v>6.86697E-2</v>
      </c>
      <c r="AA1528">
        <v>0.8387289</v>
      </c>
      <c r="AB1528">
        <v>30</v>
      </c>
      <c r="AC1528">
        <v>-12.821400000000001</v>
      </c>
      <c r="AD1528">
        <v>-1.1073784337054</v>
      </c>
      <c r="AE1528">
        <v>-2.1764999999999701</v>
      </c>
      <c r="AF1528">
        <v>7.1439485087161003</v>
      </c>
      <c r="AG1528">
        <v>-1.1073784337054</v>
      </c>
      <c r="AH1528">
        <v>10.754687111941699</v>
      </c>
      <c r="AI1528">
        <v>94.902191364194607</v>
      </c>
      <c r="AJ1528">
        <v>56.405354089385398</v>
      </c>
      <c r="AK1528">
        <v>12.9586103485824</v>
      </c>
      <c r="AL1528">
        <v>81.823399660102496</v>
      </c>
      <c r="AM1528">
        <v>69.214636882316</v>
      </c>
      <c r="AN1528">
        <v>1.00000002736416</v>
      </c>
    </row>
    <row r="1529" spans="1:40" x14ac:dyDescent="0.25">
      <c r="A1529" t="str">
        <f>"20190303162809712"</f>
        <v>20190303162809712</v>
      </c>
      <c r="B1529" t="str">
        <f>"1551601689703219"</f>
        <v>1551601689703219</v>
      </c>
      <c r="C1529" t="s">
        <v>40</v>
      </c>
      <c r="D1529">
        <v>5.7303360000000003</v>
      </c>
      <c r="E1529">
        <v>0.59378980000000003</v>
      </c>
      <c r="F1529" t="s">
        <v>48</v>
      </c>
      <c r="G1529">
        <v>-212.43119999999999</v>
      </c>
      <c r="H1529" s="1">
        <v>-2.4301720000000002E-7</v>
      </c>
      <c r="I1529">
        <v>284.77999999999997</v>
      </c>
      <c r="J1529">
        <v>-199.48159999999999</v>
      </c>
      <c r="K1529">
        <v>1.1073280000000001</v>
      </c>
      <c r="L1529">
        <v>286.81229999999999</v>
      </c>
      <c r="M1529">
        <v>-0.73995730000000004</v>
      </c>
      <c r="N1529">
        <v>-1.331471E-2</v>
      </c>
      <c r="O1529">
        <v>-0.67252219999999996</v>
      </c>
      <c r="P1529">
        <v>-0.91703029999999996</v>
      </c>
      <c r="Q1529">
        <v>0.14400940000000001</v>
      </c>
      <c r="R1529">
        <v>-0.37190960000000001</v>
      </c>
      <c r="S1529">
        <v>-3.1062470000000002</v>
      </c>
      <c r="T1529">
        <v>-0.260991799999999</v>
      </c>
      <c r="U1529">
        <v>-0.52478029999999998</v>
      </c>
      <c r="V1529">
        <v>0.34645959999999998</v>
      </c>
      <c r="W1529">
        <v>0.1451749</v>
      </c>
      <c r="X1529">
        <v>0.92676320000000001</v>
      </c>
      <c r="Y1529">
        <v>0.53662650000000001</v>
      </c>
      <c r="Z1529">
        <v>6.7355449999999997E-2</v>
      </c>
      <c r="AA1529">
        <v>0.84112739999999997</v>
      </c>
      <c r="AB1529">
        <v>30</v>
      </c>
      <c r="AC1529">
        <v>-12.9496</v>
      </c>
      <c r="AD1529">
        <v>-1.1073282430172</v>
      </c>
      <c r="AE1529">
        <v>-2.0323000000000202</v>
      </c>
      <c r="AF1529">
        <v>7.1546585198574499</v>
      </c>
      <c r="AG1529">
        <v>-1.1073282430172</v>
      </c>
      <c r="AH1529">
        <v>10.872299514732401</v>
      </c>
      <c r="AI1529">
        <v>94.862983304883898</v>
      </c>
      <c r="AJ1529">
        <v>56.652562890652703</v>
      </c>
      <c r="AK1529">
        <v>13.062243724246001</v>
      </c>
      <c r="AL1529">
        <v>81.652592757778805</v>
      </c>
      <c r="AM1529">
        <v>69.502330344348394</v>
      </c>
      <c r="AN1529">
        <v>1.0000000174482</v>
      </c>
    </row>
    <row r="1530" spans="1:40" x14ac:dyDescent="0.25">
      <c r="A1530" t="str">
        <f>"20190303162809735"</f>
        <v>20190303162809735</v>
      </c>
      <c r="B1530" t="str">
        <f>"1551601689722740"</f>
        <v>1551601689722740</v>
      </c>
      <c r="C1530" t="s">
        <v>40</v>
      </c>
      <c r="D1530">
        <v>5.5499470000000004</v>
      </c>
      <c r="E1530">
        <v>0.59335170000000004</v>
      </c>
      <c r="F1530" t="s">
        <v>48</v>
      </c>
      <c r="G1530">
        <v>-213.03700000000001</v>
      </c>
      <c r="H1530" s="1">
        <v>7.9334059999999994E-8</v>
      </c>
      <c r="I1530">
        <v>284.66570000000002</v>
      </c>
      <c r="J1530">
        <v>-199.7148</v>
      </c>
      <c r="K1530">
        <v>1.107259</v>
      </c>
      <c r="L1530">
        <v>286.62209999999999</v>
      </c>
      <c r="M1530">
        <v>-0.75117519999999904</v>
      </c>
      <c r="N1530">
        <v>-1.3338310000000001E-2</v>
      </c>
      <c r="O1530">
        <v>-0.65996829999999995</v>
      </c>
      <c r="P1530">
        <v>-0.92201549999999999</v>
      </c>
      <c r="Q1530">
        <v>0.14659179999999999</v>
      </c>
      <c r="R1530">
        <v>-0.3583269</v>
      </c>
      <c r="S1530">
        <v>-3.1114959999999998</v>
      </c>
      <c r="T1530">
        <v>-0.25417650000000003</v>
      </c>
      <c r="U1530">
        <v>-0.49273679999999997</v>
      </c>
      <c r="V1530">
        <v>0.34437659999999998</v>
      </c>
      <c r="W1530">
        <v>0.1478023</v>
      </c>
      <c r="X1530">
        <v>0.92712419999999995</v>
      </c>
      <c r="Y1530">
        <v>0.53131459999999997</v>
      </c>
      <c r="Z1530">
        <v>6.4657119999999998E-2</v>
      </c>
      <c r="AA1530">
        <v>0.84470369999999995</v>
      </c>
      <c r="AB1530">
        <v>30</v>
      </c>
      <c r="AC1530">
        <v>-13.3222</v>
      </c>
      <c r="AD1530">
        <v>-1.10725892066594</v>
      </c>
      <c r="AE1530">
        <v>-1.9563999999999699</v>
      </c>
      <c r="AF1530">
        <v>7.2740931027515199</v>
      </c>
      <c r="AG1530">
        <v>-1.10725892066594</v>
      </c>
      <c r="AH1530">
        <v>11.223577313437</v>
      </c>
      <c r="AI1530">
        <v>94.732605559126199</v>
      </c>
      <c r="AJ1530">
        <v>57.052394475076198</v>
      </c>
      <c r="AK1530">
        <v>13.4204001615298</v>
      </c>
      <c r="AL1530">
        <v>81.5004121540847</v>
      </c>
      <c r="AM1530">
        <v>69.622685944259999</v>
      </c>
      <c r="AN1530">
        <v>1.00000002236924</v>
      </c>
    </row>
    <row r="1531" spans="1:40" x14ac:dyDescent="0.25">
      <c r="A1531" t="str">
        <f>"20190303162809759"</f>
        <v>20190303162809759</v>
      </c>
      <c r="B1531" t="str">
        <f>"1551601689752994"</f>
        <v>1551601689752994</v>
      </c>
      <c r="C1531" t="s">
        <v>40</v>
      </c>
      <c r="D1531">
        <v>5.4720849999999999</v>
      </c>
      <c r="E1531">
        <v>0.59292019999999901</v>
      </c>
      <c r="F1531" t="s">
        <v>48</v>
      </c>
      <c r="G1531">
        <v>-213.62200000000001</v>
      </c>
      <c r="H1531" s="1">
        <v>3.9064190000000002E-7</v>
      </c>
      <c r="I1531">
        <v>284.59640000000002</v>
      </c>
      <c r="J1531">
        <v>-199.97890000000001</v>
      </c>
      <c r="K1531">
        <v>1.107191</v>
      </c>
      <c r="L1531">
        <v>286.41419999999999</v>
      </c>
      <c r="M1531">
        <v>-0.76349719999999999</v>
      </c>
      <c r="N1531">
        <v>-1.336562E-2</v>
      </c>
      <c r="O1531">
        <v>-0.64567319999999995</v>
      </c>
      <c r="P1531">
        <v>-0.92841580000000001</v>
      </c>
      <c r="Q1531">
        <v>0.14702760000000001</v>
      </c>
      <c r="R1531">
        <v>-0.34121449999999998</v>
      </c>
      <c r="S1531">
        <v>-3.1167760000000002</v>
      </c>
      <c r="T1531">
        <v>-0.2481506</v>
      </c>
      <c r="U1531">
        <v>-0.45397949999999998</v>
      </c>
      <c r="V1531">
        <v>0.34401979999999999</v>
      </c>
      <c r="W1531">
        <v>0.148217299999999</v>
      </c>
      <c r="X1531">
        <v>0.92719039999999997</v>
      </c>
      <c r="Y1531">
        <v>0.52601399999999998</v>
      </c>
      <c r="Z1531">
        <v>6.2147000000000001E-2</v>
      </c>
      <c r="AA1531">
        <v>0.84820219999999902</v>
      </c>
      <c r="AB1531">
        <v>30</v>
      </c>
      <c r="AC1531">
        <v>-13.6431</v>
      </c>
      <c r="AD1531">
        <v>-1.1071906093581001</v>
      </c>
      <c r="AE1531">
        <v>-1.8177999999999701</v>
      </c>
      <c r="AF1531">
        <v>7.3740419550394298</v>
      </c>
      <c r="AG1531">
        <v>-1.1071906093581001</v>
      </c>
      <c r="AH1531">
        <v>11.516680599334</v>
      </c>
      <c r="AI1531">
        <v>94.628772679847799</v>
      </c>
      <c r="AJ1531">
        <v>57.368877274138399</v>
      </c>
      <c r="AK1531">
        <v>13.7199233899905</v>
      </c>
      <c r="AL1531">
        <v>81.476369529679204</v>
      </c>
      <c r="AM1531">
        <v>69.643399247289807</v>
      </c>
      <c r="AN1531">
        <v>1.00000001433174</v>
      </c>
    </row>
    <row r="1532" spans="1:40" x14ac:dyDescent="0.25">
      <c r="A1532" t="str">
        <f>"20190303162809780"</f>
        <v>20190303162809780</v>
      </c>
      <c r="B1532" t="str">
        <f>"1551601689772514"</f>
        <v>1551601689772514</v>
      </c>
      <c r="C1532" t="s">
        <v>40</v>
      </c>
      <c r="D1532">
        <v>5.5873650000000001</v>
      </c>
      <c r="E1532">
        <v>0.59202860000000002</v>
      </c>
      <c r="F1532" t="s">
        <v>48</v>
      </c>
      <c r="G1532">
        <v>-214.30690000000001</v>
      </c>
      <c r="H1532" s="1">
        <v>7.5512619999999899E-7</v>
      </c>
      <c r="I1532">
        <v>284.57690000000002</v>
      </c>
      <c r="J1532">
        <v>-200.1996</v>
      </c>
      <c r="K1532">
        <v>1.1071329999999999</v>
      </c>
      <c r="L1532">
        <v>286.24669999999998</v>
      </c>
      <c r="M1532">
        <v>-0.77348660000000002</v>
      </c>
      <c r="N1532">
        <v>-1.3388479999999999E-2</v>
      </c>
      <c r="O1532">
        <v>-0.63367130000000005</v>
      </c>
      <c r="P1532">
        <v>-0.93357250000000003</v>
      </c>
      <c r="Q1532">
        <v>0.1462234</v>
      </c>
      <c r="R1532">
        <v>-0.32720199999999999</v>
      </c>
      <c r="S1532">
        <v>-3.1223749999999999</v>
      </c>
      <c r="T1532">
        <v>-0.24127970000000001</v>
      </c>
      <c r="U1532">
        <v>-0.40039059999999999</v>
      </c>
      <c r="V1532">
        <v>0.34357070000000001</v>
      </c>
      <c r="W1532">
        <v>0.147403799999999</v>
      </c>
      <c r="X1532">
        <v>0.92748649999999999</v>
      </c>
      <c r="Y1532">
        <v>0.52743289999999998</v>
      </c>
      <c r="Z1532">
        <v>5.9861419999999999E-2</v>
      </c>
      <c r="AA1532">
        <v>0.84748519999999905</v>
      </c>
      <c r="AB1532">
        <v>30</v>
      </c>
      <c r="AC1532">
        <v>-14.1073</v>
      </c>
      <c r="AD1532">
        <v>-1.1071322448737999</v>
      </c>
      <c r="AE1532">
        <v>-1.66979999999995</v>
      </c>
      <c r="AF1532">
        <v>7.6023324589412002</v>
      </c>
      <c r="AG1532">
        <v>-1.1071322448737999</v>
      </c>
      <c r="AH1532">
        <v>11.898712474234101</v>
      </c>
      <c r="AI1532">
        <v>94.4833158843158</v>
      </c>
      <c r="AJ1532">
        <v>57.4246528127453</v>
      </c>
      <c r="AK1532">
        <v>14.1633526810711</v>
      </c>
      <c r="AL1532">
        <v>81.523496822812504</v>
      </c>
      <c r="AM1532">
        <v>69.673756932429299</v>
      </c>
      <c r="AN1532">
        <v>0.99999995691758903</v>
      </c>
    </row>
    <row r="1533" spans="1:40" x14ac:dyDescent="0.25">
      <c r="A1533" t="str">
        <f>"20190303162809800"</f>
        <v>20190303162809800</v>
      </c>
      <c r="B1533" t="str">
        <f>"1551601689793010"</f>
        <v>1551601689793010</v>
      </c>
      <c r="C1533" t="s">
        <v>40</v>
      </c>
      <c r="D1533">
        <v>5.3816949999999997</v>
      </c>
      <c r="E1533">
        <v>0.59158509999999997</v>
      </c>
      <c r="F1533" t="s">
        <v>48</v>
      </c>
      <c r="G1533">
        <v>-214.47730000000001</v>
      </c>
      <c r="H1533" s="1">
        <v>8.4580709999999898E-7</v>
      </c>
      <c r="I1533">
        <v>284.62020000000001</v>
      </c>
      <c r="J1533">
        <v>-200.4324</v>
      </c>
      <c r="K1533">
        <v>1.107075</v>
      </c>
      <c r="L1533">
        <v>286.07580000000002</v>
      </c>
      <c r="M1533">
        <v>-0.78372810000000004</v>
      </c>
      <c r="N1533">
        <v>-1.3411620000000001E-2</v>
      </c>
      <c r="O1533">
        <v>-0.6209595</v>
      </c>
      <c r="P1533">
        <v>-0.93808329999999995</v>
      </c>
      <c r="Q1533">
        <v>0.14655460000000001</v>
      </c>
      <c r="R1533">
        <v>-0.31388169999999999</v>
      </c>
      <c r="S1533">
        <v>-3.1265869999999998</v>
      </c>
      <c r="T1533">
        <v>-0.24244399999999999</v>
      </c>
      <c r="U1533">
        <v>-0.35617070000000001</v>
      </c>
      <c r="V1533">
        <v>0.34162629999999999</v>
      </c>
      <c r="W1533">
        <v>0.14778250000000001</v>
      </c>
      <c r="X1533">
        <v>0.92814430000000003</v>
      </c>
      <c r="Y1533">
        <v>0.52552929999999998</v>
      </c>
      <c r="Z1533">
        <v>5.9562259999999999E-2</v>
      </c>
      <c r="AA1533">
        <v>0.848687999999999</v>
      </c>
      <c r="AB1533">
        <v>30</v>
      </c>
      <c r="AC1533">
        <v>-14.0449</v>
      </c>
      <c r="AD1533">
        <v>-1.1070741541928999</v>
      </c>
      <c r="AE1533">
        <v>-1.4556</v>
      </c>
      <c r="AF1533">
        <v>7.5348818420084598</v>
      </c>
      <c r="AG1533">
        <v>-1.1070741541928999</v>
      </c>
      <c r="AH1533">
        <v>11.8395411651135</v>
      </c>
      <c r="AI1533">
        <v>94.510490850159798</v>
      </c>
      <c r="AJ1533">
        <v>57.526643339217401</v>
      </c>
      <c r="AK1533">
        <v>14.0774568923626</v>
      </c>
      <c r="AL1533">
        <v>81.501559177177498</v>
      </c>
      <c r="AM1533">
        <v>69.792622738062605</v>
      </c>
      <c r="AN1533">
        <v>1.0000000188902101</v>
      </c>
    </row>
    <row r="1534" spans="1:40" x14ac:dyDescent="0.25">
      <c r="A1534" t="str">
        <f>"20190303162809825"</f>
        <v>20190303162809825</v>
      </c>
      <c r="B1534" t="str">
        <f>"1551601689812531"</f>
        <v>1551601689812531</v>
      </c>
      <c r="C1534" t="s">
        <v>40</v>
      </c>
      <c r="D1534">
        <v>5.32104</v>
      </c>
      <c r="E1534">
        <v>0.59096340000000003</v>
      </c>
      <c r="F1534" t="s">
        <v>48</v>
      </c>
      <c r="G1534">
        <v>-215.23820000000001</v>
      </c>
      <c r="H1534" s="1">
        <v>1.2507120000000001E-6</v>
      </c>
      <c r="I1534">
        <v>284.60489999999999</v>
      </c>
      <c r="J1534">
        <v>-200.68860000000001</v>
      </c>
      <c r="K1534">
        <v>1.1070230000000001</v>
      </c>
      <c r="L1534">
        <v>285.89449999999999</v>
      </c>
      <c r="M1534">
        <v>-0.79464990000000002</v>
      </c>
      <c r="N1534">
        <v>-1.343485E-2</v>
      </c>
      <c r="O1534">
        <v>-0.60691930000000005</v>
      </c>
      <c r="P1534">
        <v>-0.94308040000000004</v>
      </c>
      <c r="Q1534">
        <v>0.1472118</v>
      </c>
      <c r="R1534">
        <v>-0.29820809999999998</v>
      </c>
      <c r="S1534">
        <v>-3.1305390000000002</v>
      </c>
      <c r="T1534">
        <v>-0.23408029999999999</v>
      </c>
      <c r="U1534">
        <v>-0.31100460000000002</v>
      </c>
      <c r="V1534">
        <v>0.34055839999999998</v>
      </c>
      <c r="W1534">
        <v>0.14845639999999999</v>
      </c>
      <c r="X1534">
        <v>0.92842919999999995</v>
      </c>
      <c r="Y1534">
        <v>0.52286149999999998</v>
      </c>
      <c r="Z1534">
        <v>5.6637689999999997E-2</v>
      </c>
      <c r="AA1534">
        <v>0.85053400000000001</v>
      </c>
      <c r="AB1534">
        <v>30</v>
      </c>
      <c r="AC1534">
        <v>-14.5495999999999</v>
      </c>
      <c r="AD1534">
        <v>-1.1070217492879999</v>
      </c>
      <c r="AE1534">
        <v>-1.2896000000000001</v>
      </c>
      <c r="AF1534">
        <v>7.7617737464177896</v>
      </c>
      <c r="AG1534">
        <v>-1.1070217492879999</v>
      </c>
      <c r="AH1534">
        <v>12.2751276725082</v>
      </c>
      <c r="AI1534">
        <v>94.358899992028896</v>
      </c>
      <c r="AJ1534">
        <v>57.694130476229901</v>
      </c>
      <c r="AK1534">
        <v>14.565348887697599</v>
      </c>
      <c r="AL1534">
        <v>81.462517187617195</v>
      </c>
      <c r="AM1534">
        <v>69.8563878691875</v>
      </c>
      <c r="AN1534">
        <v>1.0000000529620701</v>
      </c>
    </row>
    <row r="1535" spans="1:40" x14ac:dyDescent="0.25">
      <c r="A1535" t="str">
        <f>"20190303162809846"</f>
        <v>20190303162809846</v>
      </c>
      <c r="B1535" t="str">
        <f>"1551601689833026"</f>
        <v>1551601689833026</v>
      </c>
      <c r="C1535" t="s">
        <v>40</v>
      </c>
      <c r="D1535">
        <v>5.3066019999999998</v>
      </c>
      <c r="E1535">
        <v>0.59024200000000004</v>
      </c>
      <c r="F1535" t="s">
        <v>48</v>
      </c>
      <c r="G1535">
        <v>-215.83799999999999</v>
      </c>
      <c r="H1535" s="1">
        <v>1.56993E-6</v>
      </c>
      <c r="I1535">
        <v>284.6232</v>
      </c>
      <c r="J1535">
        <v>-200.9349</v>
      </c>
      <c r="K1535">
        <v>1.106976</v>
      </c>
      <c r="L1535">
        <v>285.72680000000003</v>
      </c>
      <c r="M1535">
        <v>-0.80481309999999995</v>
      </c>
      <c r="N1535">
        <v>-1.345469E-2</v>
      </c>
      <c r="O1535">
        <v>-0.59337600000000001</v>
      </c>
      <c r="P1535">
        <v>-0.94801239999999998</v>
      </c>
      <c r="Q1535">
        <v>0.1466943</v>
      </c>
      <c r="R1535">
        <v>-0.2824062</v>
      </c>
      <c r="S1535">
        <v>-3.1336520000000001</v>
      </c>
      <c r="T1535">
        <v>-0.2289861</v>
      </c>
      <c r="U1535">
        <v>-0.26296999999999998</v>
      </c>
      <c r="V1535">
        <v>0.34039849999999999</v>
      </c>
      <c r="W1535">
        <v>0.1479287</v>
      </c>
      <c r="X1535">
        <v>0.92857199999999995</v>
      </c>
      <c r="Y1535">
        <v>0.52158959999999999</v>
      </c>
      <c r="Z1535">
        <v>5.4703469999999997E-2</v>
      </c>
      <c r="AA1535">
        <v>0.851441</v>
      </c>
      <c r="AB1535">
        <v>30</v>
      </c>
      <c r="AC1535">
        <v>-14.903099999999901</v>
      </c>
      <c r="AD1535">
        <v>-1.10697443007</v>
      </c>
      <c r="AE1535">
        <v>-1.1036000000000199</v>
      </c>
      <c r="AF1535">
        <v>7.91225360796538</v>
      </c>
      <c r="AG1535">
        <v>-1.10697443007</v>
      </c>
      <c r="AH1535">
        <v>12.581168697734199</v>
      </c>
      <c r="AI1535">
        <v>94.259625908634007</v>
      </c>
      <c r="AJ1535">
        <v>57.834354262897698</v>
      </c>
      <c r="AK1535">
        <v>14.903521575333601</v>
      </c>
      <c r="AL1535">
        <v>81.493089273873096</v>
      </c>
      <c r="AM1535">
        <v>69.867933714044497</v>
      </c>
      <c r="AN1535">
        <v>0.99999999913496995</v>
      </c>
    </row>
    <row r="1536" spans="1:40" x14ac:dyDescent="0.25">
      <c r="A1536" t="str">
        <f>"20190303162809866"</f>
        <v>20190303162809866</v>
      </c>
      <c r="B1536" t="str">
        <f>"1551601689852546"</f>
        <v>1551601689852546</v>
      </c>
      <c r="C1536" t="s">
        <v>40</v>
      </c>
      <c r="D1536">
        <v>5.2254480000000001</v>
      </c>
      <c r="E1536">
        <v>0.58942490000000003</v>
      </c>
      <c r="F1536" t="s">
        <v>48</v>
      </c>
      <c r="G1536">
        <v>-216.1131</v>
      </c>
      <c r="H1536" s="1">
        <v>1.716271E-6</v>
      </c>
      <c r="I1536">
        <v>284.68119999999999</v>
      </c>
      <c r="J1536">
        <v>-201.16569999999999</v>
      </c>
      <c r="K1536">
        <v>1.106938</v>
      </c>
      <c r="L1536">
        <v>285.57499999999999</v>
      </c>
      <c r="M1536">
        <v>-0.81404319999999997</v>
      </c>
      <c r="N1536">
        <v>-1.3471159999999999E-2</v>
      </c>
      <c r="O1536">
        <v>-0.58064859999999996</v>
      </c>
      <c r="P1536">
        <v>-0.95200600000000002</v>
      </c>
      <c r="Q1536">
        <v>0.1450774</v>
      </c>
      <c r="R1536">
        <v>-0.26951350000000002</v>
      </c>
      <c r="S1536">
        <v>-3.1355439999999999</v>
      </c>
      <c r="T1536">
        <v>-0.22868179999999999</v>
      </c>
      <c r="U1536">
        <v>-0.21600340000000001</v>
      </c>
      <c r="V1536">
        <v>0.33850000000000002</v>
      </c>
      <c r="W1536">
        <v>0.14637510000000001</v>
      </c>
      <c r="X1536">
        <v>0.92951170000000005</v>
      </c>
      <c r="Y1536">
        <v>0.52093310000000004</v>
      </c>
      <c r="Z1536">
        <v>5.4092719999999997E-2</v>
      </c>
      <c r="AA1536">
        <v>0.85188189999999997</v>
      </c>
      <c r="AB1536">
        <v>30</v>
      </c>
      <c r="AC1536">
        <v>-14.9474</v>
      </c>
      <c r="AD1536">
        <v>-1.106936283729</v>
      </c>
      <c r="AE1536">
        <v>-0.89379999999999804</v>
      </c>
      <c r="AF1536">
        <v>7.9090937020902103</v>
      </c>
      <c r="AG1536">
        <v>-1.106936283729</v>
      </c>
      <c r="AH1536">
        <v>12.6190018810761</v>
      </c>
      <c r="AI1536">
        <v>94.250827801548397</v>
      </c>
      <c r="AJ1536">
        <v>57.9221332265965</v>
      </c>
      <c r="AK1536">
        <v>14.9337965567795</v>
      </c>
      <c r="AL1536">
        <v>81.583083364158597</v>
      </c>
      <c r="AM1536">
        <v>69.989908821295202</v>
      </c>
      <c r="AN1536">
        <v>0.99999996016844905</v>
      </c>
    </row>
    <row r="1537" spans="1:40" x14ac:dyDescent="0.25">
      <c r="A1537" t="str">
        <f>"20190303162809888"</f>
        <v>20190303162809888</v>
      </c>
      <c r="B1537" t="str">
        <f>"1551601689882802"</f>
        <v>1551601689882802</v>
      </c>
      <c r="C1537" t="s">
        <v>40</v>
      </c>
      <c r="D1537">
        <v>5.225943</v>
      </c>
      <c r="E1537">
        <v>0.58824989999999999</v>
      </c>
      <c r="F1537" t="s">
        <v>48</v>
      </c>
      <c r="G1537">
        <v>-216.26519999999999</v>
      </c>
      <c r="H1537" s="1">
        <v>1.79725599999999E-6</v>
      </c>
      <c r="I1537">
        <v>284.72129999999999</v>
      </c>
      <c r="J1537">
        <v>-201.4255</v>
      </c>
      <c r="K1537">
        <v>1.1069100000000001</v>
      </c>
      <c r="L1537">
        <v>285.41039999999998</v>
      </c>
      <c r="M1537">
        <v>-0.82409909999999997</v>
      </c>
      <c r="N1537">
        <v>-1.348738E-2</v>
      </c>
      <c r="O1537">
        <v>-0.56628509999999999</v>
      </c>
      <c r="P1537">
        <v>-0.95552230000000005</v>
      </c>
      <c r="Q1537">
        <v>0.145822799999999</v>
      </c>
      <c r="R1537">
        <v>-0.25634499999999999</v>
      </c>
      <c r="S1537">
        <v>-3.136063</v>
      </c>
      <c r="T1537">
        <v>-0.22990189999999999</v>
      </c>
      <c r="U1537">
        <v>-0.1773071</v>
      </c>
      <c r="V1537">
        <v>0.33499719999999999</v>
      </c>
      <c r="W1537">
        <v>0.14724479999999901</v>
      </c>
      <c r="X1537">
        <v>0.93064270000000004</v>
      </c>
      <c r="Y1537">
        <v>0.51645620000000003</v>
      </c>
      <c r="Z1537">
        <v>5.3623759999999999E-2</v>
      </c>
      <c r="AA1537">
        <v>0.85463289999999903</v>
      </c>
      <c r="AB1537">
        <v>30</v>
      </c>
      <c r="AC1537">
        <v>-14.839699999999899</v>
      </c>
      <c r="AD1537">
        <v>-1.106908202744</v>
      </c>
      <c r="AE1537">
        <v>-0.68909999999999605</v>
      </c>
      <c r="AF1537">
        <v>7.7930610107613498</v>
      </c>
      <c r="AG1537">
        <v>-1.106908202744</v>
      </c>
      <c r="AH1537">
        <v>12.5510764699224</v>
      </c>
      <c r="AI1537">
        <v>94.284845410685904</v>
      </c>
      <c r="AJ1537">
        <v>58.163532464645101</v>
      </c>
      <c r="AK1537">
        <v>14.8150790156715</v>
      </c>
      <c r="AL1537">
        <v>81.532707680935403</v>
      </c>
      <c r="AM1537">
        <v>70.202986120481199</v>
      </c>
      <c r="AN1537">
        <v>0.99999999509908499</v>
      </c>
    </row>
    <row r="1538" spans="1:40" x14ac:dyDescent="0.25">
      <c r="A1538" t="str">
        <f>"20190303162809911"</f>
        <v>20190303162809911</v>
      </c>
      <c r="B1538" t="str">
        <f>"1551601689903300"</f>
        <v>1551601689903300</v>
      </c>
      <c r="C1538" t="s">
        <v>40</v>
      </c>
      <c r="D1538">
        <v>5.221419</v>
      </c>
      <c r="E1538">
        <v>0.58734449999999905</v>
      </c>
      <c r="F1538" t="s">
        <v>48</v>
      </c>
      <c r="G1538">
        <v>-216.98339999999999</v>
      </c>
      <c r="H1538" s="1">
        <v>2.179443E-6</v>
      </c>
      <c r="I1538">
        <v>284.71179999999998</v>
      </c>
      <c r="J1538">
        <v>-201.6833</v>
      </c>
      <c r="K1538">
        <v>1.106892</v>
      </c>
      <c r="L1538">
        <v>285.25310000000002</v>
      </c>
      <c r="M1538">
        <v>-0.83373829999999904</v>
      </c>
      <c r="N1538">
        <v>-1.3501499999999901E-2</v>
      </c>
      <c r="O1538">
        <v>-0.55199489999999996</v>
      </c>
      <c r="P1538">
        <v>-0.95862340000000001</v>
      </c>
      <c r="Q1538">
        <v>0.1492473</v>
      </c>
      <c r="R1538">
        <v>-0.2424182</v>
      </c>
      <c r="S1538">
        <v>-3.13591</v>
      </c>
      <c r="T1538">
        <v>-0.2231117</v>
      </c>
      <c r="U1538">
        <v>-0.14080809999999999</v>
      </c>
      <c r="V1538">
        <v>0.33232030000000001</v>
      </c>
      <c r="W1538">
        <v>0.1507609</v>
      </c>
      <c r="X1538">
        <v>0.93103939999999996</v>
      </c>
      <c r="Y1538">
        <v>0.51179949999999996</v>
      </c>
      <c r="Z1538">
        <v>5.114051E-2</v>
      </c>
      <c r="AA1538">
        <v>0.85758140000000005</v>
      </c>
      <c r="AB1538">
        <v>30</v>
      </c>
      <c r="AC1538">
        <v>-15.300099999999899</v>
      </c>
      <c r="AD1538">
        <v>-1.1068898205569999</v>
      </c>
      <c r="AE1538">
        <v>-0.54130000000003498</v>
      </c>
      <c r="AF1538">
        <v>7.9534276046366301</v>
      </c>
      <c r="AG1538">
        <v>-1.1068898205569999</v>
      </c>
      <c r="AH1538">
        <v>12.988368849442899</v>
      </c>
      <c r="AI1538">
        <v>94.156832146029998</v>
      </c>
      <c r="AJ1538">
        <v>58.518780985337898</v>
      </c>
      <c r="AK1538">
        <v>15.2702305518361</v>
      </c>
      <c r="AL1538">
        <v>81.328975588523704</v>
      </c>
      <c r="AM1538">
        <v>70.356752314405497</v>
      </c>
      <c r="AN1538">
        <v>0.99999999755662905</v>
      </c>
    </row>
    <row r="1539" spans="1:40" x14ac:dyDescent="0.25">
      <c r="A1539" t="str">
        <f>"20190303162809933"</f>
        <v>20190303162809933</v>
      </c>
      <c r="B1539" t="str">
        <f>"1551601689922819"</f>
        <v>1551601689922819</v>
      </c>
      <c r="C1539" t="s">
        <v>40</v>
      </c>
      <c r="D1539">
        <v>5.1856339999999896</v>
      </c>
      <c r="E1539">
        <v>0.58686709999999997</v>
      </c>
      <c r="F1539" t="s">
        <v>48</v>
      </c>
      <c r="G1539">
        <v>-218.0453</v>
      </c>
      <c r="H1539" s="1">
        <v>2.744549E-6</v>
      </c>
      <c r="I1539">
        <v>284.71690000000001</v>
      </c>
      <c r="J1539">
        <v>-201.94880000000001</v>
      </c>
      <c r="K1539">
        <v>1.106873</v>
      </c>
      <c r="L1539">
        <v>285.09750000000003</v>
      </c>
      <c r="M1539">
        <v>-0.84331369999999894</v>
      </c>
      <c r="N1539">
        <v>-1.3514419999999999E-2</v>
      </c>
      <c r="O1539">
        <v>-0.53725179999999995</v>
      </c>
      <c r="P1539">
        <v>-0.96221310000000004</v>
      </c>
      <c r="Q1539">
        <v>0.15089430000000001</v>
      </c>
      <c r="R1539">
        <v>-0.2266658</v>
      </c>
      <c r="S1539">
        <v>-3.1365050000000001</v>
      </c>
      <c r="T1539">
        <v>-0.21218409999999999</v>
      </c>
      <c r="U1539">
        <v>-0.10278320000000001</v>
      </c>
      <c r="V1539">
        <v>0.33114270000000001</v>
      </c>
      <c r="W1539">
        <v>0.1524469</v>
      </c>
      <c r="X1539">
        <v>0.93118440000000002</v>
      </c>
      <c r="Y1539">
        <v>0.50734679999999999</v>
      </c>
      <c r="Z1539">
        <v>4.766608E-2</v>
      </c>
      <c r="AA1539">
        <v>0.86042269999999899</v>
      </c>
      <c r="AB1539">
        <v>30</v>
      </c>
      <c r="AC1539">
        <v>-16.096499999999899</v>
      </c>
      <c r="AD1539">
        <v>-1.1068702554509999</v>
      </c>
      <c r="AE1539">
        <v>-0.38060000000001498</v>
      </c>
      <c r="AF1539">
        <v>8.2884974629318595</v>
      </c>
      <c r="AG1539">
        <v>-1.1068702554509999</v>
      </c>
      <c r="AH1539">
        <v>13.715316846070101</v>
      </c>
      <c r="AI1539">
        <v>93.951162871115201</v>
      </c>
      <c r="AJ1539">
        <v>58.8544169360297</v>
      </c>
      <c r="AK1539">
        <v>16.063445089504398</v>
      </c>
      <c r="AL1539">
        <v>81.231244979192994</v>
      </c>
      <c r="AM1539">
        <v>70.423874617519104</v>
      </c>
      <c r="AN1539">
        <v>0.99999996594312901</v>
      </c>
    </row>
    <row r="1540" spans="1:40" x14ac:dyDescent="0.25">
      <c r="A1540" t="str">
        <f>"20190303162809957"</f>
        <v>20190303162809957</v>
      </c>
      <c r="B1540" t="str">
        <f>"1551601689953075"</f>
        <v>1551601689953075</v>
      </c>
      <c r="C1540" t="s">
        <v>40</v>
      </c>
      <c r="D1540">
        <v>5.1806720000000004</v>
      </c>
      <c r="E1540">
        <v>0.56430859999999905</v>
      </c>
      <c r="F1540" t="s">
        <v>48</v>
      </c>
      <c r="G1540">
        <v>-218.74600000000001</v>
      </c>
      <c r="H1540" s="1">
        <v>3.1173970000000001E-6</v>
      </c>
      <c r="I1540">
        <v>284.8039</v>
      </c>
      <c r="J1540">
        <v>-202.2321</v>
      </c>
      <c r="K1540">
        <v>1.1068559999999901</v>
      </c>
      <c r="L1540">
        <v>284.93799999999999</v>
      </c>
      <c r="M1540">
        <v>-0.85315529999999995</v>
      </c>
      <c r="N1540">
        <v>-1.352662E-2</v>
      </c>
      <c r="O1540">
        <v>-0.52148159999999999</v>
      </c>
      <c r="P1540">
        <v>-0.96575270000000002</v>
      </c>
      <c r="Q1540">
        <v>0.1496335</v>
      </c>
      <c r="R1540">
        <v>-0.2119712</v>
      </c>
      <c r="S1540">
        <v>-3.1373289999999998</v>
      </c>
      <c r="T1540">
        <v>-0.20673739999999999</v>
      </c>
      <c r="U1540">
        <v>-5.4840090000000001E-2</v>
      </c>
      <c r="V1540">
        <v>0.32808720000000002</v>
      </c>
      <c r="W1540">
        <v>0.15130160000000001</v>
      </c>
      <c r="X1540">
        <v>0.93245199999999995</v>
      </c>
      <c r="Y1540">
        <v>0.50461629999999902</v>
      </c>
      <c r="Z1540">
        <v>4.5614399999999999E-2</v>
      </c>
      <c r="AA1540">
        <v>0.86213790000000001</v>
      </c>
      <c r="AB1540">
        <v>30</v>
      </c>
      <c r="AC1540">
        <v>-16.5138999999999</v>
      </c>
      <c r="AD1540">
        <v>-1.10685288260299</v>
      </c>
      <c r="AE1540">
        <v>-0.13409999999998901</v>
      </c>
      <c r="AF1540">
        <v>8.4600607175887799</v>
      </c>
      <c r="AG1540">
        <v>-1.10685288260299</v>
      </c>
      <c r="AH1540">
        <v>14.096822831893199</v>
      </c>
      <c r="AI1540">
        <v>93.851591576742393</v>
      </c>
      <c r="AJ1540">
        <v>59.030365270333</v>
      </c>
      <c r="AK1540">
        <v>16.477808246329399</v>
      </c>
      <c r="AL1540">
        <v>81.297636801984893</v>
      </c>
      <c r="AM1540">
        <v>70.615362005542295</v>
      </c>
      <c r="AN1540">
        <v>1.00000005863519</v>
      </c>
    </row>
    <row r="1541" spans="1:40" x14ac:dyDescent="0.25">
      <c r="A1541" t="str">
        <f>"20190303162809979"</f>
        <v>20190303162809979</v>
      </c>
      <c r="B1541" t="str">
        <f>"1551601689973571"</f>
        <v>1551601689973571</v>
      </c>
      <c r="C1541" t="s">
        <v>40</v>
      </c>
      <c r="D1541">
        <v>5.1817929999999999</v>
      </c>
      <c r="E1541">
        <v>0.56277559999999904</v>
      </c>
      <c r="F1541" t="s">
        <v>48</v>
      </c>
      <c r="G1541">
        <v>-218.2852</v>
      </c>
      <c r="H1541" s="1">
        <v>2.8722019999999998E-6</v>
      </c>
      <c r="I1541">
        <v>283.99849999999998</v>
      </c>
      <c r="J1541">
        <v>-202.48670000000001</v>
      </c>
      <c r="K1541">
        <v>1.106838</v>
      </c>
      <c r="L1541">
        <v>284.8005</v>
      </c>
      <c r="M1541">
        <v>-0.86166699999999996</v>
      </c>
      <c r="N1541">
        <v>-1.353614E-2</v>
      </c>
      <c r="O1541">
        <v>-0.50729360000000001</v>
      </c>
      <c r="P1541">
        <v>-0.96826109999999999</v>
      </c>
      <c r="Q1541">
        <v>0.14871579999999901</v>
      </c>
      <c r="R1541">
        <v>-0.20088439999999999</v>
      </c>
      <c r="S1541">
        <v>-3.0996700000000001</v>
      </c>
      <c r="T1541">
        <v>-0.21372060000000001</v>
      </c>
      <c r="U1541">
        <v>-0.18139649999999999</v>
      </c>
      <c r="V1541">
        <v>0.32338430000000001</v>
      </c>
      <c r="W1541">
        <v>0.1505629</v>
      </c>
      <c r="X1541">
        <v>0.93421270000000001</v>
      </c>
      <c r="Y1541">
        <v>0.45418730000000002</v>
      </c>
      <c r="Z1541">
        <v>4.5053749999999997E-2</v>
      </c>
      <c r="AA1541">
        <v>0.88976630000000001</v>
      </c>
      <c r="AB1541">
        <v>30</v>
      </c>
      <c r="AC1541">
        <v>-15.798499999999899</v>
      </c>
      <c r="AD1541">
        <v>-1.106835127798</v>
      </c>
      <c r="AE1541">
        <v>-0.80200000000002003</v>
      </c>
      <c r="AF1541">
        <v>7.2884098653202001</v>
      </c>
      <c r="AG1541">
        <v>-1.106835127798</v>
      </c>
      <c r="AH1541">
        <v>13.9528705342707</v>
      </c>
      <c r="AI1541">
        <v>94.021959378395806</v>
      </c>
      <c r="AJ1541">
        <v>62.419271221528803</v>
      </c>
      <c r="AK1541">
        <v>15.7806399905436</v>
      </c>
      <c r="AL1541">
        <v>81.340450994326005</v>
      </c>
      <c r="AM1541">
        <v>70.906344748605406</v>
      </c>
      <c r="AN1541">
        <v>0.99999998059209405</v>
      </c>
    </row>
    <row r="1542" spans="1:40" x14ac:dyDescent="0.25">
      <c r="A1542" t="str">
        <f>"20190303162810000"</f>
        <v>20190303162810000</v>
      </c>
      <c r="B1542" t="str">
        <f>"1551601689993090"</f>
        <v>1551601689993090</v>
      </c>
      <c r="C1542" t="s">
        <v>40</v>
      </c>
      <c r="D1542">
        <v>5.1411290000000003</v>
      </c>
      <c r="E1542">
        <v>0.56143809999999905</v>
      </c>
      <c r="F1542" t="s">
        <v>48</v>
      </c>
      <c r="G1542">
        <v>-218.03139999999999</v>
      </c>
      <c r="H1542" s="1">
        <v>2.7371309999999998E-6</v>
      </c>
      <c r="I1542">
        <v>284.01979999999998</v>
      </c>
      <c r="J1542">
        <v>-202.75229999999999</v>
      </c>
      <c r="K1542">
        <v>1.1068169999999999</v>
      </c>
      <c r="L1542">
        <v>284.6628</v>
      </c>
      <c r="M1542">
        <v>-0.87022579999999905</v>
      </c>
      <c r="N1542">
        <v>-1.354499E-2</v>
      </c>
      <c r="O1542">
        <v>-0.49246689999999999</v>
      </c>
      <c r="P1542">
        <v>-0.97057939999999998</v>
      </c>
      <c r="Q1542">
        <v>0.1497348</v>
      </c>
      <c r="R1542">
        <v>-0.18856210000000001</v>
      </c>
      <c r="S1542">
        <v>-3.099945</v>
      </c>
      <c r="T1542">
        <v>-0.22072639999999999</v>
      </c>
      <c r="U1542">
        <v>-0.1557007</v>
      </c>
      <c r="V1542">
        <v>0.31921640000000001</v>
      </c>
      <c r="W1542">
        <v>0.1517376</v>
      </c>
      <c r="X1542">
        <v>0.93545529999999999</v>
      </c>
      <c r="Y1542">
        <v>0.446191</v>
      </c>
      <c r="Z1542">
        <v>4.5649460000000003E-2</v>
      </c>
      <c r="AA1542">
        <v>0.89377269999999898</v>
      </c>
      <c r="AB1542">
        <v>30</v>
      </c>
      <c r="AC1542">
        <v>-15.2791</v>
      </c>
      <c r="AD1542">
        <v>-1.1068142628690001</v>
      </c>
      <c r="AE1542">
        <v>-0.64300000000002899</v>
      </c>
      <c r="AF1542">
        <v>6.9292376072452004</v>
      </c>
      <c r="AG1542">
        <v>-1.1068142628690001</v>
      </c>
      <c r="AH1542">
        <v>13.543229080104201</v>
      </c>
      <c r="AI1542">
        <v>94.161212043362795</v>
      </c>
      <c r="AJ1542">
        <v>62.903965830908199</v>
      </c>
      <c r="AK1542">
        <v>15.2531447756301</v>
      </c>
      <c r="AL1542">
        <v>81.272363656168594</v>
      </c>
      <c r="AM1542">
        <v>71.158216447492507</v>
      </c>
      <c r="AN1542">
        <v>1.0000000137903999</v>
      </c>
    </row>
    <row r="1543" spans="1:40" x14ac:dyDescent="0.25">
      <c r="A1543" t="str">
        <f>"20190303162810023"</f>
        <v>20190303162810023</v>
      </c>
      <c r="B1543" t="str">
        <f>"1551601690013587"</f>
        <v>1551601690013587</v>
      </c>
      <c r="C1543" t="s">
        <v>40</v>
      </c>
      <c r="D1543">
        <v>5.1293540000000002</v>
      </c>
      <c r="E1543">
        <v>0.56008159999999996</v>
      </c>
      <c r="F1543" t="s">
        <v>48</v>
      </c>
      <c r="G1543">
        <v>-218.36789999999999</v>
      </c>
      <c r="H1543" s="1">
        <v>2.9161770000000001E-6</v>
      </c>
      <c r="I1543">
        <v>284.02269999999999</v>
      </c>
      <c r="J1543">
        <v>-203.0215</v>
      </c>
      <c r="K1543">
        <v>1.1067940000000001</v>
      </c>
      <c r="L1543">
        <v>284.52890000000002</v>
      </c>
      <c r="M1543">
        <v>-0.87856859999999903</v>
      </c>
      <c r="N1543">
        <v>-1.3552700000000001E-2</v>
      </c>
      <c r="O1543">
        <v>-0.47742410000000002</v>
      </c>
      <c r="P1543">
        <v>-0.97342340000000005</v>
      </c>
      <c r="Q1543">
        <v>0.1468122</v>
      </c>
      <c r="R1543">
        <v>-0.17576449999999999</v>
      </c>
      <c r="S1543">
        <v>-3.1001590000000001</v>
      </c>
      <c r="T1543">
        <v>-0.2197363</v>
      </c>
      <c r="U1543">
        <v>-0.1270752</v>
      </c>
      <c r="V1543">
        <v>0.31555309999999998</v>
      </c>
      <c r="W1543">
        <v>0.14895710000000001</v>
      </c>
      <c r="X1543">
        <v>0.93714359999999997</v>
      </c>
      <c r="Y1543">
        <v>0.43908989999999998</v>
      </c>
      <c r="Z1543">
        <v>4.443917E-2</v>
      </c>
      <c r="AA1543">
        <v>0.89734349999999996</v>
      </c>
      <c r="AB1543">
        <v>30</v>
      </c>
      <c r="AC1543">
        <v>-15.3463999999999</v>
      </c>
      <c r="AD1543">
        <v>-1.106791083823</v>
      </c>
      <c r="AE1543">
        <v>-0.50620000000003496</v>
      </c>
      <c r="AF1543">
        <v>6.84706564212504</v>
      </c>
      <c r="AG1543">
        <v>-1.106791083823</v>
      </c>
      <c r="AH1543">
        <v>13.654849436590199</v>
      </c>
      <c r="AI1543">
        <v>94.144174200616902</v>
      </c>
      <c r="AJ1543">
        <v>63.369056074528899</v>
      </c>
      <c r="AK1543">
        <v>15.3154238448287</v>
      </c>
      <c r="AL1543">
        <v>81.433506623411503</v>
      </c>
      <c r="AM1543">
        <v>71.390695381332506</v>
      </c>
      <c r="AN1543">
        <v>1.0000000517904799</v>
      </c>
    </row>
    <row r="1544" spans="1:40" x14ac:dyDescent="0.25">
      <c r="A1544" t="str">
        <f>"20190303162810045"</f>
        <v>20190303162810045</v>
      </c>
      <c r="B1544" t="str">
        <f>"1551601690033107"</f>
        <v>1551601690033107</v>
      </c>
      <c r="C1544" t="s">
        <v>40</v>
      </c>
      <c r="D1544">
        <v>5.1272399999999996</v>
      </c>
      <c r="E1544">
        <v>0.55933199999999905</v>
      </c>
      <c r="F1544" t="s">
        <v>48</v>
      </c>
      <c r="G1544">
        <v>-217.84530000000001</v>
      </c>
      <c r="H1544" s="1">
        <v>2.638076E-6</v>
      </c>
      <c r="I1544">
        <v>284.06299999999999</v>
      </c>
      <c r="J1544">
        <v>-203.28800000000001</v>
      </c>
      <c r="K1544">
        <v>1.10676</v>
      </c>
      <c r="L1544">
        <v>284.40230000000003</v>
      </c>
      <c r="M1544">
        <v>-0.88650390000000001</v>
      </c>
      <c r="N1544">
        <v>-1.3559460000000001E-2</v>
      </c>
      <c r="O1544">
        <v>-0.4625223</v>
      </c>
      <c r="P1544">
        <v>-0.97600609999999999</v>
      </c>
      <c r="Q1544">
        <v>0.1421924</v>
      </c>
      <c r="R1544">
        <v>-0.16490550000000001</v>
      </c>
      <c r="S1544">
        <v>-3.099243</v>
      </c>
      <c r="T1544">
        <v>-0.23139999999999999</v>
      </c>
      <c r="U1544">
        <v>-9.7412109999999996E-2</v>
      </c>
      <c r="V1544">
        <v>0.31032569999999998</v>
      </c>
      <c r="W1544">
        <v>0.1445418</v>
      </c>
      <c r="X1544">
        <v>0.93957729999999995</v>
      </c>
      <c r="Y1544">
        <v>0.43230039999999997</v>
      </c>
      <c r="Z1544">
        <v>4.5963080000000003E-2</v>
      </c>
      <c r="AA1544">
        <v>0.90055750000000001</v>
      </c>
      <c r="AB1544">
        <v>30</v>
      </c>
      <c r="AC1544">
        <v>-14.5573</v>
      </c>
      <c r="AD1544">
        <v>-1.1067573619240001</v>
      </c>
      <c r="AE1544">
        <v>-0.33930000000003602</v>
      </c>
      <c r="AF1544">
        <v>6.3959271279348098</v>
      </c>
      <c r="AG1544">
        <v>-1.1067573619240001</v>
      </c>
      <c r="AH1544">
        <v>12.9882049212376</v>
      </c>
      <c r="AI1544">
        <v>94.371536826147704</v>
      </c>
      <c r="AJ1544">
        <v>63.782465484582403</v>
      </c>
      <c r="AK1544">
        <v>14.5198575323619</v>
      </c>
      <c r="AL1544">
        <v>81.689252727070496</v>
      </c>
      <c r="AM1544">
        <v>71.722527959282104</v>
      </c>
      <c r="AN1544">
        <v>0.99999993735150805</v>
      </c>
    </row>
    <row r="1545" spans="1:40" x14ac:dyDescent="0.25">
      <c r="A1545" t="str">
        <f>"20190303162810067"</f>
        <v>20190303162810067</v>
      </c>
      <c r="B1545" t="str">
        <f>"1551601690052627"</f>
        <v>1551601690052627</v>
      </c>
      <c r="C1545" t="s">
        <v>40</v>
      </c>
      <c r="D1545">
        <v>5.1030089999999904</v>
      </c>
      <c r="E1545">
        <v>0.54895450000000001</v>
      </c>
      <c r="F1545" t="s">
        <v>48</v>
      </c>
      <c r="G1545">
        <v>-217.25399999999999</v>
      </c>
      <c r="H1545" s="1">
        <v>2.323412E-6</v>
      </c>
      <c r="I1545">
        <v>284.096</v>
      </c>
      <c r="J1545">
        <v>-203.55860000000001</v>
      </c>
      <c r="K1545">
        <v>1.106735</v>
      </c>
      <c r="L1545">
        <v>284.27940000000001</v>
      </c>
      <c r="M1545">
        <v>-0.89424119999999996</v>
      </c>
      <c r="N1545">
        <v>-1.3565489999999999E-2</v>
      </c>
      <c r="O1545">
        <v>-0.4473799</v>
      </c>
      <c r="P1545">
        <v>-0.97783880000000001</v>
      </c>
      <c r="Q1545">
        <v>0.13921929999999999</v>
      </c>
      <c r="R1545">
        <v>-0.15636340000000001</v>
      </c>
      <c r="S1545">
        <v>-3.0980379999999998</v>
      </c>
      <c r="T1545">
        <v>-0.24551010000000001</v>
      </c>
      <c r="U1545">
        <v>-6.7932129999999993E-2</v>
      </c>
      <c r="V1545">
        <v>0.30263780000000001</v>
      </c>
      <c r="W1545">
        <v>0.14186360000000001</v>
      </c>
      <c r="X1545">
        <v>0.94248869999999896</v>
      </c>
      <c r="Y1545">
        <v>0.42528070000000001</v>
      </c>
      <c r="Z1545">
        <v>4.7837919999999999E-2</v>
      </c>
      <c r="AA1545">
        <v>0.9037963</v>
      </c>
      <c r="AB1545">
        <v>30</v>
      </c>
      <c r="AC1545">
        <v>-13.695399999999999</v>
      </c>
      <c r="AD1545">
        <v>-1.1067326765879999</v>
      </c>
      <c r="AE1545">
        <v>-0.183400000000006</v>
      </c>
      <c r="AF1545">
        <v>5.9249064906094402</v>
      </c>
      <c r="AG1545">
        <v>-1.1067326765879999</v>
      </c>
      <c r="AH1545">
        <v>12.250190614984501</v>
      </c>
      <c r="AI1545">
        <v>94.649681764718395</v>
      </c>
      <c r="AJ1545">
        <v>64.188881696508602</v>
      </c>
      <c r="AK1545">
        <v>13.6527119739394</v>
      </c>
      <c r="AL1545">
        <v>81.8443003353851</v>
      </c>
      <c r="AM1545">
        <v>72.197917772893703</v>
      </c>
      <c r="AN1545">
        <v>0.99999993431074197</v>
      </c>
    </row>
    <row r="1546" spans="1:40" x14ac:dyDescent="0.25">
      <c r="A1546" t="str">
        <f>"20190303162810088"</f>
        <v>20190303162810088</v>
      </c>
      <c r="B1546" t="str">
        <f>"1551601690082883"</f>
        <v>1551601690082883</v>
      </c>
      <c r="C1546" t="s">
        <v>40</v>
      </c>
      <c r="D1546">
        <v>5.0969730000000002</v>
      </c>
      <c r="E1546">
        <v>0.54720139999999995</v>
      </c>
      <c r="F1546" t="s">
        <v>48</v>
      </c>
      <c r="G1546">
        <v>-216.82640000000001</v>
      </c>
      <c r="H1546" s="1">
        <v>2.0958919999999999E-6</v>
      </c>
      <c r="I1546">
        <v>283.75900000000001</v>
      </c>
      <c r="J1546">
        <v>-203.83969999999999</v>
      </c>
      <c r="K1546">
        <v>1.106706</v>
      </c>
      <c r="L1546">
        <v>284.1574</v>
      </c>
      <c r="M1546">
        <v>-0.90194960000000002</v>
      </c>
      <c r="N1546">
        <v>-1.3571059999999999E-2</v>
      </c>
      <c r="O1546">
        <v>-0.43162790000000001</v>
      </c>
      <c r="P1546">
        <v>-0.97964839999999997</v>
      </c>
      <c r="Q1546">
        <v>0.13697690000000001</v>
      </c>
      <c r="R1546">
        <v>-0.1467194</v>
      </c>
      <c r="S1546">
        <v>-3.0852970000000002</v>
      </c>
      <c r="T1546">
        <v>-0.2573588</v>
      </c>
      <c r="U1546">
        <v>-0.1210022</v>
      </c>
      <c r="V1546">
        <v>0.29544169999999997</v>
      </c>
      <c r="W1546">
        <v>0.13989550000000001</v>
      </c>
      <c r="X1546">
        <v>0.94506259999999997</v>
      </c>
      <c r="Y1546">
        <v>0.39344980000000002</v>
      </c>
      <c r="Z1546">
        <v>4.7966910000000001E-2</v>
      </c>
      <c r="AA1546">
        <v>0.91809390000000002</v>
      </c>
      <c r="AB1546">
        <v>30</v>
      </c>
      <c r="AC1546">
        <v>-12.986700000000001</v>
      </c>
      <c r="AD1546">
        <v>-1.106703904108</v>
      </c>
      <c r="AE1546">
        <v>-0.39839999999998099</v>
      </c>
      <c r="AF1546">
        <v>5.2087773948402001</v>
      </c>
      <c r="AG1546">
        <v>-1.106703904108</v>
      </c>
      <c r="AH1546">
        <v>11.8007861468281</v>
      </c>
      <c r="AI1546">
        <v>94.903750278888694</v>
      </c>
      <c r="AJ1546">
        <v>66.183700844049298</v>
      </c>
      <c r="AK1546">
        <v>12.9466099486907</v>
      </c>
      <c r="AL1546">
        <v>81.958200131459094</v>
      </c>
      <c r="AM1546">
        <v>72.639919996597101</v>
      </c>
      <c r="AN1546">
        <v>0.999999933468947</v>
      </c>
    </row>
    <row r="1547" spans="1:40" x14ac:dyDescent="0.25">
      <c r="A1547" t="str">
        <f>"20190303162810112"</f>
        <v>20190303162810112</v>
      </c>
      <c r="B1547" t="str">
        <f>"1551601690103379"</f>
        <v>1551601690103379</v>
      </c>
      <c r="C1547" t="s">
        <v>40</v>
      </c>
      <c r="D1547">
        <v>5.0186789999999997</v>
      </c>
      <c r="E1547">
        <v>0.54652029999999996</v>
      </c>
      <c r="F1547" t="s">
        <v>48</v>
      </c>
      <c r="G1547">
        <v>-216.5865</v>
      </c>
      <c r="H1547" s="1">
        <v>1.9682460000000001E-6</v>
      </c>
      <c r="I1547">
        <v>283.7251</v>
      </c>
      <c r="J1547">
        <v>-204.12960000000001</v>
      </c>
      <c r="K1547">
        <v>1.106692</v>
      </c>
      <c r="L1547">
        <v>284.03750000000002</v>
      </c>
      <c r="M1547">
        <v>-0.90955129999999995</v>
      </c>
      <c r="N1547">
        <v>-1.357626E-2</v>
      </c>
      <c r="O1547">
        <v>-0.41537010000000002</v>
      </c>
      <c r="P1547">
        <v>-0.98129679999999997</v>
      </c>
      <c r="Q1547">
        <v>0.135066299999999</v>
      </c>
      <c r="R1547">
        <v>-0.1371647</v>
      </c>
      <c r="S1547">
        <v>-3.0841059999999998</v>
      </c>
      <c r="T1547">
        <v>-0.26776739999999999</v>
      </c>
      <c r="U1547">
        <v>-0.1045837</v>
      </c>
      <c r="V1547">
        <v>0.28771829999999998</v>
      </c>
      <c r="W1547">
        <v>0.13827919999999999</v>
      </c>
      <c r="X1547">
        <v>0.94767979999999996</v>
      </c>
      <c r="Y1547">
        <v>0.38166549999999999</v>
      </c>
      <c r="Z1547">
        <v>4.8427190000000002E-2</v>
      </c>
      <c r="AA1547">
        <v>0.92303100000000005</v>
      </c>
      <c r="AB1547">
        <v>30</v>
      </c>
      <c r="AC1547">
        <v>-12.4568999999999</v>
      </c>
      <c r="AD1547">
        <v>-1.106690031754</v>
      </c>
      <c r="AE1547">
        <v>-0.31240000000002499</v>
      </c>
      <c r="AF1547">
        <v>4.8522562976530299</v>
      </c>
      <c r="AG1547">
        <v>-1.106690031754</v>
      </c>
      <c r="AH1547">
        <v>11.371311048643101</v>
      </c>
      <c r="AI1547">
        <v>95.115150030428694</v>
      </c>
      <c r="AJ1547">
        <v>66.891554999090999</v>
      </c>
      <c r="AK1547">
        <v>12.4127301174838</v>
      </c>
      <c r="AL1547">
        <v>82.051716657934506</v>
      </c>
      <c r="AM1547">
        <v>73.111559830011302</v>
      </c>
      <c r="AN1547">
        <v>0.99999998031778403</v>
      </c>
    </row>
    <row r="1548" spans="1:40" x14ac:dyDescent="0.25">
      <c r="A1548" t="str">
        <f>"20190303162810134"</f>
        <v>20190303162810134</v>
      </c>
      <c r="B1548" t="str">
        <f>"1551601690122899"</f>
        <v>1551601690122899</v>
      </c>
      <c r="C1548" t="s">
        <v>40</v>
      </c>
      <c r="D1548">
        <v>5.0039490000000004</v>
      </c>
      <c r="E1548">
        <v>0.54374529999999999</v>
      </c>
      <c r="F1548" t="s">
        <v>48</v>
      </c>
      <c r="G1548">
        <v>-218.03309999999999</v>
      </c>
      <c r="H1548" s="1">
        <v>2.738043E-6</v>
      </c>
      <c r="I1548">
        <v>283.68369999999999</v>
      </c>
      <c r="J1548">
        <v>-204.4066</v>
      </c>
      <c r="K1548">
        <v>1.1067</v>
      </c>
      <c r="L1548">
        <v>283.92860000000002</v>
      </c>
      <c r="M1548">
        <v>-0.91649530000000001</v>
      </c>
      <c r="N1548">
        <v>-1.3580679999999999E-2</v>
      </c>
      <c r="O1548">
        <v>-0.39981519999999998</v>
      </c>
      <c r="P1548">
        <v>-0.98231139999999995</v>
      </c>
      <c r="Q1548">
        <v>0.13467760000000001</v>
      </c>
      <c r="R1548">
        <v>-0.13010250000000001</v>
      </c>
      <c r="S1548">
        <v>-3.0799409999999998</v>
      </c>
      <c r="T1548">
        <v>-0.24515580000000001</v>
      </c>
      <c r="U1548">
        <v>-7.8369140000000004E-2</v>
      </c>
      <c r="V1548">
        <v>0.2783755</v>
      </c>
      <c r="W1548">
        <v>0.13824330000000001</v>
      </c>
      <c r="X1548">
        <v>0.95047139999999997</v>
      </c>
      <c r="Y1548">
        <v>0.37422290000000002</v>
      </c>
      <c r="Z1548">
        <v>4.2903459999999997E-2</v>
      </c>
      <c r="AA1548">
        <v>0.9263458</v>
      </c>
      <c r="AB1548">
        <v>30</v>
      </c>
      <c r="AC1548">
        <v>-13.626499999999901</v>
      </c>
      <c r="AD1548">
        <v>-1.1066972619569999</v>
      </c>
      <c r="AE1548">
        <v>-0.24490000000002901</v>
      </c>
      <c r="AF1548">
        <v>5.1898910824267599</v>
      </c>
      <c r="AG1548">
        <v>-1.1066972619569999</v>
      </c>
      <c r="AH1548">
        <v>12.505237640412799</v>
      </c>
      <c r="AI1548">
        <v>94.672904815706801</v>
      </c>
      <c r="AJ1548">
        <v>67.460699996760397</v>
      </c>
      <c r="AK1548">
        <v>13.5845764277092</v>
      </c>
      <c r="AL1548">
        <v>82.053793725351596</v>
      </c>
      <c r="AM1548">
        <v>73.675667862326193</v>
      </c>
      <c r="AN1548">
        <v>1.0000000056065499</v>
      </c>
    </row>
    <row r="1549" spans="1:40" x14ac:dyDescent="0.25">
      <c r="A1549" t="str">
        <f>"20190303162810158"</f>
        <v>20190303162810158</v>
      </c>
      <c r="B1549" t="str">
        <f>"1551601690153154"</f>
        <v>1551601690153154</v>
      </c>
      <c r="C1549" t="s">
        <v>40</v>
      </c>
      <c r="D1549">
        <v>4.9939869999999997</v>
      </c>
      <c r="E1549">
        <v>0.54092810000000002</v>
      </c>
      <c r="F1549" t="s">
        <v>48</v>
      </c>
      <c r="G1549">
        <v>-220.42840000000001</v>
      </c>
      <c r="H1549" s="1">
        <v>-1.3088150000000001E-6</v>
      </c>
      <c r="I1549">
        <v>283.54250000000002</v>
      </c>
      <c r="J1549">
        <v>-204.70320000000001</v>
      </c>
      <c r="K1549">
        <v>1.1067199999999999</v>
      </c>
      <c r="L1549">
        <v>283.81790000000001</v>
      </c>
      <c r="M1549">
        <v>-0.92358589999999996</v>
      </c>
      <c r="N1549">
        <v>-1.358497E-2</v>
      </c>
      <c r="O1549">
        <v>-0.38315080000000001</v>
      </c>
      <c r="P1549">
        <v>-0.98300650000000001</v>
      </c>
      <c r="Q1549">
        <v>0.13724700000000001</v>
      </c>
      <c r="R1549">
        <v>-0.121909</v>
      </c>
      <c r="S1549">
        <v>-3.073318</v>
      </c>
      <c r="T1549">
        <v>-0.21228910000000001</v>
      </c>
      <c r="U1549">
        <v>-7.4066160000000006E-2</v>
      </c>
      <c r="V1549">
        <v>0.2690131</v>
      </c>
      <c r="W1549">
        <v>0.14116119999999999</v>
      </c>
      <c r="X1549">
        <v>0.95273580000000002</v>
      </c>
      <c r="Y1549">
        <v>0.35925479999999999</v>
      </c>
      <c r="Z1549">
        <v>3.5402040000000003E-2</v>
      </c>
      <c r="AA1549">
        <v>0.93256779999999995</v>
      </c>
      <c r="AB1549">
        <v>30</v>
      </c>
      <c r="AC1549">
        <v>-15.725199999999999</v>
      </c>
      <c r="AD1549">
        <v>-1.1067213088150001</v>
      </c>
      <c r="AE1549">
        <v>-0.27539999999998999</v>
      </c>
      <c r="AF1549">
        <v>5.7428632554067596</v>
      </c>
      <c r="AG1549">
        <v>-1.1067213088150001</v>
      </c>
      <c r="AH1549">
        <v>14.5583547557813</v>
      </c>
      <c r="AI1549">
        <v>94.045022374947607</v>
      </c>
      <c r="AJ1549">
        <v>68.472154142942799</v>
      </c>
      <c r="AK1549">
        <v>15.6892002224736</v>
      </c>
      <c r="AL1549">
        <v>81.884954701120094</v>
      </c>
      <c r="AM1549">
        <v>74.232519769820996</v>
      </c>
      <c r="AN1549">
        <v>1.0000000184793401</v>
      </c>
    </row>
    <row r="1550" spans="1:40" x14ac:dyDescent="0.25">
      <c r="A1550" t="str">
        <f>"20190303162810181"</f>
        <v>20190303162810181</v>
      </c>
      <c r="B1550" t="str">
        <f>"1551601690173651"</f>
        <v>1551601690173651</v>
      </c>
      <c r="C1550" t="s">
        <v>40</v>
      </c>
      <c r="D1550">
        <v>4.9820039999999999</v>
      </c>
      <c r="E1550">
        <v>0.53973009999999999</v>
      </c>
      <c r="F1550" t="s">
        <v>48</v>
      </c>
      <c r="G1550">
        <v>-224.8236</v>
      </c>
      <c r="H1550" s="1">
        <v>1.0301060000000001E-6</v>
      </c>
      <c r="I1550">
        <v>283.38</v>
      </c>
      <c r="J1550">
        <v>-204.9973</v>
      </c>
      <c r="K1550">
        <v>1.1067260000000001</v>
      </c>
      <c r="L1550">
        <v>283.714</v>
      </c>
      <c r="M1550">
        <v>-0.93027649999999995</v>
      </c>
      <c r="N1550">
        <v>-1.358876E-2</v>
      </c>
      <c r="O1550">
        <v>-0.36660730000000002</v>
      </c>
      <c r="P1550">
        <v>-0.98346610000000001</v>
      </c>
      <c r="Q1550">
        <v>0.14148259999999999</v>
      </c>
      <c r="R1550">
        <v>-0.1130357</v>
      </c>
      <c r="S1550">
        <v>-3.0671390000000001</v>
      </c>
      <c r="T1550">
        <v>-0.16870689999999999</v>
      </c>
      <c r="U1550">
        <v>-6.674194E-2</v>
      </c>
      <c r="V1550">
        <v>0.2605093</v>
      </c>
      <c r="W1550">
        <v>0.1457099</v>
      </c>
      <c r="X1550">
        <v>0.95441260000000006</v>
      </c>
      <c r="Y1550">
        <v>0.34537570000000001</v>
      </c>
      <c r="Z1550">
        <v>2.6530049999999999E-2</v>
      </c>
      <c r="AA1550">
        <v>0.93808939999999996</v>
      </c>
      <c r="AB1550">
        <v>30</v>
      </c>
      <c r="AC1550">
        <v>-19.8263</v>
      </c>
      <c r="AD1550">
        <v>-1.106724969894</v>
      </c>
      <c r="AE1550">
        <v>-0.33400000000000302</v>
      </c>
      <c r="AF1550">
        <v>6.9367878423772202</v>
      </c>
      <c r="AG1550">
        <v>-1.106724969894</v>
      </c>
      <c r="AH1550">
        <v>18.510440863589199</v>
      </c>
      <c r="AI1550">
        <v>93.204473351928101</v>
      </c>
      <c r="AJ1550">
        <v>69.456513442094703</v>
      </c>
      <c r="AK1550">
        <v>19.798492030797998</v>
      </c>
      <c r="AL1550">
        <v>81.621609420581393</v>
      </c>
      <c r="AM1550">
        <v>74.732871095701398</v>
      </c>
      <c r="AN1550">
        <v>0.99999994069162801</v>
      </c>
    </row>
    <row r="1551" spans="1:40" x14ac:dyDescent="0.25">
      <c r="A1551" t="str">
        <f>"20190303162810204"</f>
        <v>20190303162810204</v>
      </c>
      <c r="B1551" t="str">
        <f>"1551601690193171"</f>
        <v>1551601690193171</v>
      </c>
      <c r="C1551" t="s">
        <v>40</v>
      </c>
      <c r="D1551">
        <v>5.0082180000000003</v>
      </c>
      <c r="E1551">
        <v>0.53864339999999999</v>
      </c>
      <c r="F1551" t="s">
        <v>48</v>
      </c>
      <c r="G1551">
        <v>-228.96019999999999</v>
      </c>
      <c r="H1551" s="1">
        <v>3.231403E-6</v>
      </c>
      <c r="I1551">
        <v>283.3535</v>
      </c>
      <c r="J1551">
        <v>-205.2996</v>
      </c>
      <c r="K1551">
        <v>1.1067309999999999</v>
      </c>
      <c r="L1551">
        <v>283.61320000000001</v>
      </c>
      <c r="M1551">
        <v>-0.93680260000000004</v>
      </c>
      <c r="N1551">
        <v>-1.359202E-2</v>
      </c>
      <c r="O1551">
        <v>-0.34959400000000002</v>
      </c>
      <c r="P1551">
        <v>-0.98415549999999996</v>
      </c>
      <c r="Q1551">
        <v>0.14359810000000001</v>
      </c>
      <c r="R1551">
        <v>-0.104008</v>
      </c>
      <c r="S1551">
        <v>-3.0655060000000001</v>
      </c>
      <c r="T1551">
        <v>-0.1415797</v>
      </c>
      <c r="U1551">
        <v>-4.6112060000000003E-2</v>
      </c>
      <c r="V1551">
        <v>0.25181679999999901</v>
      </c>
      <c r="W1551">
        <v>0.14814939999999999</v>
      </c>
      <c r="X1551">
        <v>0.95636810000000005</v>
      </c>
      <c r="Y1551">
        <v>0.3348643</v>
      </c>
      <c r="Z1551">
        <v>2.1038270000000001E-2</v>
      </c>
      <c r="AA1551">
        <v>0.94203150000000002</v>
      </c>
      <c r="AB1551">
        <v>30</v>
      </c>
      <c r="AC1551">
        <v>-23.660599999999899</v>
      </c>
      <c r="AD1551">
        <v>-1.1067277685969901</v>
      </c>
      <c r="AE1551">
        <v>-0.25970000000000898</v>
      </c>
      <c r="AF1551">
        <v>8.0115321512994093</v>
      </c>
      <c r="AG1551">
        <v>-1.1067277685969901</v>
      </c>
      <c r="AH1551">
        <v>22.209572520693701</v>
      </c>
      <c r="AI1551">
        <v>92.683754550431104</v>
      </c>
      <c r="AJ1551">
        <v>70.164394848589197</v>
      </c>
      <c r="AK1551">
        <v>23.636298469029398</v>
      </c>
      <c r="AL1551">
        <v>81.480302739831998</v>
      </c>
      <c r="AM1551">
        <v>75.248538162588602</v>
      </c>
      <c r="AN1551">
        <v>0.99999994409010295</v>
      </c>
    </row>
    <row r="1552" spans="1:40" x14ac:dyDescent="0.25">
      <c r="A1552" t="str">
        <f>"20190303162810224"</f>
        <v>20190303162810224</v>
      </c>
      <c r="B1552" t="str">
        <f>"1551601690212691"</f>
        <v>1551601690212691</v>
      </c>
      <c r="C1552" t="s">
        <v>40</v>
      </c>
      <c r="D1552">
        <v>5.0128110000000001</v>
      </c>
      <c r="E1552">
        <v>0.53762889999999997</v>
      </c>
      <c r="F1552" t="s">
        <v>48</v>
      </c>
      <c r="G1552">
        <v>-232.5001</v>
      </c>
      <c r="H1552" s="1">
        <v>-1.5298910000000001E-7</v>
      </c>
      <c r="I1552">
        <v>283.3956</v>
      </c>
      <c r="J1552">
        <v>-205.56899999999999</v>
      </c>
      <c r="K1552">
        <v>1.106733</v>
      </c>
      <c r="L1552">
        <v>283.52870000000001</v>
      </c>
      <c r="M1552">
        <v>-0.94232150000000003</v>
      </c>
      <c r="N1552">
        <v>-1.359337E-2</v>
      </c>
      <c r="O1552">
        <v>-0.33443339999999999</v>
      </c>
      <c r="P1552">
        <v>-0.98494919999999997</v>
      </c>
      <c r="Q1552">
        <v>0.14386499999999999</v>
      </c>
      <c r="R1552">
        <v>-9.5804260000000002E-2</v>
      </c>
      <c r="S1552">
        <v>-3.0639189999999998</v>
      </c>
      <c r="T1552">
        <v>-0.1246641</v>
      </c>
      <c r="U1552">
        <v>-2.4505619999999999E-2</v>
      </c>
      <c r="V1552">
        <v>0.24433170000000001</v>
      </c>
      <c r="W1552">
        <v>0.14869779999999999</v>
      </c>
      <c r="X1552">
        <v>0.95822289999999999</v>
      </c>
      <c r="Y1552">
        <v>0.32644450000000003</v>
      </c>
      <c r="Z1552">
        <v>1.7639800000000001E-2</v>
      </c>
      <c r="AA1552">
        <v>0.9450518</v>
      </c>
      <c r="AB1552">
        <v>30</v>
      </c>
      <c r="AC1552">
        <v>-26.931099999999901</v>
      </c>
      <c r="AD1552">
        <v>-1.1067331529891</v>
      </c>
      <c r="AE1552">
        <v>-0.13310000000001301</v>
      </c>
      <c r="AF1552">
        <v>8.8670813754718392</v>
      </c>
      <c r="AG1552">
        <v>-1.1067331529891</v>
      </c>
      <c r="AH1552">
        <v>25.381749460506999</v>
      </c>
      <c r="AI1552">
        <v>92.357185906214994</v>
      </c>
      <c r="AJ1552">
        <v>70.743204444732001</v>
      </c>
      <c r="AK1552">
        <v>26.9087940284791</v>
      </c>
      <c r="AL1552">
        <v>81.448530902222799</v>
      </c>
      <c r="AM1552">
        <v>75.6952981348512</v>
      </c>
      <c r="AN1552">
        <v>1.00000007071706</v>
      </c>
    </row>
    <row r="1553" spans="1:40" x14ac:dyDescent="0.25">
      <c r="A1553" t="str">
        <f>"20190303162810245"</f>
        <v>20190303162810245</v>
      </c>
      <c r="B1553" t="str">
        <f>"1551601690233187"</f>
        <v>1551601690233187</v>
      </c>
      <c r="C1553" t="s">
        <v>40</v>
      </c>
      <c r="D1553">
        <v>5.0174849999999998</v>
      </c>
      <c r="E1553">
        <v>0.53674489999999997</v>
      </c>
      <c r="F1553" t="s">
        <v>48</v>
      </c>
      <c r="G1553">
        <v>-234.93209999999999</v>
      </c>
      <c r="H1553" s="1">
        <v>1.137596E-6</v>
      </c>
      <c r="I1553">
        <v>283.47719999999998</v>
      </c>
      <c r="J1553">
        <v>-205.8467</v>
      </c>
      <c r="K1553">
        <v>1.1067370000000001</v>
      </c>
      <c r="L1553">
        <v>283.44670000000002</v>
      </c>
      <c r="M1553">
        <v>-0.94772029999999996</v>
      </c>
      <c r="N1553">
        <v>-1.3593060000000001E-2</v>
      </c>
      <c r="O1553">
        <v>-0.3188125</v>
      </c>
      <c r="P1553">
        <v>-0.98514939999999995</v>
      </c>
      <c r="Q1553">
        <v>0.14547460000000001</v>
      </c>
      <c r="R1553">
        <v>-9.1203090000000001E-2</v>
      </c>
      <c r="S1553">
        <v>-3.0621640000000001</v>
      </c>
      <c r="T1553">
        <v>-0.11541709999999999</v>
      </c>
      <c r="U1553">
        <v>-5.3710939999999999E-3</v>
      </c>
      <c r="V1553">
        <v>0.23291239999999999</v>
      </c>
      <c r="W1553">
        <v>0.15073310000000001</v>
      </c>
      <c r="X1553">
        <v>0.96074519999999997</v>
      </c>
      <c r="Y1553">
        <v>0.31678869999999998</v>
      </c>
      <c r="Z1553">
        <v>1.5581350000000001E-2</v>
      </c>
      <c r="AA1553">
        <v>0.94836810000000005</v>
      </c>
      <c r="AB1553">
        <v>30</v>
      </c>
      <c r="AC1553">
        <v>-29.0854</v>
      </c>
      <c r="AD1553">
        <v>-1.106735862404</v>
      </c>
      <c r="AE1553">
        <v>3.0499999999960802E-2</v>
      </c>
      <c r="AF1553">
        <v>9.2891045999118305</v>
      </c>
      <c r="AG1553">
        <v>-1.106735862404</v>
      </c>
      <c r="AH1553">
        <v>27.5178040689959</v>
      </c>
      <c r="AI1553">
        <v>92.182275688905094</v>
      </c>
      <c r="AJ1553">
        <v>71.347011248543694</v>
      </c>
      <c r="AK1553">
        <v>29.0644433856367</v>
      </c>
      <c r="AL1553">
        <v>81.3305868138265</v>
      </c>
      <c r="AM1553">
        <v>76.372753207179201</v>
      </c>
      <c r="AN1553">
        <v>0.99999999641620396</v>
      </c>
    </row>
    <row r="1554" spans="1:40" x14ac:dyDescent="0.25">
      <c r="A1554" t="str">
        <f>"20190303162810268"</f>
        <v>20190303162810268</v>
      </c>
      <c r="B1554" t="str">
        <f>"1551601690263443"</f>
        <v>1551601690263443</v>
      </c>
      <c r="C1554" t="s">
        <v>40</v>
      </c>
      <c r="D1554">
        <v>5.0343479999999996</v>
      </c>
      <c r="E1554">
        <v>0.5354679</v>
      </c>
      <c r="F1554" t="s">
        <v>48</v>
      </c>
      <c r="G1554">
        <v>-237.5153</v>
      </c>
      <c r="H1554" s="1">
        <v>2.512813E-6</v>
      </c>
      <c r="I1554">
        <v>283.46499999999997</v>
      </c>
      <c r="J1554">
        <v>-206.13910000000001</v>
      </c>
      <c r="K1554">
        <v>1.1067530000000001</v>
      </c>
      <c r="L1554">
        <v>283.3657</v>
      </c>
      <c r="M1554">
        <v>-0.95308939999999998</v>
      </c>
      <c r="N1554">
        <v>-1.359056E-2</v>
      </c>
      <c r="O1554">
        <v>-0.30238429999999999</v>
      </c>
      <c r="P1554">
        <v>-0.98568769999999994</v>
      </c>
      <c r="Q1554">
        <v>0.14646600000000001</v>
      </c>
      <c r="R1554">
        <v>-8.3474190000000004E-2</v>
      </c>
      <c r="S1554">
        <v>-3.061172</v>
      </c>
      <c r="T1554">
        <v>-0.10698000000000001</v>
      </c>
      <c r="U1554">
        <v>1.77002E-3</v>
      </c>
      <c r="V1554">
        <v>0.22380130000000001</v>
      </c>
      <c r="W1554">
        <v>0.1520656</v>
      </c>
      <c r="X1554">
        <v>0.96269879999999997</v>
      </c>
      <c r="Y1554">
        <v>0.30264380000000002</v>
      </c>
      <c r="Z1554">
        <v>1.3623939999999999E-2</v>
      </c>
      <c r="AA1554">
        <v>0.95300629999999997</v>
      </c>
      <c r="AB1554">
        <v>30</v>
      </c>
      <c r="AC1554">
        <v>-31.376199999999901</v>
      </c>
      <c r="AD1554">
        <v>-1.106750487187</v>
      </c>
      <c r="AE1554">
        <v>9.9299999999970995E-2</v>
      </c>
      <c r="AF1554">
        <v>9.5712866202543907</v>
      </c>
      <c r="AG1554">
        <v>-1.106750487187</v>
      </c>
      <c r="AH1554">
        <v>29.8399234349145</v>
      </c>
      <c r="AI1554">
        <v>92.0226902642071</v>
      </c>
      <c r="AJ1554">
        <v>72.216128228729303</v>
      </c>
      <c r="AK1554">
        <v>31.3569044200717</v>
      </c>
      <c r="AL1554">
        <v>81.253349648687603</v>
      </c>
      <c r="AM1554">
        <v>76.912744927531094</v>
      </c>
      <c r="AN1554">
        <v>0.99999997405324403</v>
      </c>
    </row>
    <row r="1555" spans="1:40" x14ac:dyDescent="0.25">
      <c r="A1555" t="str">
        <f>"20190303162810292"</f>
        <v>20190303162810292</v>
      </c>
      <c r="B1555" t="str">
        <f>"1551601690282963"</f>
        <v>1551601690282963</v>
      </c>
      <c r="C1555" t="s">
        <v>40</v>
      </c>
      <c r="D1555">
        <v>5.067177</v>
      </c>
      <c r="E1555">
        <v>0.53463629999999995</v>
      </c>
      <c r="F1555" t="s">
        <v>48</v>
      </c>
      <c r="G1555">
        <v>-240.02170000000001</v>
      </c>
      <c r="H1555" s="1">
        <v>-1.5252539999999901E-6</v>
      </c>
      <c r="I1555">
        <v>283.53870000000001</v>
      </c>
      <c r="J1555">
        <v>-206.45840000000001</v>
      </c>
      <c r="K1555">
        <v>1.1067709999999999</v>
      </c>
      <c r="L1555">
        <v>283.2833</v>
      </c>
      <c r="M1555">
        <v>-0.9585844</v>
      </c>
      <c r="N1555">
        <v>-1.358413E-2</v>
      </c>
      <c r="O1555">
        <v>-0.28448469999999998</v>
      </c>
      <c r="P1555">
        <v>-0.98659479999999999</v>
      </c>
      <c r="Q1555">
        <v>0.145629799999999</v>
      </c>
      <c r="R1555">
        <v>-7.3641159999999997E-2</v>
      </c>
      <c r="S1555">
        <v>-3.0597530000000002</v>
      </c>
      <c r="T1555">
        <v>-9.9945069999999997E-2</v>
      </c>
      <c r="U1555">
        <v>1.5625E-2</v>
      </c>
      <c r="V1555">
        <v>0.21534929999999999</v>
      </c>
      <c r="W1555">
        <v>0.1515514</v>
      </c>
      <c r="X1555">
        <v>0.96470560000000005</v>
      </c>
      <c r="Y1555">
        <v>0.28913709999999998</v>
      </c>
      <c r="Z1555">
        <v>1.19752E-2</v>
      </c>
      <c r="AA1555">
        <v>0.95721279999999997</v>
      </c>
      <c r="AB1555">
        <v>30</v>
      </c>
      <c r="AC1555">
        <v>-33.563299999999998</v>
      </c>
      <c r="AD1555">
        <v>-1.1067725252539999</v>
      </c>
      <c r="AE1555">
        <v>0.25540000000000801</v>
      </c>
      <c r="AF1555">
        <v>9.7833331164267801</v>
      </c>
      <c r="AG1555">
        <v>-1.1067725252539999</v>
      </c>
      <c r="AH1555">
        <v>32.068689220495301</v>
      </c>
      <c r="AI1555">
        <v>91.890680147610496</v>
      </c>
      <c r="AJ1555">
        <v>73.0343991005616</v>
      </c>
      <c r="AK1555">
        <v>33.546078468434203</v>
      </c>
      <c r="AL1555">
        <v>81.283157019227801</v>
      </c>
      <c r="AM1555">
        <v>77.416289124909397</v>
      </c>
      <c r="AN1555">
        <v>1.0000000212619</v>
      </c>
    </row>
    <row r="1556" spans="1:40" x14ac:dyDescent="0.25">
      <c r="A1556" t="str">
        <f>"20190303162810314"</f>
        <v>20190303162810314</v>
      </c>
      <c r="B1556" t="str">
        <f>"1551601690303460"</f>
        <v>1551601690303460</v>
      </c>
      <c r="C1556" t="s">
        <v>40</v>
      </c>
      <c r="D1556">
        <v>5.0513309999999896</v>
      </c>
      <c r="E1556">
        <v>0.53392050000000002</v>
      </c>
      <c r="F1556" t="s">
        <v>48</v>
      </c>
      <c r="G1556">
        <v>-240.17420000000001</v>
      </c>
      <c r="H1556" s="1">
        <v>-1.4440949999999999E-6</v>
      </c>
      <c r="I1556">
        <v>283.73669999999998</v>
      </c>
      <c r="J1556">
        <v>-206.7424</v>
      </c>
      <c r="K1556">
        <v>1.1068119999999999</v>
      </c>
      <c r="L1556">
        <v>283.21510000000001</v>
      </c>
      <c r="M1556">
        <v>-0.96315209999999996</v>
      </c>
      <c r="N1556">
        <v>-1.35741E-2</v>
      </c>
      <c r="O1556">
        <v>-0.26861499999999999</v>
      </c>
      <c r="P1556">
        <v>-0.98712900000000003</v>
      </c>
      <c r="Q1556">
        <v>0.14378750000000001</v>
      </c>
      <c r="R1556">
        <v>-7.0011390000000007E-2</v>
      </c>
      <c r="S1556">
        <v>-3.0586549999999999</v>
      </c>
      <c r="T1556">
        <v>-0.10040499999999999</v>
      </c>
      <c r="U1556">
        <v>4.1137699999999902E-2</v>
      </c>
      <c r="V1556">
        <v>0.20292550000000001</v>
      </c>
      <c r="W1556">
        <v>0.15017639999999999</v>
      </c>
      <c r="X1556">
        <v>0.96760959999999996</v>
      </c>
      <c r="Y1556">
        <v>0.28130919999999998</v>
      </c>
      <c r="Z1556">
        <v>1.158415E-2</v>
      </c>
      <c r="AA1556">
        <v>0.95954729999999999</v>
      </c>
      <c r="AB1556">
        <v>30</v>
      </c>
      <c r="AC1556">
        <v>-33.431800000000003</v>
      </c>
      <c r="AD1556">
        <v>-1.1068134440949999</v>
      </c>
      <c r="AE1556">
        <v>0.52159999999997797</v>
      </c>
      <c r="AF1556">
        <v>9.4731551841880197</v>
      </c>
      <c r="AG1556">
        <v>-1.1068134440949999</v>
      </c>
      <c r="AH1556">
        <v>32.0276536432619</v>
      </c>
      <c r="AI1556">
        <v>91.898021706285206</v>
      </c>
      <c r="AJ1556">
        <v>73.522810647680203</v>
      </c>
      <c r="AK1556">
        <v>33.417604687297498</v>
      </c>
      <c r="AL1556">
        <v>81.362850875959694</v>
      </c>
      <c r="AM1556">
        <v>78.155676873926893</v>
      </c>
      <c r="AN1556">
        <v>1.00000002383968</v>
      </c>
    </row>
    <row r="1557" spans="1:40" x14ac:dyDescent="0.25">
      <c r="A1557" t="str">
        <f>"20190303162810335"</f>
        <v>20190303162810335</v>
      </c>
      <c r="B1557" t="str">
        <f>"1551601690322979"</f>
        <v>1551601690322979</v>
      </c>
      <c r="C1557" t="s">
        <v>40</v>
      </c>
      <c r="D1557">
        <v>5.0741230000000002</v>
      </c>
      <c r="E1557">
        <v>0.53317060000000005</v>
      </c>
      <c r="F1557" t="s">
        <v>48</v>
      </c>
      <c r="G1557">
        <v>-239.03270000000001</v>
      </c>
      <c r="H1557" s="1">
        <v>3.3087889999999999E-6</v>
      </c>
      <c r="I1557">
        <v>283.72879999999998</v>
      </c>
      <c r="J1557">
        <v>-207.03370000000001</v>
      </c>
      <c r="K1557">
        <v>1.10687</v>
      </c>
      <c r="L1557">
        <v>283.15019999999998</v>
      </c>
      <c r="M1557">
        <v>-0.96752470000000002</v>
      </c>
      <c r="N1557">
        <v>-1.355904E-2</v>
      </c>
      <c r="O1557">
        <v>-0.252413</v>
      </c>
      <c r="P1557">
        <v>-0.9872341</v>
      </c>
      <c r="Q1557">
        <v>0.1435525</v>
      </c>
      <c r="R1557">
        <v>-6.9007100000000002E-2</v>
      </c>
      <c r="S1557">
        <v>-3.0578159999999999</v>
      </c>
      <c r="T1557">
        <v>-0.1048119</v>
      </c>
      <c r="U1557">
        <v>4.8645019999999997E-2</v>
      </c>
      <c r="V1557">
        <v>0.18760399999999999</v>
      </c>
      <c r="W1557">
        <v>0.15051010000000001</v>
      </c>
      <c r="X1557">
        <v>0.97064479999999997</v>
      </c>
      <c r="Y1557">
        <v>0.26752530000000002</v>
      </c>
      <c r="Z1557">
        <v>1.1531639999999999E-2</v>
      </c>
      <c r="AA1557">
        <v>0.96348180000000005</v>
      </c>
      <c r="AB1557">
        <v>30</v>
      </c>
      <c r="AC1557">
        <v>-31.998999999999899</v>
      </c>
      <c r="AD1557">
        <v>-1.1068666912109999</v>
      </c>
      <c r="AE1557">
        <v>0.57859999999999401</v>
      </c>
      <c r="AF1557">
        <v>8.6272472338823505</v>
      </c>
      <c r="AG1557">
        <v>-1.1068666912109999</v>
      </c>
      <c r="AH1557">
        <v>30.7797898901966</v>
      </c>
      <c r="AI1557">
        <v>91.983153074828707</v>
      </c>
      <c r="AJ1557">
        <v>74.342381545191401</v>
      </c>
      <c r="AK1557">
        <v>31.985153030606099</v>
      </c>
      <c r="AL1557">
        <v>81.343510723549599</v>
      </c>
      <c r="AM1557">
        <v>79.060887011999299</v>
      </c>
      <c r="AN1557">
        <v>0.99999993939252296</v>
      </c>
    </row>
    <row r="1558" spans="1:40" x14ac:dyDescent="0.25">
      <c r="A1558" t="str">
        <f>"20190303162810358"</f>
        <v>20190303162810358</v>
      </c>
      <c r="B1558" t="str">
        <f>"1551601690353442"</f>
        <v>1551601690353442</v>
      </c>
      <c r="C1558" t="s">
        <v>40</v>
      </c>
      <c r="D1558">
        <v>5.0817009999999998</v>
      </c>
      <c r="E1558">
        <v>0.53213750000000004</v>
      </c>
      <c r="F1558" t="s">
        <v>48</v>
      </c>
      <c r="G1558">
        <v>-239.78460000000001</v>
      </c>
      <c r="H1558" s="1">
        <v>3.7118050000000001E-6</v>
      </c>
      <c r="I1558">
        <v>283.66219999999998</v>
      </c>
      <c r="J1558">
        <v>-207.34549999999999</v>
      </c>
      <c r="K1558">
        <v>1.106946</v>
      </c>
      <c r="L1558">
        <v>283.08620000000002</v>
      </c>
      <c r="M1558">
        <v>-0.97185860000000002</v>
      </c>
      <c r="N1558">
        <v>-1.3537540000000001E-2</v>
      </c>
      <c r="O1558">
        <v>-0.23517550000000001</v>
      </c>
      <c r="P1558">
        <v>-0.98729069999999997</v>
      </c>
      <c r="Q1558">
        <v>0.1449106</v>
      </c>
      <c r="R1558">
        <v>-6.5253350000000002E-2</v>
      </c>
      <c r="S1558">
        <v>-3.057175</v>
      </c>
      <c r="T1558">
        <v>-0.1033217</v>
      </c>
      <c r="U1558">
        <v>4.7790529999999998E-2</v>
      </c>
      <c r="V1558">
        <v>0.1739723</v>
      </c>
      <c r="W1558">
        <v>0.15236859999999999</v>
      </c>
      <c r="X1558">
        <v>0.97289130000000001</v>
      </c>
      <c r="Y1558">
        <v>0.25011450000000002</v>
      </c>
      <c r="Z1558">
        <v>1.060704E-2</v>
      </c>
      <c r="AA1558">
        <v>0.96815819999999997</v>
      </c>
      <c r="AB1558">
        <v>30</v>
      </c>
      <c r="AC1558">
        <v>-32.439100000000003</v>
      </c>
      <c r="AD1558">
        <v>-1.106942288195</v>
      </c>
      <c r="AE1558">
        <v>0.57599999999996498</v>
      </c>
      <c r="AF1558">
        <v>8.1799010006442998</v>
      </c>
      <c r="AG1558">
        <v>-1.106942288195</v>
      </c>
      <c r="AH1558">
        <v>31.357133708014601</v>
      </c>
      <c r="AI1558">
        <v>91.956351062305401</v>
      </c>
      <c r="AJ1558">
        <v>75.379503813643097</v>
      </c>
      <c r="AK1558">
        <v>32.425390298222197</v>
      </c>
      <c r="AL1558">
        <v>81.235784715015001</v>
      </c>
      <c r="AM1558">
        <v>79.861533936340706</v>
      </c>
      <c r="AN1558">
        <v>1.00000001652446</v>
      </c>
    </row>
    <row r="1559" spans="1:40" x14ac:dyDescent="0.25">
      <c r="A1559" t="str">
        <f>"20190303162810382"</f>
        <v>20190303162810382</v>
      </c>
      <c r="B1559" t="str">
        <f>"1551601690372963"</f>
        <v>1551601690372963</v>
      </c>
      <c r="C1559" t="s">
        <v>40</v>
      </c>
      <c r="D1559">
        <v>5.1213150000000001</v>
      </c>
      <c r="E1559">
        <v>0.53155160000000001</v>
      </c>
      <c r="F1559" t="s">
        <v>48</v>
      </c>
      <c r="G1559">
        <v>-241.7353</v>
      </c>
      <c r="H1559" s="1">
        <v>-6.1336550000000003E-7</v>
      </c>
      <c r="I1559">
        <v>283.66539999999998</v>
      </c>
      <c r="J1559">
        <v>-207.66669999999999</v>
      </c>
      <c r="K1559">
        <v>1.1070450000000001</v>
      </c>
      <c r="L1559">
        <v>283.0258</v>
      </c>
      <c r="M1559">
        <v>-0.97595509999999996</v>
      </c>
      <c r="N1559">
        <v>-1.350988E-2</v>
      </c>
      <c r="O1559">
        <v>-0.21755289999999999</v>
      </c>
      <c r="P1559">
        <v>-0.98758979999999996</v>
      </c>
      <c r="Q1559">
        <v>0.1458187</v>
      </c>
      <c r="R1559">
        <v>-5.8339120000000001E-2</v>
      </c>
      <c r="S1559">
        <v>-3.0564420000000001</v>
      </c>
      <c r="T1559">
        <v>-9.838152E-2</v>
      </c>
      <c r="U1559">
        <v>5.1483149999999998E-2</v>
      </c>
      <c r="V1559">
        <v>0.16311709999999999</v>
      </c>
      <c r="W1559">
        <v>0.153674799999999</v>
      </c>
      <c r="X1559">
        <v>0.97456500000000001</v>
      </c>
      <c r="Y1559">
        <v>0.23377220000000001</v>
      </c>
      <c r="Z1559">
        <v>9.3470389999999997E-3</v>
      </c>
      <c r="AA1559">
        <v>0.97224650000000001</v>
      </c>
      <c r="AB1559">
        <v>30</v>
      </c>
      <c r="AC1559">
        <v>-34.068600000000004</v>
      </c>
      <c r="AD1559">
        <v>-1.1070456133655</v>
      </c>
      <c r="AE1559">
        <v>0.63959999999997297</v>
      </c>
      <c r="AF1559">
        <v>8.0282025169659601</v>
      </c>
      <c r="AG1559">
        <v>-1.1070456133655</v>
      </c>
      <c r="AH1559">
        <v>33.078381668936103</v>
      </c>
      <c r="AI1559">
        <v>91.862783792648301</v>
      </c>
      <c r="AJ1559">
        <v>76.357953646279</v>
      </c>
      <c r="AK1559">
        <v>34.056672172707898</v>
      </c>
      <c r="AL1559">
        <v>81.160053230728593</v>
      </c>
      <c r="AM1559">
        <v>80.498235698999295</v>
      </c>
      <c r="AN1559">
        <v>1.00000003584622</v>
      </c>
    </row>
    <row r="1560" spans="1:40" x14ac:dyDescent="0.25">
      <c r="A1560" t="str">
        <f>"20190303162810405"</f>
        <v>20190303162810405</v>
      </c>
      <c r="B1560" t="str">
        <f>"1551601690393459"</f>
        <v>1551601690393459</v>
      </c>
      <c r="C1560" t="s">
        <v>40</v>
      </c>
      <c r="D1560">
        <v>5.2415180000000001</v>
      </c>
      <c r="E1560">
        <v>0.51616379999999995</v>
      </c>
      <c r="F1560" t="s">
        <v>48</v>
      </c>
      <c r="G1560">
        <v>-242.68610000000001</v>
      </c>
      <c r="H1560" s="1">
        <v>-1.073952E-7</v>
      </c>
      <c r="I1560">
        <v>283.78789999999998</v>
      </c>
      <c r="J1560">
        <v>-207.96029999999999</v>
      </c>
      <c r="K1560">
        <v>1.107154</v>
      </c>
      <c r="L1560">
        <v>282.97620000000001</v>
      </c>
      <c r="M1560">
        <v>-0.97937149999999995</v>
      </c>
      <c r="N1560">
        <v>-1.347864E-2</v>
      </c>
      <c r="O1560">
        <v>-0.20161789999999999</v>
      </c>
      <c r="P1560">
        <v>-0.98789269999999996</v>
      </c>
      <c r="Q1560">
        <v>0.14610960000000001</v>
      </c>
      <c r="R1560">
        <v>-5.2157490000000001E-2</v>
      </c>
      <c r="S1560">
        <v>-3.0558930000000002</v>
      </c>
      <c r="T1560">
        <v>-9.6604110000000007E-2</v>
      </c>
      <c r="U1560">
        <v>6.6497799999999996E-2</v>
      </c>
      <c r="V1560">
        <v>0.15326770000000001</v>
      </c>
      <c r="W1560">
        <v>0.1543226</v>
      </c>
      <c r="X1560">
        <v>0.97606020000000004</v>
      </c>
      <c r="Y1560">
        <v>0.2227066</v>
      </c>
      <c r="Z1560">
        <v>8.6326809999999997E-3</v>
      </c>
      <c r="AA1560">
        <v>0.97484729999999997</v>
      </c>
      <c r="AB1560">
        <v>30</v>
      </c>
      <c r="AC1560">
        <v>-34.7258</v>
      </c>
      <c r="AD1560">
        <v>-1.1071541073952</v>
      </c>
      <c r="AE1560">
        <v>0.811699999999973</v>
      </c>
      <c r="AF1560">
        <v>7.7890936918911304</v>
      </c>
      <c r="AG1560">
        <v>-1.1071541073952</v>
      </c>
      <c r="AH1560">
        <v>33.814526649681603</v>
      </c>
      <c r="AI1560">
        <v>91.827483771996896</v>
      </c>
      <c r="AJ1560">
        <v>77.028323734137601</v>
      </c>
      <c r="AK1560">
        <v>34.717689774819497</v>
      </c>
      <c r="AL1560">
        <v>81.122488453125996</v>
      </c>
      <c r="AM1560">
        <v>81.075894185957793</v>
      </c>
      <c r="AN1560">
        <v>0.99999998337904406</v>
      </c>
    </row>
    <row r="1561" spans="1:40" x14ac:dyDescent="0.25">
      <c r="A1561" t="str">
        <f>"20190303162810425"</f>
        <v>20190303162810425</v>
      </c>
      <c r="B1561" t="str">
        <f>"1551601690412980"</f>
        <v>1551601690412980</v>
      </c>
      <c r="C1561" t="s">
        <v>40</v>
      </c>
      <c r="D1561">
        <v>5.1552069999999999</v>
      </c>
      <c r="E1561">
        <v>0.51574439999999999</v>
      </c>
      <c r="F1561" t="s">
        <v>48</v>
      </c>
      <c r="G1561">
        <v>-271.71929999999998</v>
      </c>
      <c r="H1561" s="1">
        <v>-5.1714120000000005E-7</v>
      </c>
      <c r="I1561">
        <v>282.22030000000001</v>
      </c>
      <c r="J1561">
        <v>-208.24289999999999</v>
      </c>
      <c r="K1561">
        <v>1.10727999999999</v>
      </c>
      <c r="L1561">
        <v>282.93290000000002</v>
      </c>
      <c r="M1561">
        <v>-0.98237260000000004</v>
      </c>
      <c r="N1561">
        <v>-1.344331E-2</v>
      </c>
      <c r="O1561">
        <v>-0.18644949999999999</v>
      </c>
      <c r="P1561">
        <v>-0.98815249999999999</v>
      </c>
      <c r="Q1561">
        <v>0.14572950000000001</v>
      </c>
      <c r="R1561">
        <v>-4.8143970000000001E-2</v>
      </c>
      <c r="S1561">
        <v>-3.042694</v>
      </c>
      <c r="T1561">
        <v>-5.2835460000000001E-2</v>
      </c>
      <c r="U1561">
        <v>-3.6071779999999998E-2</v>
      </c>
      <c r="V1561">
        <v>0.14206250000000001</v>
      </c>
      <c r="W1561">
        <v>0.15434100000000001</v>
      </c>
      <c r="X1561">
        <v>0.97775100000000004</v>
      </c>
      <c r="Y1561">
        <v>0.174759</v>
      </c>
      <c r="Z1561">
        <v>3.3958809999999999E-3</v>
      </c>
      <c r="AA1561">
        <v>0.98460539999999996</v>
      </c>
      <c r="AB1561">
        <v>30</v>
      </c>
      <c r="AC1561">
        <v>-63.476399999999899</v>
      </c>
      <c r="AD1561">
        <v>-1.1072805171411999</v>
      </c>
      <c r="AE1561">
        <v>-0.712600000000009</v>
      </c>
      <c r="AF1561">
        <v>11.1327231168761</v>
      </c>
      <c r="AG1561">
        <v>-1.1072805171411999</v>
      </c>
      <c r="AH1561">
        <v>62.476976640130097</v>
      </c>
      <c r="AI1561">
        <v>90.999605615420407</v>
      </c>
      <c r="AJ1561">
        <v>79.896552506661706</v>
      </c>
      <c r="AK1561">
        <v>63.470750777283499</v>
      </c>
      <c r="AL1561">
        <v>81.121421200495703</v>
      </c>
      <c r="AM1561">
        <v>81.733049594903207</v>
      </c>
      <c r="AN1561">
        <v>0.99999995809412401</v>
      </c>
    </row>
    <row r="1562" spans="1:40" x14ac:dyDescent="0.25">
      <c r="A1562" t="str">
        <f>"20190303162810447"</f>
        <v>20190303162810447</v>
      </c>
      <c r="B1562" t="str">
        <f>"1551601690433475"</f>
        <v>1551601690433475</v>
      </c>
      <c r="C1562" t="s">
        <v>40</v>
      </c>
      <c r="D1562">
        <v>5.3589440000000002</v>
      </c>
      <c r="E1562">
        <v>0.51507320000000001</v>
      </c>
      <c r="F1562" t="s">
        <v>48</v>
      </c>
      <c r="G1562">
        <v>-267.1728</v>
      </c>
      <c r="H1562" s="1">
        <v>2.2802210000000002E-6</v>
      </c>
      <c r="I1562">
        <v>282.44240000000002</v>
      </c>
      <c r="J1562">
        <v>-208.53</v>
      </c>
      <c r="K1562">
        <v>1.1074109999999999</v>
      </c>
      <c r="L1562">
        <v>282.89319999999998</v>
      </c>
      <c r="M1562">
        <v>-0.98514559999999995</v>
      </c>
      <c r="N1562">
        <v>-1.340441E-2</v>
      </c>
      <c r="O1562">
        <v>-0.1711974</v>
      </c>
      <c r="P1562">
        <v>-0.98837280000000005</v>
      </c>
      <c r="Q1562">
        <v>0.14546629999999899</v>
      </c>
      <c r="R1562">
        <v>-4.4259989999999999E-2</v>
      </c>
      <c r="S1562">
        <v>-3.0431819999999998</v>
      </c>
      <c r="T1562">
        <v>-5.7180639999999998E-2</v>
      </c>
      <c r="U1562">
        <v>-2.5329589999999999E-2</v>
      </c>
      <c r="V1562">
        <v>0.13066839999999999</v>
      </c>
      <c r="W1562">
        <v>0.154472</v>
      </c>
      <c r="X1562">
        <v>0.97931820000000003</v>
      </c>
      <c r="Y1562">
        <v>0.1629553</v>
      </c>
      <c r="Z1562">
        <v>3.52331E-3</v>
      </c>
      <c r="AA1562">
        <v>0.98662720000000004</v>
      </c>
      <c r="AB1562">
        <v>30</v>
      </c>
      <c r="AC1562">
        <v>-58.642800000000001</v>
      </c>
      <c r="AD1562">
        <v>-1.1074087197789999</v>
      </c>
      <c r="AE1562">
        <v>-0.45079999999995801</v>
      </c>
      <c r="AF1562">
        <v>9.5928323778303</v>
      </c>
      <c r="AG1562">
        <v>-1.1074087197789999</v>
      </c>
      <c r="AH1562">
        <v>57.833445190250501</v>
      </c>
      <c r="AI1562">
        <v>91.082196752573694</v>
      </c>
      <c r="AJ1562">
        <v>80.582096626911493</v>
      </c>
      <c r="AK1562">
        <v>58.6340870968031</v>
      </c>
      <c r="AL1562">
        <v>81.113824571940199</v>
      </c>
      <c r="AM1562">
        <v>82.400031393613602</v>
      </c>
      <c r="AN1562">
        <v>0.99999998319689898</v>
      </c>
    </row>
    <row r="1563" spans="1:40" x14ac:dyDescent="0.25">
      <c r="A1563" t="str">
        <f>"20190303162810469"</f>
        <v>20190303162810469</v>
      </c>
      <c r="B1563" t="str">
        <f>"1551601690462756"</f>
        <v>1551601690462756</v>
      </c>
      <c r="C1563" t="s">
        <v>40</v>
      </c>
      <c r="D1563">
        <v>5.3629220000000002</v>
      </c>
      <c r="E1563">
        <v>0.51426419999999995</v>
      </c>
      <c r="F1563" t="s">
        <v>48</v>
      </c>
      <c r="G1563">
        <v>-266.54989999999998</v>
      </c>
      <c r="H1563" s="1">
        <v>1.9487270000000002E-6</v>
      </c>
      <c r="I1563">
        <v>282.57150000000001</v>
      </c>
      <c r="J1563">
        <v>-208.83860000000001</v>
      </c>
      <c r="K1563">
        <v>1.1075619999999999</v>
      </c>
      <c r="L1563">
        <v>282.85559999999998</v>
      </c>
      <c r="M1563">
        <v>-0.98782309999999995</v>
      </c>
      <c r="N1563">
        <v>-1.336131E-2</v>
      </c>
      <c r="O1563">
        <v>-0.15500649999999999</v>
      </c>
      <c r="P1563">
        <v>-0.98866810000000005</v>
      </c>
      <c r="Q1563">
        <v>0.1448226</v>
      </c>
      <c r="R1563">
        <v>-3.9523519999999999E-2</v>
      </c>
      <c r="S1563">
        <v>-3.0430760000000001</v>
      </c>
      <c r="T1563">
        <v>-5.8082340000000003E-2</v>
      </c>
      <c r="U1563">
        <v>-1.6876220000000001E-2</v>
      </c>
      <c r="V1563">
        <v>0.1192003</v>
      </c>
      <c r="W1563">
        <v>0.1542162</v>
      </c>
      <c r="X1563">
        <v>0.98082040000000004</v>
      </c>
      <c r="Y1563">
        <v>0.14949079999999901</v>
      </c>
      <c r="Z1563">
        <v>3.2967389999999999E-3</v>
      </c>
      <c r="AA1563">
        <v>0.98875760000000001</v>
      </c>
      <c r="AB1563">
        <v>30</v>
      </c>
      <c r="AC1563">
        <v>-57.711299999999902</v>
      </c>
      <c r="AD1563">
        <v>-1.1075600512729999</v>
      </c>
      <c r="AE1563">
        <v>-0.28409999999996599</v>
      </c>
      <c r="AF1563">
        <v>8.6625691405648908</v>
      </c>
      <c r="AG1563">
        <v>-1.1075600512729999</v>
      </c>
      <c r="AH1563">
        <v>57.036678835256197</v>
      </c>
      <c r="AI1563">
        <v>91.099842175059507</v>
      </c>
      <c r="AJ1563">
        <v>81.364076483282901</v>
      </c>
      <c r="AK1563">
        <v>57.701382357257302</v>
      </c>
      <c r="AL1563">
        <v>81.128658758591797</v>
      </c>
      <c r="AM1563">
        <v>83.070755275231505</v>
      </c>
      <c r="AN1563">
        <v>1.0000000024593401</v>
      </c>
    </row>
    <row r="1564" spans="1:40" x14ac:dyDescent="0.25">
      <c r="A1564" t="str">
        <f>"20190303162810491"</f>
        <v>20190303162810491</v>
      </c>
      <c r="B1564" t="str">
        <f>"1551601690483251"</f>
        <v>1551601690483251</v>
      </c>
      <c r="C1564" t="s">
        <v>40</v>
      </c>
      <c r="D1564">
        <v>5.3623849999999997</v>
      </c>
      <c r="E1564">
        <v>0.5135826</v>
      </c>
      <c r="F1564" t="s">
        <v>48</v>
      </c>
      <c r="G1564">
        <v>-262.56439999999998</v>
      </c>
      <c r="H1564" s="1">
        <v>-1.7213990000000001E-7</v>
      </c>
      <c r="I1564">
        <v>282.71660000000003</v>
      </c>
      <c r="J1564">
        <v>-209.13650000000001</v>
      </c>
      <c r="K1564">
        <v>1.1077140000000001</v>
      </c>
      <c r="L1564">
        <v>282.82389999999998</v>
      </c>
      <c r="M1564">
        <v>-0.99011890000000002</v>
      </c>
      <c r="N1564">
        <v>-1.331687E-2</v>
      </c>
      <c r="O1564">
        <v>-0.1395972</v>
      </c>
      <c r="P1564">
        <v>-0.98894179999999998</v>
      </c>
      <c r="Q1564">
        <v>0.14383889999999999</v>
      </c>
      <c r="R1564">
        <v>-3.6122429999999997E-2</v>
      </c>
      <c r="S1564">
        <v>-3.0432589999999999</v>
      </c>
      <c r="T1564">
        <v>-6.2736990000000006E-2</v>
      </c>
      <c r="U1564">
        <v>-7.8735349999999992E-3</v>
      </c>
      <c r="V1564">
        <v>0.1071957</v>
      </c>
      <c r="W1564">
        <v>0.15363009999999999</v>
      </c>
      <c r="X1564">
        <v>0.98229670000000002</v>
      </c>
      <c r="Y1564">
        <v>0.136995899999999</v>
      </c>
      <c r="Z1564">
        <v>3.330937E-3</v>
      </c>
      <c r="AA1564">
        <v>0.99056599999999995</v>
      </c>
      <c r="AB1564">
        <v>30</v>
      </c>
      <c r="AC1564">
        <v>-53.427899999999902</v>
      </c>
      <c r="AD1564">
        <v>-1.10771417213989</v>
      </c>
      <c r="AE1564">
        <v>-0.107299999999952</v>
      </c>
      <c r="AF1564">
        <v>7.3496376720611298</v>
      </c>
      <c r="AG1564">
        <v>-1.10771417213989</v>
      </c>
      <c r="AH1564">
        <v>52.8969031024318</v>
      </c>
      <c r="AI1564">
        <v>91.188244291990401</v>
      </c>
      <c r="AJ1564">
        <v>82.089813439364903</v>
      </c>
      <c r="AK1564">
        <v>53.416538285682698</v>
      </c>
      <c r="AL1564">
        <v>81.162644511189001</v>
      </c>
      <c r="AM1564">
        <v>83.7720923591352</v>
      </c>
      <c r="AN1564">
        <v>0.99999996627769405</v>
      </c>
    </row>
    <row r="1565" spans="1:40" x14ac:dyDescent="0.25">
      <c r="A1565" t="str">
        <f>"20190303162810515"</f>
        <v>20190303162810515</v>
      </c>
      <c r="B1565" t="str">
        <f>"1551601690502771"</f>
        <v>1551601690502771</v>
      </c>
      <c r="C1565" t="s">
        <v>40</v>
      </c>
      <c r="D1565">
        <v>5.3579549999999996</v>
      </c>
      <c r="E1565">
        <v>0.51298169999999998</v>
      </c>
      <c r="F1565" t="s">
        <v>48</v>
      </c>
      <c r="G1565">
        <v>-258.6112</v>
      </c>
      <c r="H1565" s="1">
        <v>3.045688E-6</v>
      </c>
      <c r="I1565">
        <v>282.78620000000001</v>
      </c>
      <c r="J1565">
        <v>-209.45529999999999</v>
      </c>
      <c r="K1565">
        <v>1.107915</v>
      </c>
      <c r="L1565">
        <v>282.79480000000001</v>
      </c>
      <c r="M1565">
        <v>-0.99226890000000001</v>
      </c>
      <c r="N1565">
        <v>-1.326284E-2</v>
      </c>
      <c r="O1565">
        <v>-0.12339700000000001</v>
      </c>
      <c r="P1565">
        <v>-0.98902610000000002</v>
      </c>
      <c r="Q1565">
        <v>0.14411089999999999</v>
      </c>
      <c r="R1565">
        <v>-3.2550099999999998E-2</v>
      </c>
      <c r="S1565">
        <v>-3.0433650000000001</v>
      </c>
      <c r="T1565">
        <v>-6.8139199999999997E-2</v>
      </c>
      <c r="U1565">
        <v>-2.319336E-3</v>
      </c>
      <c r="V1565">
        <v>9.4592419999999997E-2</v>
      </c>
      <c r="W1565">
        <v>0.15430429999999901</v>
      </c>
      <c r="X1565">
        <v>0.9834849</v>
      </c>
      <c r="Y1565">
        <v>0.1225977</v>
      </c>
      <c r="Z1565">
        <v>3.3028350000000001E-3</v>
      </c>
      <c r="AA1565">
        <v>0.99245099999999997</v>
      </c>
      <c r="AB1565">
        <v>30</v>
      </c>
      <c r="AC1565">
        <v>-49.155900000000003</v>
      </c>
      <c r="AD1565">
        <v>-1.107911954312</v>
      </c>
      <c r="AE1565">
        <v>-8.6000000000012698E-3</v>
      </c>
      <c r="AF1565">
        <v>6.0546132885133499</v>
      </c>
      <c r="AG1565">
        <v>-1.107911954312</v>
      </c>
      <c r="AH1565">
        <v>48.756447453402302</v>
      </c>
      <c r="AI1565">
        <v>91.291811621075695</v>
      </c>
      <c r="AJ1565">
        <v>82.9212044761247</v>
      </c>
      <c r="AK1565">
        <v>49.143432717386901</v>
      </c>
      <c r="AL1565">
        <v>81.123550235185107</v>
      </c>
      <c r="AM1565">
        <v>84.506142047266707</v>
      </c>
      <c r="AN1565">
        <v>1.0000000457239699</v>
      </c>
    </row>
    <row r="1566" spans="1:40" x14ac:dyDescent="0.25">
      <c r="A1566" t="str">
        <f>"20190303162810536"</f>
        <v>20190303162810536</v>
      </c>
      <c r="B1566" t="str">
        <f>"1551601690523267"</f>
        <v>1551601690523267</v>
      </c>
      <c r="C1566" t="s">
        <v>40</v>
      </c>
      <c r="D1566">
        <v>5.3583910000000001</v>
      </c>
      <c r="E1566">
        <v>0.51289589999999996</v>
      </c>
      <c r="F1566" t="s">
        <v>48</v>
      </c>
      <c r="G1566">
        <v>-258.89019999999999</v>
      </c>
      <c r="H1566" s="1">
        <v>3.1941419999999999E-6</v>
      </c>
      <c r="I1566">
        <v>282.88549999999998</v>
      </c>
      <c r="J1566">
        <v>-209.74850000000001</v>
      </c>
      <c r="K1566">
        <v>1.1081479999999999</v>
      </c>
      <c r="L1566">
        <v>282.7724</v>
      </c>
      <c r="M1566">
        <v>-0.99397420000000003</v>
      </c>
      <c r="N1566">
        <v>-1.3204560000000001E-2</v>
      </c>
      <c r="O1566">
        <v>-0.1088171</v>
      </c>
      <c r="P1566">
        <v>-0.98882979999999998</v>
      </c>
      <c r="Q1566">
        <v>0.14605090000000001</v>
      </c>
      <c r="R1566">
        <v>-2.9749540000000001E-2</v>
      </c>
      <c r="S1566">
        <v>-3.043396</v>
      </c>
      <c r="T1566">
        <v>-6.8207139999999999E-2</v>
      </c>
      <c r="U1566">
        <v>5.5847170000000003E-3</v>
      </c>
      <c r="V1566">
        <v>8.2860649999999994E-2</v>
      </c>
      <c r="W1566">
        <v>0.15660250000000001</v>
      </c>
      <c r="X1566">
        <v>0.98417969999999999</v>
      </c>
      <c r="Y1566">
        <v>0.1106019</v>
      </c>
      <c r="Z1566">
        <v>2.9655300000000001E-3</v>
      </c>
      <c r="AA1566">
        <v>0.99386039999999998</v>
      </c>
      <c r="AB1566">
        <v>30</v>
      </c>
      <c r="AC1566">
        <v>-49.141699999999901</v>
      </c>
      <c r="AD1566">
        <v>-1.1081448058579999</v>
      </c>
      <c r="AE1566">
        <v>0.113099999999974</v>
      </c>
      <c r="AF1566">
        <v>5.4575760134220399</v>
      </c>
      <c r="AG1566">
        <v>-1.1081448058579999</v>
      </c>
      <c r="AH1566">
        <v>48.8127056897629</v>
      </c>
      <c r="AI1566">
        <v>91.292453514699005</v>
      </c>
      <c r="AJ1566">
        <v>83.620456350322598</v>
      </c>
      <c r="AK1566">
        <v>49.129353319664602</v>
      </c>
      <c r="AL1566">
        <v>80.990251765452399</v>
      </c>
      <c r="AM1566">
        <v>85.187468851155799</v>
      </c>
      <c r="AN1566">
        <v>0.99999995610837999</v>
      </c>
    </row>
    <row r="1567" spans="1:40" x14ac:dyDescent="0.25">
      <c r="A1567" t="str">
        <f>"20190303162810557"</f>
        <v>20190303162810557</v>
      </c>
      <c r="B1567" t="str">
        <f>"1551601690553053"</f>
        <v>1551601690553053</v>
      </c>
      <c r="C1567" t="s">
        <v>40</v>
      </c>
      <c r="D1567">
        <v>5.3581969999999997</v>
      </c>
      <c r="E1567">
        <v>0.5123818</v>
      </c>
      <c r="F1567" t="s">
        <v>48</v>
      </c>
      <c r="G1567">
        <v>-261.4033</v>
      </c>
      <c r="H1567" s="1">
        <v>-7.9002539999999998E-7</v>
      </c>
      <c r="I1567">
        <v>283.0147</v>
      </c>
      <c r="J1567">
        <v>-210.03980000000001</v>
      </c>
      <c r="K1567">
        <v>1.108436</v>
      </c>
      <c r="L1567">
        <v>282.75409999999999</v>
      </c>
      <c r="M1567">
        <v>-0.99541729999999995</v>
      </c>
      <c r="N1567">
        <v>-1.3136E-2</v>
      </c>
      <c r="O1567">
        <v>-9.4720540000000006E-2</v>
      </c>
      <c r="P1567">
        <v>-0.98848860000000005</v>
      </c>
      <c r="Q1567">
        <v>0.14895610000000001</v>
      </c>
      <c r="R1567">
        <v>-2.6514329999999999E-2</v>
      </c>
      <c r="S1567">
        <v>-3.0439609999999999</v>
      </c>
      <c r="T1567">
        <v>-6.5302009999999994E-2</v>
      </c>
      <c r="U1567">
        <v>1.428223E-2</v>
      </c>
      <c r="V1567">
        <v>7.2052260000000007E-2</v>
      </c>
      <c r="W1567">
        <v>0.15982060000000001</v>
      </c>
      <c r="X1567">
        <v>0.98451299999999997</v>
      </c>
      <c r="Y1567">
        <v>9.9358450000000001E-2</v>
      </c>
      <c r="Z1567">
        <v>2.5024209999999999E-3</v>
      </c>
      <c r="AA1567">
        <v>0.99504859999999995</v>
      </c>
      <c r="AB1567">
        <v>30</v>
      </c>
      <c r="AC1567">
        <v>-51.363499999999902</v>
      </c>
      <c r="AD1567">
        <v>-1.1084367900254</v>
      </c>
      <c r="AE1567">
        <v>0.26060000000000999</v>
      </c>
      <c r="AF1567">
        <v>5.1226404600584496</v>
      </c>
      <c r="AG1567">
        <v>-1.1084367900254</v>
      </c>
      <c r="AH1567">
        <v>51.084048885438499</v>
      </c>
      <c r="AI1567">
        <v>91.236824561901997</v>
      </c>
      <c r="AJ1567">
        <v>84.273598792122698</v>
      </c>
      <c r="AK1567">
        <v>51.352216387711799</v>
      </c>
      <c r="AL1567">
        <v>80.803516636685202</v>
      </c>
      <c r="AM1567">
        <v>85.814231579262696</v>
      </c>
      <c r="AN1567">
        <v>0.99999999976223297</v>
      </c>
    </row>
    <row r="1568" spans="1:40" x14ac:dyDescent="0.25">
      <c r="A1568" t="str">
        <f>"20190303162810583"</f>
        <v>20190303162810583</v>
      </c>
      <c r="B1568" t="str">
        <f>"1551601690572573"</f>
        <v>1551601690572573</v>
      </c>
      <c r="C1568" t="s">
        <v>40</v>
      </c>
      <c r="D1568">
        <v>5.4191219999999998</v>
      </c>
      <c r="E1568">
        <v>0.51213770000000003</v>
      </c>
      <c r="F1568" t="s">
        <v>48</v>
      </c>
      <c r="G1568">
        <v>-266.99259999999998</v>
      </c>
      <c r="H1568" s="1">
        <v>2.1843360000000001E-6</v>
      </c>
      <c r="I1568">
        <v>283.10640000000001</v>
      </c>
      <c r="J1568">
        <v>-210.38499999999999</v>
      </c>
      <c r="K1568">
        <v>1.10887</v>
      </c>
      <c r="L1568">
        <v>282.73700000000002</v>
      </c>
      <c r="M1568">
        <v>-0.99682099999999996</v>
      </c>
      <c r="N1568">
        <v>-1.3039429999999999E-2</v>
      </c>
      <c r="O1568">
        <v>-7.8599580000000002E-2</v>
      </c>
      <c r="P1568">
        <v>-0.98849810000000005</v>
      </c>
      <c r="Q1568">
        <v>0.1497762</v>
      </c>
      <c r="R1568">
        <v>-2.0947420000000001E-2</v>
      </c>
      <c r="S1568">
        <v>-3.0443880000000001</v>
      </c>
      <c r="T1568">
        <v>-5.9250829999999997E-2</v>
      </c>
      <c r="U1568">
        <v>1.8829350000000002E-2</v>
      </c>
      <c r="V1568">
        <v>6.1493220000000001E-2</v>
      </c>
      <c r="W1568">
        <v>0.16092579999999901</v>
      </c>
      <c r="X1568">
        <v>0.98504890000000001</v>
      </c>
      <c r="Y1568">
        <v>8.4742059999999994E-2</v>
      </c>
      <c r="Z1568">
        <v>1.880013E-3</v>
      </c>
      <c r="AA1568">
        <v>0.99640110000000004</v>
      </c>
      <c r="AB1568">
        <v>30</v>
      </c>
      <c r="AC1568">
        <v>-56.607599999999898</v>
      </c>
      <c r="AD1568">
        <v>-1.1088678156639999</v>
      </c>
      <c r="AE1568">
        <v>0.36939999999998402</v>
      </c>
      <c r="AF1568">
        <v>4.8161208622854899</v>
      </c>
      <c r="AG1568">
        <v>-1.1088678156639999</v>
      </c>
      <c r="AH1568">
        <v>56.381770573020297</v>
      </c>
      <c r="AI1568">
        <v>91.122611401809195</v>
      </c>
      <c r="AJ1568">
        <v>85.117656387007798</v>
      </c>
      <c r="AK1568">
        <v>56.597956331845197</v>
      </c>
      <c r="AL1568">
        <v>80.739362331089595</v>
      </c>
      <c r="AM1568">
        <v>86.427856740791995</v>
      </c>
      <c r="AN1568">
        <v>0.99999993230140605</v>
      </c>
    </row>
    <row r="1569" spans="1:40" x14ac:dyDescent="0.25">
      <c r="A1569" t="str">
        <f>"20190303162810604"</f>
        <v>20190303162810604</v>
      </c>
      <c r="B1569" t="str">
        <f>"1551601690593069"</f>
        <v>1551601690593069</v>
      </c>
      <c r="C1569" t="s">
        <v>40</v>
      </c>
      <c r="D1569">
        <v>5.4115529999999996</v>
      </c>
      <c r="E1569">
        <v>0.51187280000000002</v>
      </c>
      <c r="F1569" t="s">
        <v>48</v>
      </c>
      <c r="G1569">
        <v>-267.4461</v>
      </c>
      <c r="H1569" s="1">
        <v>2.4256600000000001E-6</v>
      </c>
      <c r="I1569">
        <v>283.33580000000001</v>
      </c>
      <c r="J1569">
        <v>-210.67750000000001</v>
      </c>
      <c r="K1569">
        <v>1.109354</v>
      </c>
      <c r="L1569">
        <v>282.72660000000002</v>
      </c>
      <c r="M1569">
        <v>-0.9977589</v>
      </c>
      <c r="N1569">
        <v>-1.294036E-2</v>
      </c>
      <c r="O1569">
        <v>-6.5650120000000006E-2</v>
      </c>
      <c r="P1569">
        <v>-0.98839600000000005</v>
      </c>
      <c r="Q1569">
        <v>0.15059239999999999</v>
      </c>
      <c r="R1569">
        <v>-1.9886129999999998E-2</v>
      </c>
      <c r="S1569">
        <v>-3.04454</v>
      </c>
      <c r="T1569">
        <v>-5.9164519999999998E-2</v>
      </c>
      <c r="U1569">
        <v>3.1951899999999998E-2</v>
      </c>
      <c r="V1569">
        <v>4.9570580000000003E-2</v>
      </c>
      <c r="W1569">
        <v>0.1620453</v>
      </c>
      <c r="X1569">
        <v>0.98553749999999996</v>
      </c>
      <c r="Y1569">
        <v>7.6098299999999994E-2</v>
      </c>
      <c r="Z1569">
        <v>1.6569359999999999E-3</v>
      </c>
      <c r="AA1569">
        <v>0.99709890000000001</v>
      </c>
      <c r="AB1569">
        <v>30</v>
      </c>
      <c r="AC1569">
        <v>-56.7685999999999</v>
      </c>
      <c r="AD1569">
        <v>-1.10935157434</v>
      </c>
      <c r="AE1569">
        <v>0.60919999999998697</v>
      </c>
      <c r="AF1569">
        <v>4.3334080027760304</v>
      </c>
      <c r="AG1569">
        <v>-1.10935157434</v>
      </c>
      <c r="AH1569">
        <v>56.5845096545807</v>
      </c>
      <c r="AI1569">
        <v>91.119873928367397</v>
      </c>
      <c r="AJ1569">
        <v>85.620669026372397</v>
      </c>
      <c r="AK1569">
        <v>56.761041381244503</v>
      </c>
      <c r="AL1569">
        <v>80.674367673696196</v>
      </c>
      <c r="AM1569">
        <v>87.120562604437197</v>
      </c>
      <c r="AN1569">
        <v>1.00000004277993</v>
      </c>
    </row>
    <row r="1570" spans="1:40" x14ac:dyDescent="0.25">
      <c r="A1570" t="str">
        <f>"20190303162810624"</f>
        <v>20190303162810624</v>
      </c>
      <c r="B1570" t="str">
        <f>"1551601690612589"</f>
        <v>1551601690612589</v>
      </c>
      <c r="C1570" t="s">
        <v>40</v>
      </c>
      <c r="D1570">
        <v>5.4118740000000001</v>
      </c>
      <c r="E1570">
        <v>0.51152370000000003</v>
      </c>
      <c r="F1570" t="s">
        <v>48</v>
      </c>
      <c r="G1570">
        <v>-268.71100000000001</v>
      </c>
      <c r="H1570" s="1">
        <v>3.0987730000000002E-6</v>
      </c>
      <c r="I1570">
        <v>283.3775</v>
      </c>
      <c r="J1570">
        <v>-210.9487</v>
      </c>
      <c r="K1570">
        <v>1.109891</v>
      </c>
      <c r="L1570">
        <v>282.71980000000002</v>
      </c>
      <c r="M1570">
        <v>-0.99844350000000004</v>
      </c>
      <c r="N1570">
        <v>-1.2838169999999999E-2</v>
      </c>
      <c r="O1570">
        <v>-5.4275650000000002E-2</v>
      </c>
      <c r="P1570">
        <v>-0.98781680000000005</v>
      </c>
      <c r="Q1570">
        <v>0.15443579999999901</v>
      </c>
      <c r="R1570">
        <v>-1.9181139999999999E-2</v>
      </c>
      <c r="S1570">
        <v>-3.0448</v>
      </c>
      <c r="T1570">
        <v>-5.8203459999999999E-2</v>
      </c>
      <c r="U1570">
        <v>3.414917E-2</v>
      </c>
      <c r="V1570">
        <v>3.8887959999999999E-2</v>
      </c>
      <c r="W1570">
        <v>0.1661262</v>
      </c>
      <c r="X1570">
        <v>0.98533740000000003</v>
      </c>
      <c r="Y1570">
        <v>6.5453990000000004E-2</v>
      </c>
      <c r="Z1570">
        <v>1.385867E-3</v>
      </c>
      <c r="AA1570">
        <v>0.99785469999999998</v>
      </c>
      <c r="AB1570">
        <v>30</v>
      </c>
      <c r="AC1570">
        <v>-57.762300000000003</v>
      </c>
      <c r="AD1570">
        <v>-1.109887901227</v>
      </c>
      <c r="AE1570">
        <v>0.65769999999997697</v>
      </c>
      <c r="AF1570">
        <v>3.79067565672488</v>
      </c>
      <c r="AG1570">
        <v>-1.109887901227</v>
      </c>
      <c r="AH1570">
        <v>57.620172768857998</v>
      </c>
      <c r="AI1570">
        <v>91.1011232753157</v>
      </c>
      <c r="AJ1570">
        <v>86.236089077226296</v>
      </c>
      <c r="AK1570">
        <v>57.755392674630997</v>
      </c>
      <c r="AL1570">
        <v>80.437335942950497</v>
      </c>
      <c r="AM1570">
        <v>87.739900858163907</v>
      </c>
      <c r="AN1570">
        <v>0.99999998979908</v>
      </c>
    </row>
    <row r="1571" spans="1:40" x14ac:dyDescent="0.25">
      <c r="A1571" t="str">
        <f>"20190303162810648"</f>
        <v>20190303162810648</v>
      </c>
      <c r="B1571" t="str">
        <f>"1551601690642846"</f>
        <v>1551601690642846</v>
      </c>
      <c r="C1571" t="s">
        <v>40</v>
      </c>
      <c r="D1571">
        <v>5.4735440000000004</v>
      </c>
      <c r="E1571">
        <v>0.51121519999999998</v>
      </c>
      <c r="F1571" t="s">
        <v>49</v>
      </c>
      <c r="G1571">
        <v>-280.74290000000002</v>
      </c>
      <c r="H1571" s="1">
        <v>8.3024069999999995E-6</v>
      </c>
      <c r="I1571">
        <v>283.5052</v>
      </c>
      <c r="J1571">
        <v>-211.26650000000001</v>
      </c>
      <c r="K1571">
        <v>1.1105320000000001</v>
      </c>
      <c r="L1571">
        <v>282.71510000000001</v>
      </c>
      <c r="M1571">
        <v>-0.99904950000000003</v>
      </c>
      <c r="N1571">
        <v>-1.2716079999999999E-2</v>
      </c>
      <c r="O1571">
        <v>-4.1696249999999997E-2</v>
      </c>
      <c r="P1571">
        <v>-0.987201</v>
      </c>
      <c r="Q1571">
        <v>0.159040299999999</v>
      </c>
      <c r="R1571">
        <v>-1.187554E-2</v>
      </c>
      <c r="S1571">
        <v>-3.045242</v>
      </c>
      <c r="T1571">
        <v>-4.8426150000000001E-2</v>
      </c>
      <c r="U1571">
        <v>3.4271240000000001E-2</v>
      </c>
      <c r="V1571">
        <v>3.3590799999999997E-2</v>
      </c>
      <c r="W1571">
        <v>0.17078840000000001</v>
      </c>
      <c r="X1571">
        <v>0.98473500000000003</v>
      </c>
      <c r="Y1571">
        <v>5.2928250000000003E-2</v>
      </c>
      <c r="Z1571">
        <v>8.8998149999999895E-4</v>
      </c>
      <c r="AA1571">
        <v>0.99859790000000004</v>
      </c>
      <c r="AB1571">
        <v>30</v>
      </c>
      <c r="AC1571">
        <v>-69.476399999999998</v>
      </c>
      <c r="AD1571">
        <v>-1.110523697593</v>
      </c>
      <c r="AE1571">
        <v>0.79009999999999503</v>
      </c>
      <c r="AF1571">
        <v>3.6856105597438198</v>
      </c>
      <c r="AG1571">
        <v>-1.110523697593</v>
      </c>
      <c r="AH1571">
        <v>69.365301908350006</v>
      </c>
      <c r="AI1571">
        <v>90.915923093908106</v>
      </c>
      <c r="AJ1571">
        <v>86.958543558509803</v>
      </c>
      <c r="AK1571">
        <v>69.472023843541194</v>
      </c>
      <c r="AL1571">
        <v>80.166338746052801</v>
      </c>
      <c r="AM1571">
        <v>88.046311848610898</v>
      </c>
      <c r="AN1571">
        <v>1.0000000198221</v>
      </c>
    </row>
    <row r="1572" spans="1:40" x14ac:dyDescent="0.25">
      <c r="A1572" t="str">
        <f>"20190303162810670"</f>
        <v>20190303162810670</v>
      </c>
      <c r="B1572" t="str">
        <f>"1551601690662873"</f>
        <v>1551601690662873</v>
      </c>
      <c r="C1572" t="s">
        <v>40</v>
      </c>
      <c r="D1572">
        <v>5.4659319999999996</v>
      </c>
      <c r="E1572">
        <v>0.51094280000000003</v>
      </c>
      <c r="F1572" t="s">
        <v>49</v>
      </c>
      <c r="G1572">
        <v>-298.50459999999998</v>
      </c>
      <c r="H1572" s="1">
        <v>3.759731E-6</v>
      </c>
      <c r="I1572">
        <v>284.09699999999998</v>
      </c>
      <c r="J1572">
        <v>-211.5838</v>
      </c>
      <c r="K1572">
        <v>1.1111759999999999</v>
      </c>
      <c r="L1572">
        <v>282.71339999999998</v>
      </c>
      <c r="M1572">
        <v>-0.99947059999999999</v>
      </c>
      <c r="N1572">
        <v>-1.2599020000000001E-2</v>
      </c>
      <c r="O1572">
        <v>-3.000003E-2</v>
      </c>
      <c r="P1572">
        <v>-0.98684700000000003</v>
      </c>
      <c r="Q1572">
        <v>0.16163329999999901</v>
      </c>
      <c r="R1572">
        <v>-2.8024299999999999E-3</v>
      </c>
      <c r="S1572">
        <v>-3.045715</v>
      </c>
      <c r="T1572">
        <v>-3.8771510000000002E-2</v>
      </c>
      <c r="U1572">
        <v>4.8248289999999999E-2</v>
      </c>
      <c r="V1572">
        <v>3.0895929999999999E-2</v>
      </c>
      <c r="W1572">
        <v>0.17337049999999901</v>
      </c>
      <c r="X1572">
        <v>0.98437200000000002</v>
      </c>
      <c r="Y1572">
        <v>4.5823509999999998E-2</v>
      </c>
      <c r="Z1572">
        <v>5.8420580000000002E-4</v>
      </c>
      <c r="AA1572">
        <v>0.99894939999999999</v>
      </c>
      <c r="AB1572">
        <v>30</v>
      </c>
      <c r="AC1572">
        <v>-86.9207999999999</v>
      </c>
      <c r="AD1572">
        <v>-1.1111722402690001</v>
      </c>
      <c r="AE1572">
        <v>1.3835999999999999</v>
      </c>
      <c r="AF1572">
        <v>3.9901585281042502</v>
      </c>
      <c r="AG1572">
        <v>-1.1111722402690001</v>
      </c>
      <c r="AH1572">
        <v>86.825973384007199</v>
      </c>
      <c r="AI1572">
        <v>90.732440885450401</v>
      </c>
      <c r="AJ1572">
        <v>87.368776935926604</v>
      </c>
      <c r="AK1572">
        <v>86.924712958440495</v>
      </c>
      <c r="AL1572">
        <v>80.016155411712504</v>
      </c>
      <c r="AM1572">
        <v>88.202279773590604</v>
      </c>
      <c r="AN1572">
        <v>1.0000000615724001</v>
      </c>
    </row>
    <row r="1573" spans="1:40" x14ac:dyDescent="0.25">
      <c r="A1573" t="str">
        <f>"20190303162810695"</f>
        <v>20190303162810695</v>
      </c>
      <c r="B1573" t="str">
        <f>"1551601690683369"</f>
        <v>1551601690683369</v>
      </c>
      <c r="C1573" t="s">
        <v>40</v>
      </c>
      <c r="D1573">
        <v>5.5344490000000004</v>
      </c>
      <c r="E1573">
        <v>0.50709589999999904</v>
      </c>
      <c r="F1573" t="s">
        <v>49</v>
      </c>
      <c r="G1573">
        <v>-310.6542</v>
      </c>
      <c r="H1573" s="1">
        <v>2.4764740000000001E-6</v>
      </c>
      <c r="I1573">
        <v>284.9667</v>
      </c>
      <c r="J1573">
        <v>-211.9049</v>
      </c>
      <c r="K1573">
        <v>1.111883</v>
      </c>
      <c r="L1573">
        <v>282.71449999999999</v>
      </c>
      <c r="M1573">
        <v>-0.99973789999999996</v>
      </c>
      <c r="N1573">
        <v>-1.247726E-2</v>
      </c>
      <c r="O1573">
        <v>-1.9200209999999999E-2</v>
      </c>
      <c r="P1573">
        <v>-0.98662640000000001</v>
      </c>
      <c r="Q1573">
        <v>0.16295009999999999</v>
      </c>
      <c r="R1573">
        <v>3.9873560000000001E-3</v>
      </c>
      <c r="S1573">
        <v>-3.045776</v>
      </c>
      <c r="T1573">
        <v>-3.4161450000000003E-2</v>
      </c>
      <c r="U1573">
        <v>6.9274899999999903E-2</v>
      </c>
      <c r="V1573">
        <v>2.675781E-2</v>
      </c>
      <c r="W1573">
        <v>0.1747012</v>
      </c>
      <c r="X1573">
        <v>0.98425790000000002</v>
      </c>
      <c r="Y1573">
        <v>4.1925659999999997E-2</v>
      </c>
      <c r="Z1573">
        <v>4.7247530000000003E-4</v>
      </c>
      <c r="AA1573">
        <v>0.99912060000000003</v>
      </c>
      <c r="AB1573">
        <v>30</v>
      </c>
      <c r="AC1573">
        <v>-98.749300000000005</v>
      </c>
      <c r="AD1573">
        <v>-1.1118805235260001</v>
      </c>
      <c r="AE1573">
        <v>2.25220000000001</v>
      </c>
      <c r="AF1573">
        <v>4.1474139431202302</v>
      </c>
      <c r="AG1573">
        <v>-1.1118805235260001</v>
      </c>
      <c r="AH1573">
        <v>98.675344064242694</v>
      </c>
      <c r="AI1573">
        <v>90.645015996649803</v>
      </c>
      <c r="AJ1573">
        <v>87.593223175624303</v>
      </c>
      <c r="AK1573">
        <v>98.768724032007597</v>
      </c>
      <c r="AL1573">
        <v>79.938730256802103</v>
      </c>
      <c r="AM1573">
        <v>88.442753612028298</v>
      </c>
      <c r="AN1573">
        <v>1.0000000516949199</v>
      </c>
    </row>
    <row r="1574" spans="1:40" x14ac:dyDescent="0.25">
      <c r="A1574" t="str">
        <f>"20190303162810716"</f>
        <v>20190303162810716</v>
      </c>
      <c r="B1574" t="str">
        <f>"1551601690702888"</f>
        <v>1551601690702888</v>
      </c>
      <c r="C1574" t="s">
        <v>40</v>
      </c>
      <c r="D1574">
        <v>5.474926</v>
      </c>
      <c r="E1574">
        <v>0.50517809999999996</v>
      </c>
      <c r="F1574" t="s">
        <v>48</v>
      </c>
      <c r="G1574">
        <v>-251.69720000000001</v>
      </c>
      <c r="H1574" s="1">
        <v>-6.3361800000000003E-7</v>
      </c>
      <c r="I1574">
        <v>283.46039999999999</v>
      </c>
      <c r="J1574">
        <v>-212.20169999999999</v>
      </c>
      <c r="K1574">
        <v>1.112614</v>
      </c>
      <c r="L1574">
        <v>282.71769999999998</v>
      </c>
      <c r="M1574">
        <v>-0.99987090000000001</v>
      </c>
      <c r="N1574">
        <v>-1.235728E-2</v>
      </c>
      <c r="O1574">
        <v>-1.0277079999999999E-2</v>
      </c>
      <c r="P1574">
        <v>-0.986294</v>
      </c>
      <c r="Q1574">
        <v>0.16479160000000001</v>
      </c>
      <c r="R1574">
        <v>8.2518909999999904E-3</v>
      </c>
      <c r="S1574">
        <v>-3.054535</v>
      </c>
      <c r="T1574">
        <v>-8.5350389999999998E-2</v>
      </c>
      <c r="U1574">
        <v>5.725098E-2</v>
      </c>
      <c r="V1574">
        <v>2.194252E-2</v>
      </c>
      <c r="W1574">
        <v>0.17655960000000001</v>
      </c>
      <c r="X1574">
        <v>0.98404530000000001</v>
      </c>
      <c r="Y1574">
        <v>2.8997149999999999E-2</v>
      </c>
      <c r="Z1574">
        <v>7.4435409999999995E-4</v>
      </c>
      <c r="AA1574">
        <v>0.9995792</v>
      </c>
      <c r="AB1574">
        <v>30</v>
      </c>
      <c r="AC1574">
        <v>-39.4955</v>
      </c>
      <c r="AD1574">
        <v>-1.1126146336180001</v>
      </c>
      <c r="AE1574">
        <v>0.74270000000001302</v>
      </c>
      <c r="AF1574">
        <v>1.14767968999599</v>
      </c>
      <c r="AG1574">
        <v>-1.1126146336180001</v>
      </c>
      <c r="AH1574">
        <v>39.454481053965097</v>
      </c>
      <c r="AI1574">
        <v>91.614627767943901</v>
      </c>
      <c r="AJ1574">
        <v>88.333809918498304</v>
      </c>
      <c r="AK1574">
        <v>39.486847876621702</v>
      </c>
      <c r="AL1574">
        <v>79.830569605522797</v>
      </c>
      <c r="AM1574">
        <v>88.722614210773898</v>
      </c>
      <c r="AN1574">
        <v>0.99999995949409903</v>
      </c>
    </row>
    <row r="1575" spans="1:40" x14ac:dyDescent="0.25">
      <c r="A1575" t="str">
        <f>"20190303162810738"</f>
        <v>20190303162810738</v>
      </c>
      <c r="B1575" t="str">
        <f>"1551601690723384"</f>
        <v>1551601690723384</v>
      </c>
      <c r="C1575" t="s">
        <v>40</v>
      </c>
      <c r="D1575">
        <v>5.5427330000000001</v>
      </c>
      <c r="E1575">
        <v>0.50428620000000002</v>
      </c>
      <c r="F1575" t="s">
        <v>48</v>
      </c>
      <c r="G1575">
        <v>-255.28630000000001</v>
      </c>
      <c r="H1575" s="1">
        <v>1.276317E-6</v>
      </c>
      <c r="I1575">
        <v>283.46249999999998</v>
      </c>
      <c r="J1575">
        <v>-212.5027</v>
      </c>
      <c r="K1575">
        <v>1.1134500000000001</v>
      </c>
      <c r="L1575">
        <v>282.72269999999997</v>
      </c>
      <c r="M1575">
        <v>-0.99992250000000005</v>
      </c>
      <c r="N1575">
        <v>-1.223347E-2</v>
      </c>
      <c r="O1575">
        <v>-2.3277829999999999E-3</v>
      </c>
      <c r="P1575">
        <v>-0.98623939999999999</v>
      </c>
      <c r="Q1575">
        <v>0.16498599999999999</v>
      </c>
      <c r="R1575">
        <v>1.0567460000000001E-2</v>
      </c>
      <c r="S1575">
        <v>-3.0544280000000001</v>
      </c>
      <c r="T1575">
        <v>-7.8877210000000003E-2</v>
      </c>
      <c r="U1575">
        <v>5.2795410000000001E-2</v>
      </c>
      <c r="V1575">
        <v>1.6064169999999999E-2</v>
      </c>
      <c r="W1575">
        <v>0.17677689999999999</v>
      </c>
      <c r="X1575">
        <v>0.98411979999999999</v>
      </c>
      <c r="Y1575">
        <v>1.9600019999999999E-2</v>
      </c>
      <c r="Z1575">
        <v>4.0456919999999998E-4</v>
      </c>
      <c r="AA1575">
        <v>0.99980780000000002</v>
      </c>
      <c r="AB1575">
        <v>30</v>
      </c>
      <c r="AC1575">
        <v>-42.7836</v>
      </c>
      <c r="AD1575">
        <v>-1.113448723683</v>
      </c>
      <c r="AE1575">
        <v>0.73980000000000201</v>
      </c>
      <c r="AF1575">
        <v>0.83882840631411104</v>
      </c>
      <c r="AG1575">
        <v>-1.113448723683</v>
      </c>
      <c r="AH1575">
        <v>42.752813707072399</v>
      </c>
      <c r="AI1575">
        <v>91.491579650606397</v>
      </c>
      <c r="AJ1575">
        <v>88.875976633407404</v>
      </c>
      <c r="AK1575">
        <v>42.775536010985803</v>
      </c>
      <c r="AL1575">
        <v>79.817920220969697</v>
      </c>
      <c r="AM1575">
        <v>89.0648217759163</v>
      </c>
      <c r="AN1575">
        <v>0.99999995534171804</v>
      </c>
    </row>
    <row r="1576" spans="1:40" x14ac:dyDescent="0.25">
      <c r="A1576" t="str">
        <f>"20190303162810771"</f>
        <v>20190303162810771</v>
      </c>
      <c r="B1576" t="str">
        <f>"1551601690762934"</f>
        <v>1551601690762934</v>
      </c>
      <c r="C1576" t="s">
        <v>40</v>
      </c>
      <c r="D1576">
        <v>5.5494190000000003</v>
      </c>
      <c r="E1576">
        <v>0.50215969999999999</v>
      </c>
      <c r="F1576" t="s">
        <v>48</v>
      </c>
      <c r="G1576">
        <v>-252.59989999999999</v>
      </c>
      <c r="H1576" s="1">
        <v>-1.5324350000000001E-7</v>
      </c>
      <c r="I1576">
        <v>283.37029999999999</v>
      </c>
      <c r="J1576">
        <v>-212.94649999999999</v>
      </c>
      <c r="K1576">
        <v>1.1147640000000001</v>
      </c>
      <c r="L1576">
        <v>282.73239999999998</v>
      </c>
      <c r="M1576">
        <v>-0.99990060000000003</v>
      </c>
      <c r="N1576">
        <v>-1.206399E-2</v>
      </c>
      <c r="O1576">
        <v>7.3036250000000002E-3</v>
      </c>
      <c r="P1576">
        <v>-0.98684050000000001</v>
      </c>
      <c r="Q1576">
        <v>0.16085829999999901</v>
      </c>
      <c r="R1576">
        <v>1.6450929999999999E-2</v>
      </c>
      <c r="S1576">
        <v>-3.0555270000000001</v>
      </c>
      <c r="T1576">
        <v>-8.4848170000000001E-2</v>
      </c>
      <c r="U1576">
        <v>4.9346920000000002E-2</v>
      </c>
      <c r="V1576">
        <v>1.181599E-2</v>
      </c>
      <c r="W1576">
        <v>0.172596</v>
      </c>
      <c r="X1576">
        <v>0.98492179999999996</v>
      </c>
      <c r="Y1576">
        <v>8.8403270000000003E-3</v>
      </c>
      <c r="Z1576" s="1">
        <v>6.1400390000000002E-5</v>
      </c>
      <c r="AA1576">
        <v>0.99996090000000004</v>
      </c>
      <c r="AB1576">
        <v>30</v>
      </c>
      <c r="AC1576">
        <v>-39.653399999999998</v>
      </c>
      <c r="AD1576">
        <v>-1.11476415324349</v>
      </c>
      <c r="AE1576">
        <v>0.63790000000000102</v>
      </c>
      <c r="AF1576">
        <v>0.34797341539360099</v>
      </c>
      <c r="AG1576">
        <v>-1.11476415324349</v>
      </c>
      <c r="AH1576">
        <v>39.625692508516998</v>
      </c>
      <c r="AI1576">
        <v>91.611378239479706</v>
      </c>
      <c r="AJ1576">
        <v>89.496869471399094</v>
      </c>
      <c r="AK1576">
        <v>39.642897111521997</v>
      </c>
      <c r="AL1576">
        <v>80.061209328458901</v>
      </c>
      <c r="AM1576">
        <v>89.312662303589406</v>
      </c>
      <c r="AN1576">
        <v>0.99999997447545896</v>
      </c>
    </row>
    <row r="1577" spans="1:40" x14ac:dyDescent="0.25">
      <c r="A1577" t="str">
        <f>"20190303162810794"</f>
        <v>20190303162810794</v>
      </c>
      <c r="B1577" t="str">
        <f>"1551601690783428"</f>
        <v>1551601690783428</v>
      </c>
      <c r="C1577" t="s">
        <v>40</v>
      </c>
      <c r="D1577">
        <v>5.5356170000000002</v>
      </c>
      <c r="E1577">
        <v>0.50134309999999904</v>
      </c>
      <c r="F1577" t="s">
        <v>48</v>
      </c>
      <c r="G1577">
        <v>-243.85339999999999</v>
      </c>
      <c r="H1577" s="1">
        <v>5.1379719999999996E-7</v>
      </c>
      <c r="I1577">
        <v>283.20600000000002</v>
      </c>
      <c r="J1577">
        <v>-213.26009999999999</v>
      </c>
      <c r="K1577">
        <v>1.115639</v>
      </c>
      <c r="L1577">
        <v>282.74040000000002</v>
      </c>
      <c r="M1577">
        <v>-0.99984700000000004</v>
      </c>
      <c r="N1577">
        <v>-1.1958679999999999E-2</v>
      </c>
      <c r="O1577">
        <v>1.27715E-2</v>
      </c>
      <c r="P1577">
        <v>-0.98689689999999997</v>
      </c>
      <c r="Q1577">
        <v>0.1601282</v>
      </c>
      <c r="R1577">
        <v>1.9842510000000001E-2</v>
      </c>
      <c r="S1577">
        <v>-3.05722</v>
      </c>
      <c r="T1577">
        <v>-0.1102693</v>
      </c>
      <c r="U1577">
        <v>4.6844480000000001E-2</v>
      </c>
      <c r="V1577">
        <v>9.4317680000000001E-3</v>
      </c>
      <c r="W1577">
        <v>0.17181389999999999</v>
      </c>
      <c r="X1577">
        <v>0.98508430000000002</v>
      </c>
      <c r="Y1577">
        <v>2.5501149999999999E-3</v>
      </c>
      <c r="Z1577">
        <v>-2.4652289999999998E-4</v>
      </c>
      <c r="AA1577">
        <v>0.99999669999999896</v>
      </c>
      <c r="AB1577">
        <v>30</v>
      </c>
      <c r="AC1577">
        <v>-30.593299999999999</v>
      </c>
      <c r="AD1577">
        <v>-1.1156384862027999</v>
      </c>
      <c r="AE1577">
        <v>0.46559999999993801</v>
      </c>
      <c r="AF1577">
        <v>7.4712445015599593E-2</v>
      </c>
      <c r="AG1577">
        <v>-1.1156384862027999</v>
      </c>
      <c r="AH1577">
        <v>30.556126446203201</v>
      </c>
      <c r="AI1577">
        <v>92.090998182940197</v>
      </c>
      <c r="AJ1577">
        <v>89.8599070057723</v>
      </c>
      <c r="AK1577">
        <v>30.576577548471601</v>
      </c>
      <c r="AL1577">
        <v>80.106700455602606</v>
      </c>
      <c r="AM1577">
        <v>89.451433763228906</v>
      </c>
      <c r="AN1577">
        <v>1.0000000262936499</v>
      </c>
    </row>
    <row r="1578" spans="1:40" x14ac:dyDescent="0.25">
      <c r="A1578" t="str">
        <f>"20190303162810818"</f>
        <v>20190303162810818</v>
      </c>
      <c r="B1578" t="str">
        <f>"1551601690802948"</f>
        <v>1551601690802948</v>
      </c>
      <c r="C1578" t="s">
        <v>40</v>
      </c>
      <c r="D1578">
        <v>5.4890290000000004</v>
      </c>
      <c r="E1578">
        <v>0.50058749999999996</v>
      </c>
      <c r="F1578" t="s">
        <v>48</v>
      </c>
      <c r="G1578">
        <v>-242.46530000000001</v>
      </c>
      <c r="H1578" s="1">
        <v>-2.249015E-7</v>
      </c>
      <c r="I1578">
        <v>283.21260000000001</v>
      </c>
      <c r="J1578">
        <v>-213.58840000000001</v>
      </c>
      <c r="K1578">
        <v>1.116436</v>
      </c>
      <c r="L1578">
        <v>282.74970000000002</v>
      </c>
      <c r="M1578">
        <v>-0.99977660000000002</v>
      </c>
      <c r="N1578">
        <v>-1.1857609999999999E-2</v>
      </c>
      <c r="O1578">
        <v>1.7503390000000001E-2</v>
      </c>
      <c r="P1578">
        <v>-0.98696680000000003</v>
      </c>
      <c r="Q1578">
        <v>0.159251</v>
      </c>
      <c r="R1578">
        <v>2.3151479999999999E-2</v>
      </c>
      <c r="S1578">
        <v>-3.057785</v>
      </c>
      <c r="T1578">
        <v>-0.1168077</v>
      </c>
      <c r="U1578">
        <v>4.943848E-2</v>
      </c>
      <c r="V1578">
        <v>7.7297469999999899E-3</v>
      </c>
      <c r="W1578">
        <v>0.170872</v>
      </c>
      <c r="X1578">
        <v>0.98526290000000005</v>
      </c>
      <c r="Y1578">
        <v>-1.331514E-3</v>
      </c>
      <c r="Z1578">
        <v>-4.9410920000000002E-4</v>
      </c>
      <c r="AA1578">
        <v>0.99999899999999997</v>
      </c>
      <c r="AB1578">
        <v>30</v>
      </c>
      <c r="AC1578">
        <v>-28.876899999999999</v>
      </c>
      <c r="AD1578">
        <v>-1.1164362249015001</v>
      </c>
      <c r="AE1578">
        <v>0.46289999999998999</v>
      </c>
      <c r="AF1578">
        <v>-4.25864088846203E-2</v>
      </c>
      <c r="AG1578">
        <v>-1.1164362249015001</v>
      </c>
      <c r="AH1578">
        <v>28.837484867088001</v>
      </c>
      <c r="AI1578">
        <v>92.217082540076902</v>
      </c>
      <c r="AJ1578">
        <v>90.084612778512906</v>
      </c>
      <c r="AK1578">
        <v>28.859119475583899</v>
      </c>
      <c r="AL1578">
        <v>80.161477020334303</v>
      </c>
      <c r="AM1578">
        <v>89.550502922908805</v>
      </c>
      <c r="AN1578">
        <v>0.99999998574454696</v>
      </c>
    </row>
    <row r="1579" spans="1:40" x14ac:dyDescent="0.25">
      <c r="A1579" t="str">
        <f>"20190303162810838"</f>
        <v>20190303162810838</v>
      </c>
      <c r="B1579" t="str">
        <f>"1551601690823445"</f>
        <v>1551601690823445</v>
      </c>
      <c r="C1579" t="s">
        <v>40</v>
      </c>
      <c r="D1579">
        <v>5.558014</v>
      </c>
      <c r="E1579">
        <v>0.49979309999999899</v>
      </c>
      <c r="F1579" t="s">
        <v>48</v>
      </c>
      <c r="G1579">
        <v>-241.3417</v>
      </c>
      <c r="H1579" s="1">
        <v>-8.2280869999999904E-7</v>
      </c>
      <c r="I1579">
        <v>283.22210000000001</v>
      </c>
      <c r="J1579">
        <v>-213.8527</v>
      </c>
      <c r="K1579">
        <v>1.1169960000000001</v>
      </c>
      <c r="L1579">
        <v>282.7577</v>
      </c>
      <c r="M1579">
        <v>-0.99971849999999995</v>
      </c>
      <c r="N1579">
        <v>-1.1780789999999999E-2</v>
      </c>
      <c r="O1579">
        <v>2.0591720000000001E-2</v>
      </c>
      <c r="P1579">
        <v>-0.98743510000000001</v>
      </c>
      <c r="Q1579">
        <v>0.1561024</v>
      </c>
      <c r="R1579">
        <v>2.457347E-2</v>
      </c>
      <c r="S1579">
        <v>-3.058243</v>
      </c>
      <c r="T1579">
        <v>-0.1230246</v>
      </c>
      <c r="U1579">
        <v>5.2062990000000003E-2</v>
      </c>
      <c r="V1579">
        <v>5.8354540000000003E-3</v>
      </c>
      <c r="W1579">
        <v>0.1676801</v>
      </c>
      <c r="X1579">
        <v>0.98582420000000004</v>
      </c>
      <c r="Y1579">
        <v>-3.5603779999999999E-3</v>
      </c>
      <c r="Z1579">
        <v>-6.7790419999999997E-4</v>
      </c>
      <c r="AA1579">
        <v>0.99999340000000003</v>
      </c>
      <c r="AB1579">
        <v>30</v>
      </c>
      <c r="AC1579">
        <v>-27.489000000000001</v>
      </c>
      <c r="AD1579">
        <v>-1.1169968228086999</v>
      </c>
      <c r="AE1579">
        <v>0.46440000000001103</v>
      </c>
      <c r="AF1579">
        <v>-0.101615853951307</v>
      </c>
      <c r="AG1579">
        <v>-1.1169968228086999</v>
      </c>
      <c r="AH1579">
        <v>27.447427270372199</v>
      </c>
      <c r="AI1579">
        <v>92.330399472843197</v>
      </c>
      <c r="AJ1579">
        <v>90.2121194422283</v>
      </c>
      <c r="AK1579">
        <v>27.470334389051601</v>
      </c>
      <c r="AL1579">
        <v>80.347037635084703</v>
      </c>
      <c r="AM1579">
        <v>89.660849286539303</v>
      </c>
      <c r="AN1579">
        <v>1.00000001088251</v>
      </c>
    </row>
    <row r="1580" spans="1:40" x14ac:dyDescent="0.25">
      <c r="A1580" t="str">
        <f>"20190303162810860"</f>
        <v>20190303162810860</v>
      </c>
      <c r="B1580" t="str">
        <f>"1551601690852725"</f>
        <v>1551601690852725</v>
      </c>
      <c r="C1580" t="s">
        <v>40</v>
      </c>
      <c r="D1580">
        <v>5.5556159999999997</v>
      </c>
      <c r="E1580">
        <v>0.4993918</v>
      </c>
      <c r="F1580" t="s">
        <v>48</v>
      </c>
      <c r="G1580">
        <v>-239.19319999999999</v>
      </c>
      <c r="H1580" s="1">
        <v>3.418049E-6</v>
      </c>
      <c r="I1580">
        <v>283.1823</v>
      </c>
      <c r="J1580">
        <v>-214.1617</v>
      </c>
      <c r="K1580">
        <v>1.117556</v>
      </c>
      <c r="L1580">
        <v>282.76749999999998</v>
      </c>
      <c r="M1580">
        <v>-0.99965360000000003</v>
      </c>
      <c r="N1580">
        <v>-1.169661E-2</v>
      </c>
      <c r="O1580">
        <v>2.357395E-2</v>
      </c>
      <c r="P1580">
        <v>-0.98775939999999995</v>
      </c>
      <c r="Q1580">
        <v>0.154204799999999</v>
      </c>
      <c r="R1580">
        <v>2.350298E-2</v>
      </c>
      <c r="S1580">
        <v>-3.0581969999999998</v>
      </c>
      <c r="T1580">
        <v>-0.13480320000000001</v>
      </c>
      <c r="U1580">
        <v>5.1239010000000001E-2</v>
      </c>
      <c r="V1580">
        <v>1.5663140000000001E-3</v>
      </c>
      <c r="W1580">
        <v>0.16574340000000001</v>
      </c>
      <c r="X1580">
        <v>0.98616769999999998</v>
      </c>
      <c r="Y1580">
        <v>-6.803908E-3</v>
      </c>
      <c r="Z1580">
        <v>-9.5245509999999998E-4</v>
      </c>
      <c r="AA1580">
        <v>0.99997639999999999</v>
      </c>
      <c r="AB1580">
        <v>30</v>
      </c>
      <c r="AC1580">
        <v>-25.031499999999902</v>
      </c>
      <c r="AD1580">
        <v>-1.1175525819509999</v>
      </c>
      <c r="AE1580">
        <v>0.41480000000001299</v>
      </c>
      <c r="AF1580">
        <v>-0.17509811136866199</v>
      </c>
      <c r="AG1580">
        <v>-1.1175525819509999</v>
      </c>
      <c r="AH1580">
        <v>24.984535033002</v>
      </c>
      <c r="AI1580">
        <v>92.561057259645594</v>
      </c>
      <c r="AJ1580">
        <v>90.401537131851398</v>
      </c>
      <c r="AK1580">
        <v>25.010129426641001</v>
      </c>
      <c r="AL1580">
        <v>80.459577492582596</v>
      </c>
      <c r="AM1580">
        <v>89.908998128686406</v>
      </c>
      <c r="AN1580">
        <v>1.00000003025319</v>
      </c>
    </row>
    <row r="1581" spans="1:40" x14ac:dyDescent="0.25">
      <c r="A1581" t="str">
        <f>"20190303162810882"</f>
        <v>20190303162810882</v>
      </c>
      <c r="B1581" t="str">
        <f>"1551601690873221"</f>
        <v>1551601690873221</v>
      </c>
      <c r="C1581" t="s">
        <v>40</v>
      </c>
      <c r="D1581">
        <v>5.5577959999999997</v>
      </c>
      <c r="E1581">
        <v>0.49895810000000002</v>
      </c>
      <c r="F1581" t="s">
        <v>48</v>
      </c>
      <c r="G1581">
        <v>-238.36340000000001</v>
      </c>
      <c r="H1581" s="1">
        <v>2.9780180000000002E-6</v>
      </c>
      <c r="I1581">
        <v>283.14670000000001</v>
      </c>
      <c r="J1581">
        <v>-214.46729999999999</v>
      </c>
      <c r="K1581">
        <v>1.1180460000000001</v>
      </c>
      <c r="L1581">
        <v>282.77769999999998</v>
      </c>
      <c r="M1581">
        <v>-0.99959390000000004</v>
      </c>
      <c r="N1581">
        <v>-1.1621009999999999E-2</v>
      </c>
      <c r="O1581">
        <v>2.602076E-2</v>
      </c>
      <c r="P1581">
        <v>-0.98774419999999996</v>
      </c>
      <c r="Q1581">
        <v>0.1547547</v>
      </c>
      <c r="R1581">
        <v>2.0308489999999998E-2</v>
      </c>
      <c r="S1581">
        <v>-3.05809</v>
      </c>
      <c r="T1581">
        <v>-0.1412128</v>
      </c>
      <c r="U1581">
        <v>4.79126E-2</v>
      </c>
      <c r="V1581">
        <v>-4.2339709999999996E-3</v>
      </c>
      <c r="W1581">
        <v>0.16625879999999901</v>
      </c>
      <c r="X1581">
        <v>0.98607310000000004</v>
      </c>
      <c r="Y1581">
        <v>-1.032977E-2</v>
      </c>
      <c r="Z1581">
        <v>-1.1968020000000001E-3</v>
      </c>
      <c r="AA1581">
        <v>0.99994590000000005</v>
      </c>
      <c r="AB1581">
        <v>30</v>
      </c>
      <c r="AC1581">
        <v>-23.896100000000001</v>
      </c>
      <c r="AD1581">
        <v>-1.1180430219819999</v>
      </c>
      <c r="AE1581">
        <v>0.36900000000002797</v>
      </c>
      <c r="AF1581">
        <v>-0.25240918984996502</v>
      </c>
      <c r="AG1581">
        <v>-1.1180430219819999</v>
      </c>
      <c r="AH1581">
        <v>23.845422805640801</v>
      </c>
      <c r="AI1581">
        <v>92.684317472650093</v>
      </c>
      <c r="AJ1581">
        <v>90.606466125692705</v>
      </c>
      <c r="AK1581">
        <v>23.872953721270001</v>
      </c>
      <c r="AL1581">
        <v>80.429631831842798</v>
      </c>
      <c r="AM1581">
        <v>90.246013381839305</v>
      </c>
      <c r="AN1581">
        <v>1.00000003681573</v>
      </c>
    </row>
    <row r="1582" spans="1:40" x14ac:dyDescent="0.25">
      <c r="A1582" t="str">
        <f>"20190303162810905"</f>
        <v>20190303162810905</v>
      </c>
      <c r="B1582" t="str">
        <f>"1551601690892741"</f>
        <v>1551601690892741</v>
      </c>
      <c r="C1582" t="s">
        <v>40</v>
      </c>
      <c r="D1582">
        <v>5.5513379999999897</v>
      </c>
      <c r="E1582">
        <v>0.49861499999999997</v>
      </c>
      <c r="F1582" t="s">
        <v>48</v>
      </c>
      <c r="G1582">
        <v>-239.14150000000001</v>
      </c>
      <c r="H1582" s="1">
        <v>3.3943089999999999E-6</v>
      </c>
      <c r="I1582">
        <v>283.09629999999999</v>
      </c>
      <c r="J1582">
        <v>-214.76679999999999</v>
      </c>
      <c r="K1582">
        <v>1.118447</v>
      </c>
      <c r="L1582">
        <v>282.78809999999999</v>
      </c>
      <c r="M1582">
        <v>-0.99953890000000001</v>
      </c>
      <c r="N1582">
        <v>-1.1555360000000001E-2</v>
      </c>
      <c r="O1582">
        <v>2.8080600000000001E-2</v>
      </c>
      <c r="P1582">
        <v>-0.98776529999999996</v>
      </c>
      <c r="Q1582">
        <v>0.155058</v>
      </c>
      <c r="R1582">
        <v>1.663456E-2</v>
      </c>
      <c r="S1582">
        <v>-3.0581360000000002</v>
      </c>
      <c r="T1582">
        <v>-0.13857079999999999</v>
      </c>
      <c r="U1582">
        <v>3.9489749999999997E-2</v>
      </c>
      <c r="V1582">
        <v>-1.0096279999999999E-2</v>
      </c>
      <c r="W1582">
        <v>0.16652729999999999</v>
      </c>
      <c r="X1582">
        <v>0.98598520000000001</v>
      </c>
      <c r="Y1582">
        <v>-1.513782E-2</v>
      </c>
      <c r="Z1582">
        <v>-1.3774010000000001E-3</v>
      </c>
      <c r="AA1582">
        <v>0.99988449999999995</v>
      </c>
      <c r="AB1582">
        <v>30</v>
      </c>
      <c r="AC1582">
        <v>-24.374700000000001</v>
      </c>
      <c r="AD1582">
        <v>-1.1184436056910001</v>
      </c>
      <c r="AE1582">
        <v>0.30819999999999897</v>
      </c>
      <c r="AF1582">
        <v>-0.37563267485197499</v>
      </c>
      <c r="AG1582">
        <v>-1.1184436056910001</v>
      </c>
      <c r="AH1582">
        <v>24.3225396115526</v>
      </c>
      <c r="AI1582">
        <v>92.632511420740499</v>
      </c>
      <c r="AJ1582">
        <v>90.884794779315797</v>
      </c>
      <c r="AK1582">
        <v>24.351138559851201</v>
      </c>
      <c r="AL1582">
        <v>80.414030508955605</v>
      </c>
      <c r="AM1582">
        <v>90.5866761648645</v>
      </c>
      <c r="AN1582">
        <v>1.0000000455670801</v>
      </c>
    </row>
    <row r="1583" spans="1:40" x14ac:dyDescent="0.25">
      <c r="A1583" t="str">
        <f>"20190303162810925"</f>
        <v>20190303162810925</v>
      </c>
      <c r="B1583" t="str">
        <f>"1551601690913237"</f>
        <v>1551601690913237</v>
      </c>
      <c r="C1583" t="s">
        <v>40</v>
      </c>
      <c r="D1583">
        <v>5.5068789999999996</v>
      </c>
      <c r="E1583">
        <v>0.49808910000000001</v>
      </c>
      <c r="F1583" t="s">
        <v>48</v>
      </c>
      <c r="G1583">
        <v>-239.88220000000001</v>
      </c>
      <c r="H1583" s="1">
        <v>3.791459E-6</v>
      </c>
      <c r="I1583">
        <v>283.0274</v>
      </c>
      <c r="J1583">
        <v>-215.04390000000001</v>
      </c>
      <c r="K1583">
        <v>1.118749</v>
      </c>
      <c r="L1583">
        <v>282.798</v>
      </c>
      <c r="M1583">
        <v>-0.99948970000000004</v>
      </c>
      <c r="N1583">
        <v>-1.150141E-2</v>
      </c>
      <c r="O1583">
        <v>2.980141E-2</v>
      </c>
      <c r="P1583">
        <v>-0.98777400000000004</v>
      </c>
      <c r="Q1583">
        <v>0.15534100000000001</v>
      </c>
      <c r="R1583">
        <v>1.3104640000000001E-2</v>
      </c>
      <c r="S1583">
        <v>-3.0580289999999999</v>
      </c>
      <c r="T1583">
        <v>-0.13618089999999999</v>
      </c>
      <c r="U1583">
        <v>2.914429E-2</v>
      </c>
      <c r="V1583">
        <v>-1.544016E-2</v>
      </c>
      <c r="W1583">
        <v>0.16677700000000001</v>
      </c>
      <c r="X1583">
        <v>0.98587380000000002</v>
      </c>
      <c r="Y1583">
        <v>-2.0234800000000001E-2</v>
      </c>
      <c r="Z1583">
        <v>-1.5503159999999999E-3</v>
      </c>
      <c r="AA1583">
        <v>0.99979410000000002</v>
      </c>
      <c r="AB1583">
        <v>30</v>
      </c>
      <c r="AC1583">
        <v>-24.8383</v>
      </c>
      <c r="AD1583">
        <v>-1.1187452085409999</v>
      </c>
      <c r="AE1583">
        <v>0.22939999999999799</v>
      </c>
      <c r="AF1583">
        <v>-0.50993279049678297</v>
      </c>
      <c r="AG1583">
        <v>-1.1187452085409999</v>
      </c>
      <c r="AH1583">
        <v>24.783828482272401</v>
      </c>
      <c r="AI1583">
        <v>92.584038176494403</v>
      </c>
      <c r="AJ1583">
        <v>91.178707111084904</v>
      </c>
      <c r="AK1583">
        <v>24.8143058845327</v>
      </c>
      <c r="AL1583">
        <v>80.399520966212506</v>
      </c>
      <c r="AM1583">
        <v>90.897258537932103</v>
      </c>
      <c r="AN1583">
        <v>1.0000000578981301</v>
      </c>
    </row>
    <row r="1584" spans="1:40" x14ac:dyDescent="0.25">
      <c r="A1584" t="str">
        <f>"20190303162810949"</f>
        <v>20190303162810949</v>
      </c>
      <c r="B1584" t="str">
        <f>"1551601690943492"</f>
        <v>1551601690943492</v>
      </c>
      <c r="C1584" t="s">
        <v>40</v>
      </c>
      <c r="D1584">
        <v>5.4994249999999996</v>
      </c>
      <c r="E1584">
        <v>0.4972568</v>
      </c>
      <c r="F1584" t="s">
        <v>48</v>
      </c>
      <c r="G1584">
        <v>-240.52600000000001</v>
      </c>
      <c r="H1584" s="1">
        <v>-1.2569030000000001E-6</v>
      </c>
      <c r="I1584">
        <v>282.92840000000001</v>
      </c>
      <c r="J1584">
        <v>-215.3674</v>
      </c>
      <c r="K1584">
        <v>1.119022</v>
      </c>
      <c r="L1584">
        <v>282.81</v>
      </c>
      <c r="M1584">
        <v>-0.99943320000000002</v>
      </c>
      <c r="N1584">
        <v>-1.1446090000000001E-2</v>
      </c>
      <c r="O1584">
        <v>3.1660439999999998E-2</v>
      </c>
      <c r="P1584">
        <v>-0.98762030000000001</v>
      </c>
      <c r="Q1584">
        <v>0.15661910000000001</v>
      </c>
      <c r="R1584">
        <v>8.7626630000000004E-3</v>
      </c>
      <c r="S1584">
        <v>-3.0580440000000002</v>
      </c>
      <c r="T1584">
        <v>-0.13425870000000001</v>
      </c>
      <c r="U1584">
        <v>1.5655519999999999E-2</v>
      </c>
      <c r="V1584">
        <v>-2.170913E-2</v>
      </c>
      <c r="W1584">
        <v>0.16801659999999999</v>
      </c>
      <c r="X1584">
        <v>0.98554509999999995</v>
      </c>
      <c r="Y1584">
        <v>-2.649644E-2</v>
      </c>
      <c r="Z1584">
        <v>-1.759898E-3</v>
      </c>
      <c r="AA1584">
        <v>0.99964739999999996</v>
      </c>
      <c r="AB1584">
        <v>30</v>
      </c>
      <c r="AC1584">
        <v>-25.1585999999999</v>
      </c>
      <c r="AD1584">
        <v>-1.1190232569030001</v>
      </c>
      <c r="AE1584">
        <v>0.118400000000008</v>
      </c>
      <c r="AF1584">
        <v>-0.676904714379162</v>
      </c>
      <c r="AG1584">
        <v>-1.1190232569030001</v>
      </c>
      <c r="AH1584">
        <v>25.1000788583043</v>
      </c>
      <c r="AI1584">
        <v>92.551769903086793</v>
      </c>
      <c r="AJ1584">
        <v>91.544791364688095</v>
      </c>
      <c r="AK1584">
        <v>25.134127630274602</v>
      </c>
      <c r="AL1584">
        <v>80.327480074263704</v>
      </c>
      <c r="AM1584">
        <v>91.261880769026206</v>
      </c>
      <c r="AN1584">
        <v>1.0000000041674599</v>
      </c>
    </row>
    <row r="1585" spans="1:40" x14ac:dyDescent="0.25">
      <c r="A1585" t="str">
        <f>"20190303162810971"</f>
        <v>20190303162810971</v>
      </c>
      <c r="B1585" t="str">
        <f>"1551601690963013"</f>
        <v>1551601690963013</v>
      </c>
      <c r="C1585" t="s">
        <v>40</v>
      </c>
      <c r="D1585">
        <v>5.5015460000000003</v>
      </c>
      <c r="E1585">
        <v>0.49669799999999997</v>
      </c>
      <c r="F1585" t="s">
        <v>48</v>
      </c>
      <c r="G1585">
        <v>-241.72149999999999</v>
      </c>
      <c r="H1585" s="1">
        <v>-6.2067950000000001E-7</v>
      </c>
      <c r="I1585">
        <v>282.77839999999998</v>
      </c>
      <c r="J1585">
        <v>-215.67779999999999</v>
      </c>
      <c r="K1585">
        <v>1.1192299999999999</v>
      </c>
      <c r="L1585">
        <v>282.82190000000003</v>
      </c>
      <c r="M1585">
        <v>-0.99937989999999999</v>
      </c>
      <c r="N1585">
        <v>-1.1399670000000001E-2</v>
      </c>
      <c r="O1585">
        <v>3.3314980000000001E-2</v>
      </c>
      <c r="P1585">
        <v>-0.98748049999999998</v>
      </c>
      <c r="Q1585">
        <v>0.15768670000000001</v>
      </c>
      <c r="R1585">
        <v>4.1376329999999999E-3</v>
      </c>
      <c r="S1585">
        <v>-3.0582280000000002</v>
      </c>
      <c r="T1585">
        <v>-0.12985559999999999</v>
      </c>
      <c r="U1585">
        <v>-3.6621090000000002E-3</v>
      </c>
      <c r="V1585">
        <v>-2.8038460000000001E-2</v>
      </c>
      <c r="W1585">
        <v>0.1690507</v>
      </c>
      <c r="X1585">
        <v>0.98520850000000004</v>
      </c>
      <c r="Y1585">
        <v>-3.4458469999999998E-2</v>
      </c>
      <c r="Z1585">
        <v>-1.9618140000000001E-3</v>
      </c>
      <c r="AA1585">
        <v>0.99940419999999996</v>
      </c>
      <c r="AB1585">
        <v>30</v>
      </c>
      <c r="AC1585">
        <v>-26.043700000000001</v>
      </c>
      <c r="AD1585">
        <v>-1.1192306206795</v>
      </c>
      <c r="AE1585">
        <v>-4.3500000000051303E-2</v>
      </c>
      <c r="AF1585">
        <v>-0.90949785590741505</v>
      </c>
      <c r="AG1585">
        <v>-1.1192306206795</v>
      </c>
      <c r="AH1585">
        <v>25.9798110984282</v>
      </c>
      <c r="AI1585">
        <v>92.465313376185904</v>
      </c>
      <c r="AJ1585">
        <v>92.004984412053403</v>
      </c>
      <c r="AK1585">
        <v>26.0198087664414</v>
      </c>
      <c r="AL1585">
        <v>80.267371061748406</v>
      </c>
      <c r="AM1585">
        <v>91.630164492688607</v>
      </c>
      <c r="AN1585">
        <v>1.00000004144095</v>
      </c>
    </row>
    <row r="1586" spans="1:40" x14ac:dyDescent="0.25">
      <c r="A1586" t="str">
        <f>"20190303162810995"</f>
        <v>20190303162810995</v>
      </c>
      <c r="B1586" t="str">
        <f>"1551601690982533"</f>
        <v>1551601690982533</v>
      </c>
      <c r="C1586" t="s">
        <v>40</v>
      </c>
      <c r="D1586">
        <v>5.4465879999999904</v>
      </c>
      <c r="E1586">
        <v>0.49624780000000002</v>
      </c>
      <c r="F1586" t="s">
        <v>48</v>
      </c>
      <c r="G1586">
        <v>-242.69290000000001</v>
      </c>
      <c r="H1586" s="1">
        <v>-1.037375E-7</v>
      </c>
      <c r="I1586">
        <v>282.63990000000001</v>
      </c>
      <c r="J1586">
        <v>-215.99209999999999</v>
      </c>
      <c r="K1586">
        <v>1.119418</v>
      </c>
      <c r="L1586">
        <v>282.83429999999998</v>
      </c>
      <c r="M1586">
        <v>-0.99932840000000001</v>
      </c>
      <c r="N1586">
        <v>-1.13583E-2</v>
      </c>
      <c r="O1586">
        <v>3.4839990000000001E-2</v>
      </c>
      <c r="P1586">
        <v>-0.98753290000000005</v>
      </c>
      <c r="Q1586">
        <v>0.15740699999999999</v>
      </c>
      <c r="R1586">
        <v>1.362996E-3</v>
      </c>
      <c r="S1586">
        <v>-3.0583339999999999</v>
      </c>
      <c r="T1586">
        <v>-0.12670580000000001</v>
      </c>
      <c r="U1586">
        <v>-2.0599369999999999E-2</v>
      </c>
      <c r="V1586">
        <v>-3.240051E-2</v>
      </c>
      <c r="W1586">
        <v>0.16873250000000001</v>
      </c>
      <c r="X1586">
        <v>0.98512920000000004</v>
      </c>
      <c r="Y1586">
        <v>-4.1511569999999998E-2</v>
      </c>
      <c r="Z1586">
        <v>-2.1423570000000001E-3</v>
      </c>
      <c r="AA1586">
        <v>0.99913569999999996</v>
      </c>
      <c r="AB1586">
        <v>30</v>
      </c>
      <c r="AC1586">
        <v>-26.700800000000001</v>
      </c>
      <c r="AD1586">
        <v>-1.1194181037374999</v>
      </c>
      <c r="AE1586">
        <v>-0.19439999999997301</v>
      </c>
      <c r="AF1586">
        <v>-1.12262444901098</v>
      </c>
      <c r="AG1586">
        <v>-1.1194181037374999</v>
      </c>
      <c r="AH1586">
        <v>26.631008699227301</v>
      </c>
      <c r="AI1586">
        <v>92.404842694322596</v>
      </c>
      <c r="AJ1586">
        <v>92.413862118242804</v>
      </c>
      <c r="AK1586">
        <v>26.678155987301899</v>
      </c>
      <c r="AL1586">
        <v>80.285867843653406</v>
      </c>
      <c r="AM1586">
        <v>91.883756500747296</v>
      </c>
      <c r="AN1586">
        <v>0.99999999514857496</v>
      </c>
    </row>
    <row r="1587" spans="1:40" x14ac:dyDescent="0.25">
      <c r="A1587" t="str">
        <f>"20190303162811016"</f>
        <v>20190303162811016</v>
      </c>
      <c r="B1587" t="str">
        <f>"1551601691003029"</f>
        <v>1551601691003029</v>
      </c>
      <c r="C1587" t="s">
        <v>40</v>
      </c>
      <c r="D1587">
        <v>5.4300790000000001</v>
      </c>
      <c r="E1587">
        <v>0.49589549999999999</v>
      </c>
      <c r="F1587" t="s">
        <v>48</v>
      </c>
      <c r="G1587">
        <v>-242.99539999999999</v>
      </c>
      <c r="H1587" s="1">
        <v>5.721091E-8</v>
      </c>
      <c r="I1587">
        <v>282.529</v>
      </c>
      <c r="J1587">
        <v>-216.27979999999999</v>
      </c>
      <c r="K1587">
        <v>1.1196090000000001</v>
      </c>
      <c r="L1587">
        <v>282.8458</v>
      </c>
      <c r="M1587">
        <v>-0.9992858</v>
      </c>
      <c r="N1587">
        <v>-1.132469E-2</v>
      </c>
      <c r="O1587">
        <v>3.6053429999999997E-2</v>
      </c>
      <c r="P1587">
        <v>-0.98809669999999905</v>
      </c>
      <c r="Q1587">
        <v>0.15382760000000001</v>
      </c>
      <c r="R1587">
        <v>1.4463589999999999E-3</v>
      </c>
      <c r="S1587">
        <v>-3.0581360000000002</v>
      </c>
      <c r="T1587">
        <v>-0.12677449999999901</v>
      </c>
      <c r="U1587">
        <v>-3.4576419999999997E-2</v>
      </c>
      <c r="V1587">
        <v>-3.3630970000000003E-2</v>
      </c>
      <c r="W1587">
        <v>0.16511380000000001</v>
      </c>
      <c r="X1587">
        <v>0.98570100000000005</v>
      </c>
      <c r="Y1587">
        <v>-4.7283680000000002E-2</v>
      </c>
      <c r="Z1587">
        <v>-2.333038E-3</v>
      </c>
      <c r="AA1587">
        <v>0.99887879999999996</v>
      </c>
      <c r="AB1587">
        <v>30</v>
      </c>
      <c r="AC1587">
        <v>-26.715599999999899</v>
      </c>
      <c r="AD1587">
        <v>-1.1196089427890901</v>
      </c>
      <c r="AE1587">
        <v>-0.31680000000000003</v>
      </c>
      <c r="AF1587">
        <v>-1.27760113745224</v>
      </c>
      <c r="AG1587">
        <v>-1.1196089427890901</v>
      </c>
      <c r="AH1587">
        <v>26.6400247928492</v>
      </c>
      <c r="AI1587">
        <v>92.403812518439693</v>
      </c>
      <c r="AJ1587">
        <v>92.745684770193094</v>
      </c>
      <c r="AK1587">
        <v>26.694132497888202</v>
      </c>
      <c r="AL1587">
        <v>80.496154934582606</v>
      </c>
      <c r="AM1587">
        <v>91.954107240090906</v>
      </c>
      <c r="AN1587">
        <v>1.00000003524729</v>
      </c>
    </row>
    <row r="1588" spans="1:40" x14ac:dyDescent="0.25">
      <c r="A1588" t="str">
        <f>"20190303162811039"</f>
        <v>20190303162811039</v>
      </c>
      <c r="B1588" t="str">
        <f>"1551601691033285"</f>
        <v>1551601691033285</v>
      </c>
      <c r="C1588" t="s">
        <v>40</v>
      </c>
      <c r="D1588">
        <v>5.4351849999999997</v>
      </c>
      <c r="E1588">
        <v>0.4955232</v>
      </c>
      <c r="F1588" t="s">
        <v>48</v>
      </c>
      <c r="G1588">
        <v>-241.2148</v>
      </c>
      <c r="H1588" s="1">
        <v>-8.903409E-7</v>
      </c>
      <c r="I1588">
        <v>282.517</v>
      </c>
      <c r="J1588">
        <v>-216.58109999999999</v>
      </c>
      <c r="K1588">
        <v>1.1198459999999999</v>
      </c>
      <c r="L1588">
        <v>282.858</v>
      </c>
      <c r="M1588">
        <v>-0.99924829999999998</v>
      </c>
      <c r="N1588">
        <v>-1.129367E-2</v>
      </c>
      <c r="O1588">
        <v>3.7085750000000001E-2</v>
      </c>
      <c r="P1588">
        <v>-0.9886334</v>
      </c>
      <c r="Q1588">
        <v>0.15028359999999999</v>
      </c>
      <c r="R1588">
        <v>4.3447190000000004E-3</v>
      </c>
      <c r="S1588">
        <v>-3.0575709999999998</v>
      </c>
      <c r="T1588">
        <v>-0.13728850000000001</v>
      </c>
      <c r="U1588">
        <v>-4.0313719999999997E-2</v>
      </c>
      <c r="V1588">
        <v>-3.1883799999999997E-2</v>
      </c>
      <c r="W1588">
        <v>0.1615211</v>
      </c>
      <c r="X1588">
        <v>0.98635410000000001</v>
      </c>
      <c r="Y1588">
        <v>-5.0175369999999997E-2</v>
      </c>
      <c r="Z1588">
        <v>-2.6547609999999998E-3</v>
      </c>
      <c r="AA1588">
        <v>0.99873690000000004</v>
      </c>
      <c r="AB1588">
        <v>30</v>
      </c>
      <c r="AC1588">
        <v>-24.633700000000001</v>
      </c>
      <c r="AD1588">
        <v>-1.11984689034089</v>
      </c>
      <c r="AE1588">
        <v>-0.34100000000000802</v>
      </c>
      <c r="AF1588">
        <v>-1.2517963921225199</v>
      </c>
      <c r="AG1588">
        <v>-1.11984689034089</v>
      </c>
      <c r="AH1588">
        <v>24.553372486246602</v>
      </c>
      <c r="AI1588">
        <v>92.607992644399999</v>
      </c>
      <c r="AJ1588">
        <v>92.918564672762997</v>
      </c>
      <c r="AK1588">
        <v>24.610752766088002</v>
      </c>
      <c r="AL1588">
        <v>80.704802913837597</v>
      </c>
      <c r="AM1588">
        <v>91.851435804775605</v>
      </c>
      <c r="AN1588">
        <v>1.00000002651722</v>
      </c>
    </row>
    <row r="1589" spans="1:40" x14ac:dyDescent="0.25">
      <c r="A1589" t="str">
        <f>"20190303162811061"</f>
        <v>20190303162811061</v>
      </c>
      <c r="B1589" t="str">
        <f>"1551601691052805"</f>
        <v>1551601691052805</v>
      </c>
      <c r="C1589" t="s">
        <v>40</v>
      </c>
      <c r="D1589">
        <v>5.3716609999999996</v>
      </c>
      <c r="E1589">
        <v>0.49524059999999998</v>
      </c>
      <c r="F1589" t="s">
        <v>48</v>
      </c>
      <c r="G1589">
        <v>-239.8775</v>
      </c>
      <c r="H1589" s="1">
        <v>3.808797E-6</v>
      </c>
      <c r="I1589">
        <v>282.57420000000002</v>
      </c>
      <c r="J1589">
        <v>-216.89240000000001</v>
      </c>
      <c r="K1589">
        <v>1.1201270000000001</v>
      </c>
      <c r="L1589">
        <v>282.87049999999999</v>
      </c>
      <c r="M1589">
        <v>-0.99921959999999999</v>
      </c>
      <c r="N1589">
        <v>-1.1266170000000001E-2</v>
      </c>
      <c r="O1589">
        <v>3.7858990000000002E-2</v>
      </c>
      <c r="P1589">
        <v>-0.98874119999999999</v>
      </c>
      <c r="Q1589">
        <v>0.14945229999999901</v>
      </c>
      <c r="R1589">
        <v>7.41729E-3</v>
      </c>
      <c r="S1589">
        <v>-3.057007</v>
      </c>
      <c r="T1589">
        <v>-0.146948</v>
      </c>
      <c r="U1589">
        <v>-3.7231449999999999E-2</v>
      </c>
      <c r="V1589">
        <v>-2.9695369999999999E-2</v>
      </c>
      <c r="W1589">
        <v>0.16063859999999999</v>
      </c>
      <c r="X1589">
        <v>0.98656650000000001</v>
      </c>
      <c r="Y1589">
        <v>-4.9931209999999997E-2</v>
      </c>
      <c r="Z1589">
        <v>-2.8729530000000001E-3</v>
      </c>
      <c r="AA1589">
        <v>0.99874850000000004</v>
      </c>
      <c r="AB1589">
        <v>30</v>
      </c>
      <c r="AC1589">
        <v>-22.9850999999999</v>
      </c>
      <c r="AD1589">
        <v>-1.1201231912029901</v>
      </c>
      <c r="AE1589">
        <v>-0.29629999999997297</v>
      </c>
      <c r="AF1589">
        <v>-1.1635725700456101</v>
      </c>
      <c r="AG1589">
        <v>-1.1201231912029901</v>
      </c>
      <c r="AH1589">
        <v>22.903018840427301</v>
      </c>
      <c r="AI1589">
        <v>92.796346092269999</v>
      </c>
      <c r="AJ1589">
        <v>92.908373269046507</v>
      </c>
      <c r="AK1589">
        <v>22.959896539274801</v>
      </c>
      <c r="AL1589">
        <v>80.756035376281105</v>
      </c>
      <c r="AM1589">
        <v>91.724066068163395</v>
      </c>
      <c r="AN1589">
        <v>1.0000000168658201</v>
      </c>
    </row>
    <row r="1590" spans="1:40" x14ac:dyDescent="0.25">
      <c r="A1590" t="str">
        <f>"20190303162811083"</f>
        <v>20190303162811083</v>
      </c>
      <c r="B1590" t="str">
        <f>"1551601691073301"</f>
        <v>1551601691073301</v>
      </c>
      <c r="C1590" t="s">
        <v>40</v>
      </c>
      <c r="D1590">
        <v>5.3162200000000004</v>
      </c>
      <c r="E1590">
        <v>0.4949673</v>
      </c>
      <c r="F1590" t="s">
        <v>48</v>
      </c>
      <c r="G1590">
        <v>-240.03129999999999</v>
      </c>
      <c r="H1590" s="1">
        <v>-1.52015899999999E-6</v>
      </c>
      <c r="I1590">
        <v>282.62290000000002</v>
      </c>
      <c r="J1590">
        <v>-217.18639999999999</v>
      </c>
      <c r="K1590">
        <v>1.1203860000000001</v>
      </c>
      <c r="L1590">
        <v>282.88229999999999</v>
      </c>
      <c r="M1590">
        <v>-0.99920240000000005</v>
      </c>
      <c r="N1590">
        <v>-1.124445E-2</v>
      </c>
      <c r="O1590">
        <v>3.8317530000000002E-2</v>
      </c>
      <c r="P1590">
        <v>-0.98878569999999999</v>
      </c>
      <c r="Q1590">
        <v>0.14895129999999901</v>
      </c>
      <c r="R1590">
        <v>1.080184E-2</v>
      </c>
      <c r="S1590">
        <v>-3.0567630000000001</v>
      </c>
      <c r="T1590">
        <v>-0.147975</v>
      </c>
      <c r="U1590">
        <v>-3.2714840000000002E-2</v>
      </c>
      <c r="V1590">
        <v>-2.6869899999999999E-2</v>
      </c>
      <c r="W1590">
        <v>0.16009509999999999</v>
      </c>
      <c r="X1590">
        <v>0.98673580000000005</v>
      </c>
      <c r="Y1590">
        <v>-4.891471E-2</v>
      </c>
      <c r="Z1590">
        <v>-2.8812619999999999E-3</v>
      </c>
      <c r="AA1590">
        <v>0.99879879999999999</v>
      </c>
      <c r="AB1590">
        <v>30</v>
      </c>
      <c r="AC1590">
        <v>-22.844899999999999</v>
      </c>
      <c r="AD1590">
        <v>-1.1203875201589999</v>
      </c>
      <c r="AE1590">
        <v>-0.25939999999997099</v>
      </c>
      <c r="AF1590">
        <v>-1.13190277067113</v>
      </c>
      <c r="AG1590">
        <v>-1.1203875201589999</v>
      </c>
      <c r="AH1590">
        <v>22.7634362878579</v>
      </c>
      <c r="AI1590">
        <v>92.814280434748596</v>
      </c>
      <c r="AJ1590">
        <v>92.846665119049902</v>
      </c>
      <c r="AK1590">
        <v>22.819082008462701</v>
      </c>
      <c r="AL1590">
        <v>80.787583661493798</v>
      </c>
      <c r="AM1590">
        <v>91.559841547653804</v>
      </c>
      <c r="AN1590">
        <v>0.99999998578583005</v>
      </c>
    </row>
    <row r="1591" spans="1:40" x14ac:dyDescent="0.25">
      <c r="A1591" t="str">
        <f>"20190303162811105"</f>
        <v>20190303162811105</v>
      </c>
      <c r="B1591" t="str">
        <f>"1551601691092821"</f>
        <v>1551601691092821</v>
      </c>
      <c r="C1591" t="s">
        <v>40</v>
      </c>
      <c r="D1591">
        <v>5.3157569999999996</v>
      </c>
      <c r="E1591">
        <v>0.49474099999999999</v>
      </c>
      <c r="F1591" t="s">
        <v>48</v>
      </c>
      <c r="G1591">
        <v>-240.4222</v>
      </c>
      <c r="H1591" s="1">
        <v>-1.312105E-6</v>
      </c>
      <c r="I1591">
        <v>282.66860000000003</v>
      </c>
      <c r="J1591">
        <v>-217.48310000000001</v>
      </c>
      <c r="K1591">
        <v>1.120606</v>
      </c>
      <c r="L1591">
        <v>282.89400000000001</v>
      </c>
      <c r="M1591">
        <v>-0.99919449999999999</v>
      </c>
      <c r="N1591">
        <v>-1.122572E-2</v>
      </c>
      <c r="O1591">
        <v>3.8527369999999998E-2</v>
      </c>
      <c r="P1591">
        <v>-0.98907449999999997</v>
      </c>
      <c r="Q1591">
        <v>0.1467058</v>
      </c>
      <c r="R1591">
        <v>1.4460199999999999E-2</v>
      </c>
      <c r="S1591">
        <v>-3.0565340000000001</v>
      </c>
      <c r="T1591">
        <v>-0.14738039999999999</v>
      </c>
      <c r="U1591">
        <v>-2.810669E-2</v>
      </c>
      <c r="V1591">
        <v>-2.3520429999999998E-2</v>
      </c>
      <c r="W1591">
        <v>0.1578184</v>
      </c>
      <c r="X1591">
        <v>0.98718799999999995</v>
      </c>
      <c r="Y1591">
        <v>-4.7622020000000001E-2</v>
      </c>
      <c r="Z1591">
        <v>-2.8389000000000001E-3</v>
      </c>
      <c r="AA1591">
        <v>0.99886140000000001</v>
      </c>
      <c r="AB1591">
        <v>30</v>
      </c>
      <c r="AC1591">
        <v>-22.9391</v>
      </c>
      <c r="AD1591">
        <v>-1.120607312105</v>
      </c>
      <c r="AE1591">
        <v>-0.22539999999997901</v>
      </c>
      <c r="AF1591">
        <v>-1.1064313041443901</v>
      </c>
      <c r="AG1591">
        <v>-1.120607312105</v>
      </c>
      <c r="AH1591">
        <v>22.858835563673299</v>
      </c>
      <c r="AI1591">
        <v>92.803284038935402</v>
      </c>
      <c r="AJ1591">
        <v>92.771112568545803</v>
      </c>
      <c r="AK1591">
        <v>22.913016263813699</v>
      </c>
      <c r="AL1591">
        <v>80.919709050480506</v>
      </c>
      <c r="AM1591">
        <v>91.364852955844</v>
      </c>
      <c r="AN1591">
        <v>1.00000000267497</v>
      </c>
    </row>
    <row r="1592" spans="1:40" x14ac:dyDescent="0.25">
      <c r="A1592" t="str">
        <f>"20190303162811126"</f>
        <v>20190303162811126</v>
      </c>
      <c r="B1592" t="str">
        <f>"1551601691113317"</f>
        <v>1551601691113317</v>
      </c>
      <c r="C1592" t="s">
        <v>40</v>
      </c>
      <c r="D1592">
        <v>5.2009089999999896</v>
      </c>
      <c r="E1592">
        <v>0.49449219999999999</v>
      </c>
      <c r="F1592" t="s">
        <v>48</v>
      </c>
      <c r="G1592">
        <v>-239.97380000000001</v>
      </c>
      <c r="H1592" s="1">
        <v>-1.550744E-6</v>
      </c>
      <c r="I1592">
        <v>282.74509999999998</v>
      </c>
      <c r="J1592">
        <v>-217.7835</v>
      </c>
      <c r="K1592">
        <v>1.120768</v>
      </c>
      <c r="L1592">
        <v>282.90559999999999</v>
      </c>
      <c r="M1592">
        <v>-0.99919429999999998</v>
      </c>
      <c r="N1592">
        <v>-1.1208879999999999E-2</v>
      </c>
      <c r="O1592">
        <v>3.8539900000000002E-2</v>
      </c>
      <c r="P1592">
        <v>-0.98930110000000004</v>
      </c>
      <c r="Q1592">
        <v>0.14483740000000001</v>
      </c>
      <c r="R1592">
        <v>1.7492480000000001E-2</v>
      </c>
      <c r="S1592">
        <v>-3.0560459999999998</v>
      </c>
      <c r="T1592">
        <v>-0.1522685</v>
      </c>
      <c r="U1592">
        <v>-2.0233149999999998E-2</v>
      </c>
      <c r="V1592">
        <v>-2.0575130000000001E-2</v>
      </c>
      <c r="W1592">
        <v>0.15592619999999999</v>
      </c>
      <c r="X1592">
        <v>0.98755440000000005</v>
      </c>
      <c r="Y1592">
        <v>-4.5059920000000003E-2</v>
      </c>
      <c r="Z1592">
        <v>-2.8614930000000001E-3</v>
      </c>
      <c r="AA1592">
        <v>0.99898019999999998</v>
      </c>
      <c r="AB1592">
        <v>30</v>
      </c>
      <c r="AC1592">
        <v>-22.190300000000001</v>
      </c>
      <c r="AD1592">
        <v>-1.1207695507439901</v>
      </c>
      <c r="AE1592">
        <v>-0.16050000000001299</v>
      </c>
      <c r="AF1592">
        <v>-1.0130621631908401</v>
      </c>
      <c r="AG1592">
        <v>-1.1207695507439901</v>
      </c>
      <c r="AH1592">
        <v>22.111223633198101</v>
      </c>
      <c r="AI1592">
        <v>92.898678716915796</v>
      </c>
      <c r="AJ1592">
        <v>92.623266065902598</v>
      </c>
      <c r="AK1592">
        <v>22.1627757713166</v>
      </c>
      <c r="AL1592">
        <v>81.029483283657996</v>
      </c>
      <c r="AM1592">
        <v>91.193552056070601</v>
      </c>
      <c r="AN1592">
        <v>1.00000000439015</v>
      </c>
    </row>
    <row r="1593" spans="1:40" x14ac:dyDescent="0.25">
      <c r="A1593" t="str">
        <f>"20190303162811149"</f>
        <v>20190303162811149</v>
      </c>
      <c r="B1593" t="str">
        <f>"1551601691142597"</f>
        <v>1551601691142597</v>
      </c>
      <c r="C1593" t="s">
        <v>40</v>
      </c>
      <c r="D1593">
        <v>5.2628740000000001</v>
      </c>
      <c r="E1593">
        <v>0.48869940000000001</v>
      </c>
      <c r="F1593" t="s">
        <v>48</v>
      </c>
      <c r="G1593">
        <v>-239.70760000000001</v>
      </c>
      <c r="H1593" s="1">
        <v>3.7078369999999999E-6</v>
      </c>
      <c r="I1593">
        <v>282.81479999999999</v>
      </c>
      <c r="J1593">
        <v>-218.0864</v>
      </c>
      <c r="K1593">
        <v>1.1208899999999999</v>
      </c>
      <c r="L1593">
        <v>282.91719999999998</v>
      </c>
      <c r="M1593">
        <v>-0.99919919999999995</v>
      </c>
      <c r="N1593">
        <v>-1.1193710000000001E-2</v>
      </c>
      <c r="O1593">
        <v>3.8417359999999998E-2</v>
      </c>
      <c r="P1593">
        <v>-0.98921809999999999</v>
      </c>
      <c r="Q1593">
        <v>0.14518819999999999</v>
      </c>
      <c r="R1593">
        <v>1.9194019999999999E-2</v>
      </c>
      <c r="S1593">
        <v>-3.0555729999999999</v>
      </c>
      <c r="T1593">
        <v>-0.15620209999999901</v>
      </c>
      <c r="U1593">
        <v>-1.266479E-2</v>
      </c>
      <c r="V1593">
        <v>-1.8791740000000001E-2</v>
      </c>
      <c r="W1593">
        <v>0.15625629999999999</v>
      </c>
      <c r="X1593">
        <v>0.98753769999999996</v>
      </c>
      <c r="Y1593">
        <v>-4.2462979999999997E-2</v>
      </c>
      <c r="Z1593">
        <v>-2.8549069999999998E-3</v>
      </c>
      <c r="AA1593">
        <v>0.99909389999999998</v>
      </c>
      <c r="AB1593">
        <v>30</v>
      </c>
      <c r="AC1593">
        <v>-21.621200000000002</v>
      </c>
      <c r="AD1593">
        <v>-1.1208862921629901</v>
      </c>
      <c r="AE1593">
        <v>-0.102399999999988</v>
      </c>
      <c r="AF1593">
        <v>-0.93050500440310002</v>
      </c>
      <c r="AG1593">
        <v>-1.1208862921629901</v>
      </c>
      <c r="AH1593">
        <v>21.5434040262083</v>
      </c>
      <c r="AI1593">
        <v>92.975599271339703</v>
      </c>
      <c r="AJ1593">
        <v>92.473188225190995</v>
      </c>
      <c r="AK1593">
        <v>21.5926024989955</v>
      </c>
      <c r="AL1593">
        <v>81.010334612075397</v>
      </c>
      <c r="AM1593">
        <v>91.090143155380503</v>
      </c>
      <c r="AN1593">
        <v>0.99999993485160099</v>
      </c>
    </row>
    <row r="1594" spans="1:40" x14ac:dyDescent="0.25">
      <c r="A1594" t="str">
        <f>"20190303162811173"</f>
        <v>20190303162811173</v>
      </c>
      <c r="B1594" t="str">
        <f>"1551601691163093"</f>
        <v>1551601691163093</v>
      </c>
      <c r="C1594" t="s">
        <v>40</v>
      </c>
      <c r="D1594">
        <v>5.2651789999999998</v>
      </c>
      <c r="E1594">
        <v>0.4887976</v>
      </c>
      <c r="F1594" t="s">
        <v>48</v>
      </c>
      <c r="G1594">
        <v>-248.5402</v>
      </c>
      <c r="H1594" s="1">
        <v>3.0078930000000001E-6</v>
      </c>
      <c r="I1594">
        <v>282.423</v>
      </c>
      <c r="J1594">
        <v>-218.41550000000001</v>
      </c>
      <c r="K1594">
        <v>1.12097</v>
      </c>
      <c r="L1594">
        <v>282.9298</v>
      </c>
      <c r="M1594">
        <v>-0.99920739999999997</v>
      </c>
      <c r="N1594">
        <v>-1.11795E-2</v>
      </c>
      <c r="O1594">
        <v>3.8204500000000002E-2</v>
      </c>
      <c r="P1594">
        <v>-0.98906550000000004</v>
      </c>
      <c r="Q1594">
        <v>0.14622599999999999</v>
      </c>
      <c r="R1594">
        <v>1.9172539999999998E-2</v>
      </c>
      <c r="S1594">
        <v>-3.0501559999999999</v>
      </c>
      <c r="T1594">
        <v>-0.1122644</v>
      </c>
      <c r="U1594">
        <v>-4.9499509999999997E-2</v>
      </c>
      <c r="V1594">
        <v>-1.862482E-2</v>
      </c>
      <c r="W1594">
        <v>0.157275</v>
      </c>
      <c r="X1594">
        <v>0.98737920000000001</v>
      </c>
      <c r="Y1594">
        <v>-5.4355880000000002E-2</v>
      </c>
      <c r="Z1594">
        <v>-2.2823159999999999E-3</v>
      </c>
      <c r="AA1594">
        <v>0.99851900000000005</v>
      </c>
      <c r="AB1594">
        <v>30</v>
      </c>
      <c r="AC1594">
        <v>-30.124699999999901</v>
      </c>
      <c r="AD1594">
        <v>-1.120966992107</v>
      </c>
      <c r="AE1594">
        <v>-0.50679999999999803</v>
      </c>
      <c r="AF1594">
        <v>-1.6551098918879299</v>
      </c>
      <c r="AG1594">
        <v>-1.120966992107</v>
      </c>
      <c r="AH1594">
        <v>30.041755644571399</v>
      </c>
      <c r="AI1594">
        <v>92.133689452645797</v>
      </c>
      <c r="AJ1594">
        <v>93.153445489212004</v>
      </c>
      <c r="AK1594">
        <v>30.108188885413899</v>
      </c>
      <c r="AL1594">
        <v>80.951237265814498</v>
      </c>
      <c r="AM1594">
        <v>91.080635528226793</v>
      </c>
      <c r="AN1594">
        <v>0.99999999706883602</v>
      </c>
    </row>
    <row r="1595" spans="1:40" x14ac:dyDescent="0.25">
      <c r="A1595" t="str">
        <f>"20190303162811196"</f>
        <v>20190303162811196</v>
      </c>
      <c r="B1595" t="str">
        <f>"1551601691182613"</f>
        <v>1551601691182613</v>
      </c>
      <c r="C1595" t="s">
        <v>40</v>
      </c>
      <c r="D1595">
        <v>5.269965</v>
      </c>
      <c r="E1595">
        <v>0.48868410000000001</v>
      </c>
      <c r="F1595" t="s">
        <v>48</v>
      </c>
      <c r="G1595">
        <v>-251.01429999999999</v>
      </c>
      <c r="H1595" s="1">
        <v>-9.9700619999999999E-7</v>
      </c>
      <c r="I1595">
        <v>282.43819999999999</v>
      </c>
      <c r="J1595">
        <v>-218.72139999999999</v>
      </c>
      <c r="K1595">
        <v>1.1210089999999999</v>
      </c>
      <c r="L1595">
        <v>282.94130000000001</v>
      </c>
      <c r="M1595">
        <v>-0.99921579999999999</v>
      </c>
      <c r="N1595">
        <v>-1.1168249999999999E-2</v>
      </c>
      <c r="O1595">
        <v>3.7989059999999998E-2</v>
      </c>
      <c r="P1595">
        <v>-0.98903180000000002</v>
      </c>
      <c r="Q1595">
        <v>0.14673120000000001</v>
      </c>
      <c r="R1595">
        <v>1.692277E-2</v>
      </c>
      <c r="S1595">
        <v>-3.0495610000000002</v>
      </c>
      <c r="T1595">
        <v>-0.1048646</v>
      </c>
      <c r="U1595">
        <v>-4.5989990000000001E-2</v>
      </c>
      <c r="V1595">
        <v>-2.067449E-2</v>
      </c>
      <c r="W1595">
        <v>0.15776560000000001</v>
      </c>
      <c r="X1595">
        <v>0.98726020000000003</v>
      </c>
      <c r="Y1595">
        <v>-5.3003630000000003E-2</v>
      </c>
      <c r="Z1595">
        <v>-2.088609E-3</v>
      </c>
      <c r="AA1595">
        <v>0.99859209999999998</v>
      </c>
      <c r="AB1595">
        <v>30</v>
      </c>
      <c r="AC1595">
        <v>-32.292900000000003</v>
      </c>
      <c r="AD1595">
        <v>-1.1210099970062</v>
      </c>
      <c r="AE1595">
        <v>-0.50310000000001698</v>
      </c>
      <c r="AF1595">
        <v>-1.7275089270458599</v>
      </c>
      <c r="AG1595">
        <v>-1.1210099970062</v>
      </c>
      <c r="AH1595">
        <v>32.211665910623701</v>
      </c>
      <c r="AI1595">
        <v>91.990309156195593</v>
      </c>
      <c r="AJ1595">
        <v>93.0698269660829</v>
      </c>
      <c r="AK1595">
        <v>32.277428200587003</v>
      </c>
      <c r="AL1595">
        <v>80.922773179233005</v>
      </c>
      <c r="AM1595">
        <v>91.199671482901394</v>
      </c>
      <c r="AN1595">
        <v>1.00000006079207</v>
      </c>
    </row>
    <row r="1596" spans="1:40" x14ac:dyDescent="0.25">
      <c r="A1596" t="str">
        <f>"20190303162811216"</f>
        <v>20190303162811216</v>
      </c>
      <c r="B1596" t="str">
        <f>"1551601691203109"</f>
        <v>1551601691203109</v>
      </c>
      <c r="C1596" t="s">
        <v>40</v>
      </c>
      <c r="D1596">
        <v>5.267639</v>
      </c>
      <c r="E1596">
        <v>0.48869259999999898</v>
      </c>
      <c r="F1596" t="s">
        <v>48</v>
      </c>
      <c r="G1596">
        <v>-253.20339999999999</v>
      </c>
      <c r="H1596" s="1">
        <v>1.6790720000000001E-7</v>
      </c>
      <c r="I1596">
        <v>282.35320000000002</v>
      </c>
      <c r="J1596">
        <v>-219.0112</v>
      </c>
      <c r="K1596">
        <v>1.121022</v>
      </c>
      <c r="L1596">
        <v>282.95229999999998</v>
      </c>
      <c r="M1596">
        <v>-0.99922319999999998</v>
      </c>
      <c r="N1596">
        <v>-1.115916E-2</v>
      </c>
      <c r="O1596">
        <v>3.7799109999999997E-2</v>
      </c>
      <c r="P1596">
        <v>-0.98918200000000001</v>
      </c>
      <c r="Q1596">
        <v>0.14590049999999999</v>
      </c>
      <c r="R1596">
        <v>1.523891E-2</v>
      </c>
      <c r="S1596">
        <v>-3.0488430000000002</v>
      </c>
      <c r="T1596">
        <v>-9.9117759999999999E-2</v>
      </c>
      <c r="U1596">
        <v>-5.2001949999999998E-2</v>
      </c>
      <c r="V1596">
        <v>-2.2184860000000001E-2</v>
      </c>
      <c r="W1596">
        <v>0.15692600000000001</v>
      </c>
      <c r="X1596">
        <v>0.98736109999999999</v>
      </c>
      <c r="Y1596">
        <v>-5.4790100000000001E-2</v>
      </c>
      <c r="Z1596">
        <v>-2.0027140000000001E-3</v>
      </c>
      <c r="AA1596">
        <v>0.99849589999999999</v>
      </c>
      <c r="AB1596">
        <v>31</v>
      </c>
      <c r="AC1596">
        <v>-34.1921999999999</v>
      </c>
      <c r="AD1596">
        <v>-1.1210218320928</v>
      </c>
      <c r="AE1596">
        <v>-0.59909999999996399</v>
      </c>
      <c r="AF1596">
        <v>-1.8891567576172801</v>
      </c>
      <c r="AG1596">
        <v>-1.1210218320928</v>
      </c>
      <c r="AH1596">
        <v>34.1084624977806</v>
      </c>
      <c r="AI1596">
        <v>91.879548837796904</v>
      </c>
      <c r="AJ1596">
        <v>93.170187729700999</v>
      </c>
      <c r="AK1596">
        <v>34.179128385103503</v>
      </c>
      <c r="AL1596">
        <v>80.971484392963603</v>
      </c>
      <c r="AM1596">
        <v>91.287153208285304</v>
      </c>
      <c r="AN1596">
        <v>0.99999993964121303</v>
      </c>
    </row>
    <row r="1597" spans="1:40" x14ac:dyDescent="0.25">
      <c r="A1597" t="str">
        <f>"20190303162811239"</f>
        <v>20190303162811239</v>
      </c>
      <c r="B1597" t="str">
        <f>"1551601691233365"</f>
        <v>1551601691233365</v>
      </c>
      <c r="C1597" t="s">
        <v>40</v>
      </c>
      <c r="D1597">
        <v>5.2643810000000002</v>
      </c>
      <c r="E1597">
        <v>0.4883401</v>
      </c>
      <c r="F1597" t="s">
        <v>48</v>
      </c>
      <c r="G1597">
        <v>-254.12209999999999</v>
      </c>
      <c r="H1597" s="1">
        <v>6.568075E-7</v>
      </c>
      <c r="I1597">
        <v>282.30470000000003</v>
      </c>
      <c r="J1597">
        <v>-219.31440000000001</v>
      </c>
      <c r="K1597">
        <v>1.121024</v>
      </c>
      <c r="L1597">
        <v>282.96359999999999</v>
      </c>
      <c r="M1597">
        <v>-0.9992297</v>
      </c>
      <c r="N1597">
        <v>-1.1151319999999999E-2</v>
      </c>
      <c r="O1597">
        <v>3.7624600000000001E-2</v>
      </c>
      <c r="P1597">
        <v>-0.98958330000000005</v>
      </c>
      <c r="Q1597">
        <v>0.1433072</v>
      </c>
      <c r="R1597">
        <v>1.371989E-2</v>
      </c>
      <c r="S1597">
        <v>-3.048019</v>
      </c>
      <c r="T1597">
        <v>-9.7317219999999996E-2</v>
      </c>
      <c r="U1597">
        <v>-5.621338E-2</v>
      </c>
      <c r="V1597">
        <v>-2.355053E-2</v>
      </c>
      <c r="W1597">
        <v>0.15432789999999999</v>
      </c>
      <c r="X1597">
        <v>0.98773900000000003</v>
      </c>
      <c r="Y1597">
        <v>-5.6000340000000003E-2</v>
      </c>
      <c r="Z1597">
        <v>-1.9873209999999998E-3</v>
      </c>
      <c r="AA1597">
        <v>0.99842880000000001</v>
      </c>
      <c r="AB1597">
        <v>31</v>
      </c>
      <c r="AC1597">
        <v>-34.807699999999897</v>
      </c>
      <c r="AD1597">
        <v>-1.1210233431925001</v>
      </c>
      <c r="AE1597">
        <v>-0.65889999999995996</v>
      </c>
      <c r="AF1597">
        <v>-1.9661020706762</v>
      </c>
      <c r="AG1597">
        <v>-1.1210233431925001</v>
      </c>
      <c r="AH1597">
        <v>34.722256380455697</v>
      </c>
      <c r="AI1597">
        <v>91.846221867273897</v>
      </c>
      <c r="AJ1597">
        <v>93.240837430286803</v>
      </c>
      <c r="AK1597">
        <v>34.795938539410002</v>
      </c>
      <c r="AL1597">
        <v>81.122181522062405</v>
      </c>
      <c r="AM1597">
        <v>91.365836894526197</v>
      </c>
      <c r="AN1597">
        <v>1.0000000301513401</v>
      </c>
    </row>
    <row r="1598" spans="1:40" x14ac:dyDescent="0.25">
      <c r="A1598" t="str">
        <f>"20190303162811262"</f>
        <v>20190303162811262</v>
      </c>
      <c r="B1598" t="str">
        <f>"1551601691252885"</f>
        <v>1551601691252885</v>
      </c>
      <c r="C1598" t="s">
        <v>40</v>
      </c>
      <c r="D1598">
        <v>5.0625169999999997</v>
      </c>
      <c r="E1598">
        <v>0.48980659999999998</v>
      </c>
      <c r="F1598" t="s">
        <v>48</v>
      </c>
      <c r="G1598">
        <v>-252.5352</v>
      </c>
      <c r="H1598" s="1">
        <v>-1.8765990000000001E-7</v>
      </c>
      <c r="I1598">
        <v>282.2527</v>
      </c>
      <c r="J1598">
        <v>-219.62899999999999</v>
      </c>
      <c r="K1598">
        <v>1.1210249999999999</v>
      </c>
      <c r="L1598">
        <v>282.9753</v>
      </c>
      <c r="M1598">
        <v>-0.99923569999999995</v>
      </c>
      <c r="N1598">
        <v>-1.114476E-2</v>
      </c>
      <c r="O1598">
        <v>3.7466909999999999E-2</v>
      </c>
      <c r="P1598">
        <v>-0.98982270000000006</v>
      </c>
      <c r="Q1598">
        <v>0.1417052</v>
      </c>
      <c r="R1598">
        <v>1.3063369999999999E-2</v>
      </c>
      <c r="S1598">
        <v>-3.0473940000000002</v>
      </c>
      <c r="T1598">
        <v>-0.1028332</v>
      </c>
      <c r="U1598">
        <v>-6.5216060000000006E-2</v>
      </c>
      <c r="V1598">
        <v>-2.406291E-2</v>
      </c>
      <c r="W1598">
        <v>0.1527211</v>
      </c>
      <c r="X1598">
        <v>0.98797630000000003</v>
      </c>
      <c r="Y1598">
        <v>-5.8787289999999999E-2</v>
      </c>
      <c r="Z1598">
        <v>-2.1654690000000002E-3</v>
      </c>
      <c r="AA1598">
        <v>0.99826820000000005</v>
      </c>
      <c r="AB1598">
        <v>31</v>
      </c>
      <c r="AC1598">
        <v>-32.906199999999899</v>
      </c>
      <c r="AD1598">
        <v>-1.12102518765989</v>
      </c>
      <c r="AE1598">
        <v>-0.72259999999999902</v>
      </c>
      <c r="AF1598">
        <v>-1.95279752288867</v>
      </c>
      <c r="AG1598">
        <v>-1.12102518765989</v>
      </c>
      <c r="AH1598">
        <v>32.817947874970002</v>
      </c>
      <c r="AI1598">
        <v>91.952948752854695</v>
      </c>
      <c r="AJ1598">
        <v>93.4053098926628</v>
      </c>
      <c r="AK1598">
        <v>32.895103258099297</v>
      </c>
      <c r="AL1598">
        <v>81.215348314239407</v>
      </c>
      <c r="AM1598">
        <v>91.395206206767199</v>
      </c>
      <c r="AN1598">
        <v>0.99999996369228294</v>
      </c>
    </row>
    <row r="1599" spans="1:40" x14ac:dyDescent="0.25">
      <c r="A1599" t="str">
        <f>"20190303162811286"</f>
        <v>20190303162811286</v>
      </c>
      <c r="B1599" t="str">
        <f>"1551601691273382"</f>
        <v>1551601691273382</v>
      </c>
      <c r="C1599" t="s">
        <v>40</v>
      </c>
      <c r="D1599">
        <v>4.9753550000000004</v>
      </c>
      <c r="E1599">
        <v>0.51766129999999999</v>
      </c>
      <c r="F1599" t="s">
        <v>48</v>
      </c>
      <c r="G1599">
        <v>-252.595</v>
      </c>
      <c r="H1599" s="1">
        <v>-1.558454E-7</v>
      </c>
      <c r="I1599">
        <v>282.36599999999999</v>
      </c>
      <c r="J1599">
        <v>-219.93700000000001</v>
      </c>
      <c r="K1599">
        <v>1.1210310000000001</v>
      </c>
      <c r="L1599">
        <v>282.98680000000002</v>
      </c>
      <c r="M1599">
        <v>-0.99924089999999999</v>
      </c>
      <c r="N1599">
        <v>-1.1139649999999999E-2</v>
      </c>
      <c r="O1599">
        <v>3.7329790000000002E-2</v>
      </c>
      <c r="P1599">
        <v>-0.98979340000000005</v>
      </c>
      <c r="Q1599">
        <v>0.141929799999999</v>
      </c>
      <c r="R1599">
        <v>1.284047E-2</v>
      </c>
      <c r="S1599">
        <v>-3.0464169999999999</v>
      </c>
      <c r="T1599">
        <v>-0.103594699999999</v>
      </c>
      <c r="U1599">
        <v>-5.6304930000000003E-2</v>
      </c>
      <c r="V1599">
        <v>-2.415113E-2</v>
      </c>
      <c r="W1599">
        <v>0.15293979999999999</v>
      </c>
      <c r="X1599">
        <v>0.98794040000000005</v>
      </c>
      <c r="Y1599">
        <v>-5.5739520000000001E-2</v>
      </c>
      <c r="Z1599">
        <v>-2.1110360000000002E-3</v>
      </c>
      <c r="AA1599">
        <v>0.99844310000000003</v>
      </c>
      <c r="AB1599">
        <v>31</v>
      </c>
      <c r="AC1599">
        <v>-32.657999999999902</v>
      </c>
      <c r="AD1599">
        <v>-1.12103115584539</v>
      </c>
      <c r="AE1599">
        <v>-0.62080000000003099</v>
      </c>
      <c r="AF1599">
        <v>-1.83739496838607</v>
      </c>
      <c r="AG1599">
        <v>-1.12103115584539</v>
      </c>
      <c r="AH1599">
        <v>32.573691047335302</v>
      </c>
      <c r="AI1599">
        <v>91.967943807119994</v>
      </c>
      <c r="AJ1599">
        <v>93.228480779884407</v>
      </c>
      <c r="AK1599">
        <v>32.644725141582697</v>
      </c>
      <c r="AL1599">
        <v>81.202669509181007</v>
      </c>
      <c r="AM1599">
        <v>91.400370176086696</v>
      </c>
      <c r="AN1599">
        <v>1.00000004672823</v>
      </c>
    </row>
    <row r="1600" spans="1:40" x14ac:dyDescent="0.25">
      <c r="A1600" t="str">
        <f>"20190303162811305"</f>
        <v>20190303162811305</v>
      </c>
      <c r="B1600" t="str">
        <f>"1551601691292901"</f>
        <v>1551601691292901</v>
      </c>
      <c r="C1600" t="s">
        <v>40</v>
      </c>
      <c r="D1600">
        <v>4.9424919999999997</v>
      </c>
      <c r="E1600">
        <v>0.51860640000000002</v>
      </c>
      <c r="F1600" t="s">
        <v>48</v>
      </c>
      <c r="G1600">
        <v>-264.11770000000001</v>
      </c>
      <c r="H1600" s="1">
        <v>6.5446800000000001E-7</v>
      </c>
      <c r="I1600">
        <v>285.40629999999999</v>
      </c>
      <c r="J1600">
        <v>-220.21789999999999</v>
      </c>
      <c r="K1600">
        <v>1.1210359999999999</v>
      </c>
      <c r="L1600">
        <v>282.99709999999999</v>
      </c>
      <c r="M1600">
        <v>-0.99924539999999995</v>
      </c>
      <c r="N1600">
        <v>-1.1135849999999999E-2</v>
      </c>
      <c r="O1600">
        <v>3.7212950000000002E-2</v>
      </c>
      <c r="P1600">
        <v>-0.98957530000000005</v>
      </c>
      <c r="Q1600">
        <v>0.1434019</v>
      </c>
      <c r="R1600">
        <v>1.3303199999999999E-2</v>
      </c>
      <c r="S1600">
        <v>-3.039841</v>
      </c>
      <c r="T1600">
        <v>-7.7132110000000004E-2</v>
      </c>
      <c r="U1600">
        <v>0.16647339999999999</v>
      </c>
      <c r="V1600">
        <v>-2.3565780000000001E-2</v>
      </c>
      <c r="W1600">
        <v>0.1544056</v>
      </c>
      <c r="X1600">
        <v>0.9877264</v>
      </c>
      <c r="Y1600">
        <v>1.7480140000000002E-2</v>
      </c>
      <c r="Z1600">
        <v>-2.0973629999999999E-4</v>
      </c>
      <c r="AA1600">
        <v>0.99984720000000005</v>
      </c>
      <c r="AB1600">
        <v>31</v>
      </c>
      <c r="AC1600">
        <v>-43.899799999999999</v>
      </c>
      <c r="AD1600">
        <v>-1.1210353455319999</v>
      </c>
      <c r="AE1600">
        <v>2.40919999999999</v>
      </c>
      <c r="AF1600">
        <v>0.77328611975287698</v>
      </c>
      <c r="AG1600">
        <v>-1.1210353455319999</v>
      </c>
      <c r="AH1600">
        <v>43.930487383795999</v>
      </c>
      <c r="AI1600">
        <v>91.461552537071597</v>
      </c>
      <c r="AJ1600">
        <v>88.991555558224704</v>
      </c>
      <c r="AK1600">
        <v>43.951591705497897</v>
      </c>
      <c r="AL1600">
        <v>81.117674808137195</v>
      </c>
      <c r="AM1600">
        <v>91.366738426462604</v>
      </c>
      <c r="AN1600">
        <v>0.99999993827766198</v>
      </c>
    </row>
    <row r="1601" spans="1:40" x14ac:dyDescent="0.25">
      <c r="A1601" t="str">
        <f>"20190303162811328"</f>
        <v>20190303162811328</v>
      </c>
      <c r="B1601" t="str">
        <f>"1551601691323157"</f>
        <v>1551601691323157</v>
      </c>
      <c r="C1601" t="s">
        <v>40</v>
      </c>
      <c r="D1601">
        <v>4.9346969999999999</v>
      </c>
      <c r="E1601">
        <v>0.51907099999999995</v>
      </c>
      <c r="F1601" t="s">
        <v>48</v>
      </c>
      <c r="G1601">
        <v>-271.29160000000002</v>
      </c>
      <c r="H1601" s="1">
        <v>-9.075716E-7</v>
      </c>
      <c r="I1601">
        <v>285.94529999999997</v>
      </c>
      <c r="J1601">
        <v>-220.52709999999999</v>
      </c>
      <c r="K1601">
        <v>1.12104</v>
      </c>
      <c r="L1601">
        <v>283.00850000000003</v>
      </c>
      <c r="M1601">
        <v>-0.99924990000000002</v>
      </c>
      <c r="N1601">
        <v>-1.113253E-2</v>
      </c>
      <c r="O1601">
        <v>3.7089219999999999E-2</v>
      </c>
      <c r="P1601">
        <v>-0.98937940000000002</v>
      </c>
      <c r="Q1601">
        <v>0.14449400000000001</v>
      </c>
      <c r="R1601">
        <v>1.581047E-2</v>
      </c>
      <c r="S1601">
        <v>-3.0389249999999999</v>
      </c>
      <c r="T1601">
        <v>-6.6702600000000001E-2</v>
      </c>
      <c r="U1601">
        <v>0.17541499999999999</v>
      </c>
      <c r="V1601">
        <v>-2.0931160000000001E-2</v>
      </c>
      <c r="W1601">
        <v>0.15549379999999999</v>
      </c>
      <c r="X1601">
        <v>0.98761509999999997</v>
      </c>
      <c r="Y1601">
        <v>2.0551980000000001E-2</v>
      </c>
      <c r="Z1601" s="1">
        <v>-6.0376720000000002E-5</v>
      </c>
      <c r="AA1601">
        <v>0.99978880000000003</v>
      </c>
      <c r="AB1601">
        <v>31</v>
      </c>
      <c r="AC1601">
        <v>-50.764499999999998</v>
      </c>
      <c r="AD1601">
        <v>-1.1210409075715999</v>
      </c>
      <c r="AE1601">
        <v>2.9367999999999399</v>
      </c>
      <c r="AF1601">
        <v>1.0513356376782499</v>
      </c>
      <c r="AG1601">
        <v>-1.1210409075715999</v>
      </c>
      <c r="AH1601">
        <v>50.813800425796998</v>
      </c>
      <c r="AI1601">
        <v>91.263569298580904</v>
      </c>
      <c r="AJ1601">
        <v>88.814721566378296</v>
      </c>
      <c r="AK1601">
        <v>50.837037217487698</v>
      </c>
      <c r="AL1601">
        <v>81.054563947014003</v>
      </c>
      <c r="AM1601">
        <v>91.214124427874097</v>
      </c>
      <c r="AN1601">
        <v>1.0000000105226901</v>
      </c>
    </row>
    <row r="1602" spans="1:40" x14ac:dyDescent="0.25">
      <c r="A1602" t="str">
        <f>"20190303162811352"</f>
        <v>20190303162811352</v>
      </c>
      <c r="B1602" t="str">
        <f>"1551601691342677"</f>
        <v>1551601691342677</v>
      </c>
      <c r="C1602" t="s">
        <v>40</v>
      </c>
      <c r="D1602">
        <v>4.8955549999999999</v>
      </c>
      <c r="E1602">
        <v>0.51894490000000004</v>
      </c>
      <c r="F1602" t="s">
        <v>49</v>
      </c>
      <c r="G1602">
        <v>-281.26670000000001</v>
      </c>
      <c r="H1602" s="1">
        <v>7.4057929999999902E-6</v>
      </c>
      <c r="I1602">
        <v>286.72019999999998</v>
      </c>
      <c r="J1602">
        <v>-220.86359999999999</v>
      </c>
      <c r="K1602">
        <v>1.1210389999999999</v>
      </c>
      <c r="L1602">
        <v>283.02089999999998</v>
      </c>
      <c r="M1602">
        <v>-0.99925489999999995</v>
      </c>
      <c r="N1602">
        <v>-1.1129750000000001E-2</v>
      </c>
      <c r="O1602">
        <v>3.6956740000000002E-2</v>
      </c>
      <c r="P1602">
        <v>-0.98921910000000002</v>
      </c>
      <c r="Q1602">
        <v>0.14524189999999901</v>
      </c>
      <c r="R1602">
        <v>1.8708309999999999E-2</v>
      </c>
      <c r="S1602">
        <v>-3.0374150000000002</v>
      </c>
      <c r="T1602">
        <v>-5.6059600000000001E-2</v>
      </c>
      <c r="U1602">
        <v>0.18560789999999999</v>
      </c>
      <c r="V1602">
        <v>-1.789849E-2</v>
      </c>
      <c r="W1602">
        <v>0.15623890000000001</v>
      </c>
      <c r="X1602">
        <v>0.98755709999999997</v>
      </c>
      <c r="Y1602">
        <v>2.4055989999999999E-2</v>
      </c>
      <c r="Z1602" s="1">
        <v>8.5819430000000002E-5</v>
      </c>
      <c r="AA1602">
        <v>0.9997106</v>
      </c>
      <c r="AB1602">
        <v>31</v>
      </c>
      <c r="AC1602">
        <v>-60.403100000000002</v>
      </c>
      <c r="AD1602">
        <v>-1.1210315942069999</v>
      </c>
      <c r="AE1602">
        <v>3.6992999999999898</v>
      </c>
      <c r="AF1602">
        <v>1.4638303451450301</v>
      </c>
      <c r="AG1602">
        <v>-1.1210315942069999</v>
      </c>
      <c r="AH1602">
        <v>60.477800723095299</v>
      </c>
      <c r="AI1602">
        <v>91.061616383884498</v>
      </c>
      <c r="AJ1602">
        <v>88.613459374033596</v>
      </c>
      <c r="AK1602">
        <v>60.505899641415198</v>
      </c>
      <c r="AL1602">
        <v>81.011344435321902</v>
      </c>
      <c r="AM1602">
        <v>91.038315326423998</v>
      </c>
      <c r="AN1602">
        <v>0.99999998778894905</v>
      </c>
    </row>
    <row r="1603" spans="1:40" x14ac:dyDescent="0.25">
      <c r="A1603" t="str">
        <f>"20190303162811373"</f>
        <v>20190303162811373</v>
      </c>
      <c r="B1603" t="str">
        <f>"1551601691363173"</f>
        <v>1551601691363173</v>
      </c>
      <c r="C1603" t="s">
        <v>40</v>
      </c>
      <c r="D1603">
        <v>4.9390130000000001</v>
      </c>
      <c r="E1603">
        <v>0.51886639999999995</v>
      </c>
      <c r="F1603" t="s">
        <v>49</v>
      </c>
      <c r="G1603">
        <v>-286.23610000000002</v>
      </c>
      <c r="H1603" s="1">
        <v>5.1091809999999998E-6</v>
      </c>
      <c r="I1603">
        <v>287.1696</v>
      </c>
      <c r="J1603">
        <v>-221.15129999999999</v>
      </c>
      <c r="K1603">
        <v>1.12104</v>
      </c>
      <c r="L1603">
        <v>283.03140000000002</v>
      </c>
      <c r="M1603">
        <v>-0.99925920000000001</v>
      </c>
      <c r="N1603">
        <v>-1.112557E-2</v>
      </c>
      <c r="O1603">
        <v>3.6842439999999997E-2</v>
      </c>
      <c r="P1603">
        <v>-0.98908359999999995</v>
      </c>
      <c r="Q1603">
        <v>0.14584169999999999</v>
      </c>
      <c r="R1603">
        <v>2.10732E-2</v>
      </c>
      <c r="S1603">
        <v>-3.0366970000000002</v>
      </c>
      <c r="T1603">
        <v>-5.2074429999999998E-2</v>
      </c>
      <c r="U1603">
        <v>0.19271849999999999</v>
      </c>
      <c r="V1603">
        <v>-1.5417180000000001E-2</v>
      </c>
      <c r="W1603">
        <v>0.15683469999999999</v>
      </c>
      <c r="X1603">
        <v>0.98750450000000001</v>
      </c>
      <c r="Y1603">
        <v>2.651628E-2</v>
      </c>
      <c r="Z1603">
        <v>1.5364280000000001E-4</v>
      </c>
      <c r="AA1603">
        <v>0.99964839999999999</v>
      </c>
      <c r="AB1603">
        <v>31</v>
      </c>
      <c r="AC1603">
        <v>-65.084800000000001</v>
      </c>
      <c r="AD1603">
        <v>-1.121034890819</v>
      </c>
      <c r="AE1603">
        <v>4.1381999999999799</v>
      </c>
      <c r="AF1603">
        <v>1.7368458273301901</v>
      </c>
      <c r="AG1603">
        <v>-1.121034890819</v>
      </c>
      <c r="AH1603">
        <v>65.173820909654907</v>
      </c>
      <c r="AI1603">
        <v>90.985080274579204</v>
      </c>
      <c r="AJ1603">
        <v>88.473460874415807</v>
      </c>
      <c r="AK1603">
        <v>65.206596940939406</v>
      </c>
      <c r="AL1603">
        <v>80.976781405709502</v>
      </c>
      <c r="AM1603">
        <v>90.894444113721406</v>
      </c>
      <c r="AN1603">
        <v>0.99999997504174598</v>
      </c>
    </row>
    <row r="1604" spans="1:40" x14ac:dyDescent="0.25">
      <c r="A1604" t="str">
        <f>"20190303162811398"</f>
        <v>20190303162811398</v>
      </c>
      <c r="B1604" t="str">
        <f>"1551601691393429"</f>
        <v>1551601691393429</v>
      </c>
      <c r="C1604" t="s">
        <v>40</v>
      </c>
      <c r="D1604">
        <v>4.8556269999999904</v>
      </c>
      <c r="E1604">
        <v>0.51849540000000005</v>
      </c>
      <c r="F1604" t="s">
        <v>49</v>
      </c>
      <c r="G1604">
        <v>-289.96600000000001</v>
      </c>
      <c r="H1604" s="1">
        <v>1.9423839999999998E-6</v>
      </c>
      <c r="I1604">
        <v>287.55990000000003</v>
      </c>
      <c r="J1604">
        <v>-221.47450000000001</v>
      </c>
      <c r="K1604">
        <v>1.1210389999999999</v>
      </c>
      <c r="L1604">
        <v>283.04320000000001</v>
      </c>
      <c r="M1604">
        <v>-0.99926440000000005</v>
      </c>
      <c r="N1604">
        <v>-1.111617E-2</v>
      </c>
      <c r="O1604">
        <v>3.6706139999999998E-2</v>
      </c>
      <c r="P1604">
        <v>-0.9889983</v>
      </c>
      <c r="Q1604">
        <v>0.14620129999999901</v>
      </c>
      <c r="R1604">
        <v>2.2535090000000001E-2</v>
      </c>
      <c r="S1604">
        <v>-3.036133</v>
      </c>
      <c r="T1604">
        <v>-4.9460650000000002E-2</v>
      </c>
      <c r="U1604">
        <v>0.19979859999999999</v>
      </c>
      <c r="V1604">
        <v>-1.3819629999999999E-2</v>
      </c>
      <c r="W1604">
        <v>0.15718509999999999</v>
      </c>
      <c r="X1604">
        <v>0.98747249999999998</v>
      </c>
      <c r="Y1604">
        <v>2.8985509999999999E-2</v>
      </c>
      <c r="Z1604">
        <v>2.0791240000000001E-4</v>
      </c>
      <c r="AA1604">
        <v>0.99957980000000002</v>
      </c>
      <c r="AB1604">
        <v>31</v>
      </c>
      <c r="AC1604">
        <v>-68.491500000000002</v>
      </c>
      <c r="AD1604">
        <v>-1.12103705761599</v>
      </c>
      <c r="AE1604">
        <v>4.5167000000000099</v>
      </c>
      <c r="AF1604">
        <v>1.9989090337845701</v>
      </c>
      <c r="AG1604">
        <v>-1.12103705761599</v>
      </c>
      <c r="AH1604">
        <v>68.592842709203794</v>
      </c>
      <c r="AI1604">
        <v>90.935924548368803</v>
      </c>
      <c r="AJ1604">
        <v>88.330778511020497</v>
      </c>
      <c r="AK1604">
        <v>68.631118542097695</v>
      </c>
      <c r="AL1604">
        <v>80.956453403751496</v>
      </c>
      <c r="AM1604">
        <v>90.801799326513702</v>
      </c>
      <c r="AN1604">
        <v>1.0000000380457901</v>
      </c>
    </row>
    <row r="1605" spans="1:40" x14ac:dyDescent="0.25">
      <c r="A1605" t="str">
        <f>"20190303162811419"</f>
        <v>20190303162811419</v>
      </c>
      <c r="B1605" t="str">
        <f>"1551601691412950"</f>
        <v>1551601691412950</v>
      </c>
      <c r="C1605" t="s">
        <v>40</v>
      </c>
      <c r="D1605">
        <v>4.8860679999999999</v>
      </c>
      <c r="E1605">
        <v>0.51821669999999997</v>
      </c>
      <c r="F1605" t="s">
        <v>49</v>
      </c>
      <c r="G1605">
        <v>-291.40870000000001</v>
      </c>
      <c r="H1605" s="1">
        <v>2.1881630000000001E-6</v>
      </c>
      <c r="I1605">
        <v>287.67579999999998</v>
      </c>
      <c r="J1605">
        <v>-221.77420000000001</v>
      </c>
      <c r="K1605">
        <v>1.1210469999999999</v>
      </c>
      <c r="L1605">
        <v>283.05410000000001</v>
      </c>
      <c r="M1605">
        <v>-0.99926979999999999</v>
      </c>
      <c r="N1605">
        <v>-1.110593E-2</v>
      </c>
      <c r="O1605">
        <v>3.6559790000000002E-2</v>
      </c>
      <c r="P1605">
        <v>-0.9889578</v>
      </c>
      <c r="Q1605">
        <v>0.14616170000000001</v>
      </c>
      <c r="R1605">
        <v>2.4480680000000001E-2</v>
      </c>
      <c r="S1605">
        <v>-3.0359799999999999</v>
      </c>
      <c r="T1605">
        <v>-4.8666359999999999E-2</v>
      </c>
      <c r="U1605">
        <v>0.20111080000000001</v>
      </c>
      <c r="V1605">
        <v>-1.17333E-2</v>
      </c>
      <c r="W1605">
        <v>0.15713559999999999</v>
      </c>
      <c r="X1605">
        <v>0.98750729999999998</v>
      </c>
      <c r="Y1605">
        <v>2.9565370000000001E-2</v>
      </c>
      <c r="Z1605">
        <v>2.2175440000000001E-4</v>
      </c>
      <c r="AA1605">
        <v>0.99956279999999997</v>
      </c>
      <c r="AB1605">
        <v>31</v>
      </c>
      <c r="AC1605">
        <v>-69.634500000000003</v>
      </c>
      <c r="AD1605">
        <v>-1.121044811837</v>
      </c>
      <c r="AE1605">
        <v>4.6216999999999704</v>
      </c>
      <c r="AF1605">
        <v>2.0720955813110602</v>
      </c>
      <c r="AG1605">
        <v>-1.121044811837</v>
      </c>
      <c r="AH1605">
        <v>69.738924644979505</v>
      </c>
      <c r="AI1605">
        <v>90.920537262061302</v>
      </c>
      <c r="AJ1605">
        <v>88.298118101376701</v>
      </c>
      <c r="AK1605">
        <v>69.778706868258695</v>
      </c>
      <c r="AL1605">
        <v>80.959324588028494</v>
      </c>
      <c r="AM1605">
        <v>90.680741232456398</v>
      </c>
      <c r="AN1605">
        <v>0.99999996733476904</v>
      </c>
    </row>
    <row r="1606" spans="1:40" x14ac:dyDescent="0.25">
      <c r="A1606" t="str">
        <f>"20190303162811441"</f>
        <v>20190303162811441</v>
      </c>
      <c r="B1606" t="str">
        <f>"1551601691433445"</f>
        <v>1551601691433445</v>
      </c>
      <c r="C1606" t="s">
        <v>40</v>
      </c>
      <c r="D1606">
        <v>4.8698739999999896</v>
      </c>
      <c r="E1606">
        <v>0.51800089999999999</v>
      </c>
      <c r="F1606" t="s">
        <v>49</v>
      </c>
      <c r="G1606">
        <v>-291.96719999999999</v>
      </c>
      <c r="H1606" s="1">
        <v>2.2770099999999998E-6</v>
      </c>
      <c r="I1606">
        <v>287.79270000000002</v>
      </c>
      <c r="J1606">
        <v>-222.07409999999999</v>
      </c>
      <c r="K1606">
        <v>1.12107</v>
      </c>
      <c r="L1606">
        <v>283.06490000000002</v>
      </c>
      <c r="M1606">
        <v>-0.99927650000000001</v>
      </c>
      <c r="N1606">
        <v>-1.1096389999999999E-2</v>
      </c>
      <c r="O1606">
        <v>3.6378639999999997E-2</v>
      </c>
      <c r="P1606">
        <v>-0.98880900000000005</v>
      </c>
      <c r="Q1606">
        <v>0.14681029999999901</v>
      </c>
      <c r="R1606">
        <v>2.652709E-2</v>
      </c>
      <c r="S1606">
        <v>-3.0355989999999999</v>
      </c>
      <c r="T1606">
        <v>-4.848123E-2</v>
      </c>
      <c r="U1606">
        <v>0.20492550000000001</v>
      </c>
      <c r="V1606">
        <v>-9.5120929999999992E-3</v>
      </c>
      <c r="W1606">
        <v>0.1577741</v>
      </c>
      <c r="X1606">
        <v>0.98742940000000001</v>
      </c>
      <c r="Y1606">
        <v>3.1005049999999999E-2</v>
      </c>
      <c r="Z1606">
        <v>2.429137E-4</v>
      </c>
      <c r="AA1606">
        <v>0.99951920000000005</v>
      </c>
      <c r="AB1606">
        <v>31</v>
      </c>
      <c r="AC1606">
        <v>-69.893100000000004</v>
      </c>
      <c r="AD1606">
        <v>-1.1210677229899999</v>
      </c>
      <c r="AE1606">
        <v>4.7278000000000002</v>
      </c>
      <c r="AF1606">
        <v>2.1813391370690498</v>
      </c>
      <c r="AG1606">
        <v>-1.1210677229899999</v>
      </c>
      <c r="AH1606">
        <v>70.000904705658996</v>
      </c>
      <c r="AI1606">
        <v>90.917071045148603</v>
      </c>
      <c r="AJ1606">
        <v>88.215150273888696</v>
      </c>
      <c r="AK1606">
        <v>70.043855496975496</v>
      </c>
      <c r="AL1606">
        <v>80.9222792786464</v>
      </c>
      <c r="AM1606">
        <v>90.551923940819194</v>
      </c>
      <c r="AN1606">
        <v>0.99999998326420503</v>
      </c>
    </row>
    <row r="1607" spans="1:40" x14ac:dyDescent="0.25">
      <c r="A1607" t="str">
        <f>"20190303162811462"</f>
        <v>20190303162811462</v>
      </c>
      <c r="B1607" t="str">
        <f>"1551601691452965"</f>
        <v>1551601691452965</v>
      </c>
      <c r="C1607" t="s">
        <v>40</v>
      </c>
      <c r="D1607">
        <v>4.7844439999999997</v>
      </c>
      <c r="E1607">
        <v>0.51794119999999999</v>
      </c>
      <c r="F1607" t="s">
        <v>49</v>
      </c>
      <c r="G1607">
        <v>-295.34800000000001</v>
      </c>
      <c r="H1607" s="1">
        <v>2.8484519999999999E-6</v>
      </c>
      <c r="I1607">
        <v>288.11590000000001</v>
      </c>
      <c r="J1607">
        <v>-222.38069999999999</v>
      </c>
      <c r="K1607">
        <v>1.121113</v>
      </c>
      <c r="L1607">
        <v>283.07589999999999</v>
      </c>
      <c r="M1607">
        <v>-0.99928539999999999</v>
      </c>
      <c r="N1607">
        <v>-1.1087430000000001E-2</v>
      </c>
      <c r="O1607">
        <v>3.614071E-2</v>
      </c>
      <c r="P1607">
        <v>-0.98847450000000003</v>
      </c>
      <c r="Q1607">
        <v>0.14866889999999999</v>
      </c>
      <c r="R1607">
        <v>2.856759E-2</v>
      </c>
      <c r="S1607">
        <v>-3.0352329999999998</v>
      </c>
      <c r="T1607">
        <v>-4.6438100000000003E-2</v>
      </c>
      <c r="U1607">
        <v>0.20922850000000001</v>
      </c>
      <c r="V1607">
        <v>-7.2404289999999996E-3</v>
      </c>
      <c r="W1607">
        <v>0.15962100000000001</v>
      </c>
      <c r="X1607">
        <v>0.98715180000000002</v>
      </c>
      <c r="Y1607">
        <v>3.2661540000000003E-2</v>
      </c>
      <c r="Z1607">
        <v>2.7928650000000002E-4</v>
      </c>
      <c r="AA1607">
        <v>0.99946639999999998</v>
      </c>
      <c r="AB1607">
        <v>31</v>
      </c>
      <c r="AC1607">
        <v>-72.967299999999994</v>
      </c>
      <c r="AD1607">
        <v>-1.121110151548</v>
      </c>
      <c r="AE1607">
        <v>5.0400000000000196</v>
      </c>
      <c r="AF1607">
        <v>2.39889178808667</v>
      </c>
      <c r="AG1607">
        <v>-1.121110151548</v>
      </c>
      <c r="AH1607">
        <v>73.084614640635394</v>
      </c>
      <c r="AI1607">
        <v>90.878369216273697</v>
      </c>
      <c r="AJ1607">
        <v>88.120027767653198</v>
      </c>
      <c r="AK1607">
        <v>73.132567758509794</v>
      </c>
      <c r="AL1607">
        <v>80.815101433437107</v>
      </c>
      <c r="AM1607">
        <v>90.420237884995501</v>
      </c>
      <c r="AN1607">
        <v>0.99999998184817196</v>
      </c>
    </row>
    <row r="1608" spans="1:40" x14ac:dyDescent="0.25">
      <c r="A1608" t="str">
        <f>"20190303162811486"</f>
        <v>20190303162811486</v>
      </c>
      <c r="B1608" t="str">
        <f>"1551601691473461"</f>
        <v>1551601691473461</v>
      </c>
      <c r="C1608" t="s">
        <v>40</v>
      </c>
      <c r="D1608">
        <v>4.8514499999999998</v>
      </c>
      <c r="E1608">
        <v>0.51152109999999995</v>
      </c>
      <c r="F1608" t="s">
        <v>49</v>
      </c>
      <c r="G1608">
        <v>-306.44049999999999</v>
      </c>
      <c r="H1608" s="1">
        <v>2.4344560000000002E-6</v>
      </c>
      <c r="I1608">
        <v>289.05119999999999</v>
      </c>
      <c r="J1608">
        <v>-222.69110000000001</v>
      </c>
      <c r="K1608">
        <v>1.1211739999999999</v>
      </c>
      <c r="L1608">
        <v>283.08679999999998</v>
      </c>
      <c r="M1608">
        <v>-0.99929710000000005</v>
      </c>
      <c r="N1608">
        <v>-1.1073049999999999E-2</v>
      </c>
      <c r="O1608">
        <v>3.5817269999999998E-2</v>
      </c>
      <c r="P1608">
        <v>-0.98818799999999996</v>
      </c>
      <c r="Q1608">
        <v>0.15004379999999901</v>
      </c>
      <c r="R1608">
        <v>3.1170369999999999E-2</v>
      </c>
      <c r="S1608">
        <v>-3.0348510000000002</v>
      </c>
      <c r="T1608">
        <v>-4.0475959999999998E-2</v>
      </c>
      <c r="U1608">
        <v>0.2157288</v>
      </c>
      <c r="V1608">
        <v>-4.3313819999999999E-3</v>
      </c>
      <c r="W1608">
        <v>0.16098029999999999</v>
      </c>
      <c r="X1608">
        <v>0.98694809999999999</v>
      </c>
      <c r="Y1608">
        <v>3.5124490000000001E-2</v>
      </c>
      <c r="Z1608">
        <v>3.4811729999999999E-4</v>
      </c>
      <c r="AA1608">
        <v>0.99938289999999996</v>
      </c>
      <c r="AB1608">
        <v>31</v>
      </c>
      <c r="AC1608">
        <v>-83.749399999999895</v>
      </c>
      <c r="AD1608">
        <v>-1.121171565544</v>
      </c>
      <c r="AE1608">
        <v>5.9644000000000101</v>
      </c>
      <c r="AF1608">
        <v>2.9601861550158501</v>
      </c>
      <c r="AG1608">
        <v>-1.121171565544</v>
      </c>
      <c r="AH1608">
        <v>83.894338227093996</v>
      </c>
      <c r="AI1608">
        <v>90.7651843019963</v>
      </c>
      <c r="AJ1608">
        <v>87.979174253473701</v>
      </c>
      <c r="AK1608">
        <v>83.954033341548097</v>
      </c>
      <c r="AL1608">
        <v>80.736198952809602</v>
      </c>
      <c r="AM1608">
        <v>90.251450217895894</v>
      </c>
      <c r="AN1608">
        <v>0.99999998497586395</v>
      </c>
    </row>
    <row r="1609" spans="1:40" x14ac:dyDescent="0.25">
      <c r="A1609" t="str">
        <f>"20190303162811506"</f>
        <v>20190303162811506</v>
      </c>
      <c r="B1609" t="str">
        <f>"1551601691492982"</f>
        <v>1551601691492982</v>
      </c>
      <c r="C1609" t="s">
        <v>40</v>
      </c>
      <c r="D1609">
        <v>4.8392369999999998</v>
      </c>
      <c r="E1609">
        <v>0.51127529999999999</v>
      </c>
      <c r="F1609" t="s">
        <v>48</v>
      </c>
      <c r="G1609">
        <v>-273.42129999999997</v>
      </c>
      <c r="H1609" s="1">
        <v>2.2501549999999999E-7</v>
      </c>
      <c r="I1609">
        <v>285.96199999999999</v>
      </c>
      <c r="J1609">
        <v>-222.9812</v>
      </c>
      <c r="K1609">
        <v>1.1212390000000001</v>
      </c>
      <c r="L1609">
        <v>283.09690000000001</v>
      </c>
      <c r="M1609">
        <v>-0.99931110000000001</v>
      </c>
      <c r="N1609">
        <v>-1.1052289999999999E-2</v>
      </c>
      <c r="O1609">
        <v>3.5432400000000003E-2</v>
      </c>
      <c r="P1609">
        <v>-0.98780100000000004</v>
      </c>
      <c r="Q1609">
        <v>0.15182279999999901</v>
      </c>
      <c r="R1609">
        <v>3.4631420000000003E-2</v>
      </c>
      <c r="S1609">
        <v>-3.0406339999999998</v>
      </c>
      <c r="T1609">
        <v>-6.7200179999999998E-2</v>
      </c>
      <c r="U1609">
        <v>0.17233280000000001</v>
      </c>
      <c r="V1609">
        <v>-5.0418269999999996E-4</v>
      </c>
      <c r="W1609">
        <v>0.1627374</v>
      </c>
      <c r="X1609">
        <v>0.98666929999999997</v>
      </c>
      <c r="Y1609">
        <v>2.1166859999999999E-2</v>
      </c>
      <c r="Z1609" s="1">
        <v>-3.9820790000000003E-5</v>
      </c>
      <c r="AA1609">
        <v>0.99977590000000005</v>
      </c>
      <c r="AB1609">
        <v>31</v>
      </c>
      <c r="AC1609">
        <v>-50.440099999999902</v>
      </c>
      <c r="AD1609">
        <v>-1.1212387749845001</v>
      </c>
      <c r="AE1609">
        <v>2.86509999999998</v>
      </c>
      <c r="AF1609">
        <v>1.07544829432901</v>
      </c>
      <c r="AG1609">
        <v>-1.1212387749845001</v>
      </c>
      <c r="AH1609">
        <v>50.485080970831298</v>
      </c>
      <c r="AI1609">
        <v>91.272002043280807</v>
      </c>
      <c r="AJ1609">
        <v>88.779652738951697</v>
      </c>
      <c r="AK1609">
        <v>50.508981043530198</v>
      </c>
      <c r="AL1609">
        <v>80.634179534405007</v>
      </c>
      <c r="AM1609">
        <v>90.029277832298106</v>
      </c>
      <c r="AN1609">
        <v>1.0000000115607199</v>
      </c>
    </row>
    <row r="1610" spans="1:40" x14ac:dyDescent="0.25">
      <c r="A1610" t="str">
        <f>"20190303162811530"</f>
        <v>20190303162811530</v>
      </c>
      <c r="B1610" t="str">
        <f>"1551601691523238"</f>
        <v>1551601691523238</v>
      </c>
      <c r="C1610" t="s">
        <v>40</v>
      </c>
      <c r="D1610">
        <v>4.8347030000000002</v>
      </c>
      <c r="E1610">
        <v>0.51118649999999999</v>
      </c>
      <c r="F1610" t="s">
        <v>48</v>
      </c>
      <c r="G1610">
        <v>-276.69420000000002</v>
      </c>
      <c r="H1610" s="1">
        <v>1.9525380000000001E-6</v>
      </c>
      <c r="I1610">
        <v>286.28680000000003</v>
      </c>
      <c r="J1610">
        <v>-223.3006</v>
      </c>
      <c r="K1610">
        <v>1.1213150000000001</v>
      </c>
      <c r="L1610">
        <v>283.10770000000002</v>
      </c>
      <c r="M1610">
        <v>-0.99932929999999998</v>
      </c>
      <c r="N1610">
        <v>-1.102528E-2</v>
      </c>
      <c r="O1610">
        <v>3.4919190000000003E-2</v>
      </c>
      <c r="P1610">
        <v>-0.98723300000000003</v>
      </c>
      <c r="Q1610">
        <v>0.15468189999999901</v>
      </c>
      <c r="R1610">
        <v>3.8009229999999998E-2</v>
      </c>
      <c r="S1610">
        <v>-3.0404819999999999</v>
      </c>
      <c r="T1610">
        <v>-6.3468810000000001E-2</v>
      </c>
      <c r="U1610">
        <v>0.1805725</v>
      </c>
      <c r="V1610">
        <v>3.3681430000000001E-3</v>
      </c>
      <c r="W1610">
        <v>0.1655681</v>
      </c>
      <c r="X1610">
        <v>0.98619259999999997</v>
      </c>
      <c r="Y1610">
        <v>2.4382520000000001E-2</v>
      </c>
      <c r="Z1610" s="1">
        <v>4.5694620000000003E-5</v>
      </c>
      <c r="AA1610">
        <v>0.99970270000000006</v>
      </c>
      <c r="AB1610">
        <v>31</v>
      </c>
      <c r="AC1610">
        <v>-53.393599999999999</v>
      </c>
      <c r="AD1610">
        <v>-1.1213130474619999</v>
      </c>
      <c r="AE1610">
        <v>3.1791</v>
      </c>
      <c r="AF1610">
        <v>1.3120097211978801</v>
      </c>
      <c r="AG1610">
        <v>-1.1213130474619999</v>
      </c>
      <c r="AH1610">
        <v>53.448562180085702</v>
      </c>
      <c r="AI1610">
        <v>91.201486819626098</v>
      </c>
      <c r="AJ1610">
        <v>88.593834457590603</v>
      </c>
      <c r="AK1610">
        <v>53.476420145494203</v>
      </c>
      <c r="AL1610">
        <v>80.469761791482</v>
      </c>
      <c r="AM1610">
        <v>89.804318519144502</v>
      </c>
      <c r="AN1610">
        <v>0.99999999220981906</v>
      </c>
    </row>
    <row r="1611" spans="1:40" x14ac:dyDescent="0.25">
      <c r="A1611" t="str">
        <f>"20190303162811553"</f>
        <v>20190303162811553</v>
      </c>
      <c r="B1611" t="str">
        <f>"1551601691543733"</f>
        <v>1551601691543733</v>
      </c>
      <c r="C1611" t="s">
        <v>40</v>
      </c>
      <c r="D1611">
        <v>5.9499269999999997</v>
      </c>
      <c r="E1611">
        <v>0.51079350000000001</v>
      </c>
      <c r="F1611" t="s">
        <v>49</v>
      </c>
      <c r="G1611">
        <v>-282.09620000000001</v>
      </c>
      <c r="H1611" s="1">
        <v>7.0235279999999997E-6</v>
      </c>
      <c r="I1611">
        <v>286.79000000000002</v>
      </c>
      <c r="J1611">
        <v>-223.62029999999999</v>
      </c>
      <c r="K1611">
        <v>1.1214</v>
      </c>
      <c r="L1611">
        <v>283.11829999999998</v>
      </c>
      <c r="M1611">
        <v>-0.9993514</v>
      </c>
      <c r="N1611">
        <v>-1.099164E-2</v>
      </c>
      <c r="O1611">
        <v>3.4293509999999999E-2</v>
      </c>
      <c r="P1611">
        <v>-0.98659490000000005</v>
      </c>
      <c r="Q1611">
        <v>0.15807769999999999</v>
      </c>
      <c r="R1611">
        <v>4.052273E-2</v>
      </c>
      <c r="S1611">
        <v>-3.0405730000000002</v>
      </c>
      <c r="T1611">
        <v>-5.7987690000000001E-2</v>
      </c>
      <c r="U1611">
        <v>0.19042970000000001</v>
      </c>
      <c r="V1611">
        <v>6.4854609999999997E-3</v>
      </c>
      <c r="W1611">
        <v>0.16892850000000001</v>
      </c>
      <c r="X1611">
        <v>0.98560700000000001</v>
      </c>
      <c r="Y1611">
        <v>2.8234820000000001E-2</v>
      </c>
      <c r="Z1611">
        <v>1.479773E-4</v>
      </c>
      <c r="AA1611">
        <v>0.99960130000000003</v>
      </c>
      <c r="AB1611">
        <v>31</v>
      </c>
      <c r="AC1611">
        <v>-58.475900000000003</v>
      </c>
      <c r="AD1611">
        <v>-1.1213929764720001</v>
      </c>
      <c r="AE1611">
        <v>3.6717000000000399</v>
      </c>
      <c r="AF1611">
        <v>1.6634657826121599</v>
      </c>
      <c r="AG1611">
        <v>-1.1213929764720001</v>
      </c>
      <c r="AH1611">
        <v>58.545977488997899</v>
      </c>
      <c r="AI1611">
        <v>91.096869880734104</v>
      </c>
      <c r="AJ1611">
        <v>88.372493935800193</v>
      </c>
      <c r="AK1611">
        <v>58.580339029062102</v>
      </c>
      <c r="AL1611">
        <v>80.274474649135101</v>
      </c>
      <c r="AM1611">
        <v>89.622989507450598</v>
      </c>
      <c r="AN1611">
        <v>1.0000000288828099</v>
      </c>
    </row>
    <row r="1612" spans="1:40" x14ac:dyDescent="0.25">
      <c r="A1612" t="str">
        <f>"20190303162811573"</f>
        <v>20190303162811573</v>
      </c>
      <c r="B1612" t="str">
        <f>"1551601691563254"</f>
        <v>1551601691563254</v>
      </c>
      <c r="C1612" t="s">
        <v>40</v>
      </c>
      <c r="D1612">
        <v>4.793812</v>
      </c>
      <c r="E1612">
        <v>0.51226590000000005</v>
      </c>
      <c r="F1612" t="s">
        <v>49</v>
      </c>
      <c r="G1612">
        <v>-294.64120000000003</v>
      </c>
      <c r="H1612" s="1">
        <v>2.76171E-6</v>
      </c>
      <c r="I1612">
        <v>287.67410000000001</v>
      </c>
      <c r="J1612">
        <v>-223.90309999999999</v>
      </c>
      <c r="K1612">
        <v>1.1214820000000001</v>
      </c>
      <c r="L1612">
        <v>283.12740000000002</v>
      </c>
      <c r="M1612">
        <v>-0.99937399999999998</v>
      </c>
      <c r="N1612">
        <v>-1.095694E-2</v>
      </c>
      <c r="O1612">
        <v>3.3636140000000002E-2</v>
      </c>
      <c r="P1612">
        <v>-0.98596539999999999</v>
      </c>
      <c r="Q1612">
        <v>0.1613224</v>
      </c>
      <c r="R1612">
        <v>4.2982630000000001E-2</v>
      </c>
      <c r="S1612">
        <v>-3.040451</v>
      </c>
      <c r="T1612">
        <v>-4.8007729999999998E-2</v>
      </c>
      <c r="U1612">
        <v>0.19503780000000001</v>
      </c>
      <c r="V1612">
        <v>9.5795829999999992E-3</v>
      </c>
      <c r="W1612">
        <v>0.17213809999999999</v>
      </c>
      <c r="X1612">
        <v>0.98502619999999996</v>
      </c>
      <c r="Y1612">
        <v>3.0404690000000002E-2</v>
      </c>
      <c r="Z1612">
        <v>2.4456260000000002E-4</v>
      </c>
      <c r="AA1612">
        <v>0.99953760000000003</v>
      </c>
      <c r="AB1612">
        <v>31</v>
      </c>
      <c r="AC1612">
        <v>-70.738100000000003</v>
      </c>
      <c r="AD1612">
        <v>-1.1214792382899901</v>
      </c>
      <c r="AE1612">
        <v>4.54669999999998</v>
      </c>
      <c r="AF1612">
        <v>2.1640855476067999</v>
      </c>
      <c r="AG1612">
        <v>-1.1214792382899901</v>
      </c>
      <c r="AH1612">
        <v>70.833279742189902</v>
      </c>
      <c r="AI1612">
        <v>90.906645843285204</v>
      </c>
      <c r="AJ1612">
        <v>88.250054049223195</v>
      </c>
      <c r="AK1612">
        <v>70.875203710286499</v>
      </c>
      <c r="AL1612">
        <v>80.087843507019798</v>
      </c>
      <c r="AM1612">
        <v>89.442804290472395</v>
      </c>
      <c r="AN1612">
        <v>0.99999995428425004</v>
      </c>
    </row>
    <row r="1613" spans="1:40" x14ac:dyDescent="0.25">
      <c r="A1613" t="str">
        <f>"20190303162811595"</f>
        <v>20190303162811595</v>
      </c>
      <c r="B1613" t="str">
        <f>"1551601691582773"</f>
        <v>1551601691582773</v>
      </c>
      <c r="C1613" t="s">
        <v>40</v>
      </c>
      <c r="D1613">
        <v>4.6622519999999996</v>
      </c>
      <c r="E1613">
        <v>0.51253590000000004</v>
      </c>
      <c r="F1613" t="s">
        <v>48</v>
      </c>
      <c r="G1613">
        <v>-254.37370000000001</v>
      </c>
      <c r="H1613" s="1">
        <v>7.9069849999999996E-7</v>
      </c>
      <c r="I1613">
        <v>285.24290000000002</v>
      </c>
      <c r="J1613">
        <v>-224.2011</v>
      </c>
      <c r="K1613">
        <v>1.12157</v>
      </c>
      <c r="L1613">
        <v>283.13670000000002</v>
      </c>
      <c r="M1613">
        <v>-0.99940099999999998</v>
      </c>
      <c r="N1613">
        <v>-1.091721E-2</v>
      </c>
      <c r="O1613">
        <v>3.283966E-2</v>
      </c>
      <c r="P1613">
        <v>-0.98568549999999999</v>
      </c>
      <c r="Q1613">
        <v>0.16260089999999999</v>
      </c>
      <c r="R1613">
        <v>4.4558100000000003E-2</v>
      </c>
      <c r="S1613">
        <v>-3.0518339999999999</v>
      </c>
      <c r="T1613">
        <v>-0.1123238</v>
      </c>
      <c r="U1613">
        <v>0.2118835</v>
      </c>
      <c r="V1613">
        <v>1.1912499999999999E-2</v>
      </c>
      <c r="W1613">
        <v>0.173379799999999</v>
      </c>
      <c r="X1613">
        <v>0.98478299999999996</v>
      </c>
      <c r="Y1613">
        <v>3.6440500000000001E-2</v>
      </c>
      <c r="Z1613" s="1">
        <v>2.0670999999999999E-5</v>
      </c>
      <c r="AA1613">
        <v>0.9993358</v>
      </c>
      <c r="AB1613">
        <v>31</v>
      </c>
      <c r="AC1613">
        <v>-30.172599999999999</v>
      </c>
      <c r="AD1613">
        <v>-1.1215692093014999</v>
      </c>
      <c r="AE1613">
        <v>2.1061999999999999</v>
      </c>
      <c r="AF1613">
        <v>1.1126169710157801</v>
      </c>
      <c r="AG1613">
        <v>-1.1215692093014999</v>
      </c>
      <c r="AH1613">
        <v>30.183990744433999</v>
      </c>
      <c r="AI1613">
        <v>92.126560377087699</v>
      </c>
      <c r="AJ1613">
        <v>87.888966765143905</v>
      </c>
      <c r="AK1613">
        <v>30.225306140311002</v>
      </c>
      <c r="AL1613">
        <v>80.015613846105595</v>
      </c>
      <c r="AM1613">
        <v>89.306951191070397</v>
      </c>
      <c r="AN1613">
        <v>1.00000000989664</v>
      </c>
    </row>
    <row r="1614" spans="1:40" x14ac:dyDescent="0.25">
      <c r="A1614" t="str">
        <f>"20190303162811620"</f>
        <v>20190303162811620</v>
      </c>
      <c r="B1614" t="str">
        <f>"1551601691613029"</f>
        <v>1551601691613029</v>
      </c>
      <c r="C1614" t="s">
        <v>40</v>
      </c>
      <c r="D1614">
        <v>4.7635160000000001</v>
      </c>
      <c r="E1614">
        <v>0.51161939999999995</v>
      </c>
      <c r="F1614" t="s">
        <v>48</v>
      </c>
      <c r="G1614">
        <v>-256.68950000000001</v>
      </c>
      <c r="H1614" s="1">
        <v>2.0230590000000001E-6</v>
      </c>
      <c r="I1614">
        <v>285.46210000000002</v>
      </c>
      <c r="J1614">
        <v>-224.54740000000001</v>
      </c>
      <c r="K1614">
        <v>1.12165</v>
      </c>
      <c r="L1614">
        <v>283.14699999999999</v>
      </c>
      <c r="M1614">
        <v>-0.99943539999999997</v>
      </c>
      <c r="N1614">
        <v>-1.086461E-2</v>
      </c>
      <c r="O1614">
        <v>3.179792E-2</v>
      </c>
      <c r="P1614">
        <v>-0.98564770000000002</v>
      </c>
      <c r="Q1614">
        <v>0.1624072</v>
      </c>
      <c r="R1614">
        <v>4.6073349999999999E-2</v>
      </c>
      <c r="S1614">
        <v>-3.051056</v>
      </c>
      <c r="T1614">
        <v>-0.1053287</v>
      </c>
      <c r="U1614">
        <v>0.21838379999999999</v>
      </c>
      <c r="V1614">
        <v>1.4415610000000001E-2</v>
      </c>
      <c r="W1614">
        <v>0.17314170000000001</v>
      </c>
      <c r="X1614">
        <v>0.98479139999999998</v>
      </c>
      <c r="Y1614">
        <v>3.9617020000000003E-2</v>
      </c>
      <c r="Z1614">
        <v>1.478916E-4</v>
      </c>
      <c r="AA1614">
        <v>0.99921490000000002</v>
      </c>
      <c r="AB1614">
        <v>31</v>
      </c>
      <c r="AC1614">
        <v>-32.142099999999999</v>
      </c>
      <c r="AD1614">
        <v>-1.1216479769409999</v>
      </c>
      <c r="AE1614">
        <v>2.3151000000000201</v>
      </c>
      <c r="AF1614">
        <v>1.29025392226198</v>
      </c>
      <c r="AG1614">
        <v>-1.1216479769409999</v>
      </c>
      <c r="AH1614">
        <v>32.1605022033701</v>
      </c>
      <c r="AI1614">
        <v>91.995866305561606</v>
      </c>
      <c r="AJ1614">
        <v>87.702570705294207</v>
      </c>
      <c r="AK1614">
        <v>32.205911745222501</v>
      </c>
      <c r="AL1614">
        <v>80.029465159998196</v>
      </c>
      <c r="AM1614">
        <v>89.161350693018306</v>
      </c>
      <c r="AN1614">
        <v>0.99999997980225996</v>
      </c>
    </row>
    <row r="1615" spans="1:40" x14ac:dyDescent="0.25">
      <c r="A1615" t="str">
        <f>"20190303162811642"</f>
        <v>20190303162811642</v>
      </c>
      <c r="B1615" t="str">
        <f>"1551601691632549"</f>
        <v>1551601691632549</v>
      </c>
      <c r="C1615" t="s">
        <v>40</v>
      </c>
      <c r="D1615">
        <v>4.7600499999999997</v>
      </c>
      <c r="E1615">
        <v>0.51100730000000005</v>
      </c>
      <c r="F1615" t="s">
        <v>48</v>
      </c>
      <c r="G1615">
        <v>-254.5307</v>
      </c>
      <c r="H1615" s="1">
        <v>8.7421159999999997E-7</v>
      </c>
      <c r="I1615">
        <v>285.26089999999999</v>
      </c>
      <c r="J1615">
        <v>-224.84639999999999</v>
      </c>
      <c r="K1615">
        <v>1.121718</v>
      </c>
      <c r="L1615">
        <v>283.15550000000002</v>
      </c>
      <c r="M1615">
        <v>-0.99946699999999999</v>
      </c>
      <c r="N1615">
        <v>-1.0815709999999999E-2</v>
      </c>
      <c r="O1615">
        <v>3.0804689999999999E-2</v>
      </c>
      <c r="P1615">
        <v>-0.98570760000000002</v>
      </c>
      <c r="Q1615">
        <v>0.1619978</v>
      </c>
      <c r="R1615">
        <v>4.6231979999999999E-2</v>
      </c>
      <c r="S1615">
        <v>-3.05246</v>
      </c>
      <c r="T1615">
        <v>-0.114189899999999</v>
      </c>
      <c r="U1615">
        <v>0.21521000000000001</v>
      </c>
      <c r="V1615">
        <v>1.552182E-2</v>
      </c>
      <c r="W1615">
        <v>0.1726895</v>
      </c>
      <c r="X1615">
        <v>0.98485400000000001</v>
      </c>
      <c r="Y1615">
        <v>3.9540939999999997E-2</v>
      </c>
      <c r="Z1615">
        <v>1.353409E-4</v>
      </c>
      <c r="AA1615">
        <v>0.99921789999999999</v>
      </c>
      <c r="AB1615">
        <v>31</v>
      </c>
      <c r="AC1615">
        <v>-29.6843</v>
      </c>
      <c r="AD1615">
        <v>-1.12171712578839</v>
      </c>
      <c r="AE1615">
        <v>2.1053999999999702</v>
      </c>
      <c r="AF1615">
        <v>1.18824338915879</v>
      </c>
      <c r="AG1615">
        <v>-1.12171712578839</v>
      </c>
      <c r="AH1615">
        <v>29.6928831154551</v>
      </c>
      <c r="AI1615">
        <v>92.161722823355504</v>
      </c>
      <c r="AJ1615">
        <v>87.708372625502804</v>
      </c>
      <c r="AK1615">
        <v>29.737812282853699</v>
      </c>
      <c r="AL1615">
        <v>80.055770720664597</v>
      </c>
      <c r="AM1615">
        <v>89.097062963533403</v>
      </c>
      <c r="AN1615">
        <v>0.99999999581118104</v>
      </c>
    </row>
    <row r="1616" spans="1:40" x14ac:dyDescent="0.25">
      <c r="A1616" t="str">
        <f>"20190303162811665"</f>
        <v>20190303162811665</v>
      </c>
      <c r="B1616" t="str">
        <f>"1551601691653046"</f>
        <v>1551601691653046</v>
      </c>
      <c r="C1616" t="s">
        <v>40</v>
      </c>
      <c r="D1616">
        <v>4.763725</v>
      </c>
      <c r="E1616">
        <v>0.51076650000000001</v>
      </c>
      <c r="F1616" t="s">
        <v>48</v>
      </c>
      <c r="G1616">
        <v>-253.5361</v>
      </c>
      <c r="H1616" s="1">
        <v>3.4494179999999998E-7</v>
      </c>
      <c r="I1616">
        <v>285.13099999999997</v>
      </c>
      <c r="J1616">
        <v>-225.1557</v>
      </c>
      <c r="K1616">
        <v>1.1217779999999999</v>
      </c>
      <c r="L1616">
        <v>283.16399999999999</v>
      </c>
      <c r="M1616">
        <v>-0.99950099999999997</v>
      </c>
      <c r="N1616">
        <v>-1.076241E-2</v>
      </c>
      <c r="O1616">
        <v>2.9697419999999999E-2</v>
      </c>
      <c r="P1616">
        <v>-0.98552439999999997</v>
      </c>
      <c r="Q1616">
        <v>0.163220899999999</v>
      </c>
      <c r="R1616">
        <v>4.5834310000000003E-2</v>
      </c>
      <c r="S1616">
        <v>-3.0532379999999999</v>
      </c>
      <c r="T1616">
        <v>-0.1193765</v>
      </c>
      <c r="U1616">
        <v>0.21023559999999999</v>
      </c>
      <c r="V1616">
        <v>1.619249E-2</v>
      </c>
      <c r="W1616">
        <v>0.17386109999999999</v>
      </c>
      <c r="X1616">
        <v>0.98463699999999998</v>
      </c>
      <c r="Y1616">
        <v>3.9008660000000001E-2</v>
      </c>
      <c r="Z1616">
        <v>1.320592E-4</v>
      </c>
      <c r="AA1616">
        <v>0.99923879999999998</v>
      </c>
      <c r="AB1616">
        <v>31</v>
      </c>
      <c r="AC1616">
        <v>-28.380400000000002</v>
      </c>
      <c r="AD1616">
        <v>-1.1217776550581999</v>
      </c>
      <c r="AE1616">
        <v>1.9669999999999801</v>
      </c>
      <c r="AF1616">
        <v>1.1215150398714999</v>
      </c>
      <c r="AG1616">
        <v>-1.1217776550581999</v>
      </c>
      <c r="AH1616">
        <v>28.382168428568601</v>
      </c>
      <c r="AI1616">
        <v>92.261618833804405</v>
      </c>
      <c r="AJ1616">
        <v>87.737147345156203</v>
      </c>
      <c r="AK1616">
        <v>28.4264606625532</v>
      </c>
      <c r="AL1616">
        <v>79.987611512205504</v>
      </c>
      <c r="AM1616">
        <v>89.057848003878206</v>
      </c>
      <c r="AN1616">
        <v>0.99999995029730304</v>
      </c>
    </row>
    <row r="1617" spans="1:40" x14ac:dyDescent="0.25">
      <c r="A1617" t="str">
        <f>"20190303162811686"</f>
        <v>20190303162811686</v>
      </c>
      <c r="B1617" t="str">
        <f>"1551601691672565"</f>
        <v>1551601691672565</v>
      </c>
      <c r="C1617" t="s">
        <v>40</v>
      </c>
      <c r="D1617">
        <v>4.7551370000000004</v>
      </c>
      <c r="E1617">
        <v>0.51046229999999904</v>
      </c>
      <c r="F1617" t="s">
        <v>48</v>
      </c>
      <c r="G1617">
        <v>-254.0789</v>
      </c>
      <c r="H1617" s="1">
        <v>6.3377789999999995E-7</v>
      </c>
      <c r="I1617">
        <v>285.125</v>
      </c>
      <c r="J1617">
        <v>-225.4554</v>
      </c>
      <c r="K1617">
        <v>1.121831</v>
      </c>
      <c r="L1617">
        <v>283.17169999999999</v>
      </c>
      <c r="M1617">
        <v>-0.99953460000000005</v>
      </c>
      <c r="N1617">
        <v>-1.071099E-2</v>
      </c>
      <c r="O1617">
        <v>2.8565549999999999E-2</v>
      </c>
      <c r="P1617">
        <v>-0.98546140000000004</v>
      </c>
      <c r="Q1617">
        <v>0.16410939999999999</v>
      </c>
      <c r="R1617">
        <v>4.3980350000000001E-2</v>
      </c>
      <c r="S1617">
        <v>-3.0540470000000002</v>
      </c>
      <c r="T1617">
        <v>-0.1184505</v>
      </c>
      <c r="U1617">
        <v>0.20706179999999999</v>
      </c>
      <c r="V1617">
        <v>1.543399E-2</v>
      </c>
      <c r="W1617">
        <v>0.1746984</v>
      </c>
      <c r="X1617">
        <v>0.98450099999999996</v>
      </c>
      <c r="Y1617">
        <v>3.9088329999999998E-2</v>
      </c>
      <c r="Z1617">
        <v>1.6634889999999901E-4</v>
      </c>
      <c r="AA1617">
        <v>0.99923569999999995</v>
      </c>
      <c r="AB1617">
        <v>31</v>
      </c>
      <c r="AC1617">
        <v>-28.6235</v>
      </c>
      <c r="AD1617">
        <v>-1.1218303662221001</v>
      </c>
      <c r="AE1617">
        <v>1.95330000000001</v>
      </c>
      <c r="AF1617">
        <v>1.1330775257094701</v>
      </c>
      <c r="AG1617">
        <v>-1.1218303662221001</v>
      </c>
      <c r="AH1617">
        <v>28.623854082078601</v>
      </c>
      <c r="AI1617">
        <v>92.242641470893702</v>
      </c>
      <c r="AJ1617">
        <v>87.7331255938781</v>
      </c>
      <c r="AK1617">
        <v>28.6682296377362</v>
      </c>
      <c r="AL1617">
        <v>79.938892451666504</v>
      </c>
      <c r="AM1617">
        <v>89.101849511056798</v>
      </c>
      <c r="AN1617">
        <v>0.99999997900543902</v>
      </c>
    </row>
    <row r="1618" spans="1:40" x14ac:dyDescent="0.25">
      <c r="A1618" t="str">
        <f>"20190303162811708"</f>
        <v>20190303162811708</v>
      </c>
      <c r="B1618" t="str">
        <f>"1551601691693062"</f>
        <v>1551601691693062</v>
      </c>
      <c r="C1618" t="s">
        <v>40</v>
      </c>
      <c r="D1618">
        <v>4.7506919999999999</v>
      </c>
      <c r="E1618">
        <v>0.51021519999999998</v>
      </c>
      <c r="F1618" t="s">
        <v>48</v>
      </c>
      <c r="G1618">
        <v>-254.52269999999999</v>
      </c>
      <c r="H1618" s="1">
        <v>8.6996600000000005E-7</v>
      </c>
      <c r="I1618">
        <v>285.07010000000002</v>
      </c>
      <c r="J1618">
        <v>-225.76150000000001</v>
      </c>
      <c r="K1618">
        <v>1.1218589999999999</v>
      </c>
      <c r="L1618">
        <v>283.17930000000001</v>
      </c>
      <c r="M1618">
        <v>-0.99956849999999997</v>
      </c>
      <c r="N1618">
        <v>-1.0661810000000001E-2</v>
      </c>
      <c r="O1618">
        <v>2.7372230000000001E-2</v>
      </c>
      <c r="P1618">
        <v>-0.98547390000000001</v>
      </c>
      <c r="Q1618">
        <v>0.1645779</v>
      </c>
      <c r="R1618">
        <v>4.1898310000000001E-2</v>
      </c>
      <c r="S1618">
        <v>-3.0550079999999999</v>
      </c>
      <c r="T1618">
        <v>-0.11790589999999999</v>
      </c>
      <c r="U1618">
        <v>0.1995239</v>
      </c>
      <c r="V1618">
        <v>1.451159E-2</v>
      </c>
      <c r="W1618">
        <v>0.1751171</v>
      </c>
      <c r="X1618">
        <v>0.9844406</v>
      </c>
      <c r="Y1618">
        <v>3.7806409999999999E-2</v>
      </c>
      <c r="Z1618">
        <v>1.673546E-4</v>
      </c>
      <c r="AA1618">
        <v>0.99928499999999998</v>
      </c>
      <c r="AB1618">
        <v>31</v>
      </c>
      <c r="AC1618">
        <v>-28.761199999999899</v>
      </c>
      <c r="AD1618">
        <v>-1.121858130034</v>
      </c>
      <c r="AE1618">
        <v>1.89080000000001</v>
      </c>
      <c r="AF1618">
        <v>1.1011204581599701</v>
      </c>
      <c r="AG1618">
        <v>-1.121858130034</v>
      </c>
      <c r="AH1618">
        <v>28.758613680528502</v>
      </c>
      <c r="AI1618">
        <v>92.232310970235702</v>
      </c>
      <c r="AJ1618">
        <v>87.807309036876106</v>
      </c>
      <c r="AK1618">
        <v>28.801543235618102</v>
      </c>
      <c r="AL1618">
        <v>79.914526714022898</v>
      </c>
      <c r="AM1618">
        <v>89.155466926915196</v>
      </c>
      <c r="AN1618">
        <v>0.99999993994254699</v>
      </c>
    </row>
    <row r="1619" spans="1:40" x14ac:dyDescent="0.25">
      <c r="A1619" t="str">
        <f>"20190303162811732"</f>
        <v>20190303162811732</v>
      </c>
      <c r="B1619" t="str">
        <f>"1551601691723319"</f>
        <v>1551601691723319</v>
      </c>
      <c r="C1619" t="s">
        <v>40</v>
      </c>
      <c r="D1619">
        <v>4.8839220000000001</v>
      </c>
      <c r="E1619">
        <v>0.49070390000000003</v>
      </c>
      <c r="F1619" t="s">
        <v>48</v>
      </c>
      <c r="G1619">
        <v>-255.0514</v>
      </c>
      <c r="H1619" s="1">
        <v>1.1513239999999999E-6</v>
      </c>
      <c r="I1619">
        <v>285.01569999999998</v>
      </c>
      <c r="J1619">
        <v>-226.08359999999999</v>
      </c>
      <c r="K1619">
        <v>1.121891</v>
      </c>
      <c r="L1619">
        <v>283.18680000000001</v>
      </c>
      <c r="M1619">
        <v>-0.99960320000000003</v>
      </c>
      <c r="N1619">
        <v>-1.0614709999999999E-2</v>
      </c>
      <c r="O1619">
        <v>2.6093160000000001E-2</v>
      </c>
      <c r="P1619">
        <v>-0.98572740000000003</v>
      </c>
      <c r="Q1619">
        <v>0.16378129999999999</v>
      </c>
      <c r="R1619">
        <v>3.8954549999999998E-2</v>
      </c>
      <c r="S1619">
        <v>-3.0556179999999999</v>
      </c>
      <c r="T1619">
        <v>-0.1170359</v>
      </c>
      <c r="U1619">
        <v>0.19158939999999999</v>
      </c>
      <c r="V1619">
        <v>1.2813430000000001E-2</v>
      </c>
      <c r="W1619">
        <v>0.17427300000000001</v>
      </c>
      <c r="X1619">
        <v>0.98461399999999999</v>
      </c>
      <c r="Y1619">
        <v>3.6488899999999998E-2</v>
      </c>
      <c r="Z1619">
        <v>1.707329E-4</v>
      </c>
      <c r="AA1619">
        <v>0.99933399999999994</v>
      </c>
      <c r="AB1619">
        <v>31</v>
      </c>
      <c r="AC1619">
        <v>-28.9678</v>
      </c>
      <c r="AD1619">
        <v>-1.1218898486759901</v>
      </c>
      <c r="AE1619">
        <v>1.82889999999997</v>
      </c>
      <c r="AF1619">
        <v>1.0707735200497901</v>
      </c>
      <c r="AG1619">
        <v>-1.1218898486759901</v>
      </c>
      <c r="AH1619">
        <v>28.962391343474302</v>
      </c>
      <c r="AI1619">
        <v>92.216792504145104</v>
      </c>
      <c r="AJ1619">
        <v>87.882672294484806</v>
      </c>
      <c r="AK1619">
        <v>29.003884310491198</v>
      </c>
      <c r="AL1619">
        <v>79.963645970470395</v>
      </c>
      <c r="AM1619">
        <v>89.254414400034094</v>
      </c>
      <c r="AN1619">
        <v>0.99999999575668197</v>
      </c>
    </row>
    <row r="1620" spans="1:40" x14ac:dyDescent="0.25">
      <c r="A1620" t="str">
        <f>"20190303162811753"</f>
        <v>20190303162811753</v>
      </c>
      <c r="B1620" t="str">
        <f>"1551601691742839"</f>
        <v>1551601691742839</v>
      </c>
      <c r="C1620" t="s">
        <v>40</v>
      </c>
      <c r="D1620">
        <v>4.8444320000000003</v>
      </c>
      <c r="E1620">
        <v>0.4777788</v>
      </c>
      <c r="F1620" t="s">
        <v>48</v>
      </c>
      <c r="G1620">
        <v>-254.4015</v>
      </c>
      <c r="H1620" s="1">
        <v>8.0545059999999895E-7</v>
      </c>
      <c r="I1620">
        <v>283.43200000000002</v>
      </c>
      <c r="J1620">
        <v>-226.38650000000001</v>
      </c>
      <c r="K1620">
        <v>1.121901</v>
      </c>
      <c r="L1620">
        <v>283.19349999999997</v>
      </c>
      <c r="M1620">
        <v>-0.99963460000000004</v>
      </c>
      <c r="N1620">
        <v>-1.057493E-2</v>
      </c>
      <c r="O1620">
        <v>2.4880739999999998E-2</v>
      </c>
      <c r="P1620">
        <v>-0.98607860000000003</v>
      </c>
      <c r="Q1620">
        <v>0.162407</v>
      </c>
      <c r="R1620">
        <v>3.5682940000000003E-2</v>
      </c>
      <c r="S1620">
        <v>-3.0625610000000001</v>
      </c>
      <c r="T1620">
        <v>-0.121332</v>
      </c>
      <c r="U1620">
        <v>2.651978E-2</v>
      </c>
      <c r="V1620">
        <v>1.0725490000000001E-2</v>
      </c>
      <c r="W1620">
        <v>0.1728576</v>
      </c>
      <c r="X1620">
        <v>0.9848884</v>
      </c>
      <c r="Y1620">
        <v>-1.6198270000000001E-2</v>
      </c>
      <c r="Z1620">
        <v>-1.1285799999999999E-3</v>
      </c>
      <c r="AA1620">
        <v>0.99986819999999998</v>
      </c>
      <c r="AB1620">
        <v>31</v>
      </c>
      <c r="AC1620">
        <v>-28.014999999999901</v>
      </c>
      <c r="AD1620">
        <v>-1.1219001945493901</v>
      </c>
      <c r="AE1620">
        <v>0.23850000000004401</v>
      </c>
      <c r="AF1620">
        <v>-0.45791236798182799</v>
      </c>
      <c r="AG1620">
        <v>-1.1219001945493901</v>
      </c>
      <c r="AH1620">
        <v>27.967412208792599</v>
      </c>
      <c r="AI1620">
        <v>92.296855322730806</v>
      </c>
      <c r="AJ1620">
        <v>90.938023932547296</v>
      </c>
      <c r="AK1620">
        <v>27.9936508772937</v>
      </c>
      <c r="AL1620">
        <v>80.045992020193907</v>
      </c>
      <c r="AM1620">
        <v>89.376070406482697</v>
      </c>
      <c r="AN1620">
        <v>0.999999973234029</v>
      </c>
    </row>
    <row r="1621" spans="1:40" x14ac:dyDescent="0.25">
      <c r="A1621" t="str">
        <f>"20190303162811775"</f>
        <v>20190303162811775</v>
      </c>
      <c r="B1621" t="str">
        <f>"1551601691763334"</f>
        <v>1551601691763334</v>
      </c>
      <c r="C1621" t="s">
        <v>40</v>
      </c>
      <c r="D1621">
        <v>4.8455570000000003</v>
      </c>
      <c r="E1621">
        <v>0.47000219999999998</v>
      </c>
      <c r="F1621" t="s">
        <v>48</v>
      </c>
      <c r="G1621">
        <v>-258.24880000000002</v>
      </c>
      <c r="H1621" s="1">
        <v>2.8528309999999998E-6</v>
      </c>
      <c r="I1621">
        <v>282.29860000000002</v>
      </c>
      <c r="J1621">
        <v>-226.68279999999999</v>
      </c>
      <c r="K1621">
        <v>1.121902</v>
      </c>
      <c r="L1621">
        <v>283.19970000000001</v>
      </c>
      <c r="M1621">
        <v>-0.99966379999999999</v>
      </c>
      <c r="N1621">
        <v>-1.054011E-2</v>
      </c>
      <c r="O1621">
        <v>2.3693160000000001E-2</v>
      </c>
      <c r="P1621">
        <v>-0.98639500000000002</v>
      </c>
      <c r="Q1621">
        <v>0.16134109999999999</v>
      </c>
      <c r="R1621">
        <v>3.1526999999999999E-2</v>
      </c>
      <c r="S1621">
        <v>-3.0632480000000002</v>
      </c>
      <c r="T1621">
        <v>-0.1078595</v>
      </c>
      <c r="U1621">
        <v>-8.6029049999999996E-2</v>
      </c>
      <c r="V1621">
        <v>7.732254E-3</v>
      </c>
      <c r="W1621">
        <v>0.17175279999999901</v>
      </c>
      <c r="X1621">
        <v>0.98510969999999998</v>
      </c>
      <c r="Y1621">
        <v>-5.170164E-2</v>
      </c>
      <c r="Z1621">
        <v>-1.7666239999999901E-3</v>
      </c>
      <c r="AA1621">
        <v>0.99866100000000002</v>
      </c>
      <c r="AB1621">
        <v>31</v>
      </c>
      <c r="AC1621">
        <v>-31.565999999999999</v>
      </c>
      <c r="AD1621">
        <v>-1.1218991471690001</v>
      </c>
      <c r="AE1621">
        <v>-0.90109999999998502</v>
      </c>
      <c r="AF1621">
        <v>-1.6467083727940599</v>
      </c>
      <c r="AG1621">
        <v>-1.1218991471690001</v>
      </c>
      <c r="AH1621">
        <v>31.496033579332298</v>
      </c>
      <c r="AI1621">
        <v>92.037251949638801</v>
      </c>
      <c r="AJ1621">
        <v>92.9928724758459</v>
      </c>
      <c r="AK1621">
        <v>31.558999309101601</v>
      </c>
      <c r="AL1621">
        <v>80.110253455918496</v>
      </c>
      <c r="AM1621">
        <v>89.550287219216997</v>
      </c>
      <c r="AN1621">
        <v>0.99999996654692402</v>
      </c>
    </row>
    <row r="1622" spans="1:40" x14ac:dyDescent="0.25">
      <c r="A1622" t="str">
        <f>"20190303162811797"</f>
        <v>20190303162811797</v>
      </c>
      <c r="B1622" t="str">
        <f>"1551601691782854"</f>
        <v>1551601691782854</v>
      </c>
      <c r="C1622" t="s">
        <v>40</v>
      </c>
      <c r="D1622">
        <v>4.8190790000000003</v>
      </c>
      <c r="E1622">
        <v>0.46736660000000002</v>
      </c>
      <c r="F1622" t="s">
        <v>48</v>
      </c>
      <c r="G1622">
        <v>-259.04079999999999</v>
      </c>
      <c r="H1622" s="1">
        <v>3.2742770000000001E-6</v>
      </c>
      <c r="I1622">
        <v>281.50700000000001</v>
      </c>
      <c r="J1622">
        <v>-226.99619999999999</v>
      </c>
      <c r="K1622">
        <v>1.1219059999999901</v>
      </c>
      <c r="L1622">
        <v>283.20580000000001</v>
      </c>
      <c r="M1622">
        <v>-0.9996931</v>
      </c>
      <c r="N1622">
        <v>-1.050763E-2</v>
      </c>
      <c r="O1622">
        <v>2.2438690000000001E-2</v>
      </c>
      <c r="P1622">
        <v>-0.98666830000000005</v>
      </c>
      <c r="Q1622">
        <v>0.16060459999999999</v>
      </c>
      <c r="R1622">
        <v>2.6304749999999998E-2</v>
      </c>
      <c r="S1622">
        <v>-3.0638580000000002</v>
      </c>
      <c r="T1622">
        <v>-0.1062284</v>
      </c>
      <c r="U1622">
        <v>-0.16027829999999901</v>
      </c>
      <c r="V1622">
        <v>3.7413009999999998E-3</v>
      </c>
      <c r="W1622">
        <v>0.17097679999999901</v>
      </c>
      <c r="X1622">
        <v>0.98526789999999997</v>
      </c>
      <c r="Y1622">
        <v>-7.4572470000000002E-2</v>
      </c>
      <c r="Z1622">
        <v>-2.2254459999999998E-3</v>
      </c>
      <c r="AA1622">
        <v>0.99721309999999996</v>
      </c>
      <c r="AB1622">
        <v>31</v>
      </c>
      <c r="AC1622">
        <v>-32.044600000000003</v>
      </c>
      <c r="AD1622">
        <v>-1.1219027257230001</v>
      </c>
      <c r="AE1622">
        <v>-1.6988000000000001</v>
      </c>
      <c r="AF1622">
        <v>-2.4144994322693698</v>
      </c>
      <c r="AG1622">
        <v>-1.1219027257230001</v>
      </c>
      <c r="AH1622">
        <v>31.959345731308598</v>
      </c>
      <c r="AI1622">
        <v>92.004780314716996</v>
      </c>
      <c r="AJ1622">
        <v>94.320436510961997</v>
      </c>
      <c r="AK1622">
        <v>32.070052273230402</v>
      </c>
      <c r="AL1622">
        <v>80.155382375877906</v>
      </c>
      <c r="AM1622">
        <v>89.782435085011699</v>
      </c>
      <c r="AN1622">
        <v>0.99999994912090995</v>
      </c>
    </row>
    <row r="1623" spans="1:40" x14ac:dyDescent="0.25">
      <c r="A1623" t="str">
        <f>"20190303162811832"</f>
        <v>20190303162811832</v>
      </c>
      <c r="B1623" t="str">
        <f>"1551601691822869"</f>
        <v>1551601691822869</v>
      </c>
      <c r="C1623" t="s">
        <v>40</v>
      </c>
      <c r="D1623">
        <v>4.7850830000000002</v>
      </c>
      <c r="E1623">
        <v>0.46561979999999997</v>
      </c>
      <c r="F1623" t="s">
        <v>48</v>
      </c>
      <c r="G1623">
        <v>-260.64420000000001</v>
      </c>
      <c r="H1623" s="1">
        <v>-1.193972E-6</v>
      </c>
      <c r="I1623">
        <v>281.04840000000002</v>
      </c>
      <c r="J1623">
        <v>-227.49100000000001</v>
      </c>
      <c r="K1623">
        <v>1.1219059999999901</v>
      </c>
      <c r="L1623">
        <v>283.21469999999999</v>
      </c>
      <c r="M1623">
        <v>-0.99973559999999995</v>
      </c>
      <c r="N1623">
        <v>-1.0464940000000001E-2</v>
      </c>
      <c r="O1623">
        <v>2.0474450000000002E-2</v>
      </c>
      <c r="P1623">
        <v>-0.98695279999999996</v>
      </c>
      <c r="Q1623">
        <v>0.15972549999999999</v>
      </c>
      <c r="R1623">
        <v>2.0302830000000001E-2</v>
      </c>
      <c r="S1623">
        <v>-3.0623930000000001</v>
      </c>
      <c r="T1623">
        <v>-0.10210760000000001</v>
      </c>
      <c r="U1623">
        <v>-0.1963501</v>
      </c>
      <c r="V1623">
        <v>-3.2640270000000002E-4</v>
      </c>
      <c r="W1623">
        <v>0.1700469</v>
      </c>
      <c r="X1623">
        <v>0.98543590000000003</v>
      </c>
      <c r="Y1623">
        <v>-8.4338659999999996E-2</v>
      </c>
      <c r="Z1623">
        <v>-2.313992E-3</v>
      </c>
      <c r="AA1623">
        <v>0.9964345</v>
      </c>
      <c r="AB1623">
        <v>31</v>
      </c>
      <c r="AC1623">
        <v>-33.153199999999998</v>
      </c>
      <c r="AD1623">
        <v>-1.12190719397199</v>
      </c>
      <c r="AE1623">
        <v>-2.1662999999999699</v>
      </c>
      <c r="AF1623">
        <v>-2.8414365129925301</v>
      </c>
      <c r="AG1623">
        <v>-1.12190719397199</v>
      </c>
      <c r="AH1623">
        <v>33.064190783557301</v>
      </c>
      <c r="AI1623">
        <v>91.936237041375705</v>
      </c>
      <c r="AJ1623">
        <v>94.911758271855305</v>
      </c>
      <c r="AK1623">
        <v>33.205016930890601</v>
      </c>
      <c r="AL1623">
        <v>80.209453908525902</v>
      </c>
      <c r="AM1623">
        <v>90.018977892370003</v>
      </c>
      <c r="AN1623">
        <v>0.99999998387357103</v>
      </c>
    </row>
    <row r="1624" spans="1:40" x14ac:dyDescent="0.25">
      <c r="A1624" t="str">
        <f>"20190303162811855"</f>
        <v>20190303162811855</v>
      </c>
      <c r="B1624" t="str">
        <f>"1551601691843366"</f>
        <v>1551601691843366</v>
      </c>
      <c r="C1624" t="s">
        <v>40</v>
      </c>
      <c r="D1624">
        <v>4.9913790000000002</v>
      </c>
      <c r="E1624">
        <v>0.46523920000000002</v>
      </c>
      <c r="F1624" t="s">
        <v>48</v>
      </c>
      <c r="G1624">
        <v>-261.34699999999998</v>
      </c>
      <c r="H1624" s="1">
        <v>-8.1998709999999999E-7</v>
      </c>
      <c r="I1624">
        <v>280.68770000000001</v>
      </c>
      <c r="J1624">
        <v>-227.7979</v>
      </c>
      <c r="K1624">
        <v>1.1218919999999999</v>
      </c>
      <c r="L1624">
        <v>283.21969999999999</v>
      </c>
      <c r="M1624">
        <v>-0.99975970000000003</v>
      </c>
      <c r="N1624">
        <v>-1.044307E-2</v>
      </c>
      <c r="O1624">
        <v>1.9274639999999999E-2</v>
      </c>
      <c r="P1624">
        <v>-0.98714559999999996</v>
      </c>
      <c r="Q1624">
        <v>0.1589479</v>
      </c>
      <c r="R1624">
        <v>1.6722879999999999E-2</v>
      </c>
      <c r="S1624">
        <v>-3.0607760000000002</v>
      </c>
      <c r="T1624">
        <v>-0.1014268</v>
      </c>
      <c r="U1624">
        <v>-0.22845460000000001</v>
      </c>
      <c r="V1624">
        <v>-2.7218239999999999E-3</v>
      </c>
      <c r="W1624">
        <v>0.16924339999999999</v>
      </c>
      <c r="X1624">
        <v>0.98557050000000002</v>
      </c>
      <c r="Y1624">
        <v>-9.3568570000000004E-2</v>
      </c>
      <c r="Z1624">
        <v>-2.4739739999999999E-3</v>
      </c>
      <c r="AA1624">
        <v>0.99560979999999999</v>
      </c>
      <c r="AB1624">
        <v>31</v>
      </c>
      <c r="AC1624">
        <v>-33.549099999999903</v>
      </c>
      <c r="AD1624">
        <v>-1.1218928199871001</v>
      </c>
      <c r="AE1624">
        <v>-2.53199999999998</v>
      </c>
      <c r="AF1624">
        <v>-3.1746816528544799</v>
      </c>
      <c r="AG1624">
        <v>-1.1218928199871001</v>
      </c>
      <c r="AH1624">
        <v>33.456859334639702</v>
      </c>
      <c r="AI1624">
        <v>91.911970395616095</v>
      </c>
      <c r="AJ1624">
        <v>95.420498839245695</v>
      </c>
      <c r="AK1624">
        <v>33.625863314335497</v>
      </c>
      <c r="AL1624">
        <v>80.256168082133101</v>
      </c>
      <c r="AM1624">
        <v>90.158231837613897</v>
      </c>
      <c r="AN1624">
        <v>0.99999997361984805</v>
      </c>
    </row>
    <row r="1625" spans="1:40" x14ac:dyDescent="0.25">
      <c r="A1625" t="str">
        <f>"20190303162811875"</f>
        <v>20190303162811875</v>
      </c>
      <c r="B1625" t="str">
        <f>"1551601691862886"</f>
        <v>1551601691862886</v>
      </c>
      <c r="C1625" t="s">
        <v>40</v>
      </c>
      <c r="D1625">
        <v>4.8637370000000004</v>
      </c>
      <c r="E1625">
        <v>0.46520509999999898</v>
      </c>
      <c r="F1625" t="s">
        <v>48</v>
      </c>
      <c r="G1625">
        <v>-261.71319999999997</v>
      </c>
      <c r="H1625" s="1">
        <v>-6.2510049999999997E-7</v>
      </c>
      <c r="I1625">
        <v>280.54610000000002</v>
      </c>
      <c r="J1625">
        <v>-228.0889</v>
      </c>
      <c r="K1625">
        <v>1.1218809999999999</v>
      </c>
      <c r="L1625">
        <v>283.2242</v>
      </c>
      <c r="M1625">
        <v>-0.99978089999999997</v>
      </c>
      <c r="N1625">
        <v>-1.0425159999999999E-2</v>
      </c>
      <c r="O1625">
        <v>1.8153490000000001E-2</v>
      </c>
      <c r="P1625">
        <v>-0.98722080000000001</v>
      </c>
      <c r="Q1625">
        <v>0.15875909999999999</v>
      </c>
      <c r="R1625">
        <v>1.381569E-2</v>
      </c>
      <c r="S1625">
        <v>-3.0594480000000002</v>
      </c>
      <c r="T1625">
        <v>-0.10120419999999999</v>
      </c>
      <c r="U1625">
        <v>-0.24118039999999999</v>
      </c>
      <c r="V1625">
        <v>-4.5200379999999997E-3</v>
      </c>
      <c r="W1625">
        <v>0.16903280000000001</v>
      </c>
      <c r="X1625">
        <v>0.98560009999999998</v>
      </c>
      <c r="Y1625">
        <v>-9.6599130000000005E-2</v>
      </c>
      <c r="Z1625">
        <v>-2.5098960000000002E-3</v>
      </c>
      <c r="AA1625">
        <v>0.99532019999999999</v>
      </c>
      <c r="AB1625">
        <v>31</v>
      </c>
      <c r="AC1625">
        <v>-33.624299999999899</v>
      </c>
      <c r="AD1625">
        <v>-1.1218816251004999</v>
      </c>
      <c r="AE1625">
        <v>-2.6780999999999699</v>
      </c>
      <c r="AF1625">
        <v>-3.2844568454964902</v>
      </c>
      <c r="AG1625">
        <v>-1.1218816251004999</v>
      </c>
      <c r="AH1625">
        <v>33.533044110845303</v>
      </c>
      <c r="AI1625">
        <v>91.907053934404402</v>
      </c>
      <c r="AJ1625">
        <v>95.594098868461202</v>
      </c>
      <c r="AK1625">
        <v>33.712183591256199</v>
      </c>
      <c r="AL1625">
        <v>80.268411594047095</v>
      </c>
      <c r="AM1625">
        <v>90.262761017411194</v>
      </c>
      <c r="AN1625">
        <v>1.00000003766968</v>
      </c>
    </row>
    <row r="1626" spans="1:40" x14ac:dyDescent="0.25">
      <c r="A1626" t="str">
        <f>"20190303162811898"</f>
        <v>20190303162811898</v>
      </c>
      <c r="B1626" t="str">
        <f>"1551601691893142"</f>
        <v>1551601691893142</v>
      </c>
      <c r="C1626" t="s">
        <v>40</v>
      </c>
      <c r="D1626">
        <v>4.8822679999999998</v>
      </c>
      <c r="E1626">
        <v>0.46532849999999998</v>
      </c>
      <c r="F1626" t="s">
        <v>48</v>
      </c>
      <c r="G1626">
        <v>-263.10480000000001</v>
      </c>
      <c r="H1626" s="1">
        <v>1.1542189999999999E-7</v>
      </c>
      <c r="I1626">
        <v>280.37450000000001</v>
      </c>
      <c r="J1626">
        <v>-228.40260000000001</v>
      </c>
      <c r="K1626">
        <v>1.1218709999999901</v>
      </c>
      <c r="L1626">
        <v>283.22859999999997</v>
      </c>
      <c r="M1626">
        <v>-0.99980190000000002</v>
      </c>
      <c r="N1626">
        <v>-1.040865E-2</v>
      </c>
      <c r="O1626">
        <v>1.697011E-2</v>
      </c>
      <c r="P1626">
        <v>-0.9872069</v>
      </c>
      <c r="Q1626">
        <v>0.1590183</v>
      </c>
      <c r="R1626">
        <v>1.16694E-2</v>
      </c>
      <c r="S1626">
        <v>-3.05809</v>
      </c>
      <c r="T1626">
        <v>-9.7978830000000003E-2</v>
      </c>
      <c r="U1626">
        <v>-0.2488708</v>
      </c>
      <c r="V1626">
        <v>-5.4917059999999998E-3</v>
      </c>
      <c r="W1626">
        <v>0.16927300000000001</v>
      </c>
      <c r="X1626">
        <v>0.98555389999999998</v>
      </c>
      <c r="Y1626">
        <v>-9.7946190000000002E-2</v>
      </c>
      <c r="Z1626">
        <v>-2.4432939999999999E-3</v>
      </c>
      <c r="AA1626">
        <v>0.99518870000000004</v>
      </c>
      <c r="AB1626">
        <v>31</v>
      </c>
      <c r="AC1626">
        <v>-34.702199999999998</v>
      </c>
      <c r="AD1626">
        <v>-1.12187088457809</v>
      </c>
      <c r="AE1626">
        <v>-2.8540999999999599</v>
      </c>
      <c r="AF1626">
        <v>-3.4390508462021701</v>
      </c>
      <c r="AG1626">
        <v>-1.12187088457809</v>
      </c>
      <c r="AH1626">
        <v>34.612833264966497</v>
      </c>
      <c r="AI1626">
        <v>91.847330830717596</v>
      </c>
      <c r="AJ1626">
        <v>95.674153035322803</v>
      </c>
      <c r="AK1626">
        <v>34.8013489915664</v>
      </c>
      <c r="AL1626">
        <v>80.254447544782806</v>
      </c>
      <c r="AM1626">
        <v>90.319260387079794</v>
      </c>
      <c r="AN1626">
        <v>0.99999999858449995</v>
      </c>
    </row>
    <row r="1627" spans="1:40" x14ac:dyDescent="0.25">
      <c r="A1627" t="str">
        <f>"20190303162811921"</f>
        <v>20190303162811921</v>
      </c>
      <c r="B1627" t="str">
        <f>"1551601691912661"</f>
        <v>1551601691912661</v>
      </c>
      <c r="C1627" t="s">
        <v>40</v>
      </c>
      <c r="D1627">
        <v>5.056737</v>
      </c>
      <c r="E1627">
        <v>0.4648332</v>
      </c>
      <c r="F1627" t="s">
        <v>48</v>
      </c>
      <c r="G1627">
        <v>-265.5043</v>
      </c>
      <c r="H1627" s="1">
        <v>1.39230799999999E-6</v>
      </c>
      <c r="I1627">
        <v>280.15539999999999</v>
      </c>
      <c r="J1627">
        <v>-228.73060000000001</v>
      </c>
      <c r="K1627">
        <v>1.121845</v>
      </c>
      <c r="L1627">
        <v>283.23289999999997</v>
      </c>
      <c r="M1627">
        <v>-0.99982179999999998</v>
      </c>
      <c r="N1627">
        <v>-1.0393990000000001E-2</v>
      </c>
      <c r="O1627">
        <v>1.576493E-2</v>
      </c>
      <c r="P1627">
        <v>-0.98734929999999999</v>
      </c>
      <c r="Q1627">
        <v>0.15822629999999999</v>
      </c>
      <c r="R1627">
        <v>1.030469E-2</v>
      </c>
      <c r="S1627">
        <v>-3.0567630000000001</v>
      </c>
      <c r="T1627">
        <v>-9.2429639999999993E-2</v>
      </c>
      <c r="U1627">
        <v>-0.25320429999999999</v>
      </c>
      <c r="V1627">
        <v>-5.657919E-3</v>
      </c>
      <c r="W1627">
        <v>0.16846829999999999</v>
      </c>
      <c r="X1627">
        <v>0.98569079999999998</v>
      </c>
      <c r="Y1627">
        <v>-9.8190050000000001E-2</v>
      </c>
      <c r="Z1627">
        <v>-2.3052799999999998E-3</v>
      </c>
      <c r="AA1627">
        <v>0.99516499999999997</v>
      </c>
      <c r="AB1627">
        <v>31</v>
      </c>
      <c r="AC1627">
        <v>-36.773699999999899</v>
      </c>
      <c r="AD1627">
        <v>-1.121843607692</v>
      </c>
      <c r="AE1627">
        <v>-3.0774999999999801</v>
      </c>
      <c r="AF1627">
        <v>-3.65350705487625</v>
      </c>
      <c r="AG1627">
        <v>-1.121843607692</v>
      </c>
      <c r="AH1627">
        <v>36.686704990192801</v>
      </c>
      <c r="AI1627">
        <v>91.742887315751702</v>
      </c>
      <c r="AJ1627">
        <v>95.687145010601895</v>
      </c>
      <c r="AK1627">
        <v>36.885240543035501</v>
      </c>
      <c r="AL1627">
        <v>80.301224958928699</v>
      </c>
      <c r="AM1627">
        <v>90.328877290188899</v>
      </c>
      <c r="AN1627">
        <v>0.99999996667846902</v>
      </c>
    </row>
    <row r="1628" spans="1:40" x14ac:dyDescent="0.25">
      <c r="A1628" t="str">
        <f>"20190303162811943"</f>
        <v>20190303162811943</v>
      </c>
      <c r="B1628" t="str">
        <f>"1551601691933158"</f>
        <v>1551601691933158</v>
      </c>
      <c r="C1628" t="s">
        <v>40</v>
      </c>
      <c r="D1628">
        <v>4.9248900000000004</v>
      </c>
      <c r="E1628">
        <v>0.46392290000000003</v>
      </c>
      <c r="F1628" t="s">
        <v>48</v>
      </c>
      <c r="G1628">
        <v>-265.79809999999998</v>
      </c>
      <c r="H1628" s="1">
        <v>1.548681E-6</v>
      </c>
      <c r="I1628">
        <v>280.07060000000001</v>
      </c>
      <c r="J1628">
        <v>-229.04300000000001</v>
      </c>
      <c r="K1628">
        <v>1.121818</v>
      </c>
      <c r="L1628">
        <v>283.23669999999998</v>
      </c>
      <c r="M1628">
        <v>-0.99983869999999997</v>
      </c>
      <c r="N1628">
        <v>-1.038209E-2</v>
      </c>
      <c r="O1628">
        <v>1.465198E-2</v>
      </c>
      <c r="P1628">
        <v>-0.98752680000000004</v>
      </c>
      <c r="Q1628">
        <v>0.157214299999999</v>
      </c>
      <c r="R1628">
        <v>8.6324980000000006E-3</v>
      </c>
      <c r="S1628">
        <v>-3.055984</v>
      </c>
      <c r="T1628">
        <v>-9.2489000000000002E-2</v>
      </c>
      <c r="U1628">
        <v>-0.26071169999999999</v>
      </c>
      <c r="V1628">
        <v>-6.2216260000000001E-3</v>
      </c>
      <c r="W1628">
        <v>0.1674445</v>
      </c>
      <c r="X1628">
        <v>0.98586180000000001</v>
      </c>
      <c r="Y1628">
        <v>-9.9529939999999997E-2</v>
      </c>
      <c r="Z1628">
        <v>-2.3116199999999999E-3</v>
      </c>
      <c r="AA1628">
        <v>0.99503189999999997</v>
      </c>
      <c r="AB1628">
        <v>31</v>
      </c>
      <c r="AC1628">
        <v>-36.755099999999899</v>
      </c>
      <c r="AD1628">
        <v>-1.1218164513190001</v>
      </c>
      <c r="AE1628">
        <v>-3.1660999999999699</v>
      </c>
      <c r="AF1628">
        <v>-3.7009019402149099</v>
      </c>
      <c r="AG1628">
        <v>-1.1218164513190001</v>
      </c>
      <c r="AH1628">
        <v>36.670852629183699</v>
      </c>
      <c r="AI1628">
        <v>91.743367130325296</v>
      </c>
      <c r="AJ1628">
        <v>95.762901534647796</v>
      </c>
      <c r="AK1628">
        <v>36.874199379415003</v>
      </c>
      <c r="AL1628">
        <v>80.360729314594707</v>
      </c>
      <c r="AM1628">
        <v>90.361580273448794</v>
      </c>
      <c r="AN1628">
        <v>0.99999992895478396</v>
      </c>
    </row>
    <row r="1629" spans="1:40" x14ac:dyDescent="0.25">
      <c r="A1629" t="str">
        <f>"20190303162811964"</f>
        <v>20190303162811964</v>
      </c>
      <c r="B1629" t="str">
        <f>"1551601691952677"</f>
        <v>1551601691952677</v>
      </c>
      <c r="C1629" t="s">
        <v>40</v>
      </c>
      <c r="D1629">
        <v>4.9087589999999999</v>
      </c>
      <c r="E1629">
        <v>0.463171</v>
      </c>
      <c r="F1629" t="s">
        <v>48</v>
      </c>
      <c r="G1629">
        <v>-265.69099999999997</v>
      </c>
      <c r="H1629" s="1">
        <v>1.4916799999999999E-6</v>
      </c>
      <c r="I1629">
        <v>279.96620000000001</v>
      </c>
      <c r="J1629">
        <v>-229.33850000000001</v>
      </c>
      <c r="K1629">
        <v>1.1217950000000001</v>
      </c>
      <c r="L1629">
        <v>283.24</v>
      </c>
      <c r="M1629">
        <v>-0.99985329999999994</v>
      </c>
      <c r="N1629">
        <v>-1.037304E-2</v>
      </c>
      <c r="O1629">
        <v>1.363287E-2</v>
      </c>
      <c r="P1629">
        <v>-0.98775299999999999</v>
      </c>
      <c r="Q1629">
        <v>0.15588239999999901</v>
      </c>
      <c r="R1629">
        <v>6.714635E-3</v>
      </c>
      <c r="S1629">
        <v>-3.055161</v>
      </c>
      <c r="T1629">
        <v>-9.3520279999999997E-2</v>
      </c>
      <c r="U1629">
        <v>-0.272644</v>
      </c>
      <c r="V1629">
        <v>-7.1230219999999997E-3</v>
      </c>
      <c r="W1629">
        <v>0.16610459999999999</v>
      </c>
      <c r="X1629">
        <v>0.98608240000000003</v>
      </c>
      <c r="Y1629">
        <v>-0.102392</v>
      </c>
      <c r="Z1629">
        <v>-2.371302E-3</v>
      </c>
      <c r="AA1629">
        <v>0.99474130000000005</v>
      </c>
      <c r="AB1629">
        <v>31</v>
      </c>
      <c r="AC1629">
        <v>-36.3524999999999</v>
      </c>
      <c r="AD1629">
        <v>-1.1217935083199999</v>
      </c>
      <c r="AE1629">
        <v>-3.2737999999999898</v>
      </c>
      <c r="AF1629">
        <v>-3.76555432614551</v>
      </c>
      <c r="AG1629">
        <v>-1.1217935083199999</v>
      </c>
      <c r="AH1629">
        <v>36.270226682407703</v>
      </c>
      <c r="AI1629">
        <v>91.762058590689406</v>
      </c>
      <c r="AJ1629">
        <v>95.927180817555794</v>
      </c>
      <c r="AK1629">
        <v>36.482422666973498</v>
      </c>
      <c r="AL1629">
        <v>80.438590947375403</v>
      </c>
      <c r="AM1629">
        <v>90.413872106104805</v>
      </c>
      <c r="AN1629">
        <v>0.99999998758666597</v>
      </c>
    </row>
    <row r="1630" spans="1:40" x14ac:dyDescent="0.25">
      <c r="A1630" t="str">
        <f>"20190303162811987"</f>
        <v>20190303162811987</v>
      </c>
      <c r="B1630" t="str">
        <f>"1551601691982934"</f>
        <v>1551601691982934</v>
      </c>
      <c r="C1630" t="s">
        <v>40</v>
      </c>
      <c r="D1630">
        <v>4.9349679999999996</v>
      </c>
      <c r="E1630">
        <v>0.46245439999999999</v>
      </c>
      <c r="F1630" t="s">
        <v>48</v>
      </c>
      <c r="G1630">
        <v>-264.86439999999999</v>
      </c>
      <c r="H1630" s="1">
        <v>1.051829E-6</v>
      </c>
      <c r="I1630">
        <v>279.93459999999999</v>
      </c>
      <c r="J1630">
        <v>-229.65770000000001</v>
      </c>
      <c r="K1630">
        <v>1.1217760000000001</v>
      </c>
      <c r="L1630">
        <v>283.2432</v>
      </c>
      <c r="M1630">
        <v>-0.99986739999999996</v>
      </c>
      <c r="N1630">
        <v>-1.036515E-2</v>
      </c>
      <c r="O1630">
        <v>1.255973E-2</v>
      </c>
      <c r="P1630">
        <v>-0.98783330000000003</v>
      </c>
      <c r="Q1630">
        <v>0.1554402</v>
      </c>
      <c r="R1630">
        <v>4.873451E-3</v>
      </c>
      <c r="S1630">
        <v>-3.0543520000000002</v>
      </c>
      <c r="T1630">
        <v>-9.6446390000000007E-2</v>
      </c>
      <c r="U1630">
        <v>-0.28417969999999998</v>
      </c>
      <c r="V1630">
        <v>-7.8956970000000001E-3</v>
      </c>
      <c r="W1630">
        <v>0.16565369999999999</v>
      </c>
      <c r="X1630">
        <v>0.98615240000000004</v>
      </c>
      <c r="Y1630">
        <v>-0.10506799999999999</v>
      </c>
      <c r="Z1630">
        <v>-2.4665799999999999E-3</v>
      </c>
      <c r="AA1630">
        <v>0.99446199999999996</v>
      </c>
      <c r="AB1630">
        <v>31</v>
      </c>
      <c r="AC1630">
        <v>-35.206699999999898</v>
      </c>
      <c r="AD1630">
        <v>-1.121774948171</v>
      </c>
      <c r="AE1630">
        <v>-3.30860000000001</v>
      </c>
      <c r="AF1630">
        <v>-3.74677889130299</v>
      </c>
      <c r="AG1630">
        <v>-1.121774948171</v>
      </c>
      <c r="AH1630">
        <v>35.127015852174999</v>
      </c>
      <c r="AI1630">
        <v>91.818798686291501</v>
      </c>
      <c r="AJ1630">
        <v>96.088362363745503</v>
      </c>
      <c r="AK1630">
        <v>35.344079755648004</v>
      </c>
      <c r="AL1630">
        <v>80.464788896919998</v>
      </c>
      <c r="AM1630">
        <v>90.458732796210299</v>
      </c>
      <c r="AN1630">
        <v>1.0000000231902799</v>
      </c>
    </row>
    <row r="1631" spans="1:40" x14ac:dyDescent="0.25">
      <c r="A1631" t="str">
        <f>"20190303162812011"</f>
        <v>20190303162812011</v>
      </c>
      <c r="B1631" t="str">
        <f>"1551601692003431"</f>
        <v>1551601692003431</v>
      </c>
      <c r="C1631" t="s">
        <v>40</v>
      </c>
      <c r="D1631">
        <v>4.8605929999999997</v>
      </c>
      <c r="E1631">
        <v>0.462119</v>
      </c>
      <c r="F1631" t="s">
        <v>48</v>
      </c>
      <c r="G1631">
        <v>-265.32650000000001</v>
      </c>
      <c r="H1631" s="1">
        <v>1.2977359999999901E-6</v>
      </c>
      <c r="I1631">
        <v>279.79880000000003</v>
      </c>
      <c r="J1631">
        <v>-229.99809999999999</v>
      </c>
      <c r="K1631">
        <v>1.1217600000000001</v>
      </c>
      <c r="L1631">
        <v>283.24619999999999</v>
      </c>
      <c r="M1631">
        <v>-0.99988100000000002</v>
      </c>
      <c r="N1631">
        <v>-1.0358579999999999E-2</v>
      </c>
      <c r="O1631">
        <v>1.14416E-2</v>
      </c>
      <c r="P1631">
        <v>-0.98774379999999995</v>
      </c>
      <c r="Q1631">
        <v>0.15603549999999999</v>
      </c>
      <c r="R1631">
        <v>3.8975239999999999E-3</v>
      </c>
      <c r="S1631">
        <v>-3.053528</v>
      </c>
      <c r="T1631">
        <v>-9.6032619999999999E-2</v>
      </c>
      <c r="U1631">
        <v>-0.29486079999999998</v>
      </c>
      <c r="V1631">
        <v>-7.7599590000000003E-3</v>
      </c>
      <c r="W1631">
        <v>0.1662428</v>
      </c>
      <c r="X1631">
        <v>0.98605430000000005</v>
      </c>
      <c r="Y1631">
        <v>-0.1074272</v>
      </c>
      <c r="Z1631">
        <v>-2.4835719999999999E-3</v>
      </c>
      <c r="AA1631">
        <v>0.99420980000000003</v>
      </c>
      <c r="AB1631">
        <v>31</v>
      </c>
      <c r="AC1631">
        <v>-35.328400000000002</v>
      </c>
      <c r="AD1631">
        <v>-1.1217587022640001</v>
      </c>
      <c r="AE1631">
        <v>-3.4473999999999498</v>
      </c>
      <c r="AF1631">
        <v>-3.84756681696991</v>
      </c>
      <c r="AG1631">
        <v>-1.1217587022640001</v>
      </c>
      <c r="AH1631">
        <v>35.251435755772697</v>
      </c>
      <c r="AI1631">
        <v>91.811877756818205</v>
      </c>
      <c r="AJ1631">
        <v>96.228970260078697</v>
      </c>
      <c r="AK1631">
        <v>35.478526404580599</v>
      </c>
      <c r="AL1631">
        <v>80.430560992173994</v>
      </c>
      <c r="AM1631">
        <v>90.450891722294401</v>
      </c>
      <c r="AN1631">
        <v>0.99999998403200496</v>
      </c>
    </row>
    <row r="1632" spans="1:40" x14ac:dyDescent="0.25">
      <c r="A1632" t="str">
        <f>"20190303162812034"</f>
        <v>20190303162812034</v>
      </c>
      <c r="B1632" t="str">
        <f>"1551601692022950"</f>
        <v>1551601692022950</v>
      </c>
      <c r="C1632" t="s">
        <v>40</v>
      </c>
      <c r="D1632">
        <v>4.8919199999999998</v>
      </c>
      <c r="E1632">
        <v>0.46184579999999997</v>
      </c>
      <c r="F1632" t="s">
        <v>48</v>
      </c>
      <c r="G1632">
        <v>-266.86489999999998</v>
      </c>
      <c r="H1632">
        <v>6.2704350000000004E-3</v>
      </c>
      <c r="I1632">
        <v>279.61630000000002</v>
      </c>
      <c r="J1632">
        <v>-230.32419999999999</v>
      </c>
      <c r="K1632">
        <v>1.1217459999999999</v>
      </c>
      <c r="L1632">
        <v>283.24889999999999</v>
      </c>
      <c r="M1632">
        <v>-0.99989240000000001</v>
      </c>
      <c r="N1632">
        <v>-1.0353680000000001E-2</v>
      </c>
      <c r="O1632">
        <v>1.0389590000000001E-2</v>
      </c>
      <c r="P1632">
        <v>-0.98785239999999996</v>
      </c>
      <c r="Q1632">
        <v>0.155367899999999</v>
      </c>
      <c r="R1632">
        <v>2.9383650000000001E-3</v>
      </c>
      <c r="S1632">
        <v>-3.052994</v>
      </c>
      <c r="T1632">
        <v>-9.2375159999999998E-2</v>
      </c>
      <c r="U1632">
        <v>-0.30059809999999998</v>
      </c>
      <c r="V1632">
        <v>-7.6743250000000001E-3</v>
      </c>
      <c r="W1632">
        <v>0.16557140000000001</v>
      </c>
      <c r="X1632">
        <v>0.98616800000000004</v>
      </c>
      <c r="Y1632">
        <v>-0.1082531</v>
      </c>
      <c r="Z1632">
        <v>-2.4016269999999999E-3</v>
      </c>
      <c r="AA1632">
        <v>0.99412049999999996</v>
      </c>
      <c r="AB1632">
        <v>32</v>
      </c>
      <c r="AC1632">
        <v>-36.540700000000001</v>
      </c>
      <c r="AD1632">
        <v>-1.1154755649999999</v>
      </c>
      <c r="AE1632">
        <v>-3.6325999999999601</v>
      </c>
      <c r="AF1632">
        <v>-4.00836834748592</v>
      </c>
      <c r="AG1632">
        <v>-1.1154755649999999</v>
      </c>
      <c r="AH1632">
        <v>36.467333208221703</v>
      </c>
      <c r="AI1632">
        <v>91.741554736940202</v>
      </c>
      <c r="AJ1632">
        <v>96.2725818731396</v>
      </c>
      <c r="AK1632">
        <v>36.703919325662099</v>
      </c>
      <c r="AL1632">
        <v>80.469570663586296</v>
      </c>
      <c r="AM1632">
        <v>90.445864758718898</v>
      </c>
      <c r="AN1632">
        <v>1.00000005399308</v>
      </c>
    </row>
    <row r="1633" spans="1:40" x14ac:dyDescent="0.25">
      <c r="A1633" t="str">
        <f>"20190303162812053"</f>
        <v>20190303162812053</v>
      </c>
      <c r="B1633" t="str">
        <f>"1551601692043445"</f>
        <v>1551601692043445</v>
      </c>
      <c r="C1633" t="s">
        <v>40</v>
      </c>
      <c r="D1633">
        <v>4.9417839999999904</v>
      </c>
      <c r="E1633">
        <v>0.46162350000000002</v>
      </c>
      <c r="F1633" t="s">
        <v>48</v>
      </c>
      <c r="G1633">
        <v>-266.55309999999997</v>
      </c>
      <c r="H1633">
        <v>1.5786629999999999E-2</v>
      </c>
      <c r="I1633">
        <v>279.61630000000002</v>
      </c>
      <c r="J1633">
        <v>-230.5943</v>
      </c>
      <c r="K1633">
        <v>1.1217200000000001</v>
      </c>
      <c r="L1633">
        <v>283.25080000000003</v>
      </c>
      <c r="M1633">
        <v>-0.99990120000000005</v>
      </c>
      <c r="N1633">
        <v>-1.035056E-2</v>
      </c>
      <c r="O1633">
        <v>9.5280350000000007E-3</v>
      </c>
      <c r="P1633">
        <v>-0.98800299999999996</v>
      </c>
      <c r="Q1633">
        <v>0.15441559999999999</v>
      </c>
      <c r="R1633">
        <v>2.5178660000000001E-3</v>
      </c>
      <c r="S1633">
        <v>-3.0524749999999998</v>
      </c>
      <c r="T1633">
        <v>-9.3182920000000002E-2</v>
      </c>
      <c r="U1633">
        <v>-0.30606080000000002</v>
      </c>
      <c r="V1633">
        <v>-7.240051E-3</v>
      </c>
      <c r="W1633">
        <v>0.16461899999999999</v>
      </c>
      <c r="X1633">
        <v>0.98633059999999995</v>
      </c>
      <c r="Y1633">
        <v>-0.1091732</v>
      </c>
      <c r="Z1633">
        <v>-2.420167E-3</v>
      </c>
      <c r="AA1633">
        <v>0.99401980000000001</v>
      </c>
      <c r="AB1633">
        <v>32</v>
      </c>
      <c r="AC1633">
        <v>-35.958799999999897</v>
      </c>
      <c r="AD1633">
        <v>-1.10593337</v>
      </c>
      <c r="AE1633">
        <v>-3.6345000000000001</v>
      </c>
      <c r="AF1633">
        <v>-3.9732496952927598</v>
      </c>
      <c r="AG1633">
        <v>-1.10593337</v>
      </c>
      <c r="AH1633">
        <v>35.888931841240399</v>
      </c>
      <c r="AI1633">
        <v>91.754324796766099</v>
      </c>
      <c r="AJ1633">
        <v>96.317467042463605</v>
      </c>
      <c r="AK1633">
        <v>36.125132947370901</v>
      </c>
      <c r="AL1633">
        <v>80.524897329097598</v>
      </c>
      <c r="AM1633">
        <v>90.420565797686905</v>
      </c>
      <c r="AN1633">
        <v>0.99999994299791894</v>
      </c>
    </row>
    <row r="1634" spans="1:40" x14ac:dyDescent="0.25">
      <c r="A1634" t="str">
        <f>"20190303162812076"</f>
        <v>20190303162812076</v>
      </c>
      <c r="B1634" t="str">
        <f>"1551601692063340"</f>
        <v>1551601692063340</v>
      </c>
      <c r="C1634" t="s">
        <v>40</v>
      </c>
      <c r="D1634">
        <v>4.8584529999999999</v>
      </c>
      <c r="E1634">
        <v>0.46139980000000003</v>
      </c>
      <c r="F1634" t="s">
        <v>48</v>
      </c>
      <c r="G1634">
        <v>-266.48239999999998</v>
      </c>
      <c r="H1634">
        <v>1.1405119999999999E-2</v>
      </c>
      <c r="I1634">
        <v>279.61630000000002</v>
      </c>
      <c r="J1634">
        <v>-230.9032</v>
      </c>
      <c r="K1634">
        <v>1.121704</v>
      </c>
      <c r="L1634">
        <v>283.2527</v>
      </c>
      <c r="M1634">
        <v>-0.99990990000000002</v>
      </c>
      <c r="N1634">
        <v>-1.034787E-2</v>
      </c>
      <c r="O1634">
        <v>8.5474339999999996E-3</v>
      </c>
      <c r="P1634">
        <v>-0.9880601</v>
      </c>
      <c r="Q1634">
        <v>0.15405829999999901</v>
      </c>
      <c r="R1634">
        <v>1.8952109999999999E-3</v>
      </c>
      <c r="S1634">
        <v>-3.051971</v>
      </c>
      <c r="T1634">
        <v>-9.4422580000000006E-2</v>
      </c>
      <c r="U1634">
        <v>-0.30908200000000002</v>
      </c>
      <c r="V1634">
        <v>-6.8910219999999897E-3</v>
      </c>
      <c r="W1634">
        <v>0.16426009999999999</v>
      </c>
      <c r="X1634">
        <v>0.98639299999999996</v>
      </c>
      <c r="Y1634">
        <v>-0.1091873</v>
      </c>
      <c r="Z1634">
        <v>-2.4264149999999999E-3</v>
      </c>
      <c r="AA1634">
        <v>0.99401830000000002</v>
      </c>
      <c r="AB1634">
        <v>32</v>
      </c>
      <c r="AC1634">
        <v>-35.579199999999901</v>
      </c>
      <c r="AD1634">
        <v>-1.11029888</v>
      </c>
      <c r="AE1634">
        <v>-3.6363999999999801</v>
      </c>
      <c r="AF1634">
        <v>-3.9366003180583502</v>
      </c>
      <c r="AG1634">
        <v>-1.11029888</v>
      </c>
      <c r="AH1634">
        <v>35.512590556936097</v>
      </c>
      <c r="AI1634">
        <v>91.779870580128502</v>
      </c>
      <c r="AJ1634">
        <v>96.325460468087499</v>
      </c>
      <c r="AK1634">
        <v>35.747358975617402</v>
      </c>
      <c r="AL1634">
        <v>80.545745201236898</v>
      </c>
      <c r="AM1634">
        <v>90.400266480101607</v>
      </c>
      <c r="AN1634">
        <v>1.0000000085426</v>
      </c>
    </row>
    <row r="1635" spans="1:40" x14ac:dyDescent="0.25">
      <c r="A1635" t="str">
        <f>"20190303162812098"</f>
        <v>20190303162812098</v>
      </c>
      <c r="B1635" t="str">
        <f>"1551601692092620"</f>
        <v>1551601692092620</v>
      </c>
      <c r="C1635" t="s">
        <v>40</v>
      </c>
      <c r="D1635">
        <v>4.9539039999999996</v>
      </c>
      <c r="E1635">
        <v>0.46097009999999999</v>
      </c>
      <c r="F1635" t="s">
        <v>48</v>
      </c>
      <c r="G1635">
        <v>-266.35730000000001</v>
      </c>
      <c r="H1635">
        <v>2.5453110000000001E-2</v>
      </c>
      <c r="I1635">
        <v>279.61630000000002</v>
      </c>
      <c r="J1635">
        <v>-231.22989999999999</v>
      </c>
      <c r="K1635">
        <v>1.1216930000000001</v>
      </c>
      <c r="L1635">
        <v>283.25450000000001</v>
      </c>
      <c r="M1635">
        <v>-0.99991839999999999</v>
      </c>
      <c r="N1635">
        <v>-1.034588E-2</v>
      </c>
      <c r="O1635">
        <v>7.513034E-3</v>
      </c>
      <c r="P1635">
        <v>-0.98811800000000005</v>
      </c>
      <c r="Q1635">
        <v>0.1536949</v>
      </c>
      <c r="R1635">
        <v>1.0588559999999999E-3</v>
      </c>
      <c r="S1635">
        <v>-3.0515439999999998</v>
      </c>
      <c r="T1635">
        <v>-9.4354869999999993E-2</v>
      </c>
      <c r="U1635">
        <v>-0.3129883</v>
      </c>
      <c r="V1635">
        <v>-6.7037640000000001E-3</v>
      </c>
      <c r="W1635">
        <v>0.16389609999999999</v>
      </c>
      <c r="X1635">
        <v>0.98645479999999997</v>
      </c>
      <c r="Y1635">
        <v>-0.1094324</v>
      </c>
      <c r="Z1635">
        <v>-2.4089369999999999E-3</v>
      </c>
      <c r="AA1635">
        <v>0.99399130000000002</v>
      </c>
      <c r="AB1635">
        <v>32</v>
      </c>
      <c r="AC1635">
        <v>-35.127400000000002</v>
      </c>
      <c r="AD1635">
        <v>-1.0962398900000001</v>
      </c>
      <c r="AE1635">
        <v>-3.6381999999999799</v>
      </c>
      <c r="AF1635">
        <v>-3.8982684729340802</v>
      </c>
      <c r="AG1635">
        <v>-1.0962398900000001</v>
      </c>
      <c r="AH1635">
        <v>35.0652850917511</v>
      </c>
      <c r="AI1635">
        <v>91.779687909562099</v>
      </c>
      <c r="AJ1635">
        <v>96.343622680470801</v>
      </c>
      <c r="AK1635">
        <v>35.298335053501901</v>
      </c>
      <c r="AL1635">
        <v>80.566887052156602</v>
      </c>
      <c r="AM1635">
        <v>90.389365504917194</v>
      </c>
      <c r="AN1635">
        <v>0.99999997224500803</v>
      </c>
    </row>
    <row r="1636" spans="1:40" x14ac:dyDescent="0.25">
      <c r="A1636" t="str">
        <f>"20190303162812121"</f>
        <v>20190303162812121</v>
      </c>
      <c r="B1636" t="str">
        <f>"1551601692113116"</f>
        <v>1551601692113116</v>
      </c>
      <c r="C1636" t="s">
        <v>40</v>
      </c>
      <c r="D1636">
        <v>4.791811</v>
      </c>
      <c r="E1636">
        <v>0.460756</v>
      </c>
      <c r="F1636" t="s">
        <v>48</v>
      </c>
      <c r="G1636">
        <v>-266.0052</v>
      </c>
      <c r="H1636">
        <v>3.85162E-2</v>
      </c>
      <c r="I1636">
        <v>279.61630000000002</v>
      </c>
      <c r="J1636">
        <v>-231.55680000000001</v>
      </c>
      <c r="K1636">
        <v>1.121688</v>
      </c>
      <c r="L1636">
        <v>283.2559</v>
      </c>
      <c r="M1636">
        <v>-0.99992559999999997</v>
      </c>
      <c r="N1636">
        <v>-1.034039E-2</v>
      </c>
      <c r="O1636">
        <v>6.4788040000000003E-3</v>
      </c>
      <c r="P1636">
        <v>-0.98815140000000001</v>
      </c>
      <c r="Q1636">
        <v>0.1534837</v>
      </c>
      <c r="R1636" s="1">
        <v>7.3851549999999898E-5</v>
      </c>
      <c r="S1636">
        <v>-3.0512079999999999</v>
      </c>
      <c r="T1636">
        <v>-9.5038529999999996E-2</v>
      </c>
      <c r="U1636">
        <v>-0.31921389999999999</v>
      </c>
      <c r="V1636">
        <v>-6.6659060000000001E-3</v>
      </c>
      <c r="W1636">
        <v>0.16367970000000001</v>
      </c>
      <c r="X1636">
        <v>0.98649100000000001</v>
      </c>
      <c r="Y1636">
        <v>-0.110420699999999</v>
      </c>
      <c r="Z1636">
        <v>-2.42166E-3</v>
      </c>
      <c r="AA1636">
        <v>0.99388200000000004</v>
      </c>
      <c r="AB1636">
        <v>32</v>
      </c>
      <c r="AC1636">
        <v>-34.4483999999999</v>
      </c>
      <c r="AD1636">
        <v>-1.0831717999999999</v>
      </c>
      <c r="AE1636">
        <v>-3.63959999999997</v>
      </c>
      <c r="AF1636">
        <v>-3.8589468057555698</v>
      </c>
      <c r="AG1636">
        <v>-1.0831717999999999</v>
      </c>
      <c r="AH1636">
        <v>34.390469537677099</v>
      </c>
      <c r="AI1636">
        <v>91.792763783033195</v>
      </c>
      <c r="AJ1636">
        <v>96.402365288793703</v>
      </c>
      <c r="AK1636">
        <v>34.623245466302897</v>
      </c>
      <c r="AL1636">
        <v>80.579455718817997</v>
      </c>
      <c r="AM1636">
        <v>90.387152510963105</v>
      </c>
      <c r="AN1636">
        <v>0.99999998578794502</v>
      </c>
    </row>
    <row r="1637" spans="1:40" x14ac:dyDescent="0.25">
      <c r="A1637" t="str">
        <f>"20190303162812143"</f>
        <v>20190303162812143</v>
      </c>
      <c r="B1637" t="str">
        <f>"1551601692132636"</f>
        <v>1551601692132636</v>
      </c>
      <c r="C1637" t="s">
        <v>40</v>
      </c>
      <c r="D1637">
        <v>4.8468830000000001</v>
      </c>
      <c r="E1637">
        <v>0.46062570000000003</v>
      </c>
      <c r="F1637" t="s">
        <v>48</v>
      </c>
      <c r="G1637">
        <v>-265.79849999999999</v>
      </c>
      <c r="H1637">
        <v>4.7244689999999999E-2</v>
      </c>
      <c r="I1637">
        <v>279.61630000000002</v>
      </c>
      <c r="J1637">
        <v>-231.85939999999999</v>
      </c>
      <c r="K1637">
        <v>1.12168</v>
      </c>
      <c r="L1637">
        <v>283.25689999999997</v>
      </c>
      <c r="M1637">
        <v>-0.99993149999999997</v>
      </c>
      <c r="N1637">
        <v>-1.0327350000000001E-2</v>
      </c>
      <c r="O1637">
        <v>5.5208990000000001E-3</v>
      </c>
      <c r="P1637">
        <v>-0.98814559999999996</v>
      </c>
      <c r="Q1637">
        <v>0.15352060000000001</v>
      </c>
      <c r="R1637">
        <v>-1.961202E-4</v>
      </c>
      <c r="S1637">
        <v>-3.0508579999999998</v>
      </c>
      <c r="T1637">
        <v>-9.5730540000000003E-2</v>
      </c>
      <c r="U1637">
        <v>-0.32427979999999901</v>
      </c>
      <c r="V1637">
        <v>-5.988508E-3</v>
      </c>
      <c r="W1637">
        <v>0.16370509999999999</v>
      </c>
      <c r="X1637">
        <v>0.98649109999999995</v>
      </c>
      <c r="Y1637">
        <v>-0.1111114</v>
      </c>
      <c r="Z1637">
        <v>-2.4293499999999998E-3</v>
      </c>
      <c r="AA1637">
        <v>0.99380500000000005</v>
      </c>
      <c r="AB1637">
        <v>32</v>
      </c>
      <c r="AC1637">
        <v>-33.939100000000003</v>
      </c>
      <c r="AD1637">
        <v>-1.0744353099999999</v>
      </c>
      <c r="AE1637">
        <v>-3.6405999999999401</v>
      </c>
      <c r="AF1637">
        <v>-3.82413983032921</v>
      </c>
      <c r="AG1637">
        <v>-1.0744353099999999</v>
      </c>
      <c r="AH1637">
        <v>33.884908678389998</v>
      </c>
      <c r="AI1637">
        <v>91.804698538361905</v>
      </c>
      <c r="AJ1637">
        <v>96.438969337106499</v>
      </c>
      <c r="AK1637">
        <v>34.116938503038497</v>
      </c>
      <c r="AL1637">
        <v>80.577980226057903</v>
      </c>
      <c r="AM1637">
        <v>90.347810557370494</v>
      </c>
      <c r="AN1637">
        <v>0.99999995618664195</v>
      </c>
    </row>
    <row r="1638" spans="1:40" x14ac:dyDescent="0.25">
      <c r="A1638" t="str">
        <f>"20190303162812165"</f>
        <v>20190303162812165</v>
      </c>
      <c r="B1638" t="str">
        <f>"1551601692153132"</f>
        <v>1551601692153132</v>
      </c>
      <c r="C1638" t="s">
        <v>40</v>
      </c>
      <c r="D1638">
        <v>4.8913520000000004</v>
      </c>
      <c r="E1638">
        <v>0.46081899999999998</v>
      </c>
      <c r="F1638" t="s">
        <v>48</v>
      </c>
      <c r="G1638">
        <v>-265.89699999999999</v>
      </c>
      <c r="H1638">
        <v>5.1891840000000002E-2</v>
      </c>
      <c r="I1638">
        <v>279.61439999999999</v>
      </c>
      <c r="J1638">
        <v>-232.1722</v>
      </c>
      <c r="K1638">
        <v>1.1216729999999999</v>
      </c>
      <c r="L1638">
        <v>283.25760000000002</v>
      </c>
      <c r="M1638">
        <v>-0.99993679999999996</v>
      </c>
      <c r="N1638">
        <v>-1.02985E-2</v>
      </c>
      <c r="O1638">
        <v>4.5284610000000001E-3</v>
      </c>
      <c r="P1638">
        <v>-0.98816899999999996</v>
      </c>
      <c r="Q1638">
        <v>0.15336849999999999</v>
      </c>
      <c r="R1638">
        <v>5.5626269999999999E-4</v>
      </c>
      <c r="S1638">
        <v>-3.050827</v>
      </c>
      <c r="T1638">
        <v>-9.5886109999999997E-2</v>
      </c>
      <c r="U1638">
        <v>-0.32647710000000002</v>
      </c>
      <c r="V1638">
        <v>-4.2552179999999998E-3</v>
      </c>
      <c r="W1638">
        <v>0.1635287</v>
      </c>
      <c r="X1638">
        <v>0.9865294</v>
      </c>
      <c r="Y1638">
        <v>-0.110834</v>
      </c>
      <c r="Z1638">
        <v>-2.4042859999999998E-3</v>
      </c>
      <c r="AA1638">
        <v>0.99383600000000005</v>
      </c>
      <c r="AB1638">
        <v>32</v>
      </c>
      <c r="AC1638">
        <v>-33.724799999999902</v>
      </c>
      <c r="AD1638">
        <v>-1.06978116</v>
      </c>
      <c r="AE1638">
        <v>-3.64320000000003</v>
      </c>
      <c r="AF1638">
        <v>-3.7921204919271898</v>
      </c>
      <c r="AG1638">
        <v>-1.06978116</v>
      </c>
      <c r="AH1638">
        <v>33.674462286083099</v>
      </c>
      <c r="AI1638">
        <v>91.808157718114799</v>
      </c>
      <c r="AJ1638">
        <v>96.425076440175502</v>
      </c>
      <c r="AK1638">
        <v>33.904188823984803</v>
      </c>
      <c r="AL1638">
        <v>80.588225679189904</v>
      </c>
      <c r="AM1638">
        <v>90.247133557644105</v>
      </c>
      <c r="AN1638">
        <v>0.99999999983413801</v>
      </c>
    </row>
    <row r="1639" spans="1:40" x14ac:dyDescent="0.25">
      <c r="A1639" t="str">
        <f>"20190303162812188"</f>
        <v>20190303162812188</v>
      </c>
      <c r="B1639" t="str">
        <f>"1551601692183388"</f>
        <v>1551601692183388</v>
      </c>
      <c r="C1639" t="s">
        <v>40</v>
      </c>
      <c r="D1639">
        <v>4.8495379999999999</v>
      </c>
      <c r="E1639">
        <v>0.52181929999999999</v>
      </c>
      <c r="F1639" t="s">
        <v>48</v>
      </c>
      <c r="G1639">
        <v>-266.53179999999998</v>
      </c>
      <c r="H1639">
        <v>3.764617E-2</v>
      </c>
      <c r="I1639">
        <v>279.61630000000002</v>
      </c>
      <c r="J1639">
        <v>-232.50489999999999</v>
      </c>
      <c r="K1639">
        <v>1.1216600000000001</v>
      </c>
      <c r="L1639">
        <v>283.25810000000001</v>
      </c>
      <c r="M1639">
        <v>-0.99994150000000004</v>
      </c>
      <c r="N1639">
        <v>-1.0249339999999999E-2</v>
      </c>
      <c r="O1639">
        <v>3.4725419999999999E-3</v>
      </c>
      <c r="P1639">
        <v>-0.98826579999999997</v>
      </c>
      <c r="Q1639">
        <v>0.15272620000000001</v>
      </c>
      <c r="R1639">
        <v>2.367652E-3</v>
      </c>
      <c r="S1639">
        <v>-3.0510250000000001</v>
      </c>
      <c r="T1639">
        <v>-9.6258280000000002E-2</v>
      </c>
      <c r="U1639">
        <v>-0.3233337</v>
      </c>
      <c r="V1639">
        <v>-1.3990109999999999E-3</v>
      </c>
      <c r="W1639">
        <v>0.16284460000000001</v>
      </c>
      <c r="X1639">
        <v>0.98665069999999999</v>
      </c>
      <c r="Y1639">
        <v>-0.10876619999999999</v>
      </c>
      <c r="Z1639">
        <v>-2.3434340000000001E-3</v>
      </c>
      <c r="AA1639">
        <v>0.99406459999999996</v>
      </c>
      <c r="AB1639">
        <v>32</v>
      </c>
      <c r="AC1639">
        <v>-34.026899999999898</v>
      </c>
      <c r="AD1639">
        <v>-1.08401383</v>
      </c>
      <c r="AE1639">
        <v>-3.6417999999999799</v>
      </c>
      <c r="AF1639">
        <v>-3.7561750963985299</v>
      </c>
      <c r="AG1639">
        <v>-1.08401383</v>
      </c>
      <c r="AH1639">
        <v>33.979952031753399</v>
      </c>
      <c r="AI1639">
        <v>91.816150779813199</v>
      </c>
      <c r="AJ1639">
        <v>96.307918489973702</v>
      </c>
      <c r="AK1639">
        <v>34.204109072137797</v>
      </c>
      <c r="AL1639">
        <v>80.627953922093695</v>
      </c>
      <c r="AM1639">
        <v>90.081241894494298</v>
      </c>
      <c r="AN1639">
        <v>0.99999996239571298</v>
      </c>
    </row>
    <row r="1640" spans="1:40" x14ac:dyDescent="0.25">
      <c r="A1640" t="str">
        <f>"20190303162812211"</f>
        <v>20190303162812211</v>
      </c>
      <c r="B1640" t="str">
        <f>"1551601692202908"</f>
        <v>1551601692202908</v>
      </c>
      <c r="C1640" t="s">
        <v>40</v>
      </c>
      <c r="D1640">
        <v>4.7410240000000003</v>
      </c>
      <c r="E1640">
        <v>0.52681519999999904</v>
      </c>
      <c r="F1640" t="s">
        <v>49</v>
      </c>
      <c r="G1640">
        <v>-283.70249999999999</v>
      </c>
      <c r="H1640" s="1">
        <v>6.4582859999999997E-6</v>
      </c>
      <c r="I1640">
        <v>286.07819999999998</v>
      </c>
      <c r="J1640">
        <v>-232.83609999999999</v>
      </c>
      <c r="K1640">
        <v>1.121648</v>
      </c>
      <c r="L1640">
        <v>283.25810000000001</v>
      </c>
      <c r="M1640">
        <v>-0.99994519999999998</v>
      </c>
      <c r="N1640">
        <v>-1.019052E-2</v>
      </c>
      <c r="O1640">
        <v>2.4206649999999998E-3</v>
      </c>
      <c r="P1640">
        <v>-0.98830510000000005</v>
      </c>
      <c r="Q1640">
        <v>0.15240860000000001</v>
      </c>
      <c r="R1640">
        <v>4.9830609999999996E-3</v>
      </c>
      <c r="S1640">
        <v>-3.0455169999999998</v>
      </c>
      <c r="T1640">
        <v>-6.6722149999999994E-2</v>
      </c>
      <c r="U1640">
        <v>0.16775509999999999</v>
      </c>
      <c r="V1640">
        <v>2.256802E-3</v>
      </c>
      <c r="W1640">
        <v>0.16247719999999999</v>
      </c>
      <c r="X1640">
        <v>0.98670970000000002</v>
      </c>
      <c r="Y1640">
        <v>5.256371E-2</v>
      </c>
      <c r="Z1640">
        <v>8.1503239999999996E-4</v>
      </c>
      <c r="AA1640">
        <v>0.99861719999999998</v>
      </c>
      <c r="AB1640">
        <v>32</v>
      </c>
      <c r="AC1640">
        <v>-50.866399999999999</v>
      </c>
      <c r="AD1640">
        <v>-1.121641541714</v>
      </c>
      <c r="AE1640">
        <v>2.8200999999999601</v>
      </c>
      <c r="AF1640">
        <v>2.6956481336441098</v>
      </c>
      <c r="AG1640">
        <v>-1.121641541714</v>
      </c>
      <c r="AH1640">
        <v>50.848429306863302</v>
      </c>
      <c r="AI1640">
        <v>91.261884277949903</v>
      </c>
      <c r="AJ1640">
        <v>86.965396619351694</v>
      </c>
      <c r="AK1640">
        <v>50.932183946730603</v>
      </c>
      <c r="AL1640">
        <v>80.649288719221403</v>
      </c>
      <c r="AM1640">
        <v>89.868953346338799</v>
      </c>
      <c r="AN1640">
        <v>0.99999998287459801</v>
      </c>
    </row>
    <row r="1641" spans="1:40" x14ac:dyDescent="0.25">
      <c r="A1641" t="str">
        <f>"20190303162812235"</f>
        <v>20190303162812235</v>
      </c>
      <c r="B1641" t="str">
        <f>"1551601692223404"</f>
        <v>1551601692223404</v>
      </c>
      <c r="C1641" t="s">
        <v>40</v>
      </c>
      <c r="D1641">
        <v>4.7631959999999998</v>
      </c>
      <c r="E1641">
        <v>0.5287887</v>
      </c>
      <c r="F1641" t="s">
        <v>49</v>
      </c>
      <c r="G1641">
        <v>-281.42720000000003</v>
      </c>
      <c r="H1641" s="1">
        <v>7.3400199999999997E-6</v>
      </c>
      <c r="I1641">
        <v>286.69409999999999</v>
      </c>
      <c r="J1641">
        <v>-233.15989999999999</v>
      </c>
      <c r="K1641">
        <v>1.121626</v>
      </c>
      <c r="L1641">
        <v>283.25790000000001</v>
      </c>
      <c r="M1641">
        <v>-0.99994799999999995</v>
      </c>
      <c r="N1641">
        <v>-1.0119660000000001E-2</v>
      </c>
      <c r="O1641">
        <v>1.390849E-3</v>
      </c>
      <c r="P1641">
        <v>-0.98826809999999998</v>
      </c>
      <c r="Q1641">
        <v>0.15256349999999999</v>
      </c>
      <c r="R1641">
        <v>7.1280270000000003E-3</v>
      </c>
      <c r="S1641">
        <v>-3.045258</v>
      </c>
      <c r="T1641">
        <v>-7.0294380000000004E-2</v>
      </c>
      <c r="U1641">
        <v>0.215332</v>
      </c>
      <c r="V1641">
        <v>5.4191480000000004E-3</v>
      </c>
      <c r="W1641">
        <v>0.16256799999999999</v>
      </c>
      <c r="X1641">
        <v>0.98668250000000002</v>
      </c>
      <c r="Y1641">
        <v>6.9120699999999993E-2</v>
      </c>
      <c r="Z1641">
        <v>1.128911E-3</v>
      </c>
      <c r="AA1641">
        <v>0.99760760000000004</v>
      </c>
      <c r="AB1641">
        <v>32</v>
      </c>
      <c r="AC1641">
        <v>-48.267299999999999</v>
      </c>
      <c r="AD1641">
        <v>-1.12161865998</v>
      </c>
      <c r="AE1641">
        <v>3.4361999999999799</v>
      </c>
      <c r="AF1641">
        <v>3.3672516159999999</v>
      </c>
      <c r="AG1641">
        <v>-1.12161865998</v>
      </c>
      <c r="AH1641">
        <v>48.2461118193145</v>
      </c>
      <c r="AI1641">
        <v>91.328533530393699</v>
      </c>
      <c r="AJ1641">
        <v>86.007616938561299</v>
      </c>
      <c r="AK1641">
        <v>48.376478970111798</v>
      </c>
      <c r="AL1641">
        <v>80.644016690683898</v>
      </c>
      <c r="AM1641">
        <v>89.685318035978796</v>
      </c>
      <c r="AN1641">
        <v>1.00000003879764</v>
      </c>
    </row>
    <row r="1642" spans="1:40" x14ac:dyDescent="0.25">
      <c r="A1642" t="str">
        <f>"20190303162812256"</f>
        <v>20190303162812256</v>
      </c>
      <c r="B1642" t="str">
        <f>"1551601692242923"</f>
        <v>1551601692242923</v>
      </c>
      <c r="C1642" t="s">
        <v>40</v>
      </c>
      <c r="D1642">
        <v>4.7714429999999997</v>
      </c>
      <c r="E1642">
        <v>0.52978719999999901</v>
      </c>
      <c r="F1642" t="s">
        <v>49</v>
      </c>
      <c r="G1642">
        <v>-285.36520000000002</v>
      </c>
      <c r="H1642" s="1">
        <v>5.4610150000000001E-6</v>
      </c>
      <c r="I1642">
        <v>287.33609999999999</v>
      </c>
      <c r="J1642">
        <v>-233.45760000000001</v>
      </c>
      <c r="K1642">
        <v>1.1216200000000001</v>
      </c>
      <c r="L1642">
        <v>283.25740000000002</v>
      </c>
      <c r="M1642">
        <v>-0.99994959999999999</v>
      </c>
      <c r="N1642">
        <v>-1.004204E-2</v>
      </c>
      <c r="O1642">
        <v>4.446853E-4</v>
      </c>
      <c r="P1642">
        <v>-0.98817730000000004</v>
      </c>
      <c r="Q1642">
        <v>0.15302979999999899</v>
      </c>
      <c r="R1642">
        <v>9.3626339999999999E-3</v>
      </c>
      <c r="S1642">
        <v>-3.044006</v>
      </c>
      <c r="T1642">
        <v>-6.5399890000000002E-2</v>
      </c>
      <c r="U1642">
        <v>0.237793</v>
      </c>
      <c r="V1642">
        <v>8.5876189999999995E-3</v>
      </c>
      <c r="W1642">
        <v>0.1629632</v>
      </c>
      <c r="X1642">
        <v>0.98659479999999999</v>
      </c>
      <c r="Y1642">
        <v>7.74117E-2</v>
      </c>
      <c r="Z1642">
        <v>1.2145000000000001E-3</v>
      </c>
      <c r="AA1642">
        <v>0.99699850000000001</v>
      </c>
      <c r="AB1642">
        <v>32</v>
      </c>
      <c r="AC1642">
        <v>-51.907600000000002</v>
      </c>
      <c r="AD1642">
        <v>-1.1216145389849901</v>
      </c>
      <c r="AE1642">
        <v>4.0786999999999596</v>
      </c>
      <c r="AF1642">
        <v>4.0537348078028899</v>
      </c>
      <c r="AG1642">
        <v>-1.1216145389849901</v>
      </c>
      <c r="AH1642">
        <v>51.885332006527001</v>
      </c>
      <c r="AI1642">
        <v>91.234619063928207</v>
      </c>
      <c r="AJ1642">
        <v>85.532628837452094</v>
      </c>
      <c r="AK1642">
        <v>52.055532486889398</v>
      </c>
      <c r="AL1642">
        <v>80.621067239540494</v>
      </c>
      <c r="AM1642">
        <v>89.501292831641294</v>
      </c>
      <c r="AN1642">
        <v>1.00000002557068</v>
      </c>
    </row>
    <row r="1643" spans="1:40" x14ac:dyDescent="0.25">
      <c r="A1643" t="str">
        <f>"20190303162812280"</f>
        <v>20190303162812280</v>
      </c>
      <c r="B1643" t="str">
        <f>"1551601692272713"</f>
        <v>1551601692272713</v>
      </c>
      <c r="C1643" t="s">
        <v>40</v>
      </c>
      <c r="D1643">
        <v>4.7690970000000004</v>
      </c>
      <c r="E1643">
        <v>0.53010380000000001</v>
      </c>
      <c r="F1643" t="s">
        <v>49</v>
      </c>
      <c r="G1643">
        <v>-286.60480000000001</v>
      </c>
      <c r="H1643" s="1">
        <v>4.843113E-6</v>
      </c>
      <c r="I1643">
        <v>287.6662</v>
      </c>
      <c r="J1643">
        <v>-233.80080000000001</v>
      </c>
      <c r="K1643">
        <v>1.1215999999999999</v>
      </c>
      <c r="L1643">
        <v>283.25650000000002</v>
      </c>
      <c r="M1643">
        <v>-0.99995029999999996</v>
      </c>
      <c r="N1643">
        <v>-9.9468300000000003E-3</v>
      </c>
      <c r="O1643">
        <v>-6.4592449999999896E-4</v>
      </c>
      <c r="P1643">
        <v>-0.98813439999999997</v>
      </c>
      <c r="Q1643">
        <v>0.15319659999999999</v>
      </c>
      <c r="R1643">
        <v>1.1010580000000001E-2</v>
      </c>
      <c r="S1643">
        <v>-3.0434570000000001</v>
      </c>
      <c r="T1643">
        <v>-6.4228889999999997E-2</v>
      </c>
      <c r="U1643">
        <v>0.25247190000000003</v>
      </c>
      <c r="V1643">
        <v>1.131245E-2</v>
      </c>
      <c r="W1643">
        <v>0.16304179999999999</v>
      </c>
      <c r="X1643">
        <v>0.9865543</v>
      </c>
      <c r="Y1643">
        <v>8.3288210000000001E-2</v>
      </c>
      <c r="Z1643">
        <v>1.2994580000000001E-3</v>
      </c>
      <c r="AA1643">
        <v>0.99652459999999998</v>
      </c>
      <c r="AB1643">
        <v>32</v>
      </c>
      <c r="AC1643">
        <v>-52.803999999999903</v>
      </c>
      <c r="AD1643">
        <v>-1.121595156887</v>
      </c>
      <c r="AE1643">
        <v>4.4096999999999804</v>
      </c>
      <c r="AF1643">
        <v>4.4418180370208002</v>
      </c>
      <c r="AG1643">
        <v>-1.121595156887</v>
      </c>
      <c r="AH1643">
        <v>52.777493888007001</v>
      </c>
      <c r="AI1643">
        <v>91.213144213051095</v>
      </c>
      <c r="AJ1643">
        <v>85.189254524795899</v>
      </c>
      <c r="AK1643">
        <v>52.975952886838897</v>
      </c>
      <c r="AL1643">
        <v>80.616502440227407</v>
      </c>
      <c r="AM1643">
        <v>89.343039469870405</v>
      </c>
      <c r="AN1643">
        <v>0.99999999346036605</v>
      </c>
    </row>
    <row r="1644" spans="1:40" x14ac:dyDescent="0.25">
      <c r="A1644" t="str">
        <f>"20190303162812301"</f>
        <v>20190303162812301</v>
      </c>
      <c r="B1644" t="str">
        <f>"1551601692293209"</f>
        <v>1551601692293209</v>
      </c>
      <c r="C1644" t="s">
        <v>40</v>
      </c>
      <c r="D1644">
        <v>4.7850270000000004</v>
      </c>
      <c r="E1644">
        <v>0.52998190000000001</v>
      </c>
      <c r="F1644" t="s">
        <v>49</v>
      </c>
      <c r="G1644">
        <v>-285.36369999999999</v>
      </c>
      <c r="H1644" s="1">
        <v>5.3962080000000003E-6</v>
      </c>
      <c r="I1644">
        <v>287.65289999999999</v>
      </c>
      <c r="J1644">
        <v>-234.10409999999999</v>
      </c>
      <c r="K1644">
        <v>1.121588</v>
      </c>
      <c r="L1644">
        <v>283.25540000000001</v>
      </c>
      <c r="M1644">
        <v>-0.99995020000000001</v>
      </c>
      <c r="N1644">
        <v>-9.8657780000000004E-3</v>
      </c>
      <c r="O1644">
        <v>-1.6097279999999999E-3</v>
      </c>
      <c r="P1644">
        <v>-0.98814480000000005</v>
      </c>
      <c r="Q1644">
        <v>0.15296319999999999</v>
      </c>
      <c r="R1644">
        <v>1.313219E-2</v>
      </c>
      <c r="S1644">
        <v>-3.043396</v>
      </c>
      <c r="T1644">
        <v>-6.619978E-2</v>
      </c>
      <c r="U1644">
        <v>0.25949100000000003</v>
      </c>
      <c r="V1644">
        <v>1.438647E-2</v>
      </c>
      <c r="W1644">
        <v>0.16273460000000001</v>
      </c>
      <c r="X1644">
        <v>0.98656500000000003</v>
      </c>
      <c r="Y1644">
        <v>8.6529549999999997E-2</v>
      </c>
      <c r="Z1644">
        <v>1.3860719999999999E-3</v>
      </c>
      <c r="AA1644">
        <v>0.99624829999999998</v>
      </c>
      <c r="AB1644">
        <v>32</v>
      </c>
      <c r="AC1644">
        <v>-51.259599999999999</v>
      </c>
      <c r="AD1644">
        <v>-1.121582603792</v>
      </c>
      <c r="AE1644">
        <v>4.3974999999999804</v>
      </c>
      <c r="AF1644">
        <v>4.4778841769584599</v>
      </c>
      <c r="AG1644">
        <v>-1.121582603792</v>
      </c>
      <c r="AH1644">
        <v>51.228107997842599</v>
      </c>
      <c r="AI1644">
        <v>91.249464421136906</v>
      </c>
      <c r="AJ1644">
        <v>85.004433748346699</v>
      </c>
      <c r="AK1644">
        <v>51.435672866970499</v>
      </c>
      <c r="AL1644">
        <v>80.634342114260306</v>
      </c>
      <c r="AM1644">
        <v>89.1645501374323</v>
      </c>
      <c r="AN1644">
        <v>1.0000000098906101</v>
      </c>
    </row>
    <row r="1645" spans="1:40" x14ac:dyDescent="0.25">
      <c r="A1645" t="str">
        <f>"20190303162812323"</f>
        <v>20190303162812323</v>
      </c>
      <c r="B1645" t="str">
        <f>"1551601692312728"</f>
        <v>1551601692312728</v>
      </c>
      <c r="C1645" t="s">
        <v>40</v>
      </c>
      <c r="D1645">
        <v>4.8284699999999896</v>
      </c>
      <c r="E1645">
        <v>0.52985669999999996</v>
      </c>
      <c r="F1645" t="s">
        <v>49</v>
      </c>
      <c r="G1645">
        <v>-285.30180000000001</v>
      </c>
      <c r="H1645" s="1">
        <v>5.4123580000000002E-6</v>
      </c>
      <c r="I1645">
        <v>287.70780000000002</v>
      </c>
      <c r="J1645">
        <v>-234.43170000000001</v>
      </c>
      <c r="K1645">
        <v>1.12158</v>
      </c>
      <c r="L1645">
        <v>283.25380000000001</v>
      </c>
      <c r="M1645">
        <v>-0.99994870000000002</v>
      </c>
      <c r="N1645">
        <v>-9.7844270000000001E-3</v>
      </c>
      <c r="O1645">
        <v>-2.6504340000000001E-3</v>
      </c>
      <c r="P1645">
        <v>-0.98824009999999995</v>
      </c>
      <c r="Q1645">
        <v>0.15240960000000001</v>
      </c>
      <c r="R1645">
        <v>1.2379309999999999E-2</v>
      </c>
      <c r="S1645">
        <v>-3.0428160000000002</v>
      </c>
      <c r="T1645">
        <v>-6.6658739999999994E-2</v>
      </c>
      <c r="U1645">
        <v>0.26461790000000002</v>
      </c>
      <c r="V1645">
        <v>1.4662440000000001E-2</v>
      </c>
      <c r="W1645">
        <v>0.16210169999999999</v>
      </c>
      <c r="X1645">
        <v>0.98666509999999996</v>
      </c>
      <c r="Y1645">
        <v>8.9247110000000004E-2</v>
      </c>
      <c r="Z1645">
        <v>1.4451970000000001E-3</v>
      </c>
      <c r="AA1645">
        <v>0.99600849999999996</v>
      </c>
      <c r="AB1645">
        <v>32</v>
      </c>
      <c r="AC1645">
        <v>-50.870100000000001</v>
      </c>
      <c r="AD1645">
        <v>-1.121574587642</v>
      </c>
      <c r="AE1645">
        <v>4.4539999999999997</v>
      </c>
      <c r="AF1645">
        <v>4.58660602490027</v>
      </c>
      <c r="AG1645">
        <v>-1.121574587642</v>
      </c>
      <c r="AH1645">
        <v>50.833593178198299</v>
      </c>
      <c r="AI1645">
        <v>91.258836836084598</v>
      </c>
      <c r="AJ1645">
        <v>84.844285528167404</v>
      </c>
      <c r="AK1645">
        <v>51.052415024069802</v>
      </c>
      <c r="AL1645">
        <v>80.671092341037706</v>
      </c>
      <c r="AM1645">
        <v>89.148612740052201</v>
      </c>
      <c r="AN1645">
        <v>0.99999998392382605</v>
      </c>
    </row>
    <row r="1646" spans="1:40" x14ac:dyDescent="0.25">
      <c r="A1646" t="str">
        <f>"20190303162812343"</f>
        <v>20190303162812343</v>
      </c>
      <c r="B1646" t="str">
        <f>"1551601692333224"</f>
        <v>1551601692333224</v>
      </c>
      <c r="C1646" t="s">
        <v>40</v>
      </c>
      <c r="D1646">
        <v>4.821771</v>
      </c>
      <c r="E1646">
        <v>0.52973870000000001</v>
      </c>
      <c r="F1646" t="s">
        <v>49</v>
      </c>
      <c r="G1646">
        <v>-283.73070000000001</v>
      </c>
      <c r="H1646" s="1">
        <v>6.1545269999999998E-6</v>
      </c>
      <c r="I1646">
        <v>287.48779999999999</v>
      </c>
      <c r="J1646">
        <v>-234.72630000000001</v>
      </c>
      <c r="K1646">
        <v>1.12157</v>
      </c>
      <c r="L1646">
        <v>283.25209999999998</v>
      </c>
      <c r="M1646">
        <v>-0.99994640000000001</v>
      </c>
      <c r="N1646">
        <v>-9.7179429999999997E-3</v>
      </c>
      <c r="O1646">
        <v>-3.5844269999999998E-3</v>
      </c>
      <c r="P1646">
        <v>-0.98824880000000004</v>
      </c>
      <c r="Q1646">
        <v>0.15230270000000001</v>
      </c>
      <c r="R1646">
        <v>1.297911E-2</v>
      </c>
      <c r="S1646">
        <v>-3.043091</v>
      </c>
      <c r="T1646">
        <v>-6.9231749999999995E-2</v>
      </c>
      <c r="U1646">
        <v>0.26135249999999999</v>
      </c>
      <c r="V1646">
        <v>1.6184359999999998E-2</v>
      </c>
      <c r="W1646">
        <v>0.16193279999999999</v>
      </c>
      <c r="X1646">
        <v>0.98666909999999997</v>
      </c>
      <c r="Y1646">
        <v>8.9106770000000002E-2</v>
      </c>
      <c r="Z1646">
        <v>1.492094E-3</v>
      </c>
      <c r="AA1646">
        <v>0.99602100000000005</v>
      </c>
      <c r="AB1646">
        <v>32</v>
      </c>
      <c r="AC1646">
        <v>-49.004399999999997</v>
      </c>
      <c r="AD1646">
        <v>-1.1215638454729999</v>
      </c>
      <c r="AE1646">
        <v>4.2356999999999996</v>
      </c>
      <c r="AF1646">
        <v>4.4090413733210596</v>
      </c>
      <c r="AG1646">
        <v>-1.1215638454729999</v>
      </c>
      <c r="AH1646">
        <v>48.963444300930099</v>
      </c>
      <c r="AI1646">
        <v>91.306910027290499</v>
      </c>
      <c r="AJ1646">
        <v>84.854529244922603</v>
      </c>
      <c r="AK1646">
        <v>49.174347266653299</v>
      </c>
      <c r="AL1646">
        <v>80.680899685275193</v>
      </c>
      <c r="AM1646">
        <v>89.060260050997698</v>
      </c>
      <c r="AN1646">
        <v>1.00000003905962</v>
      </c>
    </row>
    <row r="1647" spans="1:40" x14ac:dyDescent="0.25">
      <c r="A1647" t="str">
        <f>"20190303162812366"</f>
        <v>20190303162812366</v>
      </c>
      <c r="B1647" t="str">
        <f>"1551601692352745"</f>
        <v>1551601692352745</v>
      </c>
      <c r="C1647" t="s">
        <v>40</v>
      </c>
      <c r="D1647">
        <v>4.8421849999999997</v>
      </c>
      <c r="E1647">
        <v>0.52954899999999905</v>
      </c>
      <c r="F1647" t="s">
        <v>49</v>
      </c>
      <c r="G1647">
        <v>-283.02190000000002</v>
      </c>
      <c r="H1647" s="1">
        <v>6.4821719999999996E-6</v>
      </c>
      <c r="I1647">
        <v>287.42320000000001</v>
      </c>
      <c r="J1647">
        <v>-235.05250000000001</v>
      </c>
      <c r="K1647">
        <v>1.12157</v>
      </c>
      <c r="L1647">
        <v>283.24990000000003</v>
      </c>
      <c r="M1647">
        <v>-0.99994280000000002</v>
      </c>
      <c r="N1647">
        <v>-9.6518709999999994E-3</v>
      </c>
      <c r="O1647">
        <v>-4.6176059999999998E-3</v>
      </c>
      <c r="P1647">
        <v>-0.98826700000000001</v>
      </c>
      <c r="Q1647">
        <v>0.1521545</v>
      </c>
      <c r="R1647">
        <v>1.331543E-2</v>
      </c>
      <c r="S1647">
        <v>-3.043091</v>
      </c>
      <c r="T1647">
        <v>-7.0669410000000002E-2</v>
      </c>
      <c r="U1647">
        <v>0.26281739999999998</v>
      </c>
      <c r="V1647">
        <v>1.7540969999999999E-2</v>
      </c>
      <c r="W1647">
        <v>0.16172249999999999</v>
      </c>
      <c r="X1647">
        <v>0.98668040000000001</v>
      </c>
      <c r="Y1647">
        <v>9.060994E-2</v>
      </c>
      <c r="Z1647">
        <v>1.5507450000000001E-3</v>
      </c>
      <c r="AA1647">
        <v>0.99588529999999997</v>
      </c>
      <c r="AB1647">
        <v>32</v>
      </c>
      <c r="AC1647">
        <v>-47.9694</v>
      </c>
      <c r="AD1647">
        <v>-1.1215635178279999</v>
      </c>
      <c r="AE1647">
        <v>4.1732999999999798</v>
      </c>
      <c r="AF1647">
        <v>4.3923864867088804</v>
      </c>
      <c r="AG1647">
        <v>-1.1215635178279999</v>
      </c>
      <c r="AH1647">
        <v>47.923615751765098</v>
      </c>
      <c r="AI1647">
        <v>91.335063143142406</v>
      </c>
      <c r="AJ1647">
        <v>84.763249076676104</v>
      </c>
      <c r="AK1647">
        <v>48.137551978636999</v>
      </c>
      <c r="AL1647">
        <v>80.693109865525003</v>
      </c>
      <c r="AM1647">
        <v>88.981516516600095</v>
      </c>
      <c r="AN1647">
        <v>1.00000003218947</v>
      </c>
    </row>
    <row r="1648" spans="1:40" x14ac:dyDescent="0.25">
      <c r="A1648" t="str">
        <f>"20190303162812389"</f>
        <v>20190303162812389</v>
      </c>
      <c r="B1648" t="str">
        <f>"1551601692383001"</f>
        <v>1551601692383001</v>
      </c>
      <c r="C1648" t="s">
        <v>40</v>
      </c>
      <c r="D1648">
        <v>4.8644080000000001</v>
      </c>
      <c r="E1648">
        <v>0.52940410000000004</v>
      </c>
      <c r="F1648" t="s">
        <v>49</v>
      </c>
      <c r="G1648">
        <v>-282.9126</v>
      </c>
      <c r="H1648" s="1">
        <v>6.5389850000000002E-6</v>
      </c>
      <c r="I1648">
        <v>287.38290000000001</v>
      </c>
      <c r="J1648">
        <v>-235.38390000000001</v>
      </c>
      <c r="K1648">
        <v>1.1215619999999999</v>
      </c>
      <c r="L1648">
        <v>283.2473</v>
      </c>
      <c r="M1648">
        <v>-0.99993799999999999</v>
      </c>
      <c r="N1648">
        <v>-9.5925409999999996E-3</v>
      </c>
      <c r="O1648">
        <v>-5.663324E-3</v>
      </c>
      <c r="P1648">
        <v>-0.98824330000000005</v>
      </c>
      <c r="Q1648">
        <v>0.15232860000000001</v>
      </c>
      <c r="R1648">
        <v>1.3093489999999999E-2</v>
      </c>
      <c r="S1648">
        <v>-3.0430600000000001</v>
      </c>
      <c r="T1648">
        <v>-7.131171E-2</v>
      </c>
      <c r="U1648">
        <v>0.26278689999999999</v>
      </c>
      <c r="V1648">
        <v>1.835138E-2</v>
      </c>
      <c r="W1648">
        <v>0.16183919999999999</v>
      </c>
      <c r="X1648">
        <v>0.98664649999999998</v>
      </c>
      <c r="Y1648">
        <v>9.1641310000000004E-2</v>
      </c>
      <c r="Z1648">
        <v>1.5903180000000001E-3</v>
      </c>
      <c r="AA1648">
        <v>0.99579079999999998</v>
      </c>
      <c r="AB1648">
        <v>32</v>
      </c>
      <c r="AC1648">
        <v>-47.528699999999901</v>
      </c>
      <c r="AD1648">
        <v>-1.121555461015</v>
      </c>
      <c r="AE1648">
        <v>4.1356000000000099</v>
      </c>
      <c r="AF1648">
        <v>4.4022835292458797</v>
      </c>
      <c r="AG1648">
        <v>-1.121555461015</v>
      </c>
      <c r="AH1648">
        <v>47.478276311057897</v>
      </c>
      <c r="AI1648">
        <v>91.347440047835207</v>
      </c>
      <c r="AJ1648">
        <v>84.702564068780106</v>
      </c>
      <c r="AK1648">
        <v>47.695122480114897</v>
      </c>
      <c r="AL1648">
        <v>80.686333961947994</v>
      </c>
      <c r="AM1648">
        <v>88.9344355889762</v>
      </c>
      <c r="AN1648">
        <v>1.0000000078833899</v>
      </c>
    </row>
    <row r="1649" spans="1:40" x14ac:dyDescent="0.25">
      <c r="A1649" t="str">
        <f>"20190303162812413"</f>
        <v>20190303162812413</v>
      </c>
      <c r="B1649" t="str">
        <f>"1551601692403496"</f>
        <v>1551601692403496</v>
      </c>
      <c r="C1649" t="s">
        <v>40</v>
      </c>
      <c r="D1649">
        <v>4.8100949999999996</v>
      </c>
      <c r="E1649">
        <v>0.52929890000000002</v>
      </c>
      <c r="F1649" t="s">
        <v>49</v>
      </c>
      <c r="G1649">
        <v>-283.1542</v>
      </c>
      <c r="H1649" s="1">
        <v>6.4404530000000002E-6</v>
      </c>
      <c r="I1649">
        <v>287.34120000000001</v>
      </c>
      <c r="J1649">
        <v>-235.726</v>
      </c>
      <c r="K1649">
        <v>1.1215569999999999</v>
      </c>
      <c r="L1649">
        <v>283.24430000000001</v>
      </c>
      <c r="M1649">
        <v>-0.99993189999999998</v>
      </c>
      <c r="N1649">
        <v>-9.5390119999999995E-3</v>
      </c>
      <c r="O1649">
        <v>-6.7345469999999996E-3</v>
      </c>
      <c r="P1649">
        <v>-0.98826119999999995</v>
      </c>
      <c r="Q1649">
        <v>0.15226489999999901</v>
      </c>
      <c r="R1649">
        <v>1.2469259999999999E-2</v>
      </c>
      <c r="S1649">
        <v>-3.0432130000000002</v>
      </c>
      <c r="T1649">
        <v>-7.1448919999999999E-2</v>
      </c>
      <c r="U1649">
        <v>0.26080320000000001</v>
      </c>
      <c r="V1649">
        <v>1.8786540000000001E-2</v>
      </c>
      <c r="W1649">
        <v>0.16172339999999999</v>
      </c>
      <c r="X1649">
        <v>0.98665729999999996</v>
      </c>
      <c r="Y1649">
        <v>9.2059160000000001E-2</v>
      </c>
      <c r="Z1649">
        <v>1.612236E-3</v>
      </c>
      <c r="AA1649">
        <v>0.99575219999999998</v>
      </c>
      <c r="AB1649">
        <v>32</v>
      </c>
      <c r="AC1649">
        <v>-47.428199999999997</v>
      </c>
      <c r="AD1649">
        <v>-1.1215505595469999</v>
      </c>
      <c r="AE1649">
        <v>4.0968999999999998</v>
      </c>
      <c r="AF1649">
        <v>4.4137791461212297</v>
      </c>
      <c r="AG1649">
        <v>-1.1215505595469999</v>
      </c>
      <c r="AH1649">
        <v>47.373237594709899</v>
      </c>
      <c r="AI1649">
        <v>91.350364907234606</v>
      </c>
      <c r="AJ1649">
        <v>84.677101246468993</v>
      </c>
      <c r="AK1649">
        <v>47.591627017923997</v>
      </c>
      <c r="AL1649">
        <v>80.693057402341395</v>
      </c>
      <c r="AM1649">
        <v>88.909186196295906</v>
      </c>
      <c r="AN1649">
        <v>1.00000000991801</v>
      </c>
    </row>
    <row r="1650" spans="1:40" x14ac:dyDescent="0.25">
      <c r="A1650" t="str">
        <f>"20190303162812435"</f>
        <v>20190303162812435</v>
      </c>
      <c r="B1650" t="str">
        <f>"1551601692423016"</f>
        <v>1551601692423016</v>
      </c>
      <c r="C1650" t="s">
        <v>40</v>
      </c>
      <c r="D1650">
        <v>4.8411030000000004</v>
      </c>
      <c r="E1650">
        <v>0.52918310000000002</v>
      </c>
      <c r="F1650" t="s">
        <v>49</v>
      </c>
      <c r="G1650">
        <v>-283.91520000000003</v>
      </c>
      <c r="H1650" s="1">
        <v>6.1051789999999996E-6</v>
      </c>
      <c r="I1650">
        <v>287.3306</v>
      </c>
      <c r="J1650">
        <v>-236.05160000000001</v>
      </c>
      <c r="K1650">
        <v>1.1215539999999999</v>
      </c>
      <c r="L1650">
        <v>283.24110000000002</v>
      </c>
      <c r="M1650">
        <v>-0.99992510000000001</v>
      </c>
      <c r="N1650">
        <v>-9.4975549999999995E-3</v>
      </c>
      <c r="O1650">
        <v>-7.7406949999999997E-3</v>
      </c>
      <c r="P1650">
        <v>-0.9880044</v>
      </c>
      <c r="Q1650">
        <v>0.15399760000000001</v>
      </c>
      <c r="R1650">
        <v>1.1495770000000001E-2</v>
      </c>
      <c r="S1650">
        <v>-3.0432739999999998</v>
      </c>
      <c r="T1650">
        <v>-7.0828909999999995E-2</v>
      </c>
      <c r="U1650">
        <v>0.25805660000000002</v>
      </c>
      <c r="V1650">
        <v>1.880387E-2</v>
      </c>
      <c r="W1650">
        <v>0.16341249999999999</v>
      </c>
      <c r="X1650">
        <v>0.98637859999999999</v>
      </c>
      <c r="Y1650">
        <v>9.2167659999999998E-2</v>
      </c>
      <c r="Z1650">
        <v>1.615493E-3</v>
      </c>
      <c r="AA1650">
        <v>0.99574220000000002</v>
      </c>
      <c r="AB1650">
        <v>32</v>
      </c>
      <c r="AC1650">
        <v>-47.863599999999998</v>
      </c>
      <c r="AD1650">
        <v>-1.121547894821</v>
      </c>
      <c r="AE1650">
        <v>4.0894999999999797</v>
      </c>
      <c r="AF1650">
        <v>4.4574619430453097</v>
      </c>
      <c r="AG1650">
        <v>-1.121547894821</v>
      </c>
      <c r="AH1650">
        <v>47.8044513024455</v>
      </c>
      <c r="AI1650">
        <v>91.338176324136697</v>
      </c>
      <c r="AJ1650">
        <v>84.672934765899299</v>
      </c>
      <c r="AK1650">
        <v>48.024914377663997</v>
      </c>
      <c r="AL1650">
        <v>80.594974103377197</v>
      </c>
      <c r="AM1650">
        <v>88.907871780318203</v>
      </c>
      <c r="AN1650">
        <v>0.99999998661059297</v>
      </c>
    </row>
    <row r="1651" spans="1:40" x14ac:dyDescent="0.25">
      <c r="A1651" t="str">
        <f>"20190303162812456"</f>
        <v>20190303162812456</v>
      </c>
      <c r="B1651" t="str">
        <f>"1551601692443513"</f>
        <v>1551601692443513</v>
      </c>
      <c r="C1651" t="s">
        <v>40</v>
      </c>
      <c r="D1651">
        <v>4.813669</v>
      </c>
      <c r="E1651">
        <v>0.5290861</v>
      </c>
      <c r="F1651" t="s">
        <v>49</v>
      </c>
      <c r="G1651">
        <v>-289.18400000000003</v>
      </c>
      <c r="H1651" s="1">
        <v>3.6968930000000001E-6</v>
      </c>
      <c r="I1651">
        <v>287.678</v>
      </c>
      <c r="J1651">
        <v>-236.3484</v>
      </c>
      <c r="K1651">
        <v>1.1215440000000001</v>
      </c>
      <c r="L1651">
        <v>283.23790000000002</v>
      </c>
      <c r="M1651">
        <v>-0.99991779999999997</v>
      </c>
      <c r="N1651">
        <v>-9.4691170000000009E-3</v>
      </c>
      <c r="O1651">
        <v>-8.6380150000000006E-3</v>
      </c>
      <c r="P1651">
        <v>-0.98783180000000004</v>
      </c>
      <c r="Q1651">
        <v>0.15515809999999999</v>
      </c>
      <c r="R1651">
        <v>1.0682540000000001E-2</v>
      </c>
      <c r="S1651">
        <v>-3.043488</v>
      </c>
      <c r="T1651">
        <v>-6.4243789999999995E-2</v>
      </c>
      <c r="U1651">
        <v>0.2541504</v>
      </c>
      <c r="V1651">
        <v>1.8877379999999999E-2</v>
      </c>
      <c r="W1651">
        <v>0.16454279999999999</v>
      </c>
      <c r="X1651">
        <v>0.98618930000000005</v>
      </c>
      <c r="Y1651">
        <v>9.1791940000000002E-2</v>
      </c>
      <c r="Z1651">
        <v>1.5028109999999999E-3</v>
      </c>
      <c r="AA1651">
        <v>0.99577709999999997</v>
      </c>
      <c r="AB1651">
        <v>32</v>
      </c>
      <c r="AC1651">
        <v>-52.835599999999999</v>
      </c>
      <c r="AD1651">
        <v>-1.1215403031069999</v>
      </c>
      <c r="AE1651">
        <v>4.44009999999997</v>
      </c>
      <c r="AF1651">
        <v>4.8941597567295698</v>
      </c>
      <c r="AG1651">
        <v>-1.1215403031069999</v>
      </c>
      <c r="AH1651">
        <v>52.771661881355399</v>
      </c>
      <c r="AI1651">
        <v>91.212305868043899</v>
      </c>
      <c r="AJ1651">
        <v>84.701420187662606</v>
      </c>
      <c r="AK1651">
        <v>53.009989153894203</v>
      </c>
      <c r="AL1651">
        <v>80.529324285806894</v>
      </c>
      <c r="AM1651">
        <v>88.903392958793106</v>
      </c>
      <c r="AN1651">
        <v>1.00000001197099</v>
      </c>
    </row>
    <row r="1652" spans="1:40" x14ac:dyDescent="0.25">
      <c r="A1652" t="str">
        <f>"20190303162812479"</f>
        <v>20190303162812479</v>
      </c>
      <c r="B1652" t="str">
        <f>"1551601692472792"</f>
        <v>1551601692472792</v>
      </c>
      <c r="C1652" t="s">
        <v>40</v>
      </c>
      <c r="D1652">
        <v>4.8270369999999998</v>
      </c>
      <c r="E1652">
        <v>0.52926649999999997</v>
      </c>
      <c r="F1652" t="s">
        <v>49</v>
      </c>
      <c r="G1652">
        <v>-292.3836</v>
      </c>
      <c r="H1652" s="1">
        <v>2.3455339999999999E-6</v>
      </c>
      <c r="I1652">
        <v>287.85379999999998</v>
      </c>
      <c r="J1652">
        <v>-236.69130000000001</v>
      </c>
      <c r="K1652">
        <v>1.1215170000000001</v>
      </c>
      <c r="L1652">
        <v>283.23399999999998</v>
      </c>
      <c r="M1652">
        <v>-0.99990900000000005</v>
      </c>
      <c r="N1652">
        <v>-9.4439280000000007E-3</v>
      </c>
      <c r="O1652">
        <v>-9.6398630000000003E-3</v>
      </c>
      <c r="P1652">
        <v>-0.98791660000000003</v>
      </c>
      <c r="Q1652">
        <v>0.15467899999999901</v>
      </c>
      <c r="R1652">
        <v>9.7618189999999997E-3</v>
      </c>
      <c r="S1652">
        <v>-3.0438079999999998</v>
      </c>
      <c r="T1652">
        <v>-6.0921669999999997E-2</v>
      </c>
      <c r="U1652">
        <v>0.25073240000000002</v>
      </c>
      <c r="V1652">
        <v>1.8956779999999999E-2</v>
      </c>
      <c r="W1652">
        <v>0.16403909999999999</v>
      </c>
      <c r="X1652">
        <v>0.98627169999999997</v>
      </c>
      <c r="Y1652">
        <v>9.1673039999999997E-2</v>
      </c>
      <c r="Z1652">
        <v>1.451195E-3</v>
      </c>
      <c r="AA1652">
        <v>0.99578809999999995</v>
      </c>
      <c r="AB1652">
        <v>32</v>
      </c>
      <c r="AC1652">
        <v>-55.692299999999904</v>
      </c>
      <c r="AD1652">
        <v>-1.121514654466</v>
      </c>
      <c r="AE1652">
        <v>4.6197999999999402</v>
      </c>
      <c r="AF1652">
        <v>5.1543994131567299</v>
      </c>
      <c r="AG1652">
        <v>-1.121514654466</v>
      </c>
      <c r="AH1652">
        <v>55.622773454000601</v>
      </c>
      <c r="AI1652">
        <v>91.150164292902403</v>
      </c>
      <c r="AJ1652">
        <v>84.705687884875502</v>
      </c>
      <c r="AK1652">
        <v>55.872341593543503</v>
      </c>
      <c r="AL1652">
        <v>80.558581856142894</v>
      </c>
      <c r="AM1652">
        <v>88.898873642742899</v>
      </c>
      <c r="AN1652">
        <v>1.00000002602883</v>
      </c>
    </row>
    <row r="1653" spans="1:40" x14ac:dyDescent="0.25">
      <c r="A1653" t="str">
        <f>"20190303162812502"</f>
        <v>20190303162812502</v>
      </c>
      <c r="B1653" t="str">
        <f>"1551601692493288"</f>
        <v>1551601692493288</v>
      </c>
      <c r="C1653" t="s">
        <v>40</v>
      </c>
      <c r="D1653">
        <v>4.765854</v>
      </c>
      <c r="E1653">
        <v>0.53948549999999995</v>
      </c>
      <c r="F1653" t="s">
        <v>49</v>
      </c>
      <c r="G1653">
        <v>-291.46780000000001</v>
      </c>
      <c r="H1653" s="1">
        <v>2.19501E-6</v>
      </c>
      <c r="I1653">
        <v>287.71730000000002</v>
      </c>
      <c r="J1653">
        <v>-237.0171</v>
      </c>
      <c r="K1653">
        <v>1.12148</v>
      </c>
      <c r="L1653">
        <v>283.22989999999999</v>
      </c>
      <c r="M1653">
        <v>-0.99990000000000001</v>
      </c>
      <c r="N1653">
        <v>-9.4290120000000005E-3</v>
      </c>
      <c r="O1653">
        <v>-1.054018E-2</v>
      </c>
      <c r="P1653">
        <v>-0.98835269999999997</v>
      </c>
      <c r="Q1653">
        <v>0.1519501</v>
      </c>
      <c r="R1653">
        <v>8.3856809999999903E-3</v>
      </c>
      <c r="S1653">
        <v>-3.0439759999999998</v>
      </c>
      <c r="T1653">
        <v>-6.2323570000000002E-2</v>
      </c>
      <c r="U1653">
        <v>0.24914549999999999</v>
      </c>
      <c r="V1653">
        <v>1.8492729999999999E-2</v>
      </c>
      <c r="W1653">
        <v>0.1612971</v>
      </c>
      <c r="X1653">
        <v>0.98673259999999996</v>
      </c>
      <c r="Y1653">
        <v>9.2048240000000003E-2</v>
      </c>
      <c r="Z1653">
        <v>1.4916440000000001E-3</v>
      </c>
      <c r="AA1653">
        <v>0.99575340000000001</v>
      </c>
      <c r="AB1653">
        <v>32</v>
      </c>
      <c r="AC1653">
        <v>-54.450699999999998</v>
      </c>
      <c r="AD1653">
        <v>-1.12147780499</v>
      </c>
      <c r="AE1653">
        <v>4.4874000000000303</v>
      </c>
      <c r="AF1653">
        <v>5.0589648417250999</v>
      </c>
      <c r="AG1653">
        <v>-1.12147780499</v>
      </c>
      <c r="AH1653">
        <v>54.37746341946</v>
      </c>
      <c r="AI1653">
        <v>91.176418737238194</v>
      </c>
      <c r="AJ1653">
        <v>84.684831573947505</v>
      </c>
      <c r="AK1653">
        <v>54.623798528403398</v>
      </c>
      <c r="AL1653">
        <v>80.717807253949999</v>
      </c>
      <c r="AM1653">
        <v>88.926323753451896</v>
      </c>
      <c r="AN1653">
        <v>0.99999997971701104</v>
      </c>
    </row>
    <row r="1654" spans="1:40" x14ac:dyDescent="0.25">
      <c r="A1654" t="str">
        <f>"20190303162812526"</f>
        <v>20190303162812526</v>
      </c>
      <c r="B1654" t="str">
        <f>"1551601692512808"</f>
        <v>1551601692512808</v>
      </c>
      <c r="C1654" t="s">
        <v>40</v>
      </c>
      <c r="D1654">
        <v>4.747401</v>
      </c>
      <c r="E1654">
        <v>0.54007989999999995</v>
      </c>
      <c r="F1654" t="s">
        <v>48</v>
      </c>
      <c r="G1654">
        <v>-260.88619999999997</v>
      </c>
      <c r="H1654" s="1">
        <v>-1.065178E-6</v>
      </c>
      <c r="I1654">
        <v>285.76839999999999</v>
      </c>
      <c r="J1654">
        <v>-237.35900000000001</v>
      </c>
      <c r="K1654">
        <v>1.1214249999999999</v>
      </c>
      <c r="L1654">
        <v>283.22539999999998</v>
      </c>
      <c r="M1654">
        <v>-0.99989070000000002</v>
      </c>
      <c r="N1654">
        <v>-9.4227489999999994E-3</v>
      </c>
      <c r="O1654">
        <v>-1.1404060000000001E-2</v>
      </c>
      <c r="P1654">
        <v>-0.98861860000000001</v>
      </c>
      <c r="Q1654">
        <v>0.150284</v>
      </c>
      <c r="R1654">
        <v>6.9547569999999998E-3</v>
      </c>
      <c r="S1654">
        <v>-3.0546259999999998</v>
      </c>
      <c r="T1654">
        <v>-0.14352000000000001</v>
      </c>
      <c r="U1654">
        <v>0.32485960000000003</v>
      </c>
      <c r="V1654">
        <v>1.7941439999999999E-2</v>
      </c>
      <c r="W1654">
        <v>0.1596244</v>
      </c>
      <c r="X1654">
        <v>0.98701479999999997</v>
      </c>
      <c r="Y1654">
        <v>0.116926</v>
      </c>
      <c r="Z1654">
        <v>3.717429E-3</v>
      </c>
      <c r="AA1654">
        <v>0.99313370000000001</v>
      </c>
      <c r="AB1654">
        <v>33</v>
      </c>
      <c r="AC1654">
        <v>-23.527199999999901</v>
      </c>
      <c r="AD1654">
        <v>-1.1214260651779999</v>
      </c>
      <c r="AE1654">
        <v>2.5430000000000001</v>
      </c>
      <c r="AF1654">
        <v>2.80485317060154</v>
      </c>
      <c r="AG1654">
        <v>-1.1214260651779999</v>
      </c>
      <c r="AH1654">
        <v>23.444019323416899</v>
      </c>
      <c r="AI1654">
        <v>92.719247810917295</v>
      </c>
      <c r="AJ1654">
        <v>83.177535350075004</v>
      </c>
      <c r="AK1654">
        <v>23.637826460252999</v>
      </c>
      <c r="AL1654">
        <v>80.814904542574098</v>
      </c>
      <c r="AM1654">
        <v>88.958621905060397</v>
      </c>
      <c r="AN1654">
        <v>1.0000000298818299</v>
      </c>
    </row>
    <row r="1655" spans="1:40" x14ac:dyDescent="0.25">
      <c r="A1655" t="str">
        <f>"20190303162812545"</f>
        <v>20190303162812545</v>
      </c>
      <c r="B1655" t="str">
        <f>"1551601692533305"</f>
        <v>1551601692533305</v>
      </c>
      <c r="C1655" t="s">
        <v>40</v>
      </c>
      <c r="D1655">
        <v>4.747808</v>
      </c>
      <c r="E1655">
        <v>0.5401627</v>
      </c>
      <c r="F1655" t="s">
        <v>48</v>
      </c>
      <c r="G1655">
        <v>-260.19170000000003</v>
      </c>
      <c r="H1655" s="1">
        <v>-1.434768E-6</v>
      </c>
      <c r="I1655">
        <v>285.66000000000003</v>
      </c>
      <c r="J1655">
        <v>-237.63900000000001</v>
      </c>
      <c r="K1655">
        <v>1.1213630000000001</v>
      </c>
      <c r="L1655">
        <v>283.22160000000002</v>
      </c>
      <c r="M1655">
        <v>-0.99988319999999997</v>
      </c>
      <c r="N1655">
        <v>-9.4250849999999997E-3</v>
      </c>
      <c r="O1655">
        <v>-1.204159E-2</v>
      </c>
      <c r="P1655">
        <v>-0.98883189999999999</v>
      </c>
      <c r="Q1655">
        <v>0.14891750000000001</v>
      </c>
      <c r="R1655">
        <v>5.938367E-3</v>
      </c>
      <c r="S1655">
        <v>-3.0550540000000002</v>
      </c>
      <c r="T1655">
        <v>-0.15004890000000001</v>
      </c>
      <c r="U1655">
        <v>0.3257446</v>
      </c>
      <c r="V1655">
        <v>1.7580849999999999E-2</v>
      </c>
      <c r="W1655">
        <v>0.15825910000000001</v>
      </c>
      <c r="X1655">
        <v>0.98724109999999998</v>
      </c>
      <c r="Y1655">
        <v>0.1178134</v>
      </c>
      <c r="Z1655">
        <v>3.9168550000000003E-3</v>
      </c>
      <c r="AA1655">
        <v>0.99302800000000002</v>
      </c>
      <c r="AB1655">
        <v>33</v>
      </c>
      <c r="AC1655">
        <v>-22.552700000000002</v>
      </c>
      <c r="AD1655">
        <v>-1.1213644347680001</v>
      </c>
      <c r="AE1655">
        <v>2.4384000000000001</v>
      </c>
      <c r="AF1655">
        <v>2.7031997637281702</v>
      </c>
      <c r="AG1655">
        <v>-1.1213644347680001</v>
      </c>
      <c r="AH1655">
        <v>22.466798951500198</v>
      </c>
      <c r="AI1655">
        <v>92.836952250051695</v>
      </c>
      <c r="AJ1655">
        <v>83.139166685022005</v>
      </c>
      <c r="AK1655">
        <v>22.656606151083398</v>
      </c>
      <c r="AL1655">
        <v>80.894137500184002</v>
      </c>
      <c r="AM1655">
        <v>88.979781084966405</v>
      </c>
      <c r="AN1655">
        <v>1.0000000092743699</v>
      </c>
    </row>
    <row r="1656" spans="1:40" x14ac:dyDescent="0.25">
      <c r="A1656" t="str">
        <f>"20190303162812568"</f>
        <v>20190303162812568</v>
      </c>
      <c r="B1656" t="str">
        <f>"1551601692563560"</f>
        <v>1551601692563560</v>
      </c>
      <c r="C1656" t="s">
        <v>40</v>
      </c>
      <c r="D1656">
        <v>4.8425289999999999</v>
      </c>
      <c r="E1656">
        <v>0.53362949999999998</v>
      </c>
      <c r="F1656" t="s">
        <v>48</v>
      </c>
      <c r="G1656">
        <v>-260.29610000000002</v>
      </c>
      <c r="H1656" s="1">
        <v>-1.3792179999999999E-6</v>
      </c>
      <c r="I1656">
        <v>285.62520000000001</v>
      </c>
      <c r="J1656">
        <v>-237.98570000000001</v>
      </c>
      <c r="K1656">
        <v>1.1212850000000001</v>
      </c>
      <c r="L1656">
        <v>283.2167</v>
      </c>
      <c r="M1656">
        <v>-0.99987440000000005</v>
      </c>
      <c r="N1656">
        <v>-9.4343949999999999E-3</v>
      </c>
      <c r="O1656">
        <v>-1.2744520000000001E-2</v>
      </c>
      <c r="P1656">
        <v>-0.98913390000000001</v>
      </c>
      <c r="Q1656">
        <v>0.146939299999999</v>
      </c>
      <c r="R1656">
        <v>4.8328190000000004E-3</v>
      </c>
      <c r="S1656">
        <v>-3.0547179999999998</v>
      </c>
      <c r="T1656">
        <v>-0.1511866</v>
      </c>
      <c r="U1656">
        <v>0.32406620000000003</v>
      </c>
      <c r="V1656">
        <v>1.7203530000000002E-2</v>
      </c>
      <c r="W1656">
        <v>0.15628929999999999</v>
      </c>
      <c r="X1656">
        <v>0.98756149999999998</v>
      </c>
      <c r="Y1656">
        <v>0.11798</v>
      </c>
      <c r="Z1656">
        <v>3.9770359999999998E-3</v>
      </c>
      <c r="AA1656">
        <v>0.993008</v>
      </c>
      <c r="AB1656">
        <v>33</v>
      </c>
      <c r="AC1656">
        <v>-22.310400000000001</v>
      </c>
      <c r="AD1656">
        <v>-1.1212863792179999</v>
      </c>
      <c r="AE1656">
        <v>2.4085000000000001</v>
      </c>
      <c r="AF1656">
        <v>2.68594602602685</v>
      </c>
      <c r="AG1656">
        <v>-1.1212863792179999</v>
      </c>
      <c r="AH1656">
        <v>22.2224061348441</v>
      </c>
      <c r="AI1656">
        <v>92.867714668768102</v>
      </c>
      <c r="AJ1656">
        <v>83.108285585600001</v>
      </c>
      <c r="AK1656">
        <v>22.412204791606399</v>
      </c>
      <c r="AL1656">
        <v>81.008421027253803</v>
      </c>
      <c r="AM1656">
        <v>89.001996358863295</v>
      </c>
      <c r="AN1656">
        <v>1.0000000115106</v>
      </c>
    </row>
    <row r="1657" spans="1:40" x14ac:dyDescent="0.25">
      <c r="A1657" t="str">
        <f>"20190303162812590"</f>
        <v>20190303162812590</v>
      </c>
      <c r="B1657" t="str">
        <f>"1551601692583081"</f>
        <v>1551601692583081</v>
      </c>
      <c r="C1657" t="s">
        <v>40</v>
      </c>
      <c r="D1657">
        <v>4.84985</v>
      </c>
      <c r="E1657">
        <v>0.51929840000000005</v>
      </c>
      <c r="F1657" t="s">
        <v>44</v>
      </c>
      <c r="G1657">
        <v>-238.92920000000001</v>
      </c>
      <c r="H1657">
        <v>1.038483</v>
      </c>
      <c r="I1657">
        <v>283.2987</v>
      </c>
      <c r="J1657">
        <v>-238.31729999999999</v>
      </c>
      <c r="K1657">
        <v>1.1212040000000001</v>
      </c>
      <c r="L1657">
        <v>283.21190000000001</v>
      </c>
      <c r="M1657">
        <v>-0.99986679999999994</v>
      </c>
      <c r="N1657">
        <v>-9.4474650000000004E-3</v>
      </c>
      <c r="O1657">
        <v>-1.332062E-2</v>
      </c>
      <c r="P1657">
        <v>-0.98947819999999997</v>
      </c>
      <c r="Q1657">
        <v>0.144626</v>
      </c>
      <c r="R1657">
        <v>4.0522580000000004E-3</v>
      </c>
      <c r="S1657">
        <v>-3.0717319999999999</v>
      </c>
      <c r="T1657">
        <v>-0.26980270000000001</v>
      </c>
      <c r="U1657">
        <v>0.26608280000000001</v>
      </c>
      <c r="V1657">
        <v>1.70271E-2</v>
      </c>
      <c r="W1657">
        <v>0.1539896</v>
      </c>
      <c r="X1657">
        <v>0.98792579999999997</v>
      </c>
      <c r="Y1657">
        <v>9.9103220000000006E-2</v>
      </c>
      <c r="Z1657">
        <v>5.8462419999999998E-3</v>
      </c>
      <c r="AA1657">
        <v>0.99505999999999994</v>
      </c>
      <c r="AB1657">
        <v>33</v>
      </c>
      <c r="AC1657">
        <v>-0.61190000000001898</v>
      </c>
      <c r="AD1657">
        <v>-8.2721000000000003E-2</v>
      </c>
      <c r="AE1657">
        <v>8.6799999999982405E-2</v>
      </c>
      <c r="AF1657">
        <v>9.3272563973233594E-2</v>
      </c>
      <c r="AG1657">
        <v>-8.2721000000000003E-2</v>
      </c>
      <c r="AH1657">
        <v>0.59994143435505798</v>
      </c>
      <c r="AI1657">
        <v>97.758495489338202</v>
      </c>
      <c r="AJ1657">
        <v>81.163002509996005</v>
      </c>
      <c r="AK1657">
        <v>0.61275791279031699</v>
      </c>
      <c r="AL1657">
        <v>81.141799392708606</v>
      </c>
      <c r="AM1657">
        <v>89.012593471005701</v>
      </c>
      <c r="AN1657">
        <v>1.0000000526741</v>
      </c>
    </row>
    <row r="1658" spans="1:40" x14ac:dyDescent="0.25">
      <c r="A1658" t="str">
        <f>"20190303162812614"</f>
        <v>20190303162812614</v>
      </c>
      <c r="B1658" t="str">
        <f>"1551601692602600"</f>
        <v>1551601692602600</v>
      </c>
      <c r="C1658" t="s">
        <v>40</v>
      </c>
      <c r="D1658">
        <v>4.794708</v>
      </c>
      <c r="E1658">
        <v>0.51939650000000004</v>
      </c>
      <c r="F1658" t="s">
        <v>44</v>
      </c>
      <c r="G1658">
        <v>-239.15600000000001</v>
      </c>
      <c r="H1658">
        <v>0.9014759</v>
      </c>
      <c r="I1658">
        <v>283.2484</v>
      </c>
      <c r="J1658">
        <v>-238.64510000000001</v>
      </c>
      <c r="K1658">
        <v>1.1211279999999999</v>
      </c>
      <c r="L1658">
        <v>283.20690000000002</v>
      </c>
      <c r="M1658">
        <v>-0.99986019999999998</v>
      </c>
      <c r="N1658">
        <v>-9.4661339999999993E-3</v>
      </c>
      <c r="O1658">
        <v>-1.378537E-2</v>
      </c>
      <c r="P1658">
        <v>-0.98969189999999996</v>
      </c>
      <c r="Q1658">
        <v>0.1431733</v>
      </c>
      <c r="R1658">
        <v>3.4090370000000002E-3</v>
      </c>
      <c r="S1658">
        <v>-3.1520540000000001</v>
      </c>
      <c r="T1658">
        <v>-0.82582019999999901</v>
      </c>
      <c r="U1658">
        <v>0.13690189999999999</v>
      </c>
      <c r="V1658">
        <v>1.6876459999999999E-2</v>
      </c>
      <c r="W1658">
        <v>0.1525533</v>
      </c>
      <c r="X1658">
        <v>0.98815109999999995</v>
      </c>
      <c r="Y1658">
        <v>5.481312E-2</v>
      </c>
      <c r="Z1658">
        <v>1.074404E-2</v>
      </c>
      <c r="AA1658">
        <v>0.99843879999999996</v>
      </c>
      <c r="AB1658">
        <v>33</v>
      </c>
      <c r="AC1658">
        <v>-0.51089999999996305</v>
      </c>
      <c r="AD1658">
        <v>-0.21965209999999999</v>
      </c>
      <c r="AE1658">
        <v>4.1499999999984903E-2</v>
      </c>
      <c r="AF1658">
        <v>4.1008872738364198E-2</v>
      </c>
      <c r="AG1658">
        <v>-0.21965209999999999</v>
      </c>
      <c r="AH1658">
        <v>0.43111401982369202</v>
      </c>
      <c r="AI1658">
        <v>116.894547767623</v>
      </c>
      <c r="AJ1658">
        <v>84.566201413558701</v>
      </c>
      <c r="AK1658">
        <v>0.48558013835640401</v>
      </c>
      <c r="AL1658">
        <v>81.225076509251195</v>
      </c>
      <c r="AM1658">
        <v>89.021550517698103</v>
      </c>
      <c r="AN1658">
        <v>0.99999996033711402</v>
      </c>
    </row>
    <row r="1659" spans="1:40" x14ac:dyDescent="0.25">
      <c r="A1659" t="str">
        <f>"20190303162812636"</f>
        <v>20190303162812636</v>
      </c>
      <c r="B1659" t="str">
        <f>"1551601692632857"</f>
        <v>1551601692632857</v>
      </c>
      <c r="C1659" t="s">
        <v>40</v>
      </c>
      <c r="D1659">
        <v>4.8167109999999997</v>
      </c>
      <c r="E1659">
        <v>0.51912340000000001</v>
      </c>
      <c r="F1659" t="s">
        <v>44</v>
      </c>
      <c r="G1659">
        <v>-239.44290000000001</v>
      </c>
      <c r="H1659">
        <v>0.88612409999999997</v>
      </c>
      <c r="I1659">
        <v>283.24079999999998</v>
      </c>
      <c r="J1659">
        <v>-238.9752</v>
      </c>
      <c r="K1659">
        <v>1.1210450000000001</v>
      </c>
      <c r="L1659">
        <v>283.202</v>
      </c>
      <c r="M1659">
        <v>-0.99985500000000005</v>
      </c>
      <c r="N1659">
        <v>-9.4904359999999997E-3</v>
      </c>
      <c r="O1659">
        <v>-1.414193E-2</v>
      </c>
      <c r="P1659">
        <v>-0.98984510000000003</v>
      </c>
      <c r="Q1659">
        <v>0.14212429999999901</v>
      </c>
      <c r="R1659">
        <v>2.7563219999999999E-3</v>
      </c>
      <c r="S1659">
        <v>-3.1656949999999999</v>
      </c>
      <c r="T1659">
        <v>-0.93261870000000002</v>
      </c>
      <c r="U1659">
        <v>0.13403319999999999</v>
      </c>
      <c r="V1659">
        <v>1.6610650000000001E-2</v>
      </c>
      <c r="W1659">
        <v>0.15152639999999901</v>
      </c>
      <c r="X1659">
        <v>0.98831360000000001</v>
      </c>
      <c r="Y1659">
        <v>5.3518299999999998E-2</v>
      </c>
      <c r="Z1659">
        <v>1.1922149999999999E-2</v>
      </c>
      <c r="AA1659">
        <v>0.99849569999999999</v>
      </c>
      <c r="AB1659">
        <v>33</v>
      </c>
      <c r="AC1659">
        <v>-0.467700000000007</v>
      </c>
      <c r="AD1659">
        <v>-0.23492089999999999</v>
      </c>
      <c r="AE1659">
        <v>3.87999999999806E-2</v>
      </c>
      <c r="AF1659">
        <v>3.6311906195247198E-2</v>
      </c>
      <c r="AG1659">
        <v>-0.23492089999999999</v>
      </c>
      <c r="AH1659">
        <v>0.37351313017686999</v>
      </c>
      <c r="AI1659">
        <v>122.04649423888399</v>
      </c>
      <c r="AJ1659">
        <v>84.447313186578398</v>
      </c>
      <c r="AK1659">
        <v>0.44273970027869203</v>
      </c>
      <c r="AL1659">
        <v>81.284605679407505</v>
      </c>
      <c r="AM1659">
        <v>89.037116819995504</v>
      </c>
      <c r="AN1659">
        <v>0.99999996776766997</v>
      </c>
    </row>
    <row r="1660" spans="1:40" x14ac:dyDescent="0.25">
      <c r="A1660" t="str">
        <f>"20190303162812657"</f>
        <v>20190303162812657</v>
      </c>
      <c r="B1660" t="str">
        <f>"1551601692653353"</f>
        <v>1551601692653353</v>
      </c>
      <c r="C1660" t="s">
        <v>40</v>
      </c>
      <c r="D1660">
        <v>4.821377</v>
      </c>
      <c r="E1660">
        <v>0.51949409999999996</v>
      </c>
      <c r="F1660" t="s">
        <v>44</v>
      </c>
      <c r="G1660">
        <v>-239.7363</v>
      </c>
      <c r="H1660">
        <v>0.8851831</v>
      </c>
      <c r="I1660">
        <v>283.233</v>
      </c>
      <c r="J1660">
        <v>-239.28790000000001</v>
      </c>
      <c r="K1660">
        <v>1.1209690000000001</v>
      </c>
      <c r="L1660">
        <v>283.19720000000001</v>
      </c>
      <c r="M1660">
        <v>-0.9998515</v>
      </c>
      <c r="N1660">
        <v>-9.518004E-3</v>
      </c>
      <c r="O1660">
        <v>-1.437572E-2</v>
      </c>
      <c r="P1660">
        <v>-0.98997029999999997</v>
      </c>
      <c r="Q1660">
        <v>0.1412561</v>
      </c>
      <c r="R1660">
        <v>2.4339359999999998E-3</v>
      </c>
      <c r="S1660">
        <v>-3.1715089999999999</v>
      </c>
      <c r="T1660">
        <v>-0.98280500000000004</v>
      </c>
      <c r="U1660">
        <v>0.12918089999999999</v>
      </c>
      <c r="V1660">
        <v>1.655328E-2</v>
      </c>
      <c r="W1660">
        <v>0.1506836</v>
      </c>
      <c r="X1660">
        <v>0.98844339999999997</v>
      </c>
      <c r="Y1660">
        <v>5.191523E-2</v>
      </c>
      <c r="Z1660">
        <v>1.2326999999999999E-2</v>
      </c>
      <c r="AA1660">
        <v>0.9985754</v>
      </c>
      <c r="AB1660">
        <v>33</v>
      </c>
      <c r="AC1660">
        <v>-0.44839999999999203</v>
      </c>
      <c r="AD1660">
        <v>-0.23578589999999999</v>
      </c>
      <c r="AE1660">
        <v>3.5799999999994697E-2</v>
      </c>
      <c r="AF1660">
        <v>3.3137880567638001E-2</v>
      </c>
      <c r="AG1660">
        <v>-0.23578589999999999</v>
      </c>
      <c r="AH1660">
        <v>0.351313893452875</v>
      </c>
      <c r="AI1660">
        <v>123.750392243288</v>
      </c>
      <c r="AJ1660">
        <v>84.611486728893397</v>
      </c>
      <c r="AK1660">
        <v>0.42439905925949301</v>
      </c>
      <c r="AL1660">
        <v>81.333455375941398</v>
      </c>
      <c r="AM1660">
        <v>89.040567794293096</v>
      </c>
      <c r="AN1660">
        <v>0.99999995669563801</v>
      </c>
    </row>
    <row r="1661" spans="1:40" x14ac:dyDescent="0.25">
      <c r="A1661" t="str">
        <f>"20190303162812680"</f>
        <v>20190303162812680</v>
      </c>
      <c r="B1661" t="str">
        <f>"1551601692672873"</f>
        <v>1551601692672873</v>
      </c>
      <c r="C1661" t="s">
        <v>40</v>
      </c>
      <c r="D1661">
        <v>4.8106159999999996</v>
      </c>
      <c r="E1661">
        <v>0.51975959999999999</v>
      </c>
      <c r="F1661" t="s">
        <v>44</v>
      </c>
      <c r="G1661">
        <v>-240.03129999999999</v>
      </c>
      <c r="H1661">
        <v>0.88708589999999998</v>
      </c>
      <c r="I1661">
        <v>283.22809999999998</v>
      </c>
      <c r="J1661">
        <v>-239.62889999999999</v>
      </c>
      <c r="K1661">
        <v>1.1208940000000001</v>
      </c>
      <c r="L1661">
        <v>283.19209999999998</v>
      </c>
      <c r="M1661">
        <v>-0.99984879999999998</v>
      </c>
      <c r="N1661">
        <v>-9.5533909999999996E-3</v>
      </c>
      <c r="O1661">
        <v>-1.453573E-2</v>
      </c>
      <c r="P1661">
        <v>-0.98980869999999999</v>
      </c>
      <c r="Q1661">
        <v>0.1423886</v>
      </c>
      <c r="R1661">
        <v>2.1586840000000001E-3</v>
      </c>
      <c r="S1661">
        <v>-3.172485</v>
      </c>
      <c r="T1661">
        <v>-0.99811119999999998</v>
      </c>
      <c r="U1661">
        <v>0.13095090000000001</v>
      </c>
      <c r="V1661">
        <v>1.646595E-2</v>
      </c>
      <c r="W1661">
        <v>0.15184549999999999</v>
      </c>
      <c r="X1661">
        <v>0.98826709999999995</v>
      </c>
      <c r="Y1661">
        <v>5.248887E-2</v>
      </c>
      <c r="Z1661">
        <v>1.26439E-2</v>
      </c>
      <c r="AA1661">
        <v>0.99854149999999997</v>
      </c>
      <c r="AB1661">
        <v>33</v>
      </c>
      <c r="AC1661">
        <v>-0.40239999999999998</v>
      </c>
      <c r="AD1661">
        <v>-0.23380809999999999</v>
      </c>
      <c r="AE1661">
        <v>3.6000000000001302E-2</v>
      </c>
      <c r="AF1661">
        <v>3.13469281018477E-2</v>
      </c>
      <c r="AG1661">
        <v>-0.23380809999999999</v>
      </c>
      <c r="AH1661">
        <v>0.301017424669624</v>
      </c>
      <c r="AI1661">
        <v>127.687826629219</v>
      </c>
      <c r="AJ1661">
        <v>84.054841725823195</v>
      </c>
      <c r="AK1661">
        <v>0.382439992001052</v>
      </c>
      <c r="AL1661">
        <v>81.266109039270404</v>
      </c>
      <c r="AM1661">
        <v>89.045458302269196</v>
      </c>
      <c r="AN1661">
        <v>1.0000000221610299</v>
      </c>
    </row>
    <row r="1662" spans="1:40" x14ac:dyDescent="0.25">
      <c r="A1662" t="str">
        <f>"20190303162812704"</f>
        <v>20190303162812704</v>
      </c>
      <c r="B1662" t="str">
        <f>"1551601692693369"</f>
        <v>1551601692693369</v>
      </c>
      <c r="C1662" t="s">
        <v>40</v>
      </c>
      <c r="D1662">
        <v>4.8231060000000001</v>
      </c>
      <c r="E1662">
        <v>0.51992879999999997</v>
      </c>
      <c r="F1662" t="s">
        <v>44</v>
      </c>
      <c r="G1662">
        <v>-240.33109999999999</v>
      </c>
      <c r="H1662">
        <v>0.89925739999999998</v>
      </c>
      <c r="I1662">
        <v>283.22140000000002</v>
      </c>
      <c r="J1662">
        <v>-239.9692</v>
      </c>
      <c r="K1662">
        <v>1.12083</v>
      </c>
      <c r="L1662">
        <v>283.18700000000001</v>
      </c>
      <c r="M1662">
        <v>-0.99984729999999999</v>
      </c>
      <c r="N1662">
        <v>-9.5923499999999995E-3</v>
      </c>
      <c r="O1662">
        <v>-1.4614159999999999E-2</v>
      </c>
      <c r="P1662">
        <v>-0.98971489999999995</v>
      </c>
      <c r="Q1662">
        <v>0.1430352</v>
      </c>
      <c r="R1662">
        <v>2.3670639999999999E-3</v>
      </c>
      <c r="S1662">
        <v>-3.174744</v>
      </c>
      <c r="T1662">
        <v>-1.0019990000000001</v>
      </c>
      <c r="U1662">
        <v>0.13220209999999999</v>
      </c>
      <c r="V1662">
        <v>1.677816E-2</v>
      </c>
      <c r="W1662">
        <v>0.15252650000000001</v>
      </c>
      <c r="X1662">
        <v>0.98815699999999995</v>
      </c>
      <c r="Y1662">
        <v>5.2886889999999999E-2</v>
      </c>
      <c r="Z1662">
        <v>1.2769040000000001E-2</v>
      </c>
      <c r="AA1662">
        <v>0.99851889999999999</v>
      </c>
      <c r="AB1662">
        <v>33</v>
      </c>
      <c r="AC1662">
        <v>-0.36189999999999101</v>
      </c>
      <c r="AD1662">
        <v>-0.22157259999999901</v>
      </c>
      <c r="AE1662">
        <v>3.4400000000005003E-2</v>
      </c>
      <c r="AF1662">
        <v>2.8935972309931401E-2</v>
      </c>
      <c r="AG1662">
        <v>-0.22157259999999901</v>
      </c>
      <c r="AH1662">
        <v>0.26347859960444903</v>
      </c>
      <c r="AI1662">
        <v>129.893096165571</v>
      </c>
      <c r="AJ1662">
        <v>83.732729963582798</v>
      </c>
      <c r="AK1662">
        <v>0.34547457216675498</v>
      </c>
      <c r="AL1662">
        <v>81.226630996176993</v>
      </c>
      <c r="AM1662">
        <v>89.027254382641601</v>
      </c>
      <c r="AN1662">
        <v>1.0000000482521101</v>
      </c>
    </row>
    <row r="1663" spans="1:40" x14ac:dyDescent="0.25">
      <c r="A1663" t="str">
        <f>"20190303162812725"</f>
        <v>20190303162812725</v>
      </c>
      <c r="B1663" t="str">
        <f>"1551601692712888"</f>
        <v>1551601692712888</v>
      </c>
      <c r="C1663" t="s">
        <v>40</v>
      </c>
      <c r="D1663">
        <v>4.8085639999999996</v>
      </c>
      <c r="E1663">
        <v>0.52022729999999995</v>
      </c>
      <c r="F1663" t="s">
        <v>44</v>
      </c>
      <c r="G1663">
        <v>-240.89259999999999</v>
      </c>
      <c r="H1663">
        <v>0.82892639999999995</v>
      </c>
      <c r="I1663">
        <v>283.22629999999998</v>
      </c>
      <c r="J1663">
        <v>-240.2809</v>
      </c>
      <c r="K1663">
        <v>1.1207800000000001</v>
      </c>
      <c r="L1663">
        <v>283.18239999999997</v>
      </c>
      <c r="M1663">
        <v>-0.99984680000000004</v>
      </c>
      <c r="N1663">
        <v>-9.6276420000000005E-3</v>
      </c>
      <c r="O1663">
        <v>-1.4616250000000001E-2</v>
      </c>
      <c r="P1663">
        <v>-0.98966220000000005</v>
      </c>
      <c r="Q1663">
        <v>0.14340510000000001</v>
      </c>
      <c r="R1663">
        <v>1.9928820000000001E-3</v>
      </c>
      <c r="S1663">
        <v>-3.1759490000000001</v>
      </c>
      <c r="T1663">
        <v>-1.0040279999999999</v>
      </c>
      <c r="U1663">
        <v>0.134246799999999</v>
      </c>
      <c r="V1663">
        <v>1.6426940000000001E-2</v>
      </c>
      <c r="W1663">
        <v>0.15292890000000001</v>
      </c>
      <c r="X1663">
        <v>0.9881006</v>
      </c>
      <c r="Y1663">
        <v>5.3474649999999999E-2</v>
      </c>
      <c r="Z1663">
        <v>1.28834E-2</v>
      </c>
      <c r="AA1663">
        <v>0.99848610000000004</v>
      </c>
      <c r="AB1663">
        <v>33</v>
      </c>
      <c r="AC1663">
        <v>-0.61169999999998403</v>
      </c>
      <c r="AD1663">
        <v>-0.29185359999999899</v>
      </c>
      <c r="AE1663">
        <v>4.3900000000007801E-2</v>
      </c>
      <c r="AF1663">
        <v>4.3079920047314799E-2</v>
      </c>
      <c r="AG1663">
        <v>-0.29185359999999899</v>
      </c>
      <c r="AH1663">
        <v>0.49816955622019998</v>
      </c>
      <c r="AI1663">
        <v>120.270981020608</v>
      </c>
      <c r="AJ1663">
        <v>85.057561735836103</v>
      </c>
      <c r="AK1663">
        <v>0.57897090608153501</v>
      </c>
      <c r="AL1663">
        <v>81.203300558808394</v>
      </c>
      <c r="AM1663">
        <v>89.047558885486694</v>
      </c>
      <c r="AN1663">
        <v>0.99999994426666505</v>
      </c>
    </row>
    <row r="1664" spans="1:40" x14ac:dyDescent="0.25">
      <c r="A1664" t="str">
        <f>"20190303162812748"</f>
        <v>20190303162812748</v>
      </c>
      <c r="B1664" t="str">
        <f>"1551601692743145"</f>
        <v>1551601692743145</v>
      </c>
      <c r="C1664" t="s">
        <v>40</v>
      </c>
      <c r="D1664">
        <v>4.8215820000000003</v>
      </c>
      <c r="E1664">
        <v>0.52110820000000002</v>
      </c>
      <c r="F1664" t="s">
        <v>44</v>
      </c>
      <c r="G1664">
        <v>-241.18969999999999</v>
      </c>
      <c r="H1664">
        <v>0.83290589999999998</v>
      </c>
      <c r="I1664">
        <v>283.22199999999998</v>
      </c>
      <c r="J1664">
        <v>-240.6146</v>
      </c>
      <c r="K1664">
        <v>1.1207389999999999</v>
      </c>
      <c r="L1664">
        <v>283.17750000000001</v>
      </c>
      <c r="M1664">
        <v>-0.99984740000000005</v>
      </c>
      <c r="N1664">
        <v>-9.6639299999999994E-3</v>
      </c>
      <c r="O1664">
        <v>-1.4565639999999999E-2</v>
      </c>
      <c r="P1664">
        <v>-0.98966739999999997</v>
      </c>
      <c r="Q1664">
        <v>0.14337159999999999</v>
      </c>
      <c r="R1664">
        <v>1.7742770000000001E-3</v>
      </c>
      <c r="S1664">
        <v>-3.176895</v>
      </c>
      <c r="T1664">
        <v>-1.0063759999999999</v>
      </c>
      <c r="U1664">
        <v>0.13769529999999999</v>
      </c>
      <c r="V1664">
        <v>1.6176929999999999E-2</v>
      </c>
      <c r="W1664">
        <v>0.15292939999999999</v>
      </c>
      <c r="X1664">
        <v>0.98810469999999895</v>
      </c>
      <c r="Y1664">
        <v>5.4434000000000003E-2</v>
      </c>
      <c r="Z1664">
        <v>1.30463E-2</v>
      </c>
      <c r="AA1664">
        <v>0.99843219999999999</v>
      </c>
      <c r="AB1664">
        <v>33</v>
      </c>
      <c r="AC1664">
        <v>-0.57509999999999195</v>
      </c>
      <c r="AD1664">
        <v>-0.28783309999999901</v>
      </c>
      <c r="AE1664">
        <v>4.4499999999970799E-2</v>
      </c>
      <c r="AF1664">
        <v>4.2331703900599101E-2</v>
      </c>
      <c r="AG1664">
        <v>-0.28783309999999901</v>
      </c>
      <c r="AH1664">
        <v>0.45987992437150699</v>
      </c>
      <c r="AI1664">
        <v>121.93333269043499</v>
      </c>
      <c r="AJ1664">
        <v>84.740774364279304</v>
      </c>
      <c r="AK1664">
        <v>0.54417773884153098</v>
      </c>
      <c r="AL1664">
        <v>81.203272031326406</v>
      </c>
      <c r="AM1664">
        <v>89.062055855410506</v>
      </c>
      <c r="AN1664">
        <v>0.99999999630533698</v>
      </c>
    </row>
    <row r="1665" spans="1:40" x14ac:dyDescent="0.25">
      <c r="A1665" t="str">
        <f>"20190303162812769"</f>
        <v>20190303162812769</v>
      </c>
      <c r="B1665" t="str">
        <f>"1551601692763641"</f>
        <v>1551601692763641</v>
      </c>
      <c r="C1665" t="s">
        <v>40</v>
      </c>
      <c r="D1665">
        <v>4.7873559999999999</v>
      </c>
      <c r="E1665">
        <v>0.53603239999999996</v>
      </c>
      <c r="F1665" t="s">
        <v>44</v>
      </c>
      <c r="G1665">
        <v>-241.4896</v>
      </c>
      <c r="H1665">
        <v>0.84325740000000005</v>
      </c>
      <c r="I1665">
        <v>283.21859999999998</v>
      </c>
      <c r="J1665">
        <v>-240.94749999999999</v>
      </c>
      <c r="K1665">
        <v>1.1207020000000001</v>
      </c>
      <c r="L1665">
        <v>283.17270000000002</v>
      </c>
      <c r="M1665">
        <v>-0.99984819999999996</v>
      </c>
      <c r="N1665">
        <v>-9.7027829999999995E-3</v>
      </c>
      <c r="O1665">
        <v>-1.447377E-2</v>
      </c>
      <c r="P1665">
        <v>-0.9894733</v>
      </c>
      <c r="Q1665">
        <v>0.14470459999999999</v>
      </c>
      <c r="R1665">
        <v>1.8072100000000001E-3</v>
      </c>
      <c r="S1665">
        <v>-3.1770170000000002</v>
      </c>
      <c r="T1665">
        <v>-1.0074719999999999</v>
      </c>
      <c r="U1665">
        <v>0.1489868</v>
      </c>
      <c r="V1665">
        <v>1.6132239999999999E-2</v>
      </c>
      <c r="W1665">
        <v>0.15429679999999901</v>
      </c>
      <c r="X1665">
        <v>0.98789289999999996</v>
      </c>
      <c r="Y1665">
        <v>5.7713529999999999E-2</v>
      </c>
      <c r="Z1665">
        <v>1.355491E-2</v>
      </c>
      <c r="AA1665">
        <v>0.99824120000000005</v>
      </c>
      <c r="AB1665">
        <v>33</v>
      </c>
      <c r="AC1665">
        <v>-0.54210000000000402</v>
      </c>
      <c r="AD1665">
        <v>-0.27744459999999999</v>
      </c>
      <c r="AE1665">
        <v>4.58999999999605E-2</v>
      </c>
      <c r="AF1665">
        <v>4.2649824161828699E-2</v>
      </c>
      <c r="AG1665">
        <v>-0.27744459999999999</v>
      </c>
      <c r="AH1665">
        <v>0.42964165152870798</v>
      </c>
      <c r="AI1665">
        <v>122.72479040055801</v>
      </c>
      <c r="AJ1665">
        <v>84.330914430154195</v>
      </c>
      <c r="AK1665">
        <v>0.51321190779103198</v>
      </c>
      <c r="AL1665">
        <v>81.123985350476303</v>
      </c>
      <c r="AM1665">
        <v>89.064446036363094</v>
      </c>
      <c r="AN1665">
        <v>1.0000000667640301</v>
      </c>
    </row>
    <row r="1666" spans="1:40" x14ac:dyDescent="0.25">
      <c r="A1666" t="str">
        <f>"20190303162812791"</f>
        <v>20190303162812791</v>
      </c>
      <c r="B1666" t="str">
        <f>"1551601692783161"</f>
        <v>1551601692783161</v>
      </c>
      <c r="C1666" t="s">
        <v>40</v>
      </c>
      <c r="D1666">
        <v>4.7990259999999996</v>
      </c>
      <c r="E1666">
        <v>0.53636309999999998</v>
      </c>
      <c r="F1666" t="s">
        <v>44</v>
      </c>
      <c r="G1666">
        <v>-241.7861</v>
      </c>
      <c r="H1666">
        <v>0.84285739999999998</v>
      </c>
      <c r="I1666">
        <v>283.24419999999998</v>
      </c>
      <c r="J1666">
        <v>-241.2714</v>
      </c>
      <c r="K1666">
        <v>1.120676</v>
      </c>
      <c r="L1666">
        <v>283.16800000000001</v>
      </c>
      <c r="M1666">
        <v>-0.99984949999999995</v>
      </c>
      <c r="N1666">
        <v>-9.7409209999999996E-3</v>
      </c>
      <c r="O1666">
        <v>-1.4359230000000001E-2</v>
      </c>
      <c r="P1666">
        <v>-0.98927100000000001</v>
      </c>
      <c r="Q1666">
        <v>0.14605370000000001</v>
      </c>
      <c r="R1666">
        <v>3.3755E-3</v>
      </c>
      <c r="S1666">
        <v>-3.1857760000000002</v>
      </c>
      <c r="T1666">
        <v>-1.0555680000000001</v>
      </c>
      <c r="U1666">
        <v>0.27081300000000003</v>
      </c>
      <c r="V1666">
        <v>1.7597249999999998E-2</v>
      </c>
      <c r="W1666">
        <v>0.15568029999999999</v>
      </c>
      <c r="X1666">
        <v>0.98765080000000005</v>
      </c>
      <c r="Y1666">
        <v>9.3180159999999998E-2</v>
      </c>
      <c r="Z1666">
        <v>1.9967519999999999E-2</v>
      </c>
      <c r="AA1666">
        <v>0.99544900000000003</v>
      </c>
      <c r="AB1666">
        <v>33</v>
      </c>
      <c r="AC1666">
        <v>-0.51470000000000404</v>
      </c>
      <c r="AD1666">
        <v>-0.27781859999999903</v>
      </c>
      <c r="AE1666">
        <v>7.6199999999971596E-2</v>
      </c>
      <c r="AF1666">
        <v>6.5040187970576493E-2</v>
      </c>
      <c r="AG1666">
        <v>-0.27781859999999903</v>
      </c>
      <c r="AH1666">
        <v>0.399620603235392</v>
      </c>
      <c r="AI1666">
        <v>124.45702485648</v>
      </c>
      <c r="AJ1666">
        <v>80.755888631052301</v>
      </c>
      <c r="AK1666">
        <v>0.49102955826245898</v>
      </c>
      <c r="AL1666">
        <v>81.043747006707207</v>
      </c>
      <c r="AM1666">
        <v>88.979253107406194</v>
      </c>
      <c r="AN1666">
        <v>1.0000000608781401</v>
      </c>
    </row>
    <row r="1667" spans="1:40" x14ac:dyDescent="0.25">
      <c r="A1667" t="str">
        <f>"20190303162812815"</f>
        <v>20190303162812815</v>
      </c>
      <c r="B1667" t="str">
        <f>"1551601692802680"</f>
        <v>1551601692802680</v>
      </c>
      <c r="C1667" t="s">
        <v>40</v>
      </c>
      <c r="D1667">
        <v>4.7641099999999996</v>
      </c>
      <c r="E1667">
        <v>0.53641830000000001</v>
      </c>
      <c r="F1667" t="s">
        <v>44</v>
      </c>
      <c r="G1667">
        <v>-242.08609999999999</v>
      </c>
      <c r="H1667">
        <v>0.85188439999999999</v>
      </c>
      <c r="I1667">
        <v>283.23910000000001</v>
      </c>
      <c r="J1667">
        <v>-241.60759999999999</v>
      </c>
      <c r="K1667">
        <v>1.1206560000000001</v>
      </c>
      <c r="L1667">
        <v>283.16329999999999</v>
      </c>
      <c r="M1667">
        <v>-0.99985089999999999</v>
      </c>
      <c r="N1667">
        <v>-9.7805740000000002E-3</v>
      </c>
      <c r="O1667">
        <v>-1.4224860000000001E-2</v>
      </c>
      <c r="P1667">
        <v>-0.98919239999999997</v>
      </c>
      <c r="Q1667">
        <v>0.14652499999999999</v>
      </c>
      <c r="R1667">
        <v>5.3871229999999997E-3</v>
      </c>
      <c r="S1667">
        <v>-3.1868439999999998</v>
      </c>
      <c r="T1667">
        <v>-1.051461</v>
      </c>
      <c r="U1667">
        <v>0.27798460000000003</v>
      </c>
      <c r="V1667">
        <v>1.9485329999999999E-2</v>
      </c>
      <c r="W1667">
        <v>0.15618760000000001</v>
      </c>
      <c r="X1667">
        <v>0.98753519999999995</v>
      </c>
      <c r="Y1667">
        <v>9.5187640000000004E-2</v>
      </c>
      <c r="Z1667">
        <v>2.017859E-2</v>
      </c>
      <c r="AA1667">
        <v>0.9952548</v>
      </c>
      <c r="AB1667">
        <v>33</v>
      </c>
      <c r="AC1667">
        <v>-0.47849999999999598</v>
      </c>
      <c r="AD1667">
        <v>-0.268771599999999</v>
      </c>
      <c r="AE1667">
        <v>7.5800000000015105E-2</v>
      </c>
      <c r="AF1667">
        <v>6.3159943719942893E-2</v>
      </c>
      <c r="AG1667">
        <v>-0.268771599999999</v>
      </c>
      <c r="AH1667">
        <v>0.36502594455987702</v>
      </c>
      <c r="AI1667">
        <v>125.961919486274</v>
      </c>
      <c r="AJ1667">
        <v>80.183385192522607</v>
      </c>
      <c r="AK1667">
        <v>0.45768033785503198</v>
      </c>
      <c r="AL1667">
        <v>81.014320423612006</v>
      </c>
      <c r="AM1667">
        <v>88.869627815228995</v>
      </c>
      <c r="AN1667">
        <v>1.0000000078589999</v>
      </c>
    </row>
    <row r="1668" spans="1:40" x14ac:dyDescent="0.25">
      <c r="A1668" t="str">
        <f>"20190303162812837"</f>
        <v>20190303162812837</v>
      </c>
      <c r="B1668" t="str">
        <f>"1551601692832936"</f>
        <v>1551601692832936</v>
      </c>
      <c r="C1668" t="s">
        <v>40</v>
      </c>
      <c r="D1668">
        <v>4.7683759999999999</v>
      </c>
      <c r="E1668">
        <v>0.53615919999999995</v>
      </c>
      <c r="F1668" t="s">
        <v>44</v>
      </c>
      <c r="G1668">
        <v>-242.38749999999999</v>
      </c>
      <c r="H1668">
        <v>0.86361339999999998</v>
      </c>
      <c r="I1668">
        <v>283.23340000000002</v>
      </c>
      <c r="J1668">
        <v>-241.94759999999999</v>
      </c>
      <c r="K1668">
        <v>1.120636</v>
      </c>
      <c r="L1668">
        <v>283.15859999999998</v>
      </c>
      <c r="M1668">
        <v>-0.99985270000000004</v>
      </c>
      <c r="N1668">
        <v>-9.8225350000000003E-3</v>
      </c>
      <c r="O1668">
        <v>-1.408045E-2</v>
      </c>
      <c r="P1668">
        <v>-0.9891915</v>
      </c>
      <c r="Q1668">
        <v>0.14641029999999999</v>
      </c>
      <c r="R1668">
        <v>8.0315609999999996E-3</v>
      </c>
      <c r="S1668">
        <v>-3.1868129999999999</v>
      </c>
      <c r="T1668">
        <v>-1.0502689999999999</v>
      </c>
      <c r="U1668">
        <v>0.28518680000000002</v>
      </c>
      <c r="V1668">
        <v>2.1994710000000001E-2</v>
      </c>
      <c r="W1668">
        <v>0.15611269999999999</v>
      </c>
      <c r="X1668">
        <v>0.98749430000000005</v>
      </c>
      <c r="Y1668">
        <v>9.7188730000000001E-2</v>
      </c>
      <c r="Z1668">
        <v>2.044296E-2</v>
      </c>
      <c r="AA1668">
        <v>0.99505600000000005</v>
      </c>
      <c r="AB1668">
        <v>33</v>
      </c>
      <c r="AC1668">
        <v>-0.43989999999999402</v>
      </c>
      <c r="AD1668">
        <v>-0.25702259999999999</v>
      </c>
      <c r="AE1668">
        <v>7.4800000000038794E-2</v>
      </c>
      <c r="AF1668">
        <v>6.0810797264042003E-2</v>
      </c>
      <c r="AG1668">
        <v>-0.25702259999999999</v>
      </c>
      <c r="AH1668">
        <v>0.32948509675835003</v>
      </c>
      <c r="AI1668">
        <v>127.492446674246</v>
      </c>
      <c r="AJ1668">
        <v>79.542986808881196</v>
      </c>
      <c r="AK1668">
        <v>0.42227834299251898</v>
      </c>
      <c r="AL1668">
        <v>81.018664807152206</v>
      </c>
      <c r="AM1668">
        <v>88.724047600264001</v>
      </c>
      <c r="AN1668">
        <v>0.99999996745088104</v>
      </c>
    </row>
    <row r="1669" spans="1:40" x14ac:dyDescent="0.25">
      <c r="A1669" t="str">
        <f>"20190303162812870"</f>
        <v>20190303162812870</v>
      </c>
      <c r="B1669" t="str">
        <f>"1551601692863193"</f>
        <v>1551601692863193</v>
      </c>
      <c r="C1669" t="s">
        <v>40</v>
      </c>
      <c r="D1669">
        <v>4.7352299999999996</v>
      </c>
      <c r="E1669">
        <v>0.53603029999999996</v>
      </c>
      <c r="F1669" t="s">
        <v>44</v>
      </c>
      <c r="G1669">
        <v>-242.68960000000001</v>
      </c>
      <c r="H1669">
        <v>0.87649539999999904</v>
      </c>
      <c r="I1669">
        <v>283.2269</v>
      </c>
      <c r="J1669">
        <v>-242.4297</v>
      </c>
      <c r="K1669">
        <v>1.120606</v>
      </c>
      <c r="L1669">
        <v>283.15190000000001</v>
      </c>
      <c r="M1669">
        <v>-0.9998551</v>
      </c>
      <c r="N1669">
        <v>-9.8800750000000003E-3</v>
      </c>
      <c r="O1669">
        <v>-1.386949E-2</v>
      </c>
      <c r="P1669">
        <v>-0.98920770000000002</v>
      </c>
      <c r="Q1669">
        <v>0.14620659999999999</v>
      </c>
      <c r="R1669">
        <v>9.5915889999999993E-3</v>
      </c>
      <c r="S1669">
        <v>-3.1855319999999998</v>
      </c>
      <c r="T1669">
        <v>-1.0481180000000001</v>
      </c>
      <c r="U1669">
        <v>0.292724599999999</v>
      </c>
      <c r="V1669">
        <v>2.335396E-2</v>
      </c>
      <c r="W1669">
        <v>0.155964299999999</v>
      </c>
      <c r="X1669">
        <v>0.98748650000000004</v>
      </c>
      <c r="Y1669">
        <v>9.9267460000000002E-2</v>
      </c>
      <c r="Z1669">
        <v>2.0689249999999999E-2</v>
      </c>
      <c r="AA1669">
        <v>0.99484570000000005</v>
      </c>
      <c r="AB1669">
        <v>33</v>
      </c>
      <c r="AC1669">
        <v>-0.25990000000001601</v>
      </c>
      <c r="AD1669">
        <v>-0.24411060000000001</v>
      </c>
      <c r="AE1669">
        <v>7.4999999999988604E-2</v>
      </c>
      <c r="AF1669">
        <v>4.3319495751508501E-2</v>
      </c>
      <c r="AG1669">
        <v>-0.24411060000000001</v>
      </c>
      <c r="AH1669">
        <v>0.14265810100524501</v>
      </c>
      <c r="AI1669">
        <v>148.58554654703801</v>
      </c>
      <c r="AJ1669">
        <v>73.108585668178804</v>
      </c>
      <c r="AK1669">
        <v>0.28603827982797603</v>
      </c>
      <c r="AL1669">
        <v>81.027272594559506</v>
      </c>
      <c r="AM1669">
        <v>88.645212916555494</v>
      </c>
      <c r="AN1669">
        <v>0.99999992900220802</v>
      </c>
    </row>
    <row r="1670" spans="1:40" x14ac:dyDescent="0.25">
      <c r="A1670" t="str">
        <f>"20190303162812892"</f>
        <v>20190303162812892</v>
      </c>
      <c r="B1670" t="str">
        <f>"1551601692883689"</f>
        <v>1551601692883689</v>
      </c>
      <c r="C1670" t="s">
        <v>40</v>
      </c>
      <c r="D1670">
        <v>4.6639660000000003</v>
      </c>
      <c r="E1670">
        <v>0.5359138</v>
      </c>
      <c r="F1670" t="s">
        <v>44</v>
      </c>
      <c r="G1670">
        <v>-243.27180000000001</v>
      </c>
      <c r="H1670">
        <v>0.84346540000000003</v>
      </c>
      <c r="I1670">
        <v>283.23129999999998</v>
      </c>
      <c r="J1670">
        <v>-242.7723</v>
      </c>
      <c r="K1670">
        <v>1.1206020000000001</v>
      </c>
      <c r="L1670">
        <v>283.14729999999997</v>
      </c>
      <c r="M1670">
        <v>-0.99985670000000004</v>
      </c>
      <c r="N1670">
        <v>-9.9171260000000001E-3</v>
      </c>
      <c r="O1670">
        <v>-1.371852E-2</v>
      </c>
      <c r="P1670">
        <v>-0.98913189999999995</v>
      </c>
      <c r="Q1670">
        <v>0.14664360000000001</v>
      </c>
      <c r="R1670">
        <v>1.065925E-2</v>
      </c>
      <c r="S1670">
        <v>-3.1847379999999998</v>
      </c>
      <c r="T1670">
        <v>-1.0479909999999999</v>
      </c>
      <c r="U1670">
        <v>0.29968260000000002</v>
      </c>
      <c r="V1670">
        <v>2.427472E-2</v>
      </c>
      <c r="W1670">
        <v>0.1564362</v>
      </c>
      <c r="X1670">
        <v>0.98738970000000004</v>
      </c>
      <c r="Y1670">
        <v>0.1011973</v>
      </c>
      <c r="Z1670">
        <v>2.0962990000000001E-2</v>
      </c>
      <c r="AA1670">
        <v>0.99464549999999996</v>
      </c>
      <c r="AB1670">
        <v>33</v>
      </c>
      <c r="AC1670">
        <v>-0.49950000000001099</v>
      </c>
      <c r="AD1670">
        <v>-0.27713660000000001</v>
      </c>
      <c r="AE1670">
        <v>8.40000000000031E-2</v>
      </c>
      <c r="AF1670">
        <v>6.9914637192924803E-2</v>
      </c>
      <c r="AG1670">
        <v>-0.27713660000000001</v>
      </c>
      <c r="AH1670">
        <v>0.38349461645285199</v>
      </c>
      <c r="AI1670">
        <v>125.41065277196</v>
      </c>
      <c r="AJ1670">
        <v>79.667917030776195</v>
      </c>
      <c r="AK1670">
        <v>0.47828952779848599</v>
      </c>
      <c r="AL1670">
        <v>80.999899202402204</v>
      </c>
      <c r="AM1670">
        <v>88.591681790544499</v>
      </c>
      <c r="AN1670">
        <v>0.99999998318380401</v>
      </c>
    </row>
    <row r="1671" spans="1:40" x14ac:dyDescent="0.25">
      <c r="A1671" t="str">
        <f>"20190303162812914"</f>
        <v>20190303162812914</v>
      </c>
      <c r="B1671" t="str">
        <f>"1551601692903208"</f>
        <v>1551601692903208</v>
      </c>
      <c r="C1671" t="s">
        <v>40</v>
      </c>
      <c r="D1671">
        <v>4.6535120000000001</v>
      </c>
      <c r="E1671">
        <v>0.53578899999999996</v>
      </c>
      <c r="F1671" t="s">
        <v>44</v>
      </c>
      <c r="G1671">
        <v>-243.57499999999999</v>
      </c>
      <c r="H1671">
        <v>0.85691509999999904</v>
      </c>
      <c r="I1671">
        <v>283.2242</v>
      </c>
      <c r="J1671">
        <v>-243.08760000000001</v>
      </c>
      <c r="K1671">
        <v>1.120601</v>
      </c>
      <c r="L1671">
        <v>283.1431</v>
      </c>
      <c r="M1671">
        <v>-0.99985840000000004</v>
      </c>
      <c r="N1671">
        <v>-9.948274E-3</v>
      </c>
      <c r="O1671">
        <v>-1.3580429999999999E-2</v>
      </c>
      <c r="P1671">
        <v>-0.98904570000000003</v>
      </c>
      <c r="Q1671">
        <v>0.1471577</v>
      </c>
      <c r="R1671">
        <v>1.154779E-2</v>
      </c>
      <c r="S1671">
        <v>-3.1847989999999999</v>
      </c>
      <c r="T1671">
        <v>-1.046171</v>
      </c>
      <c r="U1671">
        <v>0.303894</v>
      </c>
      <c r="V1671">
        <v>2.502805E-2</v>
      </c>
      <c r="W1671">
        <v>0.1569797</v>
      </c>
      <c r="X1671">
        <v>0.98728470000000002</v>
      </c>
      <c r="Y1671">
        <v>0.1023289</v>
      </c>
      <c r="Z1671">
        <v>2.107239E-2</v>
      </c>
      <c r="AA1671">
        <v>0.99452739999999995</v>
      </c>
      <c r="AB1671">
        <v>33</v>
      </c>
      <c r="AC1671">
        <v>-0.48739999999997902</v>
      </c>
      <c r="AD1671">
        <v>-0.26368589999999997</v>
      </c>
      <c r="AE1671">
        <v>8.1099999999992095E-2</v>
      </c>
      <c r="AF1671">
        <v>6.82688796855907E-2</v>
      </c>
      <c r="AG1671">
        <v>-0.26368589999999997</v>
      </c>
      <c r="AH1671">
        <v>0.37846599482262</v>
      </c>
      <c r="AI1671">
        <v>124.436762409907</v>
      </c>
      <c r="AJ1671">
        <v>79.774765038024796</v>
      </c>
      <c r="AK1671">
        <v>0.46629111403651202</v>
      </c>
      <c r="AL1671">
        <v>80.968370040598003</v>
      </c>
      <c r="AM1671">
        <v>88.547840790472705</v>
      </c>
      <c r="AN1671">
        <v>1.00000005417648</v>
      </c>
    </row>
    <row r="1672" spans="1:40" x14ac:dyDescent="0.25">
      <c r="A1672" t="str">
        <f>"20190303162812935"</f>
        <v>20190303162812935</v>
      </c>
      <c r="B1672" t="str">
        <f>"1551601692922729"</f>
        <v>1551601692922729</v>
      </c>
      <c r="C1672" t="s">
        <v>40</v>
      </c>
      <c r="D1672">
        <v>4.6506049999999997</v>
      </c>
      <c r="E1672">
        <v>0.53558669999999997</v>
      </c>
      <c r="F1672" t="s">
        <v>44</v>
      </c>
      <c r="G1672">
        <v>-243.87530000000001</v>
      </c>
      <c r="H1672">
        <v>0.86212429999999995</v>
      </c>
      <c r="I1672">
        <v>283.21910000000003</v>
      </c>
      <c r="J1672">
        <v>-243.41130000000001</v>
      </c>
      <c r="K1672">
        <v>1.120611</v>
      </c>
      <c r="L1672">
        <v>283.1388</v>
      </c>
      <c r="M1672">
        <v>-0.99985990000000002</v>
      </c>
      <c r="N1672">
        <v>-9.98017E-3</v>
      </c>
      <c r="O1672">
        <v>-1.3439980000000001E-2</v>
      </c>
      <c r="P1672">
        <v>-0.9888266</v>
      </c>
      <c r="Q1672">
        <v>0.14863979999999999</v>
      </c>
      <c r="R1672">
        <v>1.13332E-2</v>
      </c>
      <c r="S1672">
        <v>-3.1851500000000001</v>
      </c>
      <c r="T1672">
        <v>-1.0450969999999999</v>
      </c>
      <c r="U1672">
        <v>0.3067627</v>
      </c>
      <c r="V1672">
        <v>2.4674129999999999E-2</v>
      </c>
      <c r="W1672">
        <v>0.15849070000000001</v>
      </c>
      <c r="X1672">
        <v>0.98705209999999999</v>
      </c>
      <c r="Y1672">
        <v>0.1030484</v>
      </c>
      <c r="Z1672">
        <v>2.1125499999999998E-2</v>
      </c>
      <c r="AA1672">
        <v>0.994452</v>
      </c>
      <c r="AB1672">
        <v>33</v>
      </c>
      <c r="AC1672">
        <v>-0.46399999999999803</v>
      </c>
      <c r="AD1672">
        <v>-0.25848670000000001</v>
      </c>
      <c r="AE1672">
        <v>8.0300000000022395E-2</v>
      </c>
      <c r="AF1672">
        <v>6.6493540508391097E-2</v>
      </c>
      <c r="AG1672">
        <v>-0.25848670000000001</v>
      </c>
      <c r="AH1672">
        <v>0.35570013019187802</v>
      </c>
      <c r="AI1672">
        <v>125.539142921673</v>
      </c>
      <c r="AJ1672">
        <v>79.411505951098903</v>
      </c>
      <c r="AK1672">
        <v>0.44470141401253699</v>
      </c>
      <c r="AL1672">
        <v>80.880697924382901</v>
      </c>
      <c r="AM1672">
        <v>88.568029844987706</v>
      </c>
      <c r="AN1672">
        <v>0.99999998139607804</v>
      </c>
    </row>
    <row r="1673" spans="1:40" x14ac:dyDescent="0.25">
      <c r="A1673" t="str">
        <f>"20190303162812958"</f>
        <v>20190303162812958</v>
      </c>
      <c r="B1673" t="str">
        <f>"1551601692952985"</f>
        <v>1551601692952985</v>
      </c>
      <c r="C1673" t="s">
        <v>40</v>
      </c>
      <c r="D1673">
        <v>4.5931629999999997</v>
      </c>
      <c r="E1673">
        <v>0.53528959999999903</v>
      </c>
      <c r="F1673" t="s">
        <v>44</v>
      </c>
      <c r="G1673">
        <v>-244.1771</v>
      </c>
      <c r="H1673">
        <v>0.87040379999999995</v>
      </c>
      <c r="I1673">
        <v>283.21280000000002</v>
      </c>
      <c r="J1673">
        <v>-243.76400000000001</v>
      </c>
      <c r="K1673">
        <v>1.1206210000000001</v>
      </c>
      <c r="L1673">
        <v>283.13420000000002</v>
      </c>
      <c r="M1673">
        <v>-0.99986169999999996</v>
      </c>
      <c r="N1673">
        <v>-1.001669E-2</v>
      </c>
      <c r="O1673">
        <v>-1.328812E-2</v>
      </c>
      <c r="P1673">
        <v>-0.98864569999999996</v>
      </c>
      <c r="Q1673">
        <v>0.1499077</v>
      </c>
      <c r="R1673">
        <v>1.0391279999999999E-2</v>
      </c>
      <c r="S1673">
        <v>-3.1869350000000001</v>
      </c>
      <c r="T1673">
        <v>-1.041339</v>
      </c>
      <c r="U1673">
        <v>0.30688480000000001</v>
      </c>
      <c r="V1673">
        <v>2.358174E-2</v>
      </c>
      <c r="W1673">
        <v>0.1597933</v>
      </c>
      <c r="X1673">
        <v>0.98686879999999999</v>
      </c>
      <c r="Y1673">
        <v>0.10294399999999999</v>
      </c>
      <c r="Z1673">
        <v>2.0981070000000001E-2</v>
      </c>
      <c r="AA1673">
        <v>0.99446579999999996</v>
      </c>
      <c r="AB1673">
        <v>33</v>
      </c>
      <c r="AC1673">
        <v>-0.41309999999998498</v>
      </c>
      <c r="AD1673">
        <v>-0.25021719999999897</v>
      </c>
      <c r="AE1673">
        <v>7.8599999999994397E-2</v>
      </c>
      <c r="AF1673">
        <v>6.2096603337073897E-2</v>
      </c>
      <c r="AG1673">
        <v>-0.25021719999999897</v>
      </c>
      <c r="AH1673">
        <v>0.30428370150332001</v>
      </c>
      <c r="AI1673">
        <v>128.85871083264001</v>
      </c>
      <c r="AJ1673">
        <v>78.465760995050601</v>
      </c>
      <c r="AK1673">
        <v>0.39881475188664101</v>
      </c>
      <c r="AL1673">
        <v>80.805101296425704</v>
      </c>
      <c r="AM1673">
        <v>88.631148233993002</v>
      </c>
      <c r="AN1673">
        <v>1.0000000127998701</v>
      </c>
    </row>
    <row r="1674" spans="1:40" x14ac:dyDescent="0.25">
      <c r="A1674" t="str">
        <f>"20190303162812981"</f>
        <v>20190303162812981</v>
      </c>
      <c r="B1674" t="str">
        <f>"1551601692973481"</f>
        <v>1551601692973481</v>
      </c>
      <c r="C1674" t="s">
        <v>40</v>
      </c>
      <c r="D1674">
        <v>4.4718929999999997</v>
      </c>
      <c r="E1674">
        <v>0.53523449999999995</v>
      </c>
      <c r="F1674" t="s">
        <v>44</v>
      </c>
      <c r="G1674">
        <v>-244.4821</v>
      </c>
      <c r="H1674">
        <v>0.88631990000000005</v>
      </c>
      <c r="I1674">
        <v>283.2029</v>
      </c>
      <c r="J1674">
        <v>-244.09289999999999</v>
      </c>
      <c r="K1674">
        <v>1.120633</v>
      </c>
      <c r="L1674">
        <v>283.12990000000002</v>
      </c>
      <c r="M1674">
        <v>-0.99986319999999995</v>
      </c>
      <c r="N1674">
        <v>-1.004992E-2</v>
      </c>
      <c r="O1674">
        <v>-1.3140870000000001E-2</v>
      </c>
      <c r="P1674">
        <v>-0.98827089999999995</v>
      </c>
      <c r="Q1674">
        <v>0.15248510000000001</v>
      </c>
      <c r="R1674">
        <v>8.3067719999999901E-3</v>
      </c>
      <c r="S1674">
        <v>-3.189041</v>
      </c>
      <c r="T1674">
        <v>-1.0405199999999999</v>
      </c>
      <c r="U1674">
        <v>0.30493160000000002</v>
      </c>
      <c r="V1674">
        <v>2.134979E-2</v>
      </c>
      <c r="W1674">
        <v>0.1624005</v>
      </c>
      <c r="X1674">
        <v>0.98649390000000003</v>
      </c>
      <c r="Y1674">
        <v>0.1021946</v>
      </c>
      <c r="Z1674">
        <v>2.0786570000000001E-2</v>
      </c>
      <c r="AA1674">
        <v>0.99454719999999996</v>
      </c>
      <c r="AB1674">
        <v>33</v>
      </c>
      <c r="AC1674">
        <v>-0.38920000000001598</v>
      </c>
      <c r="AD1674">
        <v>-0.234313099999999</v>
      </c>
      <c r="AE1674">
        <v>7.2999999999978998E-2</v>
      </c>
      <c r="AF1674">
        <v>5.7852415081604103E-2</v>
      </c>
      <c r="AG1674">
        <v>-0.234313099999999</v>
      </c>
      <c r="AH1674">
        <v>0.28753272941497199</v>
      </c>
      <c r="AI1674">
        <v>128.62132218024001</v>
      </c>
      <c r="AJ1674">
        <v>78.623813351208099</v>
      </c>
      <c r="AK1674">
        <v>0.37539925578936301</v>
      </c>
      <c r="AL1674">
        <v>80.6537423863155</v>
      </c>
      <c r="AM1674">
        <v>88.760193112472294</v>
      </c>
      <c r="AN1674">
        <v>0.99999997533525098</v>
      </c>
    </row>
    <row r="1675" spans="1:40" x14ac:dyDescent="0.25">
      <c r="A1675" t="str">
        <f>"20190303162813114"</f>
        <v>20190303162813114</v>
      </c>
      <c r="B1675" t="str">
        <f>"1551601693103522"</f>
        <v>1551601693103522</v>
      </c>
      <c r="C1675" t="s">
        <v>40</v>
      </c>
      <c r="D1675">
        <v>4.3206150000000001</v>
      </c>
      <c r="E1675">
        <v>0.50317920000000005</v>
      </c>
      <c r="F1675" t="s">
        <v>44</v>
      </c>
      <c r="G1675">
        <v>-246.6507</v>
      </c>
      <c r="H1675">
        <v>1.0324439999999999</v>
      </c>
      <c r="I1675">
        <v>283.11130000000003</v>
      </c>
      <c r="J1675">
        <v>-246.09010000000001</v>
      </c>
      <c r="K1675">
        <v>1.1204829999999999</v>
      </c>
      <c r="L1675">
        <v>283.10629999999998</v>
      </c>
      <c r="M1675">
        <v>-0.99988310000000002</v>
      </c>
      <c r="N1675">
        <v>-1.0199659999999999E-2</v>
      </c>
      <c r="O1675">
        <v>-1.139765E-2</v>
      </c>
      <c r="P1675">
        <v>-0.98676070000000005</v>
      </c>
      <c r="Q1675">
        <v>0.16218279999999999</v>
      </c>
      <c r="R1675">
        <v>7.1094229999999999E-4</v>
      </c>
      <c r="S1675">
        <v>-3.0893709999999999</v>
      </c>
      <c r="T1675">
        <v>-0.30659769999999997</v>
      </c>
      <c r="U1675">
        <v>3.8146970000000001E-3</v>
      </c>
      <c r="V1675">
        <v>1.2110920000000001E-2</v>
      </c>
      <c r="W1675">
        <v>0.17222779999999999</v>
      </c>
      <c r="X1675">
        <v>0.98498269999999999</v>
      </c>
      <c r="Y1675">
        <v>1.252001E-2</v>
      </c>
      <c r="Z1675">
        <v>1.6961070000000001E-3</v>
      </c>
      <c r="AA1675">
        <v>0.99992020000000004</v>
      </c>
      <c r="AB1675">
        <v>34</v>
      </c>
      <c r="AC1675">
        <v>-0.56059999999999299</v>
      </c>
      <c r="AD1675">
        <v>-8.8038999999999701E-2</v>
      </c>
      <c r="AE1675">
        <v>5.0000000000522899E-3</v>
      </c>
      <c r="AF1675">
        <v>1.11154132377322E-2</v>
      </c>
      <c r="AG1675">
        <v>-8.8038999999999701E-2</v>
      </c>
      <c r="AH1675">
        <v>0.54701665114138198</v>
      </c>
      <c r="AI1675">
        <v>99.141146245615204</v>
      </c>
      <c r="AJ1675">
        <v>88.8359063085923</v>
      </c>
      <c r="AK1675">
        <v>0.55416751488911498</v>
      </c>
      <c r="AL1675">
        <v>80.082626656045505</v>
      </c>
      <c r="AM1675">
        <v>89.295551447952406</v>
      </c>
      <c r="AN1675">
        <v>1.00000000438768</v>
      </c>
    </row>
    <row r="1676" spans="1:40" x14ac:dyDescent="0.25">
      <c r="A1676" t="str">
        <f>"20190303162813137"</f>
        <v>20190303162813137</v>
      </c>
      <c r="B1676" t="str">
        <f>"1551601693132802"</f>
        <v>1551601693132802</v>
      </c>
      <c r="C1676" t="s">
        <v>40</v>
      </c>
      <c r="D1676">
        <v>4.377313</v>
      </c>
      <c r="E1676">
        <v>0.50307829999999998</v>
      </c>
      <c r="F1676" t="s">
        <v>49</v>
      </c>
      <c r="G1676">
        <v>-282.26119999999997</v>
      </c>
      <c r="H1676" s="1">
        <v>7.6510470000000003E-6</v>
      </c>
      <c r="I1676">
        <v>283.39890000000003</v>
      </c>
      <c r="J1676">
        <v>-246.43389999999999</v>
      </c>
      <c r="K1676">
        <v>1.1204229999999999</v>
      </c>
      <c r="L1676">
        <v>283.10289999999998</v>
      </c>
      <c r="M1676">
        <v>-0.99988900000000003</v>
      </c>
      <c r="N1676">
        <v>-1.021792E-2</v>
      </c>
      <c r="O1676">
        <v>-1.086061E-2</v>
      </c>
      <c r="P1676">
        <v>-0.98662780000000005</v>
      </c>
      <c r="Q1676">
        <v>0.1629871</v>
      </c>
      <c r="R1676">
        <v>1.0702540000000001E-3</v>
      </c>
      <c r="S1676">
        <v>-3.0557859999999999</v>
      </c>
      <c r="T1676">
        <v>-9.465933E-2</v>
      </c>
      <c r="U1676">
        <v>2.471924E-2</v>
      </c>
      <c r="V1676">
        <v>1.1965719999999999E-2</v>
      </c>
      <c r="W1676">
        <v>0.1730469</v>
      </c>
      <c r="X1676">
        <v>0.98484090000000002</v>
      </c>
      <c r="Y1676">
        <v>1.8934989999999999E-2</v>
      </c>
      <c r="Z1676">
        <v>6.1535940000000003E-4</v>
      </c>
      <c r="AA1676">
        <v>0.9998205</v>
      </c>
      <c r="AB1676">
        <v>34</v>
      </c>
      <c r="AC1676">
        <v>-35.827299999999902</v>
      </c>
      <c r="AD1676">
        <v>-1.120415348953</v>
      </c>
      <c r="AE1676">
        <v>0.296000000000049</v>
      </c>
      <c r="AF1676">
        <v>0.68443979249674003</v>
      </c>
      <c r="AG1676">
        <v>-1.120415348953</v>
      </c>
      <c r="AH1676">
        <v>35.786975289466099</v>
      </c>
      <c r="AI1676">
        <v>91.792897620228302</v>
      </c>
      <c r="AJ1676">
        <v>88.9043295570509</v>
      </c>
      <c r="AK1676">
        <v>35.811051209823198</v>
      </c>
      <c r="AL1676">
        <v>80.034980281176104</v>
      </c>
      <c r="AM1676">
        <v>89.303896169997401</v>
      </c>
      <c r="AN1676">
        <v>1.0000000031837599</v>
      </c>
    </row>
    <row r="1677" spans="1:40" x14ac:dyDescent="0.25">
      <c r="A1677" t="str">
        <f>"20190303162813160"</f>
        <v>20190303162813160</v>
      </c>
      <c r="B1677" t="str">
        <f>"1551601693153298"</f>
        <v>1551601693153298</v>
      </c>
      <c r="C1677" t="s">
        <v>40</v>
      </c>
      <c r="D1677">
        <v>4.3447579999999997</v>
      </c>
      <c r="E1677">
        <v>0.50185500000000005</v>
      </c>
      <c r="F1677" t="s">
        <v>49</v>
      </c>
      <c r="G1677">
        <v>-318.41890000000001</v>
      </c>
      <c r="H1677" s="1">
        <v>6.0295810000000004E-6</v>
      </c>
      <c r="I1677">
        <v>283.71109999999999</v>
      </c>
      <c r="J1677">
        <v>-246.77930000000001</v>
      </c>
      <c r="K1677">
        <v>1.120357</v>
      </c>
      <c r="L1677">
        <v>283.09969999999998</v>
      </c>
      <c r="M1677">
        <v>-0.99989530000000004</v>
      </c>
      <c r="N1677">
        <v>-1.0234500000000001E-2</v>
      </c>
      <c r="O1677">
        <v>-1.0239369999999999E-2</v>
      </c>
      <c r="P1677">
        <v>-0.98649640000000005</v>
      </c>
      <c r="Q1677">
        <v>0.16375479999999901</v>
      </c>
      <c r="R1677">
        <v>3.0820499999999998E-3</v>
      </c>
      <c r="S1677">
        <v>-3.0484770000000001</v>
      </c>
      <c r="T1677">
        <v>-4.7448280000000002E-2</v>
      </c>
      <c r="U1677">
        <v>2.575684E-2</v>
      </c>
      <c r="V1677">
        <v>1.3391790000000001E-2</v>
      </c>
      <c r="W1677">
        <v>0.17382549999999999</v>
      </c>
      <c r="X1677">
        <v>0.98468540000000004</v>
      </c>
      <c r="Y1677">
        <v>1.8683979999999999E-2</v>
      </c>
      <c r="Z1677">
        <v>2.955821E-4</v>
      </c>
      <c r="AA1677">
        <v>0.99982539999999998</v>
      </c>
      <c r="AB1677">
        <v>34</v>
      </c>
      <c r="AC1677">
        <v>-71.639600000000002</v>
      </c>
      <c r="AD1677">
        <v>-1.120350970419</v>
      </c>
      <c r="AE1677">
        <v>0.61140000000000305</v>
      </c>
      <c r="AF1677">
        <v>1.34462183357134</v>
      </c>
      <c r="AG1677">
        <v>-1.120350970419</v>
      </c>
      <c r="AH1677">
        <v>71.612070478541398</v>
      </c>
      <c r="AI1677">
        <v>90.896145519203699</v>
      </c>
      <c r="AJ1677">
        <v>88.924313963609094</v>
      </c>
      <c r="AK1677">
        <v>71.633454700969196</v>
      </c>
      <c r="AL1677">
        <v>79.989683189513102</v>
      </c>
      <c r="AM1677">
        <v>89.220821446406703</v>
      </c>
      <c r="AN1677">
        <v>0.999999990731407</v>
      </c>
    </row>
    <row r="1678" spans="1:40" x14ac:dyDescent="0.25">
      <c r="A1678" t="str">
        <f>"20190303162813182"</f>
        <v>20190303162813182</v>
      </c>
      <c r="B1678" t="str">
        <f>"1551601693172818"</f>
        <v>1551601693172818</v>
      </c>
      <c r="C1678" t="s">
        <v>40</v>
      </c>
      <c r="D1678">
        <v>4.336144</v>
      </c>
      <c r="E1678">
        <v>0.50160159999999998</v>
      </c>
      <c r="F1678" t="s">
        <v>48</v>
      </c>
      <c r="G1678">
        <v>-358.92079999999999</v>
      </c>
      <c r="H1678" s="1">
        <v>3.210422E-6</v>
      </c>
      <c r="I1678">
        <v>283.90190000000001</v>
      </c>
      <c r="J1678">
        <v>-247.1198</v>
      </c>
      <c r="K1678">
        <v>1.120285</v>
      </c>
      <c r="L1678">
        <v>283.09690000000001</v>
      </c>
      <c r="M1678">
        <v>-0.99990190000000001</v>
      </c>
      <c r="N1678">
        <v>-1.0249390000000001E-2</v>
      </c>
      <c r="O1678">
        <v>-9.5495930000000003E-3</v>
      </c>
      <c r="P1678">
        <v>-0.98644699999999996</v>
      </c>
      <c r="Q1678">
        <v>0.16400729999999999</v>
      </c>
      <c r="R1678">
        <v>4.9483180000000002E-3</v>
      </c>
      <c r="S1678">
        <v>-3.046036</v>
      </c>
      <c r="T1678">
        <v>-3.0431509999999998E-2</v>
      </c>
      <c r="U1678">
        <v>2.1789550000000001E-2</v>
      </c>
      <c r="V1678">
        <v>1.460505E-2</v>
      </c>
      <c r="W1678">
        <v>0.17408889999999999</v>
      </c>
      <c r="X1678">
        <v>0.98462159999999999</v>
      </c>
      <c r="Y1678">
        <v>1.6701069999999998E-2</v>
      </c>
      <c r="Z1678">
        <v>1.6654110000000001E-4</v>
      </c>
      <c r="AA1678">
        <v>0.99986050000000004</v>
      </c>
      <c r="AB1678">
        <v>34</v>
      </c>
      <c r="AC1678">
        <v>-111.801</v>
      </c>
      <c r="AD1678">
        <v>-1.120281789578</v>
      </c>
      <c r="AE1678">
        <v>0.80500000000000604</v>
      </c>
      <c r="AF1678">
        <v>1.8724853898123699</v>
      </c>
      <c r="AG1678">
        <v>-1.120281789578</v>
      </c>
      <c r="AH1678">
        <v>111.776991102192</v>
      </c>
      <c r="AI1678">
        <v>90.574145582928793</v>
      </c>
      <c r="AJ1678">
        <v>89.040272287964001</v>
      </c>
      <c r="AK1678">
        <v>111.79828698456301</v>
      </c>
      <c r="AL1678">
        <v>79.974357647727402</v>
      </c>
      <c r="AM1678">
        <v>89.150184842113603</v>
      </c>
      <c r="AN1678">
        <v>0.99999997388763495</v>
      </c>
    </row>
    <row r="1679" spans="1:40" x14ac:dyDescent="0.25">
      <c r="A1679" t="str">
        <f>"20190303162813205"</f>
        <v>20190303162813205</v>
      </c>
      <c r="B1679" t="str">
        <f>"1551601693193314"</f>
        <v>1551601693193314</v>
      </c>
      <c r="C1679" t="s">
        <v>40</v>
      </c>
      <c r="D1679">
        <v>4.3239640000000001</v>
      </c>
      <c r="E1679">
        <v>0.50125520000000001</v>
      </c>
      <c r="F1679" t="s">
        <v>48</v>
      </c>
      <c r="G1679">
        <v>-399.68610000000001</v>
      </c>
      <c r="H1679" s="1">
        <v>3.617666E-6</v>
      </c>
      <c r="I1679">
        <v>284.3646</v>
      </c>
      <c r="J1679">
        <v>-247.4462</v>
      </c>
      <c r="K1679">
        <v>1.1202270000000001</v>
      </c>
      <c r="L1679">
        <v>283.09449999999998</v>
      </c>
      <c r="M1679">
        <v>-0.99990849999999998</v>
      </c>
      <c r="N1679">
        <v>-1.026227E-2</v>
      </c>
      <c r="O1679">
        <v>-8.8199439999999997E-3</v>
      </c>
      <c r="P1679">
        <v>-0.98632030000000004</v>
      </c>
      <c r="Q1679">
        <v>0.16472719999999999</v>
      </c>
      <c r="R1679">
        <v>6.1171100000000003E-3</v>
      </c>
      <c r="S1679">
        <v>-3.0448149999999998</v>
      </c>
      <c r="T1679">
        <v>-2.235782E-2</v>
      </c>
      <c r="U1679">
        <v>2.529907E-2</v>
      </c>
      <c r="V1679">
        <v>1.50791E-2</v>
      </c>
      <c r="W1679">
        <v>0.1748171</v>
      </c>
      <c r="X1679">
        <v>0.98448539999999995</v>
      </c>
      <c r="Y1679">
        <v>1.712725E-2</v>
      </c>
      <c r="Z1679">
        <v>1.25017099999999E-4</v>
      </c>
      <c r="AA1679">
        <v>0.99985329999999994</v>
      </c>
      <c r="AB1679">
        <v>34</v>
      </c>
      <c r="AC1679">
        <v>-152.23990000000001</v>
      </c>
      <c r="AD1679">
        <v>-1.120223382334</v>
      </c>
      <c r="AE1679">
        <v>1.27010000000001</v>
      </c>
      <c r="AF1679">
        <v>2.6127271649121302</v>
      </c>
      <c r="AG1679">
        <v>-1.120223382334</v>
      </c>
      <c r="AH1679">
        <v>152.214534016095</v>
      </c>
      <c r="AI1679">
        <v>90.421598771329698</v>
      </c>
      <c r="AJ1679">
        <v>89.016627805568206</v>
      </c>
      <c r="AK1679">
        <v>152.24107727351901</v>
      </c>
      <c r="AL1679">
        <v>79.931984856778399</v>
      </c>
      <c r="AM1679">
        <v>89.122484462095599</v>
      </c>
      <c r="AN1679">
        <v>0.99999995026118804</v>
      </c>
    </row>
    <row r="1680" spans="1:40" x14ac:dyDescent="0.25">
      <c r="A1680" t="str">
        <f>"20190303162813226"</f>
        <v>20190303162813226</v>
      </c>
      <c r="B1680" t="str">
        <f>"1551601693212834"</f>
        <v>1551601693212834</v>
      </c>
      <c r="C1680" t="s">
        <v>40</v>
      </c>
      <c r="D1680">
        <v>4.3083489999999998</v>
      </c>
      <c r="E1680">
        <v>0.50109879999999996</v>
      </c>
      <c r="F1680" t="s">
        <v>47</v>
      </c>
      <c r="G1680">
        <v>-476.1651</v>
      </c>
      <c r="H1680" s="1">
        <v>3.9234929999999998E-6</v>
      </c>
      <c r="I1680">
        <v>285.11239999999998</v>
      </c>
      <c r="J1680">
        <v>-247.77940000000001</v>
      </c>
      <c r="K1680">
        <v>1.1201650000000001</v>
      </c>
      <c r="L1680">
        <v>283.09230000000002</v>
      </c>
      <c r="M1680">
        <v>-0.9999152</v>
      </c>
      <c r="N1680">
        <v>-1.0274169999999999E-2</v>
      </c>
      <c r="O1680">
        <v>-8.0130919999999994E-3</v>
      </c>
      <c r="P1680">
        <v>-0.9861181</v>
      </c>
      <c r="Q1680">
        <v>0.16588910000000001</v>
      </c>
      <c r="R1680">
        <v>7.209371E-3</v>
      </c>
      <c r="S1680">
        <v>-3.0439449999999999</v>
      </c>
      <c r="T1680">
        <v>-1.4908670000000001E-2</v>
      </c>
      <c r="U1680">
        <v>2.6855469999999999E-2</v>
      </c>
      <c r="V1680">
        <v>1.5399670000000001E-2</v>
      </c>
      <c r="W1680">
        <v>0.17598610000000001</v>
      </c>
      <c r="X1680">
        <v>0.98427220000000004</v>
      </c>
      <c r="Y1680">
        <v>1.6834419999999999E-2</v>
      </c>
      <c r="Z1680" s="1">
        <v>8.4627039999999896E-5</v>
      </c>
      <c r="AA1680">
        <v>0.99985829999999998</v>
      </c>
      <c r="AB1680">
        <v>34</v>
      </c>
      <c r="AC1680">
        <v>-228.38570000000001</v>
      </c>
      <c r="AD1680">
        <v>-1.12016107650699</v>
      </c>
      <c r="AE1680">
        <v>2.02009999999995</v>
      </c>
      <c r="AF1680">
        <v>3.8501145889085899</v>
      </c>
      <c r="AG1680">
        <v>-1.12016107650699</v>
      </c>
      <c r="AH1680">
        <v>228.35668581195699</v>
      </c>
      <c r="AI1680">
        <v>90.281011555095802</v>
      </c>
      <c r="AJ1680">
        <v>89.034079440119996</v>
      </c>
      <c r="AK1680">
        <v>228.39188711118001</v>
      </c>
      <c r="AL1680">
        <v>79.863951973851002</v>
      </c>
      <c r="AM1680">
        <v>89.103638087111804</v>
      </c>
      <c r="AN1680">
        <v>1.00000001046107</v>
      </c>
    </row>
    <row r="1681" spans="1:40" x14ac:dyDescent="0.25">
      <c r="A1681" t="str">
        <f>"20190303162813250"</f>
        <v>20190303162813250</v>
      </c>
      <c r="B1681" t="str">
        <f>"1551601693243090"</f>
        <v>1551601693243090</v>
      </c>
      <c r="C1681" t="s">
        <v>40</v>
      </c>
      <c r="D1681">
        <v>4.3372460000000004</v>
      </c>
      <c r="E1681">
        <v>0.50057609999999997</v>
      </c>
      <c r="F1681" t="s">
        <v>50</v>
      </c>
      <c r="G1681">
        <v>-835.36860000000001</v>
      </c>
      <c r="H1681">
        <v>-0.1</v>
      </c>
      <c r="I1681">
        <v>288.80220000000003</v>
      </c>
      <c r="J1681">
        <v>-248.14609999999999</v>
      </c>
      <c r="K1681">
        <v>1.120117</v>
      </c>
      <c r="L1681">
        <v>283.09030000000001</v>
      </c>
      <c r="M1681">
        <v>-0.99992210000000004</v>
      </c>
      <c r="N1681">
        <v>-1.0286119999999999E-2</v>
      </c>
      <c r="O1681">
        <v>-7.0699079999999997E-3</v>
      </c>
      <c r="P1681">
        <v>-0.9858481</v>
      </c>
      <c r="Q1681">
        <v>0.167374</v>
      </c>
      <c r="R1681">
        <v>9.4674070000000006E-3</v>
      </c>
      <c r="S1681">
        <v>-3.043091</v>
      </c>
      <c r="T1681">
        <v>-6.3191649999999999E-3</v>
      </c>
      <c r="U1681">
        <v>2.9571529999999999E-2</v>
      </c>
      <c r="V1681">
        <v>1.6751169999999999E-2</v>
      </c>
      <c r="W1681">
        <v>0.17747569999999999</v>
      </c>
      <c r="X1681">
        <v>0.98398260000000004</v>
      </c>
      <c r="Y1681">
        <v>1.6786390000000002E-2</v>
      </c>
      <c r="Z1681" s="1">
        <v>4.5725330000000003E-5</v>
      </c>
      <c r="AA1681">
        <v>0.9998591</v>
      </c>
      <c r="AB1681">
        <v>34</v>
      </c>
      <c r="AC1681">
        <v>-587.22249999999997</v>
      </c>
      <c r="AD1681">
        <v>-1.2201169999999999</v>
      </c>
      <c r="AE1681">
        <v>5.7119000000000097</v>
      </c>
      <c r="AF1681">
        <v>9.8635433635673895</v>
      </c>
      <c r="AG1681">
        <v>-1.2201169999999999</v>
      </c>
      <c r="AH1681">
        <v>587.16490313068402</v>
      </c>
      <c r="AI1681">
        <v>90.119042524594207</v>
      </c>
      <c r="AJ1681">
        <v>89.037602124442301</v>
      </c>
      <c r="AK1681">
        <v>587.24901161402101</v>
      </c>
      <c r="AL1681">
        <v>79.777239049190698</v>
      </c>
      <c r="AM1681">
        <v>89.024699581609994</v>
      </c>
      <c r="AN1681">
        <v>0.999999991444809</v>
      </c>
    </row>
    <row r="1682" spans="1:40" x14ac:dyDescent="0.25">
      <c r="A1682" t="str">
        <f>"20190303162813272"</f>
        <v>20190303162813272</v>
      </c>
      <c r="B1682" t="str">
        <f>"1551601693263586"</f>
        <v>1551601693263586</v>
      </c>
      <c r="C1682" t="s">
        <v>40</v>
      </c>
      <c r="D1682">
        <v>4.314667</v>
      </c>
      <c r="E1682">
        <v>0.50027290000000002</v>
      </c>
      <c r="F1682" t="s">
        <v>45</v>
      </c>
      <c r="G1682">
        <v>0</v>
      </c>
      <c r="H1682">
        <v>0</v>
      </c>
      <c r="I1682">
        <v>0</v>
      </c>
      <c r="J1682">
        <v>-248.4836</v>
      </c>
      <c r="K1682">
        <v>1.120077</v>
      </c>
      <c r="L1682">
        <v>283.08870000000002</v>
      </c>
      <c r="M1682">
        <v>-0.99992820000000004</v>
      </c>
      <c r="N1682">
        <v>-1.029617E-2</v>
      </c>
      <c r="O1682">
        <v>-6.1513499999999999E-3</v>
      </c>
      <c r="P1682">
        <v>-0.98561270000000001</v>
      </c>
      <c r="Q1682">
        <v>0.1685817</v>
      </c>
      <c r="R1682">
        <v>1.2160010000000001E-2</v>
      </c>
      <c r="S1682">
        <v>-3.0418240000000001</v>
      </c>
      <c r="T1682">
        <v>5.6060550000000004E-3</v>
      </c>
      <c r="U1682">
        <v>3.1738280000000001E-2</v>
      </c>
      <c r="V1682">
        <v>1.8558660000000001E-2</v>
      </c>
      <c r="W1682">
        <v>0.17868539999999999</v>
      </c>
      <c r="X1682">
        <v>0.98373120000000003</v>
      </c>
      <c r="Y1682">
        <v>1.6584209999999999E-2</v>
      </c>
      <c r="Z1682" s="1">
        <v>-4.5719929999999996E-6</v>
      </c>
      <c r="AA1682">
        <v>0.99986249999999999</v>
      </c>
      <c r="AB1682">
        <v>34</v>
      </c>
      <c r="AC1682">
        <v>-3.0418240000000001</v>
      </c>
      <c r="AD1682">
        <v>5.6060550000000004E-3</v>
      </c>
      <c r="AE1682">
        <v>3.1738280000000001E-2</v>
      </c>
      <c r="AF1682">
        <v>5.0449821672495697E-2</v>
      </c>
      <c r="AG1682">
        <v>5.6060550000000004E-3</v>
      </c>
      <c r="AH1682">
        <v>3.04156086993199</v>
      </c>
      <c r="AI1682">
        <v>89.894409888426694</v>
      </c>
      <c r="AJ1682">
        <v>89.049732377523895</v>
      </c>
      <c r="AK1682">
        <v>3.0419844078924601</v>
      </c>
      <c r="AL1682">
        <v>79.706802407356804</v>
      </c>
      <c r="AM1682">
        <v>88.919210076861106</v>
      </c>
      <c r="AN1682">
        <v>0.99999998494379705</v>
      </c>
    </row>
    <row r="1683" spans="1:40" x14ac:dyDescent="0.25">
      <c r="A1683" t="str">
        <f>"20190303162813293"</f>
        <v>20190303162813293</v>
      </c>
      <c r="B1683" t="str">
        <f>"1551601693283106"</f>
        <v>1551601693283106</v>
      </c>
      <c r="C1683" t="s">
        <v>40</v>
      </c>
      <c r="D1683">
        <v>4.3663889999999999</v>
      </c>
      <c r="E1683">
        <v>0.49992750000000002</v>
      </c>
      <c r="F1683" t="s">
        <v>45</v>
      </c>
      <c r="G1683">
        <v>0</v>
      </c>
      <c r="H1683">
        <v>0</v>
      </c>
      <c r="I1683">
        <v>0</v>
      </c>
      <c r="J1683">
        <v>-248.80289999999999</v>
      </c>
      <c r="K1683">
        <v>1.120036</v>
      </c>
      <c r="L1683">
        <v>283.08760000000001</v>
      </c>
      <c r="M1683">
        <v>-0.99993330000000002</v>
      </c>
      <c r="N1683">
        <v>-1.030494E-2</v>
      </c>
      <c r="O1683">
        <v>-5.2301580000000004E-3</v>
      </c>
      <c r="P1683">
        <v>-0.98552580000000001</v>
      </c>
      <c r="Q1683">
        <v>0.1688742</v>
      </c>
      <c r="R1683">
        <v>1.485702E-2</v>
      </c>
      <c r="S1683">
        <v>-3.041229</v>
      </c>
      <c r="T1683">
        <v>1.223934E-2</v>
      </c>
      <c r="U1683">
        <v>3.6956790000000003E-2</v>
      </c>
      <c r="V1683">
        <v>2.0368500000000001E-2</v>
      </c>
      <c r="W1683">
        <v>0.17897950000000001</v>
      </c>
      <c r="X1683">
        <v>0.98364189999999996</v>
      </c>
      <c r="Y1683">
        <v>1.7380590000000001E-2</v>
      </c>
      <c r="Z1683" s="1">
        <v>-2.0357049999999998E-5</v>
      </c>
      <c r="AA1683">
        <v>0.99984899999999999</v>
      </c>
      <c r="AB1683">
        <v>34</v>
      </c>
      <c r="AC1683">
        <v>-3.041229</v>
      </c>
      <c r="AD1683">
        <v>1.223934E-2</v>
      </c>
      <c r="AE1683">
        <v>3.6956790000000003E-2</v>
      </c>
      <c r="AF1683">
        <v>5.2862380023385502E-2</v>
      </c>
      <c r="AG1683">
        <v>1.223934E-2</v>
      </c>
      <c r="AH1683">
        <v>3.0409448544714799</v>
      </c>
      <c r="AI1683">
        <v>89.769429291776703</v>
      </c>
      <c r="AJ1683">
        <v>89.004096955688098</v>
      </c>
      <c r="AK1683">
        <v>3.0414289142772901</v>
      </c>
      <c r="AL1683">
        <v>79.689675390970507</v>
      </c>
      <c r="AM1683">
        <v>88.813732594479603</v>
      </c>
      <c r="AN1683">
        <v>0.99999996232405397</v>
      </c>
    </row>
    <row r="1684" spans="1:40" x14ac:dyDescent="0.25">
      <c r="A1684" t="str">
        <f>"20190303162813316"</f>
        <v>20190303162813316</v>
      </c>
      <c r="B1684" t="str">
        <f>"1551601693303602"</f>
        <v>1551601693303602</v>
      </c>
      <c r="C1684" t="s">
        <v>40</v>
      </c>
      <c r="D1684">
        <v>4.3594520000000001</v>
      </c>
      <c r="E1684">
        <v>0.49957610000000002</v>
      </c>
      <c r="F1684" t="s">
        <v>45</v>
      </c>
      <c r="G1684">
        <v>0</v>
      </c>
      <c r="H1684">
        <v>0</v>
      </c>
      <c r="I1684">
        <v>0</v>
      </c>
      <c r="J1684">
        <v>-249.1369</v>
      </c>
      <c r="K1684">
        <v>1.11998</v>
      </c>
      <c r="L1684">
        <v>283.08690000000001</v>
      </c>
      <c r="M1684">
        <v>-0.99993799999999999</v>
      </c>
      <c r="N1684">
        <v>-1.031367E-2</v>
      </c>
      <c r="O1684">
        <v>-4.2036039999999997E-3</v>
      </c>
      <c r="P1684">
        <v>-0.98515419999999998</v>
      </c>
      <c r="Q1684">
        <v>0.17087620000000001</v>
      </c>
      <c r="R1684">
        <v>1.6506730000000001E-2</v>
      </c>
      <c r="S1684">
        <v>-3.0406949999999999</v>
      </c>
      <c r="T1684">
        <v>1.5955449999999999E-2</v>
      </c>
      <c r="U1684">
        <v>4.2358399999999997E-2</v>
      </c>
      <c r="V1684">
        <v>2.103447E-2</v>
      </c>
      <c r="W1684">
        <v>0.18098239999999999</v>
      </c>
      <c r="X1684">
        <v>0.98326139999999995</v>
      </c>
      <c r="Y1684">
        <v>1.8132180000000001E-2</v>
      </c>
      <c r="Z1684" s="1">
        <v>-1.946784E-5</v>
      </c>
      <c r="AA1684">
        <v>0.99983560000000005</v>
      </c>
      <c r="AB1684">
        <v>34</v>
      </c>
      <c r="AC1684">
        <v>-3.0406949999999999</v>
      </c>
      <c r="AD1684">
        <v>1.5955449999999999E-2</v>
      </c>
      <c r="AE1684">
        <v>4.2358399999999997E-2</v>
      </c>
      <c r="AF1684">
        <v>5.5139065041874998E-2</v>
      </c>
      <c r="AG1684">
        <v>1.5955449999999999E-2</v>
      </c>
      <c r="AH1684">
        <v>3.0404063657406502</v>
      </c>
      <c r="AI1684">
        <v>89.699375297038799</v>
      </c>
      <c r="AJ1684">
        <v>88.961030516763998</v>
      </c>
      <c r="AK1684">
        <v>3.0409481682058699</v>
      </c>
      <c r="AL1684">
        <v>79.573013262036397</v>
      </c>
      <c r="AM1684">
        <v>88.774484020124305</v>
      </c>
      <c r="AN1684">
        <v>1.0000000293839499</v>
      </c>
    </row>
    <row r="1685" spans="1:40" x14ac:dyDescent="0.25">
      <c r="A1685" t="str">
        <f>"20190303162813337"</f>
        <v>20190303162813337</v>
      </c>
      <c r="B1685" t="str">
        <f>"1551601693332882"</f>
        <v>1551601693332882</v>
      </c>
      <c r="C1685" t="s">
        <v>40</v>
      </c>
      <c r="D1685">
        <v>4.4035199999999897</v>
      </c>
      <c r="E1685">
        <v>0.49928640000000002</v>
      </c>
      <c r="F1685" t="s">
        <v>45</v>
      </c>
      <c r="G1685">
        <v>0</v>
      </c>
      <c r="H1685">
        <v>0</v>
      </c>
      <c r="I1685">
        <v>0</v>
      </c>
      <c r="J1685">
        <v>-249.4785</v>
      </c>
      <c r="K1685">
        <v>1.119928</v>
      </c>
      <c r="L1685">
        <v>283.0865</v>
      </c>
      <c r="M1685">
        <v>-0.99994190000000005</v>
      </c>
      <c r="N1685">
        <v>-1.032257E-2</v>
      </c>
      <c r="O1685">
        <v>-3.0796740000000001E-3</v>
      </c>
      <c r="P1685">
        <v>-0.98465559999999996</v>
      </c>
      <c r="Q1685">
        <v>0.1734861</v>
      </c>
      <c r="R1685">
        <v>1.886902E-2</v>
      </c>
      <c r="S1685">
        <v>-3.0402529999999999</v>
      </c>
      <c r="T1685">
        <v>2.415395E-2</v>
      </c>
      <c r="U1685">
        <v>4.449463E-2</v>
      </c>
      <c r="V1685">
        <v>2.232466E-2</v>
      </c>
      <c r="W1685">
        <v>0.18358959999999999</v>
      </c>
      <c r="X1685">
        <v>0.98274950000000005</v>
      </c>
      <c r="Y1685">
        <v>1.7712700000000001E-2</v>
      </c>
      <c r="Z1685" s="1">
        <v>-3.5182719999999999E-5</v>
      </c>
      <c r="AA1685">
        <v>0.99984309999999998</v>
      </c>
      <c r="AB1685">
        <v>34</v>
      </c>
      <c r="AC1685">
        <v>-3.0402529999999999</v>
      </c>
      <c r="AD1685">
        <v>2.415395E-2</v>
      </c>
      <c r="AE1685">
        <v>4.449463E-2</v>
      </c>
      <c r="AF1685">
        <v>5.3854508215450403E-2</v>
      </c>
      <c r="AG1685">
        <v>2.415395E-2</v>
      </c>
      <c r="AH1685">
        <v>3.03990971114129</v>
      </c>
      <c r="AI1685">
        <v>89.544830835275704</v>
      </c>
      <c r="AJ1685">
        <v>88.985064171957504</v>
      </c>
      <c r="AK1685">
        <v>3.04048265465318</v>
      </c>
      <c r="AL1685">
        <v>79.421086489647095</v>
      </c>
      <c r="AM1685">
        <v>88.698662435286494</v>
      </c>
      <c r="AN1685">
        <v>1.00000005571126</v>
      </c>
    </row>
    <row r="1686" spans="1:40" x14ac:dyDescent="0.25">
      <c r="A1686" t="str">
        <f>"20190303162813361"</f>
        <v>20190303162813361</v>
      </c>
      <c r="B1686" t="str">
        <f>"1551601693353378"</f>
        <v>1551601693353378</v>
      </c>
      <c r="C1686" t="s">
        <v>40</v>
      </c>
      <c r="D1686">
        <v>4.3989890000000003</v>
      </c>
      <c r="E1686">
        <v>0.49950139999999998</v>
      </c>
      <c r="F1686" t="s">
        <v>45</v>
      </c>
      <c r="G1686">
        <v>0</v>
      </c>
      <c r="H1686">
        <v>0</v>
      </c>
      <c r="I1686">
        <v>0</v>
      </c>
      <c r="J1686">
        <v>-249.83269999999999</v>
      </c>
      <c r="K1686">
        <v>1.119858</v>
      </c>
      <c r="L1686">
        <v>283.08659999999998</v>
      </c>
      <c r="M1686">
        <v>-0.99994490000000003</v>
      </c>
      <c r="N1686">
        <v>-1.0331480000000001E-2</v>
      </c>
      <c r="O1686">
        <v>-1.828103E-3</v>
      </c>
      <c r="P1686">
        <v>-0.98438539999999997</v>
      </c>
      <c r="Q1686">
        <v>0.17489560000000001</v>
      </c>
      <c r="R1686">
        <v>1.99264E-2</v>
      </c>
      <c r="S1686">
        <v>-3.0405579999999999</v>
      </c>
      <c r="T1686">
        <v>2.9677510000000001E-2</v>
      </c>
      <c r="U1686">
        <v>4.9621579999999998E-2</v>
      </c>
      <c r="V1686">
        <v>2.2188639999999999E-2</v>
      </c>
      <c r="W1686">
        <v>0.1850012</v>
      </c>
      <c r="X1686">
        <v>0.98248769999999996</v>
      </c>
      <c r="Y1686">
        <v>1.8145330000000001E-2</v>
      </c>
      <c r="Z1686" s="1">
        <v>-3.1530540000000002E-5</v>
      </c>
      <c r="AA1686">
        <v>0.99983540000000004</v>
      </c>
      <c r="AB1686">
        <v>34</v>
      </c>
      <c r="AC1686">
        <v>-3.0405579999999999</v>
      </c>
      <c r="AD1686">
        <v>2.9677510000000001E-2</v>
      </c>
      <c r="AE1686">
        <v>4.9621579999999998E-2</v>
      </c>
      <c r="AF1686">
        <v>5.5174992246803702E-2</v>
      </c>
      <c r="AG1686">
        <v>2.9677510000000001E-2</v>
      </c>
      <c r="AH1686">
        <v>3.04017264562748</v>
      </c>
      <c r="AI1686">
        <v>89.440800795682406</v>
      </c>
      <c r="AJ1686">
        <v>88.960273791745706</v>
      </c>
      <c r="AK1686">
        <v>3.0408181053116001</v>
      </c>
      <c r="AL1686">
        <v>79.338796886824497</v>
      </c>
      <c r="AM1686">
        <v>88.706244007689506</v>
      </c>
      <c r="AN1686">
        <v>0.999999930198887</v>
      </c>
    </row>
    <row r="1687" spans="1:40" x14ac:dyDescent="0.25">
      <c r="A1687" t="str">
        <f>"20190303162813382"</f>
        <v>20190303162813382</v>
      </c>
      <c r="B1687" t="str">
        <f>"1551601693372898"</f>
        <v>1551601693372898</v>
      </c>
      <c r="C1687" t="s">
        <v>40</v>
      </c>
      <c r="D1687">
        <v>4.4498319999999998</v>
      </c>
      <c r="E1687">
        <v>0.49972640000000002</v>
      </c>
      <c r="F1687" t="s">
        <v>45</v>
      </c>
      <c r="G1687">
        <v>0</v>
      </c>
      <c r="H1687">
        <v>0</v>
      </c>
      <c r="I1687">
        <v>0</v>
      </c>
      <c r="J1687">
        <v>-250.16730000000001</v>
      </c>
      <c r="K1687">
        <v>1.1197870000000001</v>
      </c>
      <c r="L1687">
        <v>283.0872</v>
      </c>
      <c r="M1687">
        <v>-0.99994640000000001</v>
      </c>
      <c r="N1687">
        <v>-1.0339610000000001E-2</v>
      </c>
      <c r="O1687">
        <v>-5.6202940000000005E-4</v>
      </c>
      <c r="P1687">
        <v>-0.98411939999999998</v>
      </c>
      <c r="Q1687">
        <v>0.17624339999999999</v>
      </c>
      <c r="R1687">
        <v>2.1153430000000001E-2</v>
      </c>
      <c r="S1687">
        <v>-3.0411830000000002</v>
      </c>
      <c r="T1687">
        <v>2.979994E-2</v>
      </c>
      <c r="U1687">
        <v>5.4809570000000002E-2</v>
      </c>
      <c r="V1687">
        <v>2.220778E-2</v>
      </c>
      <c r="W1687">
        <v>0.18635019999999999</v>
      </c>
      <c r="X1687">
        <v>0.98223240000000001</v>
      </c>
      <c r="Y1687">
        <v>1.8581420000000001E-2</v>
      </c>
      <c r="Z1687" s="1">
        <v>-6.2728210000000003E-6</v>
      </c>
      <c r="AA1687">
        <v>0.99982729999999997</v>
      </c>
      <c r="AB1687">
        <v>34</v>
      </c>
      <c r="AC1687">
        <v>-3.0411830000000002</v>
      </c>
      <c r="AD1687">
        <v>2.979994E-2</v>
      </c>
      <c r="AE1687">
        <v>5.4809570000000002E-2</v>
      </c>
      <c r="AF1687">
        <v>5.65134624887208E-2</v>
      </c>
      <c r="AG1687">
        <v>2.979994E-2</v>
      </c>
      <c r="AH1687">
        <v>3.0408598356130501</v>
      </c>
      <c r="AI1687">
        <v>89.438625431113906</v>
      </c>
      <c r="AJ1687">
        <v>88.935297794546699</v>
      </c>
      <c r="AK1687">
        <v>3.04153092170885</v>
      </c>
      <c r="AL1687">
        <v>79.2601381981803</v>
      </c>
      <c r="AM1687">
        <v>88.704791942986702</v>
      </c>
      <c r="AN1687">
        <v>1.00000003507116</v>
      </c>
    </row>
    <row r="1688" spans="1:40" x14ac:dyDescent="0.25">
      <c r="A1688" t="str">
        <f>"20190303162813405"</f>
        <v>20190303162813405</v>
      </c>
      <c r="B1688" t="str">
        <f>"1551601693393394"</f>
        <v>1551601693393394</v>
      </c>
      <c r="C1688" t="s">
        <v>40</v>
      </c>
      <c r="D1688">
        <v>4.508813</v>
      </c>
      <c r="E1688">
        <v>0.49985930000000001</v>
      </c>
      <c r="F1688" t="s">
        <v>45</v>
      </c>
      <c r="G1688">
        <v>0</v>
      </c>
      <c r="H1688">
        <v>0</v>
      </c>
      <c r="I1688">
        <v>0</v>
      </c>
      <c r="J1688">
        <v>-250.4939</v>
      </c>
      <c r="K1688">
        <v>1.1197220000000001</v>
      </c>
      <c r="L1688">
        <v>283.0883</v>
      </c>
      <c r="M1688">
        <v>-0.99994620000000001</v>
      </c>
      <c r="N1688">
        <v>-1.0347139999999999E-2</v>
      </c>
      <c r="O1688">
        <v>7.5076069999999997E-4</v>
      </c>
      <c r="P1688">
        <v>-0.98393430000000004</v>
      </c>
      <c r="Q1688">
        <v>0.1771789</v>
      </c>
      <c r="R1688">
        <v>2.193403E-2</v>
      </c>
      <c r="S1688">
        <v>-3.042084</v>
      </c>
      <c r="T1688">
        <v>2.801406E-2</v>
      </c>
      <c r="U1688">
        <v>6.0363769999999997E-2</v>
      </c>
      <c r="V1688">
        <v>2.1731520000000001E-2</v>
      </c>
      <c r="W1688">
        <v>0.18728890000000001</v>
      </c>
      <c r="X1688">
        <v>0.98206450000000001</v>
      </c>
      <c r="Y1688">
        <v>1.9088580000000001E-2</v>
      </c>
      <c r="Z1688" s="1">
        <v>2.5566969999999999E-5</v>
      </c>
      <c r="AA1688">
        <v>0.99981779999999998</v>
      </c>
      <c r="AB1688">
        <v>34</v>
      </c>
      <c r="AC1688">
        <v>-3.042084</v>
      </c>
      <c r="AD1688">
        <v>2.801406E-2</v>
      </c>
      <c r="AE1688">
        <v>6.0363769999999997E-2</v>
      </c>
      <c r="AF1688">
        <v>5.80748306733E-2</v>
      </c>
      <c r="AG1688">
        <v>2.801406E-2</v>
      </c>
      <c r="AH1688">
        <v>3.04187060643063</v>
      </c>
      <c r="AI1688">
        <v>89.472446459323706</v>
      </c>
      <c r="AJ1688">
        <v>88.906252457459701</v>
      </c>
      <c r="AK1688">
        <v>3.04255390417033</v>
      </c>
      <c r="AL1688">
        <v>79.205390796714397</v>
      </c>
      <c r="AM1688">
        <v>88.732342726682106</v>
      </c>
      <c r="AN1688">
        <v>1.0000000365924799</v>
      </c>
    </row>
    <row r="1689" spans="1:40" x14ac:dyDescent="0.25">
      <c r="A1689" t="str">
        <f>"20190303162813428"</f>
        <v>20190303162813428</v>
      </c>
      <c r="B1689" t="str">
        <f>"1551601693412914"</f>
        <v>1551601693412914</v>
      </c>
      <c r="C1689" t="s">
        <v>40</v>
      </c>
      <c r="D1689">
        <v>4.507574</v>
      </c>
      <c r="E1689">
        <v>0.49996249999999998</v>
      </c>
      <c r="F1689" t="s">
        <v>45</v>
      </c>
      <c r="G1689">
        <v>0</v>
      </c>
      <c r="H1689">
        <v>0</v>
      </c>
      <c r="I1689">
        <v>0</v>
      </c>
      <c r="J1689">
        <v>-250.8441</v>
      </c>
      <c r="K1689">
        <v>1.1196660000000001</v>
      </c>
      <c r="L1689">
        <v>283.08999999999997</v>
      </c>
      <c r="M1689">
        <v>-0.99994400000000006</v>
      </c>
      <c r="N1689">
        <v>-1.035467E-2</v>
      </c>
      <c r="O1689">
        <v>2.2251139999999998E-3</v>
      </c>
      <c r="P1689">
        <v>-0.98374969999999995</v>
      </c>
      <c r="Q1689">
        <v>0.17806569999999999</v>
      </c>
      <c r="R1689">
        <v>2.3003039999999999E-2</v>
      </c>
      <c r="S1689">
        <v>-3.04277</v>
      </c>
      <c r="T1689">
        <v>2.6509049999999999E-2</v>
      </c>
      <c r="U1689">
        <v>6.4025879999999993E-2</v>
      </c>
      <c r="V1689">
        <v>2.138166E-2</v>
      </c>
      <c r="W1689">
        <v>0.18817929999999999</v>
      </c>
      <c r="X1689">
        <v>0.98190189999999999</v>
      </c>
      <c r="Y1689">
        <v>1.881306E-2</v>
      </c>
      <c r="Z1689" s="1">
        <v>5.789461E-5</v>
      </c>
      <c r="AA1689">
        <v>0.99982300000000002</v>
      </c>
      <c r="AB1689">
        <v>34</v>
      </c>
      <c r="AC1689">
        <v>-3.04277</v>
      </c>
      <c r="AD1689">
        <v>2.6509049999999999E-2</v>
      </c>
      <c r="AE1689">
        <v>6.4025879999999993E-2</v>
      </c>
      <c r="AF1689">
        <v>5.7250505477264298E-2</v>
      </c>
      <c r="AG1689">
        <v>2.6509049999999999E-2</v>
      </c>
      <c r="AH1689">
        <v>3.0426740979434799</v>
      </c>
      <c r="AI1689">
        <v>89.500916156934096</v>
      </c>
      <c r="AJ1689">
        <v>88.922058291247097</v>
      </c>
      <c r="AK1689">
        <v>3.0433281151406399</v>
      </c>
      <c r="AL1689">
        <v>79.153450550958595</v>
      </c>
      <c r="AM1689">
        <v>88.752538013653705</v>
      </c>
      <c r="AN1689">
        <v>0.99999998277822699</v>
      </c>
    </row>
    <row r="1690" spans="1:40" x14ac:dyDescent="0.25">
      <c r="A1690" t="str">
        <f>"20190303162813451"</f>
        <v>20190303162813451</v>
      </c>
      <c r="B1690" t="str">
        <f>"1551601693443171"</f>
        <v>1551601693443171</v>
      </c>
      <c r="C1690" t="s">
        <v>40</v>
      </c>
      <c r="D1690">
        <v>4.523803</v>
      </c>
      <c r="E1690">
        <v>0.5000696</v>
      </c>
      <c r="F1690" t="s">
        <v>45</v>
      </c>
      <c r="G1690">
        <v>0</v>
      </c>
      <c r="H1690">
        <v>0</v>
      </c>
      <c r="I1690">
        <v>0</v>
      </c>
      <c r="J1690">
        <v>-251.21270000000001</v>
      </c>
      <c r="K1690">
        <v>1.1196159999999999</v>
      </c>
      <c r="L1690">
        <v>283.09249999999997</v>
      </c>
      <c r="M1690">
        <v>-0.99993900000000002</v>
      </c>
      <c r="N1690">
        <v>-1.0362E-2</v>
      </c>
      <c r="O1690">
        <v>3.828031E-3</v>
      </c>
      <c r="P1690">
        <v>-0.98341190000000001</v>
      </c>
      <c r="Q1690">
        <v>0.1795533</v>
      </c>
      <c r="R1690">
        <v>2.5722430000000001E-2</v>
      </c>
      <c r="S1690">
        <v>-3.0434109999999999</v>
      </c>
      <c r="T1690">
        <v>2.5294069999999998E-2</v>
      </c>
      <c r="U1690">
        <v>6.7779539999999999E-2</v>
      </c>
      <c r="V1690">
        <v>2.255333E-2</v>
      </c>
      <c r="W1690">
        <v>0.189665</v>
      </c>
      <c r="X1690">
        <v>0.98158979999999996</v>
      </c>
      <c r="Y1690">
        <v>1.843877E-2</v>
      </c>
      <c r="Z1690" s="1">
        <v>9.0404330000000007E-5</v>
      </c>
      <c r="AA1690">
        <v>0.99983</v>
      </c>
      <c r="AB1690">
        <v>34</v>
      </c>
      <c r="AC1690">
        <v>-3.0434109999999999</v>
      </c>
      <c r="AD1690">
        <v>2.5294069999999998E-2</v>
      </c>
      <c r="AE1690">
        <v>6.7779539999999999E-2</v>
      </c>
      <c r="AF1690">
        <v>5.61242715212983E-2</v>
      </c>
      <c r="AG1690">
        <v>2.5294069999999998E-2</v>
      </c>
      <c r="AH1690">
        <v>3.0434380558270901</v>
      </c>
      <c r="AI1690">
        <v>89.523905622523401</v>
      </c>
      <c r="AJ1690">
        <v>88.943523942632197</v>
      </c>
      <c r="AK1690">
        <v>3.04406059786719</v>
      </c>
      <c r="AL1690">
        <v>79.066765369178398</v>
      </c>
      <c r="AM1690">
        <v>88.683784913071904</v>
      </c>
      <c r="AN1690">
        <v>1.0000000001915601</v>
      </c>
    </row>
    <row r="1691" spans="1:40" x14ac:dyDescent="0.25">
      <c r="A1691" t="str">
        <f>"20190303162813473"</f>
        <v>20190303162813473</v>
      </c>
      <c r="B1691" t="str">
        <f>"1551601693462690"</f>
        <v>1551601693462690</v>
      </c>
      <c r="C1691" t="s">
        <v>40</v>
      </c>
      <c r="D1691">
        <v>4.5464039999999999</v>
      </c>
      <c r="E1691">
        <v>0.50013200000000002</v>
      </c>
      <c r="F1691" t="s">
        <v>45</v>
      </c>
      <c r="G1691">
        <v>0</v>
      </c>
      <c r="H1691">
        <v>0</v>
      </c>
      <c r="I1691">
        <v>0</v>
      </c>
      <c r="J1691">
        <v>-251.54259999999999</v>
      </c>
      <c r="K1691">
        <v>1.1195759999999999</v>
      </c>
      <c r="L1691">
        <v>283.09519999999998</v>
      </c>
      <c r="M1691">
        <v>-0.99993240000000005</v>
      </c>
      <c r="N1691">
        <v>-1.0365900000000001E-2</v>
      </c>
      <c r="O1691">
        <v>5.2857069999999997E-3</v>
      </c>
      <c r="P1691">
        <v>-0.98301669999999997</v>
      </c>
      <c r="Q1691">
        <v>0.1810447</v>
      </c>
      <c r="R1691">
        <v>3.0020970000000001E-2</v>
      </c>
      <c r="S1691">
        <v>-3.044235</v>
      </c>
      <c r="T1691">
        <v>2.401149E-2</v>
      </c>
      <c r="U1691">
        <v>7.5042719999999993E-2</v>
      </c>
      <c r="V1691">
        <v>2.5439380000000001E-2</v>
      </c>
      <c r="W1691">
        <v>0.1911457</v>
      </c>
      <c r="X1691">
        <v>0.98123199999999999</v>
      </c>
      <c r="Y1691">
        <v>1.9359620000000001E-2</v>
      </c>
      <c r="Z1691">
        <v>1.204872E-4</v>
      </c>
      <c r="AA1691">
        <v>0.99981260000000005</v>
      </c>
      <c r="AB1691">
        <v>34</v>
      </c>
      <c r="AC1691">
        <v>-3.044235</v>
      </c>
      <c r="AD1691">
        <v>2.401149E-2</v>
      </c>
      <c r="AE1691">
        <v>7.5042719999999993E-2</v>
      </c>
      <c r="AF1691">
        <v>5.8946209333599502E-2</v>
      </c>
      <c r="AG1691">
        <v>2.401149E-2</v>
      </c>
      <c r="AH1691">
        <v>3.04439985771976</v>
      </c>
      <c r="AI1691">
        <v>89.548196432047106</v>
      </c>
      <c r="AJ1691">
        <v>88.890767568599102</v>
      </c>
      <c r="AK1691">
        <v>3.0450651390291998</v>
      </c>
      <c r="AL1691">
        <v>78.980346950643394</v>
      </c>
      <c r="AM1691">
        <v>88.514884687690795</v>
      </c>
      <c r="AN1691">
        <v>1.0000000392536299</v>
      </c>
    </row>
    <row r="1692" spans="1:40" x14ac:dyDescent="0.25">
      <c r="A1692" t="str">
        <f>"20190303162813493"</f>
        <v>20190303162813493</v>
      </c>
      <c r="B1692" t="str">
        <f>"1551601693483187"</f>
        <v>1551601693483187</v>
      </c>
      <c r="C1692" t="s">
        <v>40</v>
      </c>
      <c r="D1692">
        <v>4.5704900000000004</v>
      </c>
      <c r="E1692">
        <v>0.50014639999999999</v>
      </c>
      <c r="F1692" t="s">
        <v>45</v>
      </c>
      <c r="G1692">
        <v>0</v>
      </c>
      <c r="H1692">
        <v>0</v>
      </c>
      <c r="I1692">
        <v>0</v>
      </c>
      <c r="J1692">
        <v>-251.8603</v>
      </c>
      <c r="K1692">
        <v>1.1195569999999999</v>
      </c>
      <c r="L1692">
        <v>283.09820000000002</v>
      </c>
      <c r="M1692">
        <v>-0.99992400000000004</v>
      </c>
      <c r="N1692">
        <v>-1.036284E-2</v>
      </c>
      <c r="O1692">
        <v>6.6820269999999897E-3</v>
      </c>
      <c r="P1692">
        <v>-0.98286340000000005</v>
      </c>
      <c r="Q1692">
        <v>0.18110399999999999</v>
      </c>
      <c r="R1692">
        <v>3.4361669999999997E-2</v>
      </c>
      <c r="S1692">
        <v>-3.0447690000000001</v>
      </c>
      <c r="T1692">
        <v>2.3805260000000002E-2</v>
      </c>
      <c r="U1692">
        <v>8.6944579999999994E-2</v>
      </c>
      <c r="V1692">
        <v>2.8413669999999999E-2</v>
      </c>
      <c r="W1692">
        <v>0.19119059999999999</v>
      </c>
      <c r="X1692">
        <v>0.98114159999999995</v>
      </c>
      <c r="Y1692">
        <v>2.186478E-2</v>
      </c>
      <c r="Z1692">
        <v>1.4932309999999999E-4</v>
      </c>
      <c r="AA1692">
        <v>0.99976089999999995</v>
      </c>
      <c r="AB1692">
        <v>34</v>
      </c>
      <c r="AC1692">
        <v>-3.0447690000000001</v>
      </c>
      <c r="AD1692">
        <v>2.3805260000000002E-2</v>
      </c>
      <c r="AE1692">
        <v>8.6944579999999994E-2</v>
      </c>
      <c r="AF1692">
        <v>6.6592250717071602E-2</v>
      </c>
      <c r="AG1692">
        <v>2.3805260000000002E-2</v>
      </c>
      <c r="AH1692">
        <v>3.0450960277990502</v>
      </c>
      <c r="AI1692">
        <v>89.552202254721607</v>
      </c>
      <c r="AJ1692">
        <v>88.747216238727205</v>
      </c>
      <c r="AK1692">
        <v>3.04591710930826</v>
      </c>
      <c r="AL1692">
        <v>78.977725714920297</v>
      </c>
      <c r="AM1692">
        <v>88.341188991919907</v>
      </c>
      <c r="AN1692">
        <v>1.00000001071089</v>
      </c>
    </row>
    <row r="1693" spans="1:40" x14ac:dyDescent="0.25">
      <c r="A1693" t="str">
        <f>"20190303162813516"</f>
        <v>20190303162813516</v>
      </c>
      <c r="B1693" t="str">
        <f>"1551601693502706"</f>
        <v>1551601693502706</v>
      </c>
      <c r="C1693" t="s">
        <v>40</v>
      </c>
      <c r="D1693">
        <v>4.6027449999999996</v>
      </c>
      <c r="E1693">
        <v>0.50009870000000001</v>
      </c>
      <c r="F1693" t="s">
        <v>45</v>
      </c>
      <c r="G1693">
        <v>0</v>
      </c>
      <c r="H1693">
        <v>0</v>
      </c>
      <c r="I1693">
        <v>0</v>
      </c>
      <c r="J1693">
        <v>-252.2029</v>
      </c>
      <c r="K1693">
        <v>1.1195660000000001</v>
      </c>
      <c r="L1693">
        <v>283.1019</v>
      </c>
      <c r="M1693">
        <v>-0.9999133</v>
      </c>
      <c r="N1693">
        <v>-1.0352220000000001E-2</v>
      </c>
      <c r="O1693">
        <v>8.1388229999999999E-3</v>
      </c>
      <c r="P1693">
        <v>-0.98273149999999998</v>
      </c>
      <c r="Q1693">
        <v>0.18084749999999999</v>
      </c>
      <c r="R1693">
        <v>3.9153309999999997E-2</v>
      </c>
      <c r="S1693">
        <v>-3.0451809999999999</v>
      </c>
      <c r="T1693">
        <v>1.961589E-2</v>
      </c>
      <c r="U1693">
        <v>9.9426269999999997E-2</v>
      </c>
      <c r="V1693">
        <v>3.1766669999999997E-2</v>
      </c>
      <c r="W1693">
        <v>0.1909131</v>
      </c>
      <c r="X1693">
        <v>0.98109279999999999</v>
      </c>
      <c r="Y1693">
        <v>2.449842E-2</v>
      </c>
      <c r="Z1693">
        <v>1.846064E-4</v>
      </c>
      <c r="AA1693">
        <v>0.99969980000000003</v>
      </c>
      <c r="AB1693">
        <v>34</v>
      </c>
      <c r="AC1693">
        <v>-3.0451809999999999</v>
      </c>
      <c r="AD1693">
        <v>1.961589E-2</v>
      </c>
      <c r="AE1693">
        <v>9.9426269999999997E-2</v>
      </c>
      <c r="AF1693">
        <v>7.4634365853097795E-2</v>
      </c>
      <c r="AG1693">
        <v>1.961589E-2</v>
      </c>
      <c r="AH1693">
        <v>3.0457631390055999</v>
      </c>
      <c r="AI1693">
        <v>89.631108903699101</v>
      </c>
      <c r="AJ1693">
        <v>88.596286586342302</v>
      </c>
      <c r="AK1693">
        <v>3.0467405814463402</v>
      </c>
      <c r="AL1693">
        <v>78.993923626465502</v>
      </c>
      <c r="AM1693">
        <v>88.145475675045105</v>
      </c>
      <c r="AN1693">
        <v>1.0000000076431601</v>
      </c>
    </row>
    <row r="1694" spans="1:40" x14ac:dyDescent="0.25">
      <c r="A1694" t="str">
        <f>"20190303162813538"</f>
        <v>20190303162813538</v>
      </c>
      <c r="B1694" t="str">
        <f>"1551601693532962"</f>
        <v>1551601693532962</v>
      </c>
      <c r="C1694" t="s">
        <v>40</v>
      </c>
      <c r="D1694">
        <v>4.6086669999999996</v>
      </c>
      <c r="E1694">
        <v>0.49996239999999997</v>
      </c>
      <c r="F1694" t="s">
        <v>51</v>
      </c>
      <c r="G1694">
        <v>-550.05769999999995</v>
      </c>
      <c r="H1694">
        <v>2.5975280000000001</v>
      </c>
      <c r="I1694">
        <v>294.15429999999998</v>
      </c>
      <c r="J1694">
        <v>-252.5506</v>
      </c>
      <c r="K1694">
        <v>1.1196060000000001</v>
      </c>
      <c r="L1694">
        <v>283.10610000000003</v>
      </c>
      <c r="M1694">
        <v>-0.99990129999999999</v>
      </c>
      <c r="N1694">
        <v>-1.033821E-2</v>
      </c>
      <c r="O1694">
        <v>9.5252429999999992E-3</v>
      </c>
      <c r="P1694">
        <v>-0.98262020000000005</v>
      </c>
      <c r="Q1694">
        <v>0.18039240000000001</v>
      </c>
      <c r="R1694">
        <v>4.3777370000000003E-2</v>
      </c>
      <c r="S1694">
        <v>-3.0454409999999998</v>
      </c>
      <c r="T1694">
        <v>1.51124E-2</v>
      </c>
      <c r="U1694">
        <v>0.1130066</v>
      </c>
      <c r="V1694">
        <v>3.5004819999999999E-2</v>
      </c>
      <c r="W1694">
        <v>0.190438</v>
      </c>
      <c r="X1694">
        <v>0.98107489999999997</v>
      </c>
      <c r="Y1694">
        <v>2.7561889999999999E-2</v>
      </c>
      <c r="Z1694">
        <v>2.1985519999999999E-4</v>
      </c>
      <c r="AA1694">
        <v>0.99962010000000001</v>
      </c>
      <c r="AB1694">
        <v>34</v>
      </c>
      <c r="AC1694">
        <v>-297.50709999999901</v>
      </c>
      <c r="AD1694">
        <v>1.477922</v>
      </c>
      <c r="AE1694">
        <v>11.0481999999999</v>
      </c>
      <c r="AF1694">
        <v>8.2135177570285904</v>
      </c>
      <c r="AG1694">
        <v>1.477922</v>
      </c>
      <c r="AH1694">
        <v>297.59151038682</v>
      </c>
      <c r="AI1694">
        <v>89.715563916350902</v>
      </c>
      <c r="AJ1694">
        <v>88.419039367381998</v>
      </c>
      <c r="AK1694">
        <v>297.70850371074698</v>
      </c>
      <c r="AL1694">
        <v>79.021653128948898</v>
      </c>
      <c r="AM1694">
        <v>87.956549496759706</v>
      </c>
      <c r="AN1694">
        <v>0.99999996433862004</v>
      </c>
    </row>
    <row r="1695" spans="1:40" x14ac:dyDescent="0.25">
      <c r="A1695" t="str">
        <f>"20190303162813562"</f>
        <v>20190303162813562</v>
      </c>
      <c r="B1695" t="str">
        <f>"1551601693553458"</f>
        <v>1551601693553458</v>
      </c>
      <c r="C1695" t="s">
        <v>40</v>
      </c>
      <c r="D1695">
        <v>4.6795849999999897</v>
      </c>
      <c r="E1695">
        <v>0.49989030000000001</v>
      </c>
      <c r="F1695" t="s">
        <v>51</v>
      </c>
      <c r="G1695">
        <v>-510.95420000000001</v>
      </c>
      <c r="H1695">
        <v>1.841637</v>
      </c>
      <c r="I1695">
        <v>293.726</v>
      </c>
      <c r="J1695">
        <v>-252.9074</v>
      </c>
      <c r="K1695">
        <v>1.119677</v>
      </c>
      <c r="L1695">
        <v>283.11079999999998</v>
      </c>
      <c r="M1695">
        <v>-0.9998882</v>
      </c>
      <c r="N1695">
        <v>-1.0323570000000001E-2</v>
      </c>
      <c r="O1695">
        <v>1.08231E-2</v>
      </c>
      <c r="P1695">
        <v>-0.98268940000000005</v>
      </c>
      <c r="Q1695">
        <v>0.17886179999999999</v>
      </c>
      <c r="R1695">
        <v>4.8270920000000002E-2</v>
      </c>
      <c r="S1695">
        <v>-3.045944</v>
      </c>
      <c r="T1695">
        <v>8.5119010000000005E-3</v>
      </c>
      <c r="U1695">
        <v>0.12518309999999999</v>
      </c>
      <c r="V1695">
        <v>3.8179869999999998E-2</v>
      </c>
      <c r="W1695">
        <v>0.188892</v>
      </c>
      <c r="X1695">
        <v>0.9812554</v>
      </c>
      <c r="Y1695">
        <v>3.0247929999999999E-2</v>
      </c>
      <c r="Z1695">
        <v>2.5588230000000002E-4</v>
      </c>
      <c r="AA1695">
        <v>0.99954240000000005</v>
      </c>
      <c r="AB1695">
        <v>34</v>
      </c>
      <c r="AC1695">
        <v>-258.04680000000002</v>
      </c>
      <c r="AD1695">
        <v>0.72195999999999905</v>
      </c>
      <c r="AE1695">
        <v>10.6152</v>
      </c>
      <c r="AF1695">
        <v>7.8215020852892696</v>
      </c>
      <c r="AG1695">
        <v>0.72195999999999905</v>
      </c>
      <c r="AH1695">
        <v>258.14456245705702</v>
      </c>
      <c r="AI1695">
        <v>89.839833236147896</v>
      </c>
      <c r="AJ1695">
        <v>88.264530556368896</v>
      </c>
      <c r="AK1695">
        <v>258.26403591529601</v>
      </c>
      <c r="AL1695">
        <v>79.111870625073095</v>
      </c>
      <c r="AM1695">
        <v>87.771790619009494</v>
      </c>
      <c r="AN1695">
        <v>1.00000002508318</v>
      </c>
    </row>
    <row r="1696" spans="1:40" x14ac:dyDescent="0.25">
      <c r="A1696" t="str">
        <f>"20190303162813584"</f>
        <v>20190303162813584</v>
      </c>
      <c r="B1696" t="str">
        <f>"1551601693572979"</f>
        <v>1551601693572979</v>
      </c>
      <c r="C1696" t="s">
        <v>40</v>
      </c>
      <c r="D1696">
        <v>4.6360669999999997</v>
      </c>
      <c r="E1696">
        <v>0.4946584</v>
      </c>
      <c r="F1696" t="s">
        <v>51</v>
      </c>
      <c r="G1696">
        <v>-510.95400000000001</v>
      </c>
      <c r="H1696">
        <v>1.1625620000000001</v>
      </c>
      <c r="I1696">
        <v>294.7604</v>
      </c>
      <c r="J1696">
        <v>-253.2467</v>
      </c>
      <c r="K1696">
        <v>1.1197569999999999</v>
      </c>
      <c r="L1696">
        <v>283.1155</v>
      </c>
      <c r="M1696">
        <v>-0.99987579999999998</v>
      </c>
      <c r="N1696">
        <v>-1.0310629999999999E-2</v>
      </c>
      <c r="O1696">
        <v>1.19197E-2</v>
      </c>
      <c r="P1696">
        <v>-0.98278449999999995</v>
      </c>
      <c r="Q1696">
        <v>0.17758889999999999</v>
      </c>
      <c r="R1696">
        <v>5.0960760000000001E-2</v>
      </c>
      <c r="S1696">
        <v>-3.0459749999999999</v>
      </c>
      <c r="T1696">
        <v>5.0723550000000004E-4</v>
      </c>
      <c r="U1696">
        <v>0.1375122</v>
      </c>
      <c r="V1696">
        <v>3.9743580000000001E-2</v>
      </c>
      <c r="W1696">
        <v>0.18761259999999999</v>
      </c>
      <c r="X1696">
        <v>0.9814387</v>
      </c>
      <c r="Y1696">
        <v>3.3188889999999999E-2</v>
      </c>
      <c r="Z1696">
        <v>2.9326310000000002E-4</v>
      </c>
      <c r="AA1696">
        <v>0.99944909999999998</v>
      </c>
      <c r="AB1696">
        <v>34</v>
      </c>
      <c r="AC1696">
        <v>-257.70729999999998</v>
      </c>
      <c r="AD1696">
        <v>4.2805000000000197E-2</v>
      </c>
      <c r="AE1696">
        <v>11.6449</v>
      </c>
      <c r="AF1696">
        <v>8.5721154064807603</v>
      </c>
      <c r="AG1696">
        <v>4.2805000000000197E-2</v>
      </c>
      <c r="AH1696">
        <v>257.82779396764403</v>
      </c>
      <c r="AI1696">
        <v>89.990492912375402</v>
      </c>
      <c r="AJ1696">
        <v>88.095763156736396</v>
      </c>
      <c r="AK1696">
        <v>257.970258628843</v>
      </c>
      <c r="AL1696">
        <v>79.186508852927204</v>
      </c>
      <c r="AM1696">
        <v>87.681061601013496</v>
      </c>
      <c r="AN1696">
        <v>0.99999998084383201</v>
      </c>
    </row>
    <row r="1697" spans="1:40" x14ac:dyDescent="0.25">
      <c r="A1697" t="str">
        <f>"20190303162813606"</f>
        <v>20190303162813606</v>
      </c>
      <c r="B1697" t="str">
        <f>"1551601693593474"</f>
        <v>1551601693593474</v>
      </c>
      <c r="C1697" t="s">
        <v>40</v>
      </c>
      <c r="D1697">
        <v>4.6477440000000003</v>
      </c>
      <c r="E1697">
        <v>0.49481190000000003</v>
      </c>
      <c r="F1697" t="s">
        <v>49</v>
      </c>
      <c r="G1697">
        <v>-292.29559999999998</v>
      </c>
      <c r="H1697" s="1">
        <v>2.6301250000000001E-6</v>
      </c>
      <c r="I1697">
        <v>284.42</v>
      </c>
      <c r="J1697">
        <v>-253.57130000000001</v>
      </c>
      <c r="K1697">
        <v>1.119848</v>
      </c>
      <c r="L1697">
        <v>283.12020000000001</v>
      </c>
      <c r="M1697">
        <v>-0.99986459999999999</v>
      </c>
      <c r="N1697">
        <v>-1.0299269999999999E-2</v>
      </c>
      <c r="O1697">
        <v>1.284301E-2</v>
      </c>
      <c r="P1697">
        <v>-0.98285869999999997</v>
      </c>
      <c r="Q1697">
        <v>0.17673889999999901</v>
      </c>
      <c r="R1697">
        <v>5.2463269999999999E-2</v>
      </c>
      <c r="S1697">
        <v>-3.063126</v>
      </c>
      <c r="T1697">
        <v>-8.7837100000000001E-2</v>
      </c>
      <c r="U1697">
        <v>0.1023254</v>
      </c>
      <c r="V1697">
        <v>4.0292389999999997E-2</v>
      </c>
      <c r="W1697">
        <v>0.1867605</v>
      </c>
      <c r="X1697">
        <v>0.98157879999999997</v>
      </c>
      <c r="Y1697">
        <v>2.0538359999999999E-2</v>
      </c>
      <c r="Z1697">
        <v>1.643165E-4</v>
      </c>
      <c r="AA1697">
        <v>0.99978909999999999</v>
      </c>
      <c r="AB1697">
        <v>34</v>
      </c>
      <c r="AC1697">
        <v>-38.7242999999999</v>
      </c>
      <c r="AD1697">
        <v>-1.1198453698749999</v>
      </c>
      <c r="AE1697">
        <v>1.2998000000000001</v>
      </c>
      <c r="AF1697">
        <v>0.80166024113259204</v>
      </c>
      <c r="AG1697">
        <v>-1.1198453698749999</v>
      </c>
      <c r="AH1697">
        <v>38.705468131076401</v>
      </c>
      <c r="AI1697">
        <v>91.656891804714107</v>
      </c>
      <c r="AJ1697">
        <v>88.813470436886007</v>
      </c>
      <c r="AK1697">
        <v>38.729962251987999</v>
      </c>
      <c r="AL1697">
        <v>79.236208744380406</v>
      </c>
      <c r="AM1697">
        <v>87.649410764888501</v>
      </c>
      <c r="AN1697">
        <v>0.99999995083079896</v>
      </c>
    </row>
    <row r="1698" spans="1:40" x14ac:dyDescent="0.25">
      <c r="A1698" t="str">
        <f>"20190303162813618"</f>
        <v>20190303162813618</v>
      </c>
      <c r="B1698" t="str">
        <f>"1551601693612994"</f>
        <v>1551601693612994</v>
      </c>
      <c r="C1698" t="s">
        <v>40</v>
      </c>
      <c r="D1698">
        <v>4.6782810000000001</v>
      </c>
      <c r="E1698">
        <v>0.49425459999999899</v>
      </c>
      <c r="F1698" t="s">
        <v>49</v>
      </c>
      <c r="G1698">
        <v>-293.226</v>
      </c>
      <c r="H1698" s="1">
        <v>2.7851170000000001E-6</v>
      </c>
      <c r="I1698">
        <v>284.53469999999999</v>
      </c>
      <c r="J1698">
        <v>-253.78960000000001</v>
      </c>
      <c r="K1698">
        <v>1.1199049999999999</v>
      </c>
      <c r="L1698">
        <v>283.12360000000001</v>
      </c>
      <c r="M1698">
        <v>-0.99985710000000005</v>
      </c>
      <c r="N1698">
        <v>-1.029236E-2</v>
      </c>
      <c r="O1698">
        <v>1.3405200000000001E-2</v>
      </c>
      <c r="P1698">
        <v>-0.98285789999999995</v>
      </c>
      <c r="Q1698">
        <v>0.17666989999999999</v>
      </c>
      <c r="R1698">
        <v>5.2709100000000002E-2</v>
      </c>
      <c r="S1698">
        <v>-3.0620120000000002</v>
      </c>
      <c r="T1698">
        <v>-8.6470959999999999E-2</v>
      </c>
      <c r="U1698">
        <v>0.1092224</v>
      </c>
      <c r="V1698">
        <v>3.9959500000000002E-2</v>
      </c>
      <c r="W1698">
        <v>0.1866912</v>
      </c>
      <c r="X1698">
        <v>0.98160559999999997</v>
      </c>
      <c r="Y1698">
        <v>2.2236949999999998E-2</v>
      </c>
      <c r="Z1698">
        <v>1.879184E-4</v>
      </c>
      <c r="AA1698">
        <v>0.99975270000000005</v>
      </c>
      <c r="AB1698">
        <v>34</v>
      </c>
      <c r="AC1698">
        <v>-39.4363999999999</v>
      </c>
      <c r="AD1698">
        <v>-1.119902214883</v>
      </c>
      <c r="AE1698">
        <v>1.41109999999997</v>
      </c>
      <c r="AF1698">
        <v>0.88158229891819595</v>
      </c>
      <c r="AG1698">
        <v>-1.119902214883</v>
      </c>
      <c r="AH1698">
        <v>39.420024428813299</v>
      </c>
      <c r="AI1698">
        <v>91.626898765861</v>
      </c>
      <c r="AJ1698">
        <v>88.718861101067603</v>
      </c>
      <c r="AK1698">
        <v>39.4457817046247</v>
      </c>
      <c r="AL1698">
        <v>79.240250525440501</v>
      </c>
      <c r="AM1698">
        <v>87.668873061003396</v>
      </c>
      <c r="AN1698">
        <v>0.99999995987452395</v>
      </c>
    </row>
    <row r="1699" spans="1:40" x14ac:dyDescent="0.25">
      <c r="A1699" t="str">
        <f>"20190303162813640"</f>
        <v>20190303162813640</v>
      </c>
      <c r="B1699" t="str">
        <f>"1551601693633491"</f>
        <v>1551601693633491</v>
      </c>
      <c r="C1699" t="s">
        <v>40</v>
      </c>
      <c r="D1699">
        <v>4.6670420000000004</v>
      </c>
      <c r="E1699">
        <v>0.4939578</v>
      </c>
      <c r="F1699" t="s">
        <v>49</v>
      </c>
      <c r="G1699">
        <v>-293.08030000000002</v>
      </c>
      <c r="H1699" s="1">
        <v>2.7635560000000002E-6</v>
      </c>
      <c r="I1699">
        <v>284.48579999999998</v>
      </c>
      <c r="J1699">
        <v>-254.108</v>
      </c>
      <c r="K1699">
        <v>1.1199730000000001</v>
      </c>
      <c r="L1699">
        <v>283.12860000000001</v>
      </c>
      <c r="M1699">
        <v>-0.99984689999999998</v>
      </c>
      <c r="N1699">
        <v>-1.028316E-2</v>
      </c>
      <c r="O1699">
        <v>1.415552E-2</v>
      </c>
      <c r="P1699">
        <v>-0.98303280000000004</v>
      </c>
      <c r="Q1699">
        <v>0.17592389999999999</v>
      </c>
      <c r="R1699">
        <v>5.1938119999999997E-2</v>
      </c>
      <c r="S1699">
        <v>-3.0623469999999999</v>
      </c>
      <c r="T1699">
        <v>-8.728611E-2</v>
      </c>
      <c r="U1699">
        <v>0.10617070000000001</v>
      </c>
      <c r="V1699">
        <v>3.8413450000000002E-2</v>
      </c>
      <c r="W1699">
        <v>0.18594830000000001</v>
      </c>
      <c r="X1699">
        <v>0.98180840000000003</v>
      </c>
      <c r="Y1699">
        <v>2.048867E-2</v>
      </c>
      <c r="Z1699">
        <v>1.3953530000000001E-4</v>
      </c>
      <c r="AA1699">
        <v>0.99979010000000001</v>
      </c>
      <c r="AB1699">
        <v>34</v>
      </c>
      <c r="AC1699">
        <v>-38.972299999999997</v>
      </c>
      <c r="AD1699">
        <v>-1.1199702364439901</v>
      </c>
      <c r="AE1699">
        <v>1.35719999999997</v>
      </c>
      <c r="AF1699">
        <v>0.80469789012044102</v>
      </c>
      <c r="AG1699">
        <v>-1.1199702364439901</v>
      </c>
      <c r="AH1699">
        <v>38.955475279755497</v>
      </c>
      <c r="AI1699">
        <v>91.646449462630002</v>
      </c>
      <c r="AJ1699">
        <v>88.816617269789305</v>
      </c>
      <c r="AK1699">
        <v>38.979878479755797</v>
      </c>
      <c r="AL1699">
        <v>79.283575161690806</v>
      </c>
      <c r="AM1699">
        <v>87.759433973929006</v>
      </c>
      <c r="AN1699">
        <v>1.0000000488621701</v>
      </c>
    </row>
    <row r="1700" spans="1:40" x14ac:dyDescent="0.25">
      <c r="A1700" t="str">
        <f>"20190303162813663"</f>
        <v>20190303162813663</v>
      </c>
      <c r="B1700" t="str">
        <f>"1551601693653010"</f>
        <v>1551601693653010</v>
      </c>
      <c r="C1700" t="s">
        <v>40</v>
      </c>
      <c r="D1700">
        <v>4.7126929999999998</v>
      </c>
      <c r="E1700">
        <v>0.49347279999999999</v>
      </c>
      <c r="F1700" t="s">
        <v>49</v>
      </c>
      <c r="G1700">
        <v>-291.94920000000002</v>
      </c>
      <c r="H1700" s="1">
        <v>2.5702099999999998E-6</v>
      </c>
      <c r="I1700">
        <v>284.40230000000003</v>
      </c>
      <c r="J1700">
        <v>-254.46260000000001</v>
      </c>
      <c r="K1700">
        <v>1.120031</v>
      </c>
      <c r="L1700">
        <v>283.1343</v>
      </c>
      <c r="M1700">
        <v>-0.99983610000000001</v>
      </c>
      <c r="N1700">
        <v>-1.027428E-2</v>
      </c>
      <c r="O1700">
        <v>1.490797E-2</v>
      </c>
      <c r="P1700">
        <v>-0.98326720000000001</v>
      </c>
      <c r="Q1700">
        <v>0.1750121</v>
      </c>
      <c r="R1700">
        <v>5.0561799999999997E-2</v>
      </c>
      <c r="S1700">
        <v>-3.062576</v>
      </c>
      <c r="T1700">
        <v>-9.0641860000000005E-2</v>
      </c>
      <c r="U1700">
        <v>0.1030884</v>
      </c>
      <c r="V1700">
        <v>3.6261290000000002E-2</v>
      </c>
      <c r="W1700">
        <v>0.18504109999999999</v>
      </c>
      <c r="X1700">
        <v>0.98206159999999998</v>
      </c>
      <c r="Y1700">
        <v>1.8729300000000001E-2</v>
      </c>
      <c r="Z1700" s="1">
        <v>8.5453099999999895E-5</v>
      </c>
      <c r="AA1700">
        <v>0.99982459999999995</v>
      </c>
      <c r="AB1700">
        <v>34</v>
      </c>
      <c r="AC1700">
        <v>-37.486600000000003</v>
      </c>
      <c r="AD1700">
        <v>-1.1200284297900001</v>
      </c>
      <c r="AE1700">
        <v>1.26800000000002</v>
      </c>
      <c r="AF1700">
        <v>0.70834885435976602</v>
      </c>
      <c r="AG1700">
        <v>-1.1200284297900001</v>
      </c>
      <c r="AH1700">
        <v>37.4679285503138</v>
      </c>
      <c r="AI1700">
        <v>91.7119265724385</v>
      </c>
      <c r="AJ1700">
        <v>88.916925298979905</v>
      </c>
      <c r="AK1700">
        <v>37.491357559235396</v>
      </c>
      <c r="AL1700">
        <v>79.336471784199603</v>
      </c>
      <c r="AM1700">
        <v>87.885391842271801</v>
      </c>
      <c r="AN1700">
        <v>1.00000003801811</v>
      </c>
    </row>
    <row r="1701" spans="1:40" x14ac:dyDescent="0.25">
      <c r="A1701" t="str">
        <f>"20190303162813686"</f>
        <v>20190303162813686</v>
      </c>
      <c r="B1701" t="str">
        <f>"1551601693673507"</f>
        <v>1551601693673507</v>
      </c>
      <c r="C1701" t="s">
        <v>40</v>
      </c>
      <c r="D1701">
        <v>4.6481570000000003</v>
      </c>
      <c r="E1701">
        <v>0.4931875</v>
      </c>
      <c r="F1701" t="s">
        <v>49</v>
      </c>
      <c r="G1701">
        <v>-291.52620000000002</v>
      </c>
      <c r="H1701" s="1">
        <v>2.503934E-6</v>
      </c>
      <c r="I1701">
        <v>284.3021</v>
      </c>
      <c r="J1701">
        <v>-254.7988</v>
      </c>
      <c r="K1701">
        <v>1.12008</v>
      </c>
      <c r="L1701">
        <v>283.14</v>
      </c>
      <c r="M1701">
        <v>-0.9998264</v>
      </c>
      <c r="N1701">
        <v>-1.0267180000000001E-2</v>
      </c>
      <c r="O1701">
        <v>1.5559160000000001E-2</v>
      </c>
      <c r="P1701">
        <v>-0.98333329999999997</v>
      </c>
      <c r="Q1701">
        <v>0.1752302</v>
      </c>
      <c r="R1701">
        <v>4.848148E-2</v>
      </c>
      <c r="S1701">
        <v>-3.0625610000000001</v>
      </c>
      <c r="T1701">
        <v>-9.2547889999999994E-2</v>
      </c>
      <c r="U1701">
        <v>9.6496579999999998E-2</v>
      </c>
      <c r="V1701">
        <v>3.3518249999999999E-2</v>
      </c>
      <c r="W1701">
        <v>0.1852618</v>
      </c>
      <c r="X1701">
        <v>0.98211740000000003</v>
      </c>
      <c r="Y1701">
        <v>1.5930119999999999E-2</v>
      </c>
      <c r="Z1701" s="1">
        <v>1.219547E-5</v>
      </c>
      <c r="AA1701">
        <v>0.99987309999999996</v>
      </c>
      <c r="AB1701">
        <v>34</v>
      </c>
      <c r="AC1701">
        <v>-36.727400000000003</v>
      </c>
      <c r="AD1701">
        <v>-1.120077496066</v>
      </c>
      <c r="AE1701">
        <v>1.1620999999999999</v>
      </c>
      <c r="AF1701">
        <v>0.58993366089110899</v>
      </c>
      <c r="AG1701">
        <v>-1.120077496066</v>
      </c>
      <c r="AH1701">
        <v>36.7069300125723</v>
      </c>
      <c r="AI1701">
        <v>91.747559043177404</v>
      </c>
      <c r="AJ1701">
        <v>89.079252902515194</v>
      </c>
      <c r="AK1701">
        <v>36.728753127071002</v>
      </c>
      <c r="AL1701">
        <v>79.323603686628701</v>
      </c>
      <c r="AM1701">
        <v>88.045336371647906</v>
      </c>
      <c r="AN1701">
        <v>0.99999999750253099</v>
      </c>
    </row>
    <row r="1702" spans="1:40" x14ac:dyDescent="0.25">
      <c r="A1702" t="str">
        <f>"20190303162813706"</f>
        <v>20190303162813706</v>
      </c>
      <c r="B1702" t="str">
        <f>"1551601693693027"</f>
        <v>1551601693693027</v>
      </c>
      <c r="C1702" t="s">
        <v>40</v>
      </c>
      <c r="D1702">
        <v>4.7530199999999896</v>
      </c>
      <c r="E1702">
        <v>0.49281029999999998</v>
      </c>
      <c r="F1702" t="s">
        <v>49</v>
      </c>
      <c r="G1702">
        <v>-292.48700000000002</v>
      </c>
      <c r="H1702" s="1">
        <v>2.6797730000000001E-6</v>
      </c>
      <c r="I1702">
        <v>284.24029999999999</v>
      </c>
      <c r="J1702">
        <v>-255.1284</v>
      </c>
      <c r="K1702">
        <v>1.120117</v>
      </c>
      <c r="L1702">
        <v>283.14569999999998</v>
      </c>
      <c r="M1702">
        <v>-0.99981660000000006</v>
      </c>
      <c r="N1702">
        <v>-1.026154E-2</v>
      </c>
      <c r="O1702">
        <v>1.6167359999999999E-2</v>
      </c>
      <c r="P1702">
        <v>-0.98333660000000001</v>
      </c>
      <c r="Q1702">
        <v>0.175781299999999</v>
      </c>
      <c r="R1702">
        <v>4.6369689999999998E-2</v>
      </c>
      <c r="S1702">
        <v>-3.0626679999999999</v>
      </c>
      <c r="T1702">
        <v>-9.1021299999999999E-2</v>
      </c>
      <c r="U1702">
        <v>8.9416499999999996E-2</v>
      </c>
      <c r="V1702">
        <v>3.079281E-2</v>
      </c>
      <c r="W1702">
        <v>0.18581510000000001</v>
      </c>
      <c r="X1702">
        <v>0.98210209999999998</v>
      </c>
      <c r="Y1702">
        <v>1.301339E-2</v>
      </c>
      <c r="Z1702" s="1">
        <v>-5.4276040000000003E-5</v>
      </c>
      <c r="AA1702">
        <v>0.99991529999999995</v>
      </c>
      <c r="AB1702">
        <v>35</v>
      </c>
      <c r="AC1702">
        <v>-37.358600000000003</v>
      </c>
      <c r="AD1702">
        <v>-1.1201143202269901</v>
      </c>
      <c r="AE1702">
        <v>1.09460000000001</v>
      </c>
      <c r="AF1702">
        <v>0.48999504615773098</v>
      </c>
      <c r="AG1702">
        <v>-1.1201143202269901</v>
      </c>
      <c r="AH1702">
        <v>37.337877718595898</v>
      </c>
      <c r="AI1702">
        <v>91.718176397872796</v>
      </c>
      <c r="AJ1702">
        <v>89.248135182419901</v>
      </c>
      <c r="AK1702">
        <v>37.357888909365002</v>
      </c>
      <c r="AL1702">
        <v>79.291341704654599</v>
      </c>
      <c r="AM1702">
        <v>88.2041375850158</v>
      </c>
      <c r="AN1702">
        <v>0.99999999168005704</v>
      </c>
    </row>
    <row r="1703" spans="1:40" x14ac:dyDescent="0.25">
      <c r="A1703" t="str">
        <f>"20190303162813730"</f>
        <v>20190303162813730</v>
      </c>
      <c r="B1703" t="str">
        <f>"1551601693723283"</f>
        <v>1551601693723283</v>
      </c>
      <c r="C1703" t="s">
        <v>40</v>
      </c>
      <c r="D1703">
        <v>4.644933</v>
      </c>
      <c r="E1703">
        <v>0.49486930000000001</v>
      </c>
      <c r="F1703" t="s">
        <v>49</v>
      </c>
      <c r="G1703">
        <v>-293.31659999999999</v>
      </c>
      <c r="H1703" s="1">
        <v>2.8340119999999998E-6</v>
      </c>
      <c r="I1703">
        <v>284.15929999999997</v>
      </c>
      <c r="J1703">
        <v>-255.49119999999999</v>
      </c>
      <c r="K1703">
        <v>1.1201509999999999</v>
      </c>
      <c r="L1703">
        <v>283.15230000000003</v>
      </c>
      <c r="M1703">
        <v>-0.99980590000000003</v>
      </c>
      <c r="N1703">
        <v>-1.0255459999999999E-2</v>
      </c>
      <c r="O1703">
        <v>1.682026E-2</v>
      </c>
      <c r="P1703">
        <v>-0.98338170000000003</v>
      </c>
      <c r="Q1703">
        <v>0.17606340000000001</v>
      </c>
      <c r="R1703">
        <v>4.4297820000000002E-2</v>
      </c>
      <c r="S1703">
        <v>-3.0630799999999998</v>
      </c>
      <c r="T1703">
        <v>-8.9844579999999993E-2</v>
      </c>
      <c r="U1703">
        <v>8.1298830000000002E-2</v>
      </c>
      <c r="V1703">
        <v>2.806496E-2</v>
      </c>
      <c r="W1703">
        <v>0.18609819999999999</v>
      </c>
      <c r="X1703">
        <v>0.98213019999999995</v>
      </c>
      <c r="Y1703">
        <v>9.7106320000000003E-3</v>
      </c>
      <c r="Z1703">
        <v>-1.2848389999999999E-4</v>
      </c>
      <c r="AA1703">
        <v>0.99995290000000003</v>
      </c>
      <c r="AB1703">
        <v>35</v>
      </c>
      <c r="AC1703">
        <v>-37.825400000000002</v>
      </c>
      <c r="AD1703">
        <v>-1.1201481659879999</v>
      </c>
      <c r="AE1703">
        <v>1.0069999999999399</v>
      </c>
      <c r="AF1703">
        <v>0.370266497926663</v>
      </c>
      <c r="AG1703">
        <v>-1.1201481659879999</v>
      </c>
      <c r="AH1703">
        <v>37.803857844736299</v>
      </c>
      <c r="AI1703">
        <v>91.697126108738999</v>
      </c>
      <c r="AJ1703">
        <v>89.438839565700704</v>
      </c>
      <c r="AK1703">
        <v>37.822261925197999</v>
      </c>
      <c r="AL1703">
        <v>79.274832940930395</v>
      </c>
      <c r="AM1703">
        <v>88.363184133133501</v>
      </c>
      <c r="AN1703">
        <v>0.99999995588753898</v>
      </c>
    </row>
    <row r="1704" spans="1:40" x14ac:dyDescent="0.25">
      <c r="A1704" t="str">
        <f>"20190303162813752"</f>
        <v>20190303162813752</v>
      </c>
      <c r="B1704" t="str">
        <f>"1551601693742802"</f>
        <v>1551601693742802</v>
      </c>
      <c r="C1704" t="s">
        <v>40</v>
      </c>
      <c r="D1704">
        <v>4.667243</v>
      </c>
      <c r="E1704">
        <v>0.52374609999999899</v>
      </c>
      <c r="F1704" t="s">
        <v>49</v>
      </c>
      <c r="G1704">
        <v>-294.93720000000002</v>
      </c>
      <c r="H1704" s="1">
        <v>3.1060769999999998E-6</v>
      </c>
      <c r="I1704">
        <v>284.3356</v>
      </c>
      <c r="J1704">
        <v>-255.846</v>
      </c>
      <c r="K1704">
        <v>1.120169</v>
      </c>
      <c r="L1704">
        <v>283.15890000000002</v>
      </c>
      <c r="M1704">
        <v>-0.99979530000000005</v>
      </c>
      <c r="N1704">
        <v>-1.0245809999999999E-2</v>
      </c>
      <c r="O1704">
        <v>1.7454009999999999E-2</v>
      </c>
      <c r="P1704">
        <v>-0.98336670000000004</v>
      </c>
      <c r="Q1704">
        <v>0.17640229999999901</v>
      </c>
      <c r="R1704">
        <v>4.3272280000000003E-2</v>
      </c>
      <c r="S1704">
        <v>-3.062103</v>
      </c>
      <c r="T1704">
        <v>-8.6954470000000006E-2</v>
      </c>
      <c r="U1704">
        <v>9.1857910000000001E-2</v>
      </c>
      <c r="V1704">
        <v>2.6406369999999998E-2</v>
      </c>
      <c r="W1704">
        <v>0.18643119999999999</v>
      </c>
      <c r="X1704">
        <v>0.98211309999999996</v>
      </c>
      <c r="Y1704">
        <v>1.2529179999999999E-2</v>
      </c>
      <c r="Z1704" s="1">
        <v>-7.4548999999999994E-5</v>
      </c>
      <c r="AA1704">
        <v>0.99992150000000002</v>
      </c>
      <c r="AB1704">
        <v>35</v>
      </c>
      <c r="AC1704">
        <v>-39.091200000000001</v>
      </c>
      <c r="AD1704">
        <v>-1.1201658939229999</v>
      </c>
      <c r="AE1704">
        <v>1.1766999999999801</v>
      </c>
      <c r="AF1704">
        <v>0.493781721965179</v>
      </c>
      <c r="AG1704">
        <v>-1.1201658939229999</v>
      </c>
      <c r="AH1704">
        <v>39.073728532906102</v>
      </c>
      <c r="AI1704">
        <v>91.641974973173504</v>
      </c>
      <c r="AJ1704">
        <v>89.275981488454207</v>
      </c>
      <c r="AK1704">
        <v>39.092900295093102</v>
      </c>
      <c r="AL1704">
        <v>79.255414241261093</v>
      </c>
      <c r="AM1704">
        <v>88.459842230442504</v>
      </c>
      <c r="AN1704">
        <v>1.0000000149508099</v>
      </c>
    </row>
    <row r="1705" spans="1:40" x14ac:dyDescent="0.25">
      <c r="A1705" t="str">
        <f>"20190303162813774"</f>
        <v>20190303162813774</v>
      </c>
      <c r="B1705" t="str">
        <f>"1551601693763299"</f>
        <v>1551601693763299</v>
      </c>
      <c r="C1705" t="s">
        <v>40</v>
      </c>
      <c r="D1705">
        <v>4.6616080000000002</v>
      </c>
      <c r="E1705">
        <v>0.52415749999999905</v>
      </c>
      <c r="F1705" t="s">
        <v>49</v>
      </c>
      <c r="G1705">
        <v>-295.97379999999998</v>
      </c>
      <c r="H1705" s="1">
        <v>3.0266010000000002E-6</v>
      </c>
      <c r="I1705">
        <v>287.34789999999998</v>
      </c>
      <c r="J1705">
        <v>-256.17320000000001</v>
      </c>
      <c r="K1705">
        <v>1.1201779999999999</v>
      </c>
      <c r="L1705">
        <v>283.16520000000003</v>
      </c>
      <c r="M1705">
        <v>-0.99978500000000003</v>
      </c>
      <c r="N1705">
        <v>-1.023525E-2</v>
      </c>
      <c r="O1705">
        <v>1.8038999999999999E-2</v>
      </c>
      <c r="P1705">
        <v>-0.98326250000000004</v>
      </c>
      <c r="Q1705">
        <v>0.17693420000000001</v>
      </c>
      <c r="R1705">
        <v>4.3466659999999997E-2</v>
      </c>
      <c r="S1705">
        <v>-3.0520019999999999</v>
      </c>
      <c r="T1705">
        <v>-8.5196610000000006E-2</v>
      </c>
      <c r="U1705">
        <v>0.31860349999999998</v>
      </c>
      <c r="V1705">
        <v>2.6020379999999999E-2</v>
      </c>
      <c r="W1705">
        <v>0.18695410000000001</v>
      </c>
      <c r="X1705">
        <v>0.98202400000000001</v>
      </c>
      <c r="Y1705">
        <v>8.5825579999999999E-2</v>
      </c>
      <c r="Z1705">
        <v>1.317183E-3</v>
      </c>
      <c r="AA1705">
        <v>0.99630929999999995</v>
      </c>
      <c r="AB1705">
        <v>35</v>
      </c>
      <c r="AC1705">
        <v>-39.800599999999903</v>
      </c>
      <c r="AD1705">
        <v>-1.1201749733990001</v>
      </c>
      <c r="AE1705">
        <v>4.1826999999999499</v>
      </c>
      <c r="AF1705">
        <v>3.4613069493604001</v>
      </c>
      <c r="AG1705">
        <v>-1.1201749733990001</v>
      </c>
      <c r="AH1705">
        <v>39.8383666345375</v>
      </c>
      <c r="AI1705">
        <v>91.604576300803799</v>
      </c>
      <c r="AJ1705">
        <v>85.034397146102293</v>
      </c>
      <c r="AK1705">
        <v>40.004135959629799</v>
      </c>
      <c r="AL1705">
        <v>79.224918119326603</v>
      </c>
      <c r="AM1705">
        <v>88.482206947541997</v>
      </c>
      <c r="AN1705">
        <v>1.0000000161290701</v>
      </c>
    </row>
    <row r="1706" spans="1:40" x14ac:dyDescent="0.25">
      <c r="A1706" t="str">
        <f>"20190303162813795"</f>
        <v>20190303162813795</v>
      </c>
      <c r="B1706" t="str">
        <f>"1551601693782819"</f>
        <v>1551601693782819</v>
      </c>
      <c r="C1706" t="s">
        <v>40</v>
      </c>
      <c r="D1706">
        <v>4.6796800000000003</v>
      </c>
      <c r="E1706">
        <v>0.52429789999999998</v>
      </c>
      <c r="F1706" t="s">
        <v>49</v>
      </c>
      <c r="G1706">
        <v>-296.3655</v>
      </c>
      <c r="H1706" s="1">
        <v>3.0919750000000002E-6</v>
      </c>
      <c r="I1706">
        <v>287.39490000000001</v>
      </c>
      <c r="J1706">
        <v>-256.5043</v>
      </c>
      <c r="K1706">
        <v>1.1201730000000001</v>
      </c>
      <c r="L1706">
        <v>283.17180000000002</v>
      </c>
      <c r="M1706">
        <v>-0.99977419999999995</v>
      </c>
      <c r="N1706">
        <v>-1.02249E-2</v>
      </c>
      <c r="O1706">
        <v>1.863416E-2</v>
      </c>
      <c r="P1706">
        <v>-0.98334100000000002</v>
      </c>
      <c r="Q1706">
        <v>0.17612220000000001</v>
      </c>
      <c r="R1706">
        <v>4.4962960000000003E-2</v>
      </c>
      <c r="S1706">
        <v>-3.052155</v>
      </c>
      <c r="T1706">
        <v>-8.5064650000000006E-2</v>
      </c>
      <c r="U1706">
        <v>0.32119750000000002</v>
      </c>
      <c r="V1706">
        <v>2.692166E-2</v>
      </c>
      <c r="W1706">
        <v>0.18613279999999999</v>
      </c>
      <c r="X1706">
        <v>0.98215569999999996</v>
      </c>
      <c r="Y1706">
        <v>8.6065000000000003E-2</v>
      </c>
      <c r="Z1706">
        <v>1.3095229999999999E-3</v>
      </c>
      <c r="AA1706">
        <v>0.99628870000000003</v>
      </c>
      <c r="AB1706">
        <v>35</v>
      </c>
      <c r="AC1706">
        <v>-39.861199999999997</v>
      </c>
      <c r="AD1706">
        <v>-1.1201699080249901</v>
      </c>
      <c r="AE1706">
        <v>4.2230999999999801</v>
      </c>
      <c r="AF1706">
        <v>3.4768327288845602</v>
      </c>
      <c r="AG1706">
        <v>-1.1201699080249901</v>
      </c>
      <c r="AH1706">
        <v>39.901815104822298</v>
      </c>
      <c r="AI1706">
        <v>91.601984232337998</v>
      </c>
      <c r="AJ1706">
        <v>85.020127122414806</v>
      </c>
      <c r="AK1706">
        <v>40.068666001090101</v>
      </c>
      <c r="AL1706">
        <v>79.272815808669804</v>
      </c>
      <c r="AM1706">
        <v>88.429870792958596</v>
      </c>
      <c r="AN1706">
        <v>1.0000000070277399</v>
      </c>
    </row>
    <row r="1707" spans="1:40" x14ac:dyDescent="0.25">
      <c r="A1707" t="str">
        <f>"20190303162813809"</f>
        <v>20190303162813809</v>
      </c>
      <c r="B1707" t="str">
        <f>"1551601693803315"</f>
        <v>1551601693803315</v>
      </c>
      <c r="C1707" t="s">
        <v>40</v>
      </c>
      <c r="D1707">
        <v>4.6709690000000004</v>
      </c>
      <c r="E1707">
        <v>0.52412619999999999</v>
      </c>
      <c r="F1707" t="s">
        <v>49</v>
      </c>
      <c r="G1707">
        <v>-295.92500000000001</v>
      </c>
      <c r="H1707" s="1">
        <v>3.0155490000000001E-6</v>
      </c>
      <c r="I1707">
        <v>287.37520000000001</v>
      </c>
      <c r="J1707">
        <v>-256.71699999999998</v>
      </c>
      <c r="K1707">
        <v>1.120174</v>
      </c>
      <c r="L1707">
        <v>283.17610000000002</v>
      </c>
      <c r="M1707">
        <v>-0.99976699999999996</v>
      </c>
      <c r="N1707">
        <v>-1.021879E-2</v>
      </c>
      <c r="O1707">
        <v>1.9017180000000002E-2</v>
      </c>
      <c r="P1707">
        <v>-0.98351089999999997</v>
      </c>
      <c r="Q1707">
        <v>0.1750266</v>
      </c>
      <c r="R1707">
        <v>4.5519549999999999E-2</v>
      </c>
      <c r="S1707">
        <v>-3.0514830000000002</v>
      </c>
      <c r="T1707">
        <v>-8.6710449999999994E-2</v>
      </c>
      <c r="U1707">
        <v>0.32537840000000001</v>
      </c>
      <c r="V1707">
        <v>2.709286E-2</v>
      </c>
      <c r="W1707">
        <v>0.18503310000000001</v>
      </c>
      <c r="X1707">
        <v>0.98235879999999998</v>
      </c>
      <c r="Y1707">
        <v>8.7054160000000005E-2</v>
      </c>
      <c r="Z1707">
        <v>1.334528E-3</v>
      </c>
      <c r="AA1707">
        <v>0.9962027</v>
      </c>
      <c r="AB1707">
        <v>35</v>
      </c>
      <c r="AC1707">
        <v>-39.207999999999998</v>
      </c>
      <c r="AD1707">
        <v>-1.1201709844509999</v>
      </c>
      <c r="AE1707">
        <v>4.1990999999999801</v>
      </c>
      <c r="AF1707">
        <v>3.4498920489651601</v>
      </c>
      <c r="AG1707">
        <v>-1.1201709844509999</v>
      </c>
      <c r="AH1707">
        <v>39.249094487710103</v>
      </c>
      <c r="AI1707">
        <v>91.628505082855</v>
      </c>
      <c r="AJ1707">
        <v>84.976761739815402</v>
      </c>
      <c r="AK1707">
        <v>39.416341234177402</v>
      </c>
      <c r="AL1707">
        <v>79.336938242865003</v>
      </c>
      <c r="AM1707">
        <v>88.420217603657207</v>
      </c>
      <c r="AN1707">
        <v>1.0000000415480099</v>
      </c>
    </row>
    <row r="1708" spans="1:40" x14ac:dyDescent="0.25">
      <c r="A1708" t="str">
        <f>"20190303162813829"</f>
        <v>20190303162813829</v>
      </c>
      <c r="B1708" t="str">
        <f>"1551601693822835"</f>
        <v>1551601693822835</v>
      </c>
      <c r="C1708" t="s">
        <v>40</v>
      </c>
      <c r="D1708">
        <v>4.6845879999999998</v>
      </c>
      <c r="E1708">
        <v>0.524231</v>
      </c>
      <c r="F1708" t="s">
        <v>49</v>
      </c>
      <c r="G1708">
        <v>-295.20310000000001</v>
      </c>
      <c r="H1708" s="1">
        <v>2.8954860000000001E-6</v>
      </c>
      <c r="I1708">
        <v>287.28390000000002</v>
      </c>
      <c r="J1708">
        <v>-257.04820000000001</v>
      </c>
      <c r="K1708">
        <v>1.1201730000000001</v>
      </c>
      <c r="L1708">
        <v>283.18299999999999</v>
      </c>
      <c r="M1708">
        <v>-0.99975559999999997</v>
      </c>
      <c r="N1708">
        <v>-1.0210250000000001E-2</v>
      </c>
      <c r="O1708">
        <v>1.9612439999999998E-2</v>
      </c>
      <c r="P1708">
        <v>-0.98377749999999997</v>
      </c>
      <c r="Q1708">
        <v>0.17329439999999999</v>
      </c>
      <c r="R1708">
        <v>4.6380669999999999E-2</v>
      </c>
      <c r="S1708">
        <v>-3.051056</v>
      </c>
      <c r="T1708">
        <v>-8.8803530000000006E-2</v>
      </c>
      <c r="U1708">
        <v>0.32565309999999997</v>
      </c>
      <c r="V1708">
        <v>2.735576E-2</v>
      </c>
      <c r="W1708">
        <v>0.18329619999999999</v>
      </c>
      <c r="X1708">
        <v>0.98267700000000002</v>
      </c>
      <c r="Y1708">
        <v>8.6563020000000004E-2</v>
      </c>
      <c r="Z1708">
        <v>1.3300129999999999E-3</v>
      </c>
      <c r="AA1708">
        <v>0.99624550000000001</v>
      </c>
      <c r="AB1708">
        <v>35</v>
      </c>
      <c r="AC1708">
        <v>-38.154899999999998</v>
      </c>
      <c r="AD1708">
        <v>-1.12017010451399</v>
      </c>
      <c r="AE1708">
        <v>4.1009000000000198</v>
      </c>
      <c r="AF1708">
        <v>3.3489079750503201</v>
      </c>
      <c r="AG1708">
        <v>-1.12017010451399</v>
      </c>
      <c r="AH1708">
        <v>38.19544779081</v>
      </c>
      <c r="AI1708">
        <v>91.673433892180697</v>
      </c>
      <c r="AJ1708">
        <v>84.989223230237002</v>
      </c>
      <c r="AK1708">
        <v>38.358339349206602</v>
      </c>
      <c r="AL1708">
        <v>79.438186246473705</v>
      </c>
      <c r="AM1708">
        <v>88.405412051274794</v>
      </c>
      <c r="AN1708">
        <v>0.99999996043430806</v>
      </c>
    </row>
    <row r="1709" spans="1:40" x14ac:dyDescent="0.25">
      <c r="A1709" t="str">
        <f>"20190303162813854"</f>
        <v>20190303162813854</v>
      </c>
      <c r="B1709" t="str">
        <f>"1551601693843331"</f>
        <v>1551601693843331</v>
      </c>
      <c r="C1709" t="s">
        <v>40</v>
      </c>
      <c r="D1709">
        <v>4.6467729999999996</v>
      </c>
      <c r="E1709">
        <v>0.52417479999999905</v>
      </c>
      <c r="F1709" t="s">
        <v>49</v>
      </c>
      <c r="G1709">
        <v>-294.98950000000002</v>
      </c>
      <c r="H1709" s="1">
        <v>2.8574890000000001E-6</v>
      </c>
      <c r="I1709">
        <v>287.28519999999997</v>
      </c>
      <c r="J1709">
        <v>-257.4203</v>
      </c>
      <c r="K1709">
        <v>1.120174</v>
      </c>
      <c r="L1709">
        <v>283.1909</v>
      </c>
      <c r="M1709">
        <v>-0.99974240000000003</v>
      </c>
      <c r="N1709">
        <v>-1.020181E-2</v>
      </c>
      <c r="O1709">
        <v>2.0276949999999998E-2</v>
      </c>
      <c r="P1709">
        <v>-0.98398790000000003</v>
      </c>
      <c r="Q1709">
        <v>0.17195350000000001</v>
      </c>
      <c r="R1709">
        <v>4.6904399999999999E-2</v>
      </c>
      <c r="S1709">
        <v>-3.0497740000000002</v>
      </c>
      <c r="T1709">
        <v>-9.0040679999999998E-2</v>
      </c>
      <c r="U1709">
        <v>0.32974239999999999</v>
      </c>
      <c r="V1709">
        <v>2.7214450000000001E-2</v>
      </c>
      <c r="W1709">
        <v>0.18195020000000001</v>
      </c>
      <c r="X1709">
        <v>0.98293109999999995</v>
      </c>
      <c r="Y1709">
        <v>8.7264240000000007E-2</v>
      </c>
      <c r="Z1709">
        <v>1.34043799999999E-3</v>
      </c>
      <c r="AA1709">
        <v>0.99618430000000002</v>
      </c>
      <c r="AB1709">
        <v>35</v>
      </c>
      <c r="AC1709">
        <v>-37.569200000000002</v>
      </c>
      <c r="AD1709">
        <v>-1.1201711425109999</v>
      </c>
      <c r="AE1709">
        <v>4.0942999999999703</v>
      </c>
      <c r="AF1709">
        <v>3.32870522590403</v>
      </c>
      <c r="AG1709">
        <v>-1.1201711425109999</v>
      </c>
      <c r="AH1709">
        <v>37.611454894141801</v>
      </c>
      <c r="AI1709">
        <v>91.6992813844289</v>
      </c>
      <c r="AJ1709">
        <v>84.942361660955399</v>
      </c>
      <c r="AK1709">
        <v>37.775079101486199</v>
      </c>
      <c r="AL1709">
        <v>79.516626168817794</v>
      </c>
      <c r="AM1709">
        <v>88.414054781457196</v>
      </c>
      <c r="AN1709">
        <v>1.0000000244580201</v>
      </c>
    </row>
    <row r="1710" spans="1:40" x14ac:dyDescent="0.25">
      <c r="A1710" t="str">
        <f>"20190303162813885"</f>
        <v>20190303162813885</v>
      </c>
      <c r="B1710" t="str">
        <f>"1551601693873586"</f>
        <v>1551601693873586</v>
      </c>
      <c r="C1710" t="s">
        <v>40</v>
      </c>
      <c r="D1710">
        <v>4.6585150000000004</v>
      </c>
      <c r="E1710">
        <v>0.52420180000000005</v>
      </c>
      <c r="F1710" t="s">
        <v>49</v>
      </c>
      <c r="G1710">
        <v>-293.78609999999998</v>
      </c>
      <c r="H1710" s="1">
        <v>2.6565010000000001E-6</v>
      </c>
      <c r="I1710">
        <v>287.14249999999998</v>
      </c>
      <c r="J1710">
        <v>-257.90159999999997</v>
      </c>
      <c r="K1710">
        <v>1.1201730000000001</v>
      </c>
      <c r="L1710">
        <v>283.20159999999998</v>
      </c>
      <c r="M1710">
        <v>-0.99972470000000002</v>
      </c>
      <c r="N1710">
        <v>-1.019281E-2</v>
      </c>
      <c r="O1710">
        <v>2.1129189999999999E-2</v>
      </c>
      <c r="P1710">
        <v>-0.9840835</v>
      </c>
      <c r="Q1710">
        <v>0.1713297</v>
      </c>
      <c r="R1710">
        <v>4.7177629999999998E-2</v>
      </c>
      <c r="S1710">
        <v>-3.0494690000000002</v>
      </c>
      <c r="T1710">
        <v>-9.3932390000000004E-2</v>
      </c>
      <c r="U1710">
        <v>0.33135989999999999</v>
      </c>
      <c r="V1710">
        <v>2.6640230000000001E-2</v>
      </c>
      <c r="W1710">
        <v>0.1813205</v>
      </c>
      <c r="X1710">
        <v>0.98306320000000003</v>
      </c>
      <c r="Y1710">
        <v>8.6944919999999995E-2</v>
      </c>
      <c r="Z1710">
        <v>1.345614E-3</v>
      </c>
      <c r="AA1710">
        <v>0.99621219999999999</v>
      </c>
      <c r="AB1710">
        <v>35</v>
      </c>
      <c r="AC1710">
        <v>-35.884500000000003</v>
      </c>
      <c r="AD1710">
        <v>-1.12017034349899</v>
      </c>
      <c r="AE1710">
        <v>3.9408999999999899</v>
      </c>
      <c r="AF1710">
        <v>3.1787096939917001</v>
      </c>
      <c r="AG1710">
        <v>-1.12017034349899</v>
      </c>
      <c r="AH1710">
        <v>35.9251707623703</v>
      </c>
      <c r="AI1710">
        <v>91.778995508371494</v>
      </c>
      <c r="AJ1710">
        <v>84.943556879216402</v>
      </c>
      <c r="AK1710">
        <v>36.082916611917597</v>
      </c>
      <c r="AL1710">
        <v>79.553315783122002</v>
      </c>
      <c r="AM1710">
        <v>88.447709903468095</v>
      </c>
      <c r="AN1710">
        <v>1.00000004038447</v>
      </c>
    </row>
    <row r="1711" spans="1:40" x14ac:dyDescent="0.25">
      <c r="A1711" t="str">
        <f>"20190303162813907"</f>
        <v>20190303162813907</v>
      </c>
      <c r="B1711" t="str">
        <f>"1551601693902868"</f>
        <v>1551601693902868</v>
      </c>
      <c r="C1711" t="s">
        <v>40</v>
      </c>
      <c r="D1711">
        <v>4.7969799999999996</v>
      </c>
      <c r="E1711">
        <v>0.52382720000000005</v>
      </c>
      <c r="F1711" t="s">
        <v>49</v>
      </c>
      <c r="G1711">
        <v>-294.83159999999998</v>
      </c>
      <c r="H1711" s="1">
        <v>2.8328199999999999E-6</v>
      </c>
      <c r="I1711">
        <v>287.24700000000001</v>
      </c>
      <c r="J1711">
        <v>-258.25670000000002</v>
      </c>
      <c r="K1711">
        <v>1.12018</v>
      </c>
      <c r="L1711">
        <v>283.2097</v>
      </c>
      <c r="M1711">
        <v>-0.99971160000000003</v>
      </c>
      <c r="N1711">
        <v>-1.018792E-2</v>
      </c>
      <c r="O1711">
        <v>2.1749009999999999E-2</v>
      </c>
      <c r="P1711">
        <v>-0.98431279999999999</v>
      </c>
      <c r="Q1711">
        <v>0.17041770000000001</v>
      </c>
      <c r="R1711">
        <v>4.56745E-2</v>
      </c>
      <c r="S1711">
        <v>-3.048584</v>
      </c>
      <c r="T1711">
        <v>-9.2470410000000003E-2</v>
      </c>
      <c r="U1711">
        <v>0.33395390000000003</v>
      </c>
      <c r="V1711">
        <v>2.451733E-2</v>
      </c>
      <c r="W1711">
        <v>0.18040929999999999</v>
      </c>
      <c r="X1711">
        <v>0.98328599999999999</v>
      </c>
      <c r="Y1711">
        <v>8.7197269999999993E-2</v>
      </c>
      <c r="Z1711">
        <v>1.3274739999999999E-3</v>
      </c>
      <c r="AA1711">
        <v>0.99619020000000003</v>
      </c>
      <c r="AB1711">
        <v>35</v>
      </c>
      <c r="AC1711">
        <v>-36.5748999999999</v>
      </c>
      <c r="AD1711">
        <v>-1.12017716718</v>
      </c>
      <c r="AE1711">
        <v>4.0373000000000099</v>
      </c>
      <c r="AF1711">
        <v>3.2378352557424401</v>
      </c>
      <c r="AG1711">
        <v>-1.12017716718</v>
      </c>
      <c r="AH1711">
        <v>36.620123082890601</v>
      </c>
      <c r="AI1711">
        <v>91.745276506509001</v>
      </c>
      <c r="AJ1711">
        <v>84.947228117130294</v>
      </c>
      <c r="AK1711">
        <v>36.780046066247102</v>
      </c>
      <c r="AL1711">
        <v>79.6063985834721</v>
      </c>
      <c r="AM1711">
        <v>88.5716785047766</v>
      </c>
      <c r="AN1711">
        <v>0.99999998639640897</v>
      </c>
    </row>
    <row r="1712" spans="1:40" x14ac:dyDescent="0.25">
      <c r="A1712" t="str">
        <f>"20190303162813930"</f>
        <v>20190303162813930</v>
      </c>
      <c r="B1712" t="str">
        <f>"1551601693923363"</f>
        <v>1551601693923363</v>
      </c>
      <c r="C1712" t="s">
        <v>40</v>
      </c>
      <c r="D1712">
        <v>4.7586089999999999</v>
      </c>
      <c r="E1712">
        <v>0.52857469999999995</v>
      </c>
      <c r="F1712" t="s">
        <v>44</v>
      </c>
      <c r="G1712">
        <v>-259.23610000000002</v>
      </c>
      <c r="H1712">
        <v>1.0476160000000001</v>
      </c>
      <c r="I1712">
        <v>283.3143</v>
      </c>
      <c r="J1712">
        <v>-258.61219999999997</v>
      </c>
      <c r="K1712">
        <v>1.1201829999999999</v>
      </c>
      <c r="L1712">
        <v>283.21800000000002</v>
      </c>
      <c r="M1712">
        <v>-0.99969819999999998</v>
      </c>
      <c r="N1712">
        <v>-1.018428E-2</v>
      </c>
      <c r="O1712">
        <v>2.2361430000000002E-2</v>
      </c>
      <c r="P1712">
        <v>-0.98441999999999996</v>
      </c>
      <c r="Q1712">
        <v>0.1702418</v>
      </c>
      <c r="R1712">
        <v>4.3992139999999999E-2</v>
      </c>
      <c r="S1712">
        <v>-3.0720209999999999</v>
      </c>
      <c r="T1712">
        <v>-0.2276888</v>
      </c>
      <c r="U1712">
        <v>0.32754519999999998</v>
      </c>
      <c r="V1712">
        <v>2.2226260000000001E-2</v>
      </c>
      <c r="W1712">
        <v>0.1802348</v>
      </c>
      <c r="X1712">
        <v>0.98337240000000004</v>
      </c>
      <c r="Y1712">
        <v>8.3545149999999999E-2</v>
      </c>
      <c r="Z1712">
        <v>2.0874800000000001E-3</v>
      </c>
      <c r="AA1712">
        <v>0.99650179999999999</v>
      </c>
      <c r="AB1712">
        <v>35</v>
      </c>
      <c r="AC1712">
        <v>-0.62390000000004797</v>
      </c>
      <c r="AD1712">
        <v>-7.2567000000000006E-2</v>
      </c>
      <c r="AE1712">
        <v>9.6299999999985106E-2</v>
      </c>
      <c r="AF1712">
        <v>8.1250286796357998E-2</v>
      </c>
      <c r="AG1712">
        <v>-7.2567000000000006E-2</v>
      </c>
      <c r="AH1712">
        <v>0.61773496098214198</v>
      </c>
      <c r="AI1712">
        <v>96.643283620788395</v>
      </c>
      <c r="AJ1712">
        <v>82.506934924598497</v>
      </c>
      <c r="AK1712">
        <v>0.62726713656391897</v>
      </c>
      <c r="AL1712">
        <v>79.616562765210105</v>
      </c>
      <c r="AM1712">
        <v>88.705216755868406</v>
      </c>
      <c r="AN1712">
        <v>0.99999993342319105</v>
      </c>
    </row>
    <row r="1713" spans="1:40" x14ac:dyDescent="0.25">
      <c r="A1713" t="str">
        <f>"20190303162813952"</f>
        <v>20190303162813952</v>
      </c>
      <c r="B1713" t="str">
        <f>"1551601693942882"</f>
        <v>1551601693942882</v>
      </c>
      <c r="C1713" t="s">
        <v>40</v>
      </c>
      <c r="D1713">
        <v>4.7498659999999999</v>
      </c>
      <c r="E1713">
        <v>0.52757949999999998</v>
      </c>
      <c r="F1713" t="s">
        <v>44</v>
      </c>
      <c r="G1713">
        <v>-259.48500000000001</v>
      </c>
      <c r="H1713">
        <v>0.91856629999999995</v>
      </c>
      <c r="I1713">
        <v>283.31819999999999</v>
      </c>
      <c r="J1713">
        <v>-258.96769999999998</v>
      </c>
      <c r="K1713">
        <v>1.1201859999999999</v>
      </c>
      <c r="L1713">
        <v>283.22649999999999</v>
      </c>
      <c r="M1713">
        <v>-0.99968460000000003</v>
      </c>
      <c r="N1713">
        <v>-1.0181549999999999E-2</v>
      </c>
      <c r="O1713">
        <v>2.2961019999999999E-2</v>
      </c>
      <c r="P1713">
        <v>-0.98447899999999999</v>
      </c>
      <c r="Q1713">
        <v>0.17011699999999999</v>
      </c>
      <c r="R1713">
        <v>4.314573E-2</v>
      </c>
      <c r="S1713">
        <v>-3.1574710000000001</v>
      </c>
      <c r="T1713">
        <v>-0.7293366</v>
      </c>
      <c r="U1713">
        <v>0.36206050000000001</v>
      </c>
      <c r="V1713">
        <v>2.0783860000000001E-2</v>
      </c>
      <c r="W1713">
        <v>0.18010999999999999</v>
      </c>
      <c r="X1713">
        <v>0.98342689999999999</v>
      </c>
      <c r="Y1713">
        <v>8.9200470000000004E-2</v>
      </c>
      <c r="Z1713">
        <v>5.6119100000000003E-3</v>
      </c>
      <c r="AA1713">
        <v>0.99599789999999999</v>
      </c>
      <c r="AB1713">
        <v>35</v>
      </c>
      <c r="AC1713">
        <v>-0.51730000000003395</v>
      </c>
      <c r="AD1713">
        <v>-0.20161970000000001</v>
      </c>
      <c r="AE1713">
        <v>9.1700000000003001E-2</v>
      </c>
      <c r="AF1713">
        <v>6.9553610955811598E-2</v>
      </c>
      <c r="AG1713">
        <v>-0.20161970000000001</v>
      </c>
      <c r="AH1713">
        <v>0.452608961464185</v>
      </c>
      <c r="AI1713">
        <v>113.763540921562</v>
      </c>
      <c r="AJ1713">
        <v>81.263550113807</v>
      </c>
      <c r="AK1713">
        <v>0.50034296259942501</v>
      </c>
      <c r="AL1713">
        <v>79.6238331969559</v>
      </c>
      <c r="AM1713">
        <v>88.789284477824197</v>
      </c>
      <c r="AN1713">
        <v>1.00000002429005</v>
      </c>
    </row>
    <row r="1714" spans="1:40" x14ac:dyDescent="0.25">
      <c r="A1714" t="str">
        <f>"20190303162813974"</f>
        <v>20190303162813974</v>
      </c>
      <c r="B1714" t="str">
        <f>"1551601693963379"</f>
        <v>1551601693963379</v>
      </c>
      <c r="C1714" t="s">
        <v>40</v>
      </c>
      <c r="D1714">
        <v>4.7887389999999996</v>
      </c>
      <c r="E1714">
        <v>0.52792819999999996</v>
      </c>
      <c r="F1714" t="s">
        <v>44</v>
      </c>
      <c r="G1714">
        <v>-259.79079999999999</v>
      </c>
      <c r="H1714">
        <v>0.90229870000000001</v>
      </c>
      <c r="I1714">
        <v>283.31760000000003</v>
      </c>
      <c r="J1714">
        <v>-259.30500000000001</v>
      </c>
      <c r="K1714">
        <v>1.1201909999999999</v>
      </c>
      <c r="L1714">
        <v>283.23480000000001</v>
      </c>
      <c r="M1714">
        <v>-0.99967169999999905</v>
      </c>
      <c r="N1714">
        <v>-1.0179560000000001E-2</v>
      </c>
      <c r="O1714">
        <v>2.3511399999999998E-2</v>
      </c>
      <c r="P1714">
        <v>-0.98457910000000004</v>
      </c>
      <c r="Q1714">
        <v>0.1693837</v>
      </c>
      <c r="R1714">
        <v>4.3740359999999999E-2</v>
      </c>
      <c r="S1714">
        <v>-3.1772459999999998</v>
      </c>
      <c r="T1714">
        <v>-0.84105350000000001</v>
      </c>
      <c r="U1714">
        <v>0.35134890000000002</v>
      </c>
      <c r="V1714">
        <v>2.0827390000000001E-2</v>
      </c>
      <c r="W1714">
        <v>0.17937639999999999</v>
      </c>
      <c r="X1714">
        <v>0.98355999999999999</v>
      </c>
      <c r="Y1714">
        <v>8.4270159999999997E-2</v>
      </c>
      <c r="Z1714">
        <v>5.5073650000000002E-3</v>
      </c>
      <c r="AA1714">
        <v>0.99642770000000003</v>
      </c>
      <c r="AB1714">
        <v>35</v>
      </c>
      <c r="AC1714">
        <v>-0.48579999999998302</v>
      </c>
      <c r="AD1714">
        <v>-0.21789230000000001</v>
      </c>
      <c r="AE1714">
        <v>8.2800000000020094E-2</v>
      </c>
      <c r="AF1714">
        <v>5.9686380372381803E-2</v>
      </c>
      <c r="AG1714">
        <v>-0.21789230000000001</v>
      </c>
      <c r="AH1714">
        <v>0.40787553258430798</v>
      </c>
      <c r="AI1714">
        <v>117.860177745382</v>
      </c>
      <c r="AJ1714">
        <v>81.674724016331595</v>
      </c>
      <c r="AK1714">
        <v>0.46626383998995602</v>
      </c>
      <c r="AL1714">
        <v>79.666560736273894</v>
      </c>
      <c r="AM1714">
        <v>88.786913629596299</v>
      </c>
      <c r="AN1714">
        <v>0.99999997332558499</v>
      </c>
    </row>
    <row r="1715" spans="1:40" x14ac:dyDescent="0.25">
      <c r="A1715" t="str">
        <f>"20190303162813995"</f>
        <v>20190303162813995</v>
      </c>
      <c r="B1715" t="str">
        <f>"1551601693982899"</f>
        <v>1551601693982899</v>
      </c>
      <c r="C1715" t="s">
        <v>40</v>
      </c>
      <c r="D1715">
        <v>4.7890569999999997</v>
      </c>
      <c r="E1715">
        <v>0.52794459999999999</v>
      </c>
      <c r="F1715" t="s">
        <v>44</v>
      </c>
      <c r="G1715">
        <v>-260.10359999999997</v>
      </c>
      <c r="H1715">
        <v>0.90072439999999998</v>
      </c>
      <c r="I1715">
        <v>283.3245</v>
      </c>
      <c r="J1715">
        <v>-259.63490000000002</v>
      </c>
      <c r="K1715">
        <v>1.120212</v>
      </c>
      <c r="L1715">
        <v>283.24299999999999</v>
      </c>
      <c r="M1715">
        <v>-0.99965959999999998</v>
      </c>
      <c r="N1715">
        <v>-1.0178629999999999E-2</v>
      </c>
      <c r="O1715">
        <v>2.4021210000000001E-2</v>
      </c>
      <c r="P1715">
        <v>-0.98472179999999998</v>
      </c>
      <c r="Q1715">
        <v>0.16823529999999901</v>
      </c>
      <c r="R1715">
        <v>4.4942759999999998E-2</v>
      </c>
      <c r="S1715">
        <v>-3.181549</v>
      </c>
      <c r="T1715">
        <v>-0.87434149999999999</v>
      </c>
      <c r="U1715">
        <v>0.35690309999999997</v>
      </c>
      <c r="V1715">
        <v>2.1513330000000001E-2</v>
      </c>
      <c r="W1715">
        <v>0.17822929999999901</v>
      </c>
      <c r="X1715">
        <v>0.98375380000000001</v>
      </c>
      <c r="Y1715">
        <v>8.5152649999999996E-2</v>
      </c>
      <c r="Z1715">
        <v>5.67666E-3</v>
      </c>
      <c r="AA1715">
        <v>0.99635169999999995</v>
      </c>
      <c r="AB1715">
        <v>35</v>
      </c>
      <c r="AC1715">
        <v>-0.46869999999995499</v>
      </c>
      <c r="AD1715">
        <v>-0.21948759999999901</v>
      </c>
      <c r="AE1715">
        <v>8.1500000000005401E-2</v>
      </c>
      <c r="AF1715">
        <v>5.7893884530147301E-2</v>
      </c>
      <c r="AG1715">
        <v>-0.21948759999999901</v>
      </c>
      <c r="AH1715">
        <v>0.38794478516284198</v>
      </c>
      <c r="AI1715">
        <v>119.230223862448</v>
      </c>
      <c r="AJ1715">
        <v>81.512258451263804</v>
      </c>
      <c r="AK1715">
        <v>0.449474876666976</v>
      </c>
      <c r="AL1715">
        <v>79.733361740196003</v>
      </c>
      <c r="AM1715">
        <v>88.747220520357502</v>
      </c>
      <c r="AN1715">
        <v>1.0000000228803001</v>
      </c>
    </row>
    <row r="1716" spans="1:40" x14ac:dyDescent="0.25">
      <c r="A1716" t="str">
        <f>"20190303162814019"</f>
        <v>20190303162814019</v>
      </c>
      <c r="B1716" t="str">
        <f>"1551601694013156"</f>
        <v>1551601694013156</v>
      </c>
      <c r="C1716" t="s">
        <v>40</v>
      </c>
      <c r="D1716">
        <v>4.7549989999999998</v>
      </c>
      <c r="E1716">
        <v>0.52810659999999998</v>
      </c>
      <c r="F1716" t="s">
        <v>44</v>
      </c>
      <c r="G1716">
        <v>-260.41829999999999</v>
      </c>
      <c r="H1716">
        <v>0.90328370000000002</v>
      </c>
      <c r="I1716">
        <v>283.33210000000003</v>
      </c>
      <c r="J1716">
        <v>-260.01060000000001</v>
      </c>
      <c r="K1716">
        <v>1.1202449999999999</v>
      </c>
      <c r="L1716">
        <v>283.25259999999997</v>
      </c>
      <c r="M1716">
        <v>-0.9996469</v>
      </c>
      <c r="N1716">
        <v>-1.017853E-2</v>
      </c>
      <c r="O1716">
        <v>2.4548190000000001E-2</v>
      </c>
      <c r="P1716">
        <v>-0.98481240000000003</v>
      </c>
      <c r="Q1716">
        <v>0.1671995</v>
      </c>
      <c r="R1716">
        <v>4.6787559999999999E-2</v>
      </c>
      <c r="S1716">
        <v>-3.1805110000000001</v>
      </c>
      <c r="T1716">
        <v>-0.88074359999999996</v>
      </c>
      <c r="U1716">
        <v>0.36114499999999999</v>
      </c>
      <c r="V1716">
        <v>2.2818709999999999E-2</v>
      </c>
      <c r="W1716">
        <v>0.17719509999999999</v>
      </c>
      <c r="X1716">
        <v>0.98391119999999999</v>
      </c>
      <c r="Y1716">
        <v>8.5929130000000006E-2</v>
      </c>
      <c r="Z1716">
        <v>5.6850570000000003E-3</v>
      </c>
      <c r="AA1716">
        <v>0.99628499999999998</v>
      </c>
      <c r="AB1716">
        <v>35</v>
      </c>
      <c r="AC1716">
        <v>-0.40769999999997703</v>
      </c>
      <c r="AD1716">
        <v>-0.2169613</v>
      </c>
      <c r="AE1716">
        <v>7.9500000000052695E-2</v>
      </c>
      <c r="AF1716">
        <v>5.4577422711362303E-2</v>
      </c>
      <c r="AG1716">
        <v>-0.2169613</v>
      </c>
      <c r="AH1716">
        <v>0.32174923947661499</v>
      </c>
      <c r="AI1716">
        <v>123.616803826957</v>
      </c>
      <c r="AJ1716">
        <v>80.372715846914701</v>
      </c>
      <c r="AK1716">
        <v>0.39188451598817298</v>
      </c>
      <c r="AL1716">
        <v>79.793575492778302</v>
      </c>
      <c r="AM1716">
        <v>88.671443673242507</v>
      </c>
      <c r="AN1716">
        <v>1.0000000232377499</v>
      </c>
    </row>
    <row r="1717" spans="1:40" x14ac:dyDescent="0.25">
      <c r="A1717" t="str">
        <f>"20190303162814042"</f>
        <v>20190303162814042</v>
      </c>
      <c r="B1717" t="str">
        <f>"1551601694032674"</f>
        <v>1551601694032674</v>
      </c>
      <c r="C1717" t="s">
        <v>40</v>
      </c>
      <c r="D1717">
        <v>4.7620339999999999</v>
      </c>
      <c r="E1717">
        <v>0.52832559999999995</v>
      </c>
      <c r="F1717" t="s">
        <v>44</v>
      </c>
      <c r="G1717">
        <v>-260.73820000000001</v>
      </c>
      <c r="H1717">
        <v>0.91671550000000002</v>
      </c>
      <c r="I1717">
        <v>283.33679999999998</v>
      </c>
      <c r="J1717">
        <v>-260.3698</v>
      </c>
      <c r="K1717">
        <v>1.1202909999999999</v>
      </c>
      <c r="L1717">
        <v>283.26190000000003</v>
      </c>
      <c r="M1717">
        <v>-0.99963650000000004</v>
      </c>
      <c r="N1717">
        <v>-1.017917E-2</v>
      </c>
      <c r="O1717">
        <v>2.496926E-2</v>
      </c>
      <c r="P1717">
        <v>-0.98469370000000001</v>
      </c>
      <c r="Q1717">
        <v>0.16733329999999999</v>
      </c>
      <c r="R1717">
        <v>4.8765129999999997E-2</v>
      </c>
      <c r="S1717">
        <v>-3.17984</v>
      </c>
      <c r="T1717">
        <v>-0.88943220000000001</v>
      </c>
      <c r="U1717">
        <v>0.36721799999999999</v>
      </c>
      <c r="V1717">
        <v>2.4359570000000001E-2</v>
      </c>
      <c r="W1717">
        <v>0.1773303</v>
      </c>
      <c r="X1717">
        <v>0.98384990000000005</v>
      </c>
      <c r="Y1717">
        <v>8.7324550000000001E-2</v>
      </c>
      <c r="Z1717">
        <v>5.8204449999999996E-3</v>
      </c>
      <c r="AA1717">
        <v>0.99616289999999996</v>
      </c>
      <c r="AB1717">
        <v>35</v>
      </c>
      <c r="AC1717">
        <v>-0.368400000000008</v>
      </c>
      <c r="AD1717">
        <v>-0.20357549999999899</v>
      </c>
      <c r="AE1717">
        <v>7.4899999999956807E-2</v>
      </c>
      <c r="AF1717">
        <v>5.0785289747951101E-2</v>
      </c>
      <c r="AG1717">
        <v>-0.20357549999999899</v>
      </c>
      <c r="AH1717">
        <v>0.28622362357590497</v>
      </c>
      <c r="AI1717">
        <v>125.003867162983</v>
      </c>
      <c r="AJ1717">
        <v>79.938596202441005</v>
      </c>
      <c r="AK1717">
        <v>0.35488884534168502</v>
      </c>
      <c r="AL1717">
        <v>79.785704470964703</v>
      </c>
      <c r="AM1717">
        <v>88.581678511500598</v>
      </c>
      <c r="AN1717">
        <v>1.0000000248393399</v>
      </c>
    </row>
    <row r="1718" spans="1:40" x14ac:dyDescent="0.25">
      <c r="A1718" t="str">
        <f>"20190303162814065"</f>
        <v>20190303162814065</v>
      </c>
      <c r="B1718" t="str">
        <f>"1551601694053171"</f>
        <v>1551601694053171</v>
      </c>
      <c r="C1718" t="s">
        <v>40</v>
      </c>
      <c r="D1718">
        <v>4.772805</v>
      </c>
      <c r="E1718">
        <v>0.5283833</v>
      </c>
      <c r="F1718" t="s">
        <v>44</v>
      </c>
      <c r="G1718">
        <v>-261.05759999999998</v>
      </c>
      <c r="H1718">
        <v>0.92733750000000004</v>
      </c>
      <c r="I1718">
        <v>283.34289999999999</v>
      </c>
      <c r="J1718">
        <v>-260.72289999999998</v>
      </c>
      <c r="K1718">
        <v>1.1203669999999999</v>
      </c>
      <c r="L1718">
        <v>283.27109999999999</v>
      </c>
      <c r="M1718">
        <v>-0.99962910000000005</v>
      </c>
      <c r="N1718">
        <v>-1.0180130000000001E-2</v>
      </c>
      <c r="O1718">
        <v>2.5266489999999999E-2</v>
      </c>
      <c r="P1718">
        <v>-0.98490219999999995</v>
      </c>
      <c r="Q1718">
        <v>0.1658511</v>
      </c>
      <c r="R1718">
        <v>4.9614699999999998E-2</v>
      </c>
      <c r="S1718">
        <v>-3.1797490000000002</v>
      </c>
      <c r="T1718">
        <v>-0.89207519999999996</v>
      </c>
      <c r="U1718">
        <v>0.37323000000000001</v>
      </c>
      <c r="V1718">
        <v>2.4874460000000001E-2</v>
      </c>
      <c r="W1718">
        <v>0.1758556</v>
      </c>
      <c r="X1718">
        <v>0.98410169999999997</v>
      </c>
      <c r="Y1718">
        <v>8.8827130000000004E-2</v>
      </c>
      <c r="Z1718">
        <v>5.9702890000000002E-3</v>
      </c>
      <c r="AA1718">
        <v>0.9960291</v>
      </c>
      <c r="AB1718">
        <v>35</v>
      </c>
      <c r="AC1718">
        <v>-0.334699999999998</v>
      </c>
      <c r="AD1718">
        <v>-0.19302949999999999</v>
      </c>
      <c r="AE1718">
        <v>7.1799999999996006E-2</v>
      </c>
      <c r="AF1718">
        <v>4.8043267603879398E-2</v>
      </c>
      <c r="AG1718">
        <v>-0.19302949999999999</v>
      </c>
      <c r="AH1718">
        <v>0.25524515372794199</v>
      </c>
      <c r="AI1718">
        <v>126.61976105226201</v>
      </c>
      <c r="AJ1718">
        <v>79.340275846724396</v>
      </c>
      <c r="AK1718">
        <v>0.32360258332391101</v>
      </c>
      <c r="AL1718">
        <v>79.871547867828298</v>
      </c>
      <c r="AM1718">
        <v>88.552082396160898</v>
      </c>
      <c r="AN1718">
        <v>1.00000004337726</v>
      </c>
    </row>
    <row r="1719" spans="1:40" x14ac:dyDescent="0.25">
      <c r="A1719" t="str">
        <f>"20190303162814085"</f>
        <v>20190303162814085</v>
      </c>
      <c r="B1719" t="str">
        <f>"1551601694072691"</f>
        <v>1551601694072691</v>
      </c>
      <c r="C1719" t="s">
        <v>40</v>
      </c>
      <c r="D1719">
        <v>4.7202780000000004</v>
      </c>
      <c r="E1719">
        <v>0.52840369999999903</v>
      </c>
      <c r="F1719" t="s">
        <v>44</v>
      </c>
      <c r="G1719">
        <v>-261.65660000000003</v>
      </c>
      <c r="H1719">
        <v>0.85678199999999904</v>
      </c>
      <c r="I1719">
        <v>283.38139999999999</v>
      </c>
      <c r="J1719">
        <v>-261.04610000000002</v>
      </c>
      <c r="K1719">
        <v>1.1204459999999901</v>
      </c>
      <c r="L1719">
        <v>283.27940000000001</v>
      </c>
      <c r="M1719">
        <v>-0.99962510000000004</v>
      </c>
      <c r="N1719">
        <v>-1.0181529999999999E-2</v>
      </c>
      <c r="O1719">
        <v>2.542032E-2</v>
      </c>
      <c r="P1719">
        <v>-0.98529730000000004</v>
      </c>
      <c r="Q1719">
        <v>0.1634631</v>
      </c>
      <c r="R1719">
        <v>4.969295E-2</v>
      </c>
      <c r="S1719">
        <v>-3.1781619999999999</v>
      </c>
      <c r="T1719">
        <v>-0.89722809999999897</v>
      </c>
      <c r="U1719">
        <v>0.37542720000000002</v>
      </c>
      <c r="V1719">
        <v>2.4749E-2</v>
      </c>
      <c r="W1719">
        <v>0.17347889999999999</v>
      </c>
      <c r="X1719">
        <v>0.98452660000000003</v>
      </c>
      <c r="Y1719">
        <v>8.9363780000000004E-2</v>
      </c>
      <c r="Z1719">
        <v>6.0379860000000004E-3</v>
      </c>
      <c r="AA1719">
        <v>0.99598070000000005</v>
      </c>
      <c r="AB1719">
        <v>35</v>
      </c>
      <c r="AC1719">
        <v>-0.61050000000000104</v>
      </c>
      <c r="AD1719">
        <v>-0.26366399999999901</v>
      </c>
      <c r="AE1719">
        <v>0.101999999999975</v>
      </c>
      <c r="AF1719">
        <v>7.3169940296661906E-2</v>
      </c>
      <c r="AG1719">
        <v>-0.26366399999999901</v>
      </c>
      <c r="AH1719">
        <v>0.51876266519359904</v>
      </c>
      <c r="AI1719">
        <v>116.714926496663</v>
      </c>
      <c r="AJ1719">
        <v>81.971560124398906</v>
      </c>
      <c r="AK1719">
        <v>0.586504260732847</v>
      </c>
      <c r="AL1719">
        <v>80.009848710200401</v>
      </c>
      <c r="AM1719">
        <v>88.560003689870797</v>
      </c>
      <c r="AN1719">
        <v>1.00000003392688</v>
      </c>
    </row>
    <row r="1720" spans="1:40" x14ac:dyDescent="0.25">
      <c r="A1720" t="str">
        <f>"20190303162814108"</f>
        <v>20190303162814108</v>
      </c>
      <c r="B1720" t="str">
        <f>"1551601694102947"</f>
        <v>1551601694102947</v>
      </c>
      <c r="C1720" t="s">
        <v>40</v>
      </c>
      <c r="D1720">
        <v>4.7276610000000003</v>
      </c>
      <c r="E1720">
        <v>0.52841870000000002</v>
      </c>
      <c r="F1720" t="s">
        <v>44</v>
      </c>
      <c r="G1720">
        <v>-261.97160000000002</v>
      </c>
      <c r="H1720">
        <v>0.85672569999999904</v>
      </c>
      <c r="I1720">
        <v>283.3886</v>
      </c>
      <c r="J1720">
        <v>-261.40899999999999</v>
      </c>
      <c r="K1720">
        <v>1.120552</v>
      </c>
      <c r="L1720">
        <v>283.28870000000001</v>
      </c>
      <c r="M1720">
        <v>-0.99962399999999996</v>
      </c>
      <c r="N1720">
        <v>-1.0183859999999999E-2</v>
      </c>
      <c r="O1720">
        <v>2.5464799999999999E-2</v>
      </c>
      <c r="P1720">
        <v>-0.98551429999999995</v>
      </c>
      <c r="Q1720">
        <v>0.1621206</v>
      </c>
      <c r="R1720">
        <v>4.9788840000000001E-2</v>
      </c>
      <c r="S1720">
        <v>-3.1760250000000001</v>
      </c>
      <c r="T1720">
        <v>-0.90500809999999998</v>
      </c>
      <c r="U1720">
        <v>0.37393189999999998</v>
      </c>
      <c r="V1720">
        <v>2.4748659999999999E-2</v>
      </c>
      <c r="W1720">
        <v>0.17214789999999999</v>
      </c>
      <c r="X1720">
        <v>0.98476019999999997</v>
      </c>
      <c r="Y1720">
        <v>8.8907689999999998E-2</v>
      </c>
      <c r="Z1720">
        <v>6.0083630000000001E-3</v>
      </c>
      <c r="AA1720">
        <v>0.99602170000000001</v>
      </c>
      <c r="AB1720">
        <v>35</v>
      </c>
      <c r="AC1720">
        <v>-0.56260000000003096</v>
      </c>
      <c r="AD1720">
        <v>-0.26382630000000001</v>
      </c>
      <c r="AE1720">
        <v>9.9899999999990996E-2</v>
      </c>
      <c r="AF1720">
        <v>7.0508977351832799E-2</v>
      </c>
      <c r="AG1720">
        <v>-0.26382630000000001</v>
      </c>
      <c r="AH1720">
        <v>0.46568500898779502</v>
      </c>
      <c r="AI1720">
        <v>119.255348768594</v>
      </c>
      <c r="AJ1720">
        <v>81.390288332007998</v>
      </c>
      <c r="AK1720">
        <v>0.53985031263754402</v>
      </c>
      <c r="AL1720">
        <v>80.087274193059201</v>
      </c>
      <c r="AM1720">
        <v>88.560364904533799</v>
      </c>
      <c r="AN1720">
        <v>1.0000000235751201</v>
      </c>
    </row>
    <row r="1721" spans="1:40" x14ac:dyDescent="0.25">
      <c r="A1721" t="str">
        <f>"20190303162814131"</f>
        <v>20190303162814131</v>
      </c>
      <c r="B1721" t="str">
        <f>"1551601694123442"</f>
        <v>1551601694123442</v>
      </c>
      <c r="C1721" t="s">
        <v>40</v>
      </c>
      <c r="D1721">
        <v>4.7305510000000002</v>
      </c>
      <c r="E1721">
        <v>0.52856780000000003</v>
      </c>
      <c r="F1721" t="s">
        <v>44</v>
      </c>
      <c r="G1721">
        <v>-262.29160000000002</v>
      </c>
      <c r="H1721">
        <v>0.86846579999999995</v>
      </c>
      <c r="I1721">
        <v>283.392</v>
      </c>
      <c r="J1721">
        <v>-261.77089999999998</v>
      </c>
      <c r="K1721">
        <v>1.1206689999999999</v>
      </c>
      <c r="L1721">
        <v>283.29790000000003</v>
      </c>
      <c r="M1721">
        <v>-0.99962680000000004</v>
      </c>
      <c r="N1721">
        <v>-1.0186519999999999E-2</v>
      </c>
      <c r="O1721">
        <v>2.534836E-2</v>
      </c>
      <c r="P1721">
        <v>-0.98559719999999995</v>
      </c>
      <c r="Q1721">
        <v>0.16138620000000001</v>
      </c>
      <c r="R1721">
        <v>5.0522600000000001E-2</v>
      </c>
      <c r="S1721">
        <v>-3.1745000000000001</v>
      </c>
      <c r="T1721">
        <v>-0.90668610000000005</v>
      </c>
      <c r="U1721">
        <v>0.37109379999999997</v>
      </c>
      <c r="V1721">
        <v>2.554435E-2</v>
      </c>
      <c r="W1721">
        <v>0.17142449999999901</v>
      </c>
      <c r="X1721">
        <v>0.98486600000000002</v>
      </c>
      <c r="Y1721">
        <v>8.8212750000000006E-2</v>
      </c>
      <c r="Z1721">
        <v>5.9513730000000003E-3</v>
      </c>
      <c r="AA1721">
        <v>0.99608390000000002</v>
      </c>
      <c r="AB1721">
        <v>35</v>
      </c>
      <c r="AC1721">
        <v>-0.52070000000003303</v>
      </c>
      <c r="AD1721">
        <v>-0.25220320000000002</v>
      </c>
      <c r="AE1721">
        <v>9.4099999999969E-2</v>
      </c>
      <c r="AF1721">
        <v>6.5899232954157005E-2</v>
      </c>
      <c r="AG1721">
        <v>-0.25220320000000002</v>
      </c>
      <c r="AH1721">
        <v>0.42611377822855001</v>
      </c>
      <c r="AI1721">
        <v>120.323996744374</v>
      </c>
      <c r="AJ1721">
        <v>81.208754288036502</v>
      </c>
      <c r="AK1721">
        <v>0.49952188639778</v>
      </c>
      <c r="AL1721">
        <v>80.129346730846706</v>
      </c>
      <c r="AM1721">
        <v>88.514259419005896</v>
      </c>
      <c r="AN1721">
        <v>0.99999995548658505</v>
      </c>
    </row>
    <row r="1722" spans="1:40" x14ac:dyDescent="0.25">
      <c r="A1722" t="str">
        <f>"20190303162814152"</f>
        <v>20190303162814152</v>
      </c>
      <c r="B1722" t="str">
        <f>"1551601694142963"</f>
        <v>1551601694142963</v>
      </c>
      <c r="C1722" t="s">
        <v>40</v>
      </c>
      <c r="D1722">
        <v>4.7203439999999999</v>
      </c>
      <c r="E1722">
        <v>0.53289909999999996</v>
      </c>
      <c r="F1722" t="s">
        <v>44</v>
      </c>
      <c r="G1722">
        <v>-262.61149999999998</v>
      </c>
      <c r="H1722">
        <v>0.87930299999999995</v>
      </c>
      <c r="I1722">
        <v>283.39609999999999</v>
      </c>
      <c r="J1722">
        <v>-262.11020000000002</v>
      </c>
      <c r="K1722">
        <v>1.1207940000000001</v>
      </c>
      <c r="L1722">
        <v>283.30630000000002</v>
      </c>
      <c r="M1722">
        <v>-0.99963380000000002</v>
      </c>
      <c r="N1722">
        <v>-1.018961E-2</v>
      </c>
      <c r="O1722">
        <v>2.5068279999999998E-2</v>
      </c>
      <c r="P1722">
        <v>-0.98572559999999998</v>
      </c>
      <c r="Q1722">
        <v>0.16042429999999999</v>
      </c>
      <c r="R1722">
        <v>5.1082669999999997E-2</v>
      </c>
      <c r="S1722">
        <v>-3.1741329999999999</v>
      </c>
      <c r="T1722">
        <v>-0.91148470000000004</v>
      </c>
      <c r="U1722">
        <v>0.36965940000000003</v>
      </c>
      <c r="V1722">
        <v>2.6324130000000001E-2</v>
      </c>
      <c r="W1722">
        <v>0.17047499999999999</v>
      </c>
      <c r="X1722">
        <v>0.98501030000000001</v>
      </c>
      <c r="Y1722">
        <v>8.803039E-2</v>
      </c>
      <c r="Z1722">
        <v>6.0281689999999999E-3</v>
      </c>
      <c r="AA1722">
        <v>0.99609950000000003</v>
      </c>
      <c r="AB1722">
        <v>35</v>
      </c>
      <c r="AC1722">
        <v>-0.501299999999957</v>
      </c>
      <c r="AD1722">
        <v>-0.24149099999999901</v>
      </c>
      <c r="AE1722">
        <v>8.9799999999968294E-2</v>
      </c>
      <c r="AF1722">
        <v>6.3031809838575995E-2</v>
      </c>
      <c r="AG1722">
        <v>-0.24149099999999901</v>
      </c>
      <c r="AH1722">
        <v>0.41098457513615999</v>
      </c>
      <c r="AI1722">
        <v>120.148036706075</v>
      </c>
      <c r="AJ1722">
        <v>81.2806122905168</v>
      </c>
      <c r="AK1722">
        <v>0.48083181376898898</v>
      </c>
      <c r="AL1722">
        <v>80.184562183875201</v>
      </c>
      <c r="AM1722">
        <v>88.469150393820101</v>
      </c>
      <c r="AN1722">
        <v>0.99999998827567305</v>
      </c>
    </row>
    <row r="1723" spans="1:40" x14ac:dyDescent="0.25">
      <c r="A1723" t="str">
        <f>"20190303162814174"</f>
        <v>20190303162814174</v>
      </c>
      <c r="B1723" t="str">
        <f>"1551601694163459"</f>
        <v>1551601694163459</v>
      </c>
      <c r="C1723" t="s">
        <v>40</v>
      </c>
      <c r="D1723">
        <v>4.7689629999999896</v>
      </c>
      <c r="E1723">
        <v>0.53271169999999901</v>
      </c>
      <c r="F1723" t="s">
        <v>44</v>
      </c>
      <c r="G1723">
        <v>-262.91860000000003</v>
      </c>
      <c r="H1723">
        <v>0.85784150000000003</v>
      </c>
      <c r="I1723">
        <v>283.40890000000002</v>
      </c>
      <c r="J1723">
        <v>-262.44499999999999</v>
      </c>
      <c r="K1723">
        <v>1.1209359999999999</v>
      </c>
      <c r="L1723">
        <v>283.3143</v>
      </c>
      <c r="M1723">
        <v>-0.99964489999999995</v>
      </c>
      <c r="N1723">
        <v>-1.019336E-2</v>
      </c>
      <c r="O1723">
        <v>2.4624150000000001E-2</v>
      </c>
      <c r="P1723">
        <v>-0.98574700000000004</v>
      </c>
      <c r="Q1723">
        <v>0.1602035</v>
      </c>
      <c r="R1723">
        <v>5.136135E-2</v>
      </c>
      <c r="S1723">
        <v>-3.1914370000000001</v>
      </c>
      <c r="T1723">
        <v>-1.038133</v>
      </c>
      <c r="U1723">
        <v>0.40502929999999998</v>
      </c>
      <c r="V1723">
        <v>2.698242E-2</v>
      </c>
      <c r="W1723">
        <v>0.17026729999999901</v>
      </c>
      <c r="X1723">
        <v>0.98502840000000003</v>
      </c>
      <c r="Y1723">
        <v>9.7494090000000005E-2</v>
      </c>
      <c r="Z1723">
        <v>8.3805159999999993E-3</v>
      </c>
      <c r="AA1723">
        <v>0.9952008</v>
      </c>
      <c r="AB1723">
        <v>35</v>
      </c>
      <c r="AC1723">
        <v>-0.47360000000003299</v>
      </c>
      <c r="AD1723">
        <v>-0.26309450000000001</v>
      </c>
      <c r="AE1723">
        <v>9.4600000000014006E-2</v>
      </c>
      <c r="AF1723">
        <v>6.3935150936255597E-2</v>
      </c>
      <c r="AG1723">
        <v>-0.26309450000000001</v>
      </c>
      <c r="AH1723">
        <v>0.366902900836657</v>
      </c>
      <c r="AI1723">
        <v>125.238274429886</v>
      </c>
      <c r="AJ1723">
        <v>80.115103037363298</v>
      </c>
      <c r="AK1723">
        <v>0.45598701527329299</v>
      </c>
      <c r="AL1723">
        <v>80.1966389667801</v>
      </c>
      <c r="AM1723">
        <v>88.430916016614503</v>
      </c>
      <c r="AN1723">
        <v>0.99999997662245299</v>
      </c>
    </row>
    <row r="1724" spans="1:40" x14ac:dyDescent="0.25">
      <c r="A1724" t="str">
        <f>"20190303162814196"</f>
        <v>20190303162814196</v>
      </c>
      <c r="B1724" t="str">
        <f>"1551601694192740"</f>
        <v>1551601694192740</v>
      </c>
      <c r="C1724" t="s">
        <v>40</v>
      </c>
      <c r="D1724">
        <v>4.7673480000000001</v>
      </c>
      <c r="E1724">
        <v>0.53262359999999997</v>
      </c>
      <c r="F1724" t="s">
        <v>44</v>
      </c>
      <c r="G1724">
        <v>-263.23590000000002</v>
      </c>
      <c r="H1724">
        <v>0.86110209999999998</v>
      </c>
      <c r="I1724">
        <v>283.41489999999999</v>
      </c>
      <c r="J1724">
        <v>-262.80579999999998</v>
      </c>
      <c r="K1724">
        <v>1.121094</v>
      </c>
      <c r="L1724">
        <v>283.3227</v>
      </c>
      <c r="M1724">
        <v>-0.99966060000000001</v>
      </c>
      <c r="N1724">
        <v>-1.019805E-2</v>
      </c>
      <c r="O1724">
        <v>2.397728E-2</v>
      </c>
      <c r="P1724">
        <v>-0.98568</v>
      </c>
      <c r="Q1724">
        <v>0.1607316</v>
      </c>
      <c r="R1724">
        <v>5.099588E-2</v>
      </c>
      <c r="S1724">
        <v>-3.1927189999999999</v>
      </c>
      <c r="T1724">
        <v>-1.048902</v>
      </c>
      <c r="U1724">
        <v>0.40490720000000002</v>
      </c>
      <c r="V1724">
        <v>2.7192480000000002E-2</v>
      </c>
      <c r="W1724">
        <v>0.17080899999999999</v>
      </c>
      <c r="X1724">
        <v>0.98492880000000005</v>
      </c>
      <c r="Y1724">
        <v>9.7921279999999999E-2</v>
      </c>
      <c r="Z1724">
        <v>8.7233429999999997E-3</v>
      </c>
      <c r="AA1724">
        <v>0.99515589999999998</v>
      </c>
      <c r="AB1724">
        <v>35</v>
      </c>
      <c r="AC1724">
        <v>-0.43010000000003801</v>
      </c>
      <c r="AD1724">
        <v>-0.259991899999999</v>
      </c>
      <c r="AE1724">
        <v>9.2199999999991095E-2</v>
      </c>
      <c r="AF1724">
        <v>6.0666220069110002E-2</v>
      </c>
      <c r="AG1724">
        <v>-0.259991899999999</v>
      </c>
      <c r="AH1724">
        <v>0.32029142894658602</v>
      </c>
      <c r="AI1724">
        <v>128.57428583663099</v>
      </c>
      <c r="AJ1724">
        <v>79.274694120902495</v>
      </c>
      <c r="AK1724">
        <v>0.416968557303461</v>
      </c>
      <c r="AL1724">
        <v>80.165140090617697</v>
      </c>
      <c r="AM1724">
        <v>88.418546942080596</v>
      </c>
      <c r="AN1724">
        <v>0.99999994325949304</v>
      </c>
    </row>
    <row r="1725" spans="1:40" x14ac:dyDescent="0.25">
      <c r="A1725" t="str">
        <f>"20190303162814221"</f>
        <v>20190303162814221</v>
      </c>
      <c r="B1725" t="str">
        <f>"1551601694213235"</f>
        <v>1551601694213235</v>
      </c>
      <c r="C1725" t="s">
        <v>40</v>
      </c>
      <c r="D1725">
        <v>4.7755929999999998</v>
      </c>
      <c r="E1725">
        <v>0.53250439999999999</v>
      </c>
      <c r="F1725" t="s">
        <v>44</v>
      </c>
      <c r="G1725">
        <v>-263.55739999999997</v>
      </c>
      <c r="H1725">
        <v>0.87413109999999905</v>
      </c>
      <c r="I1725">
        <v>283.4178</v>
      </c>
      <c r="J1725">
        <v>-263.18680000000001</v>
      </c>
      <c r="K1725">
        <v>1.1212470000000001</v>
      </c>
      <c r="L1725">
        <v>283.33109999999999</v>
      </c>
      <c r="M1725">
        <v>-0.99968029999999997</v>
      </c>
      <c r="N1725">
        <v>-1.0202940000000001E-2</v>
      </c>
      <c r="O1725">
        <v>2.3137459999999999E-2</v>
      </c>
      <c r="P1725">
        <v>-0.98549989999999998</v>
      </c>
      <c r="Q1725">
        <v>0.16195019999999999</v>
      </c>
      <c r="R1725">
        <v>5.0619740000000003E-2</v>
      </c>
      <c r="S1725">
        <v>-3.1938170000000001</v>
      </c>
      <c r="T1725">
        <v>-1.049444</v>
      </c>
      <c r="U1725">
        <v>0.40344239999999998</v>
      </c>
      <c r="V1725">
        <v>2.7584859999999999E-2</v>
      </c>
      <c r="W1725">
        <v>0.17204129999999901</v>
      </c>
      <c r="X1725">
        <v>0.98470340000000001</v>
      </c>
      <c r="Y1725">
        <v>9.8207100000000006E-2</v>
      </c>
      <c r="Z1725">
        <v>9.0316240000000002E-3</v>
      </c>
      <c r="AA1725">
        <v>0.99512500000000004</v>
      </c>
      <c r="AB1725">
        <v>35</v>
      </c>
      <c r="AC1725">
        <v>-0.37059999999996701</v>
      </c>
      <c r="AD1725">
        <v>-0.247115899999999</v>
      </c>
      <c r="AE1725">
        <v>8.6700000000007493E-2</v>
      </c>
      <c r="AF1725">
        <v>5.4941152913267198E-2</v>
      </c>
      <c r="AG1725">
        <v>-0.247115899999999</v>
      </c>
      <c r="AH1725">
        <v>0.26204275961870299</v>
      </c>
      <c r="AI1725">
        <v>132.706025935507</v>
      </c>
      <c r="AJ1725">
        <v>78.158614351997798</v>
      </c>
      <c r="AK1725">
        <v>0.36435038930243302</v>
      </c>
      <c r="AL1725">
        <v>80.093473788592604</v>
      </c>
      <c r="AM1725">
        <v>88.395371824462302</v>
      </c>
      <c r="AN1725">
        <v>0.99999995968923305</v>
      </c>
    </row>
    <row r="1726" spans="1:40" x14ac:dyDescent="0.25">
      <c r="A1726" t="str">
        <f>"20190303162814241"</f>
        <v>20190303162814241</v>
      </c>
      <c r="B1726" t="str">
        <f>"1551601694232755"</f>
        <v>1551601694232755</v>
      </c>
      <c r="C1726" t="s">
        <v>40</v>
      </c>
      <c r="D1726">
        <v>4.8000160000000003</v>
      </c>
      <c r="E1726">
        <v>0.53236759999999905</v>
      </c>
      <c r="F1726" t="s">
        <v>44</v>
      </c>
      <c r="G1726">
        <v>-263.88200000000001</v>
      </c>
      <c r="H1726">
        <v>0.89403840000000001</v>
      </c>
      <c r="I1726">
        <v>283.41879999999998</v>
      </c>
      <c r="J1726">
        <v>-263.51850000000002</v>
      </c>
      <c r="K1726">
        <v>1.1213580000000001</v>
      </c>
      <c r="L1726">
        <v>283.33800000000002</v>
      </c>
      <c r="M1726">
        <v>-0.99969929999999996</v>
      </c>
      <c r="N1726">
        <v>-1.0206990000000001E-2</v>
      </c>
      <c r="O1726">
        <v>2.2298479999999999E-2</v>
      </c>
      <c r="P1726">
        <v>-0.98535510000000004</v>
      </c>
      <c r="Q1726">
        <v>0.1632286</v>
      </c>
      <c r="R1726">
        <v>4.9315820000000003E-2</v>
      </c>
      <c r="S1726">
        <v>-3.195068</v>
      </c>
      <c r="T1726">
        <v>-1.044243</v>
      </c>
      <c r="U1726">
        <v>0.40240480000000001</v>
      </c>
      <c r="V1726">
        <v>2.706484E-2</v>
      </c>
      <c r="W1726">
        <v>0.17332819999999999</v>
      </c>
      <c r="X1726">
        <v>0.98449219999999904</v>
      </c>
      <c r="Y1726">
        <v>9.8652749999999997E-2</v>
      </c>
      <c r="Z1726">
        <v>9.3206560000000001E-3</v>
      </c>
      <c r="AA1726">
        <v>0.99507829999999997</v>
      </c>
      <c r="AB1726">
        <v>35</v>
      </c>
      <c r="AC1726">
        <v>-0.363499999999987</v>
      </c>
      <c r="AD1726">
        <v>-0.22731960000000001</v>
      </c>
      <c r="AE1726">
        <v>8.0800000000010599E-2</v>
      </c>
      <c r="AF1726">
        <v>5.2943678782625903E-2</v>
      </c>
      <c r="AG1726">
        <v>-0.22731960000000001</v>
      </c>
      <c r="AH1726">
        <v>0.26605992838770598</v>
      </c>
      <c r="AI1726">
        <v>129.961757509221</v>
      </c>
      <c r="AJ1726">
        <v>78.745635652146404</v>
      </c>
      <c r="AK1726">
        <v>0.35392812711180399</v>
      </c>
      <c r="AL1726">
        <v>80.018615973029299</v>
      </c>
      <c r="AM1726">
        <v>88.425268755398804</v>
      </c>
      <c r="AN1726">
        <v>1.00000003117015</v>
      </c>
    </row>
    <row r="1727" spans="1:40" x14ac:dyDescent="0.25">
      <c r="A1727" t="str">
        <f>"20190303162814264"</f>
        <v>20190303162814264</v>
      </c>
      <c r="B1727" t="str">
        <f>"1551601694253251"</f>
        <v>1551601694253251</v>
      </c>
      <c r="C1727" t="s">
        <v>40</v>
      </c>
      <c r="D1727">
        <v>4.8120139999999996</v>
      </c>
      <c r="E1727">
        <v>0.53233779999999997</v>
      </c>
      <c r="F1727" t="s">
        <v>44</v>
      </c>
      <c r="G1727">
        <v>-264.2011</v>
      </c>
      <c r="H1727">
        <v>0.89952929999999998</v>
      </c>
      <c r="I1727">
        <v>283.4237</v>
      </c>
      <c r="J1727">
        <v>-263.87430000000001</v>
      </c>
      <c r="K1727">
        <v>1.1214489999999999</v>
      </c>
      <c r="L1727">
        <v>283.34500000000003</v>
      </c>
      <c r="M1727">
        <v>-0.99972059999999996</v>
      </c>
      <c r="N1727">
        <v>-1.021099E-2</v>
      </c>
      <c r="O1727">
        <v>2.1321590000000001E-2</v>
      </c>
      <c r="P1727">
        <v>-0.9853421</v>
      </c>
      <c r="Q1727">
        <v>0.16410069999999999</v>
      </c>
      <c r="R1727">
        <v>4.6604220000000002E-2</v>
      </c>
      <c r="S1727">
        <v>-3.196564</v>
      </c>
      <c r="T1727">
        <v>-1.0388660000000001</v>
      </c>
      <c r="U1727">
        <v>0.4006653</v>
      </c>
      <c r="V1727">
        <v>2.5278789999999999E-2</v>
      </c>
      <c r="W1727">
        <v>0.17420579999999999</v>
      </c>
      <c r="X1727">
        <v>0.9843847</v>
      </c>
      <c r="Y1727">
        <v>9.9012230000000007E-2</v>
      </c>
      <c r="Z1727">
        <v>9.6323750000000003E-3</v>
      </c>
      <c r="AA1727">
        <v>0.99503960000000002</v>
      </c>
      <c r="AB1727">
        <v>35</v>
      </c>
      <c r="AC1727">
        <v>-0.32679999999999099</v>
      </c>
      <c r="AD1727">
        <v>-0.221919699999999</v>
      </c>
      <c r="AE1727">
        <v>7.8699999999969295E-2</v>
      </c>
      <c r="AF1727">
        <v>4.9944970663290802E-2</v>
      </c>
      <c r="AG1727">
        <v>-0.221919699999999</v>
      </c>
      <c r="AH1727">
        <v>0.22871618626249801</v>
      </c>
      <c r="AI1727">
        <v>133.46926518139699</v>
      </c>
      <c r="AJ1727">
        <v>77.681640596375004</v>
      </c>
      <c r="AK1727">
        <v>0.32257394067269102</v>
      </c>
      <c r="AL1727">
        <v>79.967555673344094</v>
      </c>
      <c r="AM1727">
        <v>88.528979851099095</v>
      </c>
      <c r="AN1727">
        <v>0.99999995778579598</v>
      </c>
    </row>
    <row r="1728" spans="1:40" x14ac:dyDescent="0.25">
      <c r="A1728" t="str">
        <f>"20190303162814286"</f>
        <v>20190303162814286</v>
      </c>
      <c r="B1728" t="str">
        <f>"1551601694283507"</f>
        <v>1551601694283507</v>
      </c>
      <c r="C1728" t="s">
        <v>40</v>
      </c>
      <c r="D1728">
        <v>4.8570549999999999</v>
      </c>
      <c r="E1728">
        <v>0.53222119999999995</v>
      </c>
      <c r="F1728" t="s">
        <v>44</v>
      </c>
      <c r="G1728">
        <v>-264.8039</v>
      </c>
      <c r="H1728">
        <v>0.82062690000000005</v>
      </c>
      <c r="I1728">
        <v>283.45949999999999</v>
      </c>
      <c r="J1728">
        <v>-264.2226</v>
      </c>
      <c r="K1728">
        <v>1.121515</v>
      </c>
      <c r="L1728">
        <v>283.35149999999999</v>
      </c>
      <c r="M1728">
        <v>-0.99974149999999995</v>
      </c>
      <c r="N1728">
        <v>-1.021469E-2</v>
      </c>
      <c r="O1728">
        <v>2.0312609999999998E-2</v>
      </c>
      <c r="P1728">
        <v>-0.98548800000000003</v>
      </c>
      <c r="Q1728">
        <v>0.16405910000000001</v>
      </c>
      <c r="R1728">
        <v>4.3568610000000001E-2</v>
      </c>
      <c r="S1728">
        <v>-3.1983640000000002</v>
      </c>
      <c r="T1728">
        <v>-1.034942</v>
      </c>
      <c r="U1728">
        <v>0.39392090000000002</v>
      </c>
      <c r="V1728">
        <v>2.3210169999999999E-2</v>
      </c>
      <c r="W1728">
        <v>0.17416870000000001</v>
      </c>
      <c r="X1728">
        <v>0.98444219999999905</v>
      </c>
      <c r="Y1728">
        <v>9.7922389999999998E-2</v>
      </c>
      <c r="Z1728">
        <v>9.7267650000000001E-3</v>
      </c>
      <c r="AA1728">
        <v>0.99514650000000004</v>
      </c>
      <c r="AB1728">
        <v>36</v>
      </c>
      <c r="AC1728">
        <v>-0.58129999999999804</v>
      </c>
      <c r="AD1728">
        <v>-0.30088809999999999</v>
      </c>
      <c r="AE1728">
        <v>0.108000000000004</v>
      </c>
      <c r="AF1728">
        <v>7.6386557566332197E-2</v>
      </c>
      <c r="AG1728">
        <v>-0.30088809999999999</v>
      </c>
      <c r="AH1728">
        <v>0.463369180514004</v>
      </c>
      <c r="AI1728">
        <v>122.64773416033999</v>
      </c>
      <c r="AJ1728">
        <v>80.638963856462397</v>
      </c>
      <c r="AK1728">
        <v>0.55774506035344096</v>
      </c>
      <c r="AL1728">
        <v>79.969714234086396</v>
      </c>
      <c r="AM1728">
        <v>88.6493890079973</v>
      </c>
      <c r="AN1728">
        <v>0.99999994659597702</v>
      </c>
    </row>
    <row r="1729" spans="1:40" x14ac:dyDescent="0.25">
      <c r="A1729" t="str">
        <f>"20190303162814309"</f>
        <v>20190303162814309</v>
      </c>
      <c r="B1729" t="str">
        <f>"1551601694303027"</f>
        <v>1551601694303027</v>
      </c>
      <c r="C1729" t="s">
        <v>40</v>
      </c>
      <c r="D1729">
        <v>4.8715089999999996</v>
      </c>
      <c r="E1729">
        <v>0.5320937</v>
      </c>
      <c r="F1729" t="s">
        <v>44</v>
      </c>
      <c r="G1729">
        <v>-265.12509999999997</v>
      </c>
      <c r="H1729">
        <v>0.82921399999999901</v>
      </c>
      <c r="I1729">
        <v>283.45960000000002</v>
      </c>
      <c r="J1729">
        <v>-264.59530000000001</v>
      </c>
      <c r="K1729">
        <v>1.1215660000000001</v>
      </c>
      <c r="L1729">
        <v>283.35809999999998</v>
      </c>
      <c r="M1729">
        <v>-0.99976330000000002</v>
      </c>
      <c r="N1729">
        <v>-1.021858E-2</v>
      </c>
      <c r="O1729">
        <v>1.920612E-2</v>
      </c>
      <c r="P1729">
        <v>-0.98580100000000004</v>
      </c>
      <c r="Q1729">
        <v>0.16295879999999999</v>
      </c>
      <c r="R1729">
        <v>4.0509120000000003E-2</v>
      </c>
      <c r="S1729">
        <v>-3.1997680000000002</v>
      </c>
      <c r="T1729">
        <v>-1.0364500000000001</v>
      </c>
      <c r="U1729">
        <v>0.38247680000000001</v>
      </c>
      <c r="V1729">
        <v>2.1218520000000001E-2</v>
      </c>
      <c r="W1729">
        <v>0.17307320000000001</v>
      </c>
      <c r="X1729">
        <v>0.98468040000000001</v>
      </c>
      <c r="Y1729">
        <v>9.5524789999999998E-2</v>
      </c>
      <c r="Z1729">
        <v>9.6845669999999998E-3</v>
      </c>
      <c r="AA1729">
        <v>0.99537989999999998</v>
      </c>
      <c r="AB1729">
        <v>36</v>
      </c>
      <c r="AC1729">
        <v>-0.52979999999996596</v>
      </c>
      <c r="AD1729">
        <v>-0.292352</v>
      </c>
      <c r="AE1729">
        <v>0.101500000000044</v>
      </c>
      <c r="AF1729">
        <v>7.0575809434387002E-2</v>
      </c>
      <c r="AG1729">
        <v>-0.292352</v>
      </c>
      <c r="AH1729">
        <v>0.41094808382284598</v>
      </c>
      <c r="AI1729">
        <v>125.035982347016</v>
      </c>
      <c r="AJ1729">
        <v>80.255144349334401</v>
      </c>
      <c r="AK1729">
        <v>0.50924352168583098</v>
      </c>
      <c r="AL1729">
        <v>80.033450528031295</v>
      </c>
      <c r="AM1729">
        <v>88.765545121579194</v>
      </c>
      <c r="AN1729">
        <v>1.00000002414669</v>
      </c>
    </row>
    <row r="1730" spans="1:40" x14ac:dyDescent="0.25">
      <c r="A1730" t="str">
        <f>"20190303162814331"</f>
        <v>20190303162814331</v>
      </c>
      <c r="B1730" t="str">
        <f>"1551601694323523"</f>
        <v>1551601694323523</v>
      </c>
      <c r="C1730" t="s">
        <v>40</v>
      </c>
      <c r="D1730">
        <v>4.897017</v>
      </c>
      <c r="E1730">
        <v>0.53200209999999903</v>
      </c>
      <c r="F1730" t="s">
        <v>44</v>
      </c>
      <c r="G1730">
        <v>-265.44889999999998</v>
      </c>
      <c r="H1730">
        <v>0.843649599999999</v>
      </c>
      <c r="I1730">
        <v>283.45609999999999</v>
      </c>
      <c r="J1730">
        <v>-264.9502</v>
      </c>
      <c r="K1730">
        <v>1.121604</v>
      </c>
      <c r="L1730">
        <v>283.36399999999998</v>
      </c>
      <c r="M1730">
        <v>-0.99978319999999998</v>
      </c>
      <c r="N1730">
        <v>-1.022264E-2</v>
      </c>
      <c r="O1730">
        <v>1.81435E-2</v>
      </c>
      <c r="P1730">
        <v>-0.98618320000000004</v>
      </c>
      <c r="Q1730">
        <v>0.1613</v>
      </c>
      <c r="R1730">
        <v>3.77515E-2</v>
      </c>
      <c r="S1730">
        <v>-3.200348</v>
      </c>
      <c r="T1730">
        <v>-1.04192</v>
      </c>
      <c r="U1730">
        <v>0.36810300000000001</v>
      </c>
      <c r="V1730">
        <v>1.9491430000000001E-2</v>
      </c>
      <c r="W1730">
        <v>0.1714193</v>
      </c>
      <c r="X1730">
        <v>0.98500529999999997</v>
      </c>
      <c r="Y1730">
        <v>9.2231010000000002E-2</v>
      </c>
      <c r="Z1730">
        <v>9.5175899999999994E-3</v>
      </c>
      <c r="AA1730">
        <v>0.99569209999999997</v>
      </c>
      <c r="AB1730">
        <v>36</v>
      </c>
      <c r="AC1730">
        <v>-0.49869999999998499</v>
      </c>
      <c r="AD1730">
        <v>-0.27795439999999999</v>
      </c>
      <c r="AE1730">
        <v>9.2099999999959395E-2</v>
      </c>
      <c r="AF1730">
        <v>6.3854250387620604E-2</v>
      </c>
      <c r="AG1730">
        <v>-0.27795439999999999</v>
      </c>
      <c r="AH1730">
        <v>0.38471869465929398</v>
      </c>
      <c r="AI1730">
        <v>125.47886913646801</v>
      </c>
      <c r="AJ1730">
        <v>80.576158727475004</v>
      </c>
      <c r="AK1730">
        <v>0.47889924597171302</v>
      </c>
      <c r="AL1730">
        <v>80.129649256550493</v>
      </c>
      <c r="AM1730">
        <v>88.866370623377406</v>
      </c>
      <c r="AN1730">
        <v>0.99999996664201096</v>
      </c>
    </row>
    <row r="1731" spans="1:40" x14ac:dyDescent="0.25">
      <c r="A1731" t="str">
        <f>"20190303162814353"</f>
        <v>20190303162814353</v>
      </c>
      <c r="B1731" t="str">
        <f>"1551601694343043"</f>
        <v>1551601694343043</v>
      </c>
      <c r="C1731" t="s">
        <v>40</v>
      </c>
      <c r="D1731">
        <v>4.8902089999999996</v>
      </c>
      <c r="E1731">
        <v>0.53205040000000003</v>
      </c>
      <c r="F1731" t="s">
        <v>44</v>
      </c>
      <c r="G1731">
        <v>-265.77089999999998</v>
      </c>
      <c r="H1731">
        <v>0.85287169999999901</v>
      </c>
      <c r="I1731">
        <v>283.45490000000001</v>
      </c>
      <c r="J1731">
        <v>-265.29259999999999</v>
      </c>
      <c r="K1731">
        <v>1.1216539999999999</v>
      </c>
      <c r="L1731">
        <v>283.36930000000001</v>
      </c>
      <c r="M1731">
        <v>-0.99980119999999895</v>
      </c>
      <c r="N1731">
        <v>-1.0226519999999999E-2</v>
      </c>
      <c r="O1731">
        <v>1.7119780000000001E-2</v>
      </c>
      <c r="P1731">
        <v>-0.98637109999999995</v>
      </c>
      <c r="Q1731">
        <v>0.16064579999999901</v>
      </c>
      <c r="R1731">
        <v>3.556819E-2</v>
      </c>
      <c r="S1731">
        <v>-3.1998600000000001</v>
      </c>
      <c r="T1731">
        <v>-1.04776</v>
      </c>
      <c r="U1731">
        <v>0.35342410000000002</v>
      </c>
      <c r="V1731">
        <v>1.830526E-2</v>
      </c>
      <c r="W1731">
        <v>0.17076959999999999</v>
      </c>
      <c r="X1731">
        <v>0.98514089999999999</v>
      </c>
      <c r="Y1731">
        <v>8.884127E-2</v>
      </c>
      <c r="Z1731">
        <v>9.3265889999999997E-3</v>
      </c>
      <c r="AA1731">
        <v>0.9960021</v>
      </c>
      <c r="AB1731">
        <v>36</v>
      </c>
      <c r="AC1731">
        <v>-0.47829999999999001</v>
      </c>
      <c r="AD1731">
        <v>-0.26878229999999997</v>
      </c>
      <c r="AE1731">
        <v>8.5599999999999399E-2</v>
      </c>
      <c r="AF1731">
        <v>5.9264297249926302E-2</v>
      </c>
      <c r="AG1731">
        <v>-0.26878229999999997</v>
      </c>
      <c r="AH1731">
        <v>0.367303793516852</v>
      </c>
      <c r="AI1731">
        <v>125.845392898627</v>
      </c>
      <c r="AJ1731">
        <v>80.834346236864704</v>
      </c>
      <c r="AK1731">
        <v>0.45898612011006201</v>
      </c>
      <c r="AL1731">
        <v>80.167431430746902</v>
      </c>
      <c r="AM1731">
        <v>88.935488863664503</v>
      </c>
      <c r="AN1731">
        <v>0.99999996584031803</v>
      </c>
    </row>
    <row r="1732" spans="1:40" x14ac:dyDescent="0.25">
      <c r="A1732" t="str">
        <f>"20190303162814376"</f>
        <v>20190303162814376</v>
      </c>
      <c r="B1732" t="str">
        <f>"1551601694363539"</f>
        <v>1551601694363539</v>
      </c>
      <c r="C1732" t="s">
        <v>40</v>
      </c>
      <c r="D1732">
        <v>5.0108629999999996</v>
      </c>
      <c r="E1732">
        <v>0.531983599999999</v>
      </c>
      <c r="F1732" t="s">
        <v>44</v>
      </c>
      <c r="G1732">
        <v>-266.09219999999999</v>
      </c>
      <c r="H1732">
        <v>0.8594794</v>
      </c>
      <c r="I1732">
        <v>283.45530000000002</v>
      </c>
      <c r="J1732">
        <v>-265.64330000000001</v>
      </c>
      <c r="K1732">
        <v>1.1217010000000001</v>
      </c>
      <c r="L1732">
        <v>283.37439999999998</v>
      </c>
      <c r="M1732">
        <v>-0.9998186</v>
      </c>
      <c r="N1732">
        <v>-1.02305E-2</v>
      </c>
      <c r="O1732">
        <v>1.60777E-2</v>
      </c>
      <c r="P1732">
        <v>-0.98648290000000005</v>
      </c>
      <c r="Q1732">
        <v>0.16021879999999999</v>
      </c>
      <c r="R1732">
        <v>3.4376360000000002E-2</v>
      </c>
      <c r="S1732">
        <v>-3.1999209999999998</v>
      </c>
      <c r="T1732">
        <v>-1.0492790000000001</v>
      </c>
      <c r="U1732">
        <v>0.3443909</v>
      </c>
      <c r="V1732">
        <v>1.8131009999999999E-2</v>
      </c>
      <c r="W1732">
        <v>0.1703481</v>
      </c>
      <c r="X1732">
        <v>0.98521720000000002</v>
      </c>
      <c r="Y1732">
        <v>8.7127029999999994E-2</v>
      </c>
      <c r="Z1732">
        <v>9.3792000000000007E-3</v>
      </c>
      <c r="AA1732">
        <v>0.99615310000000001</v>
      </c>
      <c r="AB1732">
        <v>36</v>
      </c>
      <c r="AC1732">
        <v>-0.44889999999997998</v>
      </c>
      <c r="AD1732">
        <v>-0.2622216</v>
      </c>
      <c r="AE1732">
        <v>8.0900000000042299E-2</v>
      </c>
      <c r="AF1732">
        <v>5.5372048871733498E-2</v>
      </c>
      <c r="AG1732">
        <v>-0.2622216</v>
      </c>
      <c r="AH1732">
        <v>0.3383288553528</v>
      </c>
      <c r="AI1732">
        <v>127.41140992163</v>
      </c>
      <c r="AJ1732">
        <v>80.705183050655293</v>
      </c>
      <c r="AK1732">
        <v>0.43161631765626002</v>
      </c>
      <c r="AL1732">
        <v>80.191941756588804</v>
      </c>
      <c r="AM1732">
        <v>88.945701414179794</v>
      </c>
      <c r="AN1732">
        <v>1.0000000699365299</v>
      </c>
    </row>
    <row r="1733" spans="1:40" x14ac:dyDescent="0.25">
      <c r="A1733" t="str">
        <f>"20190303162814510"</f>
        <v>20190303162814510</v>
      </c>
      <c r="B1733" t="str">
        <f>"1551601694503108"</f>
        <v>1551601694503108</v>
      </c>
      <c r="C1733" t="s">
        <v>40</v>
      </c>
      <c r="D1733">
        <v>5.2689159999999999</v>
      </c>
      <c r="E1733">
        <v>0.52942709999999904</v>
      </c>
      <c r="F1733" t="s">
        <v>44</v>
      </c>
      <c r="G1733">
        <v>-268.32499999999999</v>
      </c>
      <c r="H1733">
        <v>0.8452944</v>
      </c>
      <c r="I1733">
        <v>283.48320000000001</v>
      </c>
      <c r="J1733">
        <v>-267.80500000000001</v>
      </c>
      <c r="K1733">
        <v>1.1217539999999999</v>
      </c>
      <c r="L1733">
        <v>283.39749999999998</v>
      </c>
      <c r="M1733">
        <v>-0.99990029999999996</v>
      </c>
      <c r="N1733">
        <v>-1.025742E-2</v>
      </c>
      <c r="O1733">
        <v>9.7106669999999992E-3</v>
      </c>
      <c r="P1733">
        <v>-0.98527629999999999</v>
      </c>
      <c r="Q1733">
        <v>0.1682003</v>
      </c>
      <c r="R1733">
        <v>3.065528E-2</v>
      </c>
      <c r="S1733">
        <v>-3.2077330000000002</v>
      </c>
      <c r="T1733">
        <v>-1.0192000000000001</v>
      </c>
      <c r="U1733">
        <v>0.3257446</v>
      </c>
      <c r="V1733">
        <v>2.06561E-2</v>
      </c>
      <c r="W1733">
        <v>0.178350799999999</v>
      </c>
      <c r="X1733">
        <v>0.98375009999999996</v>
      </c>
      <c r="Y1733">
        <v>8.7400149999999996E-2</v>
      </c>
      <c r="Z1733">
        <v>1.107267E-2</v>
      </c>
      <c r="AA1733">
        <v>0.99611179999999999</v>
      </c>
      <c r="AB1733">
        <v>36</v>
      </c>
      <c r="AC1733">
        <v>-0.51999999999998103</v>
      </c>
      <c r="AD1733">
        <v>-0.27645960000000003</v>
      </c>
      <c r="AE1733">
        <v>8.5700000000031196E-2</v>
      </c>
      <c r="AF1733">
        <v>6.3242918871757106E-2</v>
      </c>
      <c r="AG1733">
        <v>-0.27645960000000003</v>
      </c>
      <c r="AH1733">
        <v>0.40841878037391199</v>
      </c>
      <c r="AI1733">
        <v>123.779751308333</v>
      </c>
      <c r="AJ1733">
        <v>81.197759847231794</v>
      </c>
      <c r="AK1733">
        <v>0.497227792245861</v>
      </c>
      <c r="AL1733">
        <v>79.726286409718398</v>
      </c>
      <c r="AM1733">
        <v>88.797119851595099</v>
      </c>
      <c r="AN1733">
        <v>0.99999997078892899</v>
      </c>
    </row>
    <row r="1734" spans="1:40" x14ac:dyDescent="0.25">
      <c r="A1734" t="str">
        <f>"20190303162814533"</f>
        <v>20190303162814533</v>
      </c>
      <c r="B1734" t="str">
        <f>"1551601694523603"</f>
        <v>1551601694523603</v>
      </c>
      <c r="C1734" t="s">
        <v>40</v>
      </c>
      <c r="D1734">
        <v>5.2293209999999997</v>
      </c>
      <c r="E1734">
        <v>0.48072619999999999</v>
      </c>
      <c r="F1734" t="s">
        <v>44</v>
      </c>
      <c r="G1734">
        <v>-268.64999999999998</v>
      </c>
      <c r="H1734">
        <v>0.85550079999999995</v>
      </c>
      <c r="I1734">
        <v>283.47919999999999</v>
      </c>
      <c r="J1734">
        <v>-268.16550000000001</v>
      </c>
      <c r="K1734">
        <v>1.1217629999999901</v>
      </c>
      <c r="L1734">
        <v>283.39999999999998</v>
      </c>
      <c r="M1734">
        <v>-0.99991010000000002</v>
      </c>
      <c r="N1734">
        <v>-1.026184E-2</v>
      </c>
      <c r="O1734">
        <v>8.649393E-3</v>
      </c>
      <c r="P1734">
        <v>-0.98528479999999996</v>
      </c>
      <c r="Q1734">
        <v>0.1683759</v>
      </c>
      <c r="R1734">
        <v>2.9389350000000002E-2</v>
      </c>
      <c r="S1734">
        <v>-3.2077640000000001</v>
      </c>
      <c r="T1734">
        <v>-1.0108699999999999</v>
      </c>
      <c r="U1734">
        <v>0.30972290000000002</v>
      </c>
      <c r="V1734">
        <v>2.0433509999999998E-2</v>
      </c>
      <c r="W1734">
        <v>0.17852999999999999</v>
      </c>
      <c r="X1734">
        <v>0.98372230000000005</v>
      </c>
      <c r="Y1734">
        <v>8.3722930000000001E-2</v>
      </c>
      <c r="Z1734">
        <v>1.0724279999999999E-2</v>
      </c>
      <c r="AA1734">
        <v>0.99643139999999997</v>
      </c>
      <c r="AB1734">
        <v>36</v>
      </c>
      <c r="AC1734">
        <v>-0.48449999999996801</v>
      </c>
      <c r="AD1734">
        <v>-0.26626219999999901</v>
      </c>
      <c r="AE1734">
        <v>7.9200000000014301E-2</v>
      </c>
      <c r="AF1734">
        <v>5.79575761734583E-2</v>
      </c>
      <c r="AG1734">
        <v>-0.26626219999999901</v>
      </c>
      <c r="AH1734">
        <v>0.37489041174840898</v>
      </c>
      <c r="AI1734">
        <v>125.065079227615</v>
      </c>
      <c r="AJ1734">
        <v>81.211720854400596</v>
      </c>
      <c r="AK1734">
        <v>0.46346246946827702</v>
      </c>
      <c r="AL1734">
        <v>79.715852111341604</v>
      </c>
      <c r="AM1734">
        <v>88.810044715623306</v>
      </c>
      <c r="AN1734">
        <v>1.0000000263741</v>
      </c>
    </row>
    <row r="1735" spans="1:40" x14ac:dyDescent="0.25">
      <c r="A1735" t="str">
        <f>"20190303162814546"</f>
        <v>20190303162814546</v>
      </c>
      <c r="B1735" t="str">
        <f>"1551601694533363"</f>
        <v>1551601694533363</v>
      </c>
      <c r="C1735" t="s">
        <v>40</v>
      </c>
      <c r="D1735">
        <v>5.0899039999999998</v>
      </c>
      <c r="E1735">
        <v>0.479408</v>
      </c>
      <c r="F1735" t="s">
        <v>49</v>
      </c>
      <c r="G1735">
        <v>-289.24790000000002</v>
      </c>
      <c r="H1735" s="1">
        <v>4.6569609999999996E-6</v>
      </c>
      <c r="I1735">
        <v>282.8947</v>
      </c>
      <c r="J1735">
        <v>-268.36680000000001</v>
      </c>
      <c r="K1735">
        <v>1.121764</v>
      </c>
      <c r="L1735">
        <v>283.40120000000002</v>
      </c>
      <c r="M1735">
        <v>-0.99991479999999999</v>
      </c>
      <c r="N1735">
        <v>-1.026435E-2</v>
      </c>
      <c r="O1735">
        <v>8.0565329999999994E-3</v>
      </c>
      <c r="P1735">
        <v>-0.98525910000000005</v>
      </c>
      <c r="Q1735">
        <v>0.16863129999999901</v>
      </c>
      <c r="R1735">
        <v>2.8774859999999999E-2</v>
      </c>
      <c r="S1735">
        <v>-3.074951</v>
      </c>
      <c r="T1735">
        <v>-0.16361319999999999</v>
      </c>
      <c r="U1735">
        <v>-7.369995E-2</v>
      </c>
      <c r="V1735">
        <v>2.040206E-2</v>
      </c>
      <c r="W1735">
        <v>0.17878720000000001</v>
      </c>
      <c r="X1735">
        <v>0.9836762</v>
      </c>
      <c r="Y1735">
        <v>-3.1953500000000003E-2</v>
      </c>
      <c r="Z1735">
        <v>-1.3592120000000001E-3</v>
      </c>
      <c r="AA1735">
        <v>0.99948840000000005</v>
      </c>
      <c r="AB1735">
        <v>36</v>
      </c>
      <c r="AC1735">
        <v>-20.8811</v>
      </c>
      <c r="AD1735">
        <v>-1.121759343039</v>
      </c>
      <c r="AE1735">
        <v>-0.50650000000001605</v>
      </c>
      <c r="AF1735">
        <v>-0.67278121648183098</v>
      </c>
      <c r="AG1735">
        <v>-1.121759343039</v>
      </c>
      <c r="AH1735">
        <v>20.8163013854209</v>
      </c>
      <c r="AI1735">
        <v>93.082993611723396</v>
      </c>
      <c r="AJ1735">
        <v>91.851150690812801</v>
      </c>
      <c r="AK1735">
        <v>20.8573579812406</v>
      </c>
      <c r="AL1735">
        <v>79.700874253839203</v>
      </c>
      <c r="AM1735">
        <v>88.811820030597801</v>
      </c>
      <c r="AN1735">
        <v>0.999999986691261</v>
      </c>
    </row>
    <row r="1736" spans="1:40" x14ac:dyDescent="0.25">
      <c r="A1736" t="str">
        <f>"20190303162814566"</f>
        <v>20190303162814566</v>
      </c>
      <c r="B1736" t="str">
        <f>"1551601694563620"</f>
        <v>1551601694563620</v>
      </c>
      <c r="C1736" t="s">
        <v>40</v>
      </c>
      <c r="D1736">
        <v>4.9818939999999996</v>
      </c>
      <c r="E1736">
        <v>0.4794175</v>
      </c>
      <c r="F1736" t="s">
        <v>49</v>
      </c>
      <c r="G1736">
        <v>-291.86709999999999</v>
      </c>
      <c r="H1736" s="1">
        <v>2.7008029999999999E-6</v>
      </c>
      <c r="I1736">
        <v>282.74209999999999</v>
      </c>
      <c r="J1736">
        <v>-268.69560000000001</v>
      </c>
      <c r="K1736">
        <v>1.1217649999999999</v>
      </c>
      <c r="L1736">
        <v>283.40300000000002</v>
      </c>
      <c r="M1736">
        <v>-0.99992219999999998</v>
      </c>
      <c r="N1736">
        <v>-1.026841E-2</v>
      </c>
      <c r="O1736">
        <v>7.0879659999999898E-3</v>
      </c>
      <c r="P1736">
        <v>-0.98524129999999999</v>
      </c>
      <c r="Q1736">
        <v>0.16901179999999999</v>
      </c>
      <c r="R1736">
        <v>2.7102230000000001E-2</v>
      </c>
      <c r="S1736">
        <v>-3.072479</v>
      </c>
      <c r="T1736">
        <v>-0.14666119999999999</v>
      </c>
      <c r="U1736">
        <v>-8.6181640000000004E-2</v>
      </c>
      <c r="V1736">
        <v>1.9681730000000001E-2</v>
      </c>
      <c r="W1736">
        <v>0.17917</v>
      </c>
      <c r="X1736">
        <v>0.98362119999999997</v>
      </c>
      <c r="Y1736">
        <v>-3.5069900000000001E-2</v>
      </c>
      <c r="Z1736">
        <v>-1.281938E-3</v>
      </c>
      <c r="AA1736">
        <v>0.99938400000000005</v>
      </c>
      <c r="AB1736">
        <v>36</v>
      </c>
      <c r="AC1736">
        <v>-23.171499999999899</v>
      </c>
      <c r="AD1736">
        <v>-1.121762299197</v>
      </c>
      <c r="AE1736">
        <v>-0.66090000000002602</v>
      </c>
      <c r="AF1736">
        <v>-0.82320311844948602</v>
      </c>
      <c r="AG1736">
        <v>-1.121762299197</v>
      </c>
      <c r="AH1736">
        <v>23.112110441804401</v>
      </c>
      <c r="AI1736">
        <v>92.776951646922598</v>
      </c>
      <c r="AJ1736">
        <v>92.039888751654203</v>
      </c>
      <c r="AK1736">
        <v>23.153955668617101</v>
      </c>
      <c r="AL1736">
        <v>79.678581211507506</v>
      </c>
      <c r="AM1736">
        <v>88.853695305640002</v>
      </c>
      <c r="AN1736">
        <v>0.999999962242615</v>
      </c>
    </row>
    <row r="1737" spans="1:40" x14ac:dyDescent="0.25">
      <c r="A1737" t="str">
        <f>"20190303162814577"</f>
        <v>20190303162814577</v>
      </c>
      <c r="B1737" t="str">
        <f>"1551601694573379"</f>
        <v>1551601694573379</v>
      </c>
      <c r="C1737" t="s">
        <v>40</v>
      </c>
      <c r="D1737">
        <v>5.3008879999999996</v>
      </c>
      <c r="E1737">
        <v>0.47906530000000003</v>
      </c>
      <c r="F1737" t="s">
        <v>49</v>
      </c>
      <c r="G1737">
        <v>-290.72800000000001</v>
      </c>
      <c r="H1737" s="1">
        <v>2.498465E-6</v>
      </c>
      <c r="I1737">
        <v>282.74509999999998</v>
      </c>
      <c r="J1737">
        <v>-268.89</v>
      </c>
      <c r="K1737">
        <v>1.121767</v>
      </c>
      <c r="L1737">
        <v>283.40390000000002</v>
      </c>
      <c r="M1737">
        <v>-0.99992610000000004</v>
      </c>
      <c r="N1737">
        <v>-1.0270649999999999E-2</v>
      </c>
      <c r="O1737">
        <v>6.5155589999999998E-3</v>
      </c>
      <c r="P1737">
        <v>-0.98527290000000001</v>
      </c>
      <c r="Q1737">
        <v>0.1689599</v>
      </c>
      <c r="R1737">
        <v>2.627527E-2</v>
      </c>
      <c r="S1737">
        <v>-3.0743100000000001</v>
      </c>
      <c r="T1737">
        <v>-0.15652679999999999</v>
      </c>
      <c r="U1737">
        <v>-9.1796879999999997E-2</v>
      </c>
      <c r="V1737">
        <v>1.9418359999999999E-2</v>
      </c>
      <c r="W1737">
        <v>0.1791198</v>
      </c>
      <c r="X1737">
        <v>0.98363560000000005</v>
      </c>
      <c r="Y1737">
        <v>-3.6296559999999999E-2</v>
      </c>
      <c r="Z1737">
        <v>-1.3743760000000001E-3</v>
      </c>
      <c r="AA1737">
        <v>0.99934009999999995</v>
      </c>
      <c r="AB1737">
        <v>36</v>
      </c>
      <c r="AC1737">
        <v>-21.838000000000001</v>
      </c>
      <c r="AD1737">
        <v>-1.121764501535</v>
      </c>
      <c r="AE1737">
        <v>-0.65880000000004202</v>
      </c>
      <c r="AF1737">
        <v>-0.79897401108674204</v>
      </c>
      <c r="AG1737">
        <v>-1.121764501535</v>
      </c>
      <c r="AH1737">
        <v>21.775837706923401</v>
      </c>
      <c r="AI1737">
        <v>92.946959145200196</v>
      </c>
      <c r="AJ1737">
        <v>92.101288301445393</v>
      </c>
      <c r="AK1737">
        <v>21.819345152995801</v>
      </c>
      <c r="AL1737">
        <v>79.681504987198906</v>
      </c>
      <c r="AM1737">
        <v>88.8690470610467</v>
      </c>
      <c r="AN1737">
        <v>0.99999998452224403</v>
      </c>
    </row>
    <row r="1738" spans="1:40" x14ac:dyDescent="0.25">
      <c r="A1738" t="str">
        <f>"20190303162814589"</f>
        <v>20190303162814589</v>
      </c>
      <c r="B1738" t="str">
        <f>"1551601694583139"</f>
        <v>1551601694583139</v>
      </c>
      <c r="C1738" t="s">
        <v>40</v>
      </c>
      <c r="D1738">
        <v>5.2948510000000004</v>
      </c>
      <c r="E1738">
        <v>0.47875079999999998</v>
      </c>
      <c r="F1738" t="s">
        <v>49</v>
      </c>
      <c r="G1738">
        <v>-291.55180000000001</v>
      </c>
      <c r="H1738" s="1">
        <v>2.6496189999999999E-6</v>
      </c>
      <c r="I1738">
        <v>282.68770000000001</v>
      </c>
      <c r="J1738">
        <v>-269.08019999999999</v>
      </c>
      <c r="K1738">
        <v>1.1217710000000001</v>
      </c>
      <c r="L1738">
        <v>283.40460000000002</v>
      </c>
      <c r="M1738">
        <v>-0.99992959999999997</v>
      </c>
      <c r="N1738">
        <v>-1.027293E-2</v>
      </c>
      <c r="O1738">
        <v>5.9555479999999997E-3</v>
      </c>
      <c r="P1738">
        <v>-0.98528349999999998</v>
      </c>
      <c r="Q1738">
        <v>0.1690239</v>
      </c>
      <c r="R1738">
        <v>2.5442079999999999E-2</v>
      </c>
      <c r="S1738">
        <v>-3.073547</v>
      </c>
      <c r="T1738">
        <v>-0.1521412</v>
      </c>
      <c r="U1738">
        <v>-9.713745E-2</v>
      </c>
      <c r="V1738">
        <v>1.9136050000000002E-2</v>
      </c>
      <c r="W1738">
        <v>0.1791855</v>
      </c>
      <c r="X1738">
        <v>0.98362919999999998</v>
      </c>
      <c r="Y1738">
        <v>-3.7480949999999999E-2</v>
      </c>
      <c r="Z1738">
        <v>-1.3529900000000001E-3</v>
      </c>
      <c r="AA1738">
        <v>0.99929639999999997</v>
      </c>
      <c r="AB1738">
        <v>36</v>
      </c>
      <c r="AC1738">
        <v>-22.471599999999999</v>
      </c>
      <c r="AD1738">
        <v>-1.1217683503810001</v>
      </c>
      <c r="AE1738">
        <v>-0.71690000000000897</v>
      </c>
      <c r="AF1738">
        <v>-0.84861248063654504</v>
      </c>
      <c r="AG1738">
        <v>-1.1217683503810001</v>
      </c>
      <c r="AH1738">
        <v>22.4111411406112</v>
      </c>
      <c r="AI1738">
        <v>92.863445597477394</v>
      </c>
      <c r="AJ1738">
        <v>92.168506060968696</v>
      </c>
      <c r="AK1738">
        <v>22.455238912080201</v>
      </c>
      <c r="AL1738">
        <v>79.677679094532195</v>
      </c>
      <c r="AM1738">
        <v>88.885477769852798</v>
      </c>
      <c r="AN1738">
        <v>1.00000001745624</v>
      </c>
    </row>
    <row r="1739" spans="1:40" x14ac:dyDescent="0.25">
      <c r="A1739" t="str">
        <f>"20190303162814601"</f>
        <v>20190303162814601</v>
      </c>
      <c r="B1739" t="str">
        <f>"1551601694592900"</f>
        <v>1551601694592900</v>
      </c>
      <c r="C1739" t="s">
        <v>40</v>
      </c>
      <c r="D1739">
        <v>5.2777079999999996</v>
      </c>
      <c r="E1739">
        <v>0.47837649999999998</v>
      </c>
      <c r="F1739" t="s">
        <v>49</v>
      </c>
      <c r="G1739">
        <v>-292.56470000000002</v>
      </c>
      <c r="H1739" s="1">
        <v>2.8349140000000001E-6</v>
      </c>
      <c r="I1739">
        <v>282.6234</v>
      </c>
      <c r="J1739">
        <v>-269.28550000000001</v>
      </c>
      <c r="K1739">
        <v>1.1217729999999999</v>
      </c>
      <c r="L1739">
        <v>283.40530000000001</v>
      </c>
      <c r="M1739">
        <v>-0.99993290000000001</v>
      </c>
      <c r="N1739">
        <v>-1.027545E-2</v>
      </c>
      <c r="O1739">
        <v>5.3516639999999999E-3</v>
      </c>
      <c r="P1739">
        <v>-0.98535119999999998</v>
      </c>
      <c r="Q1739">
        <v>0.168763</v>
      </c>
      <c r="R1739">
        <v>2.4538910000000001E-2</v>
      </c>
      <c r="S1739">
        <v>-3.072632</v>
      </c>
      <c r="T1739">
        <v>-0.14676819999999999</v>
      </c>
      <c r="U1739">
        <v>-0.1022034</v>
      </c>
      <c r="V1739">
        <v>1.8827460000000001E-2</v>
      </c>
      <c r="W1739">
        <v>0.178927</v>
      </c>
      <c r="X1739">
        <v>0.98368219999999995</v>
      </c>
      <c r="Y1739">
        <v>-3.8535510000000002E-2</v>
      </c>
      <c r="Z1739">
        <v>-1.318219E-3</v>
      </c>
      <c r="AA1739">
        <v>0.99925640000000004</v>
      </c>
      <c r="AB1739">
        <v>36</v>
      </c>
      <c r="AC1739">
        <v>-23.279199999999999</v>
      </c>
      <c r="AD1739">
        <v>-1.1217701650859999</v>
      </c>
      <c r="AE1739">
        <v>-0.78190000000000703</v>
      </c>
      <c r="AF1739">
        <v>-0.90438018405074005</v>
      </c>
      <c r="AG1739">
        <v>-1.1217701650859999</v>
      </c>
      <c r="AH1739">
        <v>23.220822750963801</v>
      </c>
      <c r="AI1739">
        <v>92.763648394420002</v>
      </c>
      <c r="AJ1739">
        <v>92.230368498010407</v>
      </c>
      <c r="AK1739">
        <v>23.265486907697799</v>
      </c>
      <c r="AL1739">
        <v>79.692733244709501</v>
      </c>
      <c r="AM1739">
        <v>88.903505317797595</v>
      </c>
      <c r="AN1739">
        <v>1.0000000075879401</v>
      </c>
    </row>
    <row r="1740" spans="1:40" x14ac:dyDescent="0.25">
      <c r="A1740" t="str">
        <f>"20190303162814622"</f>
        <v>20190303162814622</v>
      </c>
      <c r="B1740" t="str">
        <f>"1551601694613395"</f>
        <v>1551601694613395</v>
      </c>
      <c r="C1740" t="s">
        <v>40</v>
      </c>
      <c r="D1740">
        <v>5.3239910000000004</v>
      </c>
      <c r="E1740">
        <v>0.47810550000000002</v>
      </c>
      <c r="F1740" t="s">
        <v>49</v>
      </c>
      <c r="G1740">
        <v>-293.03949999999998</v>
      </c>
      <c r="H1740" s="1">
        <v>2.9235730000000002E-6</v>
      </c>
      <c r="I1740">
        <v>282.57260000000002</v>
      </c>
      <c r="J1740">
        <v>-269.5994</v>
      </c>
      <c r="K1740">
        <v>1.1217710000000001</v>
      </c>
      <c r="L1740">
        <v>283.40620000000001</v>
      </c>
      <c r="M1740">
        <v>-0.99993750000000003</v>
      </c>
      <c r="N1740">
        <v>-1.027954E-2</v>
      </c>
      <c r="O1740">
        <v>4.4280600000000002E-3</v>
      </c>
      <c r="P1740">
        <v>-0.98543890000000001</v>
      </c>
      <c r="Q1740">
        <v>0.16839100000000001</v>
      </c>
      <c r="R1740">
        <v>2.355815E-2</v>
      </c>
      <c r="S1740">
        <v>-3.0721440000000002</v>
      </c>
      <c r="T1740">
        <v>-0.14508019999999999</v>
      </c>
      <c r="U1740">
        <v>-0.1076965</v>
      </c>
      <c r="V1740">
        <v>1.8756910000000002E-2</v>
      </c>
      <c r="W1740">
        <v>0.17855960000000001</v>
      </c>
      <c r="X1740">
        <v>0.98375029999999997</v>
      </c>
      <c r="Y1740">
        <v>-3.9403090000000002E-2</v>
      </c>
      <c r="Z1740">
        <v>-1.295769E-3</v>
      </c>
      <c r="AA1740">
        <v>0.99922259999999996</v>
      </c>
      <c r="AB1740">
        <v>36</v>
      </c>
      <c r="AC1740">
        <v>-23.440099999999902</v>
      </c>
      <c r="AD1740">
        <v>-1.1217680764269999</v>
      </c>
      <c r="AE1740">
        <v>-0.83359999999998902</v>
      </c>
      <c r="AF1740">
        <v>-0.93525218845526203</v>
      </c>
      <c r="AG1740">
        <v>-1.1217680764269999</v>
      </c>
      <c r="AH1740">
        <v>23.382693640514901</v>
      </c>
      <c r="AI1740">
        <v>92.7444273246997</v>
      </c>
      <c r="AJ1740">
        <v>92.290474125601904</v>
      </c>
      <c r="AK1740">
        <v>23.4282611851472</v>
      </c>
      <c r="AL1740">
        <v>79.714128212987504</v>
      </c>
      <c r="AM1740">
        <v>88.907688692174204</v>
      </c>
      <c r="AN1740">
        <v>1.00000000258749</v>
      </c>
    </row>
    <row r="1741" spans="1:40" x14ac:dyDescent="0.25">
      <c r="A1741" t="str">
        <f>"20190303162814643"</f>
        <v>20190303162814643</v>
      </c>
      <c r="B1741" t="str">
        <f>"1551601694632916"</f>
        <v>1551601694632916</v>
      </c>
      <c r="C1741" t="s">
        <v>40</v>
      </c>
      <c r="D1741">
        <v>5.3329899999999997</v>
      </c>
      <c r="E1741">
        <v>0.47766999999999998</v>
      </c>
      <c r="F1741" t="s">
        <v>49</v>
      </c>
      <c r="G1741">
        <v>-294.41070000000002</v>
      </c>
      <c r="H1741" s="1">
        <v>3.1732969999999999E-6</v>
      </c>
      <c r="I1741">
        <v>282.49829999999997</v>
      </c>
      <c r="J1741">
        <v>-269.94389999999999</v>
      </c>
      <c r="K1741">
        <v>1.121767</v>
      </c>
      <c r="L1741">
        <v>283.40679999999998</v>
      </c>
      <c r="M1741">
        <v>-0.99994119999999997</v>
      </c>
      <c r="N1741">
        <v>-1.0284140000000001E-2</v>
      </c>
      <c r="O1741">
        <v>3.4198330000000002E-3</v>
      </c>
      <c r="P1741">
        <v>-0.98556319999999997</v>
      </c>
      <c r="Q1741">
        <v>0.1678732</v>
      </c>
      <c r="R1741">
        <v>2.2001630000000001E-2</v>
      </c>
      <c r="S1741">
        <v>-3.0707399999999998</v>
      </c>
      <c r="T1741">
        <v>-0.13883409999999999</v>
      </c>
      <c r="U1741">
        <v>-0.1123657</v>
      </c>
      <c r="V1741">
        <v>1.8194479999999999E-2</v>
      </c>
      <c r="W1741">
        <v>0.178045799999999</v>
      </c>
      <c r="X1741">
        <v>0.98385400000000001</v>
      </c>
      <c r="Y1741">
        <v>-3.9933320000000001E-2</v>
      </c>
      <c r="Z1741">
        <v>-1.2268559999999999E-3</v>
      </c>
      <c r="AA1741">
        <v>0.99920160000000002</v>
      </c>
      <c r="AB1741">
        <v>36</v>
      </c>
      <c r="AC1741">
        <v>-24.466799999999999</v>
      </c>
      <c r="AD1741">
        <v>-1.1217638267029999</v>
      </c>
      <c r="AE1741">
        <v>-0.90850000000000297</v>
      </c>
      <c r="AF1741">
        <v>-0.99009310194302202</v>
      </c>
      <c r="AG1741">
        <v>-1.1217638267029999</v>
      </c>
      <c r="AH1741">
        <v>24.412303955077899</v>
      </c>
      <c r="AI1741">
        <v>92.628775633277897</v>
      </c>
      <c r="AJ1741">
        <v>92.322479809347399</v>
      </c>
      <c r="AK1741">
        <v>24.458111595716598</v>
      </c>
      <c r="AL1741">
        <v>79.744046377030799</v>
      </c>
      <c r="AM1741">
        <v>88.940545955183694</v>
      </c>
      <c r="AN1741">
        <v>1.0000000196580501</v>
      </c>
    </row>
    <row r="1742" spans="1:40" x14ac:dyDescent="0.25">
      <c r="A1742" t="str">
        <f>"20190303162814657"</f>
        <v>20190303162814657</v>
      </c>
      <c r="B1742" t="str">
        <f>"1551601694642676"</f>
        <v>1551601694642676</v>
      </c>
      <c r="C1742" t="s">
        <v>40</v>
      </c>
      <c r="D1742">
        <v>5.3343829999999999</v>
      </c>
      <c r="E1742">
        <v>0.47748210000000002</v>
      </c>
      <c r="F1742" t="s">
        <v>49</v>
      </c>
      <c r="G1742">
        <v>-295.49740000000003</v>
      </c>
      <c r="H1742" s="1">
        <v>3.3739739999999999E-6</v>
      </c>
      <c r="I1742">
        <v>282.40789999999998</v>
      </c>
      <c r="J1742">
        <v>-270.16500000000002</v>
      </c>
      <c r="K1742">
        <v>1.121766</v>
      </c>
      <c r="L1742">
        <v>283.40699999999998</v>
      </c>
      <c r="M1742">
        <v>-0.99994329999999998</v>
      </c>
      <c r="N1742">
        <v>-1.0286969999999999E-2</v>
      </c>
      <c r="O1742">
        <v>2.7785729999999999E-3</v>
      </c>
      <c r="P1742">
        <v>-0.98563800000000001</v>
      </c>
      <c r="Q1742">
        <v>0.16750499999999999</v>
      </c>
      <c r="R1742">
        <v>2.1445280000000001E-2</v>
      </c>
      <c r="S1742">
        <v>-3.0695800000000002</v>
      </c>
      <c r="T1742">
        <v>-0.13475019999999999</v>
      </c>
      <c r="U1742">
        <v>-0.11999509999999999</v>
      </c>
      <c r="V1742">
        <v>1.827167E-2</v>
      </c>
      <c r="W1742">
        <v>0.1776817</v>
      </c>
      <c r="X1742">
        <v>0.98391839999999997</v>
      </c>
      <c r="Y1742">
        <v>-4.1787129999999999E-2</v>
      </c>
      <c r="Z1742">
        <v>-1.224864E-3</v>
      </c>
      <c r="AA1742">
        <v>0.99912579999999995</v>
      </c>
      <c r="AB1742">
        <v>36</v>
      </c>
      <c r="AC1742">
        <v>-25.3324</v>
      </c>
      <c r="AD1742">
        <v>-1.1217626260259901</v>
      </c>
      <c r="AE1742">
        <v>-0.99909999999999799</v>
      </c>
      <c r="AF1742">
        <v>-1.06739800464388</v>
      </c>
      <c r="AG1742">
        <v>-1.1217626260259901</v>
      </c>
      <c r="AH1742">
        <v>25.2800320598461</v>
      </c>
      <c r="AI1742">
        <v>92.538486770054803</v>
      </c>
      <c r="AJ1742">
        <v>92.417761814126905</v>
      </c>
      <c r="AK1742">
        <v>25.3274102670666</v>
      </c>
      <c r="AL1742">
        <v>79.765245890294494</v>
      </c>
      <c r="AM1742">
        <v>88.936121879262103</v>
      </c>
      <c r="AN1742">
        <v>1.0000000291490101</v>
      </c>
    </row>
    <row r="1743" spans="1:40" x14ac:dyDescent="0.25">
      <c r="A1743" t="str">
        <f>"20190303162814672"</f>
        <v>20190303162814672</v>
      </c>
      <c r="B1743" t="str">
        <f>"1551601694664148"</f>
        <v>1551601694664148</v>
      </c>
      <c r="C1743" t="s">
        <v>40</v>
      </c>
      <c r="D1743">
        <v>5.3959609999999998</v>
      </c>
      <c r="E1743">
        <v>0.47708</v>
      </c>
      <c r="F1743" t="s">
        <v>49</v>
      </c>
      <c r="G1743">
        <v>-295.77210000000002</v>
      </c>
      <c r="H1743" s="1">
        <v>3.4250600000000002E-6</v>
      </c>
      <c r="I1743">
        <v>282.3809</v>
      </c>
      <c r="J1743">
        <v>-270.40780000000001</v>
      </c>
      <c r="K1743">
        <v>1.121758</v>
      </c>
      <c r="L1743">
        <v>283.40699999999998</v>
      </c>
      <c r="M1743">
        <v>-0.99994490000000003</v>
      </c>
      <c r="N1743">
        <v>-1.029012E-2</v>
      </c>
      <c r="O1743">
        <v>2.0774919999999998E-3</v>
      </c>
      <c r="P1743">
        <v>-0.98563670000000003</v>
      </c>
      <c r="Q1743">
        <v>0.1676134</v>
      </c>
      <c r="R1743">
        <v>2.0642770000000001E-2</v>
      </c>
      <c r="S1743">
        <v>-3.0692750000000002</v>
      </c>
      <c r="T1743">
        <v>-0.13445470000000001</v>
      </c>
      <c r="U1743">
        <v>-0.12298580000000001</v>
      </c>
      <c r="V1743">
        <v>1.8161320000000002E-2</v>
      </c>
      <c r="W1743">
        <v>0.17779200000000001</v>
      </c>
      <c r="X1743">
        <v>0.98390049999999996</v>
      </c>
      <c r="Y1743">
        <v>-4.2062799999999997E-2</v>
      </c>
      <c r="Z1743">
        <v>-1.206709E-3</v>
      </c>
      <c r="AA1743">
        <v>0.99911419999999995</v>
      </c>
      <c r="AB1743">
        <v>36</v>
      </c>
      <c r="AC1743">
        <v>-25.3643</v>
      </c>
      <c r="AD1743">
        <v>-1.12175457494</v>
      </c>
      <c r="AE1743">
        <v>-1.02609999999998</v>
      </c>
      <c r="AF1743">
        <v>-1.07669222822636</v>
      </c>
      <c r="AG1743">
        <v>-1.12175457494</v>
      </c>
      <c r="AH1743">
        <v>25.312684868685299</v>
      </c>
      <c r="AI1743">
        <v>92.535164787706293</v>
      </c>
      <c r="AJ1743">
        <v>92.435646645427099</v>
      </c>
      <c r="AK1743">
        <v>25.360394609352799</v>
      </c>
      <c r="AL1743">
        <v>79.758823731447706</v>
      </c>
      <c r="AM1743">
        <v>88.942526372041499</v>
      </c>
      <c r="AN1743">
        <v>1.00000001135419</v>
      </c>
    </row>
    <row r="1744" spans="1:40" x14ac:dyDescent="0.25">
      <c r="A1744" t="str">
        <f>"20190303162814690"</f>
        <v>20190303162814690</v>
      </c>
      <c r="B1744" t="str">
        <f>"1551601694682692"</f>
        <v>1551601694682692</v>
      </c>
      <c r="C1744" t="s">
        <v>40</v>
      </c>
      <c r="D1744">
        <v>5.3348279999999999</v>
      </c>
      <c r="E1744">
        <v>0.47676370000000001</v>
      </c>
      <c r="F1744" t="s">
        <v>49</v>
      </c>
      <c r="G1744">
        <v>-296.86590000000001</v>
      </c>
      <c r="H1744" s="1">
        <v>3.6262440000000001E-6</v>
      </c>
      <c r="I1744">
        <v>282.29899999999998</v>
      </c>
      <c r="J1744">
        <v>-270.6891</v>
      </c>
      <c r="K1744">
        <v>1.12175</v>
      </c>
      <c r="L1744">
        <v>283.40690000000001</v>
      </c>
      <c r="M1744">
        <v>-0.99994609999999995</v>
      </c>
      <c r="N1744">
        <v>-1.0293790000000001E-2</v>
      </c>
      <c r="O1744">
        <v>1.2726180000000001E-3</v>
      </c>
      <c r="P1744">
        <v>-0.9858249</v>
      </c>
      <c r="Q1744">
        <v>0.16657810000000001</v>
      </c>
      <c r="R1744">
        <v>2.0019929999999998E-2</v>
      </c>
      <c r="S1744">
        <v>-3.0685120000000001</v>
      </c>
      <c r="T1744">
        <v>-0.13009699999999999</v>
      </c>
      <c r="U1744">
        <v>-0.1285095</v>
      </c>
      <c r="V1744">
        <v>1.8336660000000001E-2</v>
      </c>
      <c r="W1744">
        <v>0.17676239999999999</v>
      </c>
      <c r="X1744">
        <v>0.98408280000000004</v>
      </c>
      <c r="Y1744">
        <v>-4.3066260000000002E-2</v>
      </c>
      <c r="Z1744">
        <v>-1.1748419999999999E-3</v>
      </c>
      <c r="AA1744">
        <v>0.9990715</v>
      </c>
      <c r="AB1744">
        <v>36</v>
      </c>
      <c r="AC1744">
        <v>-26.1768</v>
      </c>
      <c r="AD1744">
        <v>-1.1217463737560001</v>
      </c>
      <c r="AE1744">
        <v>-1.1078999999999699</v>
      </c>
      <c r="AF1744">
        <v>-1.1391258412163201</v>
      </c>
      <c r="AG1744">
        <v>-1.1217463737560001</v>
      </c>
      <c r="AH1744">
        <v>26.1274753081304</v>
      </c>
      <c r="AI1744">
        <v>92.4560735146094</v>
      </c>
      <c r="AJ1744">
        <v>92.496444642278405</v>
      </c>
      <c r="AK1744">
        <v>26.176342154436401</v>
      </c>
      <c r="AL1744">
        <v>79.818765463525907</v>
      </c>
      <c r="AM1744">
        <v>88.932516996102194</v>
      </c>
      <c r="AN1744">
        <v>1.0000000682047701</v>
      </c>
    </row>
    <row r="1745" spans="1:40" x14ac:dyDescent="0.25">
      <c r="A1745" t="str">
        <f>"20190303162814713"</f>
        <v>20190303162814713</v>
      </c>
      <c r="B1745" t="str">
        <f>"1551601694703187"</f>
        <v>1551601694703187</v>
      </c>
      <c r="C1745" t="s">
        <v>40</v>
      </c>
      <c r="D1745">
        <v>5.330368</v>
      </c>
      <c r="E1745">
        <v>0.47647640000000002</v>
      </c>
      <c r="F1745" t="s">
        <v>49</v>
      </c>
      <c r="G1745">
        <v>-297.149</v>
      </c>
      <c r="H1745" s="1">
        <v>3.6799070000000001E-6</v>
      </c>
      <c r="I1745">
        <v>282.2595</v>
      </c>
      <c r="J1745">
        <v>-271.06650000000002</v>
      </c>
      <c r="K1745">
        <v>1.121721</v>
      </c>
      <c r="L1745">
        <v>283.40640000000002</v>
      </c>
      <c r="M1745">
        <v>-0.99994700000000003</v>
      </c>
      <c r="N1745">
        <v>-1.029862E-2</v>
      </c>
      <c r="O1745">
        <v>2.1345549999999999E-4</v>
      </c>
      <c r="P1745">
        <v>-0.98584629999999995</v>
      </c>
      <c r="Q1745">
        <v>0.16659779999999999</v>
      </c>
      <c r="R1745">
        <v>1.8781430000000002E-2</v>
      </c>
      <c r="S1745">
        <v>-3.0678100000000001</v>
      </c>
      <c r="T1745">
        <v>-0.13005749999999999</v>
      </c>
      <c r="U1745">
        <v>-0.13302610000000001</v>
      </c>
      <c r="V1745">
        <v>1.8147880000000002E-2</v>
      </c>
      <c r="W1745">
        <v>0.1767859</v>
      </c>
      <c r="X1745">
        <v>0.98408200000000001</v>
      </c>
      <c r="Y1745">
        <v>-4.3485879999999998E-2</v>
      </c>
      <c r="Z1745">
        <v>-1.151932E-3</v>
      </c>
      <c r="AA1745">
        <v>0.99905339999999998</v>
      </c>
      <c r="AB1745">
        <v>36</v>
      </c>
      <c r="AC1745">
        <v>-26.0824999999999</v>
      </c>
      <c r="AD1745">
        <v>-1.121717320093</v>
      </c>
      <c r="AE1745">
        <v>-1.14690000000001</v>
      </c>
      <c r="AF1745">
        <v>-1.1503441972383599</v>
      </c>
      <c r="AG1745">
        <v>-1.121717320093</v>
      </c>
      <c r="AH1745">
        <v>26.034195697890301</v>
      </c>
      <c r="AI1745">
        <v>92.464735626463195</v>
      </c>
      <c r="AJ1745">
        <v>92.530019534274402</v>
      </c>
      <c r="AK1745">
        <v>26.083728398263201</v>
      </c>
      <c r="AL1745">
        <v>79.817396677989805</v>
      </c>
      <c r="AM1745">
        <v>88.943503608876298</v>
      </c>
      <c r="AN1745">
        <v>0.99999999135565198</v>
      </c>
    </row>
    <row r="1746" spans="1:40" x14ac:dyDescent="0.25">
      <c r="A1746" t="str">
        <f>"20190303162814734"</f>
        <v>20190303162814734</v>
      </c>
      <c r="B1746" t="str">
        <f>"1551601694722711"</f>
        <v>1551601694722711</v>
      </c>
      <c r="C1746" t="s">
        <v>40</v>
      </c>
      <c r="D1746">
        <v>5.3299130000000003</v>
      </c>
      <c r="E1746">
        <v>0.4763367</v>
      </c>
      <c r="F1746" t="s">
        <v>49</v>
      </c>
      <c r="G1746">
        <v>-298.04649999999998</v>
      </c>
      <c r="H1746" s="1">
        <v>3.8454139999999996E-6</v>
      </c>
      <c r="I1746">
        <v>282.18740000000003</v>
      </c>
      <c r="J1746">
        <v>-271.41430000000003</v>
      </c>
      <c r="K1746">
        <v>1.1217029999999999</v>
      </c>
      <c r="L1746">
        <v>283.40550000000002</v>
      </c>
      <c r="M1746">
        <v>-0.99994669999999997</v>
      </c>
      <c r="N1746">
        <v>-1.030286E-2</v>
      </c>
      <c r="O1746">
        <v>-7.3727769999999996E-4</v>
      </c>
      <c r="P1746">
        <v>-0.98580909999999999</v>
      </c>
      <c r="Q1746">
        <v>0.16694389999999901</v>
      </c>
      <c r="R1746">
        <v>1.7607660000000001E-2</v>
      </c>
      <c r="S1746">
        <v>-3.0672299999999999</v>
      </c>
      <c r="T1746">
        <v>-0.12752279999999999</v>
      </c>
      <c r="U1746">
        <v>-0.13858029999999999</v>
      </c>
      <c r="V1746">
        <v>1.7917700000000002E-2</v>
      </c>
      <c r="W1746">
        <v>0.17713409999999999</v>
      </c>
      <c r="X1746">
        <v>0.9840236</v>
      </c>
      <c r="Y1746">
        <v>-4.4350939999999998E-2</v>
      </c>
      <c r="Z1746">
        <v>-1.12678E-3</v>
      </c>
      <c r="AA1746">
        <v>0.9990154</v>
      </c>
      <c r="AB1746">
        <v>36</v>
      </c>
      <c r="AC1746">
        <v>-26.632199999999902</v>
      </c>
      <c r="AD1746">
        <v>-1.121699154586</v>
      </c>
      <c r="AE1746">
        <v>-1.21809999999999</v>
      </c>
      <c r="AF1746">
        <v>-1.19634548682508</v>
      </c>
      <c r="AG1746">
        <v>-1.121699154586</v>
      </c>
      <c r="AH1746">
        <v>26.586027348637099</v>
      </c>
      <c r="AI1746">
        <v>92.413511318830501</v>
      </c>
      <c r="AJ1746">
        <v>92.576516461563003</v>
      </c>
      <c r="AK1746">
        <v>26.636559494419</v>
      </c>
      <c r="AL1746">
        <v>79.797126361745001</v>
      </c>
      <c r="AM1746">
        <v>88.956838888191001</v>
      </c>
      <c r="AN1746">
        <v>0.99999998935652901</v>
      </c>
    </row>
    <row r="1747" spans="1:40" x14ac:dyDescent="0.25">
      <c r="A1747" t="str">
        <f>"20190303162814755"</f>
        <v>20190303162814755</v>
      </c>
      <c r="B1747" t="str">
        <f>"1551601694743208"</f>
        <v>1551601694743208</v>
      </c>
      <c r="C1747" t="s">
        <v>40</v>
      </c>
      <c r="D1747">
        <v>5.3992440000000004</v>
      </c>
      <c r="E1747">
        <v>0.4761727</v>
      </c>
      <c r="F1747" t="s">
        <v>49</v>
      </c>
      <c r="G1747">
        <v>-298.9665</v>
      </c>
      <c r="H1747" s="1">
        <v>4.0142569999999997E-6</v>
      </c>
      <c r="I1747">
        <v>282.12270000000001</v>
      </c>
      <c r="J1747">
        <v>-271.75459999999998</v>
      </c>
      <c r="K1747">
        <v>1.121686</v>
      </c>
      <c r="L1747">
        <v>283.40440000000001</v>
      </c>
      <c r="M1747">
        <v>-0.99994559999999999</v>
      </c>
      <c r="N1747">
        <v>-1.0309169999999999E-2</v>
      </c>
      <c r="O1747">
        <v>-1.6368680000000001E-3</v>
      </c>
      <c r="P1747">
        <v>-0.98581850000000004</v>
      </c>
      <c r="Q1747">
        <v>0.16700519999999999</v>
      </c>
      <c r="R1747">
        <v>1.6478710000000001E-2</v>
      </c>
      <c r="S1747">
        <v>-3.0668950000000001</v>
      </c>
      <c r="T1747">
        <v>-0.12485889999999999</v>
      </c>
      <c r="U1747">
        <v>-0.14279169999999999</v>
      </c>
      <c r="V1747">
        <v>1.7685090000000001E-2</v>
      </c>
      <c r="W1747">
        <v>0.1772002</v>
      </c>
      <c r="X1747">
        <v>0.98401590000000005</v>
      </c>
      <c r="Y1747">
        <v>-4.4827730000000003E-2</v>
      </c>
      <c r="Z1747">
        <v>-1.093243E-3</v>
      </c>
      <c r="AA1747">
        <v>0.9989941</v>
      </c>
      <c r="AB1747">
        <v>36</v>
      </c>
      <c r="AC1747">
        <v>-27.2119</v>
      </c>
      <c r="AD1747">
        <v>-1.121681985743</v>
      </c>
      <c r="AE1747">
        <v>-1.2817000000000001</v>
      </c>
      <c r="AF1747">
        <v>-1.23505977238705</v>
      </c>
      <c r="AG1747">
        <v>-1.121681985743</v>
      </c>
      <c r="AH1747">
        <v>27.167902524626999</v>
      </c>
      <c r="AI1747">
        <v>92.361793307613198</v>
      </c>
      <c r="AJ1747">
        <v>92.602888651937604</v>
      </c>
      <c r="AK1747">
        <v>27.219082841016899</v>
      </c>
      <c r="AL1747">
        <v>79.793278164253294</v>
      </c>
      <c r="AM1747">
        <v>88.970370356921705</v>
      </c>
      <c r="AN1747">
        <v>0.99999998237057897</v>
      </c>
    </row>
    <row r="1748" spans="1:40" x14ac:dyDescent="0.25">
      <c r="A1748" t="str">
        <f>"20190303162814778"</f>
        <v>20190303162814778</v>
      </c>
      <c r="B1748" t="str">
        <f>"1551601694762727"</f>
        <v>1551601694762727</v>
      </c>
      <c r="C1748" t="s">
        <v>40</v>
      </c>
      <c r="D1748">
        <v>5.3380219999999996</v>
      </c>
      <c r="E1748">
        <v>0.47607290000000002</v>
      </c>
      <c r="F1748" t="s">
        <v>49</v>
      </c>
      <c r="G1748">
        <v>-299.73129999999998</v>
      </c>
      <c r="H1748" s="1">
        <v>4.1551850000000003E-6</v>
      </c>
      <c r="I1748">
        <v>282.06240000000003</v>
      </c>
      <c r="J1748">
        <v>-272.12360000000001</v>
      </c>
      <c r="K1748">
        <v>1.121658</v>
      </c>
      <c r="L1748">
        <v>283.40300000000002</v>
      </c>
      <c r="M1748">
        <v>-0.99994360000000004</v>
      </c>
      <c r="N1748">
        <v>-1.0320279999999999E-2</v>
      </c>
      <c r="O1748">
        <v>-2.570817E-3</v>
      </c>
      <c r="P1748">
        <v>-0.98589709999999997</v>
      </c>
      <c r="Q1748">
        <v>0.16663549999999999</v>
      </c>
      <c r="R1748">
        <v>1.5488119999999999E-2</v>
      </c>
      <c r="S1748">
        <v>-3.0664669999999998</v>
      </c>
      <c r="T1748">
        <v>-0.1229454</v>
      </c>
      <c r="U1748">
        <v>-0.14709469999999999</v>
      </c>
      <c r="V1748">
        <v>1.762915E-2</v>
      </c>
      <c r="W1748">
        <v>0.17684079999999999</v>
      </c>
      <c r="X1748">
        <v>0.9840816</v>
      </c>
      <c r="Y1748">
        <v>-4.5300989999999999E-2</v>
      </c>
      <c r="Z1748">
        <v>-1.0648089999999999E-3</v>
      </c>
      <c r="AA1748">
        <v>0.99897279999999999</v>
      </c>
      <c r="AB1748">
        <v>36</v>
      </c>
      <c r="AC1748">
        <v>-27.607699999999902</v>
      </c>
      <c r="AD1748">
        <v>-1.121653844815</v>
      </c>
      <c r="AE1748">
        <v>-1.34059999999999</v>
      </c>
      <c r="AF1748">
        <v>-1.26753011880285</v>
      </c>
      <c r="AG1748">
        <v>-1.121653844815</v>
      </c>
      <c r="AH1748">
        <v>27.565660924319701</v>
      </c>
      <c r="AI1748">
        <v>92.327637891851197</v>
      </c>
      <c r="AJ1748">
        <v>92.632732319950506</v>
      </c>
      <c r="AK1748">
        <v>27.617574153864901</v>
      </c>
      <c r="AL1748">
        <v>79.814201137631301</v>
      </c>
      <c r="AM1748">
        <v>88.973695006502695</v>
      </c>
      <c r="AN1748">
        <v>1.0000000254664601</v>
      </c>
    </row>
    <row r="1749" spans="1:40" x14ac:dyDescent="0.25">
      <c r="A1749" t="str">
        <f>"20190303162814791"</f>
        <v>20190303162814791</v>
      </c>
      <c r="B1749" t="str">
        <f>"1551601694783224"</f>
        <v>1551601694783224</v>
      </c>
      <c r="C1749" t="s">
        <v>40</v>
      </c>
      <c r="D1749">
        <v>5.3954599999999999</v>
      </c>
      <c r="E1749">
        <v>0.47597699999999998</v>
      </c>
      <c r="F1749" t="s">
        <v>49</v>
      </c>
      <c r="G1749">
        <v>-300.04390000000001</v>
      </c>
      <c r="H1749" s="1">
        <v>4.1835400000000001E-6</v>
      </c>
      <c r="I1749">
        <v>282.02289999999999</v>
      </c>
      <c r="J1749">
        <v>-272.33530000000002</v>
      </c>
      <c r="K1749">
        <v>1.121637</v>
      </c>
      <c r="L1749">
        <v>283.40190000000001</v>
      </c>
      <c r="M1749">
        <v>-0.999942</v>
      </c>
      <c r="N1749">
        <v>-1.032782E-2</v>
      </c>
      <c r="O1749">
        <v>-3.0824310000000001E-3</v>
      </c>
      <c r="P1749">
        <v>-0.98599519999999996</v>
      </c>
      <c r="Q1749">
        <v>0.16610800000000001</v>
      </c>
      <c r="R1749">
        <v>1.4892320000000001E-2</v>
      </c>
      <c r="S1749">
        <v>-3.0661010000000002</v>
      </c>
      <c r="T1749">
        <v>-0.1231756</v>
      </c>
      <c r="U1749">
        <v>-0.1515503</v>
      </c>
      <c r="V1749">
        <v>1.754783E-2</v>
      </c>
      <c r="W1749">
        <v>0.1763207</v>
      </c>
      <c r="X1749">
        <v>0.9841763</v>
      </c>
      <c r="Y1749">
        <v>-4.624292E-2</v>
      </c>
      <c r="Z1749">
        <v>-1.0750969999999999E-3</v>
      </c>
      <c r="AA1749">
        <v>0.99892959999999997</v>
      </c>
      <c r="AB1749">
        <v>36</v>
      </c>
      <c r="AC1749">
        <v>-27.708599999999901</v>
      </c>
      <c r="AD1749">
        <v>-1.12163281646</v>
      </c>
      <c r="AE1749">
        <v>-1.37900000000001</v>
      </c>
      <c r="AF1749">
        <v>-1.2914680846083899</v>
      </c>
      <c r="AG1749">
        <v>-1.12163281646</v>
      </c>
      <c r="AH1749">
        <v>27.667495377452699</v>
      </c>
      <c r="AI1749">
        <v>92.318962073748096</v>
      </c>
      <c r="AJ1749">
        <v>92.672522319061201</v>
      </c>
      <c r="AK1749">
        <v>27.720321975941999</v>
      </c>
      <c r="AL1749">
        <v>79.844475664556995</v>
      </c>
      <c r="AM1749">
        <v>88.978526433009407</v>
      </c>
      <c r="AN1749">
        <v>0.99999995253394303</v>
      </c>
    </row>
    <row r="1750" spans="1:40" x14ac:dyDescent="0.25">
      <c r="A1750" t="str">
        <f>"20190303162814804"</f>
        <v>20190303162814804</v>
      </c>
      <c r="B1750" t="str">
        <f>"1551601694792986"</f>
        <v>1551601694792986</v>
      </c>
      <c r="C1750" t="s">
        <v>40</v>
      </c>
      <c r="D1750">
        <v>5.3973309999999897</v>
      </c>
      <c r="E1750">
        <v>0.47593249999999998</v>
      </c>
      <c r="F1750" t="s">
        <v>49</v>
      </c>
      <c r="G1750">
        <v>-300.06740000000002</v>
      </c>
      <c r="H1750" s="1">
        <v>4.1811459999999997E-6</v>
      </c>
      <c r="I1750">
        <v>282.0027</v>
      </c>
      <c r="J1750">
        <v>-272.54689999999999</v>
      </c>
      <c r="K1750">
        <v>1.121615</v>
      </c>
      <c r="L1750">
        <v>283.40089999999998</v>
      </c>
      <c r="M1750">
        <v>-0.99994019999999995</v>
      </c>
      <c r="N1750">
        <v>-1.0335799999999999E-2</v>
      </c>
      <c r="O1750">
        <v>-3.5815130000000001E-3</v>
      </c>
      <c r="P1750">
        <v>-0.98607619999999896</v>
      </c>
      <c r="Q1750">
        <v>0.16568150000000001</v>
      </c>
      <c r="R1750">
        <v>1.427868E-2</v>
      </c>
      <c r="S1750">
        <v>-3.0658259999999999</v>
      </c>
      <c r="T1750">
        <v>-0.12399839999999999</v>
      </c>
      <c r="U1750">
        <v>-0.15469359999999999</v>
      </c>
      <c r="V1750">
        <v>1.743664E-2</v>
      </c>
      <c r="W1750">
        <v>0.17590159999999999</v>
      </c>
      <c r="X1750">
        <v>0.9842533</v>
      </c>
      <c r="Y1750">
        <v>-4.676951E-2</v>
      </c>
      <c r="Z1750">
        <v>-1.0790859999999999E-3</v>
      </c>
      <c r="AA1750">
        <v>0.99890509999999999</v>
      </c>
      <c r="AB1750">
        <v>36</v>
      </c>
      <c r="AC1750">
        <v>-27.520499999999998</v>
      </c>
      <c r="AD1750">
        <v>-1.1216108188539999</v>
      </c>
      <c r="AE1750">
        <v>-1.3981999999999699</v>
      </c>
      <c r="AF1750">
        <v>-1.2974711791203599</v>
      </c>
      <c r="AG1750">
        <v>-1.1216108188539999</v>
      </c>
      <c r="AH1750">
        <v>27.479804750895099</v>
      </c>
      <c r="AI1750">
        <v>92.334678982610299</v>
      </c>
      <c r="AJ1750">
        <v>92.703238080549298</v>
      </c>
      <c r="AK1750">
        <v>27.533272806496001</v>
      </c>
      <c r="AL1750">
        <v>79.868869918705997</v>
      </c>
      <c r="AM1750">
        <v>88.985076924617204</v>
      </c>
      <c r="AN1750">
        <v>0.99999998392896905</v>
      </c>
    </row>
    <row r="1751" spans="1:40" x14ac:dyDescent="0.25">
      <c r="A1751" t="str">
        <f>"20190303162814824"</f>
        <v>20190303162814824</v>
      </c>
      <c r="B1751" t="str">
        <f>"1551601694813481"</f>
        <v>1551601694813481</v>
      </c>
      <c r="C1751" t="s">
        <v>40</v>
      </c>
      <c r="D1751">
        <v>5.4530570000000003</v>
      </c>
      <c r="E1751">
        <v>0.47592180000000001</v>
      </c>
      <c r="F1751" t="s">
        <v>49</v>
      </c>
      <c r="G1751">
        <v>-300.12869999999998</v>
      </c>
      <c r="H1751" s="1">
        <v>4.1717189999999997E-6</v>
      </c>
      <c r="I1751">
        <v>281.98599999999999</v>
      </c>
      <c r="J1751">
        <v>-272.86799999999999</v>
      </c>
      <c r="K1751">
        <v>1.1215790000000001</v>
      </c>
      <c r="L1751">
        <v>283.39909999999998</v>
      </c>
      <c r="M1751">
        <v>-0.99993730000000003</v>
      </c>
      <c r="N1751">
        <v>-1.0351300000000001E-2</v>
      </c>
      <c r="O1751">
        <v>-4.2980869999999999E-3</v>
      </c>
      <c r="P1751">
        <v>-0.98619290000000004</v>
      </c>
      <c r="Q1751">
        <v>0.1650732</v>
      </c>
      <c r="R1751">
        <v>1.3220229999999999E-2</v>
      </c>
      <c r="S1751">
        <v>-3.0656129999999999</v>
      </c>
      <c r="T1751">
        <v>-0.12466289999999999</v>
      </c>
      <c r="U1751">
        <v>-0.15725710000000001</v>
      </c>
      <c r="V1751">
        <v>1.7101979999999999E-2</v>
      </c>
      <c r="W1751">
        <v>0.17530780000000001</v>
      </c>
      <c r="X1751">
        <v>0.98436509999999999</v>
      </c>
      <c r="Y1751">
        <v>-4.6890059999999997E-2</v>
      </c>
      <c r="Z1751">
        <v>-1.06521E-3</v>
      </c>
      <c r="AA1751">
        <v>0.99889950000000005</v>
      </c>
      <c r="AB1751">
        <v>36</v>
      </c>
      <c r="AC1751">
        <v>-27.2606999999999</v>
      </c>
      <c r="AD1751">
        <v>-1.1215748282809901</v>
      </c>
      <c r="AE1751">
        <v>-1.41309999999998</v>
      </c>
      <c r="AF1751">
        <v>-1.29372778418235</v>
      </c>
      <c r="AG1751">
        <v>-1.1215748282809901</v>
      </c>
      <c r="AH1751">
        <v>27.220569076212598</v>
      </c>
      <c r="AI1751">
        <v>92.3567781179257</v>
      </c>
      <c r="AJ1751">
        <v>92.721082139982698</v>
      </c>
      <c r="AK1751">
        <v>27.274366033106201</v>
      </c>
      <c r="AL1751">
        <v>79.903429100271396</v>
      </c>
      <c r="AM1751">
        <v>89.004665337850597</v>
      </c>
      <c r="AN1751">
        <v>0.99999997627938397</v>
      </c>
    </row>
    <row r="1752" spans="1:40" x14ac:dyDescent="0.25">
      <c r="A1752" t="str">
        <f>"20190303162814844"</f>
        <v>20190303162814844</v>
      </c>
      <c r="B1752" t="str">
        <f>"1551601694833001"</f>
        <v>1551601694833001</v>
      </c>
      <c r="C1752" t="s">
        <v>40</v>
      </c>
      <c r="D1752">
        <v>5.3952080000000002</v>
      </c>
      <c r="E1752">
        <v>0.47594110000000001</v>
      </c>
      <c r="F1752" t="s">
        <v>49</v>
      </c>
      <c r="G1752">
        <v>-300.30070000000001</v>
      </c>
      <c r="H1752" s="1">
        <v>4.1430599999999999E-6</v>
      </c>
      <c r="I1752">
        <v>281.9649</v>
      </c>
      <c r="J1752">
        <v>-273.20589999999999</v>
      </c>
      <c r="K1752">
        <v>1.1215459999999999</v>
      </c>
      <c r="L1752">
        <v>283.39690000000002</v>
      </c>
      <c r="M1752">
        <v>-0.99993379999999998</v>
      </c>
      <c r="N1752">
        <v>-1.037075E-2</v>
      </c>
      <c r="O1752">
        <v>-5.0077239999999999E-3</v>
      </c>
      <c r="P1752">
        <v>-0.98626840000000005</v>
      </c>
      <c r="Q1752">
        <v>0.16468189999999999</v>
      </c>
      <c r="R1752">
        <v>1.242822E-2</v>
      </c>
      <c r="S1752">
        <v>-3.0651250000000001</v>
      </c>
      <c r="T1752">
        <v>-0.1253165</v>
      </c>
      <c r="U1752">
        <v>-0.1602478</v>
      </c>
      <c r="V1752">
        <v>1.7027529999999999E-2</v>
      </c>
      <c r="W1752">
        <v>0.17493410000000001</v>
      </c>
      <c r="X1752">
        <v>0.98443290000000006</v>
      </c>
      <c r="Y1752">
        <v>-4.7160929999999997E-2</v>
      </c>
      <c r="Z1752">
        <v>-1.055247E-3</v>
      </c>
      <c r="AA1752">
        <v>0.99888679999999996</v>
      </c>
      <c r="AB1752">
        <v>36</v>
      </c>
      <c r="AC1752">
        <v>-27.094799999999999</v>
      </c>
      <c r="AD1752">
        <v>-1.12154185694</v>
      </c>
      <c r="AE1752">
        <v>-1.4320000000000099</v>
      </c>
      <c r="AF1752">
        <v>-1.29408037845687</v>
      </c>
      <c r="AG1752">
        <v>-1.12154185694</v>
      </c>
      <c r="AH1752">
        <v>27.0554040389272</v>
      </c>
      <c r="AI1752">
        <v>92.371045378710207</v>
      </c>
      <c r="AJ1752">
        <v>92.738413318343902</v>
      </c>
      <c r="AK1752">
        <v>27.109544221037201</v>
      </c>
      <c r="AL1752">
        <v>79.925176895471793</v>
      </c>
      <c r="AM1752">
        <v>89.009065698198199</v>
      </c>
      <c r="AN1752">
        <v>1.0000000053615601</v>
      </c>
    </row>
    <row r="1753" spans="1:40" x14ac:dyDescent="0.25">
      <c r="A1753" t="str">
        <f>"20190303162814858"</f>
        <v>20190303162814858</v>
      </c>
      <c r="B1753" t="str">
        <f>"1551601694853496"</f>
        <v>1551601694853496</v>
      </c>
      <c r="C1753" t="s">
        <v>40</v>
      </c>
      <c r="D1753">
        <v>5.3929819999999999</v>
      </c>
      <c r="E1753">
        <v>0.4759178</v>
      </c>
      <c r="F1753" t="s">
        <v>49</v>
      </c>
      <c r="G1753">
        <v>-300.47550000000001</v>
      </c>
      <c r="H1753" s="1">
        <v>4.1129769999999998E-6</v>
      </c>
      <c r="I1753">
        <v>281.95429999999999</v>
      </c>
      <c r="J1753">
        <v>-273.43209999999999</v>
      </c>
      <c r="K1753">
        <v>1.1215200000000001</v>
      </c>
      <c r="L1753">
        <v>283.3954</v>
      </c>
      <c r="M1753">
        <v>-0.99993100000000001</v>
      </c>
      <c r="N1753">
        <v>-1.038676E-2</v>
      </c>
      <c r="O1753">
        <v>-5.4581589999999998E-3</v>
      </c>
      <c r="P1753">
        <v>-0.98630010000000001</v>
      </c>
      <c r="Q1753">
        <v>0.16454750000000001</v>
      </c>
      <c r="R1753">
        <v>1.1667139999999999E-2</v>
      </c>
      <c r="S1753">
        <v>-3.0648499999999999</v>
      </c>
      <c r="T1753">
        <v>-0.12605069999999999</v>
      </c>
      <c r="U1753">
        <v>-0.162139899999999</v>
      </c>
      <c r="V1753">
        <v>1.672216E-2</v>
      </c>
      <c r="W1753">
        <v>0.17481429999999901</v>
      </c>
      <c r="X1753">
        <v>0.98445939999999998</v>
      </c>
      <c r="Y1753">
        <v>-4.7330110000000002E-2</v>
      </c>
      <c r="Z1753">
        <v>-1.0507310000000001E-3</v>
      </c>
      <c r="AA1753">
        <v>0.99887879999999996</v>
      </c>
      <c r="AB1753">
        <v>36</v>
      </c>
      <c r="AC1753">
        <v>-27.043399999999998</v>
      </c>
      <c r="AD1753">
        <v>-1.121515887023</v>
      </c>
      <c r="AE1753">
        <v>-1.4411</v>
      </c>
      <c r="AF1753">
        <v>-1.29124891325558</v>
      </c>
      <c r="AG1753">
        <v>-1.121515887023</v>
      </c>
      <c r="AH1753">
        <v>27.004551278243</v>
      </c>
      <c r="AI1753">
        <v>92.375451957346897</v>
      </c>
      <c r="AJ1753">
        <v>92.737568393582293</v>
      </c>
      <c r="AK1753">
        <v>27.058656865781099</v>
      </c>
      <c r="AL1753">
        <v>79.932148200136496</v>
      </c>
      <c r="AM1753">
        <v>89.026859755785793</v>
      </c>
      <c r="AN1753">
        <v>0.99999999018395702</v>
      </c>
    </row>
    <row r="1754" spans="1:40" x14ac:dyDescent="0.25">
      <c r="A1754" t="str">
        <f>"20190303162814881"</f>
        <v>20190303162814881</v>
      </c>
      <c r="B1754" t="str">
        <f>"1551601694873015"</f>
        <v>1551601694873015</v>
      </c>
      <c r="C1754" t="s">
        <v>40</v>
      </c>
      <c r="D1754">
        <v>5.3971999999999998</v>
      </c>
      <c r="E1754">
        <v>0.47593560000000001</v>
      </c>
      <c r="F1754" t="s">
        <v>49</v>
      </c>
      <c r="G1754">
        <v>-300.81150000000002</v>
      </c>
      <c r="H1754" s="1">
        <v>4.0561290000000002E-6</v>
      </c>
      <c r="I1754">
        <v>281.9228</v>
      </c>
      <c r="J1754">
        <v>-273.7946</v>
      </c>
      <c r="K1754">
        <v>1.1214789999999999</v>
      </c>
      <c r="L1754">
        <v>283.39280000000002</v>
      </c>
      <c r="M1754">
        <v>-0.99992689999999995</v>
      </c>
      <c r="N1754">
        <v>-1.04213E-2</v>
      </c>
      <c r="O1754">
        <v>-6.1482330000000003E-3</v>
      </c>
      <c r="P1754">
        <v>-0.98648599999999997</v>
      </c>
      <c r="Q1754">
        <v>0.1634861</v>
      </c>
      <c r="R1754">
        <v>1.085386E-2</v>
      </c>
      <c r="S1754">
        <v>-3.0645449999999999</v>
      </c>
      <c r="T1754">
        <v>-0.12553010000000001</v>
      </c>
      <c r="U1754">
        <v>-0.16482539999999901</v>
      </c>
      <c r="V1754">
        <v>1.6608830000000002E-2</v>
      </c>
      <c r="W1754">
        <v>0.17378650000000001</v>
      </c>
      <c r="X1754">
        <v>0.9846433</v>
      </c>
      <c r="Y1754">
        <v>-4.75193E-2</v>
      </c>
      <c r="Z1754">
        <v>-1.0325219999999999E-3</v>
      </c>
      <c r="AA1754">
        <v>0.99886980000000003</v>
      </c>
      <c r="AB1754">
        <v>36</v>
      </c>
      <c r="AC1754">
        <v>-27.0169</v>
      </c>
      <c r="AD1754">
        <v>-1.1214749438709899</v>
      </c>
      <c r="AE1754">
        <v>-1.47000000000002</v>
      </c>
      <c r="AF1754">
        <v>-1.30162082342527</v>
      </c>
      <c r="AG1754">
        <v>-1.1214749438709899</v>
      </c>
      <c r="AH1754">
        <v>26.979077526105801</v>
      </c>
      <c r="AI1754">
        <v>92.377556703911495</v>
      </c>
      <c r="AJ1754">
        <v>92.762125478616795</v>
      </c>
      <c r="AK1754">
        <v>27.033729801441201</v>
      </c>
      <c r="AL1754">
        <v>79.991952500979707</v>
      </c>
      <c r="AM1754">
        <v>89.033634185837201</v>
      </c>
      <c r="AN1754">
        <v>1.0000000145255501</v>
      </c>
    </row>
    <row r="1755" spans="1:40" x14ac:dyDescent="0.25">
      <c r="A1755" t="str">
        <f>"20190303162814903"</f>
        <v>20190303162814903</v>
      </c>
      <c r="B1755" t="str">
        <f>"1551601694893512"</f>
        <v>1551601694893512</v>
      </c>
      <c r="C1755" t="s">
        <v>40</v>
      </c>
      <c r="D1755">
        <v>5.3968189999999998</v>
      </c>
      <c r="E1755">
        <v>0.4759314</v>
      </c>
      <c r="F1755" t="s">
        <v>49</v>
      </c>
      <c r="G1755">
        <v>-300.72089999999997</v>
      </c>
      <c r="H1755" s="1">
        <v>4.0719989999999999E-6</v>
      </c>
      <c r="I1755">
        <v>281.92500000000001</v>
      </c>
      <c r="J1755">
        <v>-274.1558</v>
      </c>
      <c r="K1755">
        <v>1.1214470000000001</v>
      </c>
      <c r="L1755">
        <v>283.39</v>
      </c>
      <c r="M1755">
        <v>-0.99992219999999998</v>
      </c>
      <c r="N1755">
        <v>-1.046862E-2</v>
      </c>
      <c r="O1755">
        <v>-6.7958860000000001E-3</v>
      </c>
      <c r="P1755">
        <v>-0.98662110000000003</v>
      </c>
      <c r="Q1755">
        <v>0.16272519999999999</v>
      </c>
      <c r="R1755">
        <v>9.9829069999999992E-3</v>
      </c>
      <c r="S1755">
        <v>-3.0640559999999999</v>
      </c>
      <c r="T1755">
        <v>-0.12761689999999901</v>
      </c>
      <c r="U1755">
        <v>-0.1670227</v>
      </c>
      <c r="V1755">
        <v>1.6393919999999999E-2</v>
      </c>
      <c r="W1755">
        <v>0.17307220000000001</v>
      </c>
      <c r="X1755">
        <v>0.98477269999999995</v>
      </c>
      <c r="Y1755">
        <v>-4.7593860000000002E-2</v>
      </c>
      <c r="Z1755">
        <v>-1.027792E-3</v>
      </c>
      <c r="AA1755">
        <v>0.99886629999999998</v>
      </c>
      <c r="AB1755">
        <v>36</v>
      </c>
      <c r="AC1755">
        <v>-26.565099999999902</v>
      </c>
      <c r="AD1755">
        <v>-1.1214429280010001</v>
      </c>
      <c r="AE1755">
        <v>-1.4649999999999701</v>
      </c>
      <c r="AF1755">
        <v>-1.2821449187696099</v>
      </c>
      <c r="AG1755">
        <v>-1.1214429280010001</v>
      </c>
      <c r="AH1755">
        <v>26.5273120836838</v>
      </c>
      <c r="AI1755">
        <v>92.417920192371497</v>
      </c>
      <c r="AJ1755">
        <v>92.767124253161498</v>
      </c>
      <c r="AK1755">
        <v>26.581945305388199</v>
      </c>
      <c r="AL1755">
        <v>80.033508547649603</v>
      </c>
      <c r="AM1755">
        <v>89.046261468804104</v>
      </c>
      <c r="AN1755">
        <v>1.0000000088455401</v>
      </c>
    </row>
    <row r="1756" spans="1:40" x14ac:dyDescent="0.25">
      <c r="A1756" t="str">
        <f>"20190303162814924"</f>
        <v>20190303162814924</v>
      </c>
      <c r="B1756" t="str">
        <f>"1551601694913033"</f>
        <v>1551601694913033</v>
      </c>
      <c r="C1756" t="s">
        <v>40</v>
      </c>
      <c r="D1756">
        <v>5.3363040000000002</v>
      </c>
      <c r="E1756">
        <v>0.4760045</v>
      </c>
      <c r="F1756" t="s">
        <v>49</v>
      </c>
      <c r="G1756">
        <v>-300.79199999999997</v>
      </c>
      <c r="H1756" s="1">
        <v>4.0602889999999998E-6</v>
      </c>
      <c r="I1756">
        <v>281.91469999999998</v>
      </c>
      <c r="J1756">
        <v>-274.50020000000001</v>
      </c>
      <c r="K1756">
        <v>1.1214299999999999</v>
      </c>
      <c r="L1756">
        <v>283.38709999999998</v>
      </c>
      <c r="M1756">
        <v>-0.99991750000000001</v>
      </c>
      <c r="N1756">
        <v>-1.052341E-2</v>
      </c>
      <c r="O1756">
        <v>-7.3838419999999998E-3</v>
      </c>
      <c r="P1756">
        <v>-0.98666180000000003</v>
      </c>
      <c r="Q1756">
        <v>0.162511299999999</v>
      </c>
      <c r="R1756">
        <v>9.4252659999999999E-3</v>
      </c>
      <c r="S1756">
        <v>-3.06366</v>
      </c>
      <c r="T1756">
        <v>-0.12898670000000001</v>
      </c>
      <c r="U1756">
        <v>-0.16967769999999999</v>
      </c>
      <c r="V1756">
        <v>1.6428749999999999E-2</v>
      </c>
      <c r="W1756">
        <v>0.17291119999999999</v>
      </c>
      <c r="X1756">
        <v>0.98480040000000002</v>
      </c>
      <c r="Y1756">
        <v>-4.7875590000000003E-2</v>
      </c>
      <c r="Z1756">
        <v>-1.026005E-3</v>
      </c>
      <c r="AA1756">
        <v>0.99885279999999999</v>
      </c>
      <c r="AB1756">
        <v>36</v>
      </c>
      <c r="AC1756">
        <v>-26.291799999999999</v>
      </c>
      <c r="AD1756">
        <v>-1.121425939711</v>
      </c>
      <c r="AE1756">
        <v>-1.4723999999999899</v>
      </c>
      <c r="AF1756">
        <v>-1.2759006665902799</v>
      </c>
      <c r="AG1756">
        <v>-1.121425939711</v>
      </c>
      <c r="AH1756">
        <v>26.254340974771299</v>
      </c>
      <c r="AI1756">
        <v>92.442961249358802</v>
      </c>
      <c r="AJ1756">
        <v>92.782254339384707</v>
      </c>
      <c r="AK1756">
        <v>26.309236755725401</v>
      </c>
      <c r="AL1756">
        <v>80.0428743592188</v>
      </c>
      <c r="AM1756">
        <v>89.044262440092098</v>
      </c>
      <c r="AN1756">
        <v>1.00000000737608</v>
      </c>
    </row>
    <row r="1757" spans="1:40" x14ac:dyDescent="0.25">
      <c r="A1757" t="str">
        <f>"20190303162814939"</f>
        <v>20190303162814939</v>
      </c>
      <c r="B1757" t="str">
        <f>"1551601694933527"</f>
        <v>1551601694933527</v>
      </c>
      <c r="C1757" t="s">
        <v>40</v>
      </c>
      <c r="D1757">
        <v>5.4553180000000001</v>
      </c>
      <c r="E1757">
        <v>0.47617609999999999</v>
      </c>
      <c r="F1757" t="s">
        <v>49</v>
      </c>
      <c r="G1757">
        <v>-301.16660000000002</v>
      </c>
      <c r="H1757" s="1">
        <v>3.9952399999999997E-6</v>
      </c>
      <c r="I1757">
        <v>281.89890000000003</v>
      </c>
      <c r="J1757">
        <v>-274.75240000000002</v>
      </c>
      <c r="K1757">
        <v>1.121416</v>
      </c>
      <c r="L1757">
        <v>283.38479999999998</v>
      </c>
      <c r="M1757">
        <v>-0.99991390000000002</v>
      </c>
      <c r="N1757">
        <v>-1.056551E-2</v>
      </c>
      <c r="O1757">
        <v>-7.8011909999999999E-3</v>
      </c>
      <c r="P1757">
        <v>-0.98663149999999999</v>
      </c>
      <c r="Q1757">
        <v>0.16270699999999999</v>
      </c>
      <c r="R1757">
        <v>9.2194129999999992E-3</v>
      </c>
      <c r="S1757">
        <v>-3.0634160000000001</v>
      </c>
      <c r="T1757">
        <v>-0.12882850000000001</v>
      </c>
      <c r="U1757">
        <v>-0.17095949999999999</v>
      </c>
      <c r="V1757">
        <v>1.6641E-2</v>
      </c>
      <c r="W1757">
        <v>0.17314779999999999</v>
      </c>
      <c r="X1757">
        <v>0.9847553</v>
      </c>
      <c r="Y1757">
        <v>-4.7879959999999999E-2</v>
      </c>
      <c r="Z1757">
        <v>-1.0135140000000001E-3</v>
      </c>
      <c r="AA1757">
        <v>0.99885259999999998</v>
      </c>
      <c r="AB1757">
        <v>37</v>
      </c>
      <c r="AC1757">
        <v>-26.414199999999902</v>
      </c>
      <c r="AD1757">
        <v>-1.12141200476</v>
      </c>
      <c r="AE1757">
        <v>-1.48589999999995</v>
      </c>
      <c r="AF1757">
        <v>-1.27748578853987</v>
      </c>
      <c r="AG1757">
        <v>-1.12141200476</v>
      </c>
      <c r="AH1757">
        <v>26.377595096222901</v>
      </c>
      <c r="AI1757">
        <v>92.431549251171006</v>
      </c>
      <c r="AJ1757">
        <v>92.7727090903727</v>
      </c>
      <c r="AK1757">
        <v>26.432310869173499</v>
      </c>
      <c r="AL1757">
        <v>80.029110924546401</v>
      </c>
      <c r="AM1757">
        <v>89.031872867474902</v>
      </c>
      <c r="AN1757">
        <v>1.0000000422019599</v>
      </c>
    </row>
    <row r="1758" spans="1:40" x14ac:dyDescent="0.25">
      <c r="A1758" t="str">
        <f>"20190303162814956"</f>
        <v>20190303162814956</v>
      </c>
      <c r="B1758" t="str">
        <f>"1551601694953047"</f>
        <v>1551601694953047</v>
      </c>
      <c r="C1758" t="s">
        <v>40</v>
      </c>
      <c r="D1758">
        <v>5.2580910000000003</v>
      </c>
      <c r="E1758">
        <v>0.47740670000000002</v>
      </c>
      <c r="F1758" t="s">
        <v>49</v>
      </c>
      <c r="G1758">
        <v>-301.55900000000003</v>
      </c>
      <c r="H1758" s="1">
        <v>3.925815E-6</v>
      </c>
      <c r="I1758">
        <v>281.89679999999998</v>
      </c>
      <c r="J1758">
        <v>-275.03219999999999</v>
      </c>
      <c r="K1758">
        <v>1.121407</v>
      </c>
      <c r="L1758">
        <v>283.38220000000001</v>
      </c>
      <c r="M1758">
        <v>-0.99990979999999996</v>
      </c>
      <c r="N1758">
        <v>-1.061115E-2</v>
      </c>
      <c r="O1758">
        <v>-8.2564839999999997E-3</v>
      </c>
      <c r="P1758">
        <v>-0.98668860000000003</v>
      </c>
      <c r="Q1758">
        <v>0.16234479999999901</v>
      </c>
      <c r="R1758">
        <v>9.4855229999999992E-3</v>
      </c>
      <c r="S1758">
        <v>-3.0633539999999999</v>
      </c>
      <c r="T1758">
        <v>-0.12815090000000001</v>
      </c>
      <c r="U1758">
        <v>-0.1700439</v>
      </c>
      <c r="V1758">
        <v>1.736381E-2</v>
      </c>
      <c r="W1758">
        <v>0.17283129999999999</v>
      </c>
      <c r="X1758">
        <v>0.98479839999999996</v>
      </c>
      <c r="Y1758">
        <v>-4.713005E-2</v>
      </c>
      <c r="Z1758">
        <v>-9.7757289999999999E-4</v>
      </c>
      <c r="AA1758">
        <v>0.99888829999999995</v>
      </c>
      <c r="AB1758">
        <v>37</v>
      </c>
      <c r="AC1758">
        <v>-26.526800000000001</v>
      </c>
      <c r="AD1758">
        <v>-1.1214030741850001</v>
      </c>
      <c r="AE1758">
        <v>-1.48540000000002</v>
      </c>
      <c r="AF1758">
        <v>-1.2640669953898001</v>
      </c>
      <c r="AG1758">
        <v>-1.1214030741850001</v>
      </c>
      <c r="AH1758">
        <v>26.4909660350256</v>
      </c>
      <c r="AI1758">
        <v>92.421219119666404</v>
      </c>
      <c r="AJ1758">
        <v>92.731905282717804</v>
      </c>
      <c r="AK1758">
        <v>26.544805361737001</v>
      </c>
      <c r="AL1758">
        <v>80.047522440051097</v>
      </c>
      <c r="AM1758">
        <v>88.989874524064305</v>
      </c>
      <c r="AN1758">
        <v>1.00000002439998</v>
      </c>
    </row>
    <row r="1759" spans="1:40" x14ac:dyDescent="0.25">
      <c r="A1759" t="str">
        <f>"20190303162814979"</f>
        <v>20190303162814979</v>
      </c>
      <c r="B1759" t="str">
        <f>"1551601694973544"</f>
        <v>1551601694973544</v>
      </c>
      <c r="C1759" t="s">
        <v>40</v>
      </c>
      <c r="D1759">
        <v>5.1932470000000004</v>
      </c>
      <c r="E1759">
        <v>0.53097090000000002</v>
      </c>
      <c r="F1759" t="s">
        <v>49</v>
      </c>
      <c r="G1759">
        <v>-300.07530000000003</v>
      </c>
      <c r="H1759" s="1">
        <v>4.1730160000000001E-6</v>
      </c>
      <c r="I1759">
        <v>282.0797</v>
      </c>
      <c r="J1759">
        <v>-275.40429999999998</v>
      </c>
      <c r="K1759">
        <v>1.121397</v>
      </c>
      <c r="L1759">
        <v>283.37849999999997</v>
      </c>
      <c r="M1759">
        <v>-0.99990389999999996</v>
      </c>
      <c r="N1759">
        <v>-1.0675489999999999E-2</v>
      </c>
      <c r="O1759">
        <v>-8.8545610000000004E-3</v>
      </c>
      <c r="P1759">
        <v>-0.98654310000000001</v>
      </c>
      <c r="Q1759">
        <v>0.1632402</v>
      </c>
      <c r="R1759">
        <v>9.2475539999999998E-3</v>
      </c>
      <c r="S1759">
        <v>-3.0645449999999999</v>
      </c>
      <c r="T1759">
        <v>-0.13722709999999999</v>
      </c>
      <c r="U1759">
        <v>-0.15939329999999999</v>
      </c>
      <c r="V1759">
        <v>1.7720380000000001E-2</v>
      </c>
      <c r="W1759">
        <v>0.17378840000000001</v>
      </c>
      <c r="X1759">
        <v>0.98462360000000004</v>
      </c>
      <c r="Y1759">
        <v>-4.3048540000000003E-2</v>
      </c>
      <c r="Z1759">
        <v>-8.912185E-4</v>
      </c>
      <c r="AA1759">
        <v>0.99907259999999998</v>
      </c>
      <c r="AB1759">
        <v>37</v>
      </c>
      <c r="AC1759">
        <v>-24.670999999999999</v>
      </c>
      <c r="AD1759">
        <v>-1.1213928269839999</v>
      </c>
      <c r="AE1759">
        <v>-1.29879999999997</v>
      </c>
      <c r="AF1759">
        <v>-1.0780645885490501</v>
      </c>
      <c r="AG1759">
        <v>-1.1213928269839999</v>
      </c>
      <c r="AH1759">
        <v>24.630785755411601</v>
      </c>
      <c r="AI1759">
        <v>92.604277840020401</v>
      </c>
      <c r="AJ1759">
        <v>92.506178772193493</v>
      </c>
      <c r="AK1759">
        <v>24.679857213089399</v>
      </c>
      <c r="AL1759">
        <v>79.991842080570294</v>
      </c>
      <c r="AM1759">
        <v>88.968952816952594</v>
      </c>
      <c r="AN1759">
        <v>1.00000002675943</v>
      </c>
    </row>
    <row r="1760" spans="1:40" x14ac:dyDescent="0.25">
      <c r="A1760" t="str">
        <f>"20190303162814992"</f>
        <v>20190303162814992</v>
      </c>
      <c r="B1760" t="str">
        <f>"1551601694983304"</f>
        <v>1551601694983304</v>
      </c>
      <c r="C1760" t="s">
        <v>40</v>
      </c>
      <c r="D1760">
        <v>5.1862659999999998</v>
      </c>
      <c r="E1760">
        <v>0.53090879999999996</v>
      </c>
      <c r="F1760" t="s">
        <v>44</v>
      </c>
      <c r="G1760">
        <v>-276.14170000000001</v>
      </c>
      <c r="H1760">
        <v>0.93444799999999995</v>
      </c>
      <c r="I1760">
        <v>283.4391</v>
      </c>
      <c r="J1760">
        <v>-275.61579999999998</v>
      </c>
      <c r="K1760">
        <v>1.1213930000000001</v>
      </c>
      <c r="L1760">
        <v>283.37639999999999</v>
      </c>
      <c r="M1760">
        <v>-0.99990049999999997</v>
      </c>
      <c r="N1760">
        <v>-1.0714359999999999E-2</v>
      </c>
      <c r="O1760">
        <v>-9.1920360000000007E-3</v>
      </c>
      <c r="P1760">
        <v>-0.98648570000000002</v>
      </c>
      <c r="Q1760">
        <v>0.1635926</v>
      </c>
      <c r="R1760">
        <v>9.1538000000000001E-3</v>
      </c>
      <c r="S1760">
        <v>-3.1716000000000002</v>
      </c>
      <c r="T1760">
        <v>-0.80411599999999905</v>
      </c>
      <c r="U1760">
        <v>0.25936890000000001</v>
      </c>
      <c r="V1760">
        <v>1.7961620000000001E-2</v>
      </c>
      <c r="W1760">
        <v>0.17417859999999999</v>
      </c>
      <c r="X1760">
        <v>0.98455020000000004</v>
      </c>
      <c r="Y1760">
        <v>8.7527579999999994E-2</v>
      </c>
      <c r="Z1760">
        <v>1.3576710000000001E-2</v>
      </c>
      <c r="AA1760">
        <v>0.9960696</v>
      </c>
      <c r="AB1760">
        <v>37</v>
      </c>
      <c r="AC1760">
        <v>-0.52590000000003501</v>
      </c>
      <c r="AD1760">
        <v>-0.186945</v>
      </c>
      <c r="AE1760">
        <v>6.2700000000006598E-2</v>
      </c>
      <c r="AF1760">
        <v>6.0049951064350501E-2</v>
      </c>
      <c r="AG1760">
        <v>-0.186945</v>
      </c>
      <c r="AH1760">
        <v>0.46710381509091298</v>
      </c>
      <c r="AI1760">
        <v>111.650835283681</v>
      </c>
      <c r="AJ1760">
        <v>82.674347960732803</v>
      </c>
      <c r="AK1760">
        <v>0.50669557302222101</v>
      </c>
      <c r="AL1760">
        <v>79.969138239755907</v>
      </c>
      <c r="AM1760">
        <v>88.954841643075994</v>
      </c>
      <c r="AN1760">
        <v>0.99999995040551104</v>
      </c>
    </row>
    <row r="1761" spans="1:40" x14ac:dyDescent="0.25">
      <c r="A1761" t="str">
        <f>"20190303162815006"</f>
        <v>20190303162815006</v>
      </c>
      <c r="B1761" t="str">
        <f>"1551601695002823"</f>
        <v>1551601695002823</v>
      </c>
      <c r="C1761" t="s">
        <v>40</v>
      </c>
      <c r="D1761">
        <v>5.1342249999999998</v>
      </c>
      <c r="E1761">
        <v>0.53044369999999996</v>
      </c>
      <c r="F1761" t="s">
        <v>44</v>
      </c>
      <c r="G1761">
        <v>-276.44749999999999</v>
      </c>
      <c r="H1761">
        <v>0.88660759999999905</v>
      </c>
      <c r="I1761">
        <v>283.44380000000001</v>
      </c>
      <c r="J1761">
        <v>-275.84249999999997</v>
      </c>
      <c r="K1761">
        <v>1.1213879999999901</v>
      </c>
      <c r="L1761">
        <v>283.37400000000002</v>
      </c>
      <c r="M1761">
        <v>-0.99989660000000002</v>
      </c>
      <c r="N1761">
        <v>-1.0756460000000001E-2</v>
      </c>
      <c r="O1761">
        <v>-9.5531390000000004E-3</v>
      </c>
      <c r="P1761">
        <v>-0.98645729999999998</v>
      </c>
      <c r="Q1761">
        <v>0.16377620000000001</v>
      </c>
      <c r="R1761">
        <v>8.9288430000000005E-3</v>
      </c>
      <c r="S1761">
        <v>-3.1879270000000002</v>
      </c>
      <c r="T1761">
        <v>-0.89987589999999995</v>
      </c>
      <c r="U1761">
        <v>0.25827030000000001</v>
      </c>
      <c r="V1761">
        <v>1.8095429999999999E-2</v>
      </c>
      <c r="W1761">
        <v>0.174403</v>
      </c>
      <c r="X1761">
        <v>0.9845081</v>
      </c>
      <c r="Y1761">
        <v>8.6435849999999995E-2</v>
      </c>
      <c r="Z1761">
        <v>1.4962359999999999E-2</v>
      </c>
      <c r="AA1761">
        <v>0.99614510000000001</v>
      </c>
      <c r="AB1761">
        <v>37</v>
      </c>
      <c r="AC1761">
        <v>-0.60500000000001797</v>
      </c>
      <c r="AD1761">
        <v>-0.234780399999999</v>
      </c>
      <c r="AE1761">
        <v>6.9799999999986498E-2</v>
      </c>
      <c r="AF1761">
        <v>6.5798048022638E-2</v>
      </c>
      <c r="AG1761">
        <v>-0.234780399999999</v>
      </c>
      <c r="AH1761">
        <v>0.52611550606524804</v>
      </c>
      <c r="AI1761">
        <v>113.883910020283</v>
      </c>
      <c r="AJ1761">
        <v>82.8713797720918</v>
      </c>
      <c r="AK1761">
        <v>0.57986959315870401</v>
      </c>
      <c r="AL1761">
        <v>79.956081975110195</v>
      </c>
      <c r="AM1761">
        <v>88.947012180254603</v>
      </c>
      <c r="AN1761">
        <v>1.0000000249807399</v>
      </c>
    </row>
    <row r="1762" spans="1:40" x14ac:dyDescent="0.25">
      <c r="A1762" t="str">
        <f>"20190303162815023"</f>
        <v>20190303162815023</v>
      </c>
      <c r="B1762" t="str">
        <f>"1551601695013561"</f>
        <v>1551601695013561</v>
      </c>
      <c r="C1762" t="s">
        <v>40</v>
      </c>
      <c r="D1762">
        <v>5.1687479999999999</v>
      </c>
      <c r="E1762">
        <v>0.53018310000000002</v>
      </c>
      <c r="F1762" t="s">
        <v>44</v>
      </c>
      <c r="G1762">
        <v>-276.7561</v>
      </c>
      <c r="H1762">
        <v>0.83973729999999902</v>
      </c>
      <c r="I1762">
        <v>283.44619999999998</v>
      </c>
      <c r="J1762">
        <v>-276.12119999999999</v>
      </c>
      <c r="K1762">
        <v>1.1213900000000001</v>
      </c>
      <c r="L1762">
        <v>283.37079999999997</v>
      </c>
      <c r="M1762">
        <v>-0.9998918</v>
      </c>
      <c r="N1762">
        <v>-1.080734E-2</v>
      </c>
      <c r="O1762">
        <v>-9.9964219999999996E-3</v>
      </c>
      <c r="P1762">
        <v>-0.98647649999999998</v>
      </c>
      <c r="Q1762">
        <v>0.16366600000000001</v>
      </c>
      <c r="R1762">
        <v>8.8103969999999993E-3</v>
      </c>
      <c r="S1762">
        <v>-3.2028500000000002</v>
      </c>
      <c r="T1762">
        <v>-0.98746489999999998</v>
      </c>
      <c r="U1762">
        <v>0.25247190000000003</v>
      </c>
      <c r="V1762">
        <v>1.8417650000000001E-2</v>
      </c>
      <c r="W1762">
        <v>0.17434340000000001</v>
      </c>
      <c r="X1762">
        <v>0.98451259999999996</v>
      </c>
      <c r="Y1762">
        <v>8.4089720000000007E-2</v>
      </c>
      <c r="Z1762">
        <v>1.6018379999999999E-2</v>
      </c>
      <c r="AA1762">
        <v>0.99632940000000003</v>
      </c>
      <c r="AB1762">
        <v>37</v>
      </c>
      <c r="AC1762">
        <v>-0.63490000000001601</v>
      </c>
      <c r="AD1762">
        <v>-0.28165269999999998</v>
      </c>
      <c r="AE1762">
        <v>7.5400000000001896E-2</v>
      </c>
      <c r="AF1762">
        <v>6.8458341033711095E-2</v>
      </c>
      <c r="AG1762">
        <v>-0.28165269999999998</v>
      </c>
      <c r="AH1762">
        <v>0.53105772158767195</v>
      </c>
      <c r="AI1762">
        <v>117.744784727292</v>
      </c>
      <c r="AJ1762">
        <v>82.654543785585901</v>
      </c>
      <c r="AK1762">
        <v>0.60500999291934598</v>
      </c>
      <c r="AL1762">
        <v>79.959549125110797</v>
      </c>
      <c r="AM1762">
        <v>88.9282711684709</v>
      </c>
      <c r="AN1762">
        <v>0.99999994525691904</v>
      </c>
    </row>
    <row r="1763" spans="1:40" x14ac:dyDescent="0.25">
      <c r="A1763" t="str">
        <f>"20190303162815036"</f>
        <v>20190303162815036</v>
      </c>
      <c r="B1763" t="str">
        <f>"1551601695033080"</f>
        <v>1551601695033080</v>
      </c>
      <c r="C1763" t="s">
        <v>40</v>
      </c>
      <c r="D1763">
        <v>5.1745780000000003</v>
      </c>
      <c r="E1763">
        <v>0.53058340000000004</v>
      </c>
      <c r="F1763" t="s">
        <v>44</v>
      </c>
      <c r="G1763">
        <v>-277.07659999999998</v>
      </c>
      <c r="H1763">
        <v>0.8226696</v>
      </c>
      <c r="I1763">
        <v>283.44529999999997</v>
      </c>
      <c r="J1763">
        <v>-276.34280000000001</v>
      </c>
      <c r="K1763">
        <v>1.1213919999999999</v>
      </c>
      <c r="L1763">
        <v>283.36829999999998</v>
      </c>
      <c r="M1763">
        <v>-0.99988770000000005</v>
      </c>
      <c r="N1763">
        <v>-1.084533E-2</v>
      </c>
      <c r="O1763">
        <v>-1.0349189999999999E-2</v>
      </c>
      <c r="P1763">
        <v>-0.98643429999999999</v>
      </c>
      <c r="Q1763">
        <v>0.16393579999999999</v>
      </c>
      <c r="R1763">
        <v>8.5265229999999994E-3</v>
      </c>
      <c r="S1763">
        <v>-3.2051699999999999</v>
      </c>
      <c r="T1763">
        <v>-1.0021960000000001</v>
      </c>
      <c r="U1763">
        <v>0.24926760000000001</v>
      </c>
      <c r="V1763">
        <v>1.8483200000000002E-2</v>
      </c>
      <c r="W1763">
        <v>0.17465</v>
      </c>
      <c r="X1763">
        <v>0.98445709999999997</v>
      </c>
      <c r="Y1763">
        <v>8.3294290000000007E-2</v>
      </c>
      <c r="Z1763">
        <v>1.6210820000000001E-2</v>
      </c>
      <c r="AA1763">
        <v>0.99639310000000003</v>
      </c>
      <c r="AB1763">
        <v>37</v>
      </c>
      <c r="AC1763">
        <v>-0.73379999999997303</v>
      </c>
      <c r="AD1763">
        <v>-0.298722399999999</v>
      </c>
      <c r="AE1763">
        <v>7.6999999999998098E-2</v>
      </c>
      <c r="AF1763">
        <v>7.2677475711951101E-2</v>
      </c>
      <c r="AG1763">
        <v>-0.298722399999999</v>
      </c>
      <c r="AH1763">
        <v>0.62973879812910405</v>
      </c>
      <c r="AI1763">
        <v>115.231284513285</v>
      </c>
      <c r="AJ1763">
        <v>83.416680990885595</v>
      </c>
      <c r="AK1763">
        <v>0.70077674162796699</v>
      </c>
      <c r="AL1763">
        <v>79.941709246866395</v>
      </c>
      <c r="AM1763">
        <v>88.924397067026703</v>
      </c>
      <c r="AN1763">
        <v>1.0000000164613201</v>
      </c>
    </row>
    <row r="1764" spans="1:40" x14ac:dyDescent="0.25">
      <c r="A1764" t="str">
        <f>"20190303162815057"</f>
        <v>20190303162815057</v>
      </c>
      <c r="B1764" t="str">
        <f>"1551601695053575"</f>
        <v>1551601695053575</v>
      </c>
      <c r="C1764" t="s">
        <v>40</v>
      </c>
      <c r="D1764">
        <v>5.1370050000000003</v>
      </c>
      <c r="E1764">
        <v>0.53059979999999995</v>
      </c>
      <c r="F1764" t="s">
        <v>44</v>
      </c>
      <c r="G1764">
        <v>-277.09980000000002</v>
      </c>
      <c r="H1764">
        <v>0.88203310000000001</v>
      </c>
      <c r="I1764">
        <v>283.42750000000001</v>
      </c>
      <c r="J1764">
        <v>-276.66449999999998</v>
      </c>
      <c r="K1764">
        <v>1.1213919999999999</v>
      </c>
      <c r="L1764">
        <v>283.36450000000002</v>
      </c>
      <c r="M1764">
        <v>-0.99988169999999998</v>
      </c>
      <c r="N1764">
        <v>-1.0897250000000001E-2</v>
      </c>
      <c r="O1764">
        <v>-1.0861640000000001E-2</v>
      </c>
      <c r="P1764">
        <v>-0.9863073</v>
      </c>
      <c r="Q1764">
        <v>0.16471939999999999</v>
      </c>
      <c r="R1764">
        <v>8.1275029999999995E-3</v>
      </c>
      <c r="S1764">
        <v>-3.2076720000000001</v>
      </c>
      <c r="T1764">
        <v>-1.01434</v>
      </c>
      <c r="U1764">
        <v>0.25006099999999998</v>
      </c>
      <c r="V1764">
        <v>1.8589809999999998E-2</v>
      </c>
      <c r="W1764">
        <v>0.1754829</v>
      </c>
      <c r="X1764">
        <v>0.98430689999999998</v>
      </c>
      <c r="Y1764">
        <v>8.3838369999999995E-2</v>
      </c>
      <c r="Z1764">
        <v>1.6623470000000001E-2</v>
      </c>
      <c r="AA1764">
        <v>0.99634069999999997</v>
      </c>
      <c r="AB1764">
        <v>37</v>
      </c>
      <c r="AC1764">
        <v>-0.43530000000003999</v>
      </c>
      <c r="AD1764">
        <v>-0.23935889999999899</v>
      </c>
      <c r="AE1764">
        <v>6.2999999999988093E-2</v>
      </c>
      <c r="AF1764">
        <v>5.2250416056518201E-2</v>
      </c>
      <c r="AG1764">
        <v>-0.23935889999999899</v>
      </c>
      <c r="AH1764">
        <v>0.33529169804276798</v>
      </c>
      <c r="AI1764">
        <v>125.197960319532</v>
      </c>
      <c r="AJ1764">
        <v>81.142514302073295</v>
      </c>
      <c r="AK1764">
        <v>0.41526294292133997</v>
      </c>
      <c r="AL1764">
        <v>79.893238382254097</v>
      </c>
      <c r="AM1764">
        <v>88.918029484791404</v>
      </c>
      <c r="AN1764">
        <v>0.99999995130792596</v>
      </c>
    </row>
    <row r="1765" spans="1:40" x14ac:dyDescent="0.25">
      <c r="A1765" t="str">
        <f>"20190303162815070"</f>
        <v>20190303162815070</v>
      </c>
      <c r="B1765" t="str">
        <f>"1551601695063336"</f>
        <v>1551601695063336</v>
      </c>
      <c r="C1765" t="s">
        <v>40</v>
      </c>
      <c r="D1765">
        <v>5.1360400000000004</v>
      </c>
      <c r="E1765">
        <v>0.53065010000000001</v>
      </c>
      <c r="F1765" t="s">
        <v>44</v>
      </c>
      <c r="G1765">
        <v>-277.42619999999999</v>
      </c>
      <c r="H1765">
        <v>0.87985179999999996</v>
      </c>
      <c r="I1765">
        <v>283.42290000000003</v>
      </c>
      <c r="J1765">
        <v>-276.88549999999998</v>
      </c>
      <c r="K1765">
        <v>1.1213919999999999</v>
      </c>
      <c r="L1765">
        <v>283.36180000000002</v>
      </c>
      <c r="M1765">
        <v>-0.99987740000000003</v>
      </c>
      <c r="N1765">
        <v>-1.0930489999999999E-2</v>
      </c>
      <c r="O1765">
        <v>-1.121379E-2</v>
      </c>
      <c r="P1765">
        <v>-0.98622500000000002</v>
      </c>
      <c r="Q1765">
        <v>0.1652178</v>
      </c>
      <c r="R1765">
        <v>7.97753E-3</v>
      </c>
      <c r="S1765">
        <v>-3.2095950000000002</v>
      </c>
      <c r="T1765">
        <v>-1.017757</v>
      </c>
      <c r="U1765">
        <v>0.24581910000000001</v>
      </c>
      <c r="V1765">
        <v>1.878728E-2</v>
      </c>
      <c r="W1765">
        <v>0.1760128</v>
      </c>
      <c r="X1765">
        <v>0.98420859999999999</v>
      </c>
      <c r="Y1765">
        <v>8.2842120000000005E-2</v>
      </c>
      <c r="Z1765">
        <v>1.6613889999999999E-2</v>
      </c>
      <c r="AA1765">
        <v>0.99642419999999998</v>
      </c>
      <c r="AB1765">
        <v>37</v>
      </c>
      <c r="AC1765">
        <v>-0.54070000000001495</v>
      </c>
      <c r="AD1765">
        <v>-0.24154020000000001</v>
      </c>
      <c r="AE1765">
        <v>6.1100000000010299E-2</v>
      </c>
      <c r="AF1765">
        <v>5.6104881231555402E-2</v>
      </c>
      <c r="AG1765">
        <v>-0.24154020000000001</v>
      </c>
      <c r="AH1765">
        <v>0.45109650547084001</v>
      </c>
      <c r="AI1765">
        <v>117.984267270343</v>
      </c>
      <c r="AJ1765">
        <v>82.910276149498799</v>
      </c>
      <c r="AK1765">
        <v>0.51475963629838895</v>
      </c>
      <c r="AL1765">
        <v>79.862397995224995</v>
      </c>
      <c r="AM1765">
        <v>88.906429858463497</v>
      </c>
      <c r="AN1765">
        <v>1.00000001798379</v>
      </c>
    </row>
    <row r="1766" spans="1:40" x14ac:dyDescent="0.25">
      <c r="A1766" t="str">
        <f>"20190303162815085"</f>
        <v>20190303162815085</v>
      </c>
      <c r="B1766" t="str">
        <f>"1551601695073096"</f>
        <v>1551601695073096</v>
      </c>
      <c r="C1766" t="s">
        <v>40</v>
      </c>
      <c r="D1766">
        <v>5.18302</v>
      </c>
      <c r="E1766">
        <v>0.53066820000000003</v>
      </c>
      <c r="F1766" t="s">
        <v>44</v>
      </c>
      <c r="G1766">
        <v>-277.74209999999999</v>
      </c>
      <c r="H1766">
        <v>0.85023329999999997</v>
      </c>
      <c r="I1766">
        <v>283.42720000000003</v>
      </c>
      <c r="J1766">
        <v>-277.13339999999999</v>
      </c>
      <c r="K1766">
        <v>1.1213879999999901</v>
      </c>
      <c r="L1766">
        <v>283.35860000000002</v>
      </c>
      <c r="M1766">
        <v>-0.9998726</v>
      </c>
      <c r="N1766">
        <v>-1.096579E-2</v>
      </c>
      <c r="O1766">
        <v>-1.1608510000000001E-2</v>
      </c>
      <c r="P1766">
        <v>-0.98620129999999995</v>
      </c>
      <c r="Q1766">
        <v>0.16535569999999999</v>
      </c>
      <c r="R1766">
        <v>8.0575790000000005E-3</v>
      </c>
      <c r="S1766">
        <v>-3.210175</v>
      </c>
      <c r="T1766">
        <v>-1.016278</v>
      </c>
      <c r="U1766">
        <v>0.244751</v>
      </c>
      <c r="V1766">
        <v>1.9257819999999998E-2</v>
      </c>
      <c r="W1766">
        <v>0.17618599999999901</v>
      </c>
      <c r="X1766">
        <v>0.9841685</v>
      </c>
      <c r="Y1766">
        <v>8.2886230000000005E-2</v>
      </c>
      <c r="Z1766">
        <v>1.671448E-2</v>
      </c>
      <c r="AA1766">
        <v>0.99641880000000005</v>
      </c>
      <c r="AB1766">
        <v>37</v>
      </c>
      <c r="AC1766">
        <v>-0.60869999999999802</v>
      </c>
      <c r="AD1766">
        <v>-0.27115469999999903</v>
      </c>
      <c r="AE1766">
        <v>6.8600000000003505E-2</v>
      </c>
      <c r="AF1766">
        <v>6.3265077446161305E-2</v>
      </c>
      <c r="AG1766">
        <v>-0.27115469999999903</v>
      </c>
      <c r="AH1766">
        <v>0.50826734615287605</v>
      </c>
      <c r="AI1766">
        <v>117.896878796729</v>
      </c>
      <c r="AJ1766">
        <v>82.9047696363141</v>
      </c>
      <c r="AK1766">
        <v>0.57953691558143805</v>
      </c>
      <c r="AL1766">
        <v>79.852316671246399</v>
      </c>
      <c r="AM1766">
        <v>88.879001903995004</v>
      </c>
      <c r="AN1766">
        <v>1.0000000033097001</v>
      </c>
    </row>
    <row r="1767" spans="1:40" x14ac:dyDescent="0.25">
      <c r="A1767" t="str">
        <f>"20190303162815104"</f>
        <v>20190303162815104</v>
      </c>
      <c r="B1767" t="str">
        <f>"1551601695093591"</f>
        <v>1551601695093591</v>
      </c>
      <c r="C1767" t="s">
        <v>40</v>
      </c>
      <c r="D1767">
        <v>5.1760780000000004</v>
      </c>
      <c r="E1767">
        <v>0.53076420000000002</v>
      </c>
      <c r="F1767" t="s">
        <v>44</v>
      </c>
      <c r="G1767">
        <v>-278.06099999999998</v>
      </c>
      <c r="H1767">
        <v>0.82802980000000004</v>
      </c>
      <c r="I1767">
        <v>283.42959999999999</v>
      </c>
      <c r="J1767">
        <v>-277.44310000000002</v>
      </c>
      <c r="K1767">
        <v>1.1213839999999999</v>
      </c>
      <c r="L1767">
        <v>283.3546</v>
      </c>
      <c r="M1767">
        <v>-0.99986640000000004</v>
      </c>
      <c r="N1767">
        <v>-1.1006190000000001E-2</v>
      </c>
      <c r="O1767">
        <v>-1.210088E-2</v>
      </c>
      <c r="P1767">
        <v>-0.98623470000000002</v>
      </c>
      <c r="Q1767">
        <v>0.16509289999999999</v>
      </c>
      <c r="R1767">
        <v>9.2669989999999997E-3</v>
      </c>
      <c r="S1767">
        <v>-3.2102050000000002</v>
      </c>
      <c r="T1767">
        <v>-1.015326</v>
      </c>
      <c r="U1767">
        <v>0.2444153</v>
      </c>
      <c r="V1767">
        <v>2.0955709999999999E-2</v>
      </c>
      <c r="W1767">
        <v>0.17596489999999901</v>
      </c>
      <c r="X1767">
        <v>0.98417339999999998</v>
      </c>
      <c r="Y1767">
        <v>8.3240460000000002E-2</v>
      </c>
      <c r="Z1767">
        <v>1.6904160000000001E-2</v>
      </c>
      <c r="AA1767">
        <v>0.99638610000000005</v>
      </c>
      <c r="AB1767">
        <v>37</v>
      </c>
      <c r="AC1767">
        <v>-0.61789999999996303</v>
      </c>
      <c r="AD1767">
        <v>-0.29335419999999901</v>
      </c>
      <c r="AE1767">
        <v>7.4999999999988604E-2</v>
      </c>
      <c r="AF1767">
        <v>6.7482561100636301E-2</v>
      </c>
      <c r="AG1767">
        <v>-0.29335419999999901</v>
      </c>
      <c r="AH1767">
        <v>0.50481527665245096</v>
      </c>
      <c r="AI1767">
        <v>119.941442526798</v>
      </c>
      <c r="AJ1767">
        <v>82.385969608816694</v>
      </c>
      <c r="AK1767">
        <v>0.58774913547535901</v>
      </c>
      <c r="AL1767">
        <v>79.865186146964803</v>
      </c>
      <c r="AM1767">
        <v>88.780202415979502</v>
      </c>
      <c r="AN1767">
        <v>1.00000003454058</v>
      </c>
    </row>
    <row r="1768" spans="1:40" x14ac:dyDescent="0.25">
      <c r="A1768" t="str">
        <f>"20190303162815123"</f>
        <v>20190303162815123</v>
      </c>
      <c r="B1768" t="str">
        <f>"1551601695113112"</f>
        <v>1551601695113112</v>
      </c>
      <c r="C1768" t="s">
        <v>40</v>
      </c>
      <c r="D1768">
        <v>5.1616049999999998</v>
      </c>
      <c r="E1768">
        <v>0.53079100000000001</v>
      </c>
      <c r="F1768" t="s">
        <v>44</v>
      </c>
      <c r="G1768">
        <v>-278.38690000000003</v>
      </c>
      <c r="H1768">
        <v>0.82340239999999998</v>
      </c>
      <c r="I1768">
        <v>283.42759999999998</v>
      </c>
      <c r="J1768">
        <v>-277.76729999999998</v>
      </c>
      <c r="K1768">
        <v>1.1213759999999999</v>
      </c>
      <c r="L1768">
        <v>283.35019999999997</v>
      </c>
      <c r="M1768">
        <v>-0.99985950000000001</v>
      </c>
      <c r="N1768">
        <v>-1.1044450000000001E-2</v>
      </c>
      <c r="O1768">
        <v>-1.261207E-2</v>
      </c>
      <c r="P1768">
        <v>-0.98632529999999996</v>
      </c>
      <c r="Q1768">
        <v>0.1644938</v>
      </c>
      <c r="R1768">
        <v>1.021994E-2</v>
      </c>
      <c r="S1768">
        <v>-3.2091059999999998</v>
      </c>
      <c r="T1768">
        <v>-1.0131650000000001</v>
      </c>
      <c r="U1768">
        <v>0.24783330000000001</v>
      </c>
      <c r="V1768">
        <v>2.2416930000000002E-2</v>
      </c>
      <c r="W1768">
        <v>0.17540629999999999</v>
      </c>
      <c r="X1768">
        <v>0.98424089999999997</v>
      </c>
      <c r="Y1768">
        <v>8.4748199999999996E-2</v>
      </c>
      <c r="Z1768">
        <v>1.726888E-2</v>
      </c>
      <c r="AA1768">
        <v>0.99625269999999999</v>
      </c>
      <c r="AB1768">
        <v>37</v>
      </c>
      <c r="AC1768">
        <v>-0.619600000000048</v>
      </c>
      <c r="AD1768">
        <v>-0.29797359999999901</v>
      </c>
      <c r="AE1768">
        <v>7.7400000000011404E-2</v>
      </c>
      <c r="AF1768">
        <v>6.9403862317234694E-2</v>
      </c>
      <c r="AG1768">
        <v>-0.29797359999999901</v>
      </c>
      <c r="AH1768">
        <v>0.503838560383156</v>
      </c>
      <c r="AI1768">
        <v>120.364949825953</v>
      </c>
      <c r="AJ1768">
        <v>82.156854576878104</v>
      </c>
      <c r="AK1768">
        <v>0.58945606904202796</v>
      </c>
      <c r="AL1768">
        <v>79.897697077263999</v>
      </c>
      <c r="AM1768">
        <v>88.6952650933532</v>
      </c>
      <c r="AN1768">
        <v>1.0000000190315601</v>
      </c>
    </row>
    <row r="1769" spans="1:40" x14ac:dyDescent="0.25">
      <c r="A1769" t="str">
        <f>"20190303162815137"</f>
        <v>20190303162815137</v>
      </c>
      <c r="B1769" t="str">
        <f>"1551601695133608"</f>
        <v>1551601695133608</v>
      </c>
      <c r="C1769" t="s">
        <v>40</v>
      </c>
      <c r="D1769">
        <v>5.2156370000000001</v>
      </c>
      <c r="E1769">
        <v>0.53058649999999996</v>
      </c>
      <c r="F1769" t="s">
        <v>44</v>
      </c>
      <c r="G1769">
        <v>-278.71420000000001</v>
      </c>
      <c r="H1769">
        <v>0.82175209999999999</v>
      </c>
      <c r="I1769">
        <v>283.42439999999999</v>
      </c>
      <c r="J1769">
        <v>-277.98829999999998</v>
      </c>
      <c r="K1769">
        <v>1.1213759999999999</v>
      </c>
      <c r="L1769">
        <v>283.34710000000001</v>
      </c>
      <c r="M1769">
        <v>-0.99985489999999999</v>
      </c>
      <c r="N1769">
        <v>-1.106803E-2</v>
      </c>
      <c r="O1769">
        <v>-1.295748E-2</v>
      </c>
      <c r="P1769">
        <v>-0.98643210000000003</v>
      </c>
      <c r="Q1769">
        <v>0.16379920000000001</v>
      </c>
      <c r="R1769">
        <v>1.102823E-2</v>
      </c>
      <c r="S1769">
        <v>-3.208313</v>
      </c>
      <c r="T1769">
        <v>-1.0152410000000001</v>
      </c>
      <c r="U1769">
        <v>0.25097659999999999</v>
      </c>
      <c r="V1769">
        <v>2.3570020000000001E-2</v>
      </c>
      <c r="W1769">
        <v>0.1747369</v>
      </c>
      <c r="X1769">
        <v>0.98433300000000001</v>
      </c>
      <c r="Y1769">
        <v>8.5982230000000007E-2</v>
      </c>
      <c r="Z1769">
        <v>1.7606340000000002E-2</v>
      </c>
      <c r="AA1769">
        <v>0.9961411</v>
      </c>
      <c r="AB1769">
        <v>37</v>
      </c>
      <c r="AC1769">
        <v>-0.72590000000002397</v>
      </c>
      <c r="AD1769">
        <v>-0.299623899999999</v>
      </c>
      <c r="AE1769">
        <v>7.7299999999979704E-2</v>
      </c>
      <c r="AF1769">
        <v>7.4200027120251394E-2</v>
      </c>
      <c r="AG1769">
        <v>-0.299623899999999</v>
      </c>
      <c r="AH1769">
        <v>0.62033452066380201</v>
      </c>
      <c r="AI1769">
        <v>115.621685012432</v>
      </c>
      <c r="AJ1769">
        <v>83.179090468074705</v>
      </c>
      <c r="AK1769">
        <v>0.69288891101174699</v>
      </c>
      <c r="AL1769">
        <v>79.9366522413562</v>
      </c>
      <c r="AM1769">
        <v>88.628305002100703</v>
      </c>
      <c r="AN1769">
        <v>0.99999999247670501</v>
      </c>
    </row>
    <row r="1770" spans="1:40" x14ac:dyDescent="0.25">
      <c r="A1770" t="str">
        <f>"20190303162815158"</f>
        <v>20190303162815158</v>
      </c>
      <c r="B1770" t="str">
        <f>"1551601695153128"</f>
        <v>1551601695153128</v>
      </c>
      <c r="C1770" t="s">
        <v>40</v>
      </c>
      <c r="D1770">
        <v>5.1822730000000004</v>
      </c>
      <c r="E1770">
        <v>0.53055969999999997</v>
      </c>
      <c r="F1770" t="s">
        <v>44</v>
      </c>
      <c r="G1770">
        <v>-278.73770000000002</v>
      </c>
      <c r="H1770">
        <v>0.88200040000000002</v>
      </c>
      <c r="I1770">
        <v>283.40589999999997</v>
      </c>
      <c r="J1770">
        <v>-278.32479999999998</v>
      </c>
      <c r="K1770">
        <v>1.1213649999999999</v>
      </c>
      <c r="L1770">
        <v>283.34230000000002</v>
      </c>
      <c r="M1770">
        <v>-0.99984770000000001</v>
      </c>
      <c r="N1770">
        <v>-1.110126E-2</v>
      </c>
      <c r="O1770">
        <v>-1.3474430000000001E-2</v>
      </c>
      <c r="P1770">
        <v>-0.98648820000000004</v>
      </c>
      <c r="Q1770">
        <v>0.1633307</v>
      </c>
      <c r="R1770">
        <v>1.281759E-2</v>
      </c>
      <c r="S1770">
        <v>-3.208618</v>
      </c>
      <c r="T1770">
        <v>-1.025013</v>
      </c>
      <c r="U1770">
        <v>0.25125120000000001</v>
      </c>
      <c r="V1770">
        <v>2.5874189999999998E-2</v>
      </c>
      <c r="W1770">
        <v>0.17430399999999999</v>
      </c>
      <c r="X1770">
        <v>0.98435189999999995</v>
      </c>
      <c r="Y1770">
        <v>8.6435960000000006E-2</v>
      </c>
      <c r="Z1770">
        <v>1.7992870000000001E-2</v>
      </c>
      <c r="AA1770">
        <v>0.99609490000000001</v>
      </c>
      <c r="AB1770">
        <v>37</v>
      </c>
      <c r="AC1770">
        <v>-0.41290000000003502</v>
      </c>
      <c r="AD1770">
        <v>-0.23936459999999901</v>
      </c>
      <c r="AE1770">
        <v>6.3599999999951196E-2</v>
      </c>
      <c r="AF1770">
        <v>5.2065892843516703E-2</v>
      </c>
      <c r="AG1770">
        <v>-0.23936459999999901</v>
      </c>
      <c r="AH1770">
        <v>0.31017935482250197</v>
      </c>
      <c r="AI1770">
        <v>127.272954763315</v>
      </c>
      <c r="AJ1770">
        <v>80.4713118257079</v>
      </c>
      <c r="AK1770">
        <v>0.395243597150992</v>
      </c>
      <c r="AL1770">
        <v>79.961842344161695</v>
      </c>
      <c r="AM1770">
        <v>88.494298027560703</v>
      </c>
      <c r="AN1770">
        <v>1.00000001057888</v>
      </c>
    </row>
    <row r="1771" spans="1:40" x14ac:dyDescent="0.25">
      <c r="A1771" t="str">
        <f>"20190303162815172"</f>
        <v>20190303162815172</v>
      </c>
      <c r="B1771" t="str">
        <f>"1551601695163864"</f>
        <v>1551601695163864</v>
      </c>
      <c r="C1771" t="s">
        <v>40</v>
      </c>
      <c r="D1771">
        <v>5.1923629999999896</v>
      </c>
      <c r="E1771">
        <v>0.53059149999999999</v>
      </c>
      <c r="F1771" t="s">
        <v>44</v>
      </c>
      <c r="G1771">
        <v>-279.06580000000002</v>
      </c>
      <c r="H1771">
        <v>0.88226939999999998</v>
      </c>
      <c r="I1771">
        <v>283.4015</v>
      </c>
      <c r="J1771">
        <v>-278.55329999999998</v>
      </c>
      <c r="K1771">
        <v>1.1213569999999999</v>
      </c>
      <c r="L1771">
        <v>283.33890000000002</v>
      </c>
      <c r="M1771">
        <v>-0.99984269999999997</v>
      </c>
      <c r="N1771">
        <v>-1.112169E-2</v>
      </c>
      <c r="O1771">
        <v>-1.3812E-2</v>
      </c>
      <c r="P1771">
        <v>-0.98642909999999995</v>
      </c>
      <c r="Q1771">
        <v>0.1636378</v>
      </c>
      <c r="R1771">
        <v>1.3432670000000001E-2</v>
      </c>
      <c r="S1771">
        <v>-3.2092290000000001</v>
      </c>
      <c r="T1771">
        <v>-1.0354779999999999</v>
      </c>
      <c r="U1771">
        <v>0.25537110000000002</v>
      </c>
      <c r="V1771">
        <v>2.68252E-2</v>
      </c>
      <c r="W1771">
        <v>0.17463119999999999</v>
      </c>
      <c r="X1771">
        <v>0.98426840000000004</v>
      </c>
      <c r="Y1771">
        <v>8.7840749999999995E-2</v>
      </c>
      <c r="Z1771">
        <v>1.849247E-2</v>
      </c>
      <c r="AA1771">
        <v>0.99596289999999998</v>
      </c>
      <c r="AB1771">
        <v>37</v>
      </c>
      <c r="AC1771">
        <v>-0.51250000000004503</v>
      </c>
      <c r="AD1771">
        <v>-0.23908760000000001</v>
      </c>
      <c r="AE1771">
        <v>6.2599999999974898E-2</v>
      </c>
      <c r="AF1771">
        <v>5.7370830402612601E-2</v>
      </c>
      <c r="AG1771">
        <v>-0.23908760000000001</v>
      </c>
      <c r="AH1771">
        <v>0.421254846904494</v>
      </c>
      <c r="AI1771">
        <v>119.35205497139</v>
      </c>
      <c r="AJ1771">
        <v>82.244583487466798</v>
      </c>
      <c r="AK1771">
        <v>0.48776012413416298</v>
      </c>
      <c r="AL1771">
        <v>79.942802699549006</v>
      </c>
      <c r="AM1771">
        <v>88.438850244941804</v>
      </c>
      <c r="AN1771">
        <v>0.99999996530351898</v>
      </c>
    </row>
    <row r="1772" spans="1:40" x14ac:dyDescent="0.25">
      <c r="A1772" t="str">
        <f>"20190303162815192"</f>
        <v>20190303162815192</v>
      </c>
      <c r="B1772" t="str">
        <f>"1551601695183375"</f>
        <v>1551601695183375</v>
      </c>
      <c r="C1772" t="s">
        <v>40</v>
      </c>
      <c r="D1772">
        <v>5.1693949999999997</v>
      </c>
      <c r="E1772">
        <v>0.53067449999999905</v>
      </c>
      <c r="F1772" t="s">
        <v>44</v>
      </c>
      <c r="G1772">
        <v>-279.38260000000002</v>
      </c>
      <c r="H1772">
        <v>0.85320200000000002</v>
      </c>
      <c r="I1772">
        <v>283.40550000000002</v>
      </c>
      <c r="J1772">
        <v>-278.88959999999997</v>
      </c>
      <c r="K1772">
        <v>1.1213390000000001</v>
      </c>
      <c r="L1772">
        <v>283.3338</v>
      </c>
      <c r="M1772">
        <v>-0.9998359</v>
      </c>
      <c r="N1772">
        <v>-1.114746E-2</v>
      </c>
      <c r="O1772">
        <v>-1.42816E-2</v>
      </c>
      <c r="P1772">
        <v>-0.98625640000000003</v>
      </c>
      <c r="Q1772">
        <v>0.1645932</v>
      </c>
      <c r="R1772">
        <v>1.442358E-2</v>
      </c>
      <c r="S1772">
        <v>-3.2099609999999998</v>
      </c>
      <c r="T1772">
        <v>-1.037933</v>
      </c>
      <c r="U1772">
        <v>0.25704959999999999</v>
      </c>
      <c r="V1772">
        <v>2.8285370000000001E-2</v>
      </c>
      <c r="W1772">
        <v>0.17561009999999999</v>
      </c>
      <c r="X1772">
        <v>0.98405339999999997</v>
      </c>
      <c r="Y1772">
        <v>8.8717799999999999E-2</v>
      </c>
      <c r="Z1772">
        <v>1.8815889999999998E-2</v>
      </c>
      <c r="AA1772">
        <v>0.99587910000000002</v>
      </c>
      <c r="AB1772">
        <v>37</v>
      </c>
      <c r="AC1772">
        <v>-0.49300000000005101</v>
      </c>
      <c r="AD1772">
        <v>-0.26813699999999902</v>
      </c>
      <c r="AE1772">
        <v>7.1700000000021094E-2</v>
      </c>
      <c r="AF1772">
        <v>6.1048871899455202E-2</v>
      </c>
      <c r="AG1772">
        <v>-0.26813699999999902</v>
      </c>
      <c r="AH1772">
        <v>0.38143019052414701</v>
      </c>
      <c r="AI1772">
        <v>124.766187802895</v>
      </c>
      <c r="AJ1772">
        <v>80.906787766373299</v>
      </c>
      <c r="AK1772">
        <v>0.47022697261267699</v>
      </c>
      <c r="AL1772">
        <v>79.885836220640698</v>
      </c>
      <c r="AM1772">
        <v>88.353558637460907</v>
      </c>
      <c r="AN1772">
        <v>1.0000000317147999</v>
      </c>
    </row>
    <row r="1773" spans="1:40" x14ac:dyDescent="0.25">
      <c r="A1773" t="str">
        <f>"20190303162815206"</f>
        <v>20190303162815206</v>
      </c>
      <c r="B1773" t="str">
        <f>"1551601695202895"</f>
        <v>1551601695202895</v>
      </c>
      <c r="C1773" t="s">
        <v>40</v>
      </c>
      <c r="D1773">
        <v>5.1220470000000002</v>
      </c>
      <c r="E1773">
        <v>0.53081299999999998</v>
      </c>
      <c r="F1773" t="s">
        <v>44</v>
      </c>
      <c r="G1773">
        <v>-279.71170000000001</v>
      </c>
      <c r="H1773">
        <v>0.85520350000000001</v>
      </c>
      <c r="I1773">
        <v>283.40050000000002</v>
      </c>
      <c r="J1773">
        <v>-279.11709999999999</v>
      </c>
      <c r="K1773">
        <v>1.121316</v>
      </c>
      <c r="L1773">
        <v>283.33030000000002</v>
      </c>
      <c r="M1773">
        <v>-0.99983140000000004</v>
      </c>
      <c r="N1773">
        <v>-1.116144E-2</v>
      </c>
      <c r="O1773">
        <v>-1.457807E-2</v>
      </c>
      <c r="P1773">
        <v>-0.98609389999999997</v>
      </c>
      <c r="Q1773">
        <v>0.16553499999999999</v>
      </c>
      <c r="R1773">
        <v>1.47277E-2</v>
      </c>
      <c r="S1773">
        <v>-3.2115170000000002</v>
      </c>
      <c r="T1773">
        <v>-1.0395289999999999</v>
      </c>
      <c r="U1773">
        <v>0.26000980000000001</v>
      </c>
      <c r="V1773">
        <v>2.8887019999999999E-2</v>
      </c>
      <c r="W1773">
        <v>0.17656289999999999</v>
      </c>
      <c r="X1773">
        <v>0.9838654</v>
      </c>
      <c r="Y1773">
        <v>8.9804759999999997E-2</v>
      </c>
      <c r="Z1773">
        <v>1.9102000000000001E-2</v>
      </c>
      <c r="AA1773">
        <v>0.9957762</v>
      </c>
      <c r="AB1773">
        <v>37</v>
      </c>
      <c r="AC1773">
        <v>-0.59460000000001401</v>
      </c>
      <c r="AD1773">
        <v>-0.26611249999999997</v>
      </c>
      <c r="AE1773">
        <v>7.0199999999999804E-2</v>
      </c>
      <c r="AF1773">
        <v>6.5852315355374294E-2</v>
      </c>
      <c r="AG1773">
        <v>-0.26611249999999997</v>
      </c>
      <c r="AH1773">
        <v>0.49560784173413402</v>
      </c>
      <c r="AI1773">
        <v>118.024751519403</v>
      </c>
      <c r="AJ1773">
        <v>82.431339150472496</v>
      </c>
      <c r="AK1773">
        <v>0.566374013247677</v>
      </c>
      <c r="AL1773">
        <v>79.830378148339406</v>
      </c>
      <c r="AM1773">
        <v>88.318236439137095</v>
      </c>
      <c r="AN1773">
        <v>1.0000000214490199</v>
      </c>
    </row>
    <row r="1774" spans="1:40" x14ac:dyDescent="0.25">
      <c r="A1774" t="str">
        <f>"20190303162815224"</f>
        <v>20190303162815224</v>
      </c>
      <c r="B1774" t="str">
        <f>"1551601695213631"</f>
        <v>1551601695213631</v>
      </c>
      <c r="C1774" t="s">
        <v>40</v>
      </c>
      <c r="D1774">
        <v>5.0988410000000002</v>
      </c>
      <c r="E1774">
        <v>0.53088979999999997</v>
      </c>
      <c r="F1774" t="s">
        <v>44</v>
      </c>
      <c r="G1774">
        <v>-280.02910000000003</v>
      </c>
      <c r="H1774">
        <v>0.82678529999999995</v>
      </c>
      <c r="I1774">
        <v>283.4049</v>
      </c>
      <c r="J1774">
        <v>-279.40730000000002</v>
      </c>
      <c r="K1774">
        <v>1.1212839999999999</v>
      </c>
      <c r="L1774">
        <v>283.32569999999998</v>
      </c>
      <c r="M1774">
        <v>-0.99982629999999995</v>
      </c>
      <c r="N1774">
        <v>-1.117479E-2</v>
      </c>
      <c r="O1774">
        <v>-1.4922980000000001E-2</v>
      </c>
      <c r="P1774">
        <v>-0.98591700000000004</v>
      </c>
      <c r="Q1774">
        <v>0.1665471</v>
      </c>
      <c r="R1774">
        <v>1.5173829999999999E-2</v>
      </c>
      <c r="S1774">
        <v>-3.2125849999999998</v>
      </c>
      <c r="T1774">
        <v>-1.0374760000000001</v>
      </c>
      <c r="U1774">
        <v>0.26199339999999999</v>
      </c>
      <c r="V1774">
        <v>2.9684249999999999E-2</v>
      </c>
      <c r="W1774">
        <v>0.17758409999999999</v>
      </c>
      <c r="X1774">
        <v>0.98365780000000003</v>
      </c>
      <c r="Y1774">
        <v>9.0693720000000005E-2</v>
      </c>
      <c r="Z1774">
        <v>1.931039E-2</v>
      </c>
      <c r="AA1774">
        <v>0.99569160000000001</v>
      </c>
      <c r="AB1774">
        <v>37</v>
      </c>
      <c r="AC1774">
        <v>-0.62180000000000701</v>
      </c>
      <c r="AD1774">
        <v>-0.294498699999999</v>
      </c>
      <c r="AE1774">
        <v>7.9200000000014301E-2</v>
      </c>
      <c r="AF1774">
        <v>7.2473296351654198E-2</v>
      </c>
      <c r="AG1774">
        <v>-0.294498699999999</v>
      </c>
      <c r="AH1774">
        <v>0.50833926395601503</v>
      </c>
      <c r="AI1774">
        <v>119.835800273605</v>
      </c>
      <c r="AJ1774">
        <v>81.886091197078798</v>
      </c>
      <c r="AK1774">
        <v>0.59193806286224604</v>
      </c>
      <c r="AL1774">
        <v>79.7709276884394</v>
      </c>
      <c r="AM1774">
        <v>88.271486041675303</v>
      </c>
      <c r="AN1774">
        <v>0.99999996738585495</v>
      </c>
    </row>
    <row r="1775" spans="1:40" x14ac:dyDescent="0.25">
      <c r="A1775" t="str">
        <f>"20190303162815236"</f>
        <v>20190303162815236</v>
      </c>
      <c r="B1775" t="str">
        <f>"1551601695233150"</f>
        <v>1551601695233150</v>
      </c>
      <c r="C1775" t="s">
        <v>40</v>
      </c>
      <c r="D1775">
        <v>5.0563500000000001</v>
      </c>
      <c r="E1775">
        <v>0.5311129</v>
      </c>
      <c r="F1775" t="s">
        <v>44</v>
      </c>
      <c r="G1775">
        <v>-280.35379999999998</v>
      </c>
      <c r="H1775">
        <v>0.81668039999999997</v>
      </c>
      <c r="I1775">
        <v>283.40339999999998</v>
      </c>
      <c r="J1775">
        <v>-279.6164</v>
      </c>
      <c r="K1775">
        <v>1.121251</v>
      </c>
      <c r="L1775">
        <v>283.32240000000002</v>
      </c>
      <c r="M1775">
        <v>-0.99982300000000002</v>
      </c>
      <c r="N1775">
        <v>-1.118209E-2</v>
      </c>
      <c r="O1775">
        <v>-1.5136409999999999E-2</v>
      </c>
      <c r="P1775">
        <v>-0.98584150000000004</v>
      </c>
      <c r="Q1775">
        <v>0.16698679999999999</v>
      </c>
      <c r="R1775">
        <v>1.5245440000000001E-2</v>
      </c>
      <c r="S1775">
        <v>-3.2135310000000001</v>
      </c>
      <c r="T1775">
        <v>-1.034179</v>
      </c>
      <c r="U1775">
        <v>0.26351930000000001</v>
      </c>
      <c r="V1775">
        <v>2.997814E-2</v>
      </c>
      <c r="W1775">
        <v>0.17802799999999999</v>
      </c>
      <c r="X1775">
        <v>0.98356869999999996</v>
      </c>
      <c r="Y1775">
        <v>9.1344889999999998E-2</v>
      </c>
      <c r="Z1775">
        <v>1.941793E-2</v>
      </c>
      <c r="AA1775">
        <v>0.99563000000000001</v>
      </c>
      <c r="AB1775">
        <v>37</v>
      </c>
      <c r="AC1775">
        <v>-0.73739999999997896</v>
      </c>
      <c r="AD1775">
        <v>-0.30457059999999903</v>
      </c>
      <c r="AE1775">
        <v>8.0999999999960395E-2</v>
      </c>
      <c r="AF1775">
        <v>7.8860145165342801E-2</v>
      </c>
      <c r="AG1775">
        <v>-0.30457059999999903</v>
      </c>
      <c r="AH1775">
        <v>0.62991017880216404</v>
      </c>
      <c r="AI1775">
        <v>115.630256753186</v>
      </c>
      <c r="AJ1775">
        <v>82.864113846322098</v>
      </c>
      <c r="AK1775">
        <v>0.704108660817656</v>
      </c>
      <c r="AL1775">
        <v>79.745082830891803</v>
      </c>
      <c r="AM1775">
        <v>88.254225327365504</v>
      </c>
      <c r="AN1775">
        <v>1.0000000226407699</v>
      </c>
    </row>
    <row r="1776" spans="1:40" x14ac:dyDescent="0.25">
      <c r="A1776" t="str">
        <f>"20190303162815249"</f>
        <v>20190303162815249</v>
      </c>
      <c r="B1776" t="str">
        <f>"1551601695242911"</f>
        <v>1551601695242911</v>
      </c>
      <c r="C1776" t="s">
        <v>40</v>
      </c>
      <c r="D1776">
        <v>5.0310600000000001</v>
      </c>
      <c r="E1776">
        <v>0.53120349999999905</v>
      </c>
      <c r="F1776" t="s">
        <v>44</v>
      </c>
      <c r="G1776">
        <v>-280.37740000000002</v>
      </c>
      <c r="H1776">
        <v>0.87713280000000005</v>
      </c>
      <c r="I1776">
        <v>283.38549999999998</v>
      </c>
      <c r="J1776">
        <v>-279.82920000000001</v>
      </c>
      <c r="K1776">
        <v>1.1212120000000001</v>
      </c>
      <c r="L1776">
        <v>283.31900000000002</v>
      </c>
      <c r="M1776">
        <v>-0.99981980000000004</v>
      </c>
      <c r="N1776">
        <v>-1.118887E-2</v>
      </c>
      <c r="O1776">
        <v>-1.5333100000000001E-2</v>
      </c>
      <c r="P1776">
        <v>-0.98579919999999999</v>
      </c>
      <c r="Q1776">
        <v>0.16723289999999999</v>
      </c>
      <c r="R1776">
        <v>1.527076E-2</v>
      </c>
      <c r="S1776">
        <v>-3.2136230000000001</v>
      </c>
      <c r="T1776">
        <v>-1.030853</v>
      </c>
      <c r="U1776">
        <v>0.2657776</v>
      </c>
      <c r="V1776">
        <v>3.0211269999999998E-2</v>
      </c>
      <c r="W1776">
        <v>0.17827809999999999</v>
      </c>
      <c r="X1776">
        <v>0.98351619999999995</v>
      </c>
      <c r="Y1776">
        <v>9.2213690000000001E-2</v>
      </c>
      <c r="Z1776">
        <v>1.955871E-2</v>
      </c>
      <c r="AA1776">
        <v>0.99554710000000002</v>
      </c>
      <c r="AB1776">
        <v>37</v>
      </c>
      <c r="AC1776">
        <v>-0.54820000000000801</v>
      </c>
      <c r="AD1776">
        <v>-0.244079199999999</v>
      </c>
      <c r="AE1776">
        <v>6.64999999999622E-2</v>
      </c>
      <c r="AF1776">
        <v>6.2657450082164598E-2</v>
      </c>
      <c r="AG1776">
        <v>-0.244079199999999</v>
      </c>
      <c r="AH1776">
        <v>0.45769899715621998</v>
      </c>
      <c r="AI1776">
        <v>117.849584770568</v>
      </c>
      <c r="AJ1776">
        <v>82.204855354077097</v>
      </c>
      <c r="AK1776">
        <v>0.52248347717535404</v>
      </c>
      <c r="AL1776">
        <v>79.730519531617801</v>
      </c>
      <c r="AM1776">
        <v>88.240563664647297</v>
      </c>
      <c r="AN1776">
        <v>0.99999995871852998</v>
      </c>
    </row>
    <row r="1777" spans="1:40" x14ac:dyDescent="0.25">
      <c r="A1777" t="str">
        <f>"20190303162815271"</f>
        <v>20190303162815271</v>
      </c>
      <c r="B1777" t="str">
        <f>"1551601695263407"</f>
        <v>1551601695263407</v>
      </c>
      <c r="C1777" t="s">
        <v>40</v>
      </c>
      <c r="D1777">
        <v>4.9721019999999996</v>
      </c>
      <c r="E1777">
        <v>0.53133790000000003</v>
      </c>
      <c r="F1777" t="s">
        <v>44</v>
      </c>
      <c r="G1777">
        <v>-280.6934</v>
      </c>
      <c r="H1777">
        <v>0.84431979999999995</v>
      </c>
      <c r="I1777">
        <v>283.39089999999999</v>
      </c>
      <c r="J1777">
        <v>-280.18130000000002</v>
      </c>
      <c r="K1777">
        <v>1.1211519999999999</v>
      </c>
      <c r="L1777">
        <v>283.31330000000003</v>
      </c>
      <c r="M1777">
        <v>-0.99981580000000003</v>
      </c>
      <c r="N1777">
        <v>-1.1198400000000001E-2</v>
      </c>
      <c r="O1777">
        <v>-1.5595060000000001E-2</v>
      </c>
      <c r="P1777">
        <v>-0.98569810000000002</v>
      </c>
      <c r="Q1777">
        <v>0.16785539999999999</v>
      </c>
      <c r="R1777">
        <v>1.497802E-2</v>
      </c>
      <c r="S1777">
        <v>-3.2137760000000002</v>
      </c>
      <c r="T1777">
        <v>-1.0296829999999999</v>
      </c>
      <c r="U1777">
        <v>0.26651000000000002</v>
      </c>
      <c r="V1777">
        <v>3.0202630000000001E-2</v>
      </c>
      <c r="W1777">
        <v>0.17890439999999999</v>
      </c>
      <c r="X1777">
        <v>0.98340280000000002</v>
      </c>
      <c r="Y1777">
        <v>9.2672599999999994E-2</v>
      </c>
      <c r="Z1777">
        <v>1.9690349999999999E-2</v>
      </c>
      <c r="AA1777">
        <v>0.99550190000000005</v>
      </c>
      <c r="AB1777">
        <v>37</v>
      </c>
      <c r="AC1777">
        <v>-0.51209999999997502</v>
      </c>
      <c r="AD1777">
        <v>-0.27683219999999997</v>
      </c>
      <c r="AE1777">
        <v>7.75999999999612E-2</v>
      </c>
      <c r="AF1777">
        <v>6.6562428157599399E-2</v>
      </c>
      <c r="AG1777">
        <v>-0.27683219999999997</v>
      </c>
      <c r="AH1777">
        <v>0.39732405126269399</v>
      </c>
      <c r="AI1777">
        <v>124.495510848083</v>
      </c>
      <c r="AJ1777">
        <v>80.489734246293295</v>
      </c>
      <c r="AK1777">
        <v>0.48880775925804998</v>
      </c>
      <c r="AL1777">
        <v>79.694049548398993</v>
      </c>
      <c r="AM1777">
        <v>88.240863820642303</v>
      </c>
      <c r="AN1777">
        <v>1.0000000251230501</v>
      </c>
    </row>
    <row r="1778" spans="1:40" x14ac:dyDescent="0.25">
      <c r="A1778" t="str">
        <f>"20190303162815285"</f>
        <v>20190303162815285</v>
      </c>
      <c r="B1778" t="str">
        <f>"1551601695273167"</f>
        <v>1551601695273167</v>
      </c>
      <c r="C1778" t="s">
        <v>40</v>
      </c>
      <c r="D1778">
        <v>5.0072999999999999</v>
      </c>
      <c r="E1778">
        <v>0.5312521</v>
      </c>
      <c r="F1778" t="s">
        <v>44</v>
      </c>
      <c r="G1778">
        <v>-281.02519999999998</v>
      </c>
      <c r="H1778">
        <v>0.85135260000000001</v>
      </c>
      <c r="I1778">
        <v>283.3836</v>
      </c>
      <c r="J1778">
        <v>-280.41719999999998</v>
      </c>
      <c r="K1778">
        <v>1.1211089999999999</v>
      </c>
      <c r="L1778">
        <v>283.30950000000001</v>
      </c>
      <c r="M1778">
        <v>-0.99981359999999997</v>
      </c>
      <c r="N1778">
        <v>-1.120405E-2</v>
      </c>
      <c r="O1778">
        <v>-1.5729E-2</v>
      </c>
      <c r="P1778">
        <v>-0.98566069999999995</v>
      </c>
      <c r="Q1778">
        <v>0.16808210000000001</v>
      </c>
      <c r="R1778">
        <v>1.4881109999999999E-2</v>
      </c>
      <c r="S1778">
        <v>-3.2145389999999998</v>
      </c>
      <c r="T1778">
        <v>-1.027822</v>
      </c>
      <c r="U1778">
        <v>0.26739499999999999</v>
      </c>
      <c r="V1778">
        <v>3.0256970000000001E-2</v>
      </c>
      <c r="W1778">
        <v>0.17913289999999901</v>
      </c>
      <c r="X1778">
        <v>0.98335950000000005</v>
      </c>
      <c r="Y1778">
        <v>9.3054639999999994E-2</v>
      </c>
      <c r="Z1778">
        <v>1.9754600000000001E-2</v>
      </c>
      <c r="AA1778">
        <v>0.99546500000000004</v>
      </c>
      <c r="AB1778">
        <v>37</v>
      </c>
      <c r="AC1778">
        <v>-0.60800000000000398</v>
      </c>
      <c r="AD1778">
        <v>-0.26975639999999901</v>
      </c>
      <c r="AE1778">
        <v>7.4099999999987107E-2</v>
      </c>
      <c r="AF1778">
        <v>7.0064333865386894E-2</v>
      </c>
      <c r="AG1778">
        <v>-0.26975639999999901</v>
      </c>
      <c r="AH1778">
        <v>0.508186587925614</v>
      </c>
      <c r="AI1778">
        <v>117.73751721633</v>
      </c>
      <c r="AJ1778">
        <v>82.150046650461107</v>
      </c>
      <c r="AK1778">
        <v>0.57959566455283096</v>
      </c>
      <c r="AL1778">
        <v>79.680742163359199</v>
      </c>
      <c r="AM1778">
        <v>88.237623260235395</v>
      </c>
      <c r="AN1778">
        <v>0.99999999316812005</v>
      </c>
    </row>
    <row r="1779" spans="1:40" x14ac:dyDescent="0.25">
      <c r="A1779" t="str">
        <f>"20190303162815306"</f>
        <v>20190303162815306</v>
      </c>
      <c r="B1779" t="str">
        <f>"1551601695293663"</f>
        <v>1551601695293663</v>
      </c>
      <c r="C1779" t="s">
        <v>40</v>
      </c>
      <c r="D1779">
        <v>4.9413330000000002</v>
      </c>
      <c r="E1779">
        <v>0.53116859999999999</v>
      </c>
      <c r="F1779" t="s">
        <v>44</v>
      </c>
      <c r="G1779">
        <v>-281.34390000000002</v>
      </c>
      <c r="H1779">
        <v>0.82455299999999998</v>
      </c>
      <c r="I1779">
        <v>283.38679999999999</v>
      </c>
      <c r="J1779">
        <v>-280.74470000000002</v>
      </c>
      <c r="K1779">
        <v>1.121046</v>
      </c>
      <c r="L1779">
        <v>283.30419999999998</v>
      </c>
      <c r="M1779">
        <v>-0.99981149999999996</v>
      </c>
      <c r="N1779">
        <v>-1.1210799999999899E-2</v>
      </c>
      <c r="O1779">
        <v>-1.5849450000000001E-2</v>
      </c>
      <c r="P1779">
        <v>-0.98551330000000004</v>
      </c>
      <c r="Q1779">
        <v>0.16895769999999999</v>
      </c>
      <c r="R1779">
        <v>1.4731589999999999E-2</v>
      </c>
      <c r="S1779">
        <v>-3.2150569999999998</v>
      </c>
      <c r="T1779">
        <v>-1.0288740000000001</v>
      </c>
      <c r="U1779">
        <v>0.26647949999999998</v>
      </c>
      <c r="V1779">
        <v>3.0251759999999999E-2</v>
      </c>
      <c r="W1779">
        <v>0.18000820000000001</v>
      </c>
      <c r="X1779">
        <v>0.98319979999999996</v>
      </c>
      <c r="Y1779">
        <v>9.2874020000000002E-2</v>
      </c>
      <c r="Z1779">
        <v>1.977804E-2</v>
      </c>
      <c r="AA1779">
        <v>0.99548139999999996</v>
      </c>
      <c r="AB1779">
        <v>37</v>
      </c>
      <c r="AC1779">
        <v>-0.59919999999999596</v>
      </c>
      <c r="AD1779">
        <v>-0.29649299999999901</v>
      </c>
      <c r="AE1779">
        <v>8.2600000000013496E-2</v>
      </c>
      <c r="AF1779">
        <v>7.4247369350089104E-2</v>
      </c>
      <c r="AG1779">
        <v>-0.29649299999999901</v>
      </c>
      <c r="AH1779">
        <v>0.48200207321245497</v>
      </c>
      <c r="AI1779">
        <v>121.297822841442</v>
      </c>
      <c r="AJ1779">
        <v>81.243014993757299</v>
      </c>
      <c r="AK1779">
        <v>0.57074229691298795</v>
      </c>
      <c r="AL1779">
        <v>79.629762398540393</v>
      </c>
      <c r="AM1779">
        <v>88.237640504540593</v>
      </c>
      <c r="AN1779">
        <v>0.99999998388518796</v>
      </c>
    </row>
    <row r="1780" spans="1:40" x14ac:dyDescent="0.25">
      <c r="A1780" t="str">
        <f>"20190303162815324"</f>
        <v>20190303162815324</v>
      </c>
      <c r="B1780" t="str">
        <f>"1551601695313182"</f>
        <v>1551601695313182</v>
      </c>
      <c r="C1780" t="s">
        <v>40</v>
      </c>
      <c r="D1780">
        <v>4.912839</v>
      </c>
      <c r="E1780">
        <v>0.53114019999999995</v>
      </c>
      <c r="F1780" t="s">
        <v>44</v>
      </c>
      <c r="G1780">
        <v>-281.673</v>
      </c>
      <c r="H1780">
        <v>0.82399199999999995</v>
      </c>
      <c r="I1780">
        <v>283.3811</v>
      </c>
      <c r="J1780">
        <v>-281.06819999999999</v>
      </c>
      <c r="K1780">
        <v>1.120986</v>
      </c>
      <c r="L1780">
        <v>283.29899999999998</v>
      </c>
      <c r="M1780">
        <v>-0.9998108</v>
      </c>
      <c r="N1780">
        <v>-1.121656E-2</v>
      </c>
      <c r="O1780">
        <v>-1.5893339999999999E-2</v>
      </c>
      <c r="P1780">
        <v>-0.98533559999999998</v>
      </c>
      <c r="Q1780">
        <v>0.17001640000000001</v>
      </c>
      <c r="R1780">
        <v>1.4433700000000001E-2</v>
      </c>
      <c r="S1780">
        <v>-3.2165530000000002</v>
      </c>
      <c r="T1780">
        <v>-1.0292059999999901</v>
      </c>
      <c r="U1780">
        <v>0.26608280000000001</v>
      </c>
      <c r="V1780">
        <v>3.0023680000000001E-2</v>
      </c>
      <c r="W1780">
        <v>0.18106539999999999</v>
      </c>
      <c r="X1780">
        <v>0.98301269999999996</v>
      </c>
      <c r="Y1780">
        <v>9.2762750000000005E-2</v>
      </c>
      <c r="Z1780">
        <v>1.9770920000000001E-2</v>
      </c>
      <c r="AA1780">
        <v>0.99549189999999999</v>
      </c>
      <c r="AB1780">
        <v>37</v>
      </c>
      <c r="AC1780">
        <v>-0.604800000000011</v>
      </c>
      <c r="AD1780">
        <v>-0.29699399999999998</v>
      </c>
      <c r="AE1780">
        <v>8.2099999999968504E-2</v>
      </c>
      <c r="AF1780">
        <v>7.4146297700958E-2</v>
      </c>
      <c r="AG1780">
        <v>-0.29699399999999998</v>
      </c>
      <c r="AH1780">
        <v>0.48789562204978698</v>
      </c>
      <c r="AI1780">
        <v>121.040141517574</v>
      </c>
      <c r="AJ1780">
        <v>81.358785655902807</v>
      </c>
      <c r="AK1780">
        <v>0.57597330451515505</v>
      </c>
      <c r="AL1780">
        <v>79.568177877663899</v>
      </c>
      <c r="AM1780">
        <v>88.250586644689093</v>
      </c>
      <c r="AN1780">
        <v>1.0000000343995901</v>
      </c>
    </row>
    <row r="1781" spans="1:40" x14ac:dyDescent="0.25">
      <c r="A1781" t="str">
        <f>"20190303162815338"</f>
        <v>20190303162815338</v>
      </c>
      <c r="B1781" t="str">
        <f>"1551601695333678"</f>
        <v>1551601695333678</v>
      </c>
      <c r="C1781" t="s">
        <v>40</v>
      </c>
      <c r="D1781">
        <v>4.8969839999999998</v>
      </c>
      <c r="E1781">
        <v>0.531057</v>
      </c>
      <c r="F1781" t="s">
        <v>44</v>
      </c>
      <c r="G1781">
        <v>-282.00200000000001</v>
      </c>
      <c r="H1781">
        <v>0.82256649999999998</v>
      </c>
      <c r="I1781">
        <v>283.37610000000001</v>
      </c>
      <c r="J1781">
        <v>-281.30220000000003</v>
      </c>
      <c r="K1781">
        <v>1.1209340000000001</v>
      </c>
      <c r="L1781">
        <v>283.2953</v>
      </c>
      <c r="M1781">
        <v>-0.99981109999999895</v>
      </c>
      <c r="N1781">
        <v>-1.1220259999999999E-2</v>
      </c>
      <c r="O1781">
        <v>-1.5871179999999999E-2</v>
      </c>
      <c r="P1781">
        <v>-0.98526270000000005</v>
      </c>
      <c r="Q1781">
        <v>0.17046829999999999</v>
      </c>
      <c r="R1781">
        <v>1.407274E-2</v>
      </c>
      <c r="S1781">
        <v>-3.2182309999999998</v>
      </c>
      <c r="T1781">
        <v>-1.0285519999999999</v>
      </c>
      <c r="U1781">
        <v>0.26507570000000003</v>
      </c>
      <c r="V1781">
        <v>2.9662569999999999E-2</v>
      </c>
      <c r="W1781">
        <v>0.1815165</v>
      </c>
      <c r="X1781">
        <v>0.98294040000000005</v>
      </c>
      <c r="Y1781">
        <v>9.2419360000000006E-2</v>
      </c>
      <c r="Z1781">
        <v>1.9687779999999998E-2</v>
      </c>
      <c r="AA1781">
        <v>0.99552549999999995</v>
      </c>
      <c r="AB1781">
        <v>37</v>
      </c>
      <c r="AC1781">
        <v>-0.69979999999998199</v>
      </c>
      <c r="AD1781">
        <v>-0.29836750000000001</v>
      </c>
      <c r="AE1781">
        <v>8.0800000000010599E-2</v>
      </c>
      <c r="AF1781">
        <v>7.7919091565667301E-2</v>
      </c>
      <c r="AG1781">
        <v>-0.29836750000000001</v>
      </c>
      <c r="AH1781">
        <v>0.59219430693573405</v>
      </c>
      <c r="AI1781">
        <v>116.54342614956801</v>
      </c>
      <c r="AJ1781">
        <v>82.504257625636598</v>
      </c>
      <c r="AK1781">
        <v>0.66767405749644304</v>
      </c>
      <c r="AL1781">
        <v>79.541895559861999</v>
      </c>
      <c r="AM1781">
        <v>88.271487830850106</v>
      </c>
      <c r="AN1781">
        <v>0.99999996889170695</v>
      </c>
    </row>
    <row r="1782" spans="1:40" x14ac:dyDescent="0.25">
      <c r="A1782" t="str">
        <f>"20190303162815352"</f>
        <v>20190303162815352</v>
      </c>
      <c r="B1782" t="str">
        <f>"1551601695344414"</f>
        <v>1551601695344414</v>
      </c>
      <c r="C1782" t="s">
        <v>40</v>
      </c>
      <c r="D1782">
        <v>4.8945210000000001</v>
      </c>
      <c r="E1782">
        <v>0.53105239999999998</v>
      </c>
      <c r="F1782" t="s">
        <v>44</v>
      </c>
      <c r="G1782">
        <v>-282.02800000000002</v>
      </c>
      <c r="H1782">
        <v>0.88894300000000004</v>
      </c>
      <c r="I1782">
        <v>283.35469999999998</v>
      </c>
      <c r="J1782">
        <v>-281.51749999999998</v>
      </c>
      <c r="K1782">
        <v>1.120881</v>
      </c>
      <c r="L1782">
        <v>283.2919</v>
      </c>
      <c r="M1782">
        <v>-0.99981209999999998</v>
      </c>
      <c r="N1782">
        <v>-1.1223469999999999E-2</v>
      </c>
      <c r="O1782">
        <v>-1.5810399999999999E-2</v>
      </c>
      <c r="P1782">
        <v>-0.98523240000000001</v>
      </c>
      <c r="Q1782">
        <v>0.17069319999999999</v>
      </c>
      <c r="R1782">
        <v>1.3454300000000001E-2</v>
      </c>
      <c r="S1782">
        <v>-3.2192379999999998</v>
      </c>
      <c r="T1782">
        <v>-1.0291129999999999</v>
      </c>
      <c r="U1782">
        <v>0.26257320000000001</v>
      </c>
      <c r="V1782">
        <v>2.9006669999999998E-2</v>
      </c>
      <c r="W1782">
        <v>0.18174009999999999</v>
      </c>
      <c r="X1782">
        <v>0.98291870000000003</v>
      </c>
      <c r="Y1782">
        <v>9.160633E-2</v>
      </c>
      <c r="Z1782">
        <v>1.9543169999999999E-2</v>
      </c>
      <c r="AA1782">
        <v>0.99560349999999997</v>
      </c>
      <c r="AB1782">
        <v>37</v>
      </c>
      <c r="AC1782">
        <v>-0.51050000000003504</v>
      </c>
      <c r="AD1782">
        <v>-0.23193800000000001</v>
      </c>
      <c r="AE1782">
        <v>6.2799999999981496E-2</v>
      </c>
      <c r="AF1782">
        <v>5.88891641069327E-2</v>
      </c>
      <c r="AG1782">
        <v>-0.23193800000000001</v>
      </c>
      <c r="AH1782">
        <v>0.42335660426552202</v>
      </c>
      <c r="AI1782">
        <v>118.485603400549</v>
      </c>
      <c r="AJ1782">
        <v>82.080936196225693</v>
      </c>
      <c r="AK1782">
        <v>0.48630647113568998</v>
      </c>
      <c r="AL1782">
        <v>79.528867975367106</v>
      </c>
      <c r="AM1782">
        <v>88.309649045901693</v>
      </c>
      <c r="AN1782">
        <v>1.00000001083109</v>
      </c>
    </row>
    <row r="1783" spans="1:40" x14ac:dyDescent="0.25">
      <c r="A1783" t="str">
        <f>"20190303162815371"</f>
        <v>20190303162815371</v>
      </c>
      <c r="B1783" t="str">
        <f>"1551601695363934"</f>
        <v>1551601695363934</v>
      </c>
      <c r="C1783" t="s">
        <v>40</v>
      </c>
      <c r="D1783">
        <v>4.8503910000000001</v>
      </c>
      <c r="E1783">
        <v>0.53103409999999995</v>
      </c>
      <c r="F1783" t="s">
        <v>44</v>
      </c>
      <c r="G1783">
        <v>-282.34480000000002</v>
      </c>
      <c r="H1783">
        <v>0.8563035</v>
      </c>
      <c r="I1783">
        <v>283.35860000000002</v>
      </c>
      <c r="J1783">
        <v>-281.84010000000001</v>
      </c>
      <c r="K1783">
        <v>1.1207959999999999</v>
      </c>
      <c r="L1783">
        <v>283.2869</v>
      </c>
      <c r="M1783">
        <v>-0.99981469999999995</v>
      </c>
      <c r="N1783">
        <v>-1.122804E-2</v>
      </c>
      <c r="O1783">
        <v>-1.5641019999999999E-2</v>
      </c>
      <c r="P1783">
        <v>-0.98501119999999998</v>
      </c>
      <c r="Q1783">
        <v>0.17206920000000001</v>
      </c>
      <c r="R1783">
        <v>1.207041E-2</v>
      </c>
      <c r="S1783">
        <v>-3.2198180000000001</v>
      </c>
      <c r="T1783">
        <v>-1.029671</v>
      </c>
      <c r="U1783">
        <v>0.2592468</v>
      </c>
      <c r="V1783">
        <v>2.7491649999999999E-2</v>
      </c>
      <c r="W1783">
        <v>0.18311240000000001</v>
      </c>
      <c r="X1783">
        <v>0.98270749999999996</v>
      </c>
      <c r="Y1783">
        <v>9.0463500000000002E-2</v>
      </c>
      <c r="Z1783">
        <v>1.931513E-2</v>
      </c>
      <c r="AA1783">
        <v>0.9957125</v>
      </c>
      <c r="AB1783">
        <v>37</v>
      </c>
      <c r="AC1783">
        <v>-0.50470000000001303</v>
      </c>
      <c r="AD1783">
        <v>-0.26449249999999902</v>
      </c>
      <c r="AE1783">
        <v>7.1700000000021094E-2</v>
      </c>
      <c r="AF1783">
        <v>6.2705220535862194E-2</v>
      </c>
      <c r="AG1783">
        <v>-0.26449249999999902</v>
      </c>
      <c r="AH1783">
        <v>0.39671835626650498</v>
      </c>
      <c r="AI1783">
        <v>123.365932643764</v>
      </c>
      <c r="AJ1783">
        <v>81.018146737772199</v>
      </c>
      <c r="AK1783">
        <v>0.48090922369767303</v>
      </c>
      <c r="AL1783">
        <v>79.448898792890702</v>
      </c>
      <c r="AM1783">
        <v>88.3975447509915</v>
      </c>
      <c r="AN1783">
        <v>0.99999998620486596</v>
      </c>
    </row>
    <row r="1784" spans="1:40" x14ac:dyDescent="0.25">
      <c r="A1784" t="str">
        <f>"20190303162815392"</f>
        <v>20190303162815392</v>
      </c>
      <c r="B1784" t="str">
        <f>"1551601695383454"</f>
        <v>1551601695383454</v>
      </c>
      <c r="C1784" t="s">
        <v>40</v>
      </c>
      <c r="D1784">
        <v>4.8101949999999896</v>
      </c>
      <c r="E1784">
        <v>0.51509529999999903</v>
      </c>
      <c r="F1784" t="s">
        <v>44</v>
      </c>
      <c r="G1784">
        <v>-282.67450000000002</v>
      </c>
      <c r="H1784">
        <v>0.8556937</v>
      </c>
      <c r="I1784">
        <v>283.3526</v>
      </c>
      <c r="J1784">
        <v>-282.18369999999999</v>
      </c>
      <c r="K1784">
        <v>1.1206860000000001</v>
      </c>
      <c r="L1784">
        <v>283.2817</v>
      </c>
      <c r="M1784">
        <v>-0.99981929999999997</v>
      </c>
      <c r="N1784">
        <v>-1.123263E-2</v>
      </c>
      <c r="O1784">
        <v>-1.5337129999999999E-2</v>
      </c>
      <c r="P1784">
        <v>-0.98480210000000001</v>
      </c>
      <c r="Q1784">
        <v>0.1734165</v>
      </c>
      <c r="R1784">
        <v>9.5674760000000001E-3</v>
      </c>
      <c r="S1784">
        <v>-3.2213129999999999</v>
      </c>
      <c r="T1784">
        <v>-1.023377</v>
      </c>
      <c r="U1784">
        <v>0.25311280000000003</v>
      </c>
      <c r="V1784">
        <v>2.4736350000000001E-2</v>
      </c>
      <c r="W1784">
        <v>0.18445619999999999</v>
      </c>
      <c r="X1784">
        <v>0.9825294</v>
      </c>
      <c r="Y1784">
        <v>8.8424279999999994E-2</v>
      </c>
      <c r="Z1784">
        <v>1.877931E-2</v>
      </c>
      <c r="AA1784">
        <v>0.99590590000000001</v>
      </c>
      <c r="AB1784">
        <v>37</v>
      </c>
      <c r="AC1784">
        <v>-0.49080000000003499</v>
      </c>
      <c r="AD1784">
        <v>-0.26499230000000001</v>
      </c>
      <c r="AE1784">
        <v>7.0899999999994606E-2</v>
      </c>
      <c r="AF1784">
        <v>6.1000640560992303E-2</v>
      </c>
      <c r="AG1784">
        <v>-0.26499230000000001</v>
      </c>
      <c r="AH1784">
        <v>0.38089019671177998</v>
      </c>
      <c r="AI1784">
        <v>124.487671068324</v>
      </c>
      <c r="AJ1784">
        <v>80.901185686520506</v>
      </c>
      <c r="AK1784">
        <v>0.46799502044282498</v>
      </c>
      <c r="AL1784">
        <v>79.370570660403999</v>
      </c>
      <c r="AM1784">
        <v>88.557815039071897</v>
      </c>
      <c r="AN1784">
        <v>0.99999999929706096</v>
      </c>
    </row>
    <row r="1785" spans="1:40" x14ac:dyDescent="0.25">
      <c r="A1785" t="str">
        <f>"20190303162815405"</f>
        <v>20190303162815405</v>
      </c>
      <c r="B1785" t="str">
        <f>"1551601695393215"</f>
        <v>1551601695393215</v>
      </c>
      <c r="C1785" t="s">
        <v>40</v>
      </c>
      <c r="D1785">
        <v>4.8593489999999999</v>
      </c>
      <c r="E1785">
        <v>0.51181829999999995</v>
      </c>
      <c r="F1785" t="s">
        <v>44</v>
      </c>
      <c r="G1785">
        <v>-283.07089999999999</v>
      </c>
      <c r="H1785">
        <v>1.0016640000000001</v>
      </c>
      <c r="I1785">
        <v>283.31900000000002</v>
      </c>
      <c r="J1785">
        <v>-282.40280000000001</v>
      </c>
      <c r="K1785">
        <v>1.120611</v>
      </c>
      <c r="L1785">
        <v>283.27850000000001</v>
      </c>
      <c r="M1785">
        <v>-0.99982300000000002</v>
      </c>
      <c r="N1785">
        <v>-1.1235439999999999E-2</v>
      </c>
      <c r="O1785">
        <v>-1.5086280000000001E-2</v>
      </c>
      <c r="P1785">
        <v>-0.98474930000000005</v>
      </c>
      <c r="Q1785">
        <v>0.1737805</v>
      </c>
      <c r="R1785">
        <v>8.3225480000000008E-3</v>
      </c>
      <c r="S1785">
        <v>-3.1187130000000001</v>
      </c>
      <c r="T1785">
        <v>-0.41847800000000002</v>
      </c>
      <c r="U1785">
        <v>0.13040160000000001</v>
      </c>
      <c r="V1785">
        <v>2.327864E-2</v>
      </c>
      <c r="W1785">
        <v>0.1848185</v>
      </c>
      <c r="X1785">
        <v>0.98249690000000001</v>
      </c>
      <c r="Y1785">
        <v>5.6186800000000002E-2</v>
      </c>
      <c r="Z1785">
        <v>5.9143240000000003E-3</v>
      </c>
      <c r="AA1785">
        <v>0.99840280000000003</v>
      </c>
      <c r="AB1785">
        <v>37</v>
      </c>
      <c r="AC1785">
        <v>-0.66809999999998104</v>
      </c>
      <c r="AD1785">
        <v>-0.118947</v>
      </c>
      <c r="AE1785">
        <v>4.0500000000008599E-2</v>
      </c>
      <c r="AF1785">
        <v>4.9026835996926997E-2</v>
      </c>
      <c r="AG1785">
        <v>-0.118947</v>
      </c>
      <c r="AH1785">
        <v>0.64698039372181404</v>
      </c>
      <c r="AI1785">
        <v>100.388333223156</v>
      </c>
      <c r="AJ1785">
        <v>85.666526372403496</v>
      </c>
      <c r="AK1785">
        <v>0.65964812537996598</v>
      </c>
      <c r="AL1785">
        <v>79.349448891777499</v>
      </c>
      <c r="AM1785">
        <v>88.642725154992206</v>
      </c>
      <c r="AN1785">
        <v>0.99999996576605399</v>
      </c>
    </row>
    <row r="1786" spans="1:40" x14ac:dyDescent="0.25">
      <c r="A1786" t="str">
        <f>"20190303162815426"</f>
        <v>20190303162815426</v>
      </c>
      <c r="B1786" t="str">
        <f>"1551601695413711"</f>
        <v>1551601695413711</v>
      </c>
      <c r="C1786" t="s">
        <v>40</v>
      </c>
      <c r="D1786">
        <v>4.8204459999999996</v>
      </c>
      <c r="E1786">
        <v>0.50703849999999995</v>
      </c>
      <c r="F1786" t="s">
        <v>44</v>
      </c>
      <c r="G1786">
        <v>-283.40949999999998</v>
      </c>
      <c r="H1786">
        <v>1.0187459999999999</v>
      </c>
      <c r="I1786">
        <v>283.31229999999999</v>
      </c>
      <c r="J1786">
        <v>-282.7285</v>
      </c>
      <c r="K1786">
        <v>1.120498</v>
      </c>
      <c r="L1786">
        <v>283.274</v>
      </c>
      <c r="M1786">
        <v>-0.99983010000000005</v>
      </c>
      <c r="N1786">
        <v>-1.1239600000000001E-2</v>
      </c>
      <c r="O1786">
        <v>-1.460817E-2</v>
      </c>
      <c r="P1786">
        <v>-0.98466580000000004</v>
      </c>
      <c r="Q1786">
        <v>0.17433109999999999</v>
      </c>
      <c r="R1786">
        <v>6.4683969999999999E-3</v>
      </c>
      <c r="S1786">
        <v>-3.1009829999999998</v>
      </c>
      <c r="T1786">
        <v>-0.31392809999999999</v>
      </c>
      <c r="U1786">
        <v>0.1031189</v>
      </c>
      <c r="V1786">
        <v>2.1007680000000001E-2</v>
      </c>
      <c r="W1786">
        <v>0.1853677</v>
      </c>
      <c r="X1786">
        <v>0.9824446</v>
      </c>
      <c r="Y1786">
        <v>4.7504119999999997E-2</v>
      </c>
      <c r="Z1786">
        <v>3.9765169999999997E-3</v>
      </c>
      <c r="AA1786">
        <v>0.9988631</v>
      </c>
      <c r="AB1786">
        <v>37</v>
      </c>
      <c r="AC1786">
        <v>-0.68099999999998295</v>
      </c>
      <c r="AD1786">
        <v>-0.101752</v>
      </c>
      <c r="AE1786">
        <v>3.8299999999992403E-2</v>
      </c>
      <c r="AF1786">
        <v>4.71944114462374E-2</v>
      </c>
      <c r="AG1786">
        <v>-0.101752</v>
      </c>
      <c r="AH1786">
        <v>0.66555609894158096</v>
      </c>
      <c r="AI1786">
        <v>98.670788104257099</v>
      </c>
      <c r="AJ1786">
        <v>85.943960131596597</v>
      </c>
      <c r="AK1786">
        <v>0.67494125878782396</v>
      </c>
      <c r="AL1786">
        <v>79.317428595743394</v>
      </c>
      <c r="AM1786">
        <v>88.775027110015202</v>
      </c>
      <c r="AN1786">
        <v>0.99999994944571502</v>
      </c>
    </row>
    <row r="1787" spans="1:40" x14ac:dyDescent="0.25">
      <c r="A1787" t="str">
        <f>"20190303162815447"</f>
        <v>20190303162815447</v>
      </c>
      <c r="B1787" t="str">
        <f>"1551601695442991"</f>
        <v>1551601695442991</v>
      </c>
      <c r="C1787" t="s">
        <v>40</v>
      </c>
      <c r="D1787">
        <v>4.8407429999999998</v>
      </c>
      <c r="E1787">
        <v>0.50601770000000001</v>
      </c>
      <c r="F1787" t="s">
        <v>49</v>
      </c>
      <c r="G1787">
        <v>-301.5686</v>
      </c>
      <c r="H1787" s="1">
        <v>3.7702750000000001E-6</v>
      </c>
      <c r="I1787">
        <v>283.65649999999999</v>
      </c>
      <c r="J1787">
        <v>-283.09840000000003</v>
      </c>
      <c r="K1787">
        <v>1.120366</v>
      </c>
      <c r="L1787">
        <v>283.26920000000001</v>
      </c>
      <c r="M1787">
        <v>-0.99983979999999995</v>
      </c>
      <c r="N1787">
        <v>-1.1244189999999999E-2</v>
      </c>
      <c r="O1787">
        <v>-1.392796E-2</v>
      </c>
      <c r="P1787">
        <v>-0.98448409999999997</v>
      </c>
      <c r="Q1787">
        <v>0.17537559999999999</v>
      </c>
      <c r="R1787">
        <v>5.8906260000000004E-3</v>
      </c>
      <c r="S1787">
        <v>-3.078735</v>
      </c>
      <c r="T1787">
        <v>-0.18310499999999999</v>
      </c>
      <c r="U1787">
        <v>6.25E-2</v>
      </c>
      <c r="V1787">
        <v>1.9820810000000001E-2</v>
      </c>
      <c r="W1787">
        <v>0.18640970000000001</v>
      </c>
      <c r="X1787">
        <v>0.98227209999999998</v>
      </c>
      <c r="Y1787">
        <v>3.413248E-2</v>
      </c>
      <c r="Z1787">
        <v>1.8771840000000001E-3</v>
      </c>
      <c r="AA1787">
        <v>0.99941559999999896</v>
      </c>
      <c r="AB1787">
        <v>37</v>
      </c>
      <c r="AC1787">
        <v>-18.470199999999899</v>
      </c>
      <c r="AD1787">
        <v>-1.120362229725</v>
      </c>
      <c r="AE1787">
        <v>0.38729999999998199</v>
      </c>
      <c r="AF1787">
        <v>0.64216915166985999</v>
      </c>
      <c r="AG1787">
        <v>-1.120362229725</v>
      </c>
      <c r="AH1787">
        <v>18.395359918748401</v>
      </c>
      <c r="AI1787">
        <v>93.483155480669694</v>
      </c>
      <c r="AJ1787">
        <v>88.000656310846793</v>
      </c>
      <c r="AK1787">
        <v>18.440630663983502</v>
      </c>
      <c r="AL1787">
        <v>79.256667478513094</v>
      </c>
      <c r="AM1787">
        <v>88.844012100179597</v>
      </c>
      <c r="AN1787">
        <v>0.99999995960077703</v>
      </c>
    </row>
    <row r="1788" spans="1:40" x14ac:dyDescent="0.25">
      <c r="A1788" t="str">
        <f>"20190303162815460"</f>
        <v>20190303162815460</v>
      </c>
      <c r="B1788" t="str">
        <f>"1551601695453726"</f>
        <v>1551601695453726</v>
      </c>
      <c r="C1788" t="s">
        <v>40</v>
      </c>
      <c r="D1788">
        <v>4.8535969999999997</v>
      </c>
      <c r="E1788">
        <v>0.50524670000000005</v>
      </c>
      <c r="F1788" t="s">
        <v>49</v>
      </c>
      <c r="G1788">
        <v>-311.70870000000002</v>
      </c>
      <c r="H1788" s="1">
        <v>3.0481270000000002E-6</v>
      </c>
      <c r="I1788">
        <v>283.77659999999997</v>
      </c>
      <c r="J1788">
        <v>-283.31450000000001</v>
      </c>
      <c r="K1788">
        <v>1.120293</v>
      </c>
      <c r="L1788">
        <v>283.26650000000001</v>
      </c>
      <c r="M1788">
        <v>-0.99984600000000001</v>
      </c>
      <c r="N1788">
        <v>-1.124669E-2</v>
      </c>
      <c r="O1788">
        <v>-1.347549E-2</v>
      </c>
      <c r="P1788">
        <v>-0.98439480000000001</v>
      </c>
      <c r="Q1788">
        <v>0.1758555</v>
      </c>
      <c r="R1788">
        <v>6.4555510000000003E-3</v>
      </c>
      <c r="S1788">
        <v>-3.0683289999999999</v>
      </c>
      <c r="T1788">
        <v>-0.120154</v>
      </c>
      <c r="U1788">
        <v>5.4412839999999997E-2</v>
      </c>
      <c r="V1788">
        <v>1.997465E-2</v>
      </c>
      <c r="W1788">
        <v>0.18688660000000001</v>
      </c>
      <c r="X1788">
        <v>0.98217840000000001</v>
      </c>
      <c r="Y1788">
        <v>3.1167540000000001E-2</v>
      </c>
      <c r="Z1788">
        <v>1.161289E-3</v>
      </c>
      <c r="AA1788">
        <v>0.99951350000000005</v>
      </c>
      <c r="AB1788">
        <v>37</v>
      </c>
      <c r="AC1788">
        <v>-28.394200000000001</v>
      </c>
      <c r="AD1788">
        <v>-1.1202899518730001</v>
      </c>
      <c r="AE1788">
        <v>0.51009999999996503</v>
      </c>
      <c r="AF1788">
        <v>0.891316563571669</v>
      </c>
      <c r="AG1788">
        <v>-1.1202899518730001</v>
      </c>
      <c r="AH1788">
        <v>28.340643930904498</v>
      </c>
      <c r="AI1788">
        <v>92.262574317589099</v>
      </c>
      <c r="AJ1788">
        <v>88.198634798063495</v>
      </c>
      <c r="AK1788">
        <v>28.376779119750001</v>
      </c>
      <c r="AL1788">
        <v>79.228854780745095</v>
      </c>
      <c r="AM1788">
        <v>88.834931210927806</v>
      </c>
      <c r="AN1788">
        <v>0.99999999866437095</v>
      </c>
    </row>
    <row r="1789" spans="1:40" x14ac:dyDescent="0.25">
      <c r="A1789" t="str">
        <f>"20190303162815473"</f>
        <v>20190303162815473</v>
      </c>
      <c r="B1789" t="str">
        <f>"1551601695463486"</f>
        <v>1551601695463486</v>
      </c>
      <c r="C1789" t="s">
        <v>40</v>
      </c>
      <c r="D1789">
        <v>4.8424069999999997</v>
      </c>
      <c r="E1789">
        <v>0.50473080000000003</v>
      </c>
      <c r="F1789" t="s">
        <v>49</v>
      </c>
      <c r="G1789">
        <v>-314.87279999999998</v>
      </c>
      <c r="H1789" s="1">
        <v>4.4507749999999998E-6</v>
      </c>
      <c r="I1789">
        <v>283.78250000000003</v>
      </c>
      <c r="J1789">
        <v>-283.5104</v>
      </c>
      <c r="K1789">
        <v>1.120234</v>
      </c>
      <c r="L1789">
        <v>283.26429999999999</v>
      </c>
      <c r="M1789">
        <v>-0.99985210000000002</v>
      </c>
      <c r="N1789">
        <v>-1.1248930000000001E-2</v>
      </c>
      <c r="O1789">
        <v>-1.3018770000000001E-2</v>
      </c>
      <c r="P1789">
        <v>-0.98434639999999995</v>
      </c>
      <c r="Q1789">
        <v>0.17610729999999999</v>
      </c>
      <c r="R1789">
        <v>6.9732989999999996E-3</v>
      </c>
      <c r="S1789">
        <v>-3.0666500000000001</v>
      </c>
      <c r="T1789">
        <v>-0.108862899999999</v>
      </c>
      <c r="U1789">
        <v>5.0140379999999998E-2</v>
      </c>
      <c r="V1789">
        <v>2.0071950000000002E-2</v>
      </c>
      <c r="W1789">
        <v>0.18713669999999999</v>
      </c>
      <c r="X1789">
        <v>0.98212880000000002</v>
      </c>
      <c r="Y1789">
        <v>2.9336339999999999E-2</v>
      </c>
      <c r="Z1789">
        <v>1.001161E-3</v>
      </c>
      <c r="AA1789">
        <v>0.99956909999999999</v>
      </c>
      <c r="AB1789">
        <v>37</v>
      </c>
      <c r="AC1789">
        <v>-31.362399999999901</v>
      </c>
      <c r="AD1789">
        <v>-1.1202295492249901</v>
      </c>
      <c r="AE1789">
        <v>0.51820000000003497</v>
      </c>
      <c r="AF1789">
        <v>0.92530152242795605</v>
      </c>
      <c r="AG1789">
        <v>-1.1202295492249901</v>
      </c>
      <c r="AH1789">
        <v>31.313055541474998</v>
      </c>
      <c r="AI1789">
        <v>92.047998632779993</v>
      </c>
      <c r="AJ1789">
        <v>88.307400924194098</v>
      </c>
      <c r="AK1789">
        <v>31.346746952337199</v>
      </c>
      <c r="AL1789">
        <v>79.214267812780804</v>
      </c>
      <c r="AM1789">
        <v>88.829198424603305</v>
      </c>
      <c r="AN1789">
        <v>1.0000000037265599</v>
      </c>
    </row>
    <row r="1790" spans="1:40" x14ac:dyDescent="0.25">
      <c r="A1790" t="str">
        <f>"20190303162815487"</f>
        <v>20190303162815487</v>
      </c>
      <c r="B1790" t="str">
        <f>"1551601695473247"</f>
        <v>1551601695473247</v>
      </c>
      <c r="C1790" t="s">
        <v>40</v>
      </c>
      <c r="D1790">
        <v>4.8597340000000004</v>
      </c>
      <c r="E1790">
        <v>0.50435659999999904</v>
      </c>
      <c r="F1790" t="s">
        <v>49</v>
      </c>
      <c r="G1790">
        <v>-317.02960000000002</v>
      </c>
      <c r="H1790" s="1">
        <v>5.40664999999999E-6</v>
      </c>
      <c r="I1790">
        <v>283.78919999999999</v>
      </c>
      <c r="J1790">
        <v>-283.74860000000001</v>
      </c>
      <c r="K1790">
        <v>1.120166</v>
      </c>
      <c r="L1790">
        <v>283.26170000000002</v>
      </c>
      <c r="M1790">
        <v>-0.99985939999999995</v>
      </c>
      <c r="N1790">
        <v>-1.1251570000000001E-2</v>
      </c>
      <c r="O1790">
        <v>-1.2433690000000001E-2</v>
      </c>
      <c r="P1790">
        <v>-0.98425850000000004</v>
      </c>
      <c r="Q1790">
        <v>0.176560299999999</v>
      </c>
      <c r="R1790">
        <v>7.8646989999999993E-3</v>
      </c>
      <c r="S1790">
        <v>-3.0657040000000002</v>
      </c>
      <c r="T1790">
        <v>-0.102457199999999</v>
      </c>
      <c r="U1790">
        <v>4.8004150000000002E-2</v>
      </c>
      <c r="V1790">
        <v>2.0420799999999999E-2</v>
      </c>
      <c r="W1790">
        <v>0.18758730000000001</v>
      </c>
      <c r="X1790">
        <v>0.98203560000000001</v>
      </c>
      <c r="Y1790">
        <v>2.8064269999999999E-2</v>
      </c>
      <c r="Z1790">
        <v>9.0228960000000001E-4</v>
      </c>
      <c r="AA1790">
        <v>0.99960570000000004</v>
      </c>
      <c r="AB1790">
        <v>37</v>
      </c>
      <c r="AC1790">
        <v>-33.280999999999999</v>
      </c>
      <c r="AD1790">
        <v>-1.1201605933499901</v>
      </c>
      <c r="AE1790">
        <v>0.52749999999997499</v>
      </c>
      <c r="AF1790">
        <v>0.94022619173358601</v>
      </c>
      <c r="AG1790">
        <v>-1.1201605933499901</v>
      </c>
      <c r="AH1790">
        <v>33.234228278505803</v>
      </c>
      <c r="AI1790">
        <v>91.929653580848793</v>
      </c>
      <c r="AJ1790">
        <v>88.379483143417403</v>
      </c>
      <c r="AK1790">
        <v>33.266390160556298</v>
      </c>
      <c r="AL1790">
        <v>79.187984431023906</v>
      </c>
      <c r="AM1790">
        <v>88.808742721502895</v>
      </c>
      <c r="AN1790">
        <v>0.999999961930644</v>
      </c>
    </row>
    <row r="1791" spans="1:40" x14ac:dyDescent="0.25">
      <c r="A1791" t="str">
        <f>"20190303162815506"</f>
        <v>20190303162815506</v>
      </c>
      <c r="B1791" t="str">
        <f>"1551601695493742"</f>
        <v>1551601695493742</v>
      </c>
      <c r="C1791" t="s">
        <v>40</v>
      </c>
      <c r="D1791">
        <v>4.8214589999999999</v>
      </c>
      <c r="E1791">
        <v>0.50373760000000001</v>
      </c>
      <c r="F1791" t="s">
        <v>49</v>
      </c>
      <c r="G1791">
        <v>-319.07139999999998</v>
      </c>
      <c r="H1791" s="1">
        <v>6.3097300000000003E-6</v>
      </c>
      <c r="I1791">
        <v>283.81630000000001</v>
      </c>
      <c r="J1791">
        <v>-284.0598</v>
      </c>
      <c r="K1791">
        <v>1.12009</v>
      </c>
      <c r="L1791">
        <v>283.25850000000003</v>
      </c>
      <c r="M1791">
        <v>-0.99986949999999997</v>
      </c>
      <c r="N1791">
        <v>-1.125484E-2</v>
      </c>
      <c r="O1791">
        <v>-1.1604359999999999E-2</v>
      </c>
      <c r="P1791">
        <v>-0.98406899999999997</v>
      </c>
      <c r="Q1791">
        <v>0.17752009999999999</v>
      </c>
      <c r="R1791">
        <v>9.7756879999999994E-3</v>
      </c>
      <c r="S1791">
        <v>-3.064972</v>
      </c>
      <c r="T1791">
        <v>-9.7196580000000005E-2</v>
      </c>
      <c r="U1791">
        <v>4.8126219999999997E-2</v>
      </c>
      <c r="V1791">
        <v>2.1554150000000001E-2</v>
      </c>
      <c r="W1791">
        <v>0.1885413</v>
      </c>
      <c r="X1791">
        <v>0.9818287</v>
      </c>
      <c r="Y1791">
        <v>2.7281679999999999E-2</v>
      </c>
      <c r="Z1791">
        <v>8.2334179999999995E-4</v>
      </c>
      <c r="AA1791">
        <v>0.9996275</v>
      </c>
      <c r="AB1791">
        <v>37</v>
      </c>
      <c r="AC1791">
        <v>-35.011599999999902</v>
      </c>
      <c r="AD1791">
        <v>-1.12008369027</v>
      </c>
      <c r="AE1791">
        <v>0.55779999999998597</v>
      </c>
      <c r="AF1791">
        <v>0.96308986366751304</v>
      </c>
      <c r="AG1791">
        <v>-1.12008369027</v>
      </c>
      <c r="AH1791">
        <v>34.96699020874</v>
      </c>
      <c r="AI1791">
        <v>91.8340105262604</v>
      </c>
      <c r="AJ1791">
        <v>88.422310958729895</v>
      </c>
      <c r="AK1791">
        <v>34.998179007154498</v>
      </c>
      <c r="AL1791">
        <v>79.132331631924302</v>
      </c>
      <c r="AM1791">
        <v>88.742383990166203</v>
      </c>
      <c r="AN1791">
        <v>0.999999999665801</v>
      </c>
    </row>
    <row r="1792" spans="1:40" x14ac:dyDescent="0.25">
      <c r="A1792" t="str">
        <f>"20190303162815528"</f>
        <v>20190303162815528</v>
      </c>
      <c r="B1792" t="str">
        <f>"1551601695513262"</f>
        <v>1551601695513262</v>
      </c>
      <c r="C1792" t="s">
        <v>40</v>
      </c>
      <c r="D1792">
        <v>5.042338</v>
      </c>
      <c r="E1792">
        <v>0.50337540000000003</v>
      </c>
      <c r="F1792" t="s">
        <v>48</v>
      </c>
      <c r="G1792">
        <v>-322.76519999999999</v>
      </c>
      <c r="H1792" s="1">
        <v>-3.3057879999999999E-8</v>
      </c>
      <c r="I1792">
        <v>283.87920000000003</v>
      </c>
      <c r="J1792">
        <v>-284.41980000000001</v>
      </c>
      <c r="K1792">
        <v>1.1200110000000001</v>
      </c>
      <c r="L1792">
        <v>283.25529999999998</v>
      </c>
      <c r="M1792">
        <v>-0.99988080000000001</v>
      </c>
      <c r="N1792">
        <v>-1.125832E-2</v>
      </c>
      <c r="O1792">
        <v>-1.0578189999999999E-2</v>
      </c>
      <c r="P1792">
        <v>-0.98380919999999905</v>
      </c>
      <c r="Q1792">
        <v>0.17880209999999999</v>
      </c>
      <c r="R1792">
        <v>1.222994E-2</v>
      </c>
      <c r="S1792">
        <v>-3.0640559999999999</v>
      </c>
      <c r="T1792">
        <v>-8.8670250000000006E-2</v>
      </c>
      <c r="U1792">
        <v>4.9133299999999998E-2</v>
      </c>
      <c r="V1792">
        <v>2.3035239999999998E-2</v>
      </c>
      <c r="W1792">
        <v>0.18981680000000001</v>
      </c>
      <c r="X1792">
        <v>0.98154929999999996</v>
      </c>
      <c r="Y1792">
        <v>2.65928E-2</v>
      </c>
      <c r="Z1792">
        <v>7.2139649999999997E-4</v>
      </c>
      <c r="AA1792">
        <v>0.99964609999999998</v>
      </c>
      <c r="AB1792">
        <v>37</v>
      </c>
      <c r="AC1792">
        <v>-38.345399999999898</v>
      </c>
      <c r="AD1792">
        <v>-1.1200110330578701</v>
      </c>
      <c r="AE1792">
        <v>0.62390000000004797</v>
      </c>
      <c r="AF1792">
        <v>1.02863833482378</v>
      </c>
      <c r="AG1792">
        <v>-1.1200110330578701</v>
      </c>
      <c r="AH1792">
        <v>38.303984286297101</v>
      </c>
      <c r="AI1792">
        <v>91.674251909171005</v>
      </c>
      <c r="AJ1792">
        <v>88.461714239841598</v>
      </c>
      <c r="AK1792">
        <v>38.334158837033698</v>
      </c>
      <c r="AL1792">
        <v>79.057907325002404</v>
      </c>
      <c r="AM1792">
        <v>88.655615351139502</v>
      </c>
      <c r="AN1792">
        <v>1.0000000340872901</v>
      </c>
    </row>
    <row r="1793" spans="1:40" x14ac:dyDescent="0.25">
      <c r="A1793" t="str">
        <f>"20190303162815550"</f>
        <v>20190303162815550</v>
      </c>
      <c r="B1793" t="str">
        <f>"1551601695543519"</f>
        <v>1551601695543519</v>
      </c>
      <c r="C1793" t="s">
        <v>40</v>
      </c>
      <c r="D1793">
        <v>4.8796330000000001</v>
      </c>
      <c r="E1793">
        <v>0.50311570000000005</v>
      </c>
      <c r="F1793" t="s">
        <v>48</v>
      </c>
      <c r="G1793">
        <v>-326.904</v>
      </c>
      <c r="H1793" s="1">
        <v>2.164333E-6</v>
      </c>
      <c r="I1793">
        <v>283.99470000000002</v>
      </c>
      <c r="J1793">
        <v>-284.7817</v>
      </c>
      <c r="K1793">
        <v>1.119947</v>
      </c>
      <c r="L1793">
        <v>283.25240000000002</v>
      </c>
      <c r="M1793">
        <v>-0.99989159999999999</v>
      </c>
      <c r="N1793">
        <v>-1.1261510000000001E-2</v>
      </c>
      <c r="O1793">
        <v>-9.5015480000000003E-3</v>
      </c>
      <c r="P1793">
        <v>-0.98360110000000001</v>
      </c>
      <c r="Q1793">
        <v>0.17970449999999999</v>
      </c>
      <c r="R1793">
        <v>1.535772E-2</v>
      </c>
      <c r="S1793">
        <v>-3.0633849999999998</v>
      </c>
      <c r="T1793">
        <v>-8.0759999999999998E-2</v>
      </c>
      <c r="U1793">
        <v>5.3314210000000001E-2</v>
      </c>
      <c r="V1793">
        <v>2.5133320000000001E-2</v>
      </c>
      <c r="W1793">
        <v>0.19071179999999999</v>
      </c>
      <c r="X1793">
        <v>0.98132430000000004</v>
      </c>
      <c r="Y1793">
        <v>2.6886569999999999E-2</v>
      </c>
      <c r="Z1793">
        <v>6.4920609999999997E-4</v>
      </c>
      <c r="AA1793">
        <v>0.99963829999999998</v>
      </c>
      <c r="AB1793">
        <v>37</v>
      </c>
      <c r="AC1793">
        <v>-42.122300000000003</v>
      </c>
      <c r="AD1793">
        <v>-1.1199448356669901</v>
      </c>
      <c r="AE1793">
        <v>0.74229999999999996</v>
      </c>
      <c r="AF1793">
        <v>1.1417120153165901</v>
      </c>
      <c r="AG1793">
        <v>-1.1199448356669901</v>
      </c>
      <c r="AH1793">
        <v>42.083604456689898</v>
      </c>
      <c r="AI1793">
        <v>91.523856775678297</v>
      </c>
      <c r="AJ1793">
        <v>88.445968710941202</v>
      </c>
      <c r="AK1793">
        <v>42.113982794648898</v>
      </c>
      <c r="AL1793">
        <v>79.005673374211</v>
      </c>
      <c r="AM1793">
        <v>88.532882127800306</v>
      </c>
      <c r="AN1793">
        <v>1.0000000281019701</v>
      </c>
    </row>
    <row r="1794" spans="1:40" x14ac:dyDescent="0.25">
      <c r="A1794" t="str">
        <f>"20190303162815564"</f>
        <v>20190303162815564</v>
      </c>
      <c r="B1794" t="str">
        <f>"1551601695553279"</f>
        <v>1551601695553279</v>
      </c>
      <c r="C1794" t="s">
        <v>40</v>
      </c>
      <c r="D1794">
        <v>4.8423020000000001</v>
      </c>
      <c r="E1794">
        <v>0.50299380000000005</v>
      </c>
      <c r="F1794" t="s">
        <v>48</v>
      </c>
      <c r="G1794">
        <v>-329.91899999999998</v>
      </c>
      <c r="H1794" s="1">
        <v>3.7622499999999999E-6</v>
      </c>
      <c r="I1794">
        <v>284.1438</v>
      </c>
      <c r="J1794">
        <v>-285.02210000000002</v>
      </c>
      <c r="K1794">
        <v>1.1199129999999999</v>
      </c>
      <c r="L1794">
        <v>283.25069999999999</v>
      </c>
      <c r="M1794">
        <v>-0.99989819999999996</v>
      </c>
      <c r="N1794">
        <v>-1.1263479999999999E-2</v>
      </c>
      <c r="O1794">
        <v>-8.7723509999999994E-3</v>
      </c>
      <c r="P1794">
        <v>-0.98359200000000002</v>
      </c>
      <c r="Q1794">
        <v>0.17958070000000001</v>
      </c>
      <c r="R1794">
        <v>1.7252690000000001E-2</v>
      </c>
      <c r="S1794">
        <v>-3.0629580000000001</v>
      </c>
      <c r="T1794">
        <v>-7.5997949999999995E-2</v>
      </c>
      <c r="U1794">
        <v>6.0485839999999999E-2</v>
      </c>
      <c r="V1794">
        <v>2.6326829999999999E-2</v>
      </c>
      <c r="W1794">
        <v>0.190585</v>
      </c>
      <c r="X1794">
        <v>0.98131760000000001</v>
      </c>
      <c r="Y1794">
        <v>2.8500560000000001E-2</v>
      </c>
      <c r="Z1794">
        <v>6.3286859999999996E-4</v>
      </c>
      <c r="AA1794">
        <v>0.99959359999999997</v>
      </c>
      <c r="AB1794">
        <v>37</v>
      </c>
      <c r="AC1794">
        <v>-44.896900000000002</v>
      </c>
      <c r="AD1794">
        <v>-1.11990923775</v>
      </c>
      <c r="AE1794">
        <v>0.893100000000004</v>
      </c>
      <c r="AF1794">
        <v>1.2861420104380401</v>
      </c>
      <c r="AG1794">
        <v>-1.11990923775</v>
      </c>
      <c r="AH1794">
        <v>44.859436474187099</v>
      </c>
      <c r="AI1794">
        <v>91.429496509768796</v>
      </c>
      <c r="AJ1794">
        <v>88.357751820576595</v>
      </c>
      <c r="AK1794">
        <v>44.891841115657499</v>
      </c>
      <c r="AL1794">
        <v>79.013073777781599</v>
      </c>
      <c r="AM1794">
        <v>88.463235030071502</v>
      </c>
      <c r="AN1794">
        <v>0.99999998813630397</v>
      </c>
    </row>
    <row r="1795" spans="1:40" x14ac:dyDescent="0.25">
      <c r="A1795" t="str">
        <f>"20190303162815584"</f>
        <v>20190303162815584</v>
      </c>
      <c r="B1795" t="str">
        <f>"1551601695572798"</f>
        <v>1551601695572798</v>
      </c>
      <c r="C1795" t="s">
        <v>40</v>
      </c>
      <c r="D1795">
        <v>4.904776</v>
      </c>
      <c r="E1795">
        <v>0.50283859999999903</v>
      </c>
      <c r="F1795" t="s">
        <v>48</v>
      </c>
      <c r="G1795">
        <v>-330.36880000000002</v>
      </c>
      <c r="H1795" s="1">
        <v>-1.3231610000000001E-6</v>
      </c>
      <c r="I1795">
        <v>284.21859999999998</v>
      </c>
      <c r="J1795">
        <v>-285.35669999999999</v>
      </c>
      <c r="K1795">
        <v>1.1198779999999999</v>
      </c>
      <c r="L1795">
        <v>283.24869999999999</v>
      </c>
      <c r="M1795">
        <v>-0.99990659999999998</v>
      </c>
      <c r="N1795">
        <v>-1.126592E-2</v>
      </c>
      <c r="O1795">
        <v>-7.7473940000000003E-3</v>
      </c>
      <c r="P1795">
        <v>-0.98367479999999996</v>
      </c>
      <c r="Q1795">
        <v>0.17883740000000001</v>
      </c>
      <c r="R1795">
        <v>2.0039109999999999E-2</v>
      </c>
      <c r="S1795">
        <v>-3.0627140000000002</v>
      </c>
      <c r="T1795">
        <v>-7.5639010000000007E-2</v>
      </c>
      <c r="U1795">
        <v>6.536865E-2</v>
      </c>
      <c r="V1795">
        <v>2.8121070000000001E-2</v>
      </c>
      <c r="W1795">
        <v>0.1898387</v>
      </c>
      <c r="X1795">
        <v>0.98141250000000002</v>
      </c>
      <c r="Y1795">
        <v>2.90704E-2</v>
      </c>
      <c r="Z1795">
        <v>6.2670979999999998E-4</v>
      </c>
      <c r="AA1795">
        <v>0.99957720000000005</v>
      </c>
      <c r="AB1795">
        <v>37</v>
      </c>
      <c r="AC1795">
        <v>-45.012099999999997</v>
      </c>
      <c r="AD1795">
        <v>-1.119879323161</v>
      </c>
      <c r="AE1795">
        <v>0.96989999999999499</v>
      </c>
      <c r="AF1795">
        <v>1.3178041380646399</v>
      </c>
      <c r="AG1795">
        <v>-1.119879323161</v>
      </c>
      <c r="AH1795">
        <v>44.975407848733099</v>
      </c>
      <c r="AI1795">
        <v>91.425747928397399</v>
      </c>
      <c r="AJ1795">
        <v>88.321682390267</v>
      </c>
      <c r="AK1795">
        <v>45.008644154258</v>
      </c>
      <c r="AL1795">
        <v>79.056629052704096</v>
      </c>
      <c r="AM1795">
        <v>88.358714720838094</v>
      </c>
      <c r="AN1795">
        <v>1.0000000108759399</v>
      </c>
    </row>
    <row r="1796" spans="1:40" x14ac:dyDescent="0.25">
      <c r="A1796" t="str">
        <f>"20190303162815604"</f>
        <v>20190303162815604</v>
      </c>
      <c r="B1796" t="str">
        <f>"1551601695593295"</f>
        <v>1551601695593295</v>
      </c>
      <c r="C1796" t="s">
        <v>40</v>
      </c>
      <c r="D1796">
        <v>4.8019119999999997</v>
      </c>
      <c r="E1796">
        <v>0.5025136</v>
      </c>
      <c r="F1796" t="s">
        <v>48</v>
      </c>
      <c r="G1796">
        <v>-329.78930000000003</v>
      </c>
      <c r="H1796" s="1">
        <v>3.6859210000000001E-6</v>
      </c>
      <c r="I1796">
        <v>284.31139999999999</v>
      </c>
      <c r="J1796">
        <v>-285.67919999999998</v>
      </c>
      <c r="K1796">
        <v>1.119847</v>
      </c>
      <c r="L1796">
        <v>283.24709999999999</v>
      </c>
      <c r="M1796">
        <v>-0.99991370000000002</v>
      </c>
      <c r="N1796">
        <v>-1.126831E-2</v>
      </c>
      <c r="O1796">
        <v>-6.7593899999999997E-3</v>
      </c>
      <c r="P1796">
        <v>-0.98361430000000005</v>
      </c>
      <c r="Q1796">
        <v>0.17893619999999999</v>
      </c>
      <c r="R1796">
        <v>2.2014769999999999E-2</v>
      </c>
      <c r="S1796">
        <v>-3.0622859999999998</v>
      </c>
      <c r="T1796">
        <v>-7.7181459999999993E-2</v>
      </c>
      <c r="U1796">
        <v>7.3242189999999999E-2</v>
      </c>
      <c r="V1796">
        <v>2.9136479999999999E-2</v>
      </c>
      <c r="W1796">
        <v>0.18993470000000001</v>
      </c>
      <c r="X1796">
        <v>0.98136429999999997</v>
      </c>
      <c r="Y1796">
        <v>3.0653260000000002E-2</v>
      </c>
      <c r="Z1796">
        <v>6.531121E-4</v>
      </c>
      <c r="AA1796">
        <v>0.99952980000000002</v>
      </c>
      <c r="AB1796">
        <v>37</v>
      </c>
      <c r="AC1796">
        <v>-44.110100000000003</v>
      </c>
      <c r="AD1796">
        <v>-1.1198433140790001</v>
      </c>
      <c r="AE1796">
        <v>1.0643</v>
      </c>
      <c r="AF1796">
        <v>1.36157491646023</v>
      </c>
      <c r="AG1796">
        <v>-1.1198433140790001</v>
      </c>
      <c r="AH1796">
        <v>44.073507841453399</v>
      </c>
      <c r="AI1796">
        <v>91.454794956686598</v>
      </c>
      <c r="AJ1796">
        <v>88.230508620760801</v>
      </c>
      <c r="AK1796">
        <v>44.108752291941698</v>
      </c>
      <c r="AL1796">
        <v>79.051026686604104</v>
      </c>
      <c r="AM1796">
        <v>88.2994010701929</v>
      </c>
      <c r="AN1796">
        <v>1.00000000702268</v>
      </c>
    </row>
    <row r="1797" spans="1:40" x14ac:dyDescent="0.25">
      <c r="A1797" t="str">
        <f>"20190303162815616"</f>
        <v>20190303162815616</v>
      </c>
      <c r="B1797" t="str">
        <f>"1551601695603054"</f>
        <v>1551601695603054</v>
      </c>
      <c r="C1797" t="s">
        <v>40</v>
      </c>
      <c r="D1797">
        <v>4.9538149999999996</v>
      </c>
      <c r="E1797">
        <v>0.50238279999999902</v>
      </c>
      <c r="F1797" t="s">
        <v>48</v>
      </c>
      <c r="G1797">
        <v>-331.06720000000001</v>
      </c>
      <c r="H1797" s="1">
        <v>-9.5929370000000009E-7</v>
      </c>
      <c r="I1797">
        <v>284.3974</v>
      </c>
      <c r="J1797">
        <v>-285.90030000000002</v>
      </c>
      <c r="K1797">
        <v>1.1198360000000001</v>
      </c>
      <c r="L1797">
        <v>283.24619999999999</v>
      </c>
      <c r="M1797">
        <v>-0.99991810000000003</v>
      </c>
      <c r="N1797">
        <v>-1.1269909999999999E-2</v>
      </c>
      <c r="O1797">
        <v>-6.0864609999999996E-3</v>
      </c>
      <c r="P1797">
        <v>-0.98360159999999996</v>
      </c>
      <c r="Q1797">
        <v>0.1789182</v>
      </c>
      <c r="R1797">
        <v>2.2727270000000001E-2</v>
      </c>
      <c r="S1797">
        <v>-3.0619809999999998</v>
      </c>
      <c r="T1797">
        <v>-7.5547580000000003E-2</v>
      </c>
      <c r="U1797">
        <v>7.76062E-2</v>
      </c>
      <c r="V1797">
        <v>2.9193130000000001E-2</v>
      </c>
      <c r="W1797">
        <v>0.1899169</v>
      </c>
      <c r="X1797">
        <v>0.98136599999999996</v>
      </c>
      <c r="Y1797">
        <v>3.1406919999999998E-2</v>
      </c>
      <c r="Z1797">
        <v>6.4592329999999996E-4</v>
      </c>
      <c r="AA1797">
        <v>0.99950649999999996</v>
      </c>
      <c r="AB1797">
        <v>37</v>
      </c>
      <c r="AC1797">
        <v>-45.166899999999998</v>
      </c>
      <c r="AD1797">
        <v>-1.1198369592937001</v>
      </c>
      <c r="AE1797">
        <v>1.15120000000001</v>
      </c>
      <c r="AF1797">
        <v>1.4252271428724701</v>
      </c>
      <c r="AG1797">
        <v>-1.1198369592937001</v>
      </c>
      <c r="AH1797">
        <v>45.131331513862001</v>
      </c>
      <c r="AI1797">
        <v>91.420671998494299</v>
      </c>
      <c r="AJ1797">
        <v>88.191226180155397</v>
      </c>
      <c r="AK1797">
        <v>45.167714038218598</v>
      </c>
      <c r="AL1797">
        <v>79.052064791839697</v>
      </c>
      <c r="AM1797">
        <v>88.296099496222396</v>
      </c>
      <c r="AN1797">
        <v>0.99999994685040205</v>
      </c>
    </row>
    <row r="1798" spans="1:40" x14ac:dyDescent="0.25">
      <c r="A1798" t="str">
        <f>"20190303162815638"</f>
        <v>20190303162815638</v>
      </c>
      <c r="B1798" t="str">
        <f>"1551601695633312"</f>
        <v>1551601695633312</v>
      </c>
      <c r="C1798" t="s">
        <v>40</v>
      </c>
      <c r="D1798">
        <v>5.046672</v>
      </c>
      <c r="E1798">
        <v>0.50213430000000003</v>
      </c>
      <c r="F1798" t="s">
        <v>48</v>
      </c>
      <c r="G1798">
        <v>-331.48790000000002</v>
      </c>
      <c r="H1798" s="1">
        <v>-7.3640180000000002E-7</v>
      </c>
      <c r="I1798">
        <v>284.41930000000002</v>
      </c>
      <c r="J1798">
        <v>-286.24709999999999</v>
      </c>
      <c r="K1798">
        <v>1.1198239999999999</v>
      </c>
      <c r="L1798">
        <v>283.245</v>
      </c>
      <c r="M1798">
        <v>-0.99992380000000003</v>
      </c>
      <c r="N1798">
        <v>-1.127248E-2</v>
      </c>
      <c r="O1798">
        <v>-5.037283E-3</v>
      </c>
      <c r="P1798">
        <v>-0.98343910000000001</v>
      </c>
      <c r="Q1798">
        <v>0.17974570000000001</v>
      </c>
      <c r="R1798">
        <v>2.3209359999999998E-2</v>
      </c>
      <c r="S1798">
        <v>-3.06189</v>
      </c>
      <c r="T1798">
        <v>-7.5213790000000003E-2</v>
      </c>
      <c r="U1798">
        <v>7.8796389999999994E-2</v>
      </c>
      <c r="V1798">
        <v>2.8652299999999901E-2</v>
      </c>
      <c r="W1798">
        <v>0.1907459</v>
      </c>
      <c r="X1798">
        <v>0.98122120000000002</v>
      </c>
      <c r="Y1798">
        <v>3.0747679999999999E-2</v>
      </c>
      <c r="Z1798">
        <v>6.1783599999999997E-4</v>
      </c>
      <c r="AA1798">
        <v>0.99952700000000005</v>
      </c>
      <c r="AB1798">
        <v>37</v>
      </c>
      <c r="AC1798">
        <v>-45.2408</v>
      </c>
      <c r="AD1798">
        <v>-1.1198247364017999</v>
      </c>
      <c r="AE1798">
        <v>1.1743000000000099</v>
      </c>
      <c r="AF1798">
        <v>1.4013322852336201</v>
      </c>
      <c r="AG1798">
        <v>-1.1198247364017999</v>
      </c>
      <c r="AH1798">
        <v>45.206631367443002</v>
      </c>
      <c r="AI1798">
        <v>91.418316859391297</v>
      </c>
      <c r="AJ1798">
        <v>88.224492269863703</v>
      </c>
      <c r="AK1798">
        <v>45.242206612916</v>
      </c>
      <c r="AL1798">
        <v>79.003682716166594</v>
      </c>
      <c r="AM1798">
        <v>88.327401099208799</v>
      </c>
      <c r="AN1798">
        <v>0.99999999799577</v>
      </c>
    </row>
    <row r="1799" spans="1:40" x14ac:dyDescent="0.25">
      <c r="A1799" t="str">
        <f>"20190303162815650"</f>
        <v>20190303162815650</v>
      </c>
      <c r="B1799" t="str">
        <f>"1551601695643071"</f>
        <v>1551601695643071</v>
      </c>
      <c r="C1799" t="s">
        <v>40</v>
      </c>
      <c r="D1799">
        <v>4.9626869999999998</v>
      </c>
      <c r="E1799">
        <v>0.50210540000000004</v>
      </c>
      <c r="F1799" t="s">
        <v>48</v>
      </c>
      <c r="G1799">
        <v>-334.4282</v>
      </c>
      <c r="H1799" s="1">
        <v>8.2522669999999897E-7</v>
      </c>
      <c r="I1799">
        <v>284.4898</v>
      </c>
      <c r="J1799">
        <v>-286.45690000000002</v>
      </c>
      <c r="K1799">
        <v>1.119815</v>
      </c>
      <c r="L1799">
        <v>283.24439999999998</v>
      </c>
      <c r="M1799">
        <v>-0.99992669999999995</v>
      </c>
      <c r="N1799">
        <v>-1.1273989999999999E-2</v>
      </c>
      <c r="O1799">
        <v>-4.407322E-3</v>
      </c>
      <c r="P1799">
        <v>-0.98339659999999995</v>
      </c>
      <c r="Q1799">
        <v>0.17992269999999999</v>
      </c>
      <c r="R1799">
        <v>2.3649509999999999E-2</v>
      </c>
      <c r="S1799">
        <v>-3.0616460000000001</v>
      </c>
      <c r="T1799">
        <v>-7.1158529999999998E-2</v>
      </c>
      <c r="U1799">
        <v>7.9101560000000001E-2</v>
      </c>
      <c r="V1799">
        <v>2.8477019999999999E-2</v>
      </c>
      <c r="W1799">
        <v>0.19092390000000001</v>
      </c>
      <c r="X1799">
        <v>0.9811917</v>
      </c>
      <c r="Y1799">
        <v>3.0221129999999999E-2</v>
      </c>
      <c r="Z1799">
        <v>5.7424449999999997E-4</v>
      </c>
      <c r="AA1799">
        <v>0.99954310000000002</v>
      </c>
      <c r="AB1799">
        <v>37</v>
      </c>
      <c r="AC1799">
        <v>-47.9712999999999</v>
      </c>
      <c r="AD1799">
        <v>-1.1198141747732999</v>
      </c>
      <c r="AE1799">
        <v>1.2454000000000101</v>
      </c>
      <c r="AF1799">
        <v>1.4560334329903399</v>
      </c>
      <c r="AG1799">
        <v>-1.1198141747732999</v>
      </c>
      <c r="AH1799">
        <v>47.939239574668399</v>
      </c>
      <c r="AI1799">
        <v>91.337513980428</v>
      </c>
      <c r="AJ1799">
        <v>88.260320089217402</v>
      </c>
      <c r="AK1799">
        <v>47.974417225657497</v>
      </c>
      <c r="AL1799">
        <v>78.993293309707695</v>
      </c>
      <c r="AM1799">
        <v>88.337577486034604</v>
      </c>
      <c r="AN1799">
        <v>1.0000000142040899</v>
      </c>
    </row>
    <row r="1800" spans="1:40" x14ac:dyDescent="0.25">
      <c r="A1800" t="str">
        <f>"20190303162815663"</f>
        <v>20190303162815663</v>
      </c>
      <c r="B1800" t="str">
        <f>"1551601695652831"</f>
        <v>1551601695652831</v>
      </c>
      <c r="C1800" t="s">
        <v>40</v>
      </c>
      <c r="D1800">
        <v>4.9052709999999999</v>
      </c>
      <c r="E1800">
        <v>0.50205329999999904</v>
      </c>
      <c r="F1800" t="s">
        <v>48</v>
      </c>
      <c r="G1800">
        <v>-335.29809999999998</v>
      </c>
      <c r="H1800" s="1">
        <v>1.286633E-6</v>
      </c>
      <c r="I1800">
        <v>284.52339999999998</v>
      </c>
      <c r="J1800">
        <v>-286.67529999999999</v>
      </c>
      <c r="K1800">
        <v>1.119807</v>
      </c>
      <c r="L1800">
        <v>283.24400000000003</v>
      </c>
      <c r="M1800">
        <v>-0.99992939999999997</v>
      </c>
      <c r="N1800">
        <v>-1.1275520000000001E-2</v>
      </c>
      <c r="O1800">
        <v>-3.7536480000000001E-3</v>
      </c>
      <c r="P1800">
        <v>-0.98335609999999996</v>
      </c>
      <c r="Q1800">
        <v>0.18010139999999999</v>
      </c>
      <c r="R1800">
        <v>2.3964869999999999E-2</v>
      </c>
      <c r="S1800">
        <v>-3.0615540000000001</v>
      </c>
      <c r="T1800">
        <v>-7.0194240000000005E-2</v>
      </c>
      <c r="U1800">
        <v>8.0169679999999993E-2</v>
      </c>
      <c r="V1800">
        <v>2.815312E-2</v>
      </c>
      <c r="W1800">
        <v>0.19110450000000001</v>
      </c>
      <c r="X1800">
        <v>0.98116590000000004</v>
      </c>
      <c r="Y1800">
        <v>2.9917409999999998E-2</v>
      </c>
      <c r="Z1800">
        <v>5.5532059999999998E-4</v>
      </c>
      <c r="AA1800">
        <v>0.9995522</v>
      </c>
      <c r="AB1800">
        <v>37</v>
      </c>
      <c r="AC1800">
        <v>-48.622799999999899</v>
      </c>
      <c r="AD1800">
        <v>-1.1198057133670001</v>
      </c>
      <c r="AE1800">
        <v>1.2793999999999499</v>
      </c>
      <c r="AF1800">
        <v>1.4611410053731599</v>
      </c>
      <c r="AG1800">
        <v>-1.1198057133670001</v>
      </c>
      <c r="AH1800">
        <v>48.591899263353902</v>
      </c>
      <c r="AI1800">
        <v>91.319557716698696</v>
      </c>
      <c r="AJ1800">
        <v>88.277655413220899</v>
      </c>
      <c r="AK1800">
        <v>48.626757776898998</v>
      </c>
      <c r="AL1800">
        <v>78.982751718553303</v>
      </c>
      <c r="AM1800">
        <v>88.356432394988403</v>
      </c>
      <c r="AN1800">
        <v>1.0000000257043899</v>
      </c>
    </row>
    <row r="1801" spans="1:40" x14ac:dyDescent="0.25">
      <c r="A1801" t="str">
        <f>"20190303162815677"</f>
        <v>20190303162815677</v>
      </c>
      <c r="B1801" t="str">
        <f>"1551601695663567"</f>
        <v>1551601695663567</v>
      </c>
      <c r="C1801" t="s">
        <v>40</v>
      </c>
      <c r="D1801">
        <v>4.9867860000000004</v>
      </c>
      <c r="E1801">
        <v>0.50201049999999903</v>
      </c>
      <c r="F1801" t="s">
        <v>48</v>
      </c>
      <c r="G1801">
        <v>-336.4468</v>
      </c>
      <c r="H1801" s="1">
        <v>1.896424E-6</v>
      </c>
      <c r="I1801">
        <v>284.55779999999999</v>
      </c>
      <c r="J1801">
        <v>-286.90339999999998</v>
      </c>
      <c r="K1801">
        <v>1.119801</v>
      </c>
      <c r="L1801">
        <v>283.24380000000002</v>
      </c>
      <c r="M1801">
        <v>-0.99993169999999998</v>
      </c>
      <c r="N1801">
        <v>-1.127715E-2</v>
      </c>
      <c r="O1801">
        <v>-3.077097E-3</v>
      </c>
      <c r="P1801">
        <v>-0.983402</v>
      </c>
      <c r="Q1801">
        <v>0.1798476</v>
      </c>
      <c r="R1801">
        <v>2.3988900000000001E-2</v>
      </c>
      <c r="S1801">
        <v>-3.0614319999999999</v>
      </c>
      <c r="T1801">
        <v>-6.8879010000000004E-2</v>
      </c>
      <c r="U1801">
        <v>8.0810549999999995E-2</v>
      </c>
      <c r="V1801">
        <v>2.751435E-2</v>
      </c>
      <c r="W1801">
        <v>0.1908541</v>
      </c>
      <c r="X1801">
        <v>0.98123269999999996</v>
      </c>
      <c r="Y1801">
        <v>2.9451850000000002E-2</v>
      </c>
      <c r="Z1801">
        <v>5.318683E-4</v>
      </c>
      <c r="AA1801">
        <v>0.99956610000000001</v>
      </c>
      <c r="AB1801">
        <v>37</v>
      </c>
      <c r="AC1801">
        <v>-49.543399999999998</v>
      </c>
      <c r="AD1801">
        <v>-1.119799103576</v>
      </c>
      <c r="AE1801">
        <v>1.3139999999999601</v>
      </c>
      <c r="AF1801">
        <v>1.46570506171223</v>
      </c>
      <c r="AG1801">
        <v>-1.119799103576</v>
      </c>
      <c r="AH1801">
        <v>49.513844602479701</v>
      </c>
      <c r="AI1801">
        <v>91.295006471279805</v>
      </c>
      <c r="AJ1801">
        <v>88.304429838604406</v>
      </c>
      <c r="AK1801">
        <v>49.548189156404199</v>
      </c>
      <c r="AL1801">
        <v>78.997366971444904</v>
      </c>
      <c r="AM1801">
        <v>88.393813057980395</v>
      </c>
      <c r="AN1801">
        <v>0.99999996924600998</v>
      </c>
    </row>
    <row r="1802" spans="1:40" x14ac:dyDescent="0.25">
      <c r="A1802" t="str">
        <f>"20190303162815695"</f>
        <v>20190303162815695</v>
      </c>
      <c r="B1802" t="str">
        <f>"1551601695683087"</f>
        <v>1551601695683087</v>
      </c>
      <c r="C1802" t="s">
        <v>40</v>
      </c>
      <c r="D1802">
        <v>4.9176669999999998</v>
      </c>
      <c r="E1802">
        <v>0.50185479999999905</v>
      </c>
      <c r="F1802" t="s">
        <v>48</v>
      </c>
      <c r="G1802">
        <v>-336.77749999999997</v>
      </c>
      <c r="H1802" s="1">
        <v>2.0725519999999998E-6</v>
      </c>
      <c r="I1802">
        <v>284.55489999999998</v>
      </c>
      <c r="J1802">
        <v>-287.19740000000002</v>
      </c>
      <c r="K1802">
        <v>1.1197979999999901</v>
      </c>
      <c r="L1802">
        <v>283.24360000000001</v>
      </c>
      <c r="M1802">
        <v>-0.99993399999999999</v>
      </c>
      <c r="N1802">
        <v>-1.1279259999999999E-2</v>
      </c>
      <c r="O1802">
        <v>-2.20922E-3</v>
      </c>
      <c r="P1802">
        <v>-0.98347459999999998</v>
      </c>
      <c r="Q1802">
        <v>0.1794364</v>
      </c>
      <c r="R1802">
        <v>2.4089849999999999E-2</v>
      </c>
      <c r="S1802">
        <v>-3.0612789999999999</v>
      </c>
      <c r="T1802">
        <v>-6.8733329999999995E-2</v>
      </c>
      <c r="U1802">
        <v>8.0474850000000001E-2</v>
      </c>
      <c r="V1802">
        <v>2.6764019999999999E-2</v>
      </c>
      <c r="W1802">
        <v>0.1904478</v>
      </c>
      <c r="X1802">
        <v>0.98133239999999999</v>
      </c>
      <c r="Y1802">
        <v>2.8476520000000002E-2</v>
      </c>
      <c r="Z1802">
        <v>5.0492400000000002E-4</v>
      </c>
      <c r="AA1802">
        <v>0.99959430000000005</v>
      </c>
      <c r="AB1802">
        <v>37</v>
      </c>
      <c r="AC1802">
        <v>-49.580099999999902</v>
      </c>
      <c r="AD1802">
        <v>-1.1197959274479901</v>
      </c>
      <c r="AE1802">
        <v>1.3112999999999599</v>
      </c>
      <c r="AF1802">
        <v>1.4201132043134499</v>
      </c>
      <c r="AG1802">
        <v>-1.1197959274479901</v>
      </c>
      <c r="AH1802">
        <v>49.551822697529801</v>
      </c>
      <c r="AI1802">
        <v>91.294046101953796</v>
      </c>
      <c r="AJ1802">
        <v>88.358400904876603</v>
      </c>
      <c r="AK1802">
        <v>49.584814178129498</v>
      </c>
      <c r="AL1802">
        <v>79.0210813173926</v>
      </c>
      <c r="AM1802">
        <v>88.437751215851094</v>
      </c>
      <c r="AN1802">
        <v>0.99999997829057996</v>
      </c>
    </row>
    <row r="1803" spans="1:40" x14ac:dyDescent="0.25">
      <c r="A1803" t="str">
        <f>"20190303162815718"</f>
        <v>20190303162815718</v>
      </c>
      <c r="B1803" t="str">
        <f>"1551601695713343"</f>
        <v>1551601695713343</v>
      </c>
      <c r="C1803" t="s">
        <v>40</v>
      </c>
      <c r="D1803">
        <v>5.0032259999999997</v>
      </c>
      <c r="E1803">
        <v>0.50208260000000005</v>
      </c>
      <c r="F1803" t="s">
        <v>48</v>
      </c>
      <c r="G1803">
        <v>-337.22059999999999</v>
      </c>
      <c r="H1803" s="1">
        <v>2.308523E-6</v>
      </c>
      <c r="I1803">
        <v>284.55079999999998</v>
      </c>
      <c r="J1803">
        <v>-287.56610000000001</v>
      </c>
      <c r="K1803">
        <v>1.119794</v>
      </c>
      <c r="L1803">
        <v>283.24380000000002</v>
      </c>
      <c r="M1803">
        <v>-0.99993580000000004</v>
      </c>
      <c r="N1803">
        <v>-1.1281869999999999E-2</v>
      </c>
      <c r="O1803">
        <v>-1.1344339999999999E-3</v>
      </c>
      <c r="P1803">
        <v>-0.9835315</v>
      </c>
      <c r="Q1803">
        <v>0.1790167</v>
      </c>
      <c r="R1803">
        <v>2.4876659999999998E-2</v>
      </c>
      <c r="S1803">
        <v>-3.0609130000000002</v>
      </c>
      <c r="T1803">
        <v>-6.8520189999999995E-2</v>
      </c>
      <c r="U1803">
        <v>7.9986570000000007E-2</v>
      </c>
      <c r="V1803">
        <v>2.6494380000000001E-2</v>
      </c>
      <c r="W1803">
        <v>0.19003210000000001</v>
      </c>
      <c r="X1803">
        <v>0.98142030000000002</v>
      </c>
      <c r="Y1803">
        <v>2.724646E-2</v>
      </c>
      <c r="Z1803">
        <v>4.712203E-4</v>
      </c>
      <c r="AA1803">
        <v>0.99962870000000004</v>
      </c>
      <c r="AB1803">
        <v>37</v>
      </c>
      <c r="AC1803">
        <v>-49.654499999999899</v>
      </c>
      <c r="AD1803">
        <v>-1.1197916914770001</v>
      </c>
      <c r="AE1803">
        <v>1.30699999999995</v>
      </c>
      <c r="AF1803">
        <v>1.3626399638851401</v>
      </c>
      <c r="AG1803">
        <v>-1.1197916914770001</v>
      </c>
      <c r="AH1803">
        <v>49.6277631498982</v>
      </c>
      <c r="AI1803">
        <v>91.292105262633996</v>
      </c>
      <c r="AJ1803">
        <v>88.427212854100006</v>
      </c>
      <c r="AK1803">
        <v>49.659093793240601</v>
      </c>
      <c r="AL1803">
        <v>79.045342234989903</v>
      </c>
      <c r="AM1803">
        <v>88.453621197231399</v>
      </c>
      <c r="AN1803">
        <v>0.99999997822704201</v>
      </c>
    </row>
    <row r="1804" spans="1:40" x14ac:dyDescent="0.25">
      <c r="A1804" t="str">
        <f>"20190303162815740"</f>
        <v>20190303162815740</v>
      </c>
      <c r="B1804" t="str">
        <f>"1551601695732863"</f>
        <v>1551601695732863</v>
      </c>
      <c r="C1804" t="s">
        <v>40</v>
      </c>
      <c r="D1804">
        <v>5.166023</v>
      </c>
      <c r="E1804">
        <v>0.50213140000000001</v>
      </c>
      <c r="F1804" t="s">
        <v>48</v>
      </c>
      <c r="G1804">
        <v>-333.55590000000001</v>
      </c>
      <c r="H1804" s="1">
        <v>3.601967E-7</v>
      </c>
      <c r="I1804">
        <v>284.50850000000003</v>
      </c>
      <c r="J1804">
        <v>-287.9425</v>
      </c>
      <c r="K1804">
        <v>1.119799</v>
      </c>
      <c r="L1804">
        <v>283.24439999999998</v>
      </c>
      <c r="M1804">
        <v>-0.99993650000000001</v>
      </c>
      <c r="N1804">
        <v>-1.128443E-2</v>
      </c>
      <c r="O1804" s="1">
        <v>-5.7938720000000003E-5</v>
      </c>
      <c r="P1804">
        <v>-0.98343440000000004</v>
      </c>
      <c r="Q1804">
        <v>0.179349799999999</v>
      </c>
      <c r="R1804">
        <v>2.6281220000000001E-2</v>
      </c>
      <c r="S1804">
        <v>-3.0616460000000001</v>
      </c>
      <c r="T1804">
        <v>-7.4547169999999996E-2</v>
      </c>
      <c r="U1804">
        <v>8.4197999999999995E-2</v>
      </c>
      <c r="V1804">
        <v>2.6839249999999999E-2</v>
      </c>
      <c r="W1804">
        <v>0.1903659</v>
      </c>
      <c r="X1804">
        <v>0.98134619999999995</v>
      </c>
      <c r="Y1804">
        <v>2.753649E-2</v>
      </c>
      <c r="Z1804">
        <v>4.9131749999999997E-4</v>
      </c>
      <c r="AA1804">
        <v>0.99962070000000003</v>
      </c>
      <c r="AB1804">
        <v>37</v>
      </c>
      <c r="AC1804">
        <v>-45.613399999999999</v>
      </c>
      <c r="AD1804">
        <v>-1.1197986398033</v>
      </c>
      <c r="AE1804">
        <v>1.26410000000004</v>
      </c>
      <c r="AF1804">
        <v>1.2659805377076201</v>
      </c>
      <c r="AG1804">
        <v>-1.1197986398033</v>
      </c>
      <c r="AH1804">
        <v>45.585873550210202</v>
      </c>
      <c r="AI1804">
        <v>91.406622672112704</v>
      </c>
      <c r="AJ1804">
        <v>88.409228623301203</v>
      </c>
      <c r="AK1804">
        <v>45.617195475514698</v>
      </c>
      <c r="AL1804">
        <v>79.025860895175995</v>
      </c>
      <c r="AM1804">
        <v>88.433384153078094</v>
      </c>
      <c r="AN1804">
        <v>0.99999994273890402</v>
      </c>
    </row>
    <row r="1805" spans="1:40" x14ac:dyDescent="0.25">
      <c r="A1805" t="str">
        <f>"20190303162815762"</f>
        <v>20190303162815762</v>
      </c>
      <c r="B1805" t="str">
        <f>"1551601695753359"</f>
        <v>1551601695753359</v>
      </c>
      <c r="C1805" t="s">
        <v>40</v>
      </c>
      <c r="D1805">
        <v>5.0017319999999996</v>
      </c>
      <c r="E1805">
        <v>0.5021272</v>
      </c>
      <c r="F1805" t="s">
        <v>48</v>
      </c>
      <c r="G1805">
        <v>-334.31529999999998</v>
      </c>
      <c r="H1805" s="1">
        <v>7.6119040000000002E-7</v>
      </c>
      <c r="I1805">
        <v>284.58019999999999</v>
      </c>
      <c r="J1805">
        <v>-288.30579999999998</v>
      </c>
      <c r="K1805">
        <v>1.1198109999999999</v>
      </c>
      <c r="L1805">
        <v>283.24529999999999</v>
      </c>
      <c r="M1805">
        <v>-0.99993589999999999</v>
      </c>
      <c r="N1805">
        <v>-1.128679E-2</v>
      </c>
      <c r="O1805">
        <v>9.5079639999999998E-4</v>
      </c>
      <c r="P1805">
        <v>-0.98336140000000005</v>
      </c>
      <c r="Q1805">
        <v>0.1793825</v>
      </c>
      <c r="R1805">
        <v>2.867921E-2</v>
      </c>
      <c r="S1805">
        <v>-3.0616460000000001</v>
      </c>
      <c r="T1805">
        <v>-7.3931810000000001E-2</v>
      </c>
      <c r="U1805">
        <v>8.8195800000000005E-2</v>
      </c>
      <c r="V1805">
        <v>2.8238539999999999E-2</v>
      </c>
      <c r="W1805">
        <v>0.1903977</v>
      </c>
      <c r="X1805">
        <v>0.98130079999999997</v>
      </c>
      <c r="Y1805">
        <v>2.7832429999999998E-2</v>
      </c>
      <c r="Z1805">
        <v>4.8084439999999999E-4</v>
      </c>
      <c r="AA1805">
        <v>0.99961250000000001</v>
      </c>
      <c r="AB1805">
        <v>37</v>
      </c>
      <c r="AC1805">
        <v>-46.009500000000003</v>
      </c>
      <c r="AD1805">
        <v>-1.1198102388096001</v>
      </c>
      <c r="AE1805">
        <v>1.3349</v>
      </c>
      <c r="AF1805">
        <v>1.2903871999374501</v>
      </c>
      <c r="AG1805">
        <v>-1.1198102388096001</v>
      </c>
      <c r="AH1805">
        <v>45.983532095932901</v>
      </c>
      <c r="AI1805">
        <v>91.394466377056204</v>
      </c>
      <c r="AJ1805">
        <v>88.392591013382798</v>
      </c>
      <c r="AK1805">
        <v>46.015261578245898</v>
      </c>
      <c r="AL1805">
        <v>79.024005354818499</v>
      </c>
      <c r="AM1805">
        <v>88.351674860383696</v>
      </c>
      <c r="AN1805">
        <v>0.99999997969362997</v>
      </c>
    </row>
    <row r="1806" spans="1:40" x14ac:dyDescent="0.25">
      <c r="A1806" t="str">
        <f>"20190303162815784"</f>
        <v>20190303162815784</v>
      </c>
      <c r="B1806" t="str">
        <f>"1551601695772879"</f>
        <v>1551601695772879</v>
      </c>
      <c r="C1806" t="s">
        <v>40</v>
      </c>
      <c r="D1806">
        <v>4.9641590000000004</v>
      </c>
      <c r="E1806">
        <v>0.5022411</v>
      </c>
      <c r="F1806" t="s">
        <v>48</v>
      </c>
      <c r="G1806">
        <v>-335.78710000000001</v>
      </c>
      <c r="H1806" s="1">
        <v>1.538745E-6</v>
      </c>
      <c r="I1806">
        <v>284.70940000000002</v>
      </c>
      <c r="J1806">
        <v>-288.67320000000001</v>
      </c>
      <c r="K1806">
        <v>1.119831</v>
      </c>
      <c r="L1806">
        <v>283.24650000000003</v>
      </c>
      <c r="M1806">
        <v>-0.99993460000000001</v>
      </c>
      <c r="N1806">
        <v>-1.128904E-2</v>
      </c>
      <c r="O1806">
        <v>1.919898E-3</v>
      </c>
      <c r="P1806">
        <v>-0.98353679999999999</v>
      </c>
      <c r="Q1806">
        <v>0.17798929999999999</v>
      </c>
      <c r="R1806">
        <v>3.1231519999999999E-2</v>
      </c>
      <c r="S1806">
        <v>-3.061188</v>
      </c>
      <c r="T1806">
        <v>-7.219565E-2</v>
      </c>
      <c r="U1806">
        <v>9.4390870000000002E-2</v>
      </c>
      <c r="V1806">
        <v>2.981959E-2</v>
      </c>
      <c r="W1806">
        <v>0.1890077</v>
      </c>
      <c r="X1806">
        <v>0.98152269999999997</v>
      </c>
      <c r="Y1806">
        <v>2.888918E-2</v>
      </c>
      <c r="Z1806">
        <v>4.80085E-4</v>
      </c>
      <c r="AA1806">
        <v>0.99958250000000004</v>
      </c>
      <c r="AB1806">
        <v>37</v>
      </c>
      <c r="AC1806">
        <v>-47.113900000000001</v>
      </c>
      <c r="AD1806">
        <v>-1.1198294612549999</v>
      </c>
      <c r="AE1806">
        <v>1.4628999999999901</v>
      </c>
      <c r="AF1806">
        <v>1.3716635046588499</v>
      </c>
      <c r="AG1806">
        <v>-1.1198294612549999</v>
      </c>
      <c r="AH1806">
        <v>47.090044324811501</v>
      </c>
      <c r="AI1806">
        <v>91.361693861496704</v>
      </c>
      <c r="AJ1806">
        <v>88.331530264958701</v>
      </c>
      <c r="AK1806">
        <v>47.123324938983501</v>
      </c>
      <c r="AL1806">
        <v>79.105119234099405</v>
      </c>
      <c r="AM1806">
        <v>88.259835168542395</v>
      </c>
      <c r="AN1806">
        <v>0.99999996461117302</v>
      </c>
    </row>
    <row r="1807" spans="1:40" x14ac:dyDescent="0.25">
      <c r="A1807" t="str">
        <f>"20190303162815797"</f>
        <v>20190303162815797</v>
      </c>
      <c r="B1807" t="str">
        <f>"1551601695783615"</f>
        <v>1551601695783615</v>
      </c>
      <c r="C1807" t="s">
        <v>40</v>
      </c>
      <c r="D1807">
        <v>4.9965349999999997</v>
      </c>
      <c r="E1807">
        <v>0.502382</v>
      </c>
      <c r="F1807" t="s">
        <v>48</v>
      </c>
      <c r="G1807">
        <v>-335.0625</v>
      </c>
      <c r="H1807" s="1">
        <v>1.149317E-6</v>
      </c>
      <c r="I1807">
        <v>284.79669999999999</v>
      </c>
      <c r="J1807">
        <v>-288.8997</v>
      </c>
      <c r="K1807">
        <v>1.1198570000000001</v>
      </c>
      <c r="L1807">
        <v>283.2475</v>
      </c>
      <c r="M1807">
        <v>-0.99993319999999997</v>
      </c>
      <c r="N1807">
        <v>-1.129018E-2</v>
      </c>
      <c r="O1807">
        <v>2.4751230000000001E-3</v>
      </c>
      <c r="P1807">
        <v>-0.98367939999999998</v>
      </c>
      <c r="Q1807">
        <v>0.17693349999999999</v>
      </c>
      <c r="R1807">
        <v>3.2704209999999997E-2</v>
      </c>
      <c r="S1807">
        <v>-3.0603030000000002</v>
      </c>
      <c r="T1807">
        <v>-7.3875189999999993E-2</v>
      </c>
      <c r="U1807">
        <v>0.10226440000000001</v>
      </c>
      <c r="V1807">
        <v>3.0729179999999998E-2</v>
      </c>
      <c r="W1807">
        <v>0.1879545</v>
      </c>
      <c r="X1807">
        <v>0.98169689999999998</v>
      </c>
      <c r="Y1807">
        <v>3.091079E-2</v>
      </c>
      <c r="Z1807">
        <v>5.1573069999999996E-4</v>
      </c>
      <c r="AA1807">
        <v>0.99952200000000002</v>
      </c>
      <c r="AB1807">
        <v>37</v>
      </c>
      <c r="AC1807">
        <v>-46.162799999999997</v>
      </c>
      <c r="AD1807">
        <v>-1.1198558506830001</v>
      </c>
      <c r="AE1807">
        <v>1.5491999999999799</v>
      </c>
      <c r="AF1807">
        <v>1.43408636528914</v>
      </c>
      <c r="AG1807">
        <v>-1.1198558506830001</v>
      </c>
      <c r="AH1807">
        <v>46.139371217447803</v>
      </c>
      <c r="AI1807">
        <v>91.389690955921296</v>
      </c>
      <c r="AJ1807">
        <v>88.219727540579598</v>
      </c>
      <c r="AK1807">
        <v>46.1752342405631</v>
      </c>
      <c r="AL1807">
        <v>79.166564726923696</v>
      </c>
      <c r="AM1807">
        <v>88.2071068800619</v>
      </c>
      <c r="AN1807">
        <v>0.99999999002166595</v>
      </c>
    </row>
    <row r="1808" spans="1:40" x14ac:dyDescent="0.25">
      <c r="A1808" t="str">
        <f>"20190303162815817"</f>
        <v>20190303162815817</v>
      </c>
      <c r="B1808" t="str">
        <f>"1551601695813871"</f>
        <v>1551601695813871</v>
      </c>
      <c r="C1808" t="s">
        <v>40</v>
      </c>
      <c r="D1808">
        <v>4.959937</v>
      </c>
      <c r="E1808">
        <v>0.5027876</v>
      </c>
      <c r="F1808" t="s">
        <v>48</v>
      </c>
      <c r="G1808">
        <v>-334.08850000000001</v>
      </c>
      <c r="H1808" s="1">
        <v>6.2953490000000004E-7</v>
      </c>
      <c r="I1808">
        <v>284.8304</v>
      </c>
      <c r="J1808">
        <v>-289.2398</v>
      </c>
      <c r="K1808">
        <v>1.1198999999999999</v>
      </c>
      <c r="L1808">
        <v>283.2491</v>
      </c>
      <c r="M1808">
        <v>-0.99993100000000001</v>
      </c>
      <c r="N1808">
        <v>-1.1291880000000001E-2</v>
      </c>
      <c r="O1808">
        <v>3.2689469999999999E-3</v>
      </c>
      <c r="P1808">
        <v>-0.98394459999999995</v>
      </c>
      <c r="Q1808">
        <v>0.17495079999999999</v>
      </c>
      <c r="R1808">
        <v>3.5292560000000001E-2</v>
      </c>
      <c r="S1808">
        <v>-3.0598139999999998</v>
      </c>
      <c r="T1808">
        <v>-7.5827599999999995E-2</v>
      </c>
      <c r="U1808">
        <v>0.1071777</v>
      </c>
      <c r="V1808">
        <v>3.250778E-2</v>
      </c>
      <c r="W1808">
        <v>0.1859768</v>
      </c>
      <c r="X1808">
        <v>0.98201620000000001</v>
      </c>
      <c r="Y1808">
        <v>3.1724860000000001E-2</v>
      </c>
      <c r="Z1808">
        <v>5.2806360000000004E-4</v>
      </c>
      <c r="AA1808">
        <v>0.99949650000000001</v>
      </c>
      <c r="AB1808">
        <v>37</v>
      </c>
      <c r="AC1808">
        <v>-44.848700000000001</v>
      </c>
      <c r="AD1808">
        <v>-1.1198993704650999</v>
      </c>
      <c r="AE1808">
        <v>1.5812999999999899</v>
      </c>
      <c r="AF1808">
        <v>1.4337812959715399</v>
      </c>
      <c r="AG1808">
        <v>-1.1198993704650999</v>
      </c>
      <c r="AH1808">
        <v>44.8257143230297</v>
      </c>
      <c r="AI1808">
        <v>91.430415232517902</v>
      </c>
      <c r="AJ1808">
        <v>88.167979694167997</v>
      </c>
      <c r="AK1808">
        <v>44.862618826529904</v>
      </c>
      <c r="AL1808">
        <v>79.281912403736598</v>
      </c>
      <c r="AM1808">
        <v>88.104024452650705</v>
      </c>
      <c r="AN1808">
        <v>0.99999997148060304</v>
      </c>
    </row>
    <row r="1809" spans="1:40" x14ac:dyDescent="0.25">
      <c r="A1809" t="str">
        <f>"20190303162815839"</f>
        <v>20190303162815839</v>
      </c>
      <c r="B1809" t="str">
        <f>"1551601695833391"</f>
        <v>1551601695833391</v>
      </c>
      <c r="C1809" t="s">
        <v>40</v>
      </c>
      <c r="D1809">
        <v>4.988829</v>
      </c>
      <c r="E1809">
        <v>0.50301099999999999</v>
      </c>
      <c r="F1809" t="s">
        <v>48</v>
      </c>
      <c r="G1809">
        <v>-333.14800000000002</v>
      </c>
      <c r="H1809" s="1">
        <v>1.2429259999999999E-7</v>
      </c>
      <c r="I1809">
        <v>284.9393</v>
      </c>
      <c r="J1809">
        <v>-289.59359999999998</v>
      </c>
      <c r="K1809">
        <v>1.119956</v>
      </c>
      <c r="L1809">
        <v>283.2509</v>
      </c>
      <c r="M1809">
        <v>-0.99992820000000004</v>
      </c>
      <c r="N1809">
        <v>-1.129077E-2</v>
      </c>
      <c r="O1809">
        <v>4.017746E-3</v>
      </c>
      <c r="P1809">
        <v>-0.98416979999999998</v>
      </c>
      <c r="Q1809">
        <v>0.17315710000000001</v>
      </c>
      <c r="R1809">
        <v>3.7772279999999998E-2</v>
      </c>
      <c r="S1809">
        <v>-3.0585939999999998</v>
      </c>
      <c r="T1809">
        <v>-7.8011040000000004E-2</v>
      </c>
      <c r="U1809">
        <v>0.1177368</v>
      </c>
      <c r="V1809">
        <v>3.4216549999999998E-2</v>
      </c>
      <c r="W1809">
        <v>0.1841863</v>
      </c>
      <c r="X1809">
        <v>0.98229560000000005</v>
      </c>
      <c r="Y1809">
        <v>3.443421E-2</v>
      </c>
      <c r="Z1809">
        <v>5.7634259999999997E-4</v>
      </c>
      <c r="AA1809">
        <v>0.99940680000000004</v>
      </c>
      <c r="AB1809">
        <v>37</v>
      </c>
      <c r="AC1809">
        <v>-43.554400000000001</v>
      </c>
      <c r="AD1809">
        <v>-1.11995587570739</v>
      </c>
      <c r="AE1809">
        <v>1.6883999999999999</v>
      </c>
      <c r="AF1809">
        <v>1.51238620138469</v>
      </c>
      <c r="AG1809">
        <v>-1.11995587570739</v>
      </c>
      <c r="AH1809">
        <v>43.532091860055097</v>
      </c>
      <c r="AI1809">
        <v>91.472842796935197</v>
      </c>
      <c r="AJ1809">
        <v>88.010237863527706</v>
      </c>
      <c r="AK1809">
        <v>43.572751059554903</v>
      </c>
      <c r="AL1809">
        <v>79.386304439521098</v>
      </c>
      <c r="AM1809">
        <v>88.005008300888704</v>
      </c>
      <c r="AN1809">
        <v>1.0000000055904701</v>
      </c>
    </row>
    <row r="1810" spans="1:40" x14ac:dyDescent="0.25">
      <c r="A1810" t="str">
        <f>"20190303162815851"</f>
        <v>20190303162815851</v>
      </c>
      <c r="B1810" t="str">
        <f>"1551601695843150"</f>
        <v>1551601695843150</v>
      </c>
      <c r="C1810" t="s">
        <v>40</v>
      </c>
      <c r="D1810">
        <v>4.9222530000000004</v>
      </c>
      <c r="E1810">
        <v>0.50310770000000005</v>
      </c>
      <c r="F1810" t="s">
        <v>48</v>
      </c>
      <c r="G1810">
        <v>-331.68520000000001</v>
      </c>
      <c r="H1810" s="1">
        <v>-6.5665419999999998E-7</v>
      </c>
      <c r="I1810">
        <v>284.99689999999998</v>
      </c>
      <c r="J1810">
        <v>-289.80540000000002</v>
      </c>
      <c r="K1810">
        <v>1.1199870000000001</v>
      </c>
      <c r="L1810">
        <v>283.25209999999998</v>
      </c>
      <c r="M1810">
        <v>-0.9999266</v>
      </c>
      <c r="N1810">
        <v>-1.128814E-2</v>
      </c>
      <c r="O1810">
        <v>4.4147420000000001E-3</v>
      </c>
      <c r="P1810">
        <v>-0.98425050000000003</v>
      </c>
      <c r="Q1810">
        <v>0.17248579999999999</v>
      </c>
      <c r="R1810">
        <v>3.873091E-2</v>
      </c>
      <c r="S1810">
        <v>-3.057709</v>
      </c>
      <c r="T1810">
        <v>-8.1358310000000003E-2</v>
      </c>
      <c r="U1810">
        <v>0.1268311</v>
      </c>
      <c r="V1810">
        <v>3.476224E-2</v>
      </c>
      <c r="W1810">
        <v>0.18351609999999999</v>
      </c>
      <c r="X1810">
        <v>0.98240179999999999</v>
      </c>
      <c r="Y1810">
        <v>3.701372E-2</v>
      </c>
      <c r="Z1810">
        <v>6.3360089999999999E-4</v>
      </c>
      <c r="AA1810">
        <v>0.99931449999999999</v>
      </c>
      <c r="AB1810">
        <v>37</v>
      </c>
      <c r="AC1810">
        <v>-41.879799999999904</v>
      </c>
      <c r="AD1810">
        <v>-1.1199876566542</v>
      </c>
      <c r="AE1810">
        <v>1.7447999999999899</v>
      </c>
      <c r="AF1810">
        <v>1.5587698387253399</v>
      </c>
      <c r="AG1810">
        <v>-1.1199876566542</v>
      </c>
      <c r="AH1810">
        <v>41.857211458327598</v>
      </c>
      <c r="AI1810">
        <v>91.531655762871296</v>
      </c>
      <c r="AJ1810">
        <v>87.8672807426899</v>
      </c>
      <c r="AK1810">
        <v>41.901196723104803</v>
      </c>
      <c r="AL1810">
        <v>79.425369218590106</v>
      </c>
      <c r="AM1810">
        <v>87.973437157519797</v>
      </c>
      <c r="AN1810">
        <v>0.999999934466131</v>
      </c>
    </row>
    <row r="1811" spans="1:40" x14ac:dyDescent="0.25">
      <c r="A1811" t="str">
        <f>"20190303162815864"</f>
        <v>20190303162815864</v>
      </c>
      <c r="B1811" t="str">
        <f>"1551601695852911"</f>
        <v>1551601695852911</v>
      </c>
      <c r="C1811" t="s">
        <v>40</v>
      </c>
      <c r="D1811">
        <v>4.9358000000000004</v>
      </c>
      <c r="E1811">
        <v>0.50318200000000002</v>
      </c>
      <c r="F1811" t="s">
        <v>48</v>
      </c>
      <c r="G1811">
        <v>-331.54289999999997</v>
      </c>
      <c r="H1811" s="1">
        <v>-7.3400579999999995E-7</v>
      </c>
      <c r="I1811">
        <v>285.03489999999999</v>
      </c>
      <c r="J1811">
        <v>-290.02140000000003</v>
      </c>
      <c r="K1811">
        <v>1.1200330000000001</v>
      </c>
      <c r="L1811">
        <v>283.2534</v>
      </c>
      <c r="M1811">
        <v>-0.99992499999999995</v>
      </c>
      <c r="N1811">
        <v>-1.128468E-2</v>
      </c>
      <c r="O1811">
        <v>4.7939910000000001E-3</v>
      </c>
      <c r="P1811">
        <v>-0.98420469999999904</v>
      </c>
      <c r="Q1811">
        <v>0.17260510000000001</v>
      </c>
      <c r="R1811">
        <v>3.9356439999999999E-2</v>
      </c>
      <c r="S1811">
        <v>-3.0572509999999999</v>
      </c>
      <c r="T1811">
        <v>-8.20383999999999E-2</v>
      </c>
      <c r="U1811">
        <v>0.1305847</v>
      </c>
      <c r="V1811">
        <v>3.4992849999999999E-2</v>
      </c>
      <c r="W1811">
        <v>0.1836351</v>
      </c>
      <c r="X1811">
        <v>0.98237140000000001</v>
      </c>
      <c r="Y1811">
        <v>3.7865019999999999E-2</v>
      </c>
      <c r="Z1811">
        <v>6.4703410000000003E-4</v>
      </c>
      <c r="AA1811">
        <v>0.99928269999999997</v>
      </c>
      <c r="AB1811">
        <v>37</v>
      </c>
      <c r="AC1811">
        <v>-41.521499999999897</v>
      </c>
      <c r="AD1811">
        <v>-1.1200337340058</v>
      </c>
      <c r="AE1811">
        <v>1.7814999999999901</v>
      </c>
      <c r="AF1811">
        <v>1.5812647100224499</v>
      </c>
      <c r="AG1811">
        <v>-1.1200337340058</v>
      </c>
      <c r="AH1811">
        <v>41.499422719200098</v>
      </c>
      <c r="AI1811">
        <v>91.544868004264998</v>
      </c>
      <c r="AJ1811">
        <v>87.817897688789401</v>
      </c>
      <c r="AK1811">
        <v>41.544638157954097</v>
      </c>
      <c r="AL1811">
        <v>79.418433403397898</v>
      </c>
      <c r="AM1811">
        <v>87.959941343317993</v>
      </c>
      <c r="AN1811">
        <v>0.99999995852054502</v>
      </c>
    </row>
    <row r="1812" spans="1:40" x14ac:dyDescent="0.25">
      <c r="A1812" t="str">
        <f>"20190303162815882"</f>
        <v>20190303162815882</v>
      </c>
      <c r="B1812" t="str">
        <f>"1551601695873407"</f>
        <v>1551601695873407</v>
      </c>
      <c r="C1812" t="s">
        <v>40</v>
      </c>
      <c r="D1812">
        <v>4.8115500000000004</v>
      </c>
      <c r="E1812">
        <v>0.50333830000000002</v>
      </c>
      <c r="F1812" t="s">
        <v>48</v>
      </c>
      <c r="G1812">
        <v>-332.6139</v>
      </c>
      <c r="H1812" s="1">
        <v>-1.6718210000000001E-7</v>
      </c>
      <c r="I1812">
        <v>285.10559999999998</v>
      </c>
      <c r="J1812">
        <v>-290.3279</v>
      </c>
      <c r="K1812">
        <v>1.120112</v>
      </c>
      <c r="L1812">
        <v>283.25529999999998</v>
      </c>
      <c r="M1812">
        <v>-0.99992250000000005</v>
      </c>
      <c r="N1812">
        <v>-1.1278760000000001E-2</v>
      </c>
      <c r="O1812">
        <v>5.259138E-3</v>
      </c>
      <c r="P1812">
        <v>-0.98401539999999998</v>
      </c>
      <c r="Q1812">
        <v>0.17354839999999999</v>
      </c>
      <c r="R1812">
        <v>3.993551E-2</v>
      </c>
      <c r="S1812">
        <v>-3.056915</v>
      </c>
      <c r="T1812">
        <v>-8.0386040000000006E-2</v>
      </c>
      <c r="U1812">
        <v>0.13293460000000001</v>
      </c>
      <c r="V1812">
        <v>3.5083429999999999E-2</v>
      </c>
      <c r="W1812">
        <v>0.1845772</v>
      </c>
      <c r="X1812">
        <v>0.98219160000000005</v>
      </c>
      <c r="Y1812">
        <v>3.81721E-2</v>
      </c>
      <c r="Z1812">
        <v>6.3808379999999996E-4</v>
      </c>
      <c r="AA1812">
        <v>0.99927100000000002</v>
      </c>
      <c r="AB1812">
        <v>37</v>
      </c>
      <c r="AC1812">
        <v>-42.286000000000001</v>
      </c>
      <c r="AD1812">
        <v>-1.1201121671820999</v>
      </c>
      <c r="AE1812">
        <v>1.8503000000000001</v>
      </c>
      <c r="AF1812">
        <v>1.6267330980825501</v>
      </c>
      <c r="AG1812">
        <v>-1.1201121671820999</v>
      </c>
      <c r="AH1812">
        <v>42.265547157370101</v>
      </c>
      <c r="AI1812">
        <v>91.516962076056103</v>
      </c>
      <c r="AJ1812">
        <v>87.795865313676899</v>
      </c>
      <c r="AK1812">
        <v>42.311669647407498</v>
      </c>
      <c r="AL1812">
        <v>79.363516376265295</v>
      </c>
      <c r="AM1812">
        <v>87.954290971176604</v>
      </c>
      <c r="AN1812">
        <v>0.99999996446548101</v>
      </c>
    </row>
    <row r="1813" spans="1:40" x14ac:dyDescent="0.25">
      <c r="A1813" t="str">
        <f>"20190303162815897"</f>
        <v>20190303162815897</v>
      </c>
      <c r="B1813" t="str">
        <f>"1551601695883168"</f>
        <v>1551601695883168</v>
      </c>
      <c r="C1813" t="s">
        <v>40</v>
      </c>
      <c r="D1813">
        <v>5.1640410000000001</v>
      </c>
      <c r="E1813">
        <v>0.50344069999999996</v>
      </c>
      <c r="F1813" t="s">
        <v>48</v>
      </c>
      <c r="G1813">
        <v>-336.32350000000002</v>
      </c>
      <c r="H1813" s="1">
        <v>1.7980350000000001E-6</v>
      </c>
      <c r="I1813">
        <v>285.30779999999999</v>
      </c>
      <c r="J1813">
        <v>-290.56209999999999</v>
      </c>
      <c r="K1813">
        <v>1.1201680000000001</v>
      </c>
      <c r="L1813">
        <v>283.2568</v>
      </c>
      <c r="M1813">
        <v>-0.99992110000000001</v>
      </c>
      <c r="N1813">
        <v>-1.1274319999999999E-2</v>
      </c>
      <c r="O1813">
        <v>5.5604540000000003E-3</v>
      </c>
      <c r="P1813">
        <v>-0.98384919999999998</v>
      </c>
      <c r="Q1813">
        <v>0.17447190000000001</v>
      </c>
      <c r="R1813">
        <v>4.0010459999999998E-2</v>
      </c>
      <c r="S1813">
        <v>-3.0563349999999998</v>
      </c>
      <c r="T1813">
        <v>-7.4429629999999997E-2</v>
      </c>
      <c r="U1813">
        <v>0.13638310000000001</v>
      </c>
      <c r="V1813">
        <v>3.4839019999999998E-2</v>
      </c>
      <c r="W1813">
        <v>0.18549940000000001</v>
      </c>
      <c r="X1813">
        <v>0.98202659999999997</v>
      </c>
      <c r="Y1813">
        <v>3.9006319999999997E-2</v>
      </c>
      <c r="Z1813">
        <v>6.2203339999999897E-4</v>
      </c>
      <c r="AA1813">
        <v>0.99923879999999998</v>
      </c>
      <c r="AB1813">
        <v>37</v>
      </c>
      <c r="AC1813">
        <v>-45.761400000000002</v>
      </c>
      <c r="AD1813">
        <v>-1.1201662019650001</v>
      </c>
      <c r="AE1813">
        <v>2.0509999999999802</v>
      </c>
      <c r="AF1813">
        <v>1.7954243375299399</v>
      </c>
      <c r="AG1813">
        <v>-1.1201662019650001</v>
      </c>
      <c r="AH1813">
        <v>45.7447427252918</v>
      </c>
      <c r="AI1813">
        <v>91.401661060317096</v>
      </c>
      <c r="AJ1813">
        <v>87.752365475187304</v>
      </c>
      <c r="AK1813">
        <v>45.793665586792201</v>
      </c>
      <c r="AL1813">
        <v>79.309750259475095</v>
      </c>
      <c r="AM1813">
        <v>87.968189454136606</v>
      </c>
      <c r="AN1813">
        <v>1.0000000139112399</v>
      </c>
    </row>
    <row r="1814" spans="1:40" x14ac:dyDescent="0.25">
      <c r="A1814" t="str">
        <f>"20190303162815918"</f>
        <v>20190303162815918</v>
      </c>
      <c r="B1814" t="str">
        <f>"1551601695913423"</f>
        <v>1551601695913423</v>
      </c>
      <c r="C1814" t="s">
        <v>40</v>
      </c>
      <c r="D1814">
        <v>4.8760379999999897</v>
      </c>
      <c r="E1814">
        <v>0.50367450000000002</v>
      </c>
      <c r="F1814" t="s">
        <v>48</v>
      </c>
      <c r="G1814">
        <v>-339.45479999999998</v>
      </c>
      <c r="H1814" s="1">
        <v>3.4576589999999999E-6</v>
      </c>
      <c r="I1814">
        <v>285.46069999999997</v>
      </c>
      <c r="J1814">
        <v>-290.90309999999999</v>
      </c>
      <c r="K1814">
        <v>1.120252</v>
      </c>
      <c r="L1814">
        <v>283.25909999999999</v>
      </c>
      <c r="M1814">
        <v>-0.99991890000000005</v>
      </c>
      <c r="N1814">
        <v>-1.1268190000000001E-2</v>
      </c>
      <c r="O1814">
        <v>5.95022E-3</v>
      </c>
      <c r="P1814">
        <v>-0.9836625</v>
      </c>
      <c r="Q1814">
        <v>0.17569979999999999</v>
      </c>
      <c r="R1814">
        <v>3.9217160000000001E-2</v>
      </c>
      <c r="S1814">
        <v>-3.0560909999999999</v>
      </c>
      <c r="T1814">
        <v>-7.0017099999999999E-2</v>
      </c>
      <c r="U1814">
        <v>0.1377563</v>
      </c>
      <c r="V1814">
        <v>3.3630840000000002E-2</v>
      </c>
      <c r="W1814">
        <v>0.18672730000000001</v>
      </c>
      <c r="X1814">
        <v>0.98183600000000004</v>
      </c>
      <c r="Y1814">
        <v>3.9070050000000002E-2</v>
      </c>
      <c r="Z1814">
        <v>5.9834379999999896E-4</v>
      </c>
      <c r="AA1814">
        <v>0.99923629999999997</v>
      </c>
      <c r="AB1814">
        <v>37</v>
      </c>
      <c r="AC1814">
        <v>-48.551699999999897</v>
      </c>
      <c r="AD1814">
        <v>-1.120248542341</v>
      </c>
      <c r="AE1814">
        <v>2.20159999999998</v>
      </c>
      <c r="AF1814">
        <v>1.91163378554847</v>
      </c>
      <c r="AG1814">
        <v>-1.120248542341</v>
      </c>
      <c r="AH1814">
        <v>48.538153620951299</v>
      </c>
      <c r="AI1814">
        <v>91.321113815094705</v>
      </c>
      <c r="AJ1814">
        <v>87.744620220342696</v>
      </c>
      <c r="AK1814">
        <v>48.588698865659403</v>
      </c>
      <c r="AL1814">
        <v>79.238145827721794</v>
      </c>
      <c r="AM1814">
        <v>88.038213987929495</v>
      </c>
      <c r="AN1814">
        <v>1.0000000244301901</v>
      </c>
    </row>
    <row r="1815" spans="1:40" x14ac:dyDescent="0.25">
      <c r="A1815" t="str">
        <f>"20190303162815940"</f>
        <v>20190303162815940</v>
      </c>
      <c r="B1815" t="str">
        <f>"1551601695932943"</f>
        <v>1551601695932943</v>
      </c>
      <c r="C1815" t="s">
        <v>40</v>
      </c>
      <c r="D1815">
        <v>4.9219429999999997</v>
      </c>
      <c r="E1815">
        <v>0.50398940000000003</v>
      </c>
      <c r="F1815" t="s">
        <v>48</v>
      </c>
      <c r="G1815">
        <v>-346.01220000000001</v>
      </c>
      <c r="H1815" s="1">
        <v>1.6626209999999999E-6</v>
      </c>
      <c r="I1815">
        <v>285.74700000000001</v>
      </c>
      <c r="J1815">
        <v>-291.29419999999999</v>
      </c>
      <c r="K1815">
        <v>1.1203320000000001</v>
      </c>
      <c r="L1815">
        <v>283.26179999999999</v>
      </c>
      <c r="M1815">
        <v>-0.99991669999999999</v>
      </c>
      <c r="N1815">
        <v>-1.1261709999999999E-2</v>
      </c>
      <c r="O1815">
        <v>6.326351E-3</v>
      </c>
      <c r="P1815">
        <v>-0.98353420000000003</v>
      </c>
      <c r="Q1815">
        <v>0.17676159999999999</v>
      </c>
      <c r="R1815">
        <v>3.7629860000000001E-2</v>
      </c>
      <c r="S1815">
        <v>-3.0554199999999998</v>
      </c>
      <c r="T1815">
        <v>-6.2110190000000003E-2</v>
      </c>
      <c r="U1815">
        <v>0.13793949999999999</v>
      </c>
      <c r="V1815">
        <v>3.1642009999999998E-2</v>
      </c>
      <c r="W1815">
        <v>0.1877896</v>
      </c>
      <c r="X1815">
        <v>0.98169949999999995</v>
      </c>
      <c r="Y1815">
        <v>3.8766500000000002E-2</v>
      </c>
      <c r="Z1815">
        <v>5.5491449999999995E-4</v>
      </c>
      <c r="AA1815">
        <v>0.99924809999999997</v>
      </c>
      <c r="AB1815">
        <v>37</v>
      </c>
      <c r="AC1815">
        <v>-54.718000000000004</v>
      </c>
      <c r="AD1815">
        <v>-1.1203303373789999</v>
      </c>
      <c r="AE1815">
        <v>2.4852000000000198</v>
      </c>
      <c r="AF1815">
        <v>2.1380686228425199</v>
      </c>
      <c r="AG1815">
        <v>-1.1203303373789999</v>
      </c>
      <c r="AH1815">
        <v>54.709740447646901</v>
      </c>
      <c r="AI1815">
        <v>91.172227983480397</v>
      </c>
      <c r="AJ1815">
        <v>87.7620072760771</v>
      </c>
      <c r="AK1815">
        <v>54.762963555214299</v>
      </c>
      <c r="AL1815">
        <v>79.176184520398607</v>
      </c>
      <c r="AM1815">
        <v>88.153889049030298</v>
      </c>
      <c r="AN1815">
        <v>1.0000000294826199</v>
      </c>
    </row>
    <row r="1816" spans="1:40" x14ac:dyDescent="0.25">
      <c r="A1816" t="str">
        <f>"20190303162815954"</f>
        <v>20190303162815954</v>
      </c>
      <c r="B1816" t="str">
        <f>"1551601695943679"</f>
        <v>1551601695943679</v>
      </c>
      <c r="C1816" t="s">
        <v>40</v>
      </c>
      <c r="D1816">
        <v>5.1079549999999996</v>
      </c>
      <c r="E1816">
        <v>0.50400800000000001</v>
      </c>
      <c r="F1816" t="s">
        <v>48</v>
      </c>
      <c r="G1816">
        <v>-349.642</v>
      </c>
      <c r="H1816" s="1">
        <v>3.5941960000000001E-6</v>
      </c>
      <c r="I1816">
        <v>285.8836</v>
      </c>
      <c r="J1816">
        <v>-291.51889999999997</v>
      </c>
      <c r="K1816">
        <v>1.1203730000000001</v>
      </c>
      <c r="L1816">
        <v>283.26339999999999</v>
      </c>
      <c r="M1816">
        <v>-0.99991540000000001</v>
      </c>
      <c r="N1816">
        <v>-1.1258249999999999E-2</v>
      </c>
      <c r="O1816">
        <v>6.5131149999999999E-3</v>
      </c>
      <c r="P1816">
        <v>-0.98346599999999995</v>
      </c>
      <c r="Q1816">
        <v>0.17737829999999999</v>
      </c>
      <c r="R1816">
        <v>3.6494819999999997E-2</v>
      </c>
      <c r="S1816">
        <v>-3.0555110000000001</v>
      </c>
      <c r="T1816">
        <v>-5.8668489999999997E-2</v>
      </c>
      <c r="U1816">
        <v>0.13729859999999999</v>
      </c>
      <c r="V1816">
        <v>3.0309340000000001E-2</v>
      </c>
      <c r="W1816">
        <v>0.1884064</v>
      </c>
      <c r="X1816">
        <v>0.98162340000000003</v>
      </c>
      <c r="Y1816">
        <v>3.8370519999999998E-2</v>
      </c>
      <c r="Z1816">
        <v>5.3260799999999995E-4</v>
      </c>
      <c r="AA1816">
        <v>0.99926349999999997</v>
      </c>
      <c r="AB1816">
        <v>37</v>
      </c>
      <c r="AC1816">
        <v>-58.123100000000001</v>
      </c>
      <c r="AD1816">
        <v>-1.1203694058039999</v>
      </c>
      <c r="AE1816">
        <v>2.6202000000000099</v>
      </c>
      <c r="AF1816">
        <v>2.2407271163501701</v>
      </c>
      <c r="AG1816">
        <v>-1.1203694058039999</v>
      </c>
      <c r="AH1816">
        <v>58.117383665007097</v>
      </c>
      <c r="AI1816">
        <v>91.103574247930794</v>
      </c>
      <c r="AJ1816">
        <v>87.7920436040948</v>
      </c>
      <c r="AK1816">
        <v>58.171353514260304</v>
      </c>
      <c r="AL1816">
        <v>79.140202583649298</v>
      </c>
      <c r="AM1816">
        <v>88.231454443802306</v>
      </c>
      <c r="AN1816">
        <v>1.00000006353987</v>
      </c>
    </row>
    <row r="1817" spans="1:40" x14ac:dyDescent="0.25">
      <c r="A1817" t="str">
        <f>"20190303162815972"</f>
        <v>20190303162815972</v>
      </c>
      <c r="B1817" t="str">
        <f>"1551601695963199"</f>
        <v>1551601695963199</v>
      </c>
      <c r="C1817" t="s">
        <v>40</v>
      </c>
      <c r="D1817">
        <v>4.9185569999999998</v>
      </c>
      <c r="E1817">
        <v>0.50407270000000004</v>
      </c>
      <c r="F1817" t="s">
        <v>48</v>
      </c>
      <c r="G1817">
        <v>-353.13600000000002</v>
      </c>
      <c r="H1817" s="1">
        <v>1.3201400000000001E-7</v>
      </c>
      <c r="I1817">
        <v>285.98599999999999</v>
      </c>
      <c r="J1817">
        <v>-291.8272</v>
      </c>
      <c r="K1817">
        <v>1.12042</v>
      </c>
      <c r="L1817">
        <v>283.26560000000001</v>
      </c>
      <c r="M1817">
        <v>-0.99991390000000002</v>
      </c>
      <c r="N1817">
        <v>-1.1253880000000001E-2</v>
      </c>
      <c r="O1817">
        <v>6.751076E-3</v>
      </c>
      <c r="P1817">
        <v>-0.9832651</v>
      </c>
      <c r="Q1817">
        <v>0.178982</v>
      </c>
      <c r="R1817">
        <v>3.3988339999999999E-2</v>
      </c>
      <c r="S1817">
        <v>-3.05545</v>
      </c>
      <c r="T1817">
        <v>-5.5556769999999998E-2</v>
      </c>
      <c r="U1817">
        <v>0.13500980000000001</v>
      </c>
      <c r="V1817">
        <v>2.755413E-2</v>
      </c>
      <c r="W1817">
        <v>0.19000919999999999</v>
      </c>
      <c r="X1817">
        <v>0.98139560000000003</v>
      </c>
      <c r="Y1817">
        <v>3.7387700000000003E-2</v>
      </c>
      <c r="Z1817">
        <v>5.0349279999999997E-4</v>
      </c>
      <c r="AA1817">
        <v>0.99930070000000004</v>
      </c>
      <c r="AB1817">
        <v>37</v>
      </c>
      <c r="AC1817">
        <v>-61.308799999999898</v>
      </c>
      <c r="AD1817">
        <v>-1.120419867986</v>
      </c>
      <c r="AE1817">
        <v>2.7203999999999802</v>
      </c>
      <c r="AF1817">
        <v>2.3056429061626602</v>
      </c>
      <c r="AG1817">
        <v>-1.120419867986</v>
      </c>
      <c r="AH1817">
        <v>61.305335149250801</v>
      </c>
      <c r="AI1817">
        <v>91.046284900161496</v>
      </c>
      <c r="AJ1817">
        <v>87.846168275080998</v>
      </c>
      <c r="AK1817">
        <v>61.358906832286998</v>
      </c>
      <c r="AL1817">
        <v>79.046679175769299</v>
      </c>
      <c r="AM1817">
        <v>88.391758919367902</v>
      </c>
      <c r="AN1817">
        <v>1.00000002493202</v>
      </c>
    </row>
    <row r="1818" spans="1:40" x14ac:dyDescent="0.25">
      <c r="A1818" t="str">
        <f>"20190303162815985"</f>
        <v>20190303162815985</v>
      </c>
      <c r="B1818" t="str">
        <f>"1551601695972960"</f>
        <v>1551601695972960</v>
      </c>
      <c r="C1818" t="s">
        <v>40</v>
      </c>
      <c r="D1818">
        <v>4.8472839999999904</v>
      </c>
      <c r="E1818">
        <v>0.50413520000000001</v>
      </c>
      <c r="F1818" t="s">
        <v>48</v>
      </c>
      <c r="G1818">
        <v>-362.62099999999998</v>
      </c>
      <c r="H1818" s="1">
        <v>-1.42010399999999E-7</v>
      </c>
      <c r="I1818">
        <v>286.2466</v>
      </c>
      <c r="J1818">
        <v>-292.04090000000002</v>
      </c>
      <c r="K1818">
        <v>1.120449</v>
      </c>
      <c r="L1818">
        <v>283.2672</v>
      </c>
      <c r="M1818">
        <v>-0.99991300000000005</v>
      </c>
      <c r="N1818">
        <v>-1.125115E-2</v>
      </c>
      <c r="O1818">
        <v>6.9065560000000003E-3</v>
      </c>
      <c r="P1818">
        <v>-0.98314020000000002</v>
      </c>
      <c r="Q1818">
        <v>0.17986099999999999</v>
      </c>
      <c r="R1818">
        <v>3.2945990000000001E-2</v>
      </c>
      <c r="S1818">
        <v>-3.05545</v>
      </c>
      <c r="T1818">
        <v>-4.8357129999999998E-2</v>
      </c>
      <c r="U1818">
        <v>0.1286621</v>
      </c>
      <c r="V1818">
        <v>2.6350490000000001E-2</v>
      </c>
      <c r="W1818">
        <v>0.19088640000000001</v>
      </c>
      <c r="X1818">
        <v>0.98125839999999998</v>
      </c>
      <c r="Y1818">
        <v>3.5162430000000001E-2</v>
      </c>
      <c r="Z1818">
        <v>4.4446239999999999E-4</v>
      </c>
      <c r="AA1818">
        <v>0.99938150000000003</v>
      </c>
      <c r="AB1818">
        <v>37</v>
      </c>
      <c r="AC1818">
        <v>-70.580099999999902</v>
      </c>
      <c r="AD1818">
        <v>-1.1204491420103999</v>
      </c>
      <c r="AE1818">
        <v>2.9793999999999898</v>
      </c>
      <c r="AF1818">
        <v>2.4912060382283601</v>
      </c>
      <c r="AG1818">
        <v>-1.1204491420103999</v>
      </c>
      <c r="AH1818">
        <v>70.581239486201895</v>
      </c>
      <c r="AI1818">
        <v>90.908905474466394</v>
      </c>
      <c r="AJ1818">
        <v>87.978551171755299</v>
      </c>
      <c r="AK1818">
        <v>70.634077336745406</v>
      </c>
      <c r="AL1818">
        <v>78.995482075128507</v>
      </c>
      <c r="AM1818">
        <v>88.461761845220394</v>
      </c>
      <c r="AN1818">
        <v>1.0000000067993799</v>
      </c>
    </row>
    <row r="1819" spans="1:40" x14ac:dyDescent="0.25">
      <c r="A1819" t="str">
        <f>"20190303162815998"</f>
        <v>20190303162815998</v>
      </c>
      <c r="B1819" t="str">
        <f>"1551601695993456"</f>
        <v>1551601695993456</v>
      </c>
      <c r="C1819" t="s">
        <v>40</v>
      </c>
      <c r="D1819">
        <v>4.8782920000000001</v>
      </c>
      <c r="E1819">
        <v>0.50422089999999997</v>
      </c>
      <c r="F1819" t="s">
        <v>48</v>
      </c>
      <c r="G1819">
        <v>-368.70510000000002</v>
      </c>
      <c r="H1819" s="1">
        <v>3.0956399999999999E-6</v>
      </c>
      <c r="I1819">
        <v>286.4228</v>
      </c>
      <c r="J1819">
        <v>-292.25130000000001</v>
      </c>
      <c r="K1819">
        <v>1.1204670000000001</v>
      </c>
      <c r="L1819">
        <v>283.2688</v>
      </c>
      <c r="M1819">
        <v>-0.99991200000000002</v>
      </c>
      <c r="N1819">
        <v>-1.124877E-2</v>
      </c>
      <c r="O1819">
        <v>7.052493E-3</v>
      </c>
      <c r="P1819">
        <v>-0.98307440000000001</v>
      </c>
      <c r="Q1819">
        <v>0.1803961</v>
      </c>
      <c r="R1819">
        <v>3.1973580000000001E-2</v>
      </c>
      <c r="S1819">
        <v>-3.0553889999999999</v>
      </c>
      <c r="T1819">
        <v>-4.4654489999999998E-2</v>
      </c>
      <c r="U1819">
        <v>0.12576289999999901</v>
      </c>
      <c r="V1819">
        <v>2.5227380000000001E-2</v>
      </c>
      <c r="W1819">
        <v>0.1914209</v>
      </c>
      <c r="X1819">
        <v>0.98118380000000005</v>
      </c>
      <c r="Y1819">
        <v>3.4071810000000001E-2</v>
      </c>
      <c r="Z1819">
        <v>4.168838E-4</v>
      </c>
      <c r="AA1819">
        <v>0.99941930000000001</v>
      </c>
      <c r="AB1819">
        <v>37</v>
      </c>
      <c r="AC1819">
        <v>-76.453800000000001</v>
      </c>
      <c r="AD1819">
        <v>-1.12046390436</v>
      </c>
      <c r="AE1819">
        <v>3.1539999999999901</v>
      </c>
      <c r="AF1819">
        <v>2.6141371073911199</v>
      </c>
      <c r="AG1819">
        <v>-1.12046390436</v>
      </c>
      <c r="AH1819">
        <v>76.457749549888106</v>
      </c>
      <c r="AI1819">
        <v>90.8391010122577</v>
      </c>
      <c r="AJ1819">
        <v>88.041785151648099</v>
      </c>
      <c r="AK1819">
        <v>76.510630754233205</v>
      </c>
      <c r="AL1819">
        <v>78.964282255707104</v>
      </c>
      <c r="AM1819">
        <v>88.527183160958799</v>
      </c>
      <c r="AN1819">
        <v>1.00000001552045</v>
      </c>
    </row>
    <row r="1820" spans="1:40" x14ac:dyDescent="0.25">
      <c r="A1820" t="str">
        <f>"20190303162816017"</f>
        <v>20190303162816017</v>
      </c>
      <c r="B1820" t="str">
        <f>"1551601696003215"</f>
        <v>1551601696003215</v>
      </c>
      <c r="C1820" t="s">
        <v>40</v>
      </c>
      <c r="D1820">
        <v>5.1951780000000003</v>
      </c>
      <c r="E1820">
        <v>0.50422089999999997</v>
      </c>
      <c r="F1820" t="s">
        <v>48</v>
      </c>
      <c r="G1820">
        <v>-374.10109999999997</v>
      </c>
      <c r="H1820" s="1">
        <v>6.4561769999999995E-7</v>
      </c>
      <c r="I1820">
        <v>286.56270000000001</v>
      </c>
      <c r="J1820">
        <v>-292.5745</v>
      </c>
      <c r="K1820">
        <v>1.12049</v>
      </c>
      <c r="L1820">
        <v>283.2713</v>
      </c>
      <c r="M1820">
        <v>-0.99991039999999998</v>
      </c>
      <c r="N1820">
        <v>-1.124553E-2</v>
      </c>
      <c r="O1820">
        <v>7.2726279999999997E-3</v>
      </c>
      <c r="P1820">
        <v>-0.98300370000000004</v>
      </c>
      <c r="Q1820">
        <v>0.18098629999999999</v>
      </c>
      <c r="R1820">
        <v>3.0790950000000001E-2</v>
      </c>
      <c r="S1820">
        <v>-3.0553279999999998</v>
      </c>
      <c r="T1820">
        <v>-4.1825290000000001E-2</v>
      </c>
      <c r="U1820">
        <v>0.1229553</v>
      </c>
      <c r="V1820">
        <v>2.3818559999999999E-2</v>
      </c>
      <c r="W1820">
        <v>0.19200919999999999</v>
      </c>
      <c r="X1820">
        <v>0.98110410000000003</v>
      </c>
      <c r="Y1820">
        <v>3.2936510000000002E-2</v>
      </c>
      <c r="Z1820">
        <v>3.9287680000000001E-4</v>
      </c>
      <c r="AA1820">
        <v>0.99945740000000005</v>
      </c>
      <c r="AB1820">
        <v>37</v>
      </c>
      <c r="AC1820">
        <v>-81.526599999999902</v>
      </c>
      <c r="AD1820">
        <v>-1.1204893543823</v>
      </c>
      <c r="AE1820">
        <v>3.2913999999999999</v>
      </c>
      <c r="AF1820">
        <v>2.6978540872033498</v>
      </c>
      <c r="AG1820">
        <v>-1.1204893543823</v>
      </c>
      <c r="AH1820">
        <v>81.533006336000298</v>
      </c>
      <c r="AI1820">
        <v>90.786922531197007</v>
      </c>
      <c r="AJ1820">
        <v>88.104825486854395</v>
      </c>
      <c r="AK1820">
        <v>81.585323651104005</v>
      </c>
      <c r="AL1820">
        <v>78.929938538108303</v>
      </c>
      <c r="AM1820">
        <v>88.609286268442006</v>
      </c>
      <c r="AN1820">
        <v>1.0000000558609601</v>
      </c>
    </row>
    <row r="1821" spans="1:40" x14ac:dyDescent="0.25">
      <c r="A1821" t="str">
        <f>"20190303162816029"</f>
        <v>20190303162816029</v>
      </c>
      <c r="B1821" t="str">
        <f>"1551601696023711"</f>
        <v>1551601696023711</v>
      </c>
      <c r="C1821" t="s">
        <v>40</v>
      </c>
      <c r="D1821">
        <v>5.1519110000000001</v>
      </c>
      <c r="E1821">
        <v>0.47540700000000002</v>
      </c>
      <c r="F1821" t="s">
        <v>48</v>
      </c>
      <c r="G1821">
        <v>-378.11770000000001</v>
      </c>
      <c r="H1821" s="1">
        <v>2.7830689999999999E-6</v>
      </c>
      <c r="I1821">
        <v>286.57859999999999</v>
      </c>
      <c r="J1821">
        <v>-292.78429999999997</v>
      </c>
      <c r="K1821">
        <v>1.1205050000000001</v>
      </c>
      <c r="L1821">
        <v>283.27289999999999</v>
      </c>
      <c r="M1821">
        <v>-0.9999093</v>
      </c>
      <c r="N1821">
        <v>-1.1243700000000001E-2</v>
      </c>
      <c r="O1821">
        <v>7.4145649999999997E-3</v>
      </c>
      <c r="P1821">
        <v>-0.98303989999999997</v>
      </c>
      <c r="Q1821">
        <v>0.18088219999999999</v>
      </c>
      <c r="R1821">
        <v>3.023667E-2</v>
      </c>
      <c r="S1821">
        <v>-3.0555110000000001</v>
      </c>
      <c r="T1821">
        <v>-4.002261E-2</v>
      </c>
      <c r="U1821">
        <v>0.1181335</v>
      </c>
      <c r="V1821">
        <v>2.3118110000000001E-2</v>
      </c>
      <c r="W1821">
        <v>0.1919053</v>
      </c>
      <c r="X1821">
        <v>0.98114109999999999</v>
      </c>
      <c r="Y1821">
        <v>3.1218070000000001E-2</v>
      </c>
      <c r="Z1821">
        <v>3.662246E-4</v>
      </c>
      <c r="AA1821">
        <v>0.99951259999999997</v>
      </c>
      <c r="AB1821">
        <v>37</v>
      </c>
      <c r="AC1821">
        <v>-85.333399999999997</v>
      </c>
      <c r="AD1821">
        <v>-1.1205022169309999</v>
      </c>
      <c r="AE1821">
        <v>3.3056999999999999</v>
      </c>
      <c r="AF1821">
        <v>2.6723989991782999</v>
      </c>
      <c r="AG1821">
        <v>-1.1205022169309999</v>
      </c>
      <c r="AH1821">
        <v>85.340873498655199</v>
      </c>
      <c r="AI1821">
        <v>90.751866111636701</v>
      </c>
      <c r="AJ1821">
        <v>88.206402647721404</v>
      </c>
      <c r="AK1821">
        <v>85.390057566103195</v>
      </c>
      <c r="AL1821">
        <v>78.936003463930106</v>
      </c>
      <c r="AM1821">
        <v>88.650219539744</v>
      </c>
      <c r="AN1821">
        <v>0.99999997464363499</v>
      </c>
    </row>
    <row r="1822" spans="1:40" x14ac:dyDescent="0.25">
      <c r="A1822" t="str">
        <f>"20190303162816052"</f>
        <v>20190303162816052</v>
      </c>
      <c r="B1822" t="str">
        <f>"1551601696043231"</f>
        <v>1551601696043231</v>
      </c>
      <c r="C1822" t="s">
        <v>40</v>
      </c>
      <c r="D1822">
        <v>5.0552140000000003</v>
      </c>
      <c r="E1822">
        <v>0.4677171</v>
      </c>
      <c r="F1822" t="s">
        <v>49</v>
      </c>
      <c r="G1822">
        <v>-403.3254</v>
      </c>
      <c r="H1822">
        <v>8.0001279999999994E-2</v>
      </c>
      <c r="I1822">
        <v>279.15179999999998</v>
      </c>
      <c r="J1822">
        <v>-293.1508</v>
      </c>
      <c r="K1822">
        <v>1.1205210000000001</v>
      </c>
      <c r="L1822">
        <v>283.27589999999998</v>
      </c>
      <c r="M1822">
        <v>-0.99990749999999995</v>
      </c>
      <c r="N1822">
        <v>-1.1241009999999999E-2</v>
      </c>
      <c r="O1822">
        <v>7.66323E-3</v>
      </c>
      <c r="P1822">
        <v>-0.9831955</v>
      </c>
      <c r="Q1822">
        <v>0.1801217</v>
      </c>
      <c r="R1822">
        <v>2.9711939999999999E-2</v>
      </c>
      <c r="S1822">
        <v>-3.0606080000000002</v>
      </c>
      <c r="T1822">
        <v>-2.880895E-2</v>
      </c>
      <c r="U1822">
        <v>-0.1141052</v>
      </c>
      <c r="V1822">
        <v>2.2337820000000001E-2</v>
      </c>
      <c r="W1822">
        <v>0.1911457</v>
      </c>
      <c r="X1822">
        <v>0.98130740000000005</v>
      </c>
      <c r="Y1822">
        <v>-4.490893E-2</v>
      </c>
      <c r="Z1822">
        <v>-4.4979539999999999E-4</v>
      </c>
      <c r="AA1822">
        <v>0.99899099999999996</v>
      </c>
      <c r="AB1822">
        <v>37</v>
      </c>
      <c r="AC1822">
        <v>-110.1746</v>
      </c>
      <c r="AD1822">
        <v>-1.04051971999999</v>
      </c>
      <c r="AE1822">
        <v>-4.1240999999999897</v>
      </c>
      <c r="AF1822">
        <v>-4.9678830093555604</v>
      </c>
      <c r="AG1822">
        <v>-1.04051971999999</v>
      </c>
      <c r="AH1822">
        <v>110.12994938284299</v>
      </c>
      <c r="AI1822">
        <v>90.540770758585694</v>
      </c>
      <c r="AJ1822">
        <v>92.582820577514397</v>
      </c>
      <c r="AK1822">
        <v>110.246851628288</v>
      </c>
      <c r="AL1822">
        <v>78.980345788126897</v>
      </c>
      <c r="AM1822">
        <v>88.695982709921097</v>
      </c>
      <c r="AN1822">
        <v>0.99999993506279905</v>
      </c>
    </row>
    <row r="1823" spans="1:40" x14ac:dyDescent="0.25">
      <c r="A1823" t="str">
        <f>"20190303162816064"</f>
        <v>20190303162816064</v>
      </c>
      <c r="B1823" t="str">
        <f>"1551601696053967"</f>
        <v>1551601696053967</v>
      </c>
      <c r="C1823" t="s">
        <v>40</v>
      </c>
      <c r="D1823">
        <v>5.001938</v>
      </c>
      <c r="E1823">
        <v>0.46670990000000001</v>
      </c>
      <c r="F1823" t="s">
        <v>49</v>
      </c>
      <c r="G1823">
        <v>-432.08449999999999</v>
      </c>
      <c r="H1823">
        <v>8.0001379999999997E-2</v>
      </c>
      <c r="I1823">
        <v>275.1669</v>
      </c>
      <c r="J1823">
        <v>-293.36079999999998</v>
      </c>
      <c r="K1823">
        <v>1.1205290000000001</v>
      </c>
      <c r="L1823">
        <v>283.27769999999998</v>
      </c>
      <c r="M1823">
        <v>-0.99990630000000003</v>
      </c>
      <c r="N1823">
        <v>-1.12397E-2</v>
      </c>
      <c r="O1823">
        <v>7.8068709999999999E-3</v>
      </c>
      <c r="P1823">
        <v>-0.98333309999999996</v>
      </c>
      <c r="Q1823">
        <v>0.179386299999999</v>
      </c>
      <c r="R1823">
        <v>2.960405E-2</v>
      </c>
      <c r="S1823">
        <v>-3.0608520000000001</v>
      </c>
      <c r="T1823">
        <v>-2.292371E-2</v>
      </c>
      <c r="U1823">
        <v>-0.1786499</v>
      </c>
      <c r="V1823">
        <v>2.208222E-2</v>
      </c>
      <c r="W1823">
        <v>0.19041169999999999</v>
      </c>
      <c r="X1823">
        <v>0.98145590000000005</v>
      </c>
      <c r="Y1823">
        <v>-6.6054550000000004E-2</v>
      </c>
      <c r="Z1823">
        <v>-5.8944439999999998E-4</v>
      </c>
      <c r="AA1823">
        <v>0.99781580000000003</v>
      </c>
      <c r="AB1823">
        <v>37</v>
      </c>
      <c r="AC1823">
        <v>-138.72370000000001</v>
      </c>
      <c r="AD1823">
        <v>-1.04052762</v>
      </c>
      <c r="AE1823">
        <v>-8.1107999999999798</v>
      </c>
      <c r="AF1823">
        <v>-9.1931038565441998</v>
      </c>
      <c r="AG1823">
        <v>-1.04052762</v>
      </c>
      <c r="AH1823">
        <v>138.648374121231</v>
      </c>
      <c r="AI1823">
        <v>90.429042957869797</v>
      </c>
      <c r="AJ1823">
        <v>93.793453688415696</v>
      </c>
      <c r="AK1823">
        <v>138.956710894818</v>
      </c>
      <c r="AL1823">
        <v>79.023188066849002</v>
      </c>
      <c r="AM1823">
        <v>88.711093816888393</v>
      </c>
      <c r="AN1823">
        <v>0.99999996179091299</v>
      </c>
    </row>
    <row r="1824" spans="1:40" x14ac:dyDescent="0.25">
      <c r="A1824" t="str">
        <f>"20190303162816077"</f>
        <v>20190303162816077</v>
      </c>
      <c r="B1824" t="str">
        <f>"1551601696073487"</f>
        <v>1551601696073487</v>
      </c>
      <c r="C1824" t="s">
        <v>40</v>
      </c>
      <c r="D1824">
        <v>4.9789810000000001</v>
      </c>
      <c r="E1824">
        <v>0.46605990000000003</v>
      </c>
      <c r="F1824" t="s">
        <v>49</v>
      </c>
      <c r="G1824">
        <v>-434.5763</v>
      </c>
      <c r="H1824">
        <v>8.0001240000000001E-2</v>
      </c>
      <c r="I1824">
        <v>274.59989999999999</v>
      </c>
      <c r="J1824">
        <v>-293.57650000000001</v>
      </c>
      <c r="K1824">
        <v>1.120536</v>
      </c>
      <c r="L1824">
        <v>283.27949999999998</v>
      </c>
      <c r="M1824">
        <v>-0.99990520000000005</v>
      </c>
      <c r="N1824">
        <v>-1.123861E-2</v>
      </c>
      <c r="O1824">
        <v>7.9555330000000007E-3</v>
      </c>
      <c r="P1824">
        <v>-0.98342569999999996</v>
      </c>
      <c r="Q1824">
        <v>0.17888409999999999</v>
      </c>
      <c r="R1824">
        <v>2.9574550000000002E-2</v>
      </c>
      <c r="S1824">
        <v>-3.0606689999999999</v>
      </c>
      <c r="T1824">
        <v>-2.255213E-2</v>
      </c>
      <c r="U1824">
        <v>-0.18807979999999999</v>
      </c>
      <c r="V1824">
        <v>2.1901420000000001E-2</v>
      </c>
      <c r="W1824">
        <v>0.18991040000000001</v>
      </c>
      <c r="X1824">
        <v>0.98155709999999996</v>
      </c>
      <c r="Y1824">
        <v>-6.9269200000000003E-2</v>
      </c>
      <c r="Z1824">
        <v>-6.1383629999999998E-4</v>
      </c>
      <c r="AA1824">
        <v>0.99759779999999998</v>
      </c>
      <c r="AB1824">
        <v>37</v>
      </c>
      <c r="AC1824">
        <v>-140.99979999999999</v>
      </c>
      <c r="AD1824">
        <v>-1.0405347599999999</v>
      </c>
      <c r="AE1824">
        <v>-8.67959999999999</v>
      </c>
      <c r="AF1824">
        <v>-9.8005929752287493</v>
      </c>
      <c r="AG1824">
        <v>-1.0405347599999999</v>
      </c>
      <c r="AH1824">
        <v>140.91863675388299</v>
      </c>
      <c r="AI1824">
        <v>90.422041490356193</v>
      </c>
      <c r="AJ1824">
        <v>93.978394093260704</v>
      </c>
      <c r="AK1824">
        <v>141.26286320128699</v>
      </c>
      <c r="AL1824">
        <v>79.052444556102301</v>
      </c>
      <c r="AM1824">
        <v>88.721775083134105</v>
      </c>
      <c r="AN1824">
        <v>0.99999998639329302</v>
      </c>
    </row>
    <row r="1825" spans="1:40" x14ac:dyDescent="0.25">
      <c r="A1825" t="str">
        <f>"20190303162816094"</f>
        <v>20190303162816094</v>
      </c>
      <c r="B1825" t="str">
        <f>"1551601696083248"</f>
        <v>1551601696083248</v>
      </c>
      <c r="C1825" t="s">
        <v>40</v>
      </c>
      <c r="D1825">
        <v>4.9775479999999996</v>
      </c>
      <c r="E1825">
        <v>0.46616990000000003</v>
      </c>
      <c r="F1825" t="s">
        <v>42</v>
      </c>
      <c r="G1825">
        <v>-462.86099999999999</v>
      </c>
      <c r="H1825">
        <v>-0.05</v>
      </c>
      <c r="I1825">
        <v>272.57159999999999</v>
      </c>
      <c r="J1825">
        <v>-293.86309999999997</v>
      </c>
      <c r="K1825">
        <v>1.1205449999999999</v>
      </c>
      <c r="L1825">
        <v>283.28199999999998</v>
      </c>
      <c r="M1825">
        <v>-0.99990369999999995</v>
      </c>
      <c r="N1825">
        <v>-1.123742E-2</v>
      </c>
      <c r="O1825">
        <v>8.1541849999999996E-3</v>
      </c>
      <c r="P1825">
        <v>-0.98357890000000003</v>
      </c>
      <c r="Q1825">
        <v>0.1780928</v>
      </c>
      <c r="R1825">
        <v>2.9255079999999999E-2</v>
      </c>
      <c r="S1825">
        <v>-3.0602420000000001</v>
      </c>
      <c r="T1825">
        <v>-2.116036E-2</v>
      </c>
      <c r="U1825">
        <v>-0.193573</v>
      </c>
      <c r="V1825">
        <v>2.1379800000000001E-2</v>
      </c>
      <c r="W1825">
        <v>0.1891206</v>
      </c>
      <c r="X1825">
        <v>0.98172110000000001</v>
      </c>
      <c r="Y1825">
        <v>-7.125977E-2</v>
      </c>
      <c r="Z1825">
        <v>-6.1172080000000001E-4</v>
      </c>
      <c r="AA1825">
        <v>0.99745760000000006</v>
      </c>
      <c r="AB1825">
        <v>37</v>
      </c>
      <c r="AC1825">
        <v>-168.99789999999999</v>
      </c>
      <c r="AD1825">
        <v>-1.1705449999999999</v>
      </c>
      <c r="AE1825">
        <v>-10.7103999999999</v>
      </c>
      <c r="AF1825">
        <v>-12.087593332253901</v>
      </c>
      <c r="AG1825">
        <v>-1.1705449999999999</v>
      </c>
      <c r="AH1825">
        <v>168.896870323906</v>
      </c>
      <c r="AI1825">
        <v>90.396070817844304</v>
      </c>
      <c r="AJ1825">
        <v>94.093558782578498</v>
      </c>
      <c r="AK1825">
        <v>169.332905524512</v>
      </c>
      <c r="AL1825">
        <v>79.098532208404805</v>
      </c>
      <c r="AM1825">
        <v>88.752416848678905</v>
      </c>
      <c r="AN1825">
        <v>1.0000000076888</v>
      </c>
    </row>
    <row r="1826" spans="1:40" x14ac:dyDescent="0.25">
      <c r="A1826" t="str">
        <f>"20190303162816110"</f>
        <v>20190303162816110</v>
      </c>
      <c r="B1826" t="str">
        <f>"1551601696103743"</f>
        <v>1551601696103743</v>
      </c>
      <c r="C1826" t="s">
        <v>40</v>
      </c>
      <c r="D1826">
        <v>5.0006789999999999</v>
      </c>
      <c r="E1826">
        <v>0.46545740000000002</v>
      </c>
      <c r="F1826" t="s">
        <v>42</v>
      </c>
      <c r="G1826">
        <v>-460.1651</v>
      </c>
      <c r="H1826">
        <v>-0.05</v>
      </c>
      <c r="I1826">
        <v>272.74110000000002</v>
      </c>
      <c r="J1826">
        <v>-294.12029999999999</v>
      </c>
      <c r="K1826">
        <v>1.1205499999999999</v>
      </c>
      <c r="L1826">
        <v>283.28429999999997</v>
      </c>
      <c r="M1826">
        <v>-0.99990219999999996</v>
      </c>
      <c r="N1826">
        <v>-1.1236589999999999E-2</v>
      </c>
      <c r="O1826">
        <v>8.3333769999999995E-3</v>
      </c>
      <c r="P1826">
        <v>-0.98364759999999996</v>
      </c>
      <c r="Q1826">
        <v>0.1776905</v>
      </c>
      <c r="R1826">
        <v>2.9388979999999999E-2</v>
      </c>
      <c r="S1826">
        <v>-3.0597530000000002</v>
      </c>
      <c r="T1826">
        <v>-2.1536590000000001E-2</v>
      </c>
      <c r="U1826">
        <v>-0.19393920000000001</v>
      </c>
      <c r="V1826">
        <v>2.1333060000000001E-2</v>
      </c>
      <c r="W1826">
        <v>0.18871830000000001</v>
      </c>
      <c r="X1826">
        <v>0.98179950000000005</v>
      </c>
      <c r="Y1826">
        <v>-7.1567339999999993E-2</v>
      </c>
      <c r="Z1826">
        <v>-6.1918539999999999E-4</v>
      </c>
      <c r="AA1826">
        <v>0.99743559999999998</v>
      </c>
      <c r="AB1826">
        <v>37</v>
      </c>
      <c r="AC1826">
        <v>-166.04480000000001</v>
      </c>
      <c r="AD1826">
        <v>-1.17055</v>
      </c>
      <c r="AE1826">
        <v>-10.543199999999899</v>
      </c>
      <c r="AF1826">
        <v>-11.9260447527249</v>
      </c>
      <c r="AG1826">
        <v>-1.17055</v>
      </c>
      <c r="AH1826">
        <v>165.94295392899099</v>
      </c>
      <c r="AI1826">
        <v>90.403114042815602</v>
      </c>
      <c r="AJ1826">
        <v>94.110685016003302</v>
      </c>
      <c r="AK1826">
        <v>166.37507231982099</v>
      </c>
      <c r="AL1826">
        <v>79.122004648787495</v>
      </c>
      <c r="AM1826">
        <v>88.755242800217005</v>
      </c>
      <c r="AN1826">
        <v>0.99999997720205103</v>
      </c>
    </row>
    <row r="1827" spans="1:40" x14ac:dyDescent="0.25">
      <c r="A1827" t="str">
        <f>"20190303162816131"</f>
        <v>20190303162816131</v>
      </c>
      <c r="B1827" t="str">
        <f>"1551601696123263"</f>
        <v>1551601696123263</v>
      </c>
      <c r="C1827" t="s">
        <v>40</v>
      </c>
      <c r="D1827">
        <v>5.0575659999999996</v>
      </c>
      <c r="E1827">
        <v>0.46536539999999998</v>
      </c>
      <c r="F1827" t="s">
        <v>42</v>
      </c>
      <c r="G1827">
        <v>-460.48779999999999</v>
      </c>
      <c r="H1827">
        <v>-0.05</v>
      </c>
      <c r="I1827">
        <v>272.44209999999998</v>
      </c>
      <c r="J1827">
        <v>-294.46929999999998</v>
      </c>
      <c r="K1827">
        <v>1.12056</v>
      </c>
      <c r="L1827">
        <v>283.28739999999999</v>
      </c>
      <c r="M1827">
        <v>-0.99990020000000002</v>
      </c>
      <c r="N1827">
        <v>-1.123583E-2</v>
      </c>
      <c r="O1827">
        <v>8.5761580000000004E-3</v>
      </c>
      <c r="P1827">
        <v>-0.98367709999999997</v>
      </c>
      <c r="Q1827">
        <v>0.1774078</v>
      </c>
      <c r="R1827">
        <v>3.010285E-2</v>
      </c>
      <c r="S1827">
        <v>-3.059723</v>
      </c>
      <c r="T1827">
        <v>-2.152801E-2</v>
      </c>
      <c r="U1827">
        <v>-0.19940189999999999</v>
      </c>
      <c r="V1827">
        <v>2.1803759999999998E-2</v>
      </c>
      <c r="W1827">
        <v>0.18843589999999999</v>
      </c>
      <c r="X1827">
        <v>0.98184340000000003</v>
      </c>
      <c r="Y1827">
        <v>-7.3583309999999999E-2</v>
      </c>
      <c r="Z1827">
        <v>-6.3645939999999995E-4</v>
      </c>
      <c r="AA1827">
        <v>0.99728890000000003</v>
      </c>
      <c r="AB1827">
        <v>37</v>
      </c>
      <c r="AC1827">
        <v>-166.01849999999999</v>
      </c>
      <c r="AD1827">
        <v>-1.17056</v>
      </c>
      <c r="AE1827">
        <v>-10.8453</v>
      </c>
      <c r="AF1827">
        <v>-12.2681844240568</v>
      </c>
      <c r="AG1827">
        <v>-1.17056</v>
      </c>
      <c r="AH1827">
        <v>165.91116390201799</v>
      </c>
      <c r="AI1827">
        <v>90.403134030401105</v>
      </c>
      <c r="AJ1827">
        <v>94.228999641877394</v>
      </c>
      <c r="AK1827">
        <v>166.36824476773899</v>
      </c>
      <c r="AL1827">
        <v>79.138480582602199</v>
      </c>
      <c r="AM1827">
        <v>88.727843840979403</v>
      </c>
      <c r="AN1827">
        <v>0.999999977241253</v>
      </c>
    </row>
    <row r="1828" spans="1:40" x14ac:dyDescent="0.25">
      <c r="A1828" t="str">
        <f>"20190303162816152"</f>
        <v>20190303162816152</v>
      </c>
      <c r="B1828" t="str">
        <f>"1551601696143759"</f>
        <v>1551601696143759</v>
      </c>
      <c r="C1828" t="s">
        <v>40</v>
      </c>
      <c r="D1828">
        <v>4.9208730000000003</v>
      </c>
      <c r="E1828">
        <v>0.465335</v>
      </c>
      <c r="F1828" t="s">
        <v>42</v>
      </c>
      <c r="G1828">
        <v>-477.71280000000002</v>
      </c>
      <c r="H1828">
        <v>-0.05</v>
      </c>
      <c r="I1828">
        <v>271.42450000000002</v>
      </c>
      <c r="J1828">
        <v>-294.8329</v>
      </c>
      <c r="K1828">
        <v>1.120555</v>
      </c>
      <c r="L1828">
        <v>283.29079999999999</v>
      </c>
      <c r="M1828">
        <v>-0.99989799999999995</v>
      </c>
      <c r="N1828">
        <v>-1.1235429999999999E-2</v>
      </c>
      <c r="O1828">
        <v>8.8290360000000002E-3</v>
      </c>
      <c r="P1828">
        <v>-0.98360449999999999</v>
      </c>
      <c r="Q1828">
        <v>0.1775187</v>
      </c>
      <c r="R1828">
        <v>3.177265E-2</v>
      </c>
      <c r="S1828">
        <v>-3.0593569999999999</v>
      </c>
      <c r="T1828">
        <v>-1.9543169999999999E-2</v>
      </c>
      <c r="U1828">
        <v>-0.19805909999999999</v>
      </c>
      <c r="V1828">
        <v>2.32225E-2</v>
      </c>
      <c r="W1828">
        <v>0.18854460000000001</v>
      </c>
      <c r="X1828">
        <v>0.98179000000000005</v>
      </c>
      <c r="Y1828">
        <v>-7.3407959999999994E-2</v>
      </c>
      <c r="Z1828">
        <v>-6.0431009999999997E-4</v>
      </c>
      <c r="AA1828">
        <v>0.99730180000000002</v>
      </c>
      <c r="AB1828">
        <v>38</v>
      </c>
      <c r="AC1828">
        <v>-182.87989999999999</v>
      </c>
      <c r="AD1828">
        <v>-1.170555</v>
      </c>
      <c r="AE1828">
        <v>-11.866299999999899</v>
      </c>
      <c r="AF1828">
        <v>-13.4800424726615</v>
      </c>
      <c r="AG1828">
        <v>-1.170555</v>
      </c>
      <c r="AH1828">
        <v>182.76054039181801</v>
      </c>
      <c r="AI1828">
        <v>90.365972107259097</v>
      </c>
      <c r="AJ1828">
        <v>94.218380543543802</v>
      </c>
      <c r="AK1828">
        <v>183.26073466070801</v>
      </c>
      <c r="AL1828">
        <v>79.132138857880605</v>
      </c>
      <c r="AM1828">
        <v>88.645022676683894</v>
      </c>
      <c r="AN1828">
        <v>0.99999997739770397</v>
      </c>
    </row>
    <row r="1829" spans="1:40" x14ac:dyDescent="0.25">
      <c r="A1829" t="str">
        <f>"20190303162816164"</f>
        <v>20190303162816164</v>
      </c>
      <c r="B1829" t="str">
        <f>"1551601696153521"</f>
        <v>1551601696153521</v>
      </c>
      <c r="C1829" t="s">
        <v>40</v>
      </c>
      <c r="D1829">
        <v>4.9541969999999997</v>
      </c>
      <c r="E1829">
        <v>0.46534160000000002</v>
      </c>
      <c r="F1829" t="s">
        <v>47</v>
      </c>
      <c r="G1829">
        <v>-479.63260000000002</v>
      </c>
      <c r="H1829">
        <v>7.9999260000000003E-2</v>
      </c>
      <c r="I1829">
        <v>271.65309999999999</v>
      </c>
      <c r="J1829">
        <v>-295.03320000000002</v>
      </c>
      <c r="K1829">
        <v>1.120557</v>
      </c>
      <c r="L1829">
        <v>283.29270000000002</v>
      </c>
      <c r="M1829">
        <v>-0.99989669999999997</v>
      </c>
      <c r="N1829">
        <v>-1.123533E-2</v>
      </c>
      <c r="O1829">
        <v>8.9682930000000004E-3</v>
      </c>
      <c r="P1829">
        <v>-0.98368359999999999</v>
      </c>
      <c r="Q1829">
        <v>0.1769213</v>
      </c>
      <c r="R1829">
        <v>3.2642699999999997E-2</v>
      </c>
      <c r="S1829">
        <v>-3.059326</v>
      </c>
      <c r="T1829">
        <v>-1.722622E-2</v>
      </c>
      <c r="U1829">
        <v>-0.19265750000000001</v>
      </c>
      <c r="V1829">
        <v>2.3953080000000002E-2</v>
      </c>
      <c r="W1829">
        <v>0.187948</v>
      </c>
      <c r="X1829">
        <v>0.98188690000000001</v>
      </c>
      <c r="Y1829">
        <v>-7.179439E-2</v>
      </c>
      <c r="Z1829">
        <v>-5.5545460000000003E-4</v>
      </c>
      <c r="AA1829">
        <v>0.99741930000000001</v>
      </c>
      <c r="AB1829">
        <v>38</v>
      </c>
      <c r="AC1829">
        <v>-184.5994</v>
      </c>
      <c r="AD1829">
        <v>-1.0405577399999999</v>
      </c>
      <c r="AE1829">
        <v>-11.6396</v>
      </c>
      <c r="AF1829">
        <v>-13.2943570488042</v>
      </c>
      <c r="AG1829">
        <v>-1.0405577399999999</v>
      </c>
      <c r="AH1829">
        <v>184.48174278544701</v>
      </c>
      <c r="AI1829">
        <v>90.322333979078707</v>
      </c>
      <c r="AJ1829">
        <v>94.121795913196493</v>
      </c>
      <c r="AK1829">
        <v>184.96306688338399</v>
      </c>
      <c r="AL1829">
        <v>79.166944483232598</v>
      </c>
      <c r="AM1829">
        <v>88.602549600304499</v>
      </c>
      <c r="AN1829">
        <v>1.00000004256854</v>
      </c>
    </row>
    <row r="1830" spans="1:40" x14ac:dyDescent="0.25">
      <c r="A1830" t="str">
        <f>"20190303162816176"</f>
        <v>20190303162816176</v>
      </c>
      <c r="B1830" t="str">
        <f>"1551601696163280"</f>
        <v>1551601696163280</v>
      </c>
      <c r="C1830" t="s">
        <v>40</v>
      </c>
      <c r="D1830">
        <v>5.0037690000000001</v>
      </c>
      <c r="E1830">
        <v>0.46537610000000001</v>
      </c>
      <c r="F1830" t="s">
        <v>42</v>
      </c>
      <c r="G1830">
        <v>-483.43380000000002</v>
      </c>
      <c r="H1830">
        <v>-0.05</v>
      </c>
      <c r="I1830">
        <v>271.6114</v>
      </c>
      <c r="J1830">
        <v>-295.2534</v>
      </c>
      <c r="K1830">
        <v>1.1205560000000001</v>
      </c>
      <c r="L1830">
        <v>283.29480000000001</v>
      </c>
      <c r="M1830">
        <v>-0.99989530000000004</v>
      </c>
      <c r="N1830">
        <v>-1.123538E-2</v>
      </c>
      <c r="O1830">
        <v>9.1213230000000006E-3</v>
      </c>
      <c r="P1830">
        <v>-0.98376129999999995</v>
      </c>
      <c r="Q1830">
        <v>0.17634269999999999</v>
      </c>
      <c r="R1830">
        <v>3.3422960000000002E-2</v>
      </c>
      <c r="S1830">
        <v>-3.0595089999999998</v>
      </c>
      <c r="T1830">
        <v>-1.9009109999999999E-2</v>
      </c>
      <c r="U1830">
        <v>-0.18969730000000001</v>
      </c>
      <c r="V1830">
        <v>2.4580669999999999E-2</v>
      </c>
      <c r="W1830">
        <v>0.18737000000000001</v>
      </c>
      <c r="X1830">
        <v>0.98198180000000002</v>
      </c>
      <c r="Y1830">
        <v>-7.0981559999999999E-2</v>
      </c>
      <c r="Z1830">
        <v>-5.7369270000000002E-4</v>
      </c>
      <c r="AA1830">
        <v>0.99747750000000002</v>
      </c>
      <c r="AB1830">
        <v>38</v>
      </c>
      <c r="AC1830">
        <v>-188.18039999999999</v>
      </c>
      <c r="AD1830">
        <v>-1.1705559999999999</v>
      </c>
      <c r="AE1830">
        <v>-11.683400000000001</v>
      </c>
      <c r="AF1830">
        <v>-13.398959969705899</v>
      </c>
      <c r="AG1830">
        <v>-1.1705559999999999</v>
      </c>
      <c r="AH1830">
        <v>188.05874722326999</v>
      </c>
      <c r="AI1830">
        <v>90.355726462012598</v>
      </c>
      <c r="AJ1830">
        <v>94.075368759873001</v>
      </c>
      <c r="AK1830">
        <v>188.53910665112599</v>
      </c>
      <c r="AL1830">
        <v>79.200659867504399</v>
      </c>
      <c r="AM1830">
        <v>88.566088898451298</v>
      </c>
      <c r="AN1830">
        <v>0.99999999088444402</v>
      </c>
    </row>
    <row r="1831" spans="1:40" x14ac:dyDescent="0.25">
      <c r="A1831" t="str">
        <f>"20190303162816195"</f>
        <v>20190303162816195</v>
      </c>
      <c r="B1831" t="str">
        <f>"1551601696182799"</f>
        <v>1551601696182799</v>
      </c>
      <c r="C1831" t="s">
        <v>40</v>
      </c>
      <c r="D1831">
        <v>4.9353530000000001</v>
      </c>
      <c r="E1831">
        <v>0.46550580000000003</v>
      </c>
      <c r="F1831" t="s">
        <v>42</v>
      </c>
      <c r="G1831">
        <v>-473.98480000000001</v>
      </c>
      <c r="H1831">
        <v>-0.05</v>
      </c>
      <c r="I1831">
        <v>272.36619999999999</v>
      </c>
      <c r="J1831">
        <v>-295.5523</v>
      </c>
      <c r="K1831">
        <v>1.1205609999999999</v>
      </c>
      <c r="L1831">
        <v>283.29770000000002</v>
      </c>
      <c r="M1831">
        <v>-0.99989349999999999</v>
      </c>
      <c r="N1831">
        <v>-1.123561E-2</v>
      </c>
      <c r="O1831">
        <v>9.3285280000000009E-3</v>
      </c>
      <c r="P1831">
        <v>-0.98380129999999999</v>
      </c>
      <c r="Q1831">
        <v>0.1759616</v>
      </c>
      <c r="R1831">
        <v>3.4246199999999997E-2</v>
      </c>
      <c r="S1831">
        <v>-3.0594790000000001</v>
      </c>
      <c r="T1831">
        <v>-2.0037289999999999E-2</v>
      </c>
      <c r="U1831">
        <v>-0.18707280000000001</v>
      </c>
      <c r="V1831">
        <v>2.519824E-2</v>
      </c>
      <c r="W1831">
        <v>0.18698960000000001</v>
      </c>
      <c r="X1831">
        <v>0.98203870000000004</v>
      </c>
      <c r="Y1831">
        <v>-7.0336220000000005E-2</v>
      </c>
      <c r="Z1831">
        <v>-5.8196430000000002E-4</v>
      </c>
      <c r="AA1831">
        <v>0.99752320000000005</v>
      </c>
      <c r="AB1831">
        <v>38</v>
      </c>
      <c r="AC1831">
        <v>-178.4325</v>
      </c>
      <c r="AD1831">
        <v>-1.170561</v>
      </c>
      <c r="AE1831">
        <v>-10.9315</v>
      </c>
      <c r="AF1831">
        <v>-12.59510168534</v>
      </c>
      <c r="AG1831">
        <v>-1.170561</v>
      </c>
      <c r="AH1831">
        <v>178.31510847980201</v>
      </c>
      <c r="AI1831">
        <v>90.3751816988798</v>
      </c>
      <c r="AJ1831">
        <v>94.040317278893099</v>
      </c>
      <c r="AK1831">
        <v>178.76320849571499</v>
      </c>
      <c r="AL1831">
        <v>79.222847812632594</v>
      </c>
      <c r="AM1831">
        <v>88.530163752737806</v>
      </c>
      <c r="AN1831">
        <v>1.00000003505247</v>
      </c>
    </row>
    <row r="1832" spans="1:40" x14ac:dyDescent="0.25">
      <c r="A1832" t="str">
        <f>"20190303162816207"</f>
        <v>20190303162816207</v>
      </c>
      <c r="B1832" t="str">
        <f>"1551601696203296"</f>
        <v>1551601696203296</v>
      </c>
      <c r="C1832" t="s">
        <v>40</v>
      </c>
      <c r="D1832">
        <v>5.0606019999999896</v>
      </c>
      <c r="E1832">
        <v>0.4655957</v>
      </c>
      <c r="F1832" t="s">
        <v>42</v>
      </c>
      <c r="G1832">
        <v>-478.59629999999999</v>
      </c>
      <c r="H1832">
        <v>-0.05</v>
      </c>
      <c r="I1832">
        <v>272.34019999999998</v>
      </c>
      <c r="J1832">
        <v>-295.7534</v>
      </c>
      <c r="K1832">
        <v>1.1205620000000001</v>
      </c>
      <c r="L1832">
        <v>283.29969999999997</v>
      </c>
      <c r="M1832">
        <v>-0.99989220000000001</v>
      </c>
      <c r="N1832">
        <v>-1.123586E-2</v>
      </c>
      <c r="O1832">
        <v>9.4678009999999996E-3</v>
      </c>
      <c r="P1832">
        <v>-0.98378509999999997</v>
      </c>
      <c r="Q1832">
        <v>0.17602679999999901</v>
      </c>
      <c r="R1832">
        <v>3.438099E-2</v>
      </c>
      <c r="S1832">
        <v>-3.0592649999999999</v>
      </c>
      <c r="T1832">
        <v>-1.956391E-2</v>
      </c>
      <c r="U1832">
        <v>-0.18313599999999999</v>
      </c>
      <c r="V1832">
        <v>2.5195510000000001E-2</v>
      </c>
      <c r="W1832">
        <v>0.1870552</v>
      </c>
      <c r="X1832">
        <v>0.98202619999999896</v>
      </c>
      <c r="Y1832">
        <v>-6.9200579999999998E-2</v>
      </c>
      <c r="Z1832">
        <v>-5.6441610000000002E-4</v>
      </c>
      <c r="AA1832">
        <v>0.99760260000000001</v>
      </c>
      <c r="AB1832">
        <v>38</v>
      </c>
      <c r="AC1832">
        <v>-182.84289999999999</v>
      </c>
      <c r="AD1832">
        <v>-1.1705620000000001</v>
      </c>
      <c r="AE1832">
        <v>-10.959499999999901</v>
      </c>
      <c r="AF1832">
        <v>-12.6897197091977</v>
      </c>
      <c r="AG1832">
        <v>-1.1705620000000001</v>
      </c>
      <c r="AH1832">
        <v>182.72347268874799</v>
      </c>
      <c r="AI1832">
        <v>90.366160946331604</v>
      </c>
      <c r="AJ1832">
        <v>93.972679950784894</v>
      </c>
      <c r="AK1832">
        <v>183.16731879112501</v>
      </c>
      <c r="AL1832">
        <v>79.219020876399696</v>
      </c>
      <c r="AM1832">
        <v>88.530304227276602</v>
      </c>
      <c r="AN1832">
        <v>0.99999995952881904</v>
      </c>
    </row>
    <row r="1833" spans="1:40" x14ac:dyDescent="0.25">
      <c r="A1833" t="str">
        <f>"20190303162816217"</f>
        <v>20190303162816217</v>
      </c>
      <c r="B1833" t="str">
        <f>"1551601696213056"</f>
        <v>1551601696213056</v>
      </c>
      <c r="C1833" t="s">
        <v>40</v>
      </c>
      <c r="D1833">
        <v>4.8884339999999904</v>
      </c>
      <c r="E1833">
        <v>0.46587790000000001</v>
      </c>
      <c r="F1833" t="s">
        <v>47</v>
      </c>
      <c r="G1833">
        <v>-497.46039999999999</v>
      </c>
      <c r="H1833" s="1">
        <v>5.2399459999999998E-7</v>
      </c>
      <c r="I1833">
        <v>271.334</v>
      </c>
      <c r="J1833">
        <v>-295.94639999999998</v>
      </c>
      <c r="K1833">
        <v>1.1205560000000001</v>
      </c>
      <c r="L1833">
        <v>283.30169999999998</v>
      </c>
      <c r="M1833">
        <v>-0.99989090000000003</v>
      </c>
      <c r="N1833">
        <v>-1.123619E-2</v>
      </c>
      <c r="O1833">
        <v>9.6014759999999994E-3</v>
      </c>
      <c r="P1833">
        <v>-0.98381819999999998</v>
      </c>
      <c r="Q1833">
        <v>0.1758043</v>
      </c>
      <c r="R1833">
        <v>3.4564070000000002E-2</v>
      </c>
      <c r="S1833">
        <v>-3.0588380000000002</v>
      </c>
      <c r="T1833">
        <v>-1.6993049999999999E-2</v>
      </c>
      <c r="U1833">
        <v>-0.18145749999999999</v>
      </c>
      <c r="V1833">
        <v>2.5245920000000002E-2</v>
      </c>
      <c r="W1833">
        <v>0.1868332</v>
      </c>
      <c r="X1833">
        <v>0.98206720000000003</v>
      </c>
      <c r="Y1833">
        <v>-6.8797410000000003E-2</v>
      </c>
      <c r="Z1833">
        <v>-5.2330889999999998E-4</v>
      </c>
      <c r="AA1833">
        <v>0.99763049999999998</v>
      </c>
      <c r="AB1833">
        <v>38</v>
      </c>
      <c r="AC1833">
        <v>-201.51400000000001</v>
      </c>
      <c r="AD1833">
        <v>-1.1205554760054</v>
      </c>
      <c r="AE1833">
        <v>-11.967699999999899</v>
      </c>
      <c r="AF1833">
        <v>-13.9016736713381</v>
      </c>
      <c r="AG1833">
        <v>-1.1205554760054</v>
      </c>
      <c r="AH1833">
        <v>201.38359003488799</v>
      </c>
      <c r="AI1833">
        <v>90.318049817841597</v>
      </c>
      <c r="AJ1833">
        <v>93.948909879726699</v>
      </c>
      <c r="AK1833">
        <v>201.86595183630899</v>
      </c>
      <c r="AL1833">
        <v>79.231969172065902</v>
      </c>
      <c r="AM1833">
        <v>88.527426475629497</v>
      </c>
      <c r="AN1833">
        <v>0.99999999320736299</v>
      </c>
    </row>
    <row r="1834" spans="1:40" x14ac:dyDescent="0.25">
      <c r="A1834" t="str">
        <f>"20190303162816231"</f>
        <v>20190303162816231</v>
      </c>
      <c r="B1834" t="str">
        <f>"1551601696222815"</f>
        <v>1551601696222815</v>
      </c>
      <c r="C1834" t="s">
        <v>40</v>
      </c>
      <c r="D1834">
        <v>4.9046339999999997</v>
      </c>
      <c r="E1834">
        <v>0.46587790000000001</v>
      </c>
      <c r="F1834" t="s">
        <v>47</v>
      </c>
      <c r="G1834">
        <v>-478.33080000000001</v>
      </c>
      <c r="H1834">
        <v>7.9999310000000004E-2</v>
      </c>
      <c r="I1834">
        <v>272.65839999999997</v>
      </c>
      <c r="J1834">
        <v>-296.1644</v>
      </c>
      <c r="K1834">
        <v>1.1205529999999999</v>
      </c>
      <c r="L1834">
        <v>283.3039</v>
      </c>
      <c r="M1834">
        <v>-0.99988940000000004</v>
      </c>
      <c r="N1834">
        <v>-1.123671E-2</v>
      </c>
      <c r="O1834">
        <v>9.7526109999999996E-3</v>
      </c>
      <c r="P1834">
        <v>-0.98384130000000003</v>
      </c>
      <c r="Q1834">
        <v>0.17560339999999999</v>
      </c>
      <c r="R1834">
        <v>3.4927310000000003E-2</v>
      </c>
      <c r="S1834">
        <v>-3.0587460000000002</v>
      </c>
      <c r="T1834">
        <v>-1.7451049999999999E-2</v>
      </c>
      <c r="U1834">
        <v>-0.1784973</v>
      </c>
      <c r="V1834">
        <v>2.5459619999999999E-2</v>
      </c>
      <c r="W1834">
        <v>0.18663360000000001</v>
      </c>
      <c r="X1834">
        <v>0.98209970000000002</v>
      </c>
      <c r="Y1834">
        <v>-6.7987710000000007E-2</v>
      </c>
      <c r="Z1834">
        <v>-5.2220860000000001E-4</v>
      </c>
      <c r="AA1834">
        <v>0.99768599999999996</v>
      </c>
      <c r="AB1834">
        <v>38</v>
      </c>
      <c r="AC1834">
        <v>-182.16640000000001</v>
      </c>
      <c r="AD1834">
        <v>-1.0405536900000001</v>
      </c>
      <c r="AE1834">
        <v>-10.6455</v>
      </c>
      <c r="AF1834">
        <v>-12.421299793269499</v>
      </c>
      <c r="AG1834">
        <v>-1.0405536900000001</v>
      </c>
      <c r="AH1834">
        <v>182.04798782824099</v>
      </c>
      <c r="AI1834">
        <v>90.326729209228702</v>
      </c>
      <c r="AJ1834">
        <v>93.903293446691507</v>
      </c>
      <c r="AK1834">
        <v>182.47422095421399</v>
      </c>
      <c r="AL1834">
        <v>79.243610859981004</v>
      </c>
      <c r="AM1834">
        <v>88.515016211846401</v>
      </c>
      <c r="AN1834">
        <v>1.00000005681979</v>
      </c>
    </row>
    <row r="1835" spans="1:40" x14ac:dyDescent="0.25">
      <c r="A1835" t="str">
        <f>"20190303162816252"</f>
        <v>20190303162816252</v>
      </c>
      <c r="B1835" t="str">
        <f>"1551601696243311"</f>
        <v>1551601696243311</v>
      </c>
      <c r="C1835" t="s">
        <v>40</v>
      </c>
      <c r="D1835">
        <v>4.9159129999999998</v>
      </c>
      <c r="E1835">
        <v>0.48239290000000001</v>
      </c>
      <c r="F1835" t="s">
        <v>47</v>
      </c>
      <c r="G1835">
        <v>-484.7894</v>
      </c>
      <c r="H1835" s="1">
        <v>5.1699449999999899E-7</v>
      </c>
      <c r="I1835">
        <v>272.37560000000002</v>
      </c>
      <c r="J1835">
        <v>-296.51819999999998</v>
      </c>
      <c r="K1835">
        <v>1.1205529999999999</v>
      </c>
      <c r="L1835">
        <v>283.30759999999998</v>
      </c>
      <c r="M1835">
        <v>-0.99988699999999997</v>
      </c>
      <c r="N1835">
        <v>-1.12377E-2</v>
      </c>
      <c r="O1835">
        <v>9.9978519999999998E-3</v>
      </c>
      <c r="P1835">
        <v>-0.98388399999999998</v>
      </c>
      <c r="Q1835">
        <v>0.17526639999999999</v>
      </c>
      <c r="R1835">
        <v>3.5412020000000002E-2</v>
      </c>
      <c r="S1835">
        <v>-3.0587770000000001</v>
      </c>
      <c r="T1835">
        <v>-1.8171070000000001E-2</v>
      </c>
      <c r="U1835">
        <v>-0.1772156</v>
      </c>
      <c r="V1835">
        <v>2.570153E-2</v>
      </c>
      <c r="W1835">
        <v>0.18629770000000001</v>
      </c>
      <c r="X1835">
        <v>0.98215710000000001</v>
      </c>
      <c r="Y1835">
        <v>-6.7815009999999995E-2</v>
      </c>
      <c r="Z1835">
        <v>-5.2973530000000003E-4</v>
      </c>
      <c r="AA1835">
        <v>0.99769779999999997</v>
      </c>
      <c r="AB1835">
        <v>38</v>
      </c>
      <c r="AC1835">
        <v>-188.27119999999999</v>
      </c>
      <c r="AD1835">
        <v>-1.1205524830055</v>
      </c>
      <c r="AE1835">
        <v>-10.931999999999899</v>
      </c>
      <c r="AF1835">
        <v>-12.8134273941182</v>
      </c>
      <c r="AG1835">
        <v>-1.1205524830055</v>
      </c>
      <c r="AH1835">
        <v>188.14584318848301</v>
      </c>
      <c r="AI1835">
        <v>90.340447595144198</v>
      </c>
      <c r="AJ1835">
        <v>93.896038385414698</v>
      </c>
      <c r="AK1835">
        <v>188.58498844965601</v>
      </c>
      <c r="AL1835">
        <v>79.263199300955506</v>
      </c>
      <c r="AM1835">
        <v>88.501000301258003</v>
      </c>
      <c r="AN1835">
        <v>0.99999998537502</v>
      </c>
    </row>
    <row r="1836" spans="1:40" x14ac:dyDescent="0.25">
      <c r="A1836" t="str">
        <f>"20190303162816264"</f>
        <v>20190303162816264</v>
      </c>
      <c r="B1836" t="str">
        <f>"1551601696253072"</f>
        <v>1551601696253072</v>
      </c>
      <c r="C1836" t="s">
        <v>40</v>
      </c>
      <c r="D1836">
        <v>4.8035030000000001</v>
      </c>
      <c r="E1836">
        <v>0.51663099999999995</v>
      </c>
      <c r="F1836" t="s">
        <v>49</v>
      </c>
      <c r="G1836">
        <v>-312.68299999999999</v>
      </c>
      <c r="H1836" s="1">
        <v>3.5431999999999998E-6</v>
      </c>
      <c r="I1836">
        <v>283.05619999999999</v>
      </c>
      <c r="J1836">
        <v>-296.7115</v>
      </c>
      <c r="K1836">
        <v>1.120555</v>
      </c>
      <c r="L1836">
        <v>283.30959999999999</v>
      </c>
      <c r="M1836">
        <v>-0.99988569999999999</v>
      </c>
      <c r="N1836">
        <v>-1.123825E-2</v>
      </c>
      <c r="O1836">
        <v>1.013153E-2</v>
      </c>
      <c r="P1836">
        <v>-0.98381879999999999</v>
      </c>
      <c r="Q1836">
        <v>0.17558979999999999</v>
      </c>
      <c r="R1836">
        <v>3.5623439999999999E-2</v>
      </c>
      <c r="S1836">
        <v>-3.0890200000000001</v>
      </c>
      <c r="T1836">
        <v>-0.21413199999999999</v>
      </c>
      <c r="U1836">
        <v>-4.8034670000000002E-2</v>
      </c>
      <c r="V1836">
        <v>2.5781999999999999E-2</v>
      </c>
      <c r="W1836">
        <v>0.18662100000000001</v>
      </c>
      <c r="X1836">
        <v>0.98209360000000001</v>
      </c>
      <c r="Y1836">
        <v>-2.5589959999999998E-2</v>
      </c>
      <c r="Z1836">
        <v>-1.6175429999999999E-3</v>
      </c>
      <c r="AA1836">
        <v>0.99967119999999998</v>
      </c>
      <c r="AB1836">
        <v>38</v>
      </c>
      <c r="AC1836">
        <v>-15.971499999999899</v>
      </c>
      <c r="AD1836">
        <v>-1.1205514567999999</v>
      </c>
      <c r="AE1836">
        <v>-0.25339999999999901</v>
      </c>
      <c r="AF1836">
        <v>-0.41317961288812499</v>
      </c>
      <c r="AG1836">
        <v>-1.1205514567999999</v>
      </c>
      <c r="AH1836">
        <v>15.8899166690271</v>
      </c>
      <c r="AI1836">
        <v>94.032442265366996</v>
      </c>
      <c r="AJ1836">
        <v>91.489505273053396</v>
      </c>
      <c r="AK1836">
        <v>15.9347357903565</v>
      </c>
      <c r="AL1836">
        <v>79.244344797653</v>
      </c>
      <c r="AM1836">
        <v>88.496211990838802</v>
      </c>
      <c r="AN1836">
        <v>0.99999997416297903</v>
      </c>
    </row>
    <row r="1837" spans="1:40" x14ac:dyDescent="0.25">
      <c r="A1837" t="str">
        <f>"20190303162816276"</f>
        <v>20190303162816276</v>
      </c>
      <c r="B1837" t="str">
        <f>"1551601696273568"</f>
        <v>1551601696273568</v>
      </c>
      <c r="C1837" t="s">
        <v>40</v>
      </c>
      <c r="D1837">
        <v>4.7702099999999996</v>
      </c>
      <c r="E1837">
        <v>0.51924049999999999</v>
      </c>
      <c r="F1837" t="s">
        <v>44</v>
      </c>
      <c r="G1837">
        <v>-297.69290000000001</v>
      </c>
      <c r="H1837">
        <v>0.88849140000000004</v>
      </c>
      <c r="I1837">
        <v>283.37619999999998</v>
      </c>
      <c r="J1837">
        <v>-296.93259999999998</v>
      </c>
      <c r="K1837">
        <v>1.120557</v>
      </c>
      <c r="L1837">
        <v>283.31200000000001</v>
      </c>
      <c r="M1837">
        <v>-0.9998842</v>
      </c>
      <c r="N1837">
        <v>-1.1238969999999999E-2</v>
      </c>
      <c r="O1837">
        <v>1.028429E-2</v>
      </c>
      <c r="P1837">
        <v>-0.98377910000000002</v>
      </c>
      <c r="Q1837">
        <v>0.17580760000000001</v>
      </c>
      <c r="R1837">
        <v>3.564643E-2</v>
      </c>
      <c r="S1837">
        <v>-3.1755979999999999</v>
      </c>
      <c r="T1837">
        <v>-0.75092380000000003</v>
      </c>
      <c r="U1837">
        <v>0.21481320000000001</v>
      </c>
      <c r="V1837">
        <v>2.5655089999999998E-2</v>
      </c>
      <c r="W1837">
        <v>0.18683930000000001</v>
      </c>
      <c r="X1837">
        <v>0.98205540000000002</v>
      </c>
      <c r="Y1837">
        <v>5.587288E-2</v>
      </c>
      <c r="Z1837">
        <v>4.545884E-3</v>
      </c>
      <c r="AA1837">
        <v>0.99842759999999997</v>
      </c>
      <c r="AB1837">
        <v>38</v>
      </c>
      <c r="AC1837">
        <v>-0.76030000000002895</v>
      </c>
      <c r="AD1837">
        <v>-0.23206560000000001</v>
      </c>
      <c r="AE1837">
        <v>6.41999999999711E-2</v>
      </c>
      <c r="AF1837">
        <v>5.1603387263721198E-2</v>
      </c>
      <c r="AG1837">
        <v>-0.23206560000000001</v>
      </c>
      <c r="AH1837">
        <v>0.69649106396898797</v>
      </c>
      <c r="AI1837">
        <v>108.38070480739</v>
      </c>
      <c r="AJ1837">
        <v>85.762667885359406</v>
      </c>
      <c r="AK1837">
        <v>0.73594643451076103</v>
      </c>
      <c r="AL1837">
        <v>79.231613021277099</v>
      </c>
      <c r="AM1837">
        <v>88.503552722801004</v>
      </c>
      <c r="AN1837">
        <v>0.99999995816827802</v>
      </c>
    </row>
    <row r="1838" spans="1:40" x14ac:dyDescent="0.25">
      <c r="A1838" t="str">
        <f>"20190303162816290"</f>
        <v>20190303162816290</v>
      </c>
      <c r="B1838" t="str">
        <f>"1551601696283328"</f>
        <v>1551601696283328</v>
      </c>
      <c r="C1838" t="s">
        <v>40</v>
      </c>
      <c r="D1838">
        <v>4.7729019999999904</v>
      </c>
      <c r="E1838">
        <v>0.51916320000000005</v>
      </c>
      <c r="F1838" t="s">
        <v>44</v>
      </c>
      <c r="G1838">
        <v>-297.70069999999998</v>
      </c>
      <c r="H1838">
        <v>0.90511920000000001</v>
      </c>
      <c r="I1838">
        <v>283.36799999999999</v>
      </c>
      <c r="J1838">
        <v>-297.15690000000001</v>
      </c>
      <c r="K1838">
        <v>1.1205590000000001</v>
      </c>
      <c r="L1838">
        <v>283.31450000000001</v>
      </c>
      <c r="M1838">
        <v>-0.99988250000000001</v>
      </c>
      <c r="N1838">
        <v>-1.123975E-2</v>
      </c>
      <c r="O1838">
        <v>1.043942E-2</v>
      </c>
      <c r="P1838">
        <v>-0.98373829999999995</v>
      </c>
      <c r="Q1838">
        <v>0.17603659999999999</v>
      </c>
      <c r="R1838">
        <v>3.5642529999999999E-2</v>
      </c>
      <c r="S1838">
        <v>-3.201508</v>
      </c>
      <c r="T1838">
        <v>-0.89798140000000004</v>
      </c>
      <c r="U1838">
        <v>0.23300170000000001</v>
      </c>
      <c r="V1838">
        <v>2.5498900000000001E-2</v>
      </c>
      <c r="W1838">
        <v>0.18706880000000001</v>
      </c>
      <c r="X1838">
        <v>0.98201579999999999</v>
      </c>
      <c r="Y1838">
        <v>6.0134710000000001E-2</v>
      </c>
      <c r="Z1838">
        <v>5.8548419999999999E-3</v>
      </c>
      <c r="AA1838">
        <v>0.99817310000000004</v>
      </c>
      <c r="AB1838">
        <v>38</v>
      </c>
      <c r="AC1838">
        <v>-0.54379999999997597</v>
      </c>
      <c r="AD1838">
        <v>-0.21543979999999999</v>
      </c>
      <c r="AE1838">
        <v>5.34999999999854E-2</v>
      </c>
      <c r="AF1838">
        <v>4.1386281050169699E-2</v>
      </c>
      <c r="AG1838">
        <v>-0.21543979999999999</v>
      </c>
      <c r="AH1838">
        <v>0.47109697826712599</v>
      </c>
      <c r="AI1838">
        <v>114.492140511138</v>
      </c>
      <c r="AJ1838">
        <v>84.979405188136298</v>
      </c>
      <c r="AK1838">
        <v>0.519672487837889</v>
      </c>
      <c r="AL1838">
        <v>79.218227882217406</v>
      </c>
      <c r="AM1838">
        <v>88.5125991442996</v>
      </c>
      <c r="AN1838">
        <v>0.99999998064214402</v>
      </c>
    </row>
    <row r="1839" spans="1:40" x14ac:dyDescent="0.25">
      <c r="A1839" t="str">
        <f>"20190303162816307"</f>
        <v>20190303162816307</v>
      </c>
      <c r="B1839" t="str">
        <f>"1551601696302847"</f>
        <v>1551601696302847</v>
      </c>
      <c r="C1839" t="s">
        <v>40</v>
      </c>
      <c r="D1839">
        <v>4.7560529999999996</v>
      </c>
      <c r="E1839">
        <v>0.51999879999999998</v>
      </c>
      <c r="F1839" t="s">
        <v>44</v>
      </c>
      <c r="G1839">
        <v>-298.02179999999998</v>
      </c>
      <c r="H1839">
        <v>0.86818269999999997</v>
      </c>
      <c r="I1839">
        <v>283.37720000000002</v>
      </c>
      <c r="J1839">
        <v>-297.44810000000001</v>
      </c>
      <c r="K1839">
        <v>1.1205639999999999</v>
      </c>
      <c r="L1839">
        <v>283.3177</v>
      </c>
      <c r="M1839">
        <v>-0.99988030000000006</v>
      </c>
      <c r="N1839">
        <v>-1.124085E-2</v>
      </c>
      <c r="O1839">
        <v>1.064063E-2</v>
      </c>
      <c r="P1839">
        <v>-0.98364320000000005</v>
      </c>
      <c r="Q1839">
        <v>0.17659069999999999</v>
      </c>
      <c r="R1839">
        <v>3.552901E-2</v>
      </c>
      <c r="S1839">
        <v>-3.20871</v>
      </c>
      <c r="T1839">
        <v>-0.93626739999999997</v>
      </c>
      <c r="U1839">
        <v>0.23211670000000001</v>
      </c>
      <c r="V1839">
        <v>2.5188829999999999E-2</v>
      </c>
      <c r="W1839">
        <v>0.18762290000000001</v>
      </c>
      <c r="X1839">
        <v>0.98191810000000002</v>
      </c>
      <c r="Y1839">
        <v>5.9379010000000003E-2</v>
      </c>
      <c r="Z1839">
        <v>5.8967530000000002E-3</v>
      </c>
      <c r="AA1839">
        <v>0.9982181</v>
      </c>
      <c r="AB1839">
        <v>38</v>
      </c>
      <c r="AC1839">
        <v>-0.57369999999997301</v>
      </c>
      <c r="AD1839">
        <v>-0.25238129999999898</v>
      </c>
      <c r="AE1839">
        <v>5.9500000000014097E-2</v>
      </c>
      <c r="AF1839">
        <v>4.4811675629178899E-2</v>
      </c>
      <c r="AG1839">
        <v>-0.25238129999999898</v>
      </c>
      <c r="AH1839">
        <v>0.482010641336998</v>
      </c>
      <c r="AI1839">
        <v>117.53541408707</v>
      </c>
      <c r="AJ1839">
        <v>84.688580108419103</v>
      </c>
      <c r="AK1839">
        <v>0.54592917601506596</v>
      </c>
      <c r="AL1839">
        <v>79.185908164023004</v>
      </c>
      <c r="AM1839">
        <v>88.530532025931507</v>
      </c>
      <c r="AN1839">
        <v>0.99999999243439397</v>
      </c>
    </row>
    <row r="1840" spans="1:40" x14ac:dyDescent="0.25">
      <c r="A1840" t="str">
        <f>"20190303162816331"</f>
        <v>20190303162816331</v>
      </c>
      <c r="B1840" t="str">
        <f>"1551601696323343"</f>
        <v>1551601696323343</v>
      </c>
      <c r="C1840" t="s">
        <v>40</v>
      </c>
      <c r="D1840">
        <v>4.6957449999999996</v>
      </c>
      <c r="E1840">
        <v>0.52082879999999998</v>
      </c>
      <c r="F1840" t="s">
        <v>44</v>
      </c>
      <c r="G1840">
        <v>-298.35199999999998</v>
      </c>
      <c r="H1840">
        <v>0.85105370000000002</v>
      </c>
      <c r="I1840">
        <v>283.38490000000002</v>
      </c>
      <c r="J1840">
        <v>-297.84249999999997</v>
      </c>
      <c r="K1840">
        <v>1.1205670000000001</v>
      </c>
      <c r="L1840">
        <v>283.32209999999998</v>
      </c>
      <c r="M1840">
        <v>-0.99987729999999997</v>
      </c>
      <c r="N1840">
        <v>-1.1242459999999999E-2</v>
      </c>
      <c r="O1840">
        <v>1.0913239999999999E-2</v>
      </c>
      <c r="P1840">
        <v>-0.98364499999999999</v>
      </c>
      <c r="Q1840">
        <v>0.17660020000000001</v>
      </c>
      <c r="R1840">
        <v>3.542841E-2</v>
      </c>
      <c r="S1840">
        <v>-3.213257</v>
      </c>
      <c r="T1840">
        <v>-0.95800339999999995</v>
      </c>
      <c r="U1840">
        <v>0.2388306</v>
      </c>
      <c r="V1840">
        <v>2.4819580000000001E-2</v>
      </c>
      <c r="W1840">
        <v>0.1876342</v>
      </c>
      <c r="X1840">
        <v>0.98192539999999995</v>
      </c>
      <c r="Y1840">
        <v>6.0931140000000002E-2</v>
      </c>
      <c r="Z1840">
        <v>6.1688269999999896E-3</v>
      </c>
      <c r="AA1840">
        <v>0.99812290000000004</v>
      </c>
      <c r="AB1840">
        <v>38</v>
      </c>
      <c r="AC1840">
        <v>-0.50950000000005902</v>
      </c>
      <c r="AD1840">
        <v>-0.26951330000000001</v>
      </c>
      <c r="AE1840">
        <v>6.2800000000038297E-2</v>
      </c>
      <c r="AF1840">
        <v>4.4868570768873697E-2</v>
      </c>
      <c r="AG1840">
        <v>-0.26951330000000001</v>
      </c>
      <c r="AH1840">
        <v>0.39992457184415198</v>
      </c>
      <c r="AI1840">
        <v>123.81056202430599</v>
      </c>
      <c r="AJ1840">
        <v>83.598607415825796</v>
      </c>
      <c r="AK1840">
        <v>0.48434519785423602</v>
      </c>
      <c r="AL1840">
        <v>79.185249621933593</v>
      </c>
      <c r="AM1840">
        <v>88.552074883425703</v>
      </c>
      <c r="AN1840">
        <v>1.0000000478630799</v>
      </c>
    </row>
    <row r="1841" spans="1:40" x14ac:dyDescent="0.25">
      <c r="A1841" t="str">
        <f>"20190303162816352"</f>
        <v>20190303162816352</v>
      </c>
      <c r="B1841" t="str">
        <f>"1551601696342863"</f>
        <v>1551601696342863</v>
      </c>
      <c r="C1841" t="s">
        <v>40</v>
      </c>
      <c r="D1841">
        <v>4.669867</v>
      </c>
      <c r="E1841">
        <v>0.52117139999999995</v>
      </c>
      <c r="F1841" t="s">
        <v>44</v>
      </c>
      <c r="G1841">
        <v>-298.69439999999997</v>
      </c>
      <c r="H1841">
        <v>0.86429140000000004</v>
      </c>
      <c r="I1841">
        <v>283.38740000000001</v>
      </c>
      <c r="J1841">
        <v>-298.20819999999998</v>
      </c>
      <c r="K1841">
        <v>1.120565</v>
      </c>
      <c r="L1841">
        <v>283.3263</v>
      </c>
      <c r="M1841">
        <v>-0.99987459999999995</v>
      </c>
      <c r="N1841">
        <v>-1.12441E-2</v>
      </c>
      <c r="O1841">
        <v>1.1166000000000001E-2</v>
      </c>
      <c r="P1841">
        <v>-0.98357450000000002</v>
      </c>
      <c r="Q1841">
        <v>0.177055399999999</v>
      </c>
      <c r="R1841">
        <v>3.5113970000000001E-2</v>
      </c>
      <c r="S1841">
        <v>-3.2145999999999999</v>
      </c>
      <c r="T1841">
        <v>-0.96700220000000003</v>
      </c>
      <c r="U1841">
        <v>0.24575810000000001</v>
      </c>
      <c r="V1841">
        <v>2.4257419999999998E-2</v>
      </c>
      <c r="W1841">
        <v>0.18809119999999999</v>
      </c>
      <c r="X1841">
        <v>0.9818519</v>
      </c>
      <c r="Y1841">
        <v>6.2678159999999997E-2</v>
      </c>
      <c r="Z1841">
        <v>6.4128419999999898E-3</v>
      </c>
      <c r="AA1841">
        <v>0.99801320000000004</v>
      </c>
      <c r="AB1841">
        <v>38</v>
      </c>
      <c r="AC1841">
        <v>-0.48619999999999602</v>
      </c>
      <c r="AD1841">
        <v>-0.25627359999999999</v>
      </c>
      <c r="AE1841">
        <v>6.1100000000010299E-2</v>
      </c>
      <c r="AF1841">
        <v>4.3711435394714997E-2</v>
      </c>
      <c r="AG1841">
        <v>-0.25627359999999999</v>
      </c>
      <c r="AH1841">
        <v>0.38229151643306902</v>
      </c>
      <c r="AI1841">
        <v>123.66449438501</v>
      </c>
      <c r="AJ1841">
        <v>83.477094975193495</v>
      </c>
      <c r="AK1841">
        <v>0.46231336902356801</v>
      </c>
      <c r="AL1841">
        <v>79.1585895910098</v>
      </c>
      <c r="AM1841">
        <v>88.584750801067401</v>
      </c>
      <c r="AN1841">
        <v>0.99999993773805096</v>
      </c>
    </row>
    <row r="1842" spans="1:40" x14ac:dyDescent="0.25">
      <c r="A1842" t="str">
        <f>"20190303162816366"</f>
        <v>20190303162816366</v>
      </c>
      <c r="B1842" t="str">
        <f>"1551601696363360"</f>
        <v>1551601696363360</v>
      </c>
      <c r="C1842" t="s">
        <v>40</v>
      </c>
      <c r="D1842">
        <v>4.6360429999999999</v>
      </c>
      <c r="E1842">
        <v>0.52142089999999996</v>
      </c>
      <c r="F1842" t="s">
        <v>44</v>
      </c>
      <c r="G1842">
        <v>-299.03449999999998</v>
      </c>
      <c r="H1842">
        <v>0.87119480000000005</v>
      </c>
      <c r="I1842">
        <v>283.39019999999999</v>
      </c>
      <c r="J1842">
        <v>-298.42750000000001</v>
      </c>
      <c r="K1842">
        <v>1.1205639999999999</v>
      </c>
      <c r="L1842">
        <v>283.32889999999998</v>
      </c>
      <c r="M1842">
        <v>-0.99987269999999995</v>
      </c>
      <c r="N1842">
        <v>-1.1245109999999999E-2</v>
      </c>
      <c r="O1842">
        <v>1.131804E-2</v>
      </c>
      <c r="P1842">
        <v>-0.98355619999999999</v>
      </c>
      <c r="Q1842">
        <v>0.17717620000000001</v>
      </c>
      <c r="R1842">
        <v>3.5014700000000003E-2</v>
      </c>
      <c r="S1842">
        <v>-3.215973</v>
      </c>
      <c r="T1842">
        <v>-0.97048630000000002</v>
      </c>
      <c r="U1842">
        <v>0.24829100000000001</v>
      </c>
      <c r="V1842">
        <v>2.4008749999999999E-2</v>
      </c>
      <c r="W1842">
        <v>0.1882125</v>
      </c>
      <c r="X1842">
        <v>0.98183480000000001</v>
      </c>
      <c r="Y1842">
        <v>6.3241359999999996E-2</v>
      </c>
      <c r="Z1842">
        <v>6.4739109999999997E-3</v>
      </c>
      <c r="AA1842">
        <v>0.99797729999999996</v>
      </c>
      <c r="AB1842">
        <v>38</v>
      </c>
      <c r="AC1842">
        <v>-0.60699999999997001</v>
      </c>
      <c r="AD1842">
        <v>-0.24936919999999901</v>
      </c>
      <c r="AE1842">
        <v>6.1300000000017001E-2</v>
      </c>
      <c r="AF1842">
        <v>4.6634336388929602E-2</v>
      </c>
      <c r="AG1842">
        <v>-0.24936919999999901</v>
      </c>
      <c r="AH1842">
        <v>0.52066659207068899</v>
      </c>
      <c r="AI1842">
        <v>115.50266348678799</v>
      </c>
      <c r="AJ1842">
        <v>84.881868861190299</v>
      </c>
      <c r="AK1842">
        <v>0.57918344187103699</v>
      </c>
      <c r="AL1842">
        <v>79.151513581030102</v>
      </c>
      <c r="AM1842">
        <v>88.599228743630505</v>
      </c>
      <c r="AN1842">
        <v>0.99999996986192496</v>
      </c>
    </row>
    <row r="1843" spans="1:40" x14ac:dyDescent="0.25">
      <c r="A1843" t="str">
        <f>"20190303162816378"</f>
        <v>20190303162816378</v>
      </c>
      <c r="B1843" t="str">
        <f>"1551601696373120"</f>
        <v>1551601696373120</v>
      </c>
      <c r="C1843" t="s">
        <v>40</v>
      </c>
      <c r="D1843">
        <v>4.6476160000000002</v>
      </c>
      <c r="E1843">
        <v>0.521594</v>
      </c>
      <c r="F1843" t="s">
        <v>44</v>
      </c>
      <c r="G1843">
        <v>-299.35919999999999</v>
      </c>
      <c r="H1843">
        <v>0.83895249999999999</v>
      </c>
      <c r="I1843">
        <v>283.40159999999997</v>
      </c>
      <c r="J1843">
        <v>-298.65769999999998</v>
      </c>
      <c r="K1843">
        <v>1.1205639999999999</v>
      </c>
      <c r="L1843">
        <v>283.33159999999998</v>
      </c>
      <c r="M1843">
        <v>-0.99987099999999995</v>
      </c>
      <c r="N1843">
        <v>-1.1246219999999999E-2</v>
      </c>
      <c r="O1843">
        <v>1.147682E-2</v>
      </c>
      <c r="P1843">
        <v>-0.98351359999999999</v>
      </c>
      <c r="Q1843">
        <v>0.1774541</v>
      </c>
      <c r="R1843">
        <v>3.4806839999999999E-2</v>
      </c>
      <c r="S1843">
        <v>-3.2163390000000001</v>
      </c>
      <c r="T1843">
        <v>-0.97215560000000001</v>
      </c>
      <c r="U1843">
        <v>0.24996950000000001</v>
      </c>
      <c r="V1843">
        <v>2.36454E-2</v>
      </c>
      <c r="W1843">
        <v>0.1884912</v>
      </c>
      <c r="X1843">
        <v>0.98179019999999995</v>
      </c>
      <c r="Y1843">
        <v>6.3575640000000003E-2</v>
      </c>
      <c r="Z1843">
        <v>6.4892269999999898E-3</v>
      </c>
      <c r="AA1843">
        <v>0.99795590000000001</v>
      </c>
      <c r="AB1843">
        <v>38</v>
      </c>
      <c r="AC1843">
        <v>-0.70150000000001</v>
      </c>
      <c r="AD1843">
        <v>-0.28161149999999902</v>
      </c>
      <c r="AE1843">
        <v>6.9999999999993096E-2</v>
      </c>
      <c r="AF1843">
        <v>5.3419858112209201E-2</v>
      </c>
      <c r="AG1843">
        <v>-0.28161149999999902</v>
      </c>
      <c r="AH1843">
        <v>0.60562034660295805</v>
      </c>
      <c r="AI1843">
        <v>114.85349236955101</v>
      </c>
      <c r="AJ1843">
        <v>84.959166537972905</v>
      </c>
      <c r="AK1843">
        <v>0.670025911732125</v>
      </c>
      <c r="AL1843">
        <v>79.135254750255797</v>
      </c>
      <c r="AM1843">
        <v>88.620357205931796</v>
      </c>
      <c r="AN1843">
        <v>1.00000001711731</v>
      </c>
    </row>
    <row r="1844" spans="1:40" x14ac:dyDescent="0.25">
      <c r="A1844" t="str">
        <f>"20190303162816397"</f>
        <v>20190303162816397</v>
      </c>
      <c r="B1844" t="str">
        <f>"1551601696393616"</f>
        <v>1551601696393616</v>
      </c>
      <c r="C1844" t="s">
        <v>40</v>
      </c>
      <c r="D1844">
        <v>4.6520640000000002</v>
      </c>
      <c r="E1844">
        <v>0.52182510000000004</v>
      </c>
      <c r="F1844" t="s">
        <v>44</v>
      </c>
      <c r="G1844">
        <v>-299.38470000000001</v>
      </c>
      <c r="H1844">
        <v>0.90095289999999995</v>
      </c>
      <c r="I1844">
        <v>283.3886</v>
      </c>
      <c r="J1844">
        <v>-298.95179999999999</v>
      </c>
      <c r="K1844">
        <v>1.12056</v>
      </c>
      <c r="L1844">
        <v>283.33519999999999</v>
      </c>
      <c r="M1844">
        <v>-0.99986870000000005</v>
      </c>
      <c r="N1844">
        <v>-1.1247679999999999E-2</v>
      </c>
      <c r="O1844">
        <v>1.1679760000000001E-2</v>
      </c>
      <c r="P1844">
        <v>-0.98342070000000004</v>
      </c>
      <c r="Q1844">
        <v>0.17803229999999901</v>
      </c>
      <c r="R1844">
        <v>3.4473629999999998E-2</v>
      </c>
      <c r="S1844">
        <v>-3.216736</v>
      </c>
      <c r="T1844">
        <v>-0.97171240000000003</v>
      </c>
      <c r="U1844">
        <v>0.25070189999999998</v>
      </c>
      <c r="V1844">
        <v>2.311392E-2</v>
      </c>
      <c r="W1844">
        <v>0.1890704</v>
      </c>
      <c r="X1844">
        <v>0.98169150000000005</v>
      </c>
      <c r="Y1844">
        <v>6.3599470000000005E-2</v>
      </c>
      <c r="Z1844">
        <v>6.4319340000000003E-3</v>
      </c>
      <c r="AA1844">
        <v>0.99795480000000003</v>
      </c>
      <c r="AB1844">
        <v>38</v>
      </c>
      <c r="AC1844">
        <v>-0.43290000000001699</v>
      </c>
      <c r="AD1844">
        <v>-0.219607099999999</v>
      </c>
      <c r="AE1844">
        <v>5.3400000000010502E-2</v>
      </c>
      <c r="AF1844">
        <v>3.8564257100946998E-2</v>
      </c>
      <c r="AG1844">
        <v>-0.219607099999999</v>
      </c>
      <c r="AH1844">
        <v>0.34583009901279299</v>
      </c>
      <c r="AI1844">
        <v>122.25613300129</v>
      </c>
      <c r="AJ1844">
        <v>83.637111762827402</v>
      </c>
      <c r="AK1844">
        <v>0.41147653357069602</v>
      </c>
      <c r="AL1844">
        <v>79.101461605898393</v>
      </c>
      <c r="AM1844">
        <v>88.651220445663697</v>
      </c>
      <c r="AN1844">
        <v>1.00000003531308</v>
      </c>
    </row>
    <row r="1845" spans="1:40" x14ac:dyDescent="0.25">
      <c r="A1845" t="str">
        <f>"20190303162816412"</f>
        <v>20190303162816412</v>
      </c>
      <c r="B1845" t="str">
        <f>"1551601696404352"</f>
        <v>1551601696404352</v>
      </c>
      <c r="C1845" t="s">
        <v>40</v>
      </c>
      <c r="D1845">
        <v>4.659751</v>
      </c>
      <c r="E1845">
        <v>0.52225449999999995</v>
      </c>
      <c r="F1845" t="s">
        <v>44</v>
      </c>
      <c r="G1845">
        <v>-299.71749999999997</v>
      </c>
      <c r="H1845">
        <v>0.89028680000000004</v>
      </c>
      <c r="I1845">
        <v>283.39510000000001</v>
      </c>
      <c r="J1845">
        <v>-299.20060000000001</v>
      </c>
      <c r="K1845">
        <v>1.1205590000000001</v>
      </c>
      <c r="L1845">
        <v>283.3383</v>
      </c>
      <c r="M1845">
        <v>-0.99986649999999999</v>
      </c>
      <c r="N1845">
        <v>-1.124897E-2</v>
      </c>
      <c r="O1845">
        <v>1.18517E-2</v>
      </c>
      <c r="P1845">
        <v>-0.98338959999999997</v>
      </c>
      <c r="Q1845">
        <v>0.17823069999999999</v>
      </c>
      <c r="R1845">
        <v>3.433787E-2</v>
      </c>
      <c r="S1845">
        <v>-3.216888</v>
      </c>
      <c r="T1845">
        <v>-0.96745130000000001</v>
      </c>
      <c r="U1845">
        <v>0.25170900000000002</v>
      </c>
      <c r="V1845">
        <v>2.2809570000000001E-2</v>
      </c>
      <c r="W1845">
        <v>0.1892694</v>
      </c>
      <c r="X1845">
        <v>0.98166019999999998</v>
      </c>
      <c r="Y1845">
        <v>6.3755270000000003E-2</v>
      </c>
      <c r="Z1845">
        <v>6.3818529999999998E-3</v>
      </c>
      <c r="AA1845">
        <v>0.99794510000000003</v>
      </c>
      <c r="AB1845">
        <v>38</v>
      </c>
      <c r="AC1845">
        <v>-0.51689999999996405</v>
      </c>
      <c r="AD1845">
        <v>-0.23027220000000001</v>
      </c>
      <c r="AE1845">
        <v>5.6800000000009697E-2</v>
      </c>
      <c r="AF1845">
        <v>4.2362567561996599E-2</v>
      </c>
      <c r="AG1845">
        <v>-0.23027220000000001</v>
      </c>
      <c r="AH1845">
        <v>0.43269030621688498</v>
      </c>
      <c r="AI1845">
        <v>117.90814103955</v>
      </c>
      <c r="AJ1845">
        <v>84.408274510963196</v>
      </c>
      <c r="AK1845">
        <v>0.491976396097766</v>
      </c>
      <c r="AL1845">
        <v>79.089849319368199</v>
      </c>
      <c r="AM1845">
        <v>88.668931496391906</v>
      </c>
      <c r="AN1845">
        <v>0.99999996526199098</v>
      </c>
    </row>
    <row r="1846" spans="1:40" x14ac:dyDescent="0.25">
      <c r="A1846" t="str">
        <f>"20190303162816423"</f>
        <v>20190303162816423</v>
      </c>
      <c r="B1846" t="str">
        <f>"1551601696413136"</f>
        <v>1551601696413136</v>
      </c>
      <c r="C1846" t="s">
        <v>40</v>
      </c>
      <c r="D1846">
        <v>4.6147970000000003</v>
      </c>
      <c r="E1846">
        <v>0.52293029999999996</v>
      </c>
      <c r="F1846" t="s">
        <v>44</v>
      </c>
      <c r="G1846">
        <v>-300.0455</v>
      </c>
      <c r="H1846">
        <v>0.866420999999999</v>
      </c>
      <c r="I1846">
        <v>283.40539999999999</v>
      </c>
      <c r="J1846">
        <v>-299.4101</v>
      </c>
      <c r="K1846">
        <v>1.1205670000000001</v>
      </c>
      <c r="L1846">
        <v>283.3408</v>
      </c>
      <c r="M1846">
        <v>-0.9998648</v>
      </c>
      <c r="N1846">
        <v>-1.1250080000000001E-2</v>
      </c>
      <c r="O1846">
        <v>1.199629E-2</v>
      </c>
      <c r="P1846">
        <v>-0.98339169999999998</v>
      </c>
      <c r="Q1846">
        <v>0.17826149999999999</v>
      </c>
      <c r="R1846">
        <v>3.4114579999999999E-2</v>
      </c>
      <c r="S1846">
        <v>-3.2171630000000002</v>
      </c>
      <c r="T1846">
        <v>-0.96759439999999997</v>
      </c>
      <c r="U1846">
        <v>0.25451659999999998</v>
      </c>
      <c r="V1846">
        <v>2.2443970000000001E-2</v>
      </c>
      <c r="W1846">
        <v>0.1893022</v>
      </c>
      <c r="X1846">
        <v>0.98166229999999999</v>
      </c>
      <c r="Y1846">
        <v>6.4444180000000004E-2</v>
      </c>
      <c r="Z1846">
        <v>6.4463740000000004E-3</v>
      </c>
      <c r="AA1846">
        <v>0.99790049999999997</v>
      </c>
      <c r="AB1846">
        <v>38</v>
      </c>
      <c r="AC1846">
        <v>-0.63540000000000396</v>
      </c>
      <c r="AD1846">
        <v>-0.25414599999999998</v>
      </c>
      <c r="AE1846">
        <v>6.4599999999984406E-2</v>
      </c>
      <c r="AF1846">
        <v>4.9184305608060801E-2</v>
      </c>
      <c r="AG1846">
        <v>-0.25414599999999998</v>
      </c>
      <c r="AH1846">
        <v>0.54917052105891895</v>
      </c>
      <c r="AI1846">
        <v>114.74670757793901</v>
      </c>
      <c r="AJ1846">
        <v>84.882182551414104</v>
      </c>
      <c r="AK1846">
        <v>0.60712234881798899</v>
      </c>
      <c r="AL1846">
        <v>79.087935393067198</v>
      </c>
      <c r="AM1846">
        <v>88.690261650418194</v>
      </c>
      <c r="AN1846">
        <v>0.99999996297774396</v>
      </c>
    </row>
    <row r="1847" spans="1:40" x14ac:dyDescent="0.25">
      <c r="A1847" t="str">
        <f>"20190303162816441"</f>
        <v>20190303162816441</v>
      </c>
      <c r="B1847" t="str">
        <f>"1551601696433631"</f>
        <v>1551601696433631</v>
      </c>
      <c r="C1847" t="s">
        <v>40</v>
      </c>
      <c r="D1847">
        <v>4.5709580000000001</v>
      </c>
      <c r="E1847">
        <v>0.52424529999999903</v>
      </c>
      <c r="F1847" t="s">
        <v>44</v>
      </c>
      <c r="G1847">
        <v>-300.36959999999999</v>
      </c>
      <c r="H1847">
        <v>0.83156260000000004</v>
      </c>
      <c r="I1847">
        <v>283.41809999999998</v>
      </c>
      <c r="J1847">
        <v>-299.71600000000001</v>
      </c>
      <c r="K1847">
        <v>1.12056</v>
      </c>
      <c r="L1847">
        <v>283.34469999999999</v>
      </c>
      <c r="M1847">
        <v>-0.99986229999999998</v>
      </c>
      <c r="N1847">
        <v>-1.125176E-2</v>
      </c>
      <c r="O1847">
        <v>1.2207040000000001E-2</v>
      </c>
      <c r="P1847">
        <v>-0.98353559999999995</v>
      </c>
      <c r="Q1847">
        <v>0.1774915</v>
      </c>
      <c r="R1847">
        <v>3.3978719999999997E-2</v>
      </c>
      <c r="S1847">
        <v>-3.217346</v>
      </c>
      <c r="T1847">
        <v>-0.96902239999999995</v>
      </c>
      <c r="U1847">
        <v>0.25854490000000002</v>
      </c>
      <c r="V1847">
        <v>2.20985E-2</v>
      </c>
      <c r="W1847">
        <v>0.1885357</v>
      </c>
      <c r="X1847">
        <v>0.98181770000000002</v>
      </c>
      <c r="Y1847">
        <v>6.5428130000000001E-2</v>
      </c>
      <c r="Z1847">
        <v>6.5450229999999996E-3</v>
      </c>
      <c r="AA1847">
        <v>0.99783580000000005</v>
      </c>
      <c r="AB1847">
        <v>38</v>
      </c>
      <c r="AC1847">
        <v>-0.65359999999998297</v>
      </c>
      <c r="AD1847">
        <v>-0.28899740000000002</v>
      </c>
      <c r="AE1847">
        <v>7.3399999999992305E-2</v>
      </c>
      <c r="AF1847">
        <v>5.4829436475015897E-2</v>
      </c>
      <c r="AG1847">
        <v>-0.28899740000000002</v>
      </c>
      <c r="AH1847">
        <v>0.54853936215963395</v>
      </c>
      <c r="AI1847">
        <v>117.66517508405499</v>
      </c>
      <c r="AJ1847">
        <v>84.291940572316406</v>
      </c>
      <c r="AK1847">
        <v>0.62243167990505199</v>
      </c>
      <c r="AL1847">
        <v>79.132658625845806</v>
      </c>
      <c r="AM1847">
        <v>88.710619050239401</v>
      </c>
      <c r="AN1847">
        <v>1.0000000249550101</v>
      </c>
    </row>
    <row r="1848" spans="1:40" x14ac:dyDescent="0.25">
      <c r="A1848" t="str">
        <f>"20190303162816454"</f>
        <v>20190303162816454</v>
      </c>
      <c r="B1848" t="str">
        <f>"1551601696443392"</f>
        <v>1551601696443392</v>
      </c>
      <c r="C1848" t="s">
        <v>40</v>
      </c>
      <c r="D1848">
        <v>4.5371439999999996</v>
      </c>
      <c r="E1848">
        <v>0.52479619999999905</v>
      </c>
      <c r="F1848" t="s">
        <v>44</v>
      </c>
      <c r="G1848">
        <v>-300.40309999999999</v>
      </c>
      <c r="H1848">
        <v>0.91224740000000004</v>
      </c>
      <c r="I1848">
        <v>283.40230000000003</v>
      </c>
      <c r="J1848">
        <v>-299.91120000000001</v>
      </c>
      <c r="K1848">
        <v>1.120555</v>
      </c>
      <c r="L1848">
        <v>283.34719999999999</v>
      </c>
      <c r="M1848">
        <v>-0.99986059999999999</v>
      </c>
      <c r="N1848">
        <v>-1.125285E-2</v>
      </c>
      <c r="O1848">
        <v>1.234174E-2</v>
      </c>
      <c r="P1848">
        <v>-0.98363889999999998</v>
      </c>
      <c r="Q1848">
        <v>0.176954</v>
      </c>
      <c r="R1848">
        <v>3.3790790000000001E-2</v>
      </c>
      <c r="S1848">
        <v>-3.2169189999999999</v>
      </c>
      <c r="T1848">
        <v>-0.97530360000000005</v>
      </c>
      <c r="U1848">
        <v>0.26895140000000001</v>
      </c>
      <c r="V1848">
        <v>2.1776420000000001E-2</v>
      </c>
      <c r="W1848">
        <v>0.18800040000000001</v>
      </c>
      <c r="X1848">
        <v>0.98192749999999995</v>
      </c>
      <c r="Y1848">
        <v>6.8349720000000003E-2</v>
      </c>
      <c r="Z1848">
        <v>6.9935469999999897E-3</v>
      </c>
      <c r="AA1848">
        <v>0.99763690000000005</v>
      </c>
      <c r="AB1848">
        <v>38</v>
      </c>
      <c r="AC1848">
        <v>-0.49189999999998602</v>
      </c>
      <c r="AD1848">
        <v>-0.20830759999999901</v>
      </c>
      <c r="AE1848">
        <v>5.51000000000385E-2</v>
      </c>
      <c r="AF1848">
        <v>4.1648229850550597E-2</v>
      </c>
      <c r="AG1848">
        <v>-0.20830759999999901</v>
      </c>
      <c r="AH1848">
        <v>0.41843405678357998</v>
      </c>
      <c r="AI1848">
        <v>116.352839544026</v>
      </c>
      <c r="AJ1848">
        <v>84.315868717788106</v>
      </c>
      <c r="AK1848">
        <v>0.46926931621810603</v>
      </c>
      <c r="AL1848">
        <v>79.1638871072782</v>
      </c>
      <c r="AM1848">
        <v>88.729547275060398</v>
      </c>
      <c r="AN1848">
        <v>0.99999998906221299</v>
      </c>
    </row>
    <row r="1849" spans="1:40" x14ac:dyDescent="0.25">
      <c r="A1849" t="str">
        <f>"20190303162816465"</f>
        <v>20190303162816465</v>
      </c>
      <c r="B1849" t="str">
        <f>"1551601696453152"</f>
        <v>1551601696453152</v>
      </c>
      <c r="C1849" t="s">
        <v>40</v>
      </c>
      <c r="D1849">
        <v>4.5498750000000001</v>
      </c>
      <c r="E1849">
        <v>0.52527809999999997</v>
      </c>
      <c r="F1849" t="s">
        <v>44</v>
      </c>
      <c r="G1849">
        <v>-300.7242</v>
      </c>
      <c r="H1849">
        <v>0.87325259999999905</v>
      </c>
      <c r="I1849">
        <v>283.41649999999998</v>
      </c>
      <c r="J1849">
        <v>-300.11099999999999</v>
      </c>
      <c r="K1849">
        <v>1.120552</v>
      </c>
      <c r="L1849">
        <v>283.34980000000002</v>
      </c>
      <c r="M1849">
        <v>-0.99985880000000005</v>
      </c>
      <c r="N1849">
        <v>-1.125397E-2</v>
      </c>
      <c r="O1849">
        <v>1.2479479999999999E-2</v>
      </c>
      <c r="P1849">
        <v>-0.98370930000000001</v>
      </c>
      <c r="Q1849">
        <v>0.17663019999999999</v>
      </c>
      <c r="R1849">
        <v>3.3439690000000001E-2</v>
      </c>
      <c r="S1849">
        <v>-3.2165530000000002</v>
      </c>
      <c r="T1849">
        <v>-0.97847640000000002</v>
      </c>
      <c r="U1849">
        <v>0.27319339999999998</v>
      </c>
      <c r="V1849">
        <v>2.1289019999999999E-2</v>
      </c>
      <c r="W1849">
        <v>0.1876787</v>
      </c>
      <c r="X1849">
        <v>0.98199979999999998</v>
      </c>
      <c r="Y1849">
        <v>6.9465070000000004E-2</v>
      </c>
      <c r="Z1849">
        <v>7.1468149999999999E-3</v>
      </c>
      <c r="AA1849">
        <v>0.99755879999999997</v>
      </c>
      <c r="AB1849">
        <v>38</v>
      </c>
      <c r="AC1849">
        <v>-0.61320000000000596</v>
      </c>
      <c r="AD1849">
        <v>-0.2472994</v>
      </c>
      <c r="AE1849">
        <v>6.6699999999968895E-2</v>
      </c>
      <c r="AF1849">
        <v>5.0865588421014601E-2</v>
      </c>
      <c r="AG1849">
        <v>-0.2472994</v>
      </c>
      <c r="AH1849">
        <v>0.52895807890267599</v>
      </c>
      <c r="AI1849">
        <v>114.956091364283</v>
      </c>
      <c r="AJ1849">
        <v>84.507220952346998</v>
      </c>
      <c r="AK1849">
        <v>0.58612366490544099</v>
      </c>
      <c r="AL1849">
        <v>79.182653999987707</v>
      </c>
      <c r="AM1849">
        <v>88.758064964491695</v>
      </c>
      <c r="AN1849">
        <v>1.00000006200314</v>
      </c>
    </row>
    <row r="1850" spans="1:40" x14ac:dyDescent="0.25">
      <c r="A1850" t="str">
        <f>"20190303162816477"</f>
        <v>20190303162816477</v>
      </c>
      <c r="B1850" t="str">
        <f>"1551601696473648"</f>
        <v>1551601696473648</v>
      </c>
      <c r="C1850" t="s">
        <v>40</v>
      </c>
      <c r="D1850">
        <v>4.5143000000000004</v>
      </c>
      <c r="E1850">
        <v>0.5261226</v>
      </c>
      <c r="F1850" t="s">
        <v>44</v>
      </c>
      <c r="G1850">
        <v>-301.04730000000001</v>
      </c>
      <c r="H1850">
        <v>0.83507540000000002</v>
      </c>
      <c r="I1850">
        <v>283.43040000000002</v>
      </c>
      <c r="J1850">
        <v>-300.32069999999999</v>
      </c>
      <c r="K1850">
        <v>1.1205529999999999</v>
      </c>
      <c r="L1850">
        <v>283.35250000000002</v>
      </c>
      <c r="M1850">
        <v>-0.99985710000000005</v>
      </c>
      <c r="N1850">
        <v>-1.125516E-2</v>
      </c>
      <c r="O1850">
        <v>1.2624359999999999E-2</v>
      </c>
      <c r="P1850">
        <v>-0.98377879999999995</v>
      </c>
      <c r="Q1850">
        <v>0.1762754</v>
      </c>
      <c r="R1850">
        <v>3.3261039999999999E-2</v>
      </c>
      <c r="S1850">
        <v>-3.21637</v>
      </c>
      <c r="T1850">
        <v>-0.98063080000000002</v>
      </c>
      <c r="U1850">
        <v>0.27627560000000001</v>
      </c>
      <c r="V1850">
        <v>2.0966269999999999E-2</v>
      </c>
      <c r="W1850">
        <v>0.1873264</v>
      </c>
      <c r="X1850">
        <v>0.982074</v>
      </c>
      <c r="Y1850">
        <v>7.0233000000000004E-2</v>
      </c>
      <c r="Z1850">
        <v>7.2381290000000003E-3</v>
      </c>
      <c r="AA1850">
        <v>0.99750439999999996</v>
      </c>
      <c r="AB1850">
        <v>38</v>
      </c>
      <c r="AC1850">
        <v>-0.72660000000001901</v>
      </c>
      <c r="AD1850">
        <v>-0.2854776</v>
      </c>
      <c r="AE1850">
        <v>7.7899999999999595E-2</v>
      </c>
      <c r="AF1850">
        <v>5.9621388256887502E-2</v>
      </c>
      <c r="AG1850">
        <v>-0.2854776</v>
      </c>
      <c r="AH1850">
        <v>0.63119708578513101</v>
      </c>
      <c r="AI1850">
        <v>114.24086512957599</v>
      </c>
      <c r="AJ1850">
        <v>84.603985962972999</v>
      </c>
      <c r="AK1850">
        <v>0.69531426789839501</v>
      </c>
      <c r="AL1850">
        <v>79.203203672396398</v>
      </c>
      <c r="AM1850">
        <v>88.776979812816805</v>
      </c>
      <c r="AN1850">
        <v>1.0000000530453299</v>
      </c>
    </row>
    <row r="1851" spans="1:40" x14ac:dyDescent="0.25">
      <c r="A1851" t="str">
        <f>"20190303162816490"</f>
        <v>20190303162816490</v>
      </c>
      <c r="B1851" t="str">
        <f>"1551601696483408"</f>
        <v>1551601696483408</v>
      </c>
      <c r="C1851" t="s">
        <v>40</v>
      </c>
      <c r="D1851">
        <v>4.513401</v>
      </c>
      <c r="E1851">
        <v>0.52651400000000004</v>
      </c>
      <c r="F1851" t="s">
        <v>44</v>
      </c>
      <c r="G1851">
        <v>-301.06970000000001</v>
      </c>
      <c r="H1851">
        <v>0.89156469999999899</v>
      </c>
      <c r="I1851">
        <v>283.4187</v>
      </c>
      <c r="J1851">
        <v>-300.5256</v>
      </c>
      <c r="K1851">
        <v>1.120555</v>
      </c>
      <c r="L1851">
        <v>283.35520000000002</v>
      </c>
      <c r="M1851">
        <v>-0.99985520000000006</v>
      </c>
      <c r="N1851">
        <v>-1.125637E-2</v>
      </c>
      <c r="O1851">
        <v>1.276591E-2</v>
      </c>
      <c r="P1851">
        <v>-0.98374969999999995</v>
      </c>
      <c r="Q1851">
        <v>0.1765254</v>
      </c>
      <c r="R1851">
        <v>3.2795909999999998E-2</v>
      </c>
      <c r="S1851">
        <v>-3.2160340000000001</v>
      </c>
      <c r="T1851">
        <v>-0.98308980000000001</v>
      </c>
      <c r="U1851">
        <v>0.28311160000000002</v>
      </c>
      <c r="V1851">
        <v>2.036255E-2</v>
      </c>
      <c r="W1851">
        <v>0.18757789999999999</v>
      </c>
      <c r="X1851">
        <v>0.98203859999999998</v>
      </c>
      <c r="Y1851">
        <v>7.2109380000000001E-2</v>
      </c>
      <c r="Z1851">
        <v>7.5044469999999896E-3</v>
      </c>
      <c r="AA1851">
        <v>0.99736849999999999</v>
      </c>
      <c r="AB1851">
        <v>38</v>
      </c>
      <c r="AC1851">
        <v>-0.54410000000001402</v>
      </c>
      <c r="AD1851">
        <v>-0.22899030000000001</v>
      </c>
      <c r="AE1851">
        <v>6.3499999999976298E-2</v>
      </c>
      <c r="AF1851">
        <v>4.8136845872712601E-2</v>
      </c>
      <c r="AG1851">
        <v>-0.22899030000000001</v>
      </c>
      <c r="AH1851">
        <v>0.46381723250276902</v>
      </c>
      <c r="AI1851">
        <v>116.15429001620301</v>
      </c>
      <c r="AJ1851">
        <v>84.074822965124696</v>
      </c>
      <c r="AK1851">
        <v>0.51949989277303099</v>
      </c>
      <c r="AL1851">
        <v>79.188532690086902</v>
      </c>
      <c r="AM1851">
        <v>88.812143416237802</v>
      </c>
      <c r="AN1851">
        <v>0.99999995695043498</v>
      </c>
    </row>
    <row r="1852" spans="1:40" x14ac:dyDescent="0.25">
      <c r="A1852" t="str">
        <f>"20190303162816500"</f>
        <v>20190303162816500</v>
      </c>
      <c r="B1852" t="str">
        <f>"1551601696493168"</f>
        <v>1551601696493168</v>
      </c>
      <c r="C1852" t="s">
        <v>40</v>
      </c>
      <c r="D1852">
        <v>4.5394209999999999</v>
      </c>
      <c r="E1852">
        <v>0.52683649999999904</v>
      </c>
      <c r="F1852" t="s">
        <v>44</v>
      </c>
      <c r="G1852">
        <v>-301.39370000000002</v>
      </c>
      <c r="H1852">
        <v>0.85543289999999905</v>
      </c>
      <c r="I1852">
        <v>283.43220000000002</v>
      </c>
      <c r="J1852">
        <v>-300.73099999999999</v>
      </c>
      <c r="K1852">
        <v>1.1205590000000001</v>
      </c>
      <c r="L1852">
        <v>283.35789999999997</v>
      </c>
      <c r="M1852">
        <v>-0.99985329999999994</v>
      </c>
      <c r="N1852">
        <v>-1.125759E-2</v>
      </c>
      <c r="O1852">
        <v>1.2907760000000001E-2</v>
      </c>
      <c r="P1852">
        <v>-0.98369819999999997</v>
      </c>
      <c r="Q1852">
        <v>0.176874799999999</v>
      </c>
      <c r="R1852">
        <v>3.2449060000000002E-2</v>
      </c>
      <c r="S1852">
        <v>-3.21637</v>
      </c>
      <c r="T1852">
        <v>-0.98226950000000002</v>
      </c>
      <c r="U1852">
        <v>0.28463749999999999</v>
      </c>
      <c r="V1852">
        <v>1.9876950000000001E-2</v>
      </c>
      <c r="W1852">
        <v>0.18792780000000001</v>
      </c>
      <c r="X1852">
        <v>0.98198169999999996</v>
      </c>
      <c r="Y1852">
        <v>7.2424680000000005E-2</v>
      </c>
      <c r="Z1852">
        <v>7.5062389999999996E-3</v>
      </c>
      <c r="AA1852">
        <v>0.99734560000000005</v>
      </c>
      <c r="AB1852">
        <v>38</v>
      </c>
      <c r="AC1852">
        <v>-0.66270000000002904</v>
      </c>
      <c r="AD1852">
        <v>-0.26512609999999998</v>
      </c>
      <c r="AE1852">
        <v>7.4300000000050603E-2</v>
      </c>
      <c r="AF1852">
        <v>5.67663170039681E-2</v>
      </c>
      <c r="AG1852">
        <v>-0.26512609999999998</v>
      </c>
      <c r="AH1852">
        <v>0.57302636292916798</v>
      </c>
      <c r="AI1852">
        <v>114.722442629497</v>
      </c>
      <c r="AJ1852">
        <v>84.3425063335863</v>
      </c>
      <c r="AK1852">
        <v>0.63393491484476205</v>
      </c>
      <c r="AL1852">
        <v>79.168122445172799</v>
      </c>
      <c r="AM1852">
        <v>88.840396066241198</v>
      </c>
      <c r="AN1852">
        <v>1.0000000051445099</v>
      </c>
    </row>
    <row r="1853" spans="1:40" x14ac:dyDescent="0.25">
      <c r="A1853" t="str">
        <f>"20190303162816521"</f>
        <v>20190303162816521</v>
      </c>
      <c r="B1853" t="str">
        <f>"1551601696514640"</f>
        <v>1551601696514640</v>
      </c>
      <c r="C1853" t="s">
        <v>40</v>
      </c>
      <c r="D1853">
        <v>4.5075450000000004</v>
      </c>
      <c r="E1853">
        <v>0.52739329999999995</v>
      </c>
      <c r="F1853" t="s">
        <v>44</v>
      </c>
      <c r="G1853">
        <v>-301.41719999999998</v>
      </c>
      <c r="H1853">
        <v>0.91120540000000005</v>
      </c>
      <c r="I1853">
        <v>283.41910000000001</v>
      </c>
      <c r="J1853">
        <v>-301.05130000000003</v>
      </c>
      <c r="K1853">
        <v>1.1205670000000001</v>
      </c>
      <c r="L1853">
        <v>283.3623</v>
      </c>
      <c r="M1853">
        <v>-0.99985040000000003</v>
      </c>
      <c r="N1853">
        <v>-1.12595E-2</v>
      </c>
      <c r="O1853">
        <v>1.3129E-2</v>
      </c>
      <c r="P1853">
        <v>-0.98345320000000003</v>
      </c>
      <c r="Q1853">
        <v>0.1782387</v>
      </c>
      <c r="R1853">
        <v>3.2414940000000003E-2</v>
      </c>
      <c r="S1853">
        <v>-3.2167659999999998</v>
      </c>
      <c r="T1853">
        <v>-0.98148990000000003</v>
      </c>
      <c r="U1853">
        <v>0.28607179999999999</v>
      </c>
      <c r="V1853">
        <v>1.962933E-2</v>
      </c>
      <c r="W1853">
        <v>0.18929099999999999</v>
      </c>
      <c r="X1853">
        <v>0.98172479999999995</v>
      </c>
      <c r="Y1853">
        <v>7.2638809999999998E-2</v>
      </c>
      <c r="Z1853">
        <v>7.4698050000000004E-3</v>
      </c>
      <c r="AA1853">
        <v>0.99733039999999995</v>
      </c>
      <c r="AB1853">
        <v>38</v>
      </c>
      <c r="AC1853">
        <v>-0.36589999999995299</v>
      </c>
      <c r="AD1853">
        <v>-0.20936160000000001</v>
      </c>
      <c r="AE1853">
        <v>5.6800000000009697E-2</v>
      </c>
      <c r="AF1853">
        <v>3.93963207225543E-2</v>
      </c>
      <c r="AG1853">
        <v>-0.20936160000000001</v>
      </c>
      <c r="AH1853">
        <v>0.277803470621104</v>
      </c>
      <c r="AI1853">
        <v>126.72905920761001</v>
      </c>
      <c r="AJ1853">
        <v>81.928498861490695</v>
      </c>
      <c r="AK1853">
        <v>0.35008444399910799</v>
      </c>
      <c r="AL1853">
        <v>79.088589199198594</v>
      </c>
      <c r="AM1853">
        <v>88.854538541273996</v>
      </c>
      <c r="AN1853">
        <v>0.99999998810614399</v>
      </c>
    </row>
    <row r="1854" spans="1:40" x14ac:dyDescent="0.25">
      <c r="A1854" t="str">
        <f>"20190303162816542"</f>
        <v>20190303162816542</v>
      </c>
      <c r="B1854" t="str">
        <f>"1551601696533185"</f>
        <v>1551601696533185</v>
      </c>
      <c r="C1854" t="s">
        <v>40</v>
      </c>
      <c r="D1854">
        <v>4.4880820000000003</v>
      </c>
      <c r="E1854">
        <v>0.52790969999999904</v>
      </c>
      <c r="F1854" t="s">
        <v>44</v>
      </c>
      <c r="G1854">
        <v>-301.75369999999998</v>
      </c>
      <c r="H1854">
        <v>0.90703990000000001</v>
      </c>
      <c r="I1854">
        <v>283.42590000000001</v>
      </c>
      <c r="J1854">
        <v>-301.42910000000001</v>
      </c>
      <c r="K1854">
        <v>1.120571</v>
      </c>
      <c r="L1854">
        <v>283.36750000000001</v>
      </c>
      <c r="M1854">
        <v>-0.99984709999999999</v>
      </c>
      <c r="N1854">
        <v>-1.1261790000000001E-2</v>
      </c>
      <c r="O1854">
        <v>1.338957E-2</v>
      </c>
      <c r="P1854">
        <v>-0.9832168</v>
      </c>
      <c r="Q1854">
        <v>0.17939639999999901</v>
      </c>
      <c r="R1854">
        <v>3.3190879999999999E-2</v>
      </c>
      <c r="S1854">
        <v>-3.2181700000000002</v>
      </c>
      <c r="T1854">
        <v>-0.97828099999999996</v>
      </c>
      <c r="U1854">
        <v>0.29116819999999999</v>
      </c>
      <c r="V1854">
        <v>2.0152690000000001E-2</v>
      </c>
      <c r="W1854">
        <v>0.19044829999999999</v>
      </c>
      <c r="X1854">
        <v>0.98149039999999999</v>
      </c>
      <c r="Y1854">
        <v>7.3880840000000003E-2</v>
      </c>
      <c r="Z1854">
        <v>7.5619889999999999E-3</v>
      </c>
      <c r="AA1854">
        <v>0.99723839999999997</v>
      </c>
      <c r="AB1854">
        <v>38</v>
      </c>
      <c r="AC1854">
        <v>-0.32459999999997502</v>
      </c>
      <c r="AD1854">
        <v>-0.2135311</v>
      </c>
      <c r="AE1854">
        <v>5.8400000000005899E-2</v>
      </c>
      <c r="AF1854">
        <v>3.8084394771763501E-2</v>
      </c>
      <c r="AG1854">
        <v>-0.2135311</v>
      </c>
      <c r="AH1854">
        <v>0.229255742857916</v>
      </c>
      <c r="AI1854">
        <v>132.577363217456</v>
      </c>
      <c r="AJ1854">
        <v>80.568050884708697</v>
      </c>
      <c r="AK1854">
        <v>0.31560124750335899</v>
      </c>
      <c r="AL1854">
        <v>79.021052883443005</v>
      </c>
      <c r="AM1854">
        <v>88.823725777075893</v>
      </c>
      <c r="AN1854">
        <v>1.0000000455896401</v>
      </c>
    </row>
    <row r="1855" spans="1:40" x14ac:dyDescent="0.25">
      <c r="A1855" t="str">
        <f>"20190303162816564"</f>
        <v>20190303162816564</v>
      </c>
      <c r="B1855" t="str">
        <f>"1551601696553679"</f>
        <v>1551601696553679</v>
      </c>
      <c r="C1855" t="s">
        <v>40</v>
      </c>
      <c r="D1855">
        <v>4.4772699999999999</v>
      </c>
      <c r="E1855">
        <v>0.52837959999999995</v>
      </c>
      <c r="F1855" t="s">
        <v>44</v>
      </c>
      <c r="G1855">
        <v>-302.09739999999999</v>
      </c>
      <c r="H1855">
        <v>0.91801169999999999</v>
      </c>
      <c r="I1855">
        <v>283.42950000000002</v>
      </c>
      <c r="J1855">
        <v>-301.77690000000001</v>
      </c>
      <c r="K1855">
        <v>1.1205769999999999</v>
      </c>
      <c r="L1855">
        <v>283.3723</v>
      </c>
      <c r="M1855">
        <v>-0.99984379999999995</v>
      </c>
      <c r="N1855">
        <v>-1.126393E-2</v>
      </c>
      <c r="O1855">
        <v>1.3629459999999999E-2</v>
      </c>
      <c r="P1855">
        <v>-0.9831261</v>
      </c>
      <c r="Q1855">
        <v>0.17969019999999999</v>
      </c>
      <c r="R1855">
        <v>3.4274869999999999E-2</v>
      </c>
      <c r="S1855">
        <v>-3.2192379999999998</v>
      </c>
      <c r="T1855">
        <v>-0.97566940000000002</v>
      </c>
      <c r="U1855">
        <v>0.29818729999999999</v>
      </c>
      <c r="V1855">
        <v>2.100229E-2</v>
      </c>
      <c r="W1855">
        <v>0.19074269999999999</v>
      </c>
      <c r="X1855">
        <v>0.98141540000000005</v>
      </c>
      <c r="Y1855">
        <v>7.5710360000000004E-2</v>
      </c>
      <c r="Z1855">
        <v>7.754263E-3</v>
      </c>
      <c r="AA1855">
        <v>0.99709970000000003</v>
      </c>
      <c r="AB1855">
        <v>38</v>
      </c>
      <c r="AC1855">
        <v>-0.32049999999998102</v>
      </c>
      <c r="AD1855">
        <v>-0.202565299999999</v>
      </c>
      <c r="AE1855">
        <v>5.7200000000023003E-2</v>
      </c>
      <c r="AF1855">
        <v>3.8083073618511501E-2</v>
      </c>
      <c r="AG1855">
        <v>-0.202565299999999</v>
      </c>
      <c r="AH1855">
        <v>0.23159323073997001</v>
      </c>
      <c r="AI1855">
        <v>130.79645372468701</v>
      </c>
      <c r="AJ1855">
        <v>80.661881209355499</v>
      </c>
      <c r="AK1855">
        <v>0.31002974983846299</v>
      </c>
      <c r="AL1855">
        <v>79.003869854595195</v>
      </c>
      <c r="AM1855">
        <v>88.7740574141134</v>
      </c>
      <c r="AN1855">
        <v>1.00000003057284</v>
      </c>
    </row>
    <row r="1856" spans="1:40" x14ac:dyDescent="0.25">
      <c r="A1856" t="str">
        <f>"20190303162816576"</f>
        <v>20190303162816576</v>
      </c>
      <c r="B1856" t="str">
        <f>"1551601696573200"</f>
        <v>1551601696573200</v>
      </c>
      <c r="C1856" t="s">
        <v>40</v>
      </c>
      <c r="D1856">
        <v>4.4607530000000004</v>
      </c>
      <c r="E1856">
        <v>0.52875469999999902</v>
      </c>
      <c r="F1856" t="s">
        <v>44</v>
      </c>
      <c r="G1856">
        <v>-302.73829999999998</v>
      </c>
      <c r="H1856">
        <v>0.82924019999999998</v>
      </c>
      <c r="I1856">
        <v>283.46440000000001</v>
      </c>
      <c r="J1856">
        <v>-301.9905</v>
      </c>
      <c r="K1856">
        <v>1.1205780000000001</v>
      </c>
      <c r="L1856">
        <v>283.37540000000001</v>
      </c>
      <c r="M1856">
        <v>-0.99984170000000006</v>
      </c>
      <c r="N1856">
        <v>-1.1265229999999999E-2</v>
      </c>
      <c r="O1856">
        <v>1.3776790000000001E-2</v>
      </c>
      <c r="P1856">
        <v>-0.98305100000000001</v>
      </c>
      <c r="Q1856">
        <v>0.18000289999999999</v>
      </c>
      <c r="R1856">
        <v>3.4785539999999997E-2</v>
      </c>
      <c r="S1856">
        <v>-3.219055</v>
      </c>
      <c r="T1856">
        <v>-0.9754372</v>
      </c>
      <c r="U1856">
        <v>0.30718990000000002</v>
      </c>
      <c r="V1856">
        <v>2.1369269999999999E-2</v>
      </c>
      <c r="W1856">
        <v>0.19105539999999999</v>
      </c>
      <c r="X1856">
        <v>0.98134659999999996</v>
      </c>
      <c r="Y1856">
        <v>7.822432E-2</v>
      </c>
      <c r="Z1856">
        <v>8.0965719999999998E-3</v>
      </c>
      <c r="AA1856">
        <v>0.99690290000000004</v>
      </c>
      <c r="AB1856">
        <v>38</v>
      </c>
      <c r="AC1856">
        <v>-0.74779999999998303</v>
      </c>
      <c r="AD1856">
        <v>-0.29133779999999998</v>
      </c>
      <c r="AE1856">
        <v>8.8999999999998594E-2</v>
      </c>
      <c r="AF1856">
        <v>6.8444944914061806E-2</v>
      </c>
      <c r="AG1856">
        <v>-0.29133779999999998</v>
      </c>
      <c r="AH1856">
        <v>0.65145636628846604</v>
      </c>
      <c r="AI1856">
        <v>113.977679207354</v>
      </c>
      <c r="AJ1856">
        <v>84.002251143042699</v>
      </c>
      <c r="AK1856">
        <v>0.71690851673759703</v>
      </c>
      <c r="AL1856">
        <v>78.985617244695504</v>
      </c>
      <c r="AM1856">
        <v>88.752555399457407</v>
      </c>
      <c r="AN1856">
        <v>0.99999998045052596</v>
      </c>
    </row>
    <row r="1857" spans="1:40" x14ac:dyDescent="0.25">
      <c r="A1857" t="str">
        <f>"20190303162816588"</f>
        <v>20190303162816588</v>
      </c>
      <c r="B1857" t="str">
        <f>"1551601696583730"</f>
        <v>1551601696583730</v>
      </c>
      <c r="C1857" t="s">
        <v>40</v>
      </c>
      <c r="D1857">
        <v>4.4896200000000004</v>
      </c>
      <c r="E1857">
        <v>0.52892569999999905</v>
      </c>
      <c r="F1857" t="s">
        <v>44</v>
      </c>
      <c r="G1857">
        <v>-302.76130000000001</v>
      </c>
      <c r="H1857">
        <v>0.88685990000000003</v>
      </c>
      <c r="I1857">
        <v>283.45049999999998</v>
      </c>
      <c r="J1857">
        <v>-302.19670000000002</v>
      </c>
      <c r="K1857">
        <v>1.1205830000000001</v>
      </c>
      <c r="L1857">
        <v>283.3784</v>
      </c>
      <c r="M1857">
        <v>-0.9998397</v>
      </c>
      <c r="N1857">
        <v>-1.12665E-2</v>
      </c>
      <c r="O1857">
        <v>1.3919239999999999E-2</v>
      </c>
      <c r="P1857">
        <v>-0.98296589999999995</v>
      </c>
      <c r="Q1857">
        <v>0.1804471</v>
      </c>
      <c r="R1857">
        <v>3.4886399999999998E-2</v>
      </c>
      <c r="S1857">
        <v>-3.2193909999999999</v>
      </c>
      <c r="T1857">
        <v>-0.97615209999999997</v>
      </c>
      <c r="U1857">
        <v>0.31271359999999998</v>
      </c>
      <c r="V1857">
        <v>2.1331369999999999E-2</v>
      </c>
      <c r="W1857">
        <v>0.1915</v>
      </c>
      <c r="X1857">
        <v>0.98126080000000004</v>
      </c>
      <c r="Y1857">
        <v>7.9701599999999997E-2</v>
      </c>
      <c r="Z1857">
        <v>8.2871449999999992E-3</v>
      </c>
      <c r="AA1857">
        <v>0.99678429999999996</v>
      </c>
      <c r="AB1857">
        <v>38</v>
      </c>
      <c r="AC1857">
        <v>-0.564599999999984</v>
      </c>
      <c r="AD1857">
        <v>-0.23372309999999899</v>
      </c>
      <c r="AE1857">
        <v>7.2099999999977599E-2</v>
      </c>
      <c r="AF1857">
        <v>5.4965672483586699E-2</v>
      </c>
      <c r="AG1857">
        <v>-0.23372309999999899</v>
      </c>
      <c r="AH1857">
        <v>0.48394801137766202</v>
      </c>
      <c r="AI1857">
        <v>115.63474952377599</v>
      </c>
      <c r="AJ1857">
        <v>83.520248113472206</v>
      </c>
      <c r="AK1857">
        <v>0.54023456973945705</v>
      </c>
      <c r="AL1857">
        <v>78.959664758964706</v>
      </c>
      <c r="AM1857">
        <v>88.754658291560105</v>
      </c>
      <c r="AN1857">
        <v>1.0000000174813499</v>
      </c>
    </row>
    <row r="1858" spans="1:40" x14ac:dyDescent="0.25">
      <c r="A1858" t="str">
        <f>"20190303162816601"</f>
        <v>20190303162816601</v>
      </c>
      <c r="B1858" t="str">
        <f>"1551601696593477"</f>
        <v>1551601696593477</v>
      </c>
      <c r="C1858" t="s">
        <v>40</v>
      </c>
      <c r="D1858">
        <v>4.4355549999999999</v>
      </c>
      <c r="E1858">
        <v>0.52907910000000002</v>
      </c>
      <c r="F1858" t="s">
        <v>44</v>
      </c>
      <c r="G1858">
        <v>-303.08620000000002</v>
      </c>
      <c r="H1858">
        <v>0.85118289999999996</v>
      </c>
      <c r="I1858">
        <v>283.46550000000002</v>
      </c>
      <c r="J1858">
        <v>-302.4117</v>
      </c>
      <c r="K1858">
        <v>1.120587</v>
      </c>
      <c r="L1858">
        <v>283.38139999999999</v>
      </c>
      <c r="M1858">
        <v>-0.99983759999999999</v>
      </c>
      <c r="N1858">
        <v>-1.126783E-2</v>
      </c>
      <c r="O1858">
        <v>1.406776E-2</v>
      </c>
      <c r="P1858">
        <v>-0.98289210000000005</v>
      </c>
      <c r="Q1858">
        <v>0.18079709999999999</v>
      </c>
      <c r="R1858">
        <v>3.5148690000000003E-2</v>
      </c>
      <c r="S1858">
        <v>-3.2198790000000002</v>
      </c>
      <c r="T1858">
        <v>-0.97519520000000004</v>
      </c>
      <c r="U1858">
        <v>0.31463619999999998</v>
      </c>
      <c r="V1858">
        <v>2.1448800000000001E-2</v>
      </c>
      <c r="W1858">
        <v>0.19185050000000001</v>
      </c>
      <c r="X1858">
        <v>0.98118970000000005</v>
      </c>
      <c r="Y1858">
        <v>8.0122189999999996E-2</v>
      </c>
      <c r="Z1858">
        <v>8.3010359999999995E-3</v>
      </c>
      <c r="AA1858">
        <v>0.99675049999999998</v>
      </c>
      <c r="AB1858">
        <v>38</v>
      </c>
      <c r="AC1858">
        <v>-0.67450000000002297</v>
      </c>
      <c r="AD1858">
        <v>-0.26940409999999998</v>
      </c>
      <c r="AE1858">
        <v>8.4100000000034897E-2</v>
      </c>
      <c r="AF1858">
        <v>6.4474206022208602E-2</v>
      </c>
      <c r="AG1858">
        <v>-0.26940409999999998</v>
      </c>
      <c r="AH1858">
        <v>0.58389340498098896</v>
      </c>
      <c r="AI1858">
        <v>114.636437407448</v>
      </c>
      <c r="AJ1858">
        <v>83.698858568231003</v>
      </c>
      <c r="AK1858">
        <v>0.646271615282071</v>
      </c>
      <c r="AL1858">
        <v>78.939202402133205</v>
      </c>
      <c r="AM1858">
        <v>88.747714106116405</v>
      </c>
      <c r="AN1858">
        <v>0.999999946378888</v>
      </c>
    </row>
    <row r="1859" spans="1:40" x14ac:dyDescent="0.25">
      <c r="A1859" t="str">
        <f>"20190303162816614"</f>
        <v>20190303162816614</v>
      </c>
      <c r="B1859" t="str">
        <f>"1551601696603236"</f>
        <v>1551601696603236</v>
      </c>
      <c r="C1859" t="s">
        <v>40</v>
      </c>
      <c r="D1859">
        <v>4.4639739999999897</v>
      </c>
      <c r="E1859">
        <v>0.52926039999999996</v>
      </c>
      <c r="F1859" t="s">
        <v>44</v>
      </c>
      <c r="G1859">
        <v>-303.11009999999999</v>
      </c>
      <c r="H1859">
        <v>0.90907930000000003</v>
      </c>
      <c r="I1859">
        <v>283.45030000000003</v>
      </c>
      <c r="J1859">
        <v>-302.62950000000001</v>
      </c>
      <c r="K1859">
        <v>1.1205879999999999</v>
      </c>
      <c r="L1859">
        <v>283.38470000000001</v>
      </c>
      <c r="M1859">
        <v>-0.99983549999999999</v>
      </c>
      <c r="N1859">
        <v>-1.126918E-2</v>
      </c>
      <c r="O1859">
        <v>1.421819E-2</v>
      </c>
      <c r="P1859">
        <v>-0.98279209999999995</v>
      </c>
      <c r="Q1859">
        <v>0.1813109</v>
      </c>
      <c r="R1859">
        <v>3.5300779999999997E-2</v>
      </c>
      <c r="S1859">
        <v>-3.2202760000000001</v>
      </c>
      <c r="T1859">
        <v>-0.97530410000000001</v>
      </c>
      <c r="U1859">
        <v>0.3166504</v>
      </c>
      <c r="V1859">
        <v>2.145472E-2</v>
      </c>
      <c r="W1859">
        <v>0.1923648</v>
      </c>
      <c r="X1859">
        <v>0.98108890000000004</v>
      </c>
      <c r="Y1859">
        <v>8.0563930000000006E-2</v>
      </c>
      <c r="Z1859">
        <v>8.3258700000000008E-3</v>
      </c>
      <c r="AA1859">
        <v>0.99671469999999995</v>
      </c>
      <c r="AB1859">
        <v>38</v>
      </c>
      <c r="AC1859">
        <v>-0.48059999999998099</v>
      </c>
      <c r="AD1859">
        <v>-0.21150869999999999</v>
      </c>
      <c r="AE1859">
        <v>6.5600000000017603E-2</v>
      </c>
      <c r="AF1859">
        <v>4.9372095155576799E-2</v>
      </c>
      <c r="AG1859">
        <v>-0.21150869999999999</v>
      </c>
      <c r="AH1859">
        <v>0.404561188898173</v>
      </c>
      <c r="AI1859">
        <v>117.427502413254</v>
      </c>
      <c r="AJ1859">
        <v>83.042107456659906</v>
      </c>
      <c r="AK1859">
        <v>0.45917675193594598</v>
      </c>
      <c r="AL1859">
        <v>78.909176229930296</v>
      </c>
      <c r="AM1859">
        <v>88.747239919583905</v>
      </c>
      <c r="AN1859">
        <v>0.99999997549626396</v>
      </c>
    </row>
    <row r="1860" spans="1:40" x14ac:dyDescent="0.25">
      <c r="A1860" t="str">
        <f>"20190303162816631"</f>
        <v>20190303162816631</v>
      </c>
      <c r="B1860" t="str">
        <f>"1551601696623731"</f>
        <v>1551601696623731</v>
      </c>
      <c r="C1860" t="s">
        <v>40</v>
      </c>
      <c r="D1860">
        <v>4.4748929999999998</v>
      </c>
      <c r="E1860">
        <v>0.52962540000000002</v>
      </c>
      <c r="F1860" t="s">
        <v>44</v>
      </c>
      <c r="G1860">
        <v>-303.4357</v>
      </c>
      <c r="H1860">
        <v>0.87676779999999999</v>
      </c>
      <c r="I1860">
        <v>283.46480000000003</v>
      </c>
      <c r="J1860">
        <v>-302.93029999999999</v>
      </c>
      <c r="K1860">
        <v>1.120598</v>
      </c>
      <c r="L1860">
        <v>283.38909999999998</v>
      </c>
      <c r="M1860">
        <v>-0.99983259999999996</v>
      </c>
      <c r="N1860">
        <v>-1.127103E-2</v>
      </c>
      <c r="O1860">
        <v>1.442656E-2</v>
      </c>
      <c r="P1860">
        <v>-0.98256100000000002</v>
      </c>
      <c r="Q1860">
        <v>0.1826006</v>
      </c>
      <c r="R1860">
        <v>3.5090360000000001E-2</v>
      </c>
      <c r="S1860">
        <v>-3.220764</v>
      </c>
      <c r="T1860">
        <v>-0.97406150000000002</v>
      </c>
      <c r="U1860">
        <v>0.31860349999999998</v>
      </c>
      <c r="V1860">
        <v>2.104406E-2</v>
      </c>
      <c r="W1860">
        <v>0.19365379999999999</v>
      </c>
      <c r="X1860">
        <v>0.98084420000000005</v>
      </c>
      <c r="Y1860">
        <v>8.0940079999999998E-2</v>
      </c>
      <c r="Z1860">
        <v>8.3137479999999993E-3</v>
      </c>
      <c r="AA1860">
        <v>0.99668429999999997</v>
      </c>
      <c r="AB1860">
        <v>38</v>
      </c>
      <c r="AC1860">
        <v>-0.50540000000000795</v>
      </c>
      <c r="AD1860">
        <v>-0.2438302</v>
      </c>
      <c r="AE1860">
        <v>7.5700000000040193E-2</v>
      </c>
      <c r="AF1860">
        <v>5.5716563474871098E-2</v>
      </c>
      <c r="AG1860">
        <v>-0.2438302</v>
      </c>
      <c r="AH1860">
        <v>0.41252741835424001</v>
      </c>
      <c r="AI1860">
        <v>120.35946411562399</v>
      </c>
      <c r="AJ1860">
        <v>82.308092788805894</v>
      </c>
      <c r="AK1860">
        <v>0.48242758292981502</v>
      </c>
      <c r="AL1860">
        <v>78.833906891631202</v>
      </c>
      <c r="AM1860">
        <v>88.770904833659102</v>
      </c>
      <c r="AN1860">
        <v>0.99999999569468101</v>
      </c>
    </row>
    <row r="1861" spans="1:40" x14ac:dyDescent="0.25">
      <c r="A1861" t="str">
        <f>"20190303162816644"</f>
        <v>20190303162816644</v>
      </c>
      <c r="B1861" t="str">
        <f>"1551601696633492"</f>
        <v>1551601696633492</v>
      </c>
      <c r="C1861" t="s">
        <v>40</v>
      </c>
      <c r="D1861">
        <v>4.4555300000000004</v>
      </c>
      <c r="E1861">
        <v>0.52977339999999995</v>
      </c>
      <c r="F1861" t="s">
        <v>44</v>
      </c>
      <c r="G1861">
        <v>-303.7713</v>
      </c>
      <c r="H1861">
        <v>0.8672069</v>
      </c>
      <c r="I1861">
        <v>283.47309999999999</v>
      </c>
      <c r="J1861">
        <v>-303.142</v>
      </c>
      <c r="K1861">
        <v>1.1206020000000001</v>
      </c>
      <c r="L1861">
        <v>283.39229999999998</v>
      </c>
      <c r="M1861">
        <v>-0.99983029999999995</v>
      </c>
      <c r="N1861">
        <v>-1.1272330000000001E-2</v>
      </c>
      <c r="O1861">
        <v>1.457438E-2</v>
      </c>
      <c r="P1861">
        <v>-0.98253029999999997</v>
      </c>
      <c r="Q1861">
        <v>0.18285989999999999</v>
      </c>
      <c r="R1861">
        <v>3.4590870000000003E-2</v>
      </c>
      <c r="S1861">
        <v>-3.222137</v>
      </c>
      <c r="T1861">
        <v>-0.97077380000000002</v>
      </c>
      <c r="U1861">
        <v>0.32153320000000002</v>
      </c>
      <c r="V1861">
        <v>2.0400339999999999E-2</v>
      </c>
      <c r="W1861">
        <v>0.19391439999999999</v>
      </c>
      <c r="X1861">
        <v>0.98080639999999997</v>
      </c>
      <c r="Y1861">
        <v>8.1645209999999996E-2</v>
      </c>
      <c r="Z1861">
        <v>8.3514339999999996E-3</v>
      </c>
      <c r="AA1861">
        <v>0.99662640000000002</v>
      </c>
      <c r="AB1861">
        <v>38</v>
      </c>
      <c r="AC1861">
        <v>-0.62929999999999997</v>
      </c>
      <c r="AD1861">
        <v>-0.25339509999999998</v>
      </c>
      <c r="AE1861">
        <v>8.0800000000010599E-2</v>
      </c>
      <c r="AF1861">
        <v>6.1766922209385497E-2</v>
      </c>
      <c r="AG1861">
        <v>-0.25339509999999998</v>
      </c>
      <c r="AH1861">
        <v>0.54368869554983901</v>
      </c>
      <c r="AI1861">
        <v>114.848272581153</v>
      </c>
      <c r="AJ1861">
        <v>83.518578893634597</v>
      </c>
      <c r="AK1861">
        <v>0.60301047010140396</v>
      </c>
      <c r="AL1861">
        <v>78.818688078179605</v>
      </c>
      <c r="AM1861">
        <v>88.808444898721902</v>
      </c>
      <c r="AN1861">
        <v>1.0000000813402099</v>
      </c>
    </row>
    <row r="1862" spans="1:40" x14ac:dyDescent="0.25">
      <c r="A1862" t="str">
        <f>"20190303162816656"</f>
        <v>20190303162816656</v>
      </c>
      <c r="B1862" t="str">
        <f>"1551601696653012"</f>
        <v>1551601696653012</v>
      </c>
      <c r="C1862" t="s">
        <v>40</v>
      </c>
      <c r="D1862">
        <v>4.4667599999999998</v>
      </c>
      <c r="E1862">
        <v>0.53004119999999999</v>
      </c>
      <c r="F1862" t="s">
        <v>44</v>
      </c>
      <c r="G1862">
        <v>-304.09710000000001</v>
      </c>
      <c r="H1862">
        <v>0.83280599999999905</v>
      </c>
      <c r="I1862">
        <v>283.488</v>
      </c>
      <c r="J1862">
        <v>-303.36649999999997</v>
      </c>
      <c r="K1862">
        <v>1.120606</v>
      </c>
      <c r="L1862">
        <v>283.39569999999998</v>
      </c>
      <c r="M1862">
        <v>-0.99982800000000005</v>
      </c>
      <c r="N1862">
        <v>-1.1273719999999999E-2</v>
      </c>
      <c r="O1862">
        <v>1.4732520000000001E-2</v>
      </c>
      <c r="P1862">
        <v>-0.98246849999999997</v>
      </c>
      <c r="Q1862">
        <v>0.1832916</v>
      </c>
      <c r="R1862">
        <v>3.4058789999999999E-2</v>
      </c>
      <c r="S1862">
        <v>-3.2227169999999998</v>
      </c>
      <c r="T1862">
        <v>-0.97103110000000004</v>
      </c>
      <c r="U1862">
        <v>0.32208249999999999</v>
      </c>
      <c r="V1862">
        <v>1.9714789999999999E-2</v>
      </c>
      <c r="W1862">
        <v>0.19434709999999999</v>
      </c>
      <c r="X1862">
        <v>0.98073469999999996</v>
      </c>
      <c r="Y1862">
        <v>8.1644129999999995E-2</v>
      </c>
      <c r="Z1862">
        <v>8.3071789999999996E-3</v>
      </c>
      <c r="AA1862">
        <v>0.99662689999999998</v>
      </c>
      <c r="AB1862">
        <v>38</v>
      </c>
      <c r="AC1862">
        <v>-0.730600000000038</v>
      </c>
      <c r="AD1862">
        <v>-0.2878</v>
      </c>
      <c r="AE1862">
        <v>9.2300000000022905E-2</v>
      </c>
      <c r="AF1862">
        <v>7.0723581617211706E-2</v>
      </c>
      <c r="AG1862">
        <v>-0.2878</v>
      </c>
      <c r="AH1862">
        <v>0.63490659859404197</v>
      </c>
      <c r="AI1862">
        <v>114.25197584911299</v>
      </c>
      <c r="AJ1862">
        <v>83.643905397952196</v>
      </c>
      <c r="AK1862">
        <v>0.70066900454852599</v>
      </c>
      <c r="AL1862">
        <v>78.793414590528798</v>
      </c>
      <c r="AM1862">
        <v>88.848391775182705</v>
      </c>
      <c r="AN1862">
        <v>1.0000000100036199</v>
      </c>
    </row>
    <row r="1863" spans="1:40" x14ac:dyDescent="0.25">
      <c r="A1863" t="str">
        <f>"20190303162816669"</f>
        <v>20190303162816669</v>
      </c>
      <c r="B1863" t="str">
        <f>"1551601696663748"</f>
        <v>1551601696663748</v>
      </c>
      <c r="C1863" t="s">
        <v>40</v>
      </c>
      <c r="D1863">
        <v>4.464601</v>
      </c>
      <c r="E1863">
        <v>0.53018829999999995</v>
      </c>
      <c r="F1863" t="s">
        <v>44</v>
      </c>
      <c r="G1863">
        <v>-304.12119999999999</v>
      </c>
      <c r="H1863">
        <v>0.89301659999999905</v>
      </c>
      <c r="I1863">
        <v>283.4717</v>
      </c>
      <c r="J1863">
        <v>-303.5772</v>
      </c>
      <c r="K1863">
        <v>1.1206069999999999</v>
      </c>
      <c r="L1863">
        <v>283.399</v>
      </c>
      <c r="M1863">
        <v>-0.99982570000000004</v>
      </c>
      <c r="N1863">
        <v>-1.127503E-2</v>
      </c>
      <c r="O1863">
        <v>1.4882980000000001E-2</v>
      </c>
      <c r="P1863">
        <v>-0.98244540000000002</v>
      </c>
      <c r="Q1863">
        <v>0.18353520000000001</v>
      </c>
      <c r="R1863">
        <v>3.3410219999999997E-2</v>
      </c>
      <c r="S1863">
        <v>-3.2236630000000002</v>
      </c>
      <c r="T1863">
        <v>-0.97218159999999998</v>
      </c>
      <c r="U1863">
        <v>0.32373049999999998</v>
      </c>
      <c r="V1863">
        <v>1.891988E-2</v>
      </c>
      <c r="W1863">
        <v>0.19459209999999999</v>
      </c>
      <c r="X1863">
        <v>0.98070170000000001</v>
      </c>
      <c r="Y1863">
        <v>8.1956370000000001E-2</v>
      </c>
      <c r="Z1863">
        <v>8.3187999999999995E-3</v>
      </c>
      <c r="AA1863">
        <v>0.99660119999999996</v>
      </c>
      <c r="AB1863">
        <v>38</v>
      </c>
      <c r="AC1863">
        <v>-0.54399999999998205</v>
      </c>
      <c r="AD1863">
        <v>-0.2275904</v>
      </c>
      <c r="AE1863">
        <v>7.2699999999997503E-2</v>
      </c>
      <c r="AF1863">
        <v>5.5117244024590201E-2</v>
      </c>
      <c r="AG1863">
        <v>-0.2275904</v>
      </c>
      <c r="AH1863">
        <v>0.46505235944963602</v>
      </c>
      <c r="AI1863">
        <v>115.91907041736199</v>
      </c>
      <c r="AJ1863">
        <v>83.240927699843795</v>
      </c>
      <c r="AK1863">
        <v>0.52068128235101696</v>
      </c>
      <c r="AL1863">
        <v>78.779103069702103</v>
      </c>
      <c r="AM1863">
        <v>88.894776245221394</v>
      </c>
      <c r="AN1863">
        <v>0.99999993581225499</v>
      </c>
    </row>
    <row r="1864" spans="1:40" x14ac:dyDescent="0.25">
      <c r="A1864" t="str">
        <f>"20190303162816687"</f>
        <v>20190303162816687</v>
      </c>
      <c r="B1864" t="str">
        <f>"1551601696683269"</f>
        <v>1551601696683269</v>
      </c>
      <c r="C1864" t="s">
        <v>40</v>
      </c>
      <c r="D1864">
        <v>4.4890499999999998</v>
      </c>
      <c r="E1864">
        <v>0.53047429999999995</v>
      </c>
      <c r="F1864" t="s">
        <v>44</v>
      </c>
      <c r="G1864">
        <v>-304.44709999999998</v>
      </c>
      <c r="H1864">
        <v>0.85841520000000004</v>
      </c>
      <c r="I1864">
        <v>283.48649999999998</v>
      </c>
      <c r="J1864">
        <v>-303.8775</v>
      </c>
      <c r="K1864">
        <v>1.120603</v>
      </c>
      <c r="L1864">
        <v>283.40359999999998</v>
      </c>
      <c r="M1864">
        <v>-0.99982249999999995</v>
      </c>
      <c r="N1864">
        <v>-1.1276909999999999E-2</v>
      </c>
      <c r="O1864">
        <v>1.5102010000000001E-2</v>
      </c>
      <c r="P1864">
        <v>-0.98235189999999994</v>
      </c>
      <c r="Q1864">
        <v>0.18420539999999999</v>
      </c>
      <c r="R1864">
        <v>3.2454860000000002E-2</v>
      </c>
      <c r="S1864">
        <v>-3.2241520000000001</v>
      </c>
      <c r="T1864">
        <v>-0.97182139999999995</v>
      </c>
      <c r="U1864">
        <v>0.3243103</v>
      </c>
      <c r="V1864">
        <v>1.7753359999999999E-2</v>
      </c>
      <c r="W1864">
        <v>0.1952632</v>
      </c>
      <c r="X1864">
        <v>0.98059019999999997</v>
      </c>
      <c r="Y1864">
        <v>8.1914550000000003E-2</v>
      </c>
      <c r="Z1864">
        <v>8.2466250000000005E-3</v>
      </c>
      <c r="AA1864">
        <v>0.99660519999999997</v>
      </c>
      <c r="AB1864">
        <v>38</v>
      </c>
      <c r="AC1864">
        <v>-0.56959999999997901</v>
      </c>
      <c r="AD1864">
        <v>-0.26218780000000003</v>
      </c>
      <c r="AE1864">
        <v>8.2899999999995005E-2</v>
      </c>
      <c r="AF1864">
        <v>6.1522949018985897E-2</v>
      </c>
      <c r="AG1864">
        <v>-0.26218780000000003</v>
      </c>
      <c r="AH1864">
        <v>0.47270829603012299</v>
      </c>
      <c r="AI1864">
        <v>118.81130145251799</v>
      </c>
      <c r="AJ1864">
        <v>82.584640753803299</v>
      </c>
      <c r="AK1864">
        <v>0.544041036007887</v>
      </c>
      <c r="AL1864">
        <v>78.739900814856597</v>
      </c>
      <c r="AM1864">
        <v>88.962786408989601</v>
      </c>
      <c r="AN1864">
        <v>1.0000000197007799</v>
      </c>
    </row>
    <row r="1865" spans="1:40" x14ac:dyDescent="0.25">
      <c r="A1865" t="str">
        <f>"20190303162816700"</f>
        <v>20190303162816700</v>
      </c>
      <c r="B1865" t="str">
        <f>"1551601696694680"</f>
        <v>1551601696694680</v>
      </c>
      <c r="C1865" t="s">
        <v>40</v>
      </c>
      <c r="D1865">
        <v>4.5121479999999998</v>
      </c>
      <c r="E1865">
        <v>0.53057869999999996</v>
      </c>
      <c r="F1865" t="s">
        <v>44</v>
      </c>
      <c r="G1865">
        <v>-304.78289999999998</v>
      </c>
      <c r="H1865">
        <v>0.84817759999999998</v>
      </c>
      <c r="I1865">
        <v>283.495</v>
      </c>
      <c r="J1865">
        <v>-304.11250000000001</v>
      </c>
      <c r="K1865">
        <v>1.120598</v>
      </c>
      <c r="L1865">
        <v>283.40730000000002</v>
      </c>
      <c r="M1865">
        <v>-0.99981980000000004</v>
      </c>
      <c r="N1865">
        <v>-1.1278399999999999E-2</v>
      </c>
      <c r="O1865">
        <v>1.527939E-2</v>
      </c>
      <c r="P1865">
        <v>-0.98223150000000004</v>
      </c>
      <c r="Q1865">
        <v>0.18484320000000001</v>
      </c>
      <c r="R1865">
        <v>3.2476959999999999E-2</v>
      </c>
      <c r="S1865">
        <v>-3.2251590000000001</v>
      </c>
      <c r="T1865">
        <v>-0.97037039999999997</v>
      </c>
      <c r="U1865">
        <v>0.32492070000000001</v>
      </c>
      <c r="V1865">
        <v>1.7606110000000001E-2</v>
      </c>
      <c r="W1865">
        <v>0.19590109999999999</v>
      </c>
      <c r="X1865">
        <v>0.98046560000000005</v>
      </c>
      <c r="Y1865">
        <v>8.1911590000000006E-2</v>
      </c>
      <c r="Z1865">
        <v>8.1829209999999993E-3</v>
      </c>
      <c r="AA1865">
        <v>0.99660599999999999</v>
      </c>
      <c r="AB1865">
        <v>38</v>
      </c>
      <c r="AC1865">
        <v>-0.67039999999997202</v>
      </c>
      <c r="AD1865">
        <v>-0.27242040000000001</v>
      </c>
      <c r="AE1865">
        <v>8.7699999999983902E-2</v>
      </c>
      <c r="AF1865">
        <v>6.6628868561371096E-2</v>
      </c>
      <c r="AG1865">
        <v>-0.27242040000000001</v>
      </c>
      <c r="AH1865">
        <v>0.57785008920697101</v>
      </c>
      <c r="AI1865">
        <v>115.095329154284</v>
      </c>
      <c r="AJ1865">
        <v>83.422570382824702</v>
      </c>
      <c r="AK1865">
        <v>0.64231067721036095</v>
      </c>
      <c r="AL1865">
        <v>78.702631903289401</v>
      </c>
      <c r="AM1865">
        <v>88.971256724101494</v>
      </c>
      <c r="AN1865">
        <v>1.0000000044369499</v>
      </c>
    </row>
    <row r="1866" spans="1:40" x14ac:dyDescent="0.25">
      <c r="A1866" t="str">
        <f>"20190303162816715"</f>
        <v>20190303162816715</v>
      </c>
      <c r="B1866" t="str">
        <f>"1551601696703465"</f>
        <v>1551601696703465</v>
      </c>
      <c r="C1866" t="s">
        <v>40</v>
      </c>
      <c r="D1866">
        <v>4.492057</v>
      </c>
      <c r="E1866">
        <v>0.53066959999999996</v>
      </c>
      <c r="F1866" t="s">
        <v>44</v>
      </c>
      <c r="G1866">
        <v>-304.80900000000003</v>
      </c>
      <c r="H1866">
        <v>0.91128399999999998</v>
      </c>
      <c r="I1866">
        <v>283.47800000000001</v>
      </c>
      <c r="J1866">
        <v>-304.32769999999999</v>
      </c>
      <c r="K1866">
        <v>1.120587</v>
      </c>
      <c r="L1866">
        <v>283.41070000000002</v>
      </c>
      <c r="M1866">
        <v>-0.99981710000000001</v>
      </c>
      <c r="N1866">
        <v>-1.127976E-2</v>
      </c>
      <c r="O1866">
        <v>1.54491E-2</v>
      </c>
      <c r="P1866">
        <v>-0.98216119999999996</v>
      </c>
      <c r="Q1866">
        <v>0.18522469999999999</v>
      </c>
      <c r="R1866">
        <v>3.2424359999999999E-2</v>
      </c>
      <c r="S1866">
        <v>-3.2259220000000002</v>
      </c>
      <c r="T1866">
        <v>-0.96942419999999996</v>
      </c>
      <c r="U1866">
        <v>0.32641599999999998</v>
      </c>
      <c r="V1866">
        <v>1.7391340000000002E-2</v>
      </c>
      <c r="W1866">
        <v>0.1962827</v>
      </c>
      <c r="X1866">
        <v>0.98039310000000002</v>
      </c>
      <c r="Y1866">
        <v>8.2178329999999994E-2</v>
      </c>
      <c r="Z1866">
        <v>8.1668609999999992E-3</v>
      </c>
      <c r="AA1866">
        <v>0.99658420000000003</v>
      </c>
      <c r="AB1866">
        <v>38</v>
      </c>
      <c r="AC1866">
        <v>-0.48130000000003198</v>
      </c>
      <c r="AD1866">
        <v>-0.20930299999999999</v>
      </c>
      <c r="AE1866">
        <v>6.7299999999988799E-2</v>
      </c>
      <c r="AF1866">
        <v>5.0490578933144403E-2</v>
      </c>
      <c r="AG1866">
        <v>-0.20930299999999999</v>
      </c>
      <c r="AH1866">
        <v>0.406822685771487</v>
      </c>
      <c r="AI1866">
        <v>117.04726536289201</v>
      </c>
      <c r="AJ1866">
        <v>82.925223474837495</v>
      </c>
      <c r="AK1866">
        <v>0.46028441427918299</v>
      </c>
      <c r="AL1866">
        <v>78.680334827812501</v>
      </c>
      <c r="AM1866">
        <v>88.983728178363194</v>
      </c>
      <c r="AN1866">
        <v>0.99999999377694704</v>
      </c>
    </row>
    <row r="1867" spans="1:40" x14ac:dyDescent="0.25">
      <c r="A1867" t="str">
        <f>"20190303162816734"</f>
        <v>20190303162816734</v>
      </c>
      <c r="B1867" t="str">
        <f>"1551601696722984"</f>
        <v>1551601696722984</v>
      </c>
      <c r="C1867" t="s">
        <v>40</v>
      </c>
      <c r="D1867">
        <v>4.5037289999999999</v>
      </c>
      <c r="E1867">
        <v>0.53084279999999995</v>
      </c>
      <c r="F1867" t="s">
        <v>44</v>
      </c>
      <c r="G1867">
        <v>-305.13490000000002</v>
      </c>
      <c r="H1867">
        <v>0.87802199999999997</v>
      </c>
      <c r="I1867">
        <v>283.49279999999999</v>
      </c>
      <c r="J1867">
        <v>-304.66059999999999</v>
      </c>
      <c r="K1867">
        <v>1.120579</v>
      </c>
      <c r="L1867">
        <v>283.41609999999997</v>
      </c>
      <c r="M1867">
        <v>-0.99981279999999995</v>
      </c>
      <c r="N1867">
        <v>-1.1281960000000001E-2</v>
      </c>
      <c r="O1867">
        <v>1.5719710000000001E-2</v>
      </c>
      <c r="P1867">
        <v>-0.98209120000000005</v>
      </c>
      <c r="Q1867">
        <v>0.18545329999999999</v>
      </c>
      <c r="R1867">
        <v>3.3228779999999999E-2</v>
      </c>
      <c r="S1867">
        <v>-3.2265630000000001</v>
      </c>
      <c r="T1867">
        <v>-0.9695492</v>
      </c>
      <c r="U1867">
        <v>0.32736209999999999</v>
      </c>
      <c r="V1867">
        <v>1.793668E-2</v>
      </c>
      <c r="W1867">
        <v>0.1965122</v>
      </c>
      <c r="X1867">
        <v>0.98033729999999997</v>
      </c>
      <c r="Y1867">
        <v>8.2189029999999996E-2</v>
      </c>
      <c r="Z1867">
        <v>8.0916770000000002E-3</v>
      </c>
      <c r="AA1867">
        <v>0.99658389999999997</v>
      </c>
      <c r="AB1867">
        <v>38</v>
      </c>
      <c r="AC1867">
        <v>-0.47430000000002698</v>
      </c>
      <c r="AD1867">
        <v>-0.24255699999999999</v>
      </c>
      <c r="AE1867">
        <v>7.6700000000016602E-2</v>
      </c>
      <c r="AF1867">
        <v>5.5172619062422497E-2</v>
      </c>
      <c r="AG1867">
        <v>-0.24255699999999999</v>
      </c>
      <c r="AH1867">
        <v>0.37888311897872201</v>
      </c>
      <c r="AI1867">
        <v>122.354585796424</v>
      </c>
      <c r="AJ1867">
        <v>81.714874409775803</v>
      </c>
      <c r="AK1867">
        <v>0.45324423216435</v>
      </c>
      <c r="AL1867">
        <v>78.666924287029801</v>
      </c>
      <c r="AM1867">
        <v>88.951808312856201</v>
      </c>
      <c r="AN1867">
        <v>0.99999999550477603</v>
      </c>
    </row>
    <row r="1868" spans="1:40" x14ac:dyDescent="0.25">
      <c r="A1868" t="str">
        <f>"20190303162816754"</f>
        <v>20190303162816754</v>
      </c>
      <c r="B1868" t="str">
        <f>"1551601696743480"</f>
        <v>1551601696743480</v>
      </c>
      <c r="C1868" t="s">
        <v>40</v>
      </c>
      <c r="D1868">
        <v>4.5195860000000003</v>
      </c>
      <c r="E1868">
        <v>0.53101899999999902</v>
      </c>
      <c r="F1868" t="s">
        <v>44</v>
      </c>
      <c r="G1868">
        <v>-305.4742</v>
      </c>
      <c r="H1868">
        <v>0.87571599999999905</v>
      </c>
      <c r="I1868">
        <v>283.50020000000001</v>
      </c>
      <c r="J1868">
        <v>-305.00650000000002</v>
      </c>
      <c r="K1868">
        <v>1.1205670000000001</v>
      </c>
      <c r="L1868">
        <v>283.42180000000002</v>
      </c>
      <c r="M1868">
        <v>-0.99980809999999998</v>
      </c>
      <c r="N1868">
        <v>-1.1284270000000001E-2</v>
      </c>
      <c r="O1868">
        <v>1.601203E-2</v>
      </c>
      <c r="P1868">
        <v>-0.98206329999999997</v>
      </c>
      <c r="Q1868">
        <v>0.18543370000000001</v>
      </c>
      <c r="R1868">
        <v>3.4146610000000001E-2</v>
      </c>
      <c r="S1868">
        <v>-3.226807</v>
      </c>
      <c r="T1868">
        <v>-0.97118780000000005</v>
      </c>
      <c r="U1868">
        <v>0.33270260000000001</v>
      </c>
      <c r="V1868">
        <v>1.8573329999999999E-2</v>
      </c>
      <c r="W1868">
        <v>0.196494</v>
      </c>
      <c r="X1868">
        <v>0.98032909999999995</v>
      </c>
      <c r="Y1868">
        <v>8.3467139999999995E-2</v>
      </c>
      <c r="Z1868">
        <v>8.2152949999999992E-3</v>
      </c>
      <c r="AA1868">
        <v>0.99647669999999999</v>
      </c>
      <c r="AB1868">
        <v>38</v>
      </c>
      <c r="AC1868">
        <v>-0.46769999999997902</v>
      </c>
      <c r="AD1868">
        <v>-0.24485100000000001</v>
      </c>
      <c r="AE1868">
        <v>7.8399999999987799E-2</v>
      </c>
      <c r="AF1868">
        <v>5.5977850828379201E-2</v>
      </c>
      <c r="AG1868">
        <v>-0.24485100000000001</v>
      </c>
      <c r="AH1868">
        <v>0.370204814504492</v>
      </c>
      <c r="AI1868">
        <v>123.183064585229</v>
      </c>
      <c r="AJ1868">
        <v>81.401568061943294</v>
      </c>
      <c r="AK1868">
        <v>0.447366892680571</v>
      </c>
      <c r="AL1868">
        <v>78.667987885342399</v>
      </c>
      <c r="AM1868">
        <v>88.914603148023403</v>
      </c>
      <c r="AN1868">
        <v>1.0000000024650399</v>
      </c>
    </row>
    <row r="1869" spans="1:40" x14ac:dyDescent="0.25">
      <c r="A1869" t="str">
        <f>"20190303162816776"</f>
        <v>20190303162816776</v>
      </c>
      <c r="B1869" t="str">
        <f>"1551601696773736"</f>
        <v>1551601696773736</v>
      </c>
      <c r="C1869" t="s">
        <v>40</v>
      </c>
      <c r="D1869">
        <v>4.5756129999999997</v>
      </c>
      <c r="E1869">
        <v>0.53123019999999999</v>
      </c>
      <c r="F1869" t="s">
        <v>44</v>
      </c>
      <c r="G1869">
        <v>-305.81490000000002</v>
      </c>
      <c r="H1869">
        <v>0.87675199999999998</v>
      </c>
      <c r="I1869">
        <v>283.5068</v>
      </c>
      <c r="J1869">
        <v>-305.37959999999998</v>
      </c>
      <c r="K1869">
        <v>1.120557</v>
      </c>
      <c r="L1869">
        <v>283.42809999999997</v>
      </c>
      <c r="M1869">
        <v>-0.99980290000000005</v>
      </c>
      <c r="N1869">
        <v>-1.128669E-2</v>
      </c>
      <c r="O1869">
        <v>1.633921E-2</v>
      </c>
      <c r="P1869">
        <v>-0.98203549999999995</v>
      </c>
      <c r="Q1869">
        <v>0.18531549999999999</v>
      </c>
      <c r="R1869">
        <v>3.55585E-2</v>
      </c>
      <c r="S1869">
        <v>-3.2267459999999999</v>
      </c>
      <c r="T1869">
        <v>-0.97316150000000001</v>
      </c>
      <c r="U1869">
        <v>0.33822629999999998</v>
      </c>
      <c r="V1869">
        <v>1.9669659999999999E-2</v>
      </c>
      <c r="W1869">
        <v>0.1963762</v>
      </c>
      <c r="X1869">
        <v>0.98033130000000002</v>
      </c>
      <c r="Y1869">
        <v>8.4772520000000004E-2</v>
      </c>
      <c r="Z1869">
        <v>8.3367159999999992E-3</v>
      </c>
      <c r="AA1869">
        <v>0.99636539999999996</v>
      </c>
      <c r="AB1869">
        <v>38</v>
      </c>
      <c r="AC1869">
        <v>-0.43530000000003999</v>
      </c>
      <c r="AD1869">
        <v>-0.24380499999999899</v>
      </c>
      <c r="AE1869">
        <v>7.8700000000026193E-2</v>
      </c>
      <c r="AF1869">
        <v>5.4899865699124299E-2</v>
      </c>
      <c r="AG1869">
        <v>-0.24380499999999899</v>
      </c>
      <c r="AH1869">
        <v>0.334820693635342</v>
      </c>
      <c r="AI1869">
        <v>125.699904694342</v>
      </c>
      <c r="AJ1869">
        <v>80.688188842296995</v>
      </c>
      <c r="AK1869">
        <v>0.41780350664544902</v>
      </c>
      <c r="AL1869">
        <v>78.674871213773201</v>
      </c>
      <c r="AM1869">
        <v>88.850554597099105</v>
      </c>
      <c r="AN1869">
        <v>0.99999998260532197</v>
      </c>
    </row>
    <row r="1870" spans="1:40" x14ac:dyDescent="0.25">
      <c r="A1870" t="str">
        <f>"20190303162816787"</f>
        <v>20190303162816787</v>
      </c>
      <c r="B1870" t="str">
        <f>"1551601696783497"</f>
        <v>1551601696783497</v>
      </c>
      <c r="C1870" t="s">
        <v>40</v>
      </c>
      <c r="D1870">
        <v>4.5833899999999996</v>
      </c>
      <c r="E1870">
        <v>0.53128580000000003</v>
      </c>
      <c r="F1870" t="s">
        <v>44</v>
      </c>
      <c r="G1870">
        <v>-306.15859999999998</v>
      </c>
      <c r="H1870">
        <v>0.88464880000000001</v>
      </c>
      <c r="I1870">
        <v>283.51119999999997</v>
      </c>
      <c r="J1870">
        <v>-305.57850000000002</v>
      </c>
      <c r="K1870">
        <v>1.120557</v>
      </c>
      <c r="L1870">
        <v>283.43150000000003</v>
      </c>
      <c r="M1870">
        <v>-0.99979980000000002</v>
      </c>
      <c r="N1870">
        <v>-1.128797E-2</v>
      </c>
      <c r="O1870">
        <v>1.6517850000000001E-2</v>
      </c>
      <c r="P1870">
        <v>-0.98202259999999997</v>
      </c>
      <c r="Q1870">
        <v>0.18526210000000001</v>
      </c>
      <c r="R1870">
        <v>3.6187520000000001E-2</v>
      </c>
      <c r="S1870">
        <v>-3.2268680000000001</v>
      </c>
      <c r="T1870">
        <v>-0.97725649999999997</v>
      </c>
      <c r="U1870">
        <v>0.34371950000000001</v>
      </c>
      <c r="V1870">
        <v>2.012601E-2</v>
      </c>
      <c r="W1870">
        <v>0.19632379999999999</v>
      </c>
      <c r="X1870">
        <v>0.9803326</v>
      </c>
      <c r="Y1870">
        <v>8.6185390000000001E-2</v>
      </c>
      <c r="Z1870">
        <v>8.5329529999999994E-3</v>
      </c>
      <c r="AA1870">
        <v>0.99624259999999998</v>
      </c>
      <c r="AB1870">
        <v>38</v>
      </c>
      <c r="AC1870">
        <v>-0.58009999999995898</v>
      </c>
      <c r="AD1870">
        <v>-0.23590819999999901</v>
      </c>
      <c r="AE1870">
        <v>7.9699999999945703E-2</v>
      </c>
      <c r="AF1870">
        <v>6.0316266960752103E-2</v>
      </c>
      <c r="AG1870">
        <v>-0.23590819999999901</v>
      </c>
      <c r="AH1870">
        <v>0.50015472660831295</v>
      </c>
      <c r="AI1870">
        <v>115.092640320421</v>
      </c>
      <c r="AJ1870">
        <v>83.123609747759303</v>
      </c>
      <c r="AK1870">
        <v>0.55627824102328205</v>
      </c>
      <c r="AL1870">
        <v>78.677933873974297</v>
      </c>
      <c r="AM1870">
        <v>88.823895616934905</v>
      </c>
      <c r="AN1870">
        <v>1.0000000486738501</v>
      </c>
    </row>
    <row r="1871" spans="1:40" x14ac:dyDescent="0.25">
      <c r="A1871" t="str">
        <f>"20190303162816800"</f>
        <v>20190303162816800</v>
      </c>
      <c r="B1871" t="str">
        <f>"1551601696793447"</f>
        <v>1551601696793447</v>
      </c>
      <c r="C1871" t="s">
        <v>40</v>
      </c>
      <c r="D1871">
        <v>4.5944140000000004</v>
      </c>
      <c r="E1871">
        <v>0.53134840000000005</v>
      </c>
      <c r="F1871" t="s">
        <v>44</v>
      </c>
      <c r="G1871">
        <v>-306.4837</v>
      </c>
      <c r="H1871">
        <v>0.84598719999999905</v>
      </c>
      <c r="I1871">
        <v>283.52870000000001</v>
      </c>
      <c r="J1871">
        <v>-305.80630000000002</v>
      </c>
      <c r="K1871">
        <v>1.1205499999999999</v>
      </c>
      <c r="L1871">
        <v>283.43540000000002</v>
      </c>
      <c r="M1871">
        <v>-0.99979649999999998</v>
      </c>
      <c r="N1871">
        <v>-1.128944E-2</v>
      </c>
      <c r="O1871">
        <v>1.6725690000000001E-2</v>
      </c>
      <c r="P1871">
        <v>-0.98206800000000005</v>
      </c>
      <c r="Q1871">
        <v>0.1848544</v>
      </c>
      <c r="R1871">
        <v>3.7037779999999999E-2</v>
      </c>
      <c r="S1871">
        <v>-3.226807</v>
      </c>
      <c r="T1871">
        <v>-0.97880299999999998</v>
      </c>
      <c r="U1871">
        <v>0.34625240000000002</v>
      </c>
      <c r="V1871">
        <v>2.0773730000000001E-2</v>
      </c>
      <c r="W1871">
        <v>0.19591749999999999</v>
      </c>
      <c r="X1871">
        <v>0.9804003</v>
      </c>
      <c r="Y1871">
        <v>8.6727299999999993E-2</v>
      </c>
      <c r="Z1871">
        <v>8.5689479999999998E-3</v>
      </c>
      <c r="AA1871">
        <v>0.99619530000000001</v>
      </c>
      <c r="AB1871">
        <v>38</v>
      </c>
      <c r="AC1871">
        <v>-0.67739999999997702</v>
      </c>
      <c r="AD1871">
        <v>-0.2745628</v>
      </c>
      <c r="AE1871">
        <v>9.3299999999999203E-2</v>
      </c>
      <c r="AF1871">
        <v>7.0577422231103096E-2</v>
      </c>
      <c r="AG1871">
        <v>-0.2745628</v>
      </c>
      <c r="AH1871">
        <v>0.58461196400571502</v>
      </c>
      <c r="AI1871">
        <v>114.997951456875</v>
      </c>
      <c r="AJ1871">
        <v>83.116266540867102</v>
      </c>
      <c r="AK1871">
        <v>0.64972074934640001</v>
      </c>
      <c r="AL1871">
        <v>78.701673421050501</v>
      </c>
      <c r="AM1871">
        <v>88.786139731545603</v>
      </c>
      <c r="AN1871">
        <v>0.99999998145222602</v>
      </c>
    </row>
    <row r="1872" spans="1:40" x14ac:dyDescent="0.25">
      <c r="A1872" t="str">
        <f>"20190303162816813"</f>
        <v>20190303162816813</v>
      </c>
      <c r="B1872" t="str">
        <f>"1551601696803208"</f>
        <v>1551601696803208</v>
      </c>
      <c r="C1872" t="s">
        <v>40</v>
      </c>
      <c r="D1872">
        <v>4.6177060000000001</v>
      </c>
      <c r="E1872">
        <v>0.53140569999999998</v>
      </c>
      <c r="F1872" t="s">
        <v>44</v>
      </c>
      <c r="G1872">
        <v>-306.50850000000003</v>
      </c>
      <c r="H1872">
        <v>0.90700139999999996</v>
      </c>
      <c r="I1872">
        <v>283.51179999999999</v>
      </c>
      <c r="J1872">
        <v>-306.01920000000001</v>
      </c>
      <c r="K1872">
        <v>1.1205430000000001</v>
      </c>
      <c r="L1872">
        <v>283.4391</v>
      </c>
      <c r="M1872">
        <v>-0.99979309999999999</v>
      </c>
      <c r="N1872">
        <v>-1.129081E-2</v>
      </c>
      <c r="O1872">
        <v>1.6923500000000001E-2</v>
      </c>
      <c r="P1872">
        <v>-0.98215149999999996</v>
      </c>
      <c r="Q1872">
        <v>0.18422620000000001</v>
      </c>
      <c r="R1872">
        <v>3.7936169999999998E-2</v>
      </c>
      <c r="S1872">
        <v>-3.2261959999999998</v>
      </c>
      <c r="T1872">
        <v>-0.98103980000000002</v>
      </c>
      <c r="U1872">
        <v>0.35009770000000001</v>
      </c>
      <c r="V1872">
        <v>2.1477670000000001E-2</v>
      </c>
      <c r="W1872">
        <v>0.19529079999999999</v>
      </c>
      <c r="X1872">
        <v>0.9805102</v>
      </c>
      <c r="Y1872">
        <v>8.7673070000000006E-2</v>
      </c>
      <c r="Z1872">
        <v>8.6765460000000003E-3</v>
      </c>
      <c r="AA1872">
        <v>0.99611150000000004</v>
      </c>
      <c r="AB1872">
        <v>38</v>
      </c>
      <c r="AC1872">
        <v>-0.489300000000014</v>
      </c>
      <c r="AD1872">
        <v>-0.2135416</v>
      </c>
      <c r="AE1872">
        <v>7.2699999999997503E-2</v>
      </c>
      <c r="AF1872">
        <v>5.4291182561695503E-2</v>
      </c>
      <c r="AG1872">
        <v>-0.2135416</v>
      </c>
      <c r="AH1872">
        <v>0.41341929240845998</v>
      </c>
      <c r="AI1872">
        <v>117.118274538804</v>
      </c>
      <c r="AJ1872">
        <v>82.518596006629593</v>
      </c>
      <c r="AK1872">
        <v>0.4684688450367</v>
      </c>
      <c r="AL1872">
        <v>78.738288408276802</v>
      </c>
      <c r="AM1872">
        <v>88.745160339777001</v>
      </c>
      <c r="AN1872">
        <v>1.00000001958865</v>
      </c>
    </row>
    <row r="1873" spans="1:40" x14ac:dyDescent="0.25">
      <c r="A1873" t="str">
        <f>"20190303162816828"</f>
        <v>20190303162816828</v>
      </c>
      <c r="B1873" t="str">
        <f>"1551601696823703"</f>
        <v>1551601696823703</v>
      </c>
      <c r="C1873" t="s">
        <v>40</v>
      </c>
      <c r="D1873">
        <v>4.659351</v>
      </c>
      <c r="E1873">
        <v>0.53149990000000003</v>
      </c>
      <c r="F1873" t="s">
        <v>44</v>
      </c>
      <c r="G1873">
        <v>-306.83479999999997</v>
      </c>
      <c r="H1873">
        <v>0.87169479999999999</v>
      </c>
      <c r="I1873">
        <v>283.52879999999999</v>
      </c>
      <c r="J1873">
        <v>-306.26569999999998</v>
      </c>
      <c r="K1873">
        <v>1.1205369999999999</v>
      </c>
      <c r="L1873">
        <v>283.44349999999997</v>
      </c>
      <c r="M1873">
        <v>-0.99978909999999999</v>
      </c>
      <c r="N1873">
        <v>-1.129404E-2</v>
      </c>
      <c r="O1873">
        <v>1.715421E-2</v>
      </c>
      <c r="P1873">
        <v>-0.9822109</v>
      </c>
      <c r="Q1873">
        <v>0.18378510000000001</v>
      </c>
      <c r="R1873">
        <v>3.8536099999999997E-2</v>
      </c>
      <c r="S1873">
        <v>-3.2254330000000002</v>
      </c>
      <c r="T1873">
        <v>-0.9841008</v>
      </c>
      <c r="U1873">
        <v>0.35400389999999998</v>
      </c>
      <c r="V1873">
        <v>2.1851510000000001E-2</v>
      </c>
      <c r="W1873">
        <v>0.1948531</v>
      </c>
      <c r="X1873">
        <v>0.98058900000000004</v>
      </c>
      <c r="Y1873">
        <v>8.8605690000000001E-2</v>
      </c>
      <c r="Z1873">
        <v>8.7800399999999994E-3</v>
      </c>
      <c r="AA1873">
        <v>0.99602809999999997</v>
      </c>
      <c r="AB1873">
        <v>38</v>
      </c>
      <c r="AC1873">
        <v>-0.56909999999999095</v>
      </c>
      <c r="AD1873">
        <v>-0.24884220000000001</v>
      </c>
      <c r="AE1873">
        <v>8.5300000000017903E-2</v>
      </c>
      <c r="AF1873">
        <v>6.3626703825803696E-2</v>
      </c>
      <c r="AG1873">
        <v>-0.24884220000000001</v>
      </c>
      <c r="AH1873">
        <v>0.48060962797922202</v>
      </c>
      <c r="AI1873">
        <v>117.170756830927</v>
      </c>
      <c r="AJ1873">
        <v>82.458609269366605</v>
      </c>
      <c r="AK1873">
        <v>0.54493707200639396</v>
      </c>
      <c r="AL1873">
        <v>78.763857800712699</v>
      </c>
      <c r="AM1873">
        <v>88.723428346014799</v>
      </c>
      <c r="AN1873">
        <v>1.0000000029949401</v>
      </c>
    </row>
    <row r="1874" spans="1:40" x14ac:dyDescent="0.25">
      <c r="A1874" t="str">
        <f>"20190303162816842"</f>
        <v>20190303162816842</v>
      </c>
      <c r="B1874" t="str">
        <f>"1551601696833464"</f>
        <v>1551601696833464</v>
      </c>
      <c r="C1874" t="s">
        <v>40</v>
      </c>
      <c r="D1874">
        <v>4.6526290000000001</v>
      </c>
      <c r="E1874">
        <v>0.53155030000000003</v>
      </c>
      <c r="F1874" t="s">
        <v>44</v>
      </c>
      <c r="G1874">
        <v>-307.16489999999999</v>
      </c>
      <c r="H1874">
        <v>0.84508619999999901</v>
      </c>
      <c r="I1874">
        <v>283.54309999999998</v>
      </c>
      <c r="J1874">
        <v>-306.5154</v>
      </c>
      <c r="K1874">
        <v>1.120533</v>
      </c>
      <c r="L1874">
        <v>283.44799999999998</v>
      </c>
      <c r="M1874">
        <v>-0.99978489999999998</v>
      </c>
      <c r="N1874">
        <v>-1.1300899999999999E-2</v>
      </c>
      <c r="O1874">
        <v>1.7389829999999998E-2</v>
      </c>
      <c r="P1874">
        <v>-0.98217900000000002</v>
      </c>
      <c r="Q1874">
        <v>0.1836816</v>
      </c>
      <c r="R1874">
        <v>3.9819970000000003E-2</v>
      </c>
      <c r="S1874">
        <v>-3.2251889999999999</v>
      </c>
      <c r="T1874">
        <v>-0.98790359999999999</v>
      </c>
      <c r="U1874">
        <v>0.3568115</v>
      </c>
      <c r="V1874">
        <v>2.290596E-2</v>
      </c>
      <c r="W1874">
        <v>0.1947554</v>
      </c>
      <c r="X1874">
        <v>0.98058429999999996</v>
      </c>
      <c r="Y1874">
        <v>8.9192729999999998E-2</v>
      </c>
      <c r="Z1874">
        <v>8.8339579999999994E-3</v>
      </c>
      <c r="AA1874">
        <v>0.99597519999999995</v>
      </c>
      <c r="AB1874">
        <v>38</v>
      </c>
      <c r="AC1874">
        <v>-0.64949999999998898</v>
      </c>
      <c r="AD1874">
        <v>-0.27544679999999999</v>
      </c>
      <c r="AE1874">
        <v>9.51000000000021E-2</v>
      </c>
      <c r="AF1874">
        <v>7.1245454360411603E-2</v>
      </c>
      <c r="AG1874">
        <v>-0.27544679999999999</v>
      </c>
      <c r="AH1874">
        <v>0.55358210001700503</v>
      </c>
      <c r="AI1874">
        <v>116.26640695265399</v>
      </c>
      <c r="AJ1874">
        <v>82.666403861926895</v>
      </c>
      <c r="AK1874">
        <v>0.62241464945524805</v>
      </c>
      <c r="AL1874">
        <v>78.769564435682895</v>
      </c>
      <c r="AM1874">
        <v>88.661842537853403</v>
      </c>
      <c r="AN1874">
        <v>0.99999995911958495</v>
      </c>
    </row>
    <row r="1875" spans="1:40" x14ac:dyDescent="0.25">
      <c r="A1875" t="str">
        <f>"20190303162816854"</f>
        <v>20190303162816854</v>
      </c>
      <c r="B1875" t="str">
        <f>"1551601696843224"</f>
        <v>1551601696843224</v>
      </c>
      <c r="C1875" t="s">
        <v>40</v>
      </c>
      <c r="D1875">
        <v>4.667427</v>
      </c>
      <c r="E1875">
        <v>0.53159060000000002</v>
      </c>
      <c r="F1875" t="s">
        <v>44</v>
      </c>
      <c r="G1875">
        <v>-307.19279999999998</v>
      </c>
      <c r="H1875">
        <v>0.91274889999999997</v>
      </c>
      <c r="I1875">
        <v>283.52409999999998</v>
      </c>
      <c r="J1875">
        <v>-306.71620000000001</v>
      </c>
      <c r="K1875">
        <v>1.1205309999999999</v>
      </c>
      <c r="L1875">
        <v>283.45170000000002</v>
      </c>
      <c r="M1875">
        <v>-0.99978149999999999</v>
      </c>
      <c r="N1875">
        <v>-1.1309990000000001E-2</v>
      </c>
      <c r="O1875">
        <v>1.7580490000000001E-2</v>
      </c>
      <c r="P1875">
        <v>-0.98211749999999998</v>
      </c>
      <c r="Q1875">
        <v>0.18383849999999999</v>
      </c>
      <c r="R1875">
        <v>4.0604189999999998E-2</v>
      </c>
      <c r="S1875">
        <v>-3.224701</v>
      </c>
      <c r="T1875">
        <v>-0.98905730000000003</v>
      </c>
      <c r="U1875">
        <v>0.3617554</v>
      </c>
      <c r="V1875">
        <v>2.3505160000000001E-2</v>
      </c>
      <c r="W1875">
        <v>0.19492000000000001</v>
      </c>
      <c r="X1875">
        <v>0.98053749999999995</v>
      </c>
      <c r="Y1875">
        <v>9.0467249999999999E-2</v>
      </c>
      <c r="Z1875">
        <v>8.9872349999999997E-3</v>
      </c>
      <c r="AA1875">
        <v>0.99585889999999999</v>
      </c>
      <c r="AB1875">
        <v>38</v>
      </c>
      <c r="AC1875">
        <v>-0.476599999999962</v>
      </c>
      <c r="AD1875">
        <v>-0.2077821</v>
      </c>
      <c r="AE1875">
        <v>7.2399999999959094E-2</v>
      </c>
      <c r="AF1875">
        <v>5.3980827486907697E-2</v>
      </c>
      <c r="AG1875">
        <v>-0.2077821</v>
      </c>
      <c r="AH1875">
        <v>0.40294071852454399</v>
      </c>
      <c r="AI1875">
        <v>117.071493527583</v>
      </c>
      <c r="AJ1875">
        <v>82.369677811380399</v>
      </c>
      <c r="AK1875">
        <v>0.45656166446785401</v>
      </c>
      <c r="AL1875">
        <v>78.759950245932799</v>
      </c>
      <c r="AM1875">
        <v>88.626785219728802</v>
      </c>
      <c r="AN1875">
        <v>1.00000004392643</v>
      </c>
    </row>
    <row r="1876" spans="1:40" x14ac:dyDescent="0.25">
      <c r="A1876" t="str">
        <f>"20190303162816865"</f>
        <v>20190303162816865</v>
      </c>
      <c r="B1876" t="str">
        <f>"1551601696852985"</f>
        <v>1551601696852985</v>
      </c>
      <c r="C1876" t="s">
        <v>40</v>
      </c>
      <c r="D1876">
        <v>4.7000039999999998</v>
      </c>
      <c r="E1876">
        <v>0.53163459999999996</v>
      </c>
      <c r="F1876" t="s">
        <v>44</v>
      </c>
      <c r="G1876">
        <v>-307.5179</v>
      </c>
      <c r="H1876">
        <v>0.87451950000000001</v>
      </c>
      <c r="I1876">
        <v>283.54239999999999</v>
      </c>
      <c r="J1876">
        <v>-306.91120000000001</v>
      </c>
      <c r="K1876">
        <v>1.1205290000000001</v>
      </c>
      <c r="L1876">
        <v>283.45530000000002</v>
      </c>
      <c r="M1876">
        <v>-0.99977819999999995</v>
      </c>
      <c r="N1876">
        <v>-1.13198E-2</v>
      </c>
      <c r="O1876">
        <v>1.7765949999999999E-2</v>
      </c>
      <c r="P1876">
        <v>-0.98204809999999998</v>
      </c>
      <c r="Q1876">
        <v>0.183979</v>
      </c>
      <c r="R1876">
        <v>4.1635480000000002E-2</v>
      </c>
      <c r="S1876">
        <v>-3.2248230000000002</v>
      </c>
      <c r="T1876">
        <v>-0.98955389999999999</v>
      </c>
      <c r="U1876">
        <v>0.36364750000000001</v>
      </c>
      <c r="V1876">
        <v>2.4356539999999999E-2</v>
      </c>
      <c r="W1876">
        <v>0.1950682</v>
      </c>
      <c r="X1876">
        <v>0.9804872</v>
      </c>
      <c r="Y1876">
        <v>9.0842510000000001E-2</v>
      </c>
      <c r="Z1876">
        <v>8.9962110000000005E-3</v>
      </c>
      <c r="AA1876">
        <v>0.99582459999999995</v>
      </c>
      <c r="AB1876">
        <v>38</v>
      </c>
      <c r="AC1876">
        <v>-0.60669999999998903</v>
      </c>
      <c r="AD1876">
        <v>-0.24600949999999999</v>
      </c>
      <c r="AE1876">
        <v>8.7099999999963901E-2</v>
      </c>
      <c r="AF1876">
        <v>6.5719537796073701E-2</v>
      </c>
      <c r="AG1876">
        <v>-0.24600949999999999</v>
      </c>
      <c r="AH1876">
        <v>0.52377203410998896</v>
      </c>
      <c r="AI1876">
        <v>114.987115589835</v>
      </c>
      <c r="AJ1876">
        <v>82.848270076927406</v>
      </c>
      <c r="AK1876">
        <v>0.58238893829990801</v>
      </c>
      <c r="AL1876">
        <v>78.751292287450397</v>
      </c>
      <c r="AM1876">
        <v>88.576993154714501</v>
      </c>
      <c r="AN1876">
        <v>0.99999999652792504</v>
      </c>
    </row>
    <row r="1877" spans="1:40" x14ac:dyDescent="0.25">
      <c r="A1877" t="str">
        <f>"20190303162816877"</f>
        <v>20190303162816877</v>
      </c>
      <c r="B1877" t="str">
        <f>"1551601696873480"</f>
        <v>1551601696873480</v>
      </c>
      <c r="C1877" t="s">
        <v>40</v>
      </c>
      <c r="D1877">
        <v>4.7122510000000002</v>
      </c>
      <c r="E1877">
        <v>0.53172200000000003</v>
      </c>
      <c r="F1877" t="s">
        <v>44</v>
      </c>
      <c r="G1877">
        <v>-307.84280000000001</v>
      </c>
      <c r="H1877">
        <v>0.83443489999999998</v>
      </c>
      <c r="I1877">
        <v>283.56130000000002</v>
      </c>
      <c r="J1877">
        <v>-307.11189999999999</v>
      </c>
      <c r="K1877">
        <v>1.1205259999999999</v>
      </c>
      <c r="L1877">
        <v>283.459</v>
      </c>
      <c r="M1877">
        <v>-0.99977459999999996</v>
      </c>
      <c r="N1877">
        <v>-1.1332699999999999E-2</v>
      </c>
      <c r="O1877">
        <v>1.7957000000000001E-2</v>
      </c>
      <c r="P1877">
        <v>-0.98205980000000004</v>
      </c>
      <c r="Q1877">
        <v>0.18367729999999999</v>
      </c>
      <c r="R1877">
        <v>4.2675890000000001E-2</v>
      </c>
      <c r="S1877">
        <v>-3.2248230000000002</v>
      </c>
      <c r="T1877">
        <v>-0.99027540000000003</v>
      </c>
      <c r="U1877">
        <v>0.36633300000000002</v>
      </c>
      <c r="V1877">
        <v>2.5209760000000001E-2</v>
      </c>
      <c r="W1877">
        <v>0.19477920000000001</v>
      </c>
      <c r="X1877">
        <v>0.98052309999999998</v>
      </c>
      <c r="Y1877">
        <v>9.1445860000000004E-2</v>
      </c>
      <c r="Z1877">
        <v>9.0412400000000007E-3</v>
      </c>
      <c r="AA1877">
        <v>0.99576900000000002</v>
      </c>
      <c r="AB1877">
        <v>38</v>
      </c>
      <c r="AC1877">
        <v>-0.73090000000001898</v>
      </c>
      <c r="AD1877">
        <v>-0.28609109999999899</v>
      </c>
      <c r="AE1877">
        <v>0.10230000000001301</v>
      </c>
      <c r="AF1877">
        <v>7.7510520580024195E-2</v>
      </c>
      <c r="AG1877">
        <v>-0.28609109999999899</v>
      </c>
      <c r="AH1877">
        <v>0.63691166199659499</v>
      </c>
      <c r="AI1877">
        <v>114.031859106117</v>
      </c>
      <c r="AJ1877">
        <v>83.061370224317002</v>
      </c>
      <c r="AK1877">
        <v>0.7025044223968</v>
      </c>
      <c r="AL1877">
        <v>78.768174741523495</v>
      </c>
      <c r="AM1877">
        <v>88.527220103706</v>
      </c>
      <c r="AN1877">
        <v>1.0000000091927499</v>
      </c>
    </row>
    <row r="1878" spans="1:40" x14ac:dyDescent="0.25">
      <c r="A1878" t="str">
        <f>"20190303162816891"</f>
        <v>20190303162816891</v>
      </c>
      <c r="B1878" t="str">
        <f>"1551601696883239"</f>
        <v>1551601696883239</v>
      </c>
      <c r="C1878" t="s">
        <v>40</v>
      </c>
      <c r="D1878">
        <v>4.7475139999999998</v>
      </c>
      <c r="E1878">
        <v>0.53175280000000003</v>
      </c>
      <c r="F1878" t="s">
        <v>44</v>
      </c>
      <c r="G1878">
        <v>-307.86470000000003</v>
      </c>
      <c r="H1878">
        <v>0.88868469999999999</v>
      </c>
      <c r="I1878">
        <v>283.5453</v>
      </c>
      <c r="J1878">
        <v>-307.32920000000001</v>
      </c>
      <c r="K1878">
        <v>1.120522</v>
      </c>
      <c r="L1878">
        <v>283.4631</v>
      </c>
      <c r="M1878">
        <v>-0.99977059999999995</v>
      </c>
      <c r="N1878">
        <v>-1.134899E-2</v>
      </c>
      <c r="O1878">
        <v>1.8163769999999999E-2</v>
      </c>
      <c r="P1878">
        <v>-0.98210330000000001</v>
      </c>
      <c r="Q1878">
        <v>0.1832278</v>
      </c>
      <c r="R1878">
        <v>4.3596780000000002E-2</v>
      </c>
      <c r="S1878">
        <v>-3.2245180000000002</v>
      </c>
      <c r="T1878">
        <v>-0.9931546</v>
      </c>
      <c r="U1878">
        <v>0.3687744</v>
      </c>
      <c r="V1878">
        <v>2.5927329999999998E-2</v>
      </c>
      <c r="W1878">
        <v>0.1943452</v>
      </c>
      <c r="X1878">
        <v>0.98059050000000003</v>
      </c>
      <c r="Y1878">
        <v>9.1958899999999996E-2</v>
      </c>
      <c r="Z1878">
        <v>9.0861250000000005E-3</v>
      </c>
      <c r="AA1878">
        <v>0.99572130000000003</v>
      </c>
      <c r="AB1878">
        <v>38</v>
      </c>
      <c r="AC1878">
        <v>-0.53550000000001297</v>
      </c>
      <c r="AD1878">
        <v>-0.2318373</v>
      </c>
      <c r="AE1878">
        <v>8.2200000000000203E-2</v>
      </c>
      <c r="AF1878">
        <v>6.1244149203664798E-2</v>
      </c>
      <c r="AG1878">
        <v>-0.2318373</v>
      </c>
      <c r="AH1878">
        <v>0.453804593766298</v>
      </c>
      <c r="AI1878">
        <v>116.852407088885</v>
      </c>
      <c r="AJ1878">
        <v>82.313966577199494</v>
      </c>
      <c r="AK1878">
        <v>0.51326210536758399</v>
      </c>
      <c r="AL1878">
        <v>78.793525522476997</v>
      </c>
      <c r="AM1878">
        <v>88.485422252990105</v>
      </c>
      <c r="AN1878">
        <v>1.0000000059470999</v>
      </c>
    </row>
    <row r="1879" spans="1:40" x14ac:dyDescent="0.25">
      <c r="A1879" t="str">
        <f>"20190303162816910"</f>
        <v>20190303162816910</v>
      </c>
      <c r="B1879" t="str">
        <f>"1551601696902759"</f>
        <v>1551601696902759</v>
      </c>
      <c r="C1879" t="s">
        <v>40</v>
      </c>
      <c r="D1879">
        <v>4.784548</v>
      </c>
      <c r="E1879">
        <v>0.53178239999999999</v>
      </c>
      <c r="F1879" t="s">
        <v>44</v>
      </c>
      <c r="G1879">
        <v>-308.19200000000001</v>
      </c>
      <c r="H1879">
        <v>0.85405059999999999</v>
      </c>
      <c r="I1879">
        <v>283.56220000000002</v>
      </c>
      <c r="J1879">
        <v>-307.68860000000001</v>
      </c>
      <c r="K1879">
        <v>1.120511</v>
      </c>
      <c r="L1879">
        <v>283.4699</v>
      </c>
      <c r="M1879">
        <v>-0.99976390000000004</v>
      </c>
      <c r="N1879">
        <v>-1.138492E-2</v>
      </c>
      <c r="O1879">
        <v>1.8505210000000001E-2</v>
      </c>
      <c r="P1879">
        <v>-0.98252550000000005</v>
      </c>
      <c r="Q1879">
        <v>0.18056829999999999</v>
      </c>
      <c r="R1879">
        <v>4.5151730000000001E-2</v>
      </c>
      <c r="S1879">
        <v>-3.2239990000000001</v>
      </c>
      <c r="T1879">
        <v>-0.99569750000000001</v>
      </c>
      <c r="U1879">
        <v>0.37039179999999999</v>
      </c>
      <c r="V1879">
        <v>2.7138039999999999E-2</v>
      </c>
      <c r="W1879">
        <v>0.19172510000000001</v>
      </c>
      <c r="X1879">
        <v>0.98107339999999998</v>
      </c>
      <c r="Y1879">
        <v>9.211801E-2</v>
      </c>
      <c r="Z1879">
        <v>9.0359959999999993E-3</v>
      </c>
      <c r="AA1879">
        <v>0.99570709999999996</v>
      </c>
      <c r="AB1879">
        <v>38</v>
      </c>
      <c r="AC1879">
        <v>-0.50339999999999896</v>
      </c>
      <c r="AD1879">
        <v>-0.26646039999999999</v>
      </c>
      <c r="AE1879">
        <v>9.2300000000022905E-2</v>
      </c>
      <c r="AF1879">
        <v>6.5274279384129399E-2</v>
      </c>
      <c r="AG1879">
        <v>-0.26646039999999999</v>
      </c>
      <c r="AH1879">
        <v>0.39732085091441699</v>
      </c>
      <c r="AI1879">
        <v>123.49546572123501</v>
      </c>
      <c r="AJ1879">
        <v>80.670440756551997</v>
      </c>
      <c r="AK1879">
        <v>0.48283095891692202</v>
      </c>
      <c r="AL1879">
        <v>78.946523812447396</v>
      </c>
      <c r="AM1879">
        <v>88.415512279217495</v>
      </c>
      <c r="AN1879">
        <v>1.0000000016863</v>
      </c>
    </row>
    <row r="1880" spans="1:40" x14ac:dyDescent="0.25">
      <c r="A1880" t="str">
        <f>"20190303162816924"</f>
        <v>20190303162816924</v>
      </c>
      <c r="B1880" t="str">
        <f>"1551601696913698"</f>
        <v>1551601696913698</v>
      </c>
      <c r="C1880" t="s">
        <v>40</v>
      </c>
      <c r="D1880">
        <v>4.7941440000000002</v>
      </c>
      <c r="E1880">
        <v>0.53320159999999905</v>
      </c>
      <c r="F1880" t="s">
        <v>44</v>
      </c>
      <c r="G1880">
        <v>-308.5342</v>
      </c>
      <c r="H1880">
        <v>0.85653969999999902</v>
      </c>
      <c r="I1880">
        <v>283.56810000000002</v>
      </c>
      <c r="J1880">
        <v>-307.89769999999999</v>
      </c>
      <c r="K1880">
        <v>1.1205080000000001</v>
      </c>
      <c r="L1880">
        <v>283.47390000000001</v>
      </c>
      <c r="M1880">
        <v>-0.99975990000000003</v>
      </c>
      <c r="N1880">
        <v>-1.14115E-2</v>
      </c>
      <c r="O1880">
        <v>1.8702980000000001E-2</v>
      </c>
      <c r="P1880">
        <v>-0.98272839999999995</v>
      </c>
      <c r="Q1880">
        <v>0.1793227</v>
      </c>
      <c r="R1880">
        <v>4.5699150000000001E-2</v>
      </c>
      <c r="S1880">
        <v>-3.2209780000000001</v>
      </c>
      <c r="T1880">
        <v>-1.005504</v>
      </c>
      <c r="U1880">
        <v>0.3734131</v>
      </c>
      <c r="V1880">
        <v>2.7486980000000001E-2</v>
      </c>
      <c r="W1880">
        <v>0.1905077</v>
      </c>
      <c r="X1880">
        <v>0.98130079999999997</v>
      </c>
      <c r="Y1880">
        <v>9.2847349999999995E-2</v>
      </c>
      <c r="Z1880">
        <v>9.1802110000000006E-3</v>
      </c>
      <c r="AA1880">
        <v>0.99563800000000002</v>
      </c>
      <c r="AB1880">
        <v>38</v>
      </c>
      <c r="AC1880">
        <v>-0.63650000000001195</v>
      </c>
      <c r="AD1880">
        <v>-0.26396829999999999</v>
      </c>
      <c r="AE1880">
        <v>9.42000000000007E-2</v>
      </c>
      <c r="AF1880">
        <v>7.0425357884136397E-2</v>
      </c>
      <c r="AG1880">
        <v>-0.26396829999999999</v>
      </c>
      <c r="AH1880">
        <v>0.54621916727564701</v>
      </c>
      <c r="AI1880">
        <v>115.60826256032099</v>
      </c>
      <c r="AJ1880">
        <v>82.653247455832101</v>
      </c>
      <c r="AK1880">
        <v>0.61073265275183997</v>
      </c>
      <c r="AL1880">
        <v>79.017585411782406</v>
      </c>
      <c r="AM1880">
        <v>88.395521279214606</v>
      </c>
      <c r="AN1880">
        <v>0.99999998895472497</v>
      </c>
    </row>
    <row r="1881" spans="1:40" x14ac:dyDescent="0.25">
      <c r="A1881" t="str">
        <f>"20190303162816939"</f>
        <v>20190303162816939</v>
      </c>
      <c r="B1881" t="str">
        <f>"1551601696933219"</f>
        <v>1551601696933219</v>
      </c>
      <c r="C1881" t="s">
        <v>40</v>
      </c>
      <c r="D1881">
        <v>4.8182130000000001</v>
      </c>
      <c r="E1881">
        <v>0.53315109999999999</v>
      </c>
      <c r="F1881" t="s">
        <v>44</v>
      </c>
      <c r="G1881">
        <v>-308.8537</v>
      </c>
      <c r="H1881">
        <v>0.80209619999999904</v>
      </c>
      <c r="I1881">
        <v>283.5881</v>
      </c>
      <c r="J1881">
        <v>-308.15730000000002</v>
      </c>
      <c r="K1881">
        <v>1.1205069999999999</v>
      </c>
      <c r="L1881">
        <v>283.47910000000002</v>
      </c>
      <c r="M1881">
        <v>-0.99975499999999995</v>
      </c>
      <c r="N1881">
        <v>-1.145734E-2</v>
      </c>
      <c r="O1881">
        <v>1.894707E-2</v>
      </c>
      <c r="P1881">
        <v>-0.9829561</v>
      </c>
      <c r="Q1881">
        <v>0.17798229999999901</v>
      </c>
      <c r="R1881">
        <v>4.6043830000000001E-2</v>
      </c>
      <c r="S1881">
        <v>-3.231201</v>
      </c>
      <c r="T1881">
        <v>-1.076171</v>
      </c>
      <c r="U1881">
        <v>0.3848877</v>
      </c>
      <c r="V1881">
        <v>2.7586869999999999E-2</v>
      </c>
      <c r="W1881">
        <v>0.1892151</v>
      </c>
      <c r="X1881">
        <v>0.98154810000000003</v>
      </c>
      <c r="Y1881">
        <v>9.5133239999999994E-2</v>
      </c>
      <c r="Z1881">
        <v>1.0025569999999999E-2</v>
      </c>
      <c r="AA1881">
        <v>0.99541409999999997</v>
      </c>
      <c r="AB1881">
        <v>38</v>
      </c>
      <c r="AC1881">
        <v>-0.69639999999998203</v>
      </c>
      <c r="AD1881">
        <v>-0.31841079999999999</v>
      </c>
      <c r="AE1881">
        <v>0.10899999999998</v>
      </c>
      <c r="AF1881">
        <v>7.9551883152065406E-2</v>
      </c>
      <c r="AG1881">
        <v>-0.31841079999999999</v>
      </c>
      <c r="AH1881">
        <v>0.57999049126928803</v>
      </c>
      <c r="AI1881">
        <v>118.541803036217</v>
      </c>
      <c r="AJ1881">
        <v>82.190005900530394</v>
      </c>
      <c r="AK1881">
        <v>0.66641046632872603</v>
      </c>
      <c r="AL1881">
        <v>79.093018458385004</v>
      </c>
      <c r="AM1881">
        <v>88.390099034361299</v>
      </c>
      <c r="AN1881">
        <v>1.000000031039</v>
      </c>
    </row>
    <row r="1882" spans="1:40" x14ac:dyDescent="0.25">
      <c r="A1882" t="str">
        <f>"20190303162816956"</f>
        <v>20190303162816956</v>
      </c>
      <c r="B1882" t="str">
        <f>"1551601696942978"</f>
        <v>1551601696942978</v>
      </c>
      <c r="C1882" t="s">
        <v>40</v>
      </c>
      <c r="D1882">
        <v>4.8437060000000001</v>
      </c>
      <c r="E1882">
        <v>0.53297249999999996</v>
      </c>
      <c r="F1882" t="s">
        <v>44</v>
      </c>
      <c r="G1882">
        <v>-308.88380000000001</v>
      </c>
      <c r="H1882">
        <v>0.87699349999999998</v>
      </c>
      <c r="I1882">
        <v>283.5659</v>
      </c>
      <c r="J1882">
        <v>-308.44540000000001</v>
      </c>
      <c r="K1882">
        <v>1.1204989999999999</v>
      </c>
      <c r="L1882">
        <v>283.48480000000001</v>
      </c>
      <c r="M1882">
        <v>-0.999749</v>
      </c>
      <c r="N1882">
        <v>-1.1522620000000001E-2</v>
      </c>
      <c r="O1882">
        <v>1.921759E-2</v>
      </c>
      <c r="P1882">
        <v>-0.98322560000000003</v>
      </c>
      <c r="Q1882">
        <v>0.17642759999999999</v>
      </c>
      <c r="R1882">
        <v>4.6270779999999997E-2</v>
      </c>
      <c r="S1882">
        <v>-3.2300110000000002</v>
      </c>
      <c r="T1882">
        <v>-1.0826720000000001</v>
      </c>
      <c r="U1882">
        <v>0.3850403</v>
      </c>
      <c r="V1882">
        <v>2.754237E-2</v>
      </c>
      <c r="W1882">
        <v>0.18772730000000001</v>
      </c>
      <c r="X1882">
        <v>0.98183489999999995</v>
      </c>
      <c r="Y1882">
        <v>9.4924750000000002E-2</v>
      </c>
      <c r="Z1882">
        <v>9.9663119999999997E-3</v>
      </c>
      <c r="AA1882">
        <v>0.99543459999999995</v>
      </c>
      <c r="AB1882">
        <v>38</v>
      </c>
      <c r="AC1882">
        <v>-0.43840000000000101</v>
      </c>
      <c r="AD1882">
        <v>-0.24350549999999899</v>
      </c>
      <c r="AE1882">
        <v>8.1099999999992095E-2</v>
      </c>
      <c r="AF1882">
        <v>5.5964801658532501E-2</v>
      </c>
      <c r="AG1882">
        <v>-0.24350549999999899</v>
      </c>
      <c r="AH1882">
        <v>0.33880878498918199</v>
      </c>
      <c r="AI1882">
        <v>125.340528092596</v>
      </c>
      <c r="AJ1882">
        <v>80.620514948590099</v>
      </c>
      <c r="AK1882">
        <v>0.42097313493948102</v>
      </c>
      <c r="AL1882">
        <v>79.179817766767101</v>
      </c>
      <c r="AM1882">
        <v>88.393163837713502</v>
      </c>
      <c r="AN1882">
        <v>0.99999994608425602</v>
      </c>
    </row>
    <row r="1883" spans="1:40" x14ac:dyDescent="0.25">
      <c r="A1883" t="str">
        <f>"20190303162816978"</f>
        <v>20190303162816978</v>
      </c>
      <c r="B1883" t="str">
        <f>"1551601696973235"</f>
        <v>1551601696973235</v>
      </c>
      <c r="C1883" t="s">
        <v>40</v>
      </c>
      <c r="D1883">
        <v>4.8542180000000004</v>
      </c>
      <c r="E1883">
        <v>0.53282479999999999</v>
      </c>
      <c r="F1883" t="s">
        <v>44</v>
      </c>
      <c r="G1883">
        <v>-309.21789999999999</v>
      </c>
      <c r="H1883">
        <v>0.8595988</v>
      </c>
      <c r="I1883">
        <v>283.57690000000002</v>
      </c>
      <c r="J1883">
        <v>-308.81040000000002</v>
      </c>
      <c r="K1883">
        <v>1.120514</v>
      </c>
      <c r="L1883">
        <v>283.49209999999999</v>
      </c>
      <c r="M1883">
        <v>-0.99974130000000005</v>
      </c>
      <c r="N1883">
        <v>-1.162848E-2</v>
      </c>
      <c r="O1883">
        <v>1.9552259999999998E-2</v>
      </c>
      <c r="P1883">
        <v>-0.98341109999999998</v>
      </c>
      <c r="Q1883">
        <v>0.1755091</v>
      </c>
      <c r="R1883">
        <v>4.5816759999999998E-2</v>
      </c>
      <c r="S1883">
        <v>-3.2287599999999999</v>
      </c>
      <c r="T1883">
        <v>-1.0902940000000001</v>
      </c>
      <c r="U1883">
        <v>0.3839417</v>
      </c>
      <c r="V1883">
        <v>2.6755830000000001E-2</v>
      </c>
      <c r="W1883">
        <v>0.1869161</v>
      </c>
      <c r="X1883">
        <v>0.98201139999999998</v>
      </c>
      <c r="Y1883">
        <v>9.4292150000000005E-2</v>
      </c>
      <c r="Z1883">
        <v>9.8253339999999998E-3</v>
      </c>
      <c r="AA1883">
        <v>0.99549609999999999</v>
      </c>
      <c r="AB1883">
        <v>38</v>
      </c>
      <c r="AC1883">
        <v>-0.40749999999997</v>
      </c>
      <c r="AD1883">
        <v>-0.26091519999999901</v>
      </c>
      <c r="AE1883">
        <v>8.4800000000029699E-2</v>
      </c>
      <c r="AF1883">
        <v>5.5146237661273599E-2</v>
      </c>
      <c r="AG1883">
        <v>-0.26091519999999901</v>
      </c>
      <c r="AH1883">
        <v>0.293680001302699</v>
      </c>
      <c r="AI1883">
        <v>131.12658266807099</v>
      </c>
      <c r="AJ1883">
        <v>79.365034671103402</v>
      </c>
      <c r="AK1883">
        <v>0.39669357479594602</v>
      </c>
      <c r="AL1883">
        <v>79.227133666195101</v>
      </c>
      <c r="AM1883">
        <v>88.4393083729599</v>
      </c>
      <c r="AN1883">
        <v>0.99999994630407796</v>
      </c>
    </row>
    <row r="1884" spans="1:40" x14ac:dyDescent="0.25">
      <c r="A1884" t="str">
        <f>"20190303162816990"</f>
        <v>20190303162816990</v>
      </c>
      <c r="B1884" t="str">
        <f>"1551601696982994"</f>
        <v>1551601696982994</v>
      </c>
      <c r="C1884" t="s">
        <v>40</v>
      </c>
      <c r="D1884">
        <v>4.8775890000000004</v>
      </c>
      <c r="E1884">
        <v>0.53288089999999999</v>
      </c>
      <c r="F1884" t="s">
        <v>44</v>
      </c>
      <c r="G1884">
        <v>-309.5616</v>
      </c>
      <c r="H1884">
        <v>0.86601949999999905</v>
      </c>
      <c r="I1884">
        <v>283.58109999999999</v>
      </c>
      <c r="J1884">
        <v>-309.03559999999999</v>
      </c>
      <c r="K1884">
        <v>1.1205270000000001</v>
      </c>
      <c r="L1884">
        <v>283.49669999999998</v>
      </c>
      <c r="M1884">
        <v>-0.99973639999999997</v>
      </c>
      <c r="N1884">
        <v>-1.1706029999999999E-2</v>
      </c>
      <c r="O1884">
        <v>1.9751439999999999E-2</v>
      </c>
      <c r="P1884">
        <v>-0.9834775</v>
      </c>
      <c r="Q1884">
        <v>0.1751723</v>
      </c>
      <c r="R1884">
        <v>4.5683029999999999E-2</v>
      </c>
      <c r="S1884">
        <v>-3.228027</v>
      </c>
      <c r="T1884">
        <v>-1.0935010000000001</v>
      </c>
      <c r="U1884">
        <v>0.38146970000000002</v>
      </c>
      <c r="V1884">
        <v>2.6424380000000001E-2</v>
      </c>
      <c r="W1884">
        <v>0.18665660000000001</v>
      </c>
      <c r="X1884">
        <v>0.98206979999999999</v>
      </c>
      <c r="Y1884">
        <v>9.3401310000000001E-2</v>
      </c>
      <c r="Z1884">
        <v>9.643301E-3</v>
      </c>
      <c r="AA1884">
        <v>0.99558190000000002</v>
      </c>
      <c r="AB1884">
        <v>38</v>
      </c>
      <c r="AC1884">
        <v>-0.52600000000001002</v>
      </c>
      <c r="AD1884">
        <v>-0.2545075</v>
      </c>
      <c r="AE1884">
        <v>8.4400000000016406E-2</v>
      </c>
      <c r="AF1884">
        <v>6.0243622745804401E-2</v>
      </c>
      <c r="AG1884">
        <v>-0.2545075</v>
      </c>
      <c r="AH1884">
        <v>0.42952921404750999</v>
      </c>
      <c r="AI1884">
        <v>120.403698918397</v>
      </c>
      <c r="AJ1884">
        <v>82.016060173215394</v>
      </c>
      <c r="AK1884">
        <v>0.50289035321634501</v>
      </c>
      <c r="AL1884">
        <v>79.242269010065399</v>
      </c>
      <c r="AM1884">
        <v>88.458724379474504</v>
      </c>
      <c r="AN1884">
        <v>1.0000000131269899</v>
      </c>
    </row>
    <row r="1885" spans="1:40" x14ac:dyDescent="0.25">
      <c r="A1885" t="str">
        <f>"20190303162817002"</f>
        <v>20190303162817002</v>
      </c>
      <c r="B1885" t="str">
        <f>"1551601696993263"</f>
        <v>1551601696993263</v>
      </c>
      <c r="C1885" t="s">
        <v>40</v>
      </c>
      <c r="D1885">
        <v>4.9082169999999996</v>
      </c>
      <c r="E1885">
        <v>0.53294629999999998</v>
      </c>
      <c r="F1885" t="s">
        <v>44</v>
      </c>
      <c r="G1885">
        <v>-309.8888</v>
      </c>
      <c r="H1885">
        <v>0.83181659999999902</v>
      </c>
      <c r="I1885">
        <v>283.59769999999997</v>
      </c>
      <c r="J1885">
        <v>-309.24400000000003</v>
      </c>
      <c r="K1885">
        <v>1.1205419999999999</v>
      </c>
      <c r="L1885">
        <v>283.50099999999998</v>
      </c>
      <c r="M1885">
        <v>-0.99973210000000001</v>
      </c>
      <c r="N1885">
        <v>-1.178331E-2</v>
      </c>
      <c r="O1885">
        <v>1.9931770000000001E-2</v>
      </c>
      <c r="P1885">
        <v>-0.98345199999999999</v>
      </c>
      <c r="Q1885">
        <v>0.17527290000000001</v>
      </c>
      <c r="R1885">
        <v>4.5847579999999999E-2</v>
      </c>
      <c r="S1885">
        <v>-3.2272029999999998</v>
      </c>
      <c r="T1885">
        <v>-1.0919140000000001</v>
      </c>
      <c r="U1885">
        <v>0.38156129999999999</v>
      </c>
      <c r="V1885">
        <v>2.6411529999999999E-2</v>
      </c>
      <c r="W1885">
        <v>0.18683269999999999</v>
      </c>
      <c r="X1885">
        <v>0.98203669999999998</v>
      </c>
      <c r="Y1885">
        <v>9.3302209999999997E-2</v>
      </c>
      <c r="Z1885">
        <v>9.5644979999999994E-3</v>
      </c>
      <c r="AA1885">
        <v>0.99559189999999997</v>
      </c>
      <c r="AB1885">
        <v>38</v>
      </c>
      <c r="AC1885">
        <v>-0.64479999999997495</v>
      </c>
      <c r="AD1885">
        <v>-0.28872540000000002</v>
      </c>
      <c r="AE1885">
        <v>9.6699999999998398E-2</v>
      </c>
      <c r="AF1885">
        <v>7.0084801505202493E-2</v>
      </c>
      <c r="AG1885">
        <v>-0.28872540000000002</v>
      </c>
      <c r="AH1885">
        <v>0.54059324562153199</v>
      </c>
      <c r="AI1885">
        <v>117.908259148892</v>
      </c>
      <c r="AJ1885">
        <v>82.613133464846996</v>
      </c>
      <c r="AK1885">
        <v>0.61685921669276</v>
      </c>
      <c r="AL1885">
        <v>79.231998989622298</v>
      </c>
      <c r="AM1885">
        <v>88.459421631147904</v>
      </c>
      <c r="AN1885">
        <v>1.0000000534265501</v>
      </c>
    </row>
    <row r="1886" spans="1:40" x14ac:dyDescent="0.25">
      <c r="A1886" t="str">
        <f>"20190303162817013"</f>
        <v>20190303162817013</v>
      </c>
      <c r="B1886" t="str">
        <f>"1551601697003024"</f>
        <v>1551601697003024</v>
      </c>
      <c r="C1886" t="s">
        <v>40</v>
      </c>
      <c r="D1886">
        <v>4.8906999999999998</v>
      </c>
      <c r="E1886">
        <v>0.53301200000000004</v>
      </c>
      <c r="F1886" t="s">
        <v>44</v>
      </c>
      <c r="G1886">
        <v>-309.91399999999999</v>
      </c>
      <c r="H1886">
        <v>0.89426039999999996</v>
      </c>
      <c r="I1886">
        <v>283.5804</v>
      </c>
      <c r="J1886">
        <v>-309.43259999999998</v>
      </c>
      <c r="K1886">
        <v>1.120566</v>
      </c>
      <c r="L1886">
        <v>283.50490000000002</v>
      </c>
      <c r="M1886">
        <v>-0.99972780000000006</v>
      </c>
      <c r="N1886">
        <v>-1.1861699999999999E-2</v>
      </c>
      <c r="O1886">
        <v>2.009215E-2</v>
      </c>
      <c r="P1886">
        <v>-0.98344390000000004</v>
      </c>
      <c r="Q1886">
        <v>0.17534559999999999</v>
      </c>
      <c r="R1886">
        <v>4.5740500000000003E-2</v>
      </c>
      <c r="S1886">
        <v>-3.2269589999999999</v>
      </c>
      <c r="T1886">
        <v>-1.0899030000000001</v>
      </c>
      <c r="U1886">
        <v>0.3818665</v>
      </c>
      <c r="V1886">
        <v>2.6145069999999999E-2</v>
      </c>
      <c r="W1886">
        <v>0.18698310000000001</v>
      </c>
      <c r="X1886">
        <v>0.98201510000000003</v>
      </c>
      <c r="Y1886">
        <v>9.3266979999999999E-2</v>
      </c>
      <c r="Z1886">
        <v>9.4984019999999995E-3</v>
      </c>
      <c r="AA1886">
        <v>0.99559580000000003</v>
      </c>
      <c r="AB1886">
        <v>38</v>
      </c>
      <c r="AC1886">
        <v>-0.48140000000000699</v>
      </c>
      <c r="AD1886">
        <v>-0.2263056</v>
      </c>
      <c r="AE1886">
        <v>7.5499999999976794E-2</v>
      </c>
      <c r="AF1886">
        <v>5.4135380475069099E-2</v>
      </c>
      <c r="AG1886">
        <v>-0.2263056</v>
      </c>
      <c r="AH1886">
        <v>0.39715781868613398</v>
      </c>
      <c r="AI1886">
        <v>119.448723978457</v>
      </c>
      <c r="AJ1886">
        <v>82.238021251698598</v>
      </c>
      <c r="AK1886">
        <v>0.46030337491057799</v>
      </c>
      <c r="AL1886">
        <v>79.223225999609298</v>
      </c>
      <c r="AM1886">
        <v>88.474923275012102</v>
      </c>
      <c r="AN1886">
        <v>0.999999950499461</v>
      </c>
    </row>
    <row r="1887" spans="1:40" x14ac:dyDescent="0.25">
      <c r="A1887" t="str">
        <f>"20190303162817025"</f>
        <v>20190303162817025</v>
      </c>
      <c r="B1887" t="str">
        <f>"1551601697013760"</f>
        <v>1551601697013760</v>
      </c>
      <c r="C1887" t="s">
        <v>40</v>
      </c>
      <c r="D1887">
        <v>4.92462</v>
      </c>
      <c r="E1887">
        <v>0.53299779999999997</v>
      </c>
      <c r="F1887" t="s">
        <v>44</v>
      </c>
      <c r="G1887">
        <v>-310.23680000000002</v>
      </c>
      <c r="H1887">
        <v>0.84976070000000004</v>
      </c>
      <c r="I1887">
        <v>283.6003</v>
      </c>
      <c r="J1887">
        <v>-309.6327</v>
      </c>
      <c r="K1887">
        <v>1.1205879999999999</v>
      </c>
      <c r="L1887">
        <v>283.50909999999999</v>
      </c>
      <c r="M1887">
        <v>-0.99972340000000004</v>
      </c>
      <c r="N1887">
        <v>-1.194687E-2</v>
      </c>
      <c r="O1887">
        <v>2.0261830000000002E-2</v>
      </c>
      <c r="P1887">
        <v>-0.98339670000000001</v>
      </c>
      <c r="Q1887">
        <v>0.17557779999999901</v>
      </c>
      <c r="R1887">
        <v>4.5861640000000002E-2</v>
      </c>
      <c r="S1887">
        <v>-3.2265009999999998</v>
      </c>
      <c r="T1887">
        <v>-1.0865149999999999</v>
      </c>
      <c r="U1887">
        <v>0.3816833</v>
      </c>
      <c r="V1887">
        <v>2.6098090000000001E-2</v>
      </c>
      <c r="W1887">
        <v>0.1872983</v>
      </c>
      <c r="X1887">
        <v>0.9819563</v>
      </c>
      <c r="Y1887">
        <v>9.3098910000000007E-2</v>
      </c>
      <c r="Z1887">
        <v>9.3977650000000006E-3</v>
      </c>
      <c r="AA1887">
        <v>0.99561250000000001</v>
      </c>
      <c r="AB1887">
        <v>38</v>
      </c>
      <c r="AC1887">
        <v>-0.60410000000001596</v>
      </c>
      <c r="AD1887">
        <v>-0.27082729999999899</v>
      </c>
      <c r="AE1887">
        <v>9.1200000000014797E-2</v>
      </c>
      <c r="AF1887">
        <v>6.5975517074123802E-2</v>
      </c>
      <c r="AG1887">
        <v>-0.27082729999999899</v>
      </c>
      <c r="AH1887">
        <v>0.50632674655111198</v>
      </c>
      <c r="AI1887">
        <v>117.941595506982</v>
      </c>
      <c r="AJ1887">
        <v>82.576058377550098</v>
      </c>
      <c r="AK1887">
        <v>0.57798526759037905</v>
      </c>
      <c r="AL1887">
        <v>79.204841778800599</v>
      </c>
      <c r="AM1887">
        <v>88.477571274833295</v>
      </c>
      <c r="AN1887">
        <v>0.99999996929711299</v>
      </c>
    </row>
    <row r="1888" spans="1:40" x14ac:dyDescent="0.25">
      <c r="A1888" t="str">
        <f>"20190303162817037"</f>
        <v>20190303162817037</v>
      </c>
      <c r="B1888" t="str">
        <f>"1551601697033279"</f>
        <v>1551601697033279</v>
      </c>
      <c r="C1888" t="s">
        <v>40</v>
      </c>
      <c r="D1888">
        <v>4.9814489999999996</v>
      </c>
      <c r="E1888">
        <v>0.53299929999999995</v>
      </c>
      <c r="F1888" t="s">
        <v>44</v>
      </c>
      <c r="G1888">
        <v>-310.5607</v>
      </c>
      <c r="H1888">
        <v>0.80849479999999996</v>
      </c>
      <c r="I1888">
        <v>283.61919999999998</v>
      </c>
      <c r="J1888">
        <v>-309.839</v>
      </c>
      <c r="K1888">
        <v>1.1206130000000001</v>
      </c>
      <c r="L1888">
        <v>283.51339999999999</v>
      </c>
      <c r="M1888">
        <v>-0.99971869999999996</v>
      </c>
      <c r="N1888">
        <v>-1.2041349999999999E-2</v>
      </c>
      <c r="O1888">
        <v>2.043739E-2</v>
      </c>
      <c r="P1888">
        <v>-0.98331630000000003</v>
      </c>
      <c r="Q1888">
        <v>0.17596539999999999</v>
      </c>
      <c r="R1888">
        <v>4.610094E-2</v>
      </c>
      <c r="S1888">
        <v>-3.2265630000000001</v>
      </c>
      <c r="T1888">
        <v>-1.0850500000000001</v>
      </c>
      <c r="U1888">
        <v>0.38198850000000001</v>
      </c>
      <c r="V1888">
        <v>2.6163579999999999E-2</v>
      </c>
      <c r="W1888">
        <v>0.18777840000000001</v>
      </c>
      <c r="X1888">
        <v>0.98186289999999998</v>
      </c>
      <c r="Y1888">
        <v>9.303604E-2</v>
      </c>
      <c r="Z1888">
        <v>9.3271489999999999E-3</v>
      </c>
      <c r="AA1888">
        <v>0.99561909999999998</v>
      </c>
      <c r="AB1888">
        <v>38</v>
      </c>
      <c r="AC1888">
        <v>-0.72169999999999801</v>
      </c>
      <c r="AD1888">
        <v>-0.31211819999999901</v>
      </c>
      <c r="AE1888">
        <v>0.105799999999987</v>
      </c>
      <c r="AF1888">
        <v>7.6939486009576299E-2</v>
      </c>
      <c r="AG1888">
        <v>-0.31211819999999901</v>
      </c>
      <c r="AH1888">
        <v>0.61170754183824405</v>
      </c>
      <c r="AI1888">
        <v>116.85090943824601</v>
      </c>
      <c r="AJ1888">
        <v>82.831085101314102</v>
      </c>
      <c r="AK1888">
        <v>0.69103080395916106</v>
      </c>
      <c r="AL1888">
        <v>79.176837613946304</v>
      </c>
      <c r="AM1888">
        <v>88.473607612784505</v>
      </c>
      <c r="AN1888">
        <v>1.0000000074106901</v>
      </c>
    </row>
    <row r="1889" spans="1:40" x14ac:dyDescent="0.25">
      <c r="A1889" t="str">
        <f>"20190303162817054"</f>
        <v>20190303162817054</v>
      </c>
      <c r="B1889" t="str">
        <f>"1551601697043039"</f>
        <v>1551601697043039</v>
      </c>
      <c r="C1889" t="s">
        <v>40</v>
      </c>
      <c r="D1889">
        <v>4.9598389999999997</v>
      </c>
      <c r="E1889">
        <v>0.53297779999999995</v>
      </c>
      <c r="F1889" t="s">
        <v>44</v>
      </c>
      <c r="G1889">
        <v>-310.58550000000002</v>
      </c>
      <c r="H1889">
        <v>0.87021719999999902</v>
      </c>
      <c r="I1889">
        <v>283.60239999999999</v>
      </c>
      <c r="J1889">
        <v>-310.13389999999998</v>
      </c>
      <c r="K1889">
        <v>1.1206469999999999</v>
      </c>
      <c r="L1889">
        <v>283.5197</v>
      </c>
      <c r="M1889">
        <v>-0.99971180000000004</v>
      </c>
      <c r="N1889">
        <v>-1.2177779999999999E-2</v>
      </c>
      <c r="O1889">
        <v>2.0689539999999999E-2</v>
      </c>
      <c r="P1889">
        <v>-0.98322670000000001</v>
      </c>
      <c r="Q1889">
        <v>0.17638000000000001</v>
      </c>
      <c r="R1889">
        <v>4.643017E-2</v>
      </c>
      <c r="S1889">
        <v>-3.2266240000000002</v>
      </c>
      <c r="T1889">
        <v>-1.0821449999999999</v>
      </c>
      <c r="U1889">
        <v>0.38333129999999999</v>
      </c>
      <c r="V1889">
        <v>2.6242359999999999E-2</v>
      </c>
      <c r="W1889">
        <v>0.1883263</v>
      </c>
      <c r="X1889">
        <v>0.98175590000000001</v>
      </c>
      <c r="Y1889">
        <v>9.3212779999999995E-2</v>
      </c>
      <c r="Z1889">
        <v>9.2652810000000002E-3</v>
      </c>
      <c r="AA1889">
        <v>0.99560309999999996</v>
      </c>
      <c r="AB1889">
        <v>38</v>
      </c>
      <c r="AC1889">
        <v>-0.45160000000004102</v>
      </c>
      <c r="AD1889">
        <v>-0.25042979999999998</v>
      </c>
      <c r="AE1889">
        <v>8.2699999999988394E-2</v>
      </c>
      <c r="AF1889">
        <v>5.6521155626064801E-2</v>
      </c>
      <c r="AG1889">
        <v>-0.25042979999999998</v>
      </c>
      <c r="AH1889">
        <v>0.34928868550953401</v>
      </c>
      <c r="AI1889">
        <v>125.289497218736</v>
      </c>
      <c r="AJ1889">
        <v>80.808194821780802</v>
      </c>
      <c r="AK1889">
        <v>0.43348853685688599</v>
      </c>
      <c r="AL1889">
        <v>79.144875500982906</v>
      </c>
      <c r="AM1889">
        <v>88.468846963908504</v>
      </c>
      <c r="AN1889">
        <v>1.0000000519574299</v>
      </c>
    </row>
    <row r="1890" spans="1:40" x14ac:dyDescent="0.25">
      <c r="A1890" t="str">
        <f>"20190303162817068"</f>
        <v>20190303162817068</v>
      </c>
      <c r="B1890" t="str">
        <f>"1551601697064511"</f>
        <v>1551601697064511</v>
      </c>
      <c r="C1890" t="s">
        <v>40</v>
      </c>
      <c r="D1890">
        <v>4.99892</v>
      </c>
      <c r="E1890">
        <v>0.53299730000000001</v>
      </c>
      <c r="F1890" t="s">
        <v>44</v>
      </c>
      <c r="G1890">
        <v>-310.9205</v>
      </c>
      <c r="H1890">
        <v>0.85714129999999999</v>
      </c>
      <c r="I1890">
        <v>283.61360000000002</v>
      </c>
      <c r="J1890">
        <v>-310.36720000000003</v>
      </c>
      <c r="K1890">
        <v>1.120673</v>
      </c>
      <c r="L1890">
        <v>283.5247</v>
      </c>
      <c r="M1890">
        <v>-0.99970630000000005</v>
      </c>
      <c r="N1890">
        <v>-1.228452E-2</v>
      </c>
      <c r="O1890">
        <v>2.0889029999999999E-2</v>
      </c>
      <c r="P1890">
        <v>-0.98312049999999995</v>
      </c>
      <c r="Q1890">
        <v>0.1768795</v>
      </c>
      <c r="R1890">
        <v>4.6775780000000003E-2</v>
      </c>
      <c r="S1890">
        <v>-3.2268680000000001</v>
      </c>
      <c r="T1890">
        <v>-1.080824</v>
      </c>
      <c r="U1890">
        <v>0.3848877</v>
      </c>
      <c r="V1890">
        <v>2.6390919999999998E-2</v>
      </c>
      <c r="W1890">
        <v>0.18892999999999999</v>
      </c>
      <c r="X1890">
        <v>0.98163590000000001</v>
      </c>
      <c r="Y1890">
        <v>9.3481850000000005E-2</v>
      </c>
      <c r="Z1890">
        <v>9.2449950000000006E-3</v>
      </c>
      <c r="AA1890">
        <v>0.99557810000000002</v>
      </c>
      <c r="AB1890">
        <v>38</v>
      </c>
      <c r="AC1890">
        <v>-0.55329999999997803</v>
      </c>
      <c r="AD1890">
        <v>-0.26353169999999998</v>
      </c>
      <c r="AE1890">
        <v>8.8900000000023696E-2</v>
      </c>
      <c r="AF1890">
        <v>6.3319173377063206E-2</v>
      </c>
      <c r="AG1890">
        <v>-0.26353169999999998</v>
      </c>
      <c r="AH1890">
        <v>0.45452169735825199</v>
      </c>
      <c r="AI1890">
        <v>119.866791018415</v>
      </c>
      <c r="AJ1890">
        <v>82.0691975961699</v>
      </c>
      <c r="AK1890">
        <v>0.52919585031580796</v>
      </c>
      <c r="AL1890">
        <v>79.109653549540596</v>
      </c>
      <c r="AM1890">
        <v>88.459995007072195</v>
      </c>
      <c r="AN1890">
        <v>1.00000003286362</v>
      </c>
    </row>
    <row r="1891" spans="1:40" x14ac:dyDescent="0.25">
      <c r="A1891" t="str">
        <f>"20190303162817089"</f>
        <v>20190303162817089</v>
      </c>
      <c r="B1891" t="str">
        <f>"1551601697083056"</f>
        <v>1551601697083056</v>
      </c>
      <c r="C1891" t="s">
        <v>40</v>
      </c>
      <c r="D1891">
        <v>5.0014659999999997</v>
      </c>
      <c r="E1891">
        <v>0.53301849999999995</v>
      </c>
      <c r="F1891" t="s">
        <v>44</v>
      </c>
      <c r="G1891">
        <v>-311.24829999999997</v>
      </c>
      <c r="H1891">
        <v>0.8263587</v>
      </c>
      <c r="I1891">
        <v>283.6302</v>
      </c>
      <c r="J1891">
        <v>-310.73160000000001</v>
      </c>
      <c r="K1891">
        <v>1.1207049999999901</v>
      </c>
      <c r="L1891">
        <v>283.53269999999998</v>
      </c>
      <c r="M1891">
        <v>-0.99969790000000003</v>
      </c>
      <c r="N1891">
        <v>-1.244318E-2</v>
      </c>
      <c r="O1891">
        <v>2.1198689999999999E-2</v>
      </c>
      <c r="P1891">
        <v>-0.9829329</v>
      </c>
      <c r="Q1891">
        <v>0.17777970000000001</v>
      </c>
      <c r="R1891">
        <v>4.7304289999999999E-2</v>
      </c>
      <c r="S1891">
        <v>-3.227112</v>
      </c>
      <c r="T1891">
        <v>-1.0780069999999999</v>
      </c>
      <c r="U1891">
        <v>0.3859863</v>
      </c>
      <c r="V1891">
        <v>2.6615650000000001E-2</v>
      </c>
      <c r="W1891">
        <v>0.18998390000000001</v>
      </c>
      <c r="X1891">
        <v>0.98142640000000003</v>
      </c>
      <c r="Y1891">
        <v>9.3529420000000002E-2</v>
      </c>
      <c r="Z1891">
        <v>9.1457670000000008E-3</v>
      </c>
      <c r="AA1891">
        <v>0.99557450000000003</v>
      </c>
      <c r="AB1891">
        <v>38</v>
      </c>
      <c r="AC1891">
        <v>-0.51669999999995697</v>
      </c>
      <c r="AD1891">
        <v>-0.29434629999999901</v>
      </c>
      <c r="AE1891">
        <v>9.7500000000024997E-2</v>
      </c>
      <c r="AF1891">
        <v>6.5879720773795697E-2</v>
      </c>
      <c r="AG1891">
        <v>-0.29434629999999901</v>
      </c>
      <c r="AH1891">
        <v>0.39490344406248501</v>
      </c>
      <c r="AI1891">
        <v>126.32341391374101</v>
      </c>
      <c r="AJ1891">
        <v>80.528857904689204</v>
      </c>
      <c r="AK1891">
        <v>0.49691912024527202</v>
      </c>
      <c r="AL1891">
        <v>79.048155674621</v>
      </c>
      <c r="AM1891">
        <v>88.446556227654</v>
      </c>
      <c r="AN1891">
        <v>1.00000002685054</v>
      </c>
    </row>
    <row r="1892" spans="1:40" x14ac:dyDescent="0.25">
      <c r="A1892" t="str">
        <f>"20190303162817101"</f>
        <v>20190303162817101</v>
      </c>
      <c r="B1892" t="str">
        <f>"1551601697092814"</f>
        <v>1551601697092814</v>
      </c>
      <c r="C1892" t="s">
        <v>40</v>
      </c>
      <c r="D1892">
        <v>5.000572</v>
      </c>
      <c r="E1892">
        <v>0.53301209999999999</v>
      </c>
      <c r="F1892" t="s">
        <v>44</v>
      </c>
      <c r="G1892">
        <v>-311.59140000000002</v>
      </c>
      <c r="H1892">
        <v>0.83449200000000001</v>
      </c>
      <c r="I1892">
        <v>283.6361</v>
      </c>
      <c r="J1892">
        <v>-310.93759999999997</v>
      </c>
      <c r="K1892">
        <v>1.1207210000000001</v>
      </c>
      <c r="L1892">
        <v>283.53719999999998</v>
      </c>
      <c r="M1892">
        <v>-0.99969319999999895</v>
      </c>
      <c r="N1892">
        <v>-1.2528330000000001E-2</v>
      </c>
      <c r="O1892">
        <v>2.1372120000000001E-2</v>
      </c>
      <c r="P1892">
        <v>-0.98285619999999996</v>
      </c>
      <c r="Q1892">
        <v>0.1781432</v>
      </c>
      <c r="R1892">
        <v>4.7527939999999998E-2</v>
      </c>
      <c r="S1892">
        <v>-3.2277830000000001</v>
      </c>
      <c r="T1892">
        <v>-1.074452</v>
      </c>
      <c r="U1892">
        <v>0.38699339999999999</v>
      </c>
      <c r="V1892">
        <v>2.666928E-2</v>
      </c>
      <c r="W1892">
        <v>0.1904305</v>
      </c>
      <c r="X1892">
        <v>0.98133840000000006</v>
      </c>
      <c r="Y1892">
        <v>9.3665269999999995E-2</v>
      </c>
      <c r="Z1892">
        <v>9.0928209999999992E-3</v>
      </c>
      <c r="AA1892">
        <v>0.99556219999999995</v>
      </c>
      <c r="AB1892">
        <v>38</v>
      </c>
      <c r="AC1892">
        <v>-0.65380000000004601</v>
      </c>
      <c r="AD1892">
        <v>-0.28622899999999901</v>
      </c>
      <c r="AE1892">
        <v>9.8900000000014601E-2</v>
      </c>
      <c r="AF1892">
        <v>7.1504973373766906E-2</v>
      </c>
      <c r="AG1892">
        <v>-0.28622899999999901</v>
      </c>
      <c r="AH1892">
        <v>0.552280869378455</v>
      </c>
      <c r="AI1892">
        <v>117.20212556126999</v>
      </c>
      <c r="AJ1892">
        <v>82.622832686805793</v>
      </c>
      <c r="AK1892">
        <v>0.62614228442072595</v>
      </c>
      <c r="AL1892">
        <v>79.022091705026796</v>
      </c>
      <c r="AM1892">
        <v>88.443288093521602</v>
      </c>
      <c r="AN1892">
        <v>1.00000004057026</v>
      </c>
    </row>
    <row r="1893" spans="1:40" x14ac:dyDescent="0.25">
      <c r="A1893" t="str">
        <f>"20190303162817112"</f>
        <v>20190303162817112</v>
      </c>
      <c r="B1893" t="str">
        <f>"1551601697103550"</f>
        <v>1551601697103550</v>
      </c>
      <c r="C1893" t="s">
        <v>40</v>
      </c>
      <c r="D1893">
        <v>5.0109059999999896</v>
      </c>
      <c r="E1893">
        <v>0.53304200000000002</v>
      </c>
      <c r="F1893" t="s">
        <v>44</v>
      </c>
      <c r="G1893">
        <v>-311.61590000000001</v>
      </c>
      <c r="H1893">
        <v>0.89518229999999999</v>
      </c>
      <c r="I1893">
        <v>283.6189</v>
      </c>
      <c r="J1893">
        <v>-311.12349999999998</v>
      </c>
      <c r="K1893">
        <v>1.12073</v>
      </c>
      <c r="L1893">
        <v>283.54140000000001</v>
      </c>
      <c r="M1893">
        <v>-0.99968900000000005</v>
      </c>
      <c r="N1893">
        <v>-1.259765E-2</v>
      </c>
      <c r="O1893">
        <v>2.152606E-2</v>
      </c>
      <c r="P1893">
        <v>-0.98278500000000002</v>
      </c>
      <c r="Q1893">
        <v>0.17849949999999901</v>
      </c>
      <c r="R1893">
        <v>4.7664440000000002E-2</v>
      </c>
      <c r="S1893">
        <v>-3.228119</v>
      </c>
      <c r="T1893">
        <v>-1.0733429999999999</v>
      </c>
      <c r="U1893">
        <v>0.38778689999999999</v>
      </c>
      <c r="V1893">
        <v>2.665561E-2</v>
      </c>
      <c r="W1893">
        <v>0.1908541</v>
      </c>
      <c r="X1893">
        <v>0.98125640000000003</v>
      </c>
      <c r="Y1893">
        <v>9.3751219999999996E-2</v>
      </c>
      <c r="Z1893">
        <v>9.0552949999999997E-3</v>
      </c>
      <c r="AA1893">
        <v>0.99555439999999995</v>
      </c>
      <c r="AB1893">
        <v>38</v>
      </c>
      <c r="AC1893">
        <v>-0.49240000000003098</v>
      </c>
      <c r="AD1893">
        <v>-0.22554769999999999</v>
      </c>
      <c r="AE1893">
        <v>7.7499999999986302E-2</v>
      </c>
      <c r="AF1893">
        <v>5.55152890762204E-2</v>
      </c>
      <c r="AG1893">
        <v>-0.22554769999999999</v>
      </c>
      <c r="AH1893">
        <v>0.41000733477071799</v>
      </c>
      <c r="AI1893">
        <v>118.596221217692</v>
      </c>
      <c r="AJ1893">
        <v>82.289004710987697</v>
      </c>
      <c r="AK1893">
        <v>0.47123213691586702</v>
      </c>
      <c r="AL1893">
        <v>78.997366932901997</v>
      </c>
      <c r="AM1893">
        <v>88.443955674300199</v>
      </c>
      <c r="AN1893">
        <v>0.99999996578612005</v>
      </c>
    </row>
    <row r="1894" spans="1:40" x14ac:dyDescent="0.25">
      <c r="A1894" t="str">
        <f>"20190303162817125"</f>
        <v>20190303162817125</v>
      </c>
      <c r="B1894" t="str">
        <f>"1551601697113311"</f>
        <v>1551601697113311</v>
      </c>
      <c r="C1894" t="s">
        <v>40</v>
      </c>
      <c r="D1894">
        <v>5.0295439999999996</v>
      </c>
      <c r="E1894">
        <v>0.53299779999999997</v>
      </c>
      <c r="F1894" t="s">
        <v>44</v>
      </c>
      <c r="G1894">
        <v>-311.9375</v>
      </c>
      <c r="H1894">
        <v>0.85052559999999999</v>
      </c>
      <c r="I1894">
        <v>283.63940000000002</v>
      </c>
      <c r="J1894">
        <v>-311.334</v>
      </c>
      <c r="K1894">
        <v>1.1207389999999999</v>
      </c>
      <c r="L1894">
        <v>283.54599999999999</v>
      </c>
      <c r="M1894">
        <v>-0.99968429999999997</v>
      </c>
      <c r="N1894">
        <v>-1.2673179999999999E-2</v>
      </c>
      <c r="O1894">
        <v>2.169987E-2</v>
      </c>
      <c r="P1894">
        <v>-0.98270159999999995</v>
      </c>
      <c r="Q1894">
        <v>0.17886199999999999</v>
      </c>
      <c r="R1894">
        <v>4.8023700000000002E-2</v>
      </c>
      <c r="S1894">
        <v>-3.2283940000000002</v>
      </c>
      <c r="T1894">
        <v>-1.0715779999999999</v>
      </c>
      <c r="U1894">
        <v>0.38800050000000003</v>
      </c>
      <c r="V1894">
        <v>2.684549E-2</v>
      </c>
      <c r="W1894">
        <v>0.1912894</v>
      </c>
      <c r="X1894">
        <v>0.98116650000000005</v>
      </c>
      <c r="Y1894">
        <v>9.3658469999999994E-2</v>
      </c>
      <c r="Z1894">
        <v>8.9776779999999994E-3</v>
      </c>
      <c r="AA1894">
        <v>0.99556389999999995</v>
      </c>
      <c r="AB1894">
        <v>38</v>
      </c>
      <c r="AC1894">
        <v>-0.60349999999999604</v>
      </c>
      <c r="AD1894">
        <v>-0.27021339999999899</v>
      </c>
      <c r="AE1894">
        <v>9.3400000000031E-2</v>
      </c>
      <c r="AF1894">
        <v>6.7136712368986703E-2</v>
      </c>
      <c r="AG1894">
        <v>-0.27021339999999899</v>
      </c>
      <c r="AH1894">
        <v>0.50626554259378298</v>
      </c>
      <c r="AI1894">
        <v>117.883601675237</v>
      </c>
      <c r="AJ1894">
        <v>82.445987233527802</v>
      </c>
      <c r="AK1894">
        <v>0.57777800174898697</v>
      </c>
      <c r="AL1894">
        <v>78.9719584148135</v>
      </c>
      <c r="AM1894">
        <v>88.432733255585205</v>
      </c>
      <c r="AN1894">
        <v>1.0000000078039699</v>
      </c>
    </row>
    <row r="1895" spans="1:40" x14ac:dyDescent="0.25">
      <c r="A1895" t="str">
        <f>"20190303162817145"</f>
        <v>20190303162817145</v>
      </c>
      <c r="B1895" t="str">
        <f>"1551601697132831"</f>
        <v>1551601697132831</v>
      </c>
      <c r="C1895" t="s">
        <v>40</v>
      </c>
      <c r="D1895">
        <v>5.04894</v>
      </c>
      <c r="E1895">
        <v>0.53291129999999998</v>
      </c>
      <c r="F1895" t="s">
        <v>44</v>
      </c>
      <c r="G1895">
        <v>-312.26190000000003</v>
      </c>
      <c r="H1895">
        <v>0.81296109999999999</v>
      </c>
      <c r="I1895">
        <v>283.65780000000001</v>
      </c>
      <c r="J1895">
        <v>-311.66809999999998</v>
      </c>
      <c r="K1895">
        <v>1.1207499999999999</v>
      </c>
      <c r="L1895">
        <v>283.55360000000002</v>
      </c>
      <c r="M1895">
        <v>-0.99967700000000004</v>
      </c>
      <c r="N1895">
        <v>-1.2776600000000001E-2</v>
      </c>
      <c r="O1895">
        <v>2.1972160000000001E-2</v>
      </c>
      <c r="P1895">
        <v>-0.98262439999999995</v>
      </c>
      <c r="Q1895">
        <v>0.17919879999999999</v>
      </c>
      <c r="R1895">
        <v>4.8348269999999999E-2</v>
      </c>
      <c r="S1895">
        <v>-3.228729</v>
      </c>
      <c r="T1895">
        <v>-1.0710280000000001</v>
      </c>
      <c r="U1895">
        <v>0.38867190000000001</v>
      </c>
      <c r="V1895">
        <v>2.6904310000000001E-2</v>
      </c>
      <c r="W1895">
        <v>0.19172700000000001</v>
      </c>
      <c r="X1895">
        <v>0.98107949999999999</v>
      </c>
      <c r="Y1895">
        <v>9.3598329999999993E-2</v>
      </c>
      <c r="Z1895">
        <v>8.8857299999999997E-3</v>
      </c>
      <c r="AA1895">
        <v>0.99557039999999997</v>
      </c>
      <c r="AB1895">
        <v>38</v>
      </c>
      <c r="AC1895">
        <v>-0.59380000000004396</v>
      </c>
      <c r="AD1895">
        <v>-0.30778889999999898</v>
      </c>
      <c r="AE1895">
        <v>0.10419999999999099</v>
      </c>
      <c r="AF1895">
        <v>7.2285622912914793E-2</v>
      </c>
      <c r="AG1895">
        <v>-0.30778889999999898</v>
      </c>
      <c r="AH1895">
        <v>0.47273023908575101</v>
      </c>
      <c r="AI1895">
        <v>122.765614741015</v>
      </c>
      <c r="AJ1895">
        <v>81.306190229324102</v>
      </c>
      <c r="AK1895">
        <v>0.56871178745405704</v>
      </c>
      <c r="AL1895">
        <v>78.946413264188195</v>
      </c>
      <c r="AM1895">
        <v>88.429161786677298</v>
      </c>
      <c r="AN1895">
        <v>1.0000000348729099</v>
      </c>
    </row>
    <row r="1896" spans="1:40" x14ac:dyDescent="0.25">
      <c r="A1896" t="str">
        <f>"20190303162817167"</f>
        <v>20190303162817167</v>
      </c>
      <c r="B1896" t="str">
        <f>"1551601697163086"</f>
        <v>1551601697163086</v>
      </c>
      <c r="C1896" t="s">
        <v>40</v>
      </c>
      <c r="D1896">
        <v>5.0765339999999997</v>
      </c>
      <c r="E1896">
        <v>0.53272219999999904</v>
      </c>
      <c r="F1896" t="s">
        <v>44</v>
      </c>
      <c r="G1896">
        <v>-312.60059999999999</v>
      </c>
      <c r="H1896">
        <v>0.81140849999999998</v>
      </c>
      <c r="I1896">
        <v>283.66590000000002</v>
      </c>
      <c r="J1896">
        <v>-312.048</v>
      </c>
      <c r="K1896">
        <v>1.12076</v>
      </c>
      <c r="L1896">
        <v>283.56229999999999</v>
      </c>
      <c r="M1896">
        <v>-0.99966889999999997</v>
      </c>
      <c r="N1896">
        <v>-1.287459E-2</v>
      </c>
      <c r="O1896">
        <v>2.2279839999999999E-2</v>
      </c>
      <c r="P1896">
        <v>-0.9826241</v>
      </c>
      <c r="Q1896">
        <v>0.17906900000000001</v>
      </c>
      <c r="R1896">
        <v>4.8827349999999999E-2</v>
      </c>
      <c r="S1896">
        <v>-3.229279</v>
      </c>
      <c r="T1896">
        <v>-1.071226</v>
      </c>
      <c r="U1896">
        <v>0.38858029999999999</v>
      </c>
      <c r="V1896">
        <v>2.7080989999999999E-2</v>
      </c>
      <c r="W1896">
        <v>0.1916938</v>
      </c>
      <c r="X1896">
        <v>0.98108110000000004</v>
      </c>
      <c r="Y1896">
        <v>9.3274560000000006E-2</v>
      </c>
      <c r="Z1896">
        <v>8.7432759999999995E-3</v>
      </c>
      <c r="AA1896">
        <v>0.99560199999999999</v>
      </c>
      <c r="AB1896">
        <v>38</v>
      </c>
      <c r="AC1896">
        <v>-0.55259999999998399</v>
      </c>
      <c r="AD1896">
        <v>-0.3093515</v>
      </c>
      <c r="AE1896">
        <v>0.103600000000028</v>
      </c>
      <c r="AF1896">
        <v>7.0053046113012399E-2</v>
      </c>
      <c r="AG1896">
        <v>-0.3093515</v>
      </c>
      <c r="AH1896">
        <v>0.425847108976877</v>
      </c>
      <c r="AI1896">
        <v>125.633102201231</v>
      </c>
      <c r="AJ1896">
        <v>80.658348996888293</v>
      </c>
      <c r="AK1896">
        <v>0.53099109224724805</v>
      </c>
      <c r="AL1896">
        <v>78.948351143159798</v>
      </c>
      <c r="AM1896">
        <v>88.418853924111104</v>
      </c>
      <c r="AN1896">
        <v>1.0000000088775101</v>
      </c>
    </row>
    <row r="1897" spans="1:40" x14ac:dyDescent="0.25">
      <c r="A1897" t="str">
        <f>"20190303162817180"</f>
        <v>20190303162817180</v>
      </c>
      <c r="B1897" t="str">
        <f>"1551601697172847"</f>
        <v>1551601697172847</v>
      </c>
      <c r="C1897" t="s">
        <v>40</v>
      </c>
      <c r="D1897">
        <v>5.0950579999999999</v>
      </c>
      <c r="E1897">
        <v>0.53267069999999905</v>
      </c>
      <c r="F1897" t="s">
        <v>44</v>
      </c>
      <c r="G1897">
        <v>-312.9443</v>
      </c>
      <c r="H1897">
        <v>0.82274729999999996</v>
      </c>
      <c r="I1897">
        <v>283.67039999999997</v>
      </c>
      <c r="J1897">
        <v>-312.27940000000001</v>
      </c>
      <c r="K1897">
        <v>1.1207590000000001</v>
      </c>
      <c r="L1897">
        <v>283.56760000000003</v>
      </c>
      <c r="M1897">
        <v>-0.9996642</v>
      </c>
      <c r="N1897">
        <v>-1.292567E-2</v>
      </c>
      <c r="O1897">
        <v>2.2467210000000001E-2</v>
      </c>
      <c r="P1897">
        <v>-0.98263820000000002</v>
      </c>
      <c r="Q1897">
        <v>0.1789723</v>
      </c>
      <c r="R1897">
        <v>4.8900480000000003E-2</v>
      </c>
      <c r="S1897">
        <v>-3.2294619999999998</v>
      </c>
      <c r="T1897">
        <v>-1.0737650000000001</v>
      </c>
      <c r="U1897">
        <v>0.38894649999999997</v>
      </c>
      <c r="V1897">
        <v>2.6969590000000002E-2</v>
      </c>
      <c r="W1897">
        <v>0.19164700000000001</v>
      </c>
      <c r="X1897">
        <v>0.98109329999999995</v>
      </c>
      <c r="Y1897">
        <v>9.3187820000000005E-2</v>
      </c>
      <c r="Z1897">
        <v>8.6914430000000001E-3</v>
      </c>
      <c r="AA1897">
        <v>0.99561060000000001</v>
      </c>
      <c r="AB1897">
        <v>38</v>
      </c>
      <c r="AC1897">
        <v>-0.66489999999998795</v>
      </c>
      <c r="AD1897">
        <v>-0.29801169999999999</v>
      </c>
      <c r="AE1897">
        <v>0.102799999999945</v>
      </c>
      <c r="AF1897">
        <v>7.3427936708157795E-2</v>
      </c>
      <c r="AG1897">
        <v>-0.29801169999999999</v>
      </c>
      <c r="AH1897">
        <v>0.55763505717473505</v>
      </c>
      <c r="AI1897">
        <v>117.916741772069</v>
      </c>
      <c r="AJ1897">
        <v>82.498597284670296</v>
      </c>
      <c r="AK1897">
        <v>0.63652139965312904</v>
      </c>
      <c r="AL1897">
        <v>78.951083111497098</v>
      </c>
      <c r="AM1897">
        <v>88.425374395245996</v>
      </c>
      <c r="AN1897">
        <v>0.99999999734932898</v>
      </c>
    </row>
    <row r="1898" spans="1:40" x14ac:dyDescent="0.25">
      <c r="A1898" t="str">
        <f>"20190303162817193"</f>
        <v>20190303162817193</v>
      </c>
      <c r="B1898" t="str">
        <f>"1551601697183583"</f>
        <v>1551601697183583</v>
      </c>
      <c r="C1898" t="s">
        <v>40</v>
      </c>
      <c r="D1898">
        <v>5.1135769999999896</v>
      </c>
      <c r="E1898">
        <v>0.53262240000000005</v>
      </c>
      <c r="F1898" t="s">
        <v>44</v>
      </c>
      <c r="G1898">
        <v>-312.97160000000002</v>
      </c>
      <c r="H1898">
        <v>0.89032299999999998</v>
      </c>
      <c r="I1898">
        <v>283.65120000000002</v>
      </c>
      <c r="J1898">
        <v>-312.48390000000001</v>
      </c>
      <c r="K1898">
        <v>1.1207590000000001</v>
      </c>
      <c r="L1898">
        <v>283.57229999999998</v>
      </c>
      <c r="M1898">
        <v>-0.99965979999999999</v>
      </c>
      <c r="N1898">
        <v>-1.2964460000000001E-2</v>
      </c>
      <c r="O1898">
        <v>2.2633440000000001E-2</v>
      </c>
      <c r="P1898">
        <v>-0.98265789999999997</v>
      </c>
      <c r="Q1898">
        <v>0.17879510000000001</v>
      </c>
      <c r="R1898">
        <v>4.9149949999999998E-2</v>
      </c>
      <c r="S1898">
        <v>-3.2294309999999999</v>
      </c>
      <c r="T1898">
        <v>-1.0750459999999999</v>
      </c>
      <c r="U1898">
        <v>0.38937379999999999</v>
      </c>
      <c r="V1898">
        <v>2.7054769999999999E-2</v>
      </c>
      <c r="W1898">
        <v>0.1915084</v>
      </c>
      <c r="X1898">
        <v>0.98111800000000005</v>
      </c>
      <c r="Y1898">
        <v>9.3153390000000003E-2</v>
      </c>
      <c r="Z1898">
        <v>8.6456559999999998E-3</v>
      </c>
      <c r="AA1898">
        <v>0.9956142</v>
      </c>
      <c r="AB1898">
        <v>38</v>
      </c>
      <c r="AC1898">
        <v>-0.48770000000001701</v>
      </c>
      <c r="AD1898">
        <v>-0.230436</v>
      </c>
      <c r="AE1898">
        <v>7.8900000000032805E-2</v>
      </c>
      <c r="AF1898">
        <v>5.5718527630543302E-2</v>
      </c>
      <c r="AG1898">
        <v>-0.230436</v>
      </c>
      <c r="AH1898">
        <v>0.40192011224789198</v>
      </c>
      <c r="AI1898">
        <v>119.592530010174</v>
      </c>
      <c r="AJ1898">
        <v>82.107342430639605</v>
      </c>
      <c r="AK1898">
        <v>0.46663163313975398</v>
      </c>
      <c r="AL1898">
        <v>78.959173967271795</v>
      </c>
      <c r="AM1898">
        <v>88.420443404094698</v>
      </c>
      <c r="AN1898">
        <v>0.99999997888715597</v>
      </c>
    </row>
    <row r="1899" spans="1:40" x14ac:dyDescent="0.25">
      <c r="A1899" t="str">
        <f>"20190303162817207"</f>
        <v>20190303162817207</v>
      </c>
      <c r="B1899" t="str">
        <f>"1551601697203103"</f>
        <v>1551601697203103</v>
      </c>
      <c r="C1899" t="s">
        <v>40</v>
      </c>
      <c r="D1899">
        <v>5.143637</v>
      </c>
      <c r="E1899">
        <v>0.53250090000000005</v>
      </c>
      <c r="F1899" t="s">
        <v>44</v>
      </c>
      <c r="G1899">
        <v>-313.29450000000003</v>
      </c>
      <c r="H1899">
        <v>0.85054669999999899</v>
      </c>
      <c r="I1899">
        <v>283.6705</v>
      </c>
      <c r="J1899">
        <v>-312.70429999999999</v>
      </c>
      <c r="K1899">
        <v>1.12076</v>
      </c>
      <c r="L1899">
        <v>283.57749999999999</v>
      </c>
      <c r="M1899">
        <v>-0.99965519999999997</v>
      </c>
      <c r="N1899">
        <v>-1.3003310000000001E-2</v>
      </c>
      <c r="O1899">
        <v>2.2812539999999999E-2</v>
      </c>
      <c r="P1899">
        <v>-0.98271710000000001</v>
      </c>
      <c r="Q1899">
        <v>0.17847449999999901</v>
      </c>
      <c r="R1899">
        <v>4.9132509999999997E-2</v>
      </c>
      <c r="S1899">
        <v>-3.229279</v>
      </c>
      <c r="T1899">
        <v>-1.0766020000000001</v>
      </c>
      <c r="U1899">
        <v>0.39028930000000001</v>
      </c>
      <c r="V1899">
        <v>2.685943E-2</v>
      </c>
      <c r="W1899">
        <v>0.1912267</v>
      </c>
      <c r="X1899">
        <v>0.98117829999999995</v>
      </c>
      <c r="Y1899">
        <v>9.3250219999999995E-2</v>
      </c>
      <c r="Z1899">
        <v>8.6199559999999998E-3</v>
      </c>
      <c r="AA1899">
        <v>0.99560539999999997</v>
      </c>
      <c r="AB1899">
        <v>38</v>
      </c>
      <c r="AC1899">
        <v>-0.59020000000003803</v>
      </c>
      <c r="AD1899">
        <v>-0.27021329999999999</v>
      </c>
      <c r="AE1899">
        <v>9.3000000000017694E-2</v>
      </c>
      <c r="AF1899">
        <v>6.6009559730844505E-2</v>
      </c>
      <c r="AG1899">
        <v>-0.27021329999999999</v>
      </c>
      <c r="AH1899">
        <v>0.49161635037065898</v>
      </c>
      <c r="AI1899">
        <v>118.579515620693</v>
      </c>
      <c r="AJ1899">
        <v>82.352606882927702</v>
      </c>
      <c r="AK1899">
        <v>0.56485318926648198</v>
      </c>
      <c r="AL1899">
        <v>78.975617981316603</v>
      </c>
      <c r="AM1899">
        <v>88.431938679436698</v>
      </c>
      <c r="AN1899">
        <v>0.99999996808185199</v>
      </c>
    </row>
    <row r="1900" spans="1:40" x14ac:dyDescent="0.25">
      <c r="A1900" t="str">
        <f>"20190303162817221"</f>
        <v>20190303162817221</v>
      </c>
      <c r="B1900" t="str">
        <f>"1551601697212863"</f>
        <v>1551601697212863</v>
      </c>
      <c r="C1900" t="s">
        <v>40</v>
      </c>
      <c r="D1900">
        <v>5.1432390000000003</v>
      </c>
      <c r="E1900">
        <v>0.53245439999999999</v>
      </c>
      <c r="F1900" t="s">
        <v>44</v>
      </c>
      <c r="G1900">
        <v>-313.61880000000002</v>
      </c>
      <c r="H1900">
        <v>0.81479919999999995</v>
      </c>
      <c r="I1900">
        <v>283.6884</v>
      </c>
      <c r="J1900">
        <v>-312.9785</v>
      </c>
      <c r="K1900">
        <v>1.120752</v>
      </c>
      <c r="L1900">
        <v>283.584</v>
      </c>
      <c r="M1900">
        <v>-0.99964969999999997</v>
      </c>
      <c r="N1900">
        <v>-1.304546E-2</v>
      </c>
      <c r="O1900">
        <v>2.3034869999999999E-2</v>
      </c>
      <c r="P1900">
        <v>-0.98284570000000004</v>
      </c>
      <c r="Q1900">
        <v>0.17779589999999901</v>
      </c>
      <c r="R1900">
        <v>4.9023329999999997E-2</v>
      </c>
      <c r="S1900">
        <v>-3.2294309999999999</v>
      </c>
      <c r="T1900">
        <v>-1.080336</v>
      </c>
      <c r="U1900">
        <v>0.39038089999999998</v>
      </c>
      <c r="V1900">
        <v>2.652734E-2</v>
      </c>
      <c r="W1900">
        <v>0.1905915</v>
      </c>
      <c r="X1900">
        <v>0.98131100000000004</v>
      </c>
      <c r="Y1900">
        <v>9.3046409999999996E-2</v>
      </c>
      <c r="Z1900">
        <v>8.5442599999999997E-3</v>
      </c>
      <c r="AA1900">
        <v>0.99562510000000004</v>
      </c>
      <c r="AB1900">
        <v>38</v>
      </c>
      <c r="AC1900">
        <v>-0.64030000000002396</v>
      </c>
      <c r="AD1900">
        <v>-0.30595279999999903</v>
      </c>
      <c r="AE1900">
        <v>0.10439999999999799</v>
      </c>
      <c r="AF1900">
        <v>7.3315898714810104E-2</v>
      </c>
      <c r="AG1900">
        <v>-0.30595279999999903</v>
      </c>
      <c r="AH1900">
        <v>0.52563140323449797</v>
      </c>
      <c r="AI1900">
        <v>119.96286454481201</v>
      </c>
      <c r="AJ1900">
        <v>82.059523952225305</v>
      </c>
      <c r="AK1900">
        <v>0.61259342870983202</v>
      </c>
      <c r="AL1900">
        <v>79.012695080317599</v>
      </c>
      <c r="AM1900">
        <v>88.451526011587703</v>
      </c>
      <c r="AN1900">
        <v>1.00000004918036</v>
      </c>
    </row>
    <row r="1901" spans="1:40" x14ac:dyDescent="0.25">
      <c r="A1901" t="str">
        <f>"20190303162817235"</f>
        <v>20190303162817235</v>
      </c>
      <c r="B1901" t="str">
        <f>"1551601697223599"</f>
        <v>1551601697223599</v>
      </c>
      <c r="C1901" t="s">
        <v>40</v>
      </c>
      <c r="D1901">
        <v>5.1444029999999996</v>
      </c>
      <c r="E1901">
        <v>0.53241000000000005</v>
      </c>
      <c r="F1901" t="s">
        <v>44</v>
      </c>
      <c r="G1901">
        <v>-313.65129999999999</v>
      </c>
      <c r="H1901">
        <v>0.89498729999999904</v>
      </c>
      <c r="I1901">
        <v>283.66559999999998</v>
      </c>
      <c r="J1901">
        <v>-313.19119999999998</v>
      </c>
      <c r="K1901">
        <v>1.1207499999999999</v>
      </c>
      <c r="L1901">
        <v>283.58909999999997</v>
      </c>
      <c r="M1901">
        <v>-0.99964520000000001</v>
      </c>
      <c r="N1901">
        <v>-1.307383E-2</v>
      </c>
      <c r="O1901">
        <v>2.3206609999999999E-2</v>
      </c>
      <c r="P1901">
        <v>-0.98290219999999995</v>
      </c>
      <c r="Q1901">
        <v>0.1774867</v>
      </c>
      <c r="R1901">
        <v>4.9007679999999998E-2</v>
      </c>
      <c r="S1901">
        <v>-3.228882</v>
      </c>
      <c r="T1901">
        <v>-1.0833790000000001</v>
      </c>
      <c r="U1901">
        <v>0.3901367</v>
      </c>
      <c r="V1901">
        <v>2.6340160000000001E-2</v>
      </c>
      <c r="W1901">
        <v>0.1903116</v>
      </c>
      <c r="X1901">
        <v>0.98137030000000003</v>
      </c>
      <c r="Y1901">
        <v>9.2819230000000003E-2</v>
      </c>
      <c r="Z1901">
        <v>8.4757630000000007E-3</v>
      </c>
      <c r="AA1901">
        <v>0.9956469</v>
      </c>
      <c r="AB1901">
        <v>38</v>
      </c>
      <c r="AC1901">
        <v>-0.460100000000011</v>
      </c>
      <c r="AD1901">
        <v>-0.22576270000000001</v>
      </c>
      <c r="AE1901">
        <v>7.6500000000009893E-2</v>
      </c>
      <c r="AF1901">
        <v>5.3310837903999597E-2</v>
      </c>
      <c r="AG1901">
        <v>-0.22576270000000001</v>
      </c>
      <c r="AH1901">
        <v>0.37410245685846999</v>
      </c>
      <c r="AI1901">
        <v>120.855891849426</v>
      </c>
      <c r="AJ1901">
        <v>81.889766367723794</v>
      </c>
      <c r="AK1901">
        <v>0.440185745313112</v>
      </c>
      <c r="AL1901">
        <v>79.029030488425605</v>
      </c>
      <c r="AM1901">
        <v>88.462539824062304</v>
      </c>
      <c r="AN1901">
        <v>0.99999998742273699</v>
      </c>
    </row>
    <row r="1902" spans="1:40" x14ac:dyDescent="0.25">
      <c r="A1902" t="str">
        <f>"20190303162817248"</f>
        <v>20190303162817248</v>
      </c>
      <c r="B1902" t="str">
        <f>"1551601697243120"</f>
        <v>1551601697243120</v>
      </c>
      <c r="C1902" t="s">
        <v>40</v>
      </c>
      <c r="D1902">
        <v>5.1610459999999998</v>
      </c>
      <c r="E1902">
        <v>0.5323097</v>
      </c>
      <c r="F1902" t="s">
        <v>44</v>
      </c>
      <c r="G1902">
        <v>-313.97469999999998</v>
      </c>
      <c r="H1902">
        <v>0.85732900000000001</v>
      </c>
      <c r="I1902">
        <v>283.68369999999999</v>
      </c>
      <c r="J1902">
        <v>-313.4237</v>
      </c>
      <c r="K1902">
        <v>1.120743</v>
      </c>
      <c r="L1902">
        <v>283.59460000000001</v>
      </c>
      <c r="M1902">
        <v>-0.99964059999999999</v>
      </c>
      <c r="N1902">
        <v>-1.3101730000000001E-2</v>
      </c>
      <c r="O1902">
        <v>2.3393130000000002E-2</v>
      </c>
      <c r="P1902">
        <v>-0.9829907</v>
      </c>
      <c r="Q1902">
        <v>0.17705219999999999</v>
      </c>
      <c r="R1902">
        <v>4.8804880000000002E-2</v>
      </c>
      <c r="S1902">
        <v>-3.2287599999999999</v>
      </c>
      <c r="T1902">
        <v>-1.0854900000000001</v>
      </c>
      <c r="U1902">
        <v>0.38995360000000001</v>
      </c>
      <c r="V1902">
        <v>2.59502E-2</v>
      </c>
      <c r="W1902">
        <v>0.1899062</v>
      </c>
      <c r="X1902">
        <v>0.98145930000000003</v>
      </c>
      <c r="Y1902">
        <v>9.2588820000000002E-2</v>
      </c>
      <c r="Z1902">
        <v>8.3944999999999992E-3</v>
      </c>
      <c r="AA1902">
        <v>0.99566909999999997</v>
      </c>
      <c r="AB1902">
        <v>38</v>
      </c>
      <c r="AC1902">
        <v>-0.55099999999998694</v>
      </c>
      <c r="AD1902">
        <v>-0.26341399999999898</v>
      </c>
      <c r="AE1902">
        <v>8.9099999999973506E-2</v>
      </c>
      <c r="AF1902">
        <v>6.2307589312370598E-2</v>
      </c>
      <c r="AG1902">
        <v>-0.26341399999999898</v>
      </c>
      <c r="AH1902">
        <v>0.45221518476582601</v>
      </c>
      <c r="AI1902">
        <v>119.986898053486</v>
      </c>
      <c r="AJ1902">
        <v>82.155007215876907</v>
      </c>
      <c r="AK1902">
        <v>0.52703675812480899</v>
      </c>
      <c r="AL1902">
        <v>79.052690558966802</v>
      </c>
      <c r="AM1902">
        <v>88.485428175995807</v>
      </c>
      <c r="AN1902">
        <v>1.0000000676174801</v>
      </c>
    </row>
    <row r="1903" spans="1:40" x14ac:dyDescent="0.25">
      <c r="A1903" t="str">
        <f>"20190303162817260"</f>
        <v>20190303162817260</v>
      </c>
      <c r="B1903" t="str">
        <f>"1551601697252879"</f>
        <v>1551601697252879</v>
      </c>
      <c r="C1903" t="s">
        <v>40</v>
      </c>
      <c r="D1903">
        <v>5.1692150000000003</v>
      </c>
      <c r="E1903">
        <v>0.53225540000000005</v>
      </c>
      <c r="F1903" t="s">
        <v>44</v>
      </c>
      <c r="G1903">
        <v>-314.30009999999999</v>
      </c>
      <c r="H1903">
        <v>0.82505659999999903</v>
      </c>
      <c r="I1903">
        <v>283.70030000000003</v>
      </c>
      <c r="J1903">
        <v>-313.64109999999999</v>
      </c>
      <c r="K1903">
        <v>1.120744</v>
      </c>
      <c r="L1903">
        <v>283.59989999999999</v>
      </c>
      <c r="M1903">
        <v>-0.99963619999999997</v>
      </c>
      <c r="N1903">
        <v>-1.312374E-2</v>
      </c>
      <c r="O1903">
        <v>2.3566030000000002E-2</v>
      </c>
      <c r="P1903">
        <v>-0.98303010000000002</v>
      </c>
      <c r="Q1903">
        <v>0.17680219999999999</v>
      </c>
      <c r="R1903">
        <v>4.8918059999999999E-2</v>
      </c>
      <c r="S1903">
        <v>-3.2288209999999999</v>
      </c>
      <c r="T1903">
        <v>-1.0892959999999901</v>
      </c>
      <c r="U1903">
        <v>0.38873289999999999</v>
      </c>
      <c r="V1903">
        <v>2.5890610000000001E-2</v>
      </c>
      <c r="W1903">
        <v>0.1896786</v>
      </c>
      <c r="X1903">
        <v>0.98150479999999996</v>
      </c>
      <c r="Y1903">
        <v>9.2055109999999996E-2</v>
      </c>
      <c r="Z1903">
        <v>8.2757119999999993E-3</v>
      </c>
      <c r="AA1903">
        <v>0.99571960000000004</v>
      </c>
      <c r="AB1903">
        <v>38</v>
      </c>
      <c r="AC1903">
        <v>-0.65899999999999104</v>
      </c>
      <c r="AD1903">
        <v>-0.29568739999999999</v>
      </c>
      <c r="AE1903">
        <v>0.100400000000036</v>
      </c>
      <c r="AF1903">
        <v>7.08922385822051E-2</v>
      </c>
      <c r="AG1903">
        <v>-0.29568739999999999</v>
      </c>
      <c r="AH1903">
        <v>0.55247919808923596</v>
      </c>
      <c r="AI1903">
        <v>117.961533167499</v>
      </c>
      <c r="AJ1903">
        <v>82.687958368610595</v>
      </c>
      <c r="AK1903">
        <v>0.63062668222275697</v>
      </c>
      <c r="AL1903">
        <v>79.065971557765906</v>
      </c>
      <c r="AM1903">
        <v>88.488974523286004</v>
      </c>
      <c r="AN1903">
        <v>0.999999983703585</v>
      </c>
    </row>
    <row r="1904" spans="1:40" x14ac:dyDescent="0.25">
      <c r="A1904" t="str">
        <f>"20190303162817280"</f>
        <v>20190303162817280</v>
      </c>
      <c r="B1904" t="str">
        <f>"1551601697273375"</f>
        <v>1551601697273375</v>
      </c>
      <c r="C1904" t="s">
        <v>40</v>
      </c>
      <c r="D1904">
        <v>5.1705410000000001</v>
      </c>
      <c r="E1904">
        <v>0.5321977</v>
      </c>
      <c r="F1904" t="s">
        <v>44</v>
      </c>
      <c r="G1904">
        <v>-314.3261</v>
      </c>
      <c r="H1904">
        <v>0.88927999999999996</v>
      </c>
      <c r="I1904">
        <v>283.6825</v>
      </c>
      <c r="J1904">
        <v>-313.94420000000002</v>
      </c>
      <c r="K1904">
        <v>1.1207510000000001</v>
      </c>
      <c r="L1904">
        <v>283.60719999999998</v>
      </c>
      <c r="M1904">
        <v>-0.99963029999999997</v>
      </c>
      <c r="N1904">
        <v>-1.314744E-2</v>
      </c>
      <c r="O1904">
        <v>2.3802E-2</v>
      </c>
      <c r="P1904">
        <v>-0.98313799999999996</v>
      </c>
      <c r="Q1904">
        <v>0.17627109999999999</v>
      </c>
      <c r="R1904">
        <v>4.8664310000000002E-2</v>
      </c>
      <c r="S1904">
        <v>-3.2286380000000001</v>
      </c>
      <c r="T1904">
        <v>-1.090929</v>
      </c>
      <c r="U1904">
        <v>0.38879390000000003</v>
      </c>
      <c r="V1904">
        <v>2.5399140000000001E-2</v>
      </c>
      <c r="W1904">
        <v>0.18917300000000001</v>
      </c>
      <c r="X1904">
        <v>0.98161520000000002</v>
      </c>
      <c r="Y1904">
        <v>9.1856300000000002E-2</v>
      </c>
      <c r="Z1904">
        <v>8.1800889999999998E-3</v>
      </c>
      <c r="AA1904">
        <v>0.99573869999999998</v>
      </c>
      <c r="AB1904">
        <v>38</v>
      </c>
      <c r="AC1904">
        <v>-0.38189999999997298</v>
      </c>
      <c r="AD1904">
        <v>-0.23147100000000001</v>
      </c>
      <c r="AE1904">
        <v>7.5300000000026998E-2</v>
      </c>
      <c r="AF1904">
        <v>4.8897159850234399E-2</v>
      </c>
      <c r="AG1904">
        <v>-0.23147100000000001</v>
      </c>
      <c r="AH1904">
        <v>0.28337779414029401</v>
      </c>
      <c r="AI1904">
        <v>128.83174204501501</v>
      </c>
      <c r="AJ1904">
        <v>80.209951233177506</v>
      </c>
      <c r="AK1904">
        <v>0.369151365017439</v>
      </c>
      <c r="AL1904">
        <v>79.095474308409806</v>
      </c>
      <c r="AM1904">
        <v>88.517811372835297</v>
      </c>
      <c r="AN1904">
        <v>0.99999997055638901</v>
      </c>
    </row>
    <row r="1905" spans="1:40" x14ac:dyDescent="0.25">
      <c r="A1905" t="str">
        <f>"20190303162817292"</f>
        <v>20190303162817292</v>
      </c>
      <c r="B1905" t="str">
        <f>"1551601697283135"</f>
        <v>1551601697283135</v>
      </c>
      <c r="C1905" t="s">
        <v>40</v>
      </c>
      <c r="D1905">
        <v>5.1800990000000002</v>
      </c>
      <c r="E1905">
        <v>0.53215829999999997</v>
      </c>
      <c r="F1905" t="s">
        <v>44</v>
      </c>
      <c r="G1905">
        <v>-314.66000000000003</v>
      </c>
      <c r="H1905">
        <v>0.87823249999999997</v>
      </c>
      <c r="I1905">
        <v>283.69319999999999</v>
      </c>
      <c r="J1905">
        <v>-314.17290000000003</v>
      </c>
      <c r="K1905">
        <v>1.120757</v>
      </c>
      <c r="L1905">
        <v>283.61290000000002</v>
      </c>
      <c r="M1905">
        <v>-0.99962600000000001</v>
      </c>
      <c r="N1905">
        <v>-1.3161849999999999E-2</v>
      </c>
      <c r="O1905">
        <v>2.3973049999999999E-2</v>
      </c>
      <c r="P1905">
        <v>-0.98320339999999995</v>
      </c>
      <c r="Q1905">
        <v>0.1759252</v>
      </c>
      <c r="R1905">
        <v>4.8593980000000002E-2</v>
      </c>
      <c r="S1905">
        <v>-3.2284549999999999</v>
      </c>
      <c r="T1905">
        <v>-1.0938330000000001</v>
      </c>
      <c r="U1905">
        <v>0.38702389999999998</v>
      </c>
      <c r="V1905">
        <v>2.5155819999999999E-2</v>
      </c>
      <c r="W1905">
        <v>0.18884290000000001</v>
      </c>
      <c r="X1905">
        <v>0.98168500000000003</v>
      </c>
      <c r="Y1905">
        <v>9.118068E-2</v>
      </c>
      <c r="Z1905">
        <v>8.0305129999999995E-3</v>
      </c>
      <c r="AA1905">
        <v>0.99580199999999996</v>
      </c>
      <c r="AB1905">
        <v>38</v>
      </c>
      <c r="AC1905">
        <v>-0.48709999999999798</v>
      </c>
      <c r="AD1905">
        <v>-0.242524499999999</v>
      </c>
      <c r="AE1905">
        <v>8.0299999999965593E-2</v>
      </c>
      <c r="AF1905">
        <v>5.5261747203508703E-2</v>
      </c>
      <c r="AG1905">
        <v>-0.242524499999999</v>
      </c>
      <c r="AH1905">
        <v>0.39383655246272298</v>
      </c>
      <c r="AI1905">
        <v>121.375916179046</v>
      </c>
      <c r="AJ1905">
        <v>82.012607630364499</v>
      </c>
      <c r="AK1905">
        <v>0.46581028741318897</v>
      </c>
      <c r="AL1905">
        <v>79.114734553718904</v>
      </c>
      <c r="AM1905">
        <v>88.532108609237198</v>
      </c>
      <c r="AN1905">
        <v>0.999999947692639</v>
      </c>
    </row>
    <row r="1906" spans="1:40" x14ac:dyDescent="0.25">
      <c r="A1906" t="str">
        <f>"20190303162817306"</f>
        <v>20190303162817306</v>
      </c>
      <c r="B1906" t="str">
        <f>"1551601697303632"</f>
        <v>1551601697303632</v>
      </c>
      <c r="C1906" t="s">
        <v>40</v>
      </c>
      <c r="D1906">
        <v>5.1942050000000002</v>
      </c>
      <c r="E1906">
        <v>0.53208929999999999</v>
      </c>
      <c r="F1906" t="s">
        <v>44</v>
      </c>
      <c r="G1906">
        <v>-314.98480000000001</v>
      </c>
      <c r="H1906">
        <v>0.84513640000000001</v>
      </c>
      <c r="I1906">
        <v>283.71010000000001</v>
      </c>
      <c r="J1906">
        <v>-314.38639999999998</v>
      </c>
      <c r="K1906">
        <v>1.120762</v>
      </c>
      <c r="L1906">
        <v>283.6182</v>
      </c>
      <c r="M1906">
        <v>-0.99962209999999996</v>
      </c>
      <c r="N1906">
        <v>-1.317377E-2</v>
      </c>
      <c r="O1906">
        <v>2.4128380000000001E-2</v>
      </c>
      <c r="P1906">
        <v>-0.98317779999999999</v>
      </c>
      <c r="Q1906">
        <v>0.17608699999999999</v>
      </c>
      <c r="R1906">
        <v>4.8527840000000003E-2</v>
      </c>
      <c r="S1906">
        <v>-3.2282709999999999</v>
      </c>
      <c r="T1906">
        <v>-1.0958509999999999</v>
      </c>
      <c r="U1906">
        <v>0.38626100000000002</v>
      </c>
      <c r="V1906">
        <v>2.493457E-2</v>
      </c>
      <c r="W1906">
        <v>0.18901660000000001</v>
      </c>
      <c r="X1906">
        <v>0.98165729999999995</v>
      </c>
      <c r="Y1906">
        <v>9.0814900000000004E-2</v>
      </c>
      <c r="Z1906">
        <v>7.9324949999999995E-3</v>
      </c>
      <c r="AA1906">
        <v>0.99583619999999995</v>
      </c>
      <c r="AB1906">
        <v>38</v>
      </c>
      <c r="AC1906">
        <v>-0.59840000000002602</v>
      </c>
      <c r="AD1906">
        <v>-0.27562559999999903</v>
      </c>
      <c r="AE1906">
        <v>9.1900000000009599E-2</v>
      </c>
      <c r="AF1906">
        <v>6.4139512399540993E-2</v>
      </c>
      <c r="AG1906">
        <v>-0.27562559999999903</v>
      </c>
      <c r="AH1906">
        <v>0.497357229943656</v>
      </c>
      <c r="AI1906">
        <v>118.794462064122</v>
      </c>
      <c r="AJ1906">
        <v>82.651656241542597</v>
      </c>
      <c r="AK1906">
        <v>0.57223034051283705</v>
      </c>
      <c r="AL1906">
        <v>79.104600676195503</v>
      </c>
      <c r="AM1906">
        <v>88.544972367487205</v>
      </c>
      <c r="AN1906">
        <v>1.00000003124996</v>
      </c>
    </row>
    <row r="1907" spans="1:40" x14ac:dyDescent="0.25">
      <c r="A1907" t="str">
        <f>"20190303162817324"</f>
        <v>20190303162817324</v>
      </c>
      <c r="B1907" t="str">
        <f>"1551601697313391"</f>
        <v>1551601697313391</v>
      </c>
      <c r="C1907" t="s">
        <v>40</v>
      </c>
      <c r="D1907">
        <v>5.2059879999999996</v>
      </c>
      <c r="E1907">
        <v>0.53207260000000001</v>
      </c>
      <c r="F1907" t="s">
        <v>44</v>
      </c>
      <c r="G1907">
        <v>-315.30779999999999</v>
      </c>
      <c r="H1907">
        <v>0.80773200000000001</v>
      </c>
      <c r="I1907">
        <v>283.72829999999999</v>
      </c>
      <c r="J1907">
        <v>-314.68759999999997</v>
      </c>
      <c r="K1907">
        <v>1.120773</v>
      </c>
      <c r="L1907">
        <v>283.62560000000002</v>
      </c>
      <c r="M1907">
        <v>-0.99961690000000003</v>
      </c>
      <c r="N1907">
        <v>-1.318774E-2</v>
      </c>
      <c r="O1907">
        <v>2.4334939999999999E-2</v>
      </c>
      <c r="P1907">
        <v>-0.98327240000000005</v>
      </c>
      <c r="Q1907">
        <v>0.1757785</v>
      </c>
      <c r="R1907">
        <v>4.7720619999999998E-2</v>
      </c>
      <c r="S1907">
        <v>-3.228729</v>
      </c>
      <c r="T1907">
        <v>-1.096811</v>
      </c>
      <c r="U1907">
        <v>0.38562010000000002</v>
      </c>
      <c r="V1907">
        <v>2.3916440000000001E-2</v>
      </c>
      <c r="W1907">
        <v>0.1887239</v>
      </c>
      <c r="X1907">
        <v>0.98173889999999997</v>
      </c>
      <c r="Y1907">
        <v>9.0424749999999998E-2</v>
      </c>
      <c r="Z1907">
        <v>7.806215E-3</v>
      </c>
      <c r="AA1907">
        <v>0.99587270000000006</v>
      </c>
      <c r="AB1907">
        <v>38</v>
      </c>
      <c r="AC1907">
        <v>-0.62020000000001096</v>
      </c>
      <c r="AD1907">
        <v>-0.31304099999999901</v>
      </c>
      <c r="AE1907">
        <v>0.10269999999997</v>
      </c>
      <c r="AF1907">
        <v>7.0174827869528097E-2</v>
      </c>
      <c r="AG1907">
        <v>-0.31304099999999901</v>
      </c>
      <c r="AH1907">
        <v>0.498824603080255</v>
      </c>
      <c r="AI1907">
        <v>121.858386852999</v>
      </c>
      <c r="AJ1907">
        <v>81.992160428494003</v>
      </c>
      <c r="AK1907">
        <v>0.59308107269216703</v>
      </c>
      <c r="AL1907">
        <v>79.121678030933097</v>
      </c>
      <c r="AM1907">
        <v>88.604476110170694</v>
      </c>
      <c r="AN1907">
        <v>0.99999998715334604</v>
      </c>
    </row>
    <row r="1908" spans="1:40" x14ac:dyDescent="0.25">
      <c r="A1908" t="str">
        <f>"20190303162817337"</f>
        <v>20190303162817337</v>
      </c>
      <c r="B1908" t="str">
        <f>"1551601697332911"</f>
        <v>1551601697332911</v>
      </c>
      <c r="C1908" t="s">
        <v>40</v>
      </c>
      <c r="D1908">
        <v>5.2132110000000003</v>
      </c>
      <c r="E1908">
        <v>0.53202519999999998</v>
      </c>
      <c r="F1908" t="s">
        <v>44</v>
      </c>
      <c r="G1908">
        <v>-315.64120000000003</v>
      </c>
      <c r="H1908">
        <v>0.79650869999999996</v>
      </c>
      <c r="I1908">
        <v>283.73899999999998</v>
      </c>
      <c r="J1908">
        <v>-314.92860000000002</v>
      </c>
      <c r="K1908">
        <v>1.1207849999999999</v>
      </c>
      <c r="L1908">
        <v>283.63170000000002</v>
      </c>
      <c r="M1908">
        <v>-0.99961310000000003</v>
      </c>
      <c r="N1908">
        <v>-1.319681E-2</v>
      </c>
      <c r="O1908">
        <v>2.4486569999999999E-2</v>
      </c>
      <c r="P1908">
        <v>-0.98329659999999997</v>
      </c>
      <c r="Q1908">
        <v>0.175735</v>
      </c>
      <c r="R1908">
        <v>4.7383050000000003E-2</v>
      </c>
      <c r="S1908">
        <v>-3.228729</v>
      </c>
      <c r="T1908">
        <v>-1.0978570000000001</v>
      </c>
      <c r="U1908">
        <v>0.3828125</v>
      </c>
      <c r="V1908">
        <v>2.3423699999999999E-2</v>
      </c>
      <c r="W1908">
        <v>0.1886911</v>
      </c>
      <c r="X1908">
        <v>0.98175710000000005</v>
      </c>
      <c r="Y1908">
        <v>8.9474620000000005E-2</v>
      </c>
      <c r="Z1908">
        <v>7.6022980000000004E-3</v>
      </c>
      <c r="AA1908">
        <v>0.99596010000000001</v>
      </c>
      <c r="AB1908">
        <v>38</v>
      </c>
      <c r="AC1908">
        <v>-0.712600000000009</v>
      </c>
      <c r="AD1908">
        <v>-0.32427630000000002</v>
      </c>
      <c r="AE1908">
        <v>0.107300000000009</v>
      </c>
      <c r="AF1908">
        <v>7.4692702061047306E-2</v>
      </c>
      <c r="AG1908">
        <v>-0.32427630000000002</v>
      </c>
      <c r="AH1908">
        <v>0.59461148687955101</v>
      </c>
      <c r="AI1908">
        <v>118.418078923736</v>
      </c>
      <c r="AJ1908">
        <v>82.840236450452807</v>
      </c>
      <c r="AK1908">
        <v>0.68139338036994501</v>
      </c>
      <c r="AL1908">
        <v>79.123591880364302</v>
      </c>
      <c r="AM1908">
        <v>88.6332417885328</v>
      </c>
      <c r="AN1908">
        <v>1.0000000021706501</v>
      </c>
    </row>
    <row r="1909" spans="1:40" x14ac:dyDescent="0.25">
      <c r="A1909" t="str">
        <f>"20190303162817352"</f>
        <v>20190303162817352</v>
      </c>
      <c r="B1909" t="str">
        <f>"1551601697343647"</f>
        <v>1551601697343647</v>
      </c>
      <c r="C1909" t="s">
        <v>40</v>
      </c>
      <c r="D1909">
        <v>5.2292379999999996</v>
      </c>
      <c r="E1909">
        <v>0.53199849999999904</v>
      </c>
      <c r="F1909" t="s">
        <v>44</v>
      </c>
      <c r="G1909">
        <v>-315.67020000000002</v>
      </c>
      <c r="H1909">
        <v>0.86833890000000002</v>
      </c>
      <c r="I1909">
        <v>283.71960000000001</v>
      </c>
      <c r="J1909">
        <v>-315.17469999999997</v>
      </c>
      <c r="K1909">
        <v>1.120795</v>
      </c>
      <c r="L1909">
        <v>283.6379</v>
      </c>
      <c r="M1909">
        <v>-0.99960939999999998</v>
      </c>
      <c r="N1909">
        <v>-1.320498E-2</v>
      </c>
      <c r="O1909">
        <v>2.463197E-2</v>
      </c>
      <c r="P1909">
        <v>-0.98335050000000002</v>
      </c>
      <c r="Q1909">
        <v>0.17551229999999901</v>
      </c>
      <c r="R1909">
        <v>4.7088949999999997E-2</v>
      </c>
      <c r="S1909">
        <v>-3.2290649999999999</v>
      </c>
      <c r="T1909">
        <v>-1.0991359999999999</v>
      </c>
      <c r="U1909">
        <v>0.3812256</v>
      </c>
      <c r="V1909">
        <v>2.297865E-2</v>
      </c>
      <c r="W1909">
        <v>0.18847810000000001</v>
      </c>
      <c r="X1909">
        <v>0.98180849999999997</v>
      </c>
      <c r="Y1909">
        <v>8.8869210000000004E-2</v>
      </c>
      <c r="Z1909">
        <v>7.4596669999999997E-3</v>
      </c>
      <c r="AA1909">
        <v>0.9960154</v>
      </c>
      <c r="AB1909">
        <v>38</v>
      </c>
      <c r="AC1909">
        <v>-0.49550000000004901</v>
      </c>
      <c r="AD1909">
        <v>-0.25245609999999902</v>
      </c>
      <c r="AE1909">
        <v>8.1700000000012096E-2</v>
      </c>
      <c r="AF1909">
        <v>5.5454650570832903E-2</v>
      </c>
      <c r="AG1909">
        <v>-0.25245609999999902</v>
      </c>
      <c r="AH1909">
        <v>0.397026709927776</v>
      </c>
      <c r="AI1909">
        <v>122.200816531931</v>
      </c>
      <c r="AJ1909">
        <v>82.0486613951675</v>
      </c>
      <c r="AK1909">
        <v>0.47375047133825399</v>
      </c>
      <c r="AL1909">
        <v>79.136018523217402</v>
      </c>
      <c r="AM1909">
        <v>88.659270774134697</v>
      </c>
      <c r="AN1909">
        <v>0.99999997160384002</v>
      </c>
    </row>
    <row r="1910" spans="1:40" x14ac:dyDescent="0.25">
      <c r="A1910" t="str">
        <f>"20190303162817370"</f>
        <v>20190303162817370</v>
      </c>
      <c r="B1910" t="str">
        <f>"1551601697363170"</f>
        <v>1551601697363170</v>
      </c>
      <c r="C1910" t="s">
        <v>40</v>
      </c>
      <c r="D1910">
        <v>5.2449519999999996</v>
      </c>
      <c r="E1910">
        <v>0.53195509999999901</v>
      </c>
      <c r="F1910" t="s">
        <v>44</v>
      </c>
      <c r="G1910">
        <v>-315.99680000000001</v>
      </c>
      <c r="H1910">
        <v>0.84067559999999997</v>
      </c>
      <c r="I1910">
        <v>283.73489999999998</v>
      </c>
      <c r="J1910">
        <v>-315.45949999999999</v>
      </c>
      <c r="K1910">
        <v>1.120817</v>
      </c>
      <c r="L1910">
        <v>283.64510000000001</v>
      </c>
      <c r="M1910">
        <v>-0.99960550000000004</v>
      </c>
      <c r="N1910">
        <v>-1.3213030000000001E-2</v>
      </c>
      <c r="O1910">
        <v>2.478379E-2</v>
      </c>
      <c r="P1910">
        <v>-0.98336060000000003</v>
      </c>
      <c r="Q1910">
        <v>0.17555090000000001</v>
      </c>
      <c r="R1910">
        <v>4.6730309999999997E-2</v>
      </c>
      <c r="S1910">
        <v>-3.2289430000000001</v>
      </c>
      <c r="T1910">
        <v>-1.1002400000000001</v>
      </c>
      <c r="U1910">
        <v>0.37982179999999999</v>
      </c>
      <c r="V1910">
        <v>2.246161E-2</v>
      </c>
      <c r="W1910">
        <v>0.18852579999999999</v>
      </c>
      <c r="X1910">
        <v>0.98181130000000005</v>
      </c>
      <c r="Y1910">
        <v>8.8326539999999995E-2</v>
      </c>
      <c r="Z1910">
        <v>7.3253449999999996E-3</v>
      </c>
      <c r="AA1910">
        <v>0.99606470000000003</v>
      </c>
      <c r="AB1910">
        <v>38</v>
      </c>
      <c r="AC1910">
        <v>-0.53730000000001599</v>
      </c>
      <c r="AD1910">
        <v>-0.28014139999999998</v>
      </c>
      <c r="AE1910">
        <v>8.9799999999968294E-2</v>
      </c>
      <c r="AF1910">
        <v>6.0464596295010199E-2</v>
      </c>
      <c r="AG1910">
        <v>-0.28014139999999998</v>
      </c>
      <c r="AH1910">
        <v>0.42655499684466602</v>
      </c>
      <c r="AI1910">
        <v>123.034053099844</v>
      </c>
      <c r="AJ1910">
        <v>81.932017152155794</v>
      </c>
      <c r="AK1910">
        <v>0.51389136666442603</v>
      </c>
      <c r="AL1910">
        <v>79.133235552271302</v>
      </c>
      <c r="AM1910">
        <v>88.6894314642106</v>
      </c>
      <c r="AN1910">
        <v>0.99999996499856003</v>
      </c>
    </row>
    <row r="1911" spans="1:40" x14ac:dyDescent="0.25">
      <c r="A1911" t="str">
        <f>"20190303162817391"</f>
        <v>20190303162817391</v>
      </c>
      <c r="B1911" t="str">
        <f>"1551601697383663"</f>
        <v>1551601697383663</v>
      </c>
      <c r="C1911" t="s">
        <v>40</v>
      </c>
      <c r="D1911">
        <v>5.2588290000000004</v>
      </c>
      <c r="E1911">
        <v>0.53192220000000001</v>
      </c>
      <c r="F1911" t="s">
        <v>44</v>
      </c>
      <c r="G1911">
        <v>-316.3279</v>
      </c>
      <c r="H1911">
        <v>0.824629099999999</v>
      </c>
      <c r="I1911">
        <v>283.74689999999998</v>
      </c>
      <c r="J1911">
        <v>-315.84039999999999</v>
      </c>
      <c r="K1911">
        <v>1.1208560000000001</v>
      </c>
      <c r="L1911">
        <v>283.65469999999999</v>
      </c>
      <c r="M1911">
        <v>-0.99960139999999997</v>
      </c>
      <c r="N1911">
        <v>-1.322159E-2</v>
      </c>
      <c r="O1911">
        <v>2.4947250000000001E-2</v>
      </c>
      <c r="P1911">
        <v>-0.983325</v>
      </c>
      <c r="Q1911">
        <v>0.17568520000000001</v>
      </c>
      <c r="R1911">
        <v>4.6977199999999997E-2</v>
      </c>
      <c r="S1911">
        <v>-3.2294309999999999</v>
      </c>
      <c r="T1911">
        <v>-1.1014839999999999</v>
      </c>
      <c r="U1911">
        <v>0.37789919999999999</v>
      </c>
      <c r="V1911">
        <v>2.2533310000000001E-2</v>
      </c>
      <c r="W1911">
        <v>0.18867010000000001</v>
      </c>
      <c r="X1911">
        <v>0.98178200000000004</v>
      </c>
      <c r="Y1911">
        <v>8.7604080000000001E-2</v>
      </c>
      <c r="Z1911">
        <v>7.155809E-3</v>
      </c>
      <c r="AA1911">
        <v>0.99612970000000001</v>
      </c>
      <c r="AB1911">
        <v>38</v>
      </c>
      <c r="AC1911">
        <v>-0.48750000000001098</v>
      </c>
      <c r="AD1911">
        <v>-0.29622690000000002</v>
      </c>
      <c r="AE1911">
        <v>9.2199999999991095E-2</v>
      </c>
      <c r="AF1911">
        <v>5.8982352600198497E-2</v>
      </c>
      <c r="AG1911">
        <v>-0.29622690000000002</v>
      </c>
      <c r="AH1911">
        <v>0.360969679179098</v>
      </c>
      <c r="AI1911">
        <v>129.00405794306499</v>
      </c>
      <c r="AJ1911">
        <v>80.719895737846798</v>
      </c>
      <c r="AK1911">
        <v>0.470668039586846</v>
      </c>
      <c r="AL1911">
        <v>79.124817361980305</v>
      </c>
      <c r="AM1911">
        <v>88.685210224011897</v>
      </c>
      <c r="AN1911">
        <v>1.00000002610878</v>
      </c>
    </row>
    <row r="1912" spans="1:40" x14ac:dyDescent="0.25">
      <c r="A1912" t="str">
        <f>"20190303162817405"</f>
        <v>20190303162817405</v>
      </c>
      <c r="B1912" t="str">
        <f>"1551601697393423"</f>
        <v>1551601697393423</v>
      </c>
      <c r="C1912" t="s">
        <v>40</v>
      </c>
      <c r="D1912">
        <v>5.2691330000000001</v>
      </c>
      <c r="E1912">
        <v>0.53191259999999996</v>
      </c>
      <c r="F1912" t="s">
        <v>44</v>
      </c>
      <c r="G1912">
        <v>-316.6705</v>
      </c>
      <c r="H1912">
        <v>0.83756450000000005</v>
      </c>
      <c r="I1912">
        <v>283.75200000000001</v>
      </c>
      <c r="J1912">
        <v>-316.06040000000002</v>
      </c>
      <c r="K1912">
        <v>1.1208800000000001</v>
      </c>
      <c r="L1912">
        <v>283.66019999999997</v>
      </c>
      <c r="M1912">
        <v>-0.99959940000000003</v>
      </c>
      <c r="N1912">
        <v>-1.322577E-2</v>
      </c>
      <c r="O1912">
        <v>2.5023960000000001E-2</v>
      </c>
      <c r="P1912">
        <v>-0.98323830000000001</v>
      </c>
      <c r="Q1912">
        <v>0.17607229999999999</v>
      </c>
      <c r="R1912">
        <v>4.7340019999999997E-2</v>
      </c>
      <c r="S1912">
        <v>-3.2297359999999999</v>
      </c>
      <c r="T1912">
        <v>-1.102168</v>
      </c>
      <c r="U1912">
        <v>0.37753300000000001</v>
      </c>
      <c r="V1912">
        <v>2.2813099999999999E-2</v>
      </c>
      <c r="W1912">
        <v>0.18906149999999999</v>
      </c>
      <c r="X1912">
        <v>0.98170020000000002</v>
      </c>
      <c r="Y1912">
        <v>8.7416339999999995E-2</v>
      </c>
      <c r="Z1912">
        <v>7.1025539999999996E-3</v>
      </c>
      <c r="AA1912">
        <v>0.99614659999999999</v>
      </c>
      <c r="AB1912">
        <v>38</v>
      </c>
      <c r="AC1912">
        <v>-0.61009999999998799</v>
      </c>
      <c r="AD1912">
        <v>-0.283315499999999</v>
      </c>
      <c r="AE1912">
        <v>9.1800000000034701E-2</v>
      </c>
      <c r="AF1912">
        <v>6.3180000915281406E-2</v>
      </c>
      <c r="AG1912">
        <v>-0.283315499999999</v>
      </c>
      <c r="AH1912">
        <v>0.50559192626635197</v>
      </c>
      <c r="AI1912">
        <v>119.07578120338</v>
      </c>
      <c r="AJ1912">
        <v>82.877102563843493</v>
      </c>
      <c r="AK1912">
        <v>0.58299449479529797</v>
      </c>
      <c r="AL1912">
        <v>79.101980354637305</v>
      </c>
      <c r="AM1912">
        <v>88.668779798990201</v>
      </c>
      <c r="AN1912">
        <v>0.99999998549694902</v>
      </c>
    </row>
    <row r="1913" spans="1:40" x14ac:dyDescent="0.25">
      <c r="A1913" t="str">
        <f>"20190303162817423"</f>
        <v>20190303162817423</v>
      </c>
      <c r="B1913" t="str">
        <f>"1551601697412943"</f>
        <v>1551601697412943</v>
      </c>
      <c r="C1913" t="s">
        <v>40</v>
      </c>
      <c r="D1913">
        <v>5.271585</v>
      </c>
      <c r="E1913">
        <v>0.53193279999999998</v>
      </c>
      <c r="F1913" t="s">
        <v>44</v>
      </c>
      <c r="G1913">
        <v>-316.99369999999999</v>
      </c>
      <c r="H1913">
        <v>0.802597</v>
      </c>
      <c r="I1913">
        <v>283.76990000000001</v>
      </c>
      <c r="J1913">
        <v>-316.38420000000002</v>
      </c>
      <c r="K1913">
        <v>1.1209260000000001</v>
      </c>
      <c r="L1913">
        <v>283.66849999999999</v>
      </c>
      <c r="M1913">
        <v>-0.99959739999999997</v>
      </c>
      <c r="N1913">
        <v>-1.3230789999999999E-2</v>
      </c>
      <c r="O1913">
        <v>2.5104080000000001E-2</v>
      </c>
      <c r="P1913">
        <v>-0.98307420000000001</v>
      </c>
      <c r="Q1913">
        <v>0.17681340000000001</v>
      </c>
      <c r="R1913">
        <v>4.7985350000000003E-2</v>
      </c>
      <c r="S1913">
        <v>-3.2301639999999998</v>
      </c>
      <c r="T1913">
        <v>-1.101512</v>
      </c>
      <c r="U1913">
        <v>0.37844850000000002</v>
      </c>
      <c r="V1913">
        <v>2.3367820000000001E-2</v>
      </c>
      <c r="W1913">
        <v>0.18980739999999999</v>
      </c>
      <c r="X1913">
        <v>0.98154319999999895</v>
      </c>
      <c r="Y1913">
        <v>8.7598579999999995E-2</v>
      </c>
      <c r="Z1913">
        <v>7.1044899999999998E-3</v>
      </c>
      <c r="AA1913">
        <v>0.99613050000000003</v>
      </c>
      <c r="AB1913">
        <v>38</v>
      </c>
      <c r="AC1913">
        <v>-0.60949999999996796</v>
      </c>
      <c r="AD1913">
        <v>-0.31832899999999997</v>
      </c>
      <c r="AE1913">
        <v>0.10140000000001199</v>
      </c>
      <c r="AF1913">
        <v>6.8013119989887599E-2</v>
      </c>
      <c r="AG1913">
        <v>-0.31832899999999997</v>
      </c>
      <c r="AH1913">
        <v>0.48351486735313398</v>
      </c>
      <c r="AI1913">
        <v>123.102188336437</v>
      </c>
      <c r="AJ1913">
        <v>81.993081730179398</v>
      </c>
      <c r="AK1913">
        <v>0.58287714287255898</v>
      </c>
      <c r="AL1913">
        <v>79.058455265218498</v>
      </c>
      <c r="AM1913">
        <v>88.636204094756707</v>
      </c>
      <c r="AN1913">
        <v>0.999999978786275</v>
      </c>
    </row>
    <row r="1914" spans="1:40" x14ac:dyDescent="0.25">
      <c r="A1914" t="str">
        <f>"20190303162817435"</f>
        <v>20190303162817435</v>
      </c>
      <c r="B1914" t="str">
        <f>"1551601697423680"</f>
        <v>1551601697423680</v>
      </c>
      <c r="C1914" t="s">
        <v>40</v>
      </c>
      <c r="D1914">
        <v>5.2621310000000001</v>
      </c>
      <c r="E1914">
        <v>0.5319123</v>
      </c>
      <c r="F1914" t="s">
        <v>44</v>
      </c>
      <c r="G1914">
        <v>-317.32940000000002</v>
      </c>
      <c r="H1914">
        <v>0.79921359999999997</v>
      </c>
      <c r="I1914">
        <v>283.78019999999998</v>
      </c>
      <c r="J1914">
        <v>-316.57960000000003</v>
      </c>
      <c r="K1914">
        <v>1.1209499999999999</v>
      </c>
      <c r="L1914">
        <v>283.67340000000002</v>
      </c>
      <c r="M1914">
        <v>-0.9995965</v>
      </c>
      <c r="N1914">
        <v>-1.323329E-2</v>
      </c>
      <c r="O1914">
        <v>2.5134859999999998E-2</v>
      </c>
      <c r="P1914">
        <v>-0.98298220000000003</v>
      </c>
      <c r="Q1914">
        <v>0.17724999999999999</v>
      </c>
      <c r="R1914">
        <v>4.8254239999999997E-2</v>
      </c>
      <c r="S1914">
        <v>-3.2308349999999999</v>
      </c>
      <c r="T1914">
        <v>-1.099607</v>
      </c>
      <c r="U1914">
        <v>0.38095089999999998</v>
      </c>
      <c r="V1914">
        <v>2.359932E-2</v>
      </c>
      <c r="W1914">
        <v>0.190246</v>
      </c>
      <c r="X1914">
        <v>0.98145280000000001</v>
      </c>
      <c r="Y1914">
        <v>8.8281209999999999E-2</v>
      </c>
      <c r="Z1914">
        <v>7.2006010000000001E-3</v>
      </c>
      <c r="AA1914">
        <v>0.9960696</v>
      </c>
      <c r="AB1914">
        <v>38</v>
      </c>
      <c r="AC1914">
        <v>-0.74979999999999303</v>
      </c>
      <c r="AD1914">
        <v>-0.32173639999999898</v>
      </c>
      <c r="AE1914">
        <v>0.10679999999996399</v>
      </c>
      <c r="AF1914">
        <v>7.4478011193038707E-2</v>
      </c>
      <c r="AG1914">
        <v>-0.32173639999999898</v>
      </c>
      <c r="AH1914">
        <v>0.63724839760792096</v>
      </c>
      <c r="AI1914">
        <v>116.63241336858199</v>
      </c>
      <c r="AJ1914">
        <v>83.333833965716906</v>
      </c>
      <c r="AK1914">
        <v>0.71773728166376605</v>
      </c>
      <c r="AL1914">
        <v>79.032859550734003</v>
      </c>
      <c r="AM1914">
        <v>88.622571626690103</v>
      </c>
      <c r="AN1914">
        <v>1.0000000335241499</v>
      </c>
    </row>
    <row r="1915" spans="1:40" x14ac:dyDescent="0.25">
      <c r="A1915" t="str">
        <f>"20190303162817448"</f>
        <v>20190303162817448</v>
      </c>
      <c r="B1915" t="str">
        <f>"1551601697443199"</f>
        <v>1551601697443199</v>
      </c>
      <c r="C1915" t="s">
        <v>40</v>
      </c>
      <c r="D1915">
        <v>5.2583869999999999</v>
      </c>
      <c r="E1915">
        <v>0.52617969999999903</v>
      </c>
      <c r="F1915" t="s">
        <v>44</v>
      </c>
      <c r="G1915">
        <v>-317.35309999999998</v>
      </c>
      <c r="H1915">
        <v>0.85797319999999999</v>
      </c>
      <c r="I1915">
        <v>283.76519999999999</v>
      </c>
      <c r="J1915">
        <v>-316.76960000000003</v>
      </c>
      <c r="K1915">
        <v>1.120973</v>
      </c>
      <c r="L1915">
        <v>283.67829999999998</v>
      </c>
      <c r="M1915">
        <v>-0.99959589999999998</v>
      </c>
      <c r="N1915">
        <v>-1.323556E-2</v>
      </c>
      <c r="O1915">
        <v>2.5160720000000001E-2</v>
      </c>
      <c r="P1915">
        <v>-0.98299400000000003</v>
      </c>
      <c r="Q1915">
        <v>0.17714639999999901</v>
      </c>
      <c r="R1915">
        <v>4.8398610000000002E-2</v>
      </c>
      <c r="S1915">
        <v>-3.2312620000000001</v>
      </c>
      <c r="T1915">
        <v>-1.0985339999999999</v>
      </c>
      <c r="U1915">
        <v>0.38211060000000002</v>
      </c>
      <c r="V1915">
        <v>2.3709339999999999E-2</v>
      </c>
      <c r="W1915">
        <v>0.19014590000000001</v>
      </c>
      <c r="X1915">
        <v>0.98146949999999999</v>
      </c>
      <c r="Y1915">
        <v>8.8584560000000007E-2</v>
      </c>
      <c r="Z1915">
        <v>7.2379439999999996E-3</v>
      </c>
      <c r="AA1915">
        <v>0.99604239999999999</v>
      </c>
      <c r="AB1915">
        <v>38</v>
      </c>
      <c r="AC1915">
        <v>-0.58349999999995805</v>
      </c>
      <c r="AD1915">
        <v>-0.26299980000000001</v>
      </c>
      <c r="AE1915">
        <v>8.6900000000014105E-2</v>
      </c>
      <c r="AF1915">
        <v>6.0221118836110997E-2</v>
      </c>
      <c r="AG1915">
        <v>-0.26299980000000001</v>
      </c>
      <c r="AH1915">
        <v>0.48842802064869201</v>
      </c>
      <c r="AI1915">
        <v>118.12071603286201</v>
      </c>
      <c r="AJ1915">
        <v>82.971145535194495</v>
      </c>
      <c r="AK1915">
        <v>0.55799409433139402</v>
      </c>
      <c r="AL1915">
        <v>79.038700988223894</v>
      </c>
      <c r="AM1915">
        <v>88.616176086059994</v>
      </c>
      <c r="AN1915">
        <v>0.99999998776014698</v>
      </c>
    </row>
    <row r="1916" spans="1:40" x14ac:dyDescent="0.25">
      <c r="A1916" t="str">
        <f>"20190303162817459"</f>
        <v>20190303162817459</v>
      </c>
      <c r="B1916" t="str">
        <f>"1551601697452959"</f>
        <v>1551601697452959</v>
      </c>
      <c r="C1916" t="s">
        <v>40</v>
      </c>
      <c r="D1916">
        <v>5.2793419999999998</v>
      </c>
      <c r="E1916">
        <v>0.52617969999999903</v>
      </c>
      <c r="F1916" t="s">
        <v>44</v>
      </c>
      <c r="G1916">
        <v>-317.69200000000001</v>
      </c>
      <c r="H1916">
        <v>0.86292919999999995</v>
      </c>
      <c r="I1916">
        <v>283.7765</v>
      </c>
      <c r="J1916">
        <v>-317.00380000000001</v>
      </c>
      <c r="K1916">
        <v>1.120995</v>
      </c>
      <c r="L1916">
        <v>283.68419999999998</v>
      </c>
      <c r="M1916">
        <v>-0.99959540000000002</v>
      </c>
      <c r="N1916">
        <v>-1.3237870000000001E-2</v>
      </c>
      <c r="O1916">
        <v>2.518082E-2</v>
      </c>
      <c r="P1916">
        <v>-0.98294130000000002</v>
      </c>
      <c r="Q1916">
        <v>0.17743819999999999</v>
      </c>
      <c r="R1916">
        <v>4.8399119999999997E-2</v>
      </c>
      <c r="S1916">
        <v>-3.1963499999999998</v>
      </c>
      <c r="T1916">
        <v>-0.89425929999999998</v>
      </c>
      <c r="U1916">
        <v>0.33905030000000003</v>
      </c>
      <c r="V1916">
        <v>2.368172E-2</v>
      </c>
      <c r="W1916">
        <v>0.19044030000000001</v>
      </c>
      <c r="X1916">
        <v>0.98141310000000004</v>
      </c>
      <c r="Y1916">
        <v>7.8159960000000001E-2</v>
      </c>
      <c r="Z1916">
        <v>4.6636710000000003E-3</v>
      </c>
      <c r="AA1916">
        <v>0.99692990000000004</v>
      </c>
      <c r="AB1916">
        <v>38</v>
      </c>
      <c r="AC1916">
        <v>-0.68819999999999404</v>
      </c>
      <c r="AD1916">
        <v>-0.25806580000000001</v>
      </c>
      <c r="AE1916">
        <v>9.2300000000022905E-2</v>
      </c>
      <c r="AF1916">
        <v>6.5844630305991997E-2</v>
      </c>
      <c r="AG1916">
        <v>-0.25806580000000001</v>
      </c>
      <c r="AH1916">
        <v>0.60652643521948002</v>
      </c>
      <c r="AI1916">
        <v>112.928180602642</v>
      </c>
      <c r="AJ1916">
        <v>83.804222501437593</v>
      </c>
      <c r="AK1916">
        <v>0.66242568571110105</v>
      </c>
      <c r="AL1916">
        <v>79.021519313792297</v>
      </c>
      <c r="AM1916">
        <v>88.617708132178393</v>
      </c>
      <c r="AN1916">
        <v>1.0000000022889199</v>
      </c>
    </row>
    <row r="1917" spans="1:40" x14ac:dyDescent="0.25">
      <c r="A1917" t="str">
        <f>"20190303162817480"</f>
        <v>20190303162817480</v>
      </c>
      <c r="B1917" t="str">
        <f>"1551601697473455"</f>
        <v>1551601697473455</v>
      </c>
      <c r="C1917" t="s">
        <v>40</v>
      </c>
      <c r="D1917">
        <v>5.0599530000000001</v>
      </c>
      <c r="E1917">
        <v>0.50718240000000003</v>
      </c>
      <c r="F1917" t="s">
        <v>44</v>
      </c>
      <c r="G1917">
        <v>-317.71730000000002</v>
      </c>
      <c r="H1917">
        <v>0.92161720000000003</v>
      </c>
      <c r="I1917">
        <v>283.76029999999997</v>
      </c>
      <c r="J1917">
        <v>-317.33330000000001</v>
      </c>
      <c r="K1917">
        <v>1.1210150000000001</v>
      </c>
      <c r="L1917">
        <v>283.6925</v>
      </c>
      <c r="M1917">
        <v>-0.99959500000000001</v>
      </c>
      <c r="N1917">
        <v>-1.3240490000000001E-2</v>
      </c>
      <c r="O1917">
        <v>2.5194910000000001E-2</v>
      </c>
      <c r="P1917">
        <v>-0.98292210000000002</v>
      </c>
      <c r="Q1917">
        <v>0.1777321</v>
      </c>
      <c r="R1917">
        <v>4.770336E-2</v>
      </c>
      <c r="S1917">
        <v>-3.196564</v>
      </c>
      <c r="T1917">
        <v>-0.89328689999999999</v>
      </c>
      <c r="U1917">
        <v>0.33947749999999999</v>
      </c>
      <c r="V1917">
        <v>2.2961760000000001E-2</v>
      </c>
      <c r="W1917">
        <v>0.19073799999999999</v>
      </c>
      <c r="X1917">
        <v>0.98137240000000003</v>
      </c>
      <c r="Y1917">
        <v>7.8271549999999995E-2</v>
      </c>
      <c r="Z1917">
        <v>4.6719250000000004E-3</v>
      </c>
      <c r="AA1917">
        <v>0.9969211</v>
      </c>
      <c r="AB1917">
        <v>38</v>
      </c>
      <c r="AC1917">
        <v>-0.384000000000014</v>
      </c>
      <c r="AD1917">
        <v>-0.19939779999999999</v>
      </c>
      <c r="AE1917">
        <v>6.7799999999976907E-2</v>
      </c>
      <c r="AF1917">
        <v>4.6059047650583697E-2</v>
      </c>
      <c r="AG1917">
        <v>-0.19939779999999999</v>
      </c>
      <c r="AH1917">
        <v>0.30566083172414399</v>
      </c>
      <c r="AI1917">
        <v>122.82474123068</v>
      </c>
      <c r="AJ1917">
        <v>81.430754350711993</v>
      </c>
      <c r="AK1917">
        <v>0.36784434556700002</v>
      </c>
      <c r="AL1917">
        <v>79.0041439218611</v>
      </c>
      <c r="AM1917">
        <v>88.659660755939001</v>
      </c>
      <c r="AN1917">
        <v>1.0000000072740201</v>
      </c>
    </row>
    <row r="1918" spans="1:40" x14ac:dyDescent="0.25">
      <c r="A1918" t="str">
        <f>"20190303162817491"</f>
        <v>20190303162817491</v>
      </c>
      <c r="B1918" t="str">
        <f>"1551601697483216"</f>
        <v>1551601697483216</v>
      </c>
      <c r="C1918" t="s">
        <v>40</v>
      </c>
      <c r="D1918">
        <v>5.4751510000000003</v>
      </c>
      <c r="E1918">
        <v>0.50332109999999997</v>
      </c>
      <c r="F1918" t="s">
        <v>44</v>
      </c>
      <c r="G1918">
        <v>-318.11250000000001</v>
      </c>
      <c r="H1918">
        <v>1.038241</v>
      </c>
      <c r="I1918">
        <v>283.74090000000001</v>
      </c>
      <c r="J1918">
        <v>-317.53230000000002</v>
      </c>
      <c r="K1918">
        <v>1.121027</v>
      </c>
      <c r="L1918">
        <v>283.69760000000002</v>
      </c>
      <c r="M1918">
        <v>-0.99959480000000001</v>
      </c>
      <c r="N1918">
        <v>-1.324176E-2</v>
      </c>
      <c r="O1918">
        <v>2.5198229999999999E-2</v>
      </c>
      <c r="P1918">
        <v>-0.9829099</v>
      </c>
      <c r="Q1918">
        <v>0.17788289999999901</v>
      </c>
      <c r="R1918">
        <v>4.739136E-2</v>
      </c>
      <c r="S1918">
        <v>-3.1024479999999999</v>
      </c>
      <c r="T1918">
        <v>-0.3296906</v>
      </c>
      <c r="U1918">
        <v>0.1920471</v>
      </c>
      <c r="V1918">
        <v>2.2641419999999999E-2</v>
      </c>
      <c r="W1918">
        <v>0.19089059999999999</v>
      </c>
      <c r="X1918">
        <v>0.98135019999999995</v>
      </c>
      <c r="Y1918">
        <v>3.6489540000000001E-2</v>
      </c>
      <c r="Z1918">
        <v>-1.60192E-4</v>
      </c>
      <c r="AA1918">
        <v>0.99933399999999994</v>
      </c>
      <c r="AB1918">
        <v>38</v>
      </c>
      <c r="AC1918">
        <v>-0.58019999999998995</v>
      </c>
      <c r="AD1918">
        <v>-8.2785999999999998E-2</v>
      </c>
      <c r="AE1918">
        <v>4.3299999999987897E-2</v>
      </c>
      <c r="AF1918">
        <v>2.80961111357526E-2</v>
      </c>
      <c r="AG1918">
        <v>-8.2785999999999998E-2</v>
      </c>
      <c r="AH1918">
        <v>0.56957511453671505</v>
      </c>
      <c r="AI1918">
        <v>98.259950716405996</v>
      </c>
      <c r="AJ1918">
        <v>87.175991775374598</v>
      </c>
      <c r="AK1918">
        <v>0.57624536818656003</v>
      </c>
      <c r="AL1918">
        <v>78.995237239784203</v>
      </c>
      <c r="AM1918">
        <v>88.678323290303993</v>
      </c>
      <c r="AN1918">
        <v>1.0000000350539999</v>
      </c>
    </row>
    <row r="1919" spans="1:40" x14ac:dyDescent="0.25">
      <c r="A1919" t="str">
        <f>"20190303162817503"</f>
        <v>20190303162817503</v>
      </c>
      <c r="B1919" t="str">
        <f>"1551601697492975"</f>
        <v>1551601697492975</v>
      </c>
      <c r="C1919" t="s">
        <v>40</v>
      </c>
      <c r="D1919">
        <v>5.4694099999999999</v>
      </c>
      <c r="E1919">
        <v>0.50139789999999995</v>
      </c>
      <c r="F1919" t="s">
        <v>44</v>
      </c>
      <c r="G1919">
        <v>-318.44990000000001</v>
      </c>
      <c r="H1919">
        <v>1.039231</v>
      </c>
      <c r="I1919">
        <v>283.74560000000002</v>
      </c>
      <c r="J1919">
        <v>-317.73410000000001</v>
      </c>
      <c r="K1919">
        <v>1.121041</v>
      </c>
      <c r="L1919">
        <v>283.70260000000002</v>
      </c>
      <c r="M1919">
        <v>-0.99959469999999995</v>
      </c>
      <c r="N1919">
        <v>-1.324293E-2</v>
      </c>
      <c r="O1919">
        <v>2.5199360000000001E-2</v>
      </c>
      <c r="P1919">
        <v>-0.98294970000000004</v>
      </c>
      <c r="Q1919">
        <v>0.1777717</v>
      </c>
      <c r="R1919">
        <v>4.6983089999999998E-2</v>
      </c>
      <c r="S1919">
        <v>-3.0943909999999999</v>
      </c>
      <c r="T1919">
        <v>-0.27601900000000001</v>
      </c>
      <c r="U1919">
        <v>0.1609497</v>
      </c>
      <c r="V1919">
        <v>2.2226119999999999E-2</v>
      </c>
      <c r="W1919">
        <v>0.1907816</v>
      </c>
      <c r="X1919">
        <v>0.9813809</v>
      </c>
      <c r="Y1919">
        <v>2.670989E-2</v>
      </c>
      <c r="Z1919">
        <v>-5.4276339999999995E-4</v>
      </c>
      <c r="AA1919">
        <v>0.99964310000000001</v>
      </c>
      <c r="AB1919">
        <v>38</v>
      </c>
      <c r="AC1919">
        <v>-0.71580000000000099</v>
      </c>
      <c r="AD1919">
        <v>-8.1809999999999897E-2</v>
      </c>
      <c r="AE1919">
        <v>4.3000000000006297E-2</v>
      </c>
      <c r="AF1919">
        <v>2.46265288914581E-2</v>
      </c>
      <c r="AG1919">
        <v>-8.1809999999999897E-2</v>
      </c>
      <c r="AH1919">
        <v>0.707448439903957</v>
      </c>
      <c r="AI1919">
        <v>96.592479521100799</v>
      </c>
      <c r="AJ1919">
        <v>88.006318801270098</v>
      </c>
      <c r="AK1919">
        <v>0.71258868721569302</v>
      </c>
      <c r="AL1919">
        <v>79.001599515756098</v>
      </c>
      <c r="AM1919">
        <v>88.702598340255093</v>
      </c>
      <c r="AN1919">
        <v>1.0000000450968101</v>
      </c>
    </row>
    <row r="1920" spans="1:40" x14ac:dyDescent="0.25">
      <c r="A1920" t="str">
        <f>"20190303162817524"</f>
        <v>20190303162817524</v>
      </c>
      <c r="B1920" t="str">
        <f>"1551601697513471"</f>
        <v>1551601697513471</v>
      </c>
      <c r="C1920" t="s">
        <v>40</v>
      </c>
      <c r="D1920">
        <v>5.5223100000000001</v>
      </c>
      <c r="E1920">
        <v>0.49861280000000002</v>
      </c>
      <c r="F1920" t="s">
        <v>44</v>
      </c>
      <c r="G1920">
        <v>-318.78550000000001</v>
      </c>
      <c r="H1920">
        <v>1.037223</v>
      </c>
      <c r="I1920">
        <v>283.75220000000002</v>
      </c>
      <c r="J1920">
        <v>-318.072</v>
      </c>
      <c r="K1920">
        <v>1.121054</v>
      </c>
      <c r="L1920">
        <v>283.71120000000002</v>
      </c>
      <c r="M1920">
        <v>-0.99959489999999995</v>
      </c>
      <c r="N1920">
        <v>-1.324436E-2</v>
      </c>
      <c r="O1920">
        <v>2.5196619999999999E-2</v>
      </c>
      <c r="P1920">
        <v>-0.983016</v>
      </c>
      <c r="Q1920">
        <v>0.17767549999999999</v>
      </c>
      <c r="R1920">
        <v>4.5948000000000003E-2</v>
      </c>
      <c r="S1920">
        <v>-3.0896300000000001</v>
      </c>
      <c r="T1920">
        <v>-0.2464228</v>
      </c>
      <c r="U1920">
        <v>0.14520259999999999</v>
      </c>
      <c r="V1920">
        <v>2.1185760000000001E-2</v>
      </c>
      <c r="W1920">
        <v>0.190688</v>
      </c>
      <c r="X1920">
        <v>0.98142209999999996</v>
      </c>
      <c r="Y1920">
        <v>2.1734150000000001E-2</v>
      </c>
      <c r="Z1920">
        <v>-6.6254429999999895E-4</v>
      </c>
      <c r="AA1920">
        <v>0.99976350000000003</v>
      </c>
      <c r="AB1920">
        <v>38</v>
      </c>
      <c r="AC1920">
        <v>-0.71350000000001002</v>
      </c>
      <c r="AD1920">
        <v>-8.3830999999999906E-2</v>
      </c>
      <c r="AE1920">
        <v>4.0999999999996803E-2</v>
      </c>
      <c r="AF1920">
        <v>2.2695350371636201E-2</v>
      </c>
      <c r="AG1920">
        <v>-8.3830999999999906E-2</v>
      </c>
      <c r="AH1920">
        <v>0.70461177106477901</v>
      </c>
      <c r="AI1920">
        <v>96.7813730134244</v>
      </c>
      <c r="AJ1920">
        <v>88.155156591245103</v>
      </c>
      <c r="AK1920">
        <v>0.709943986109141</v>
      </c>
      <c r="AL1920">
        <v>79.007062684265193</v>
      </c>
      <c r="AM1920">
        <v>88.763359681314597</v>
      </c>
      <c r="AN1920">
        <v>1.00000004406959</v>
      </c>
    </row>
    <row r="1921" spans="1:40" x14ac:dyDescent="0.25">
      <c r="A1921" t="str">
        <f>"20190303162817538"</f>
        <v>20190303162817538</v>
      </c>
      <c r="B1921" t="str">
        <f>"1551601697523231"</f>
        <v>1551601697523231</v>
      </c>
      <c r="C1921" t="s">
        <v>40</v>
      </c>
      <c r="D1921">
        <v>5.5103339999999896</v>
      </c>
      <c r="E1921">
        <v>0.49789919999999999</v>
      </c>
      <c r="F1921" t="s">
        <v>44</v>
      </c>
      <c r="G1921">
        <v>-319.12670000000003</v>
      </c>
      <c r="H1921">
        <v>1.041855</v>
      </c>
      <c r="I1921">
        <v>283.75290000000001</v>
      </c>
      <c r="J1921">
        <v>-318.32060000000001</v>
      </c>
      <c r="K1921">
        <v>1.1210629999999999</v>
      </c>
      <c r="L1921">
        <v>283.7174</v>
      </c>
      <c r="M1921">
        <v>-0.99959489999999995</v>
      </c>
      <c r="N1921">
        <v>-1.3245130000000001E-2</v>
      </c>
      <c r="O1921">
        <v>2.5193989999999999E-2</v>
      </c>
      <c r="P1921">
        <v>-0.98305339999999997</v>
      </c>
      <c r="Q1921">
        <v>0.1775776</v>
      </c>
      <c r="R1921">
        <v>4.552171E-2</v>
      </c>
      <c r="S1921">
        <v>-3.088104</v>
      </c>
      <c r="T1921">
        <v>-0.2321135</v>
      </c>
      <c r="U1921">
        <v>0.12103269999999999</v>
      </c>
      <c r="V1921">
        <v>2.0757680000000001E-2</v>
      </c>
      <c r="W1921">
        <v>0.1905915</v>
      </c>
      <c r="X1921">
        <v>0.98145000000000004</v>
      </c>
      <c r="Y1921">
        <v>1.3975639999999999E-2</v>
      </c>
      <c r="Z1921">
        <v>-9.3959869999999995E-4</v>
      </c>
      <c r="AA1921">
        <v>0.99990190000000001</v>
      </c>
      <c r="AB1921">
        <v>38</v>
      </c>
      <c r="AC1921">
        <v>-0.80610000000001403</v>
      </c>
      <c r="AD1921">
        <v>-7.9207999999999903E-2</v>
      </c>
      <c r="AE1921">
        <v>3.5500000000013097E-2</v>
      </c>
      <c r="AF1921">
        <v>1.5033206705249E-2</v>
      </c>
      <c r="AG1921">
        <v>-7.9207999999999903E-2</v>
      </c>
      <c r="AH1921">
        <v>0.79903862283566895</v>
      </c>
      <c r="AI1921">
        <v>95.660190318803103</v>
      </c>
      <c r="AJ1921">
        <v>88.922157622915506</v>
      </c>
      <c r="AK1921">
        <v>0.80309565143323103</v>
      </c>
      <c r="AL1921">
        <v>79.012695109743404</v>
      </c>
      <c r="AM1921">
        <v>88.788374174734301</v>
      </c>
      <c r="AN1921">
        <v>1.00000005182561</v>
      </c>
    </row>
    <row r="1922" spans="1:40" x14ac:dyDescent="0.25">
      <c r="A1922" t="str">
        <f>"20190303162817552"</f>
        <v>20190303162817552</v>
      </c>
      <c r="B1922" t="str">
        <f>"1551601697543728"</f>
        <v>1551601697543728</v>
      </c>
      <c r="C1922" t="s">
        <v>40</v>
      </c>
      <c r="D1922">
        <v>5.5036040000000002</v>
      </c>
      <c r="E1922">
        <v>0.49728420000000001</v>
      </c>
      <c r="F1922" t="s">
        <v>48</v>
      </c>
      <c r="G1922">
        <v>-333.58980000000003</v>
      </c>
      <c r="H1922" s="1">
        <v>3.8798130000000001E-7</v>
      </c>
      <c r="I1922">
        <v>284.28519999999997</v>
      </c>
      <c r="J1922">
        <v>-318.53769999999997</v>
      </c>
      <c r="K1922">
        <v>1.121073</v>
      </c>
      <c r="L1922">
        <v>283.72289999999998</v>
      </c>
      <c r="M1922">
        <v>-0.99959500000000001</v>
      </c>
      <c r="N1922">
        <v>-1.3245639999999999E-2</v>
      </c>
      <c r="O1922">
        <v>2.519157E-2</v>
      </c>
      <c r="P1922">
        <v>-0.98311530000000003</v>
      </c>
      <c r="Q1922">
        <v>0.17737359999999999</v>
      </c>
      <c r="R1922">
        <v>4.497814E-2</v>
      </c>
      <c r="S1922">
        <v>-3.0873719999999998</v>
      </c>
      <c r="T1922">
        <v>-0.22667419999999999</v>
      </c>
      <c r="U1922">
        <v>0.1148071</v>
      </c>
      <c r="V1922">
        <v>2.0212419999999998E-2</v>
      </c>
      <c r="W1922">
        <v>0.19038930000000001</v>
      </c>
      <c r="X1922">
        <v>0.98150059999999995</v>
      </c>
      <c r="Y1922">
        <v>1.197961E-2</v>
      </c>
      <c r="Z1922">
        <v>-9.942760000000001E-4</v>
      </c>
      <c r="AA1922">
        <v>0.99992780000000003</v>
      </c>
      <c r="AB1922">
        <v>38</v>
      </c>
      <c r="AC1922">
        <v>-15.052099999999999</v>
      </c>
      <c r="AD1922">
        <v>-1.1210726120187</v>
      </c>
      <c r="AE1922">
        <v>0.56229999999999303</v>
      </c>
      <c r="AF1922">
        <v>0.18189466383521999</v>
      </c>
      <c r="AG1922">
        <v>-1.1210726120187</v>
      </c>
      <c r="AH1922">
        <v>14.9785157902771</v>
      </c>
      <c r="AI1922">
        <v>94.280028946780703</v>
      </c>
      <c r="AJ1922">
        <v>89.304251205811497</v>
      </c>
      <c r="AK1922">
        <v>15.021512066024901</v>
      </c>
      <c r="AL1922">
        <v>79.024496139894595</v>
      </c>
      <c r="AM1922">
        <v>88.820252691236206</v>
      </c>
      <c r="AN1922">
        <v>1.0000000276385499</v>
      </c>
    </row>
    <row r="1923" spans="1:40" x14ac:dyDescent="0.25">
      <c r="A1923" t="str">
        <f>"20190303162817571"</f>
        <v>20190303162817571</v>
      </c>
      <c r="B1923" t="str">
        <f>"1551601697563247"</f>
        <v>1551601697563247</v>
      </c>
      <c r="C1923" t="s">
        <v>40</v>
      </c>
      <c r="D1923">
        <v>5.505585</v>
      </c>
      <c r="E1923">
        <v>0.4968398</v>
      </c>
      <c r="F1923" t="s">
        <v>48</v>
      </c>
      <c r="G1923">
        <v>-333.95499999999998</v>
      </c>
      <c r="H1923" s="1">
        <v>5.8323679999999996E-7</v>
      </c>
      <c r="I1923">
        <v>284.26490000000001</v>
      </c>
      <c r="J1923">
        <v>-318.84739999999999</v>
      </c>
      <c r="K1923">
        <v>1.121081</v>
      </c>
      <c r="L1923">
        <v>283.73070000000001</v>
      </c>
      <c r="M1923">
        <v>-0.99959500000000001</v>
      </c>
      <c r="N1923">
        <v>-1.3245979999999999E-2</v>
      </c>
      <c r="O1923">
        <v>2.518867E-2</v>
      </c>
      <c r="P1923">
        <v>-0.98304329999999995</v>
      </c>
      <c r="Q1923">
        <v>0.17801710000000001</v>
      </c>
      <c r="R1923">
        <v>4.3999240000000002E-2</v>
      </c>
      <c r="S1923">
        <v>-3.0870669999999998</v>
      </c>
      <c r="T1923">
        <v>-0.2244765</v>
      </c>
      <c r="U1923">
        <v>0.10852050000000001</v>
      </c>
      <c r="V1923">
        <v>1.9235820000000001E-2</v>
      </c>
      <c r="W1923">
        <v>0.19103200000000001</v>
      </c>
      <c r="X1923">
        <v>0.98139529999999997</v>
      </c>
      <c r="Y1923">
        <v>9.9584419999999996E-3</v>
      </c>
      <c r="Z1923">
        <v>-1.067452E-3</v>
      </c>
      <c r="AA1923">
        <v>0.99994989999999995</v>
      </c>
      <c r="AB1923">
        <v>38</v>
      </c>
      <c r="AC1923">
        <v>-15.1075999999999</v>
      </c>
      <c r="AD1923">
        <v>-1.1210804167632</v>
      </c>
      <c r="AE1923">
        <v>0.53419999999999801</v>
      </c>
      <c r="AF1923">
        <v>0.152617402616613</v>
      </c>
      <c r="AG1923">
        <v>-1.1210804167632</v>
      </c>
      <c r="AH1923">
        <v>15.0335823465266</v>
      </c>
      <c r="AI1923">
        <v>94.264533466471704</v>
      </c>
      <c r="AJ1923">
        <v>89.418366662379896</v>
      </c>
      <c r="AK1923">
        <v>15.076097357811999</v>
      </c>
      <c r="AL1923">
        <v>78.986983211200894</v>
      </c>
      <c r="AM1923">
        <v>88.877118939246103</v>
      </c>
      <c r="AN1923">
        <v>0.99999998832858095</v>
      </c>
    </row>
    <row r="1924" spans="1:40" x14ac:dyDescent="0.25">
      <c r="A1924" t="str">
        <f>"20190303162817587"</f>
        <v>20190303162817587</v>
      </c>
      <c r="B1924" t="str">
        <f>"1551601697573008"</f>
        <v>1551601697573008</v>
      </c>
      <c r="C1924" t="s">
        <v>40</v>
      </c>
      <c r="D1924">
        <v>5.5066759999999997</v>
      </c>
      <c r="E1924">
        <v>0.496639</v>
      </c>
      <c r="F1924" t="s">
        <v>48</v>
      </c>
      <c r="G1924">
        <v>-334.43860000000001</v>
      </c>
      <c r="H1924" s="1">
        <v>8.4146539999999997E-7</v>
      </c>
      <c r="I1924">
        <v>284.245</v>
      </c>
      <c r="J1924">
        <v>-319.1259</v>
      </c>
      <c r="K1924">
        <v>1.1210899999999999</v>
      </c>
      <c r="L1924">
        <v>283.73770000000002</v>
      </c>
      <c r="M1924">
        <v>-0.99959509999999996</v>
      </c>
      <c r="N1924">
        <v>-1.324588E-2</v>
      </c>
      <c r="O1924">
        <v>2.5186400000000001E-2</v>
      </c>
      <c r="P1924">
        <v>-0.98300770000000004</v>
      </c>
      <c r="Q1924">
        <v>0.17828050000000001</v>
      </c>
      <c r="R1924">
        <v>4.3725489999999999E-2</v>
      </c>
      <c r="S1924">
        <v>-3.087402</v>
      </c>
      <c r="T1924">
        <v>-0.22199830000000001</v>
      </c>
      <c r="U1924">
        <v>0.1018372</v>
      </c>
      <c r="V1924">
        <v>1.8963379999999998E-2</v>
      </c>
      <c r="W1924">
        <v>0.19129450000000001</v>
      </c>
      <c r="X1924">
        <v>0.98134949999999999</v>
      </c>
      <c r="Y1924">
        <v>7.8008019999999999E-3</v>
      </c>
      <c r="Z1924">
        <v>-1.1428320000000001E-3</v>
      </c>
      <c r="AA1924">
        <v>0.99996890000000005</v>
      </c>
      <c r="AB1924">
        <v>38</v>
      </c>
      <c r="AC1924">
        <v>-15.3127</v>
      </c>
      <c r="AD1924">
        <v>-1.1210891585345999</v>
      </c>
      <c r="AE1924">
        <v>0.50729999999998598</v>
      </c>
      <c r="AF1924">
        <v>0.12078672505239001</v>
      </c>
      <c r="AG1924">
        <v>-1.1210891585345999</v>
      </c>
      <c r="AH1924">
        <v>15.239025840844199</v>
      </c>
      <c r="AI1924">
        <v>94.207366421736594</v>
      </c>
      <c r="AJ1924">
        <v>89.545874866344903</v>
      </c>
      <c r="AK1924">
        <v>15.280685158468801</v>
      </c>
      <c r="AL1924">
        <v>78.971660826203603</v>
      </c>
      <c r="AM1924">
        <v>88.892966847361706</v>
      </c>
      <c r="AN1924">
        <v>1.00000001833076</v>
      </c>
    </row>
    <row r="1925" spans="1:40" x14ac:dyDescent="0.25">
      <c r="A1925" t="str">
        <f>"20190303162817602"</f>
        <v>20190303162817602</v>
      </c>
      <c r="B1925" t="str">
        <f>"1551601697593504"</f>
        <v>1551601697593504</v>
      </c>
      <c r="C1925" t="s">
        <v>40</v>
      </c>
      <c r="D1925">
        <v>5.5536300000000001</v>
      </c>
      <c r="E1925">
        <v>0.49642039999999998</v>
      </c>
      <c r="F1925" t="s">
        <v>48</v>
      </c>
      <c r="G1925">
        <v>-334.73360000000002</v>
      </c>
      <c r="H1925" s="1">
        <v>9.987449000000001E-7</v>
      </c>
      <c r="I1925">
        <v>284.23829999999998</v>
      </c>
      <c r="J1925">
        <v>-319.39359999999999</v>
      </c>
      <c r="K1925">
        <v>1.121103</v>
      </c>
      <c r="L1925">
        <v>283.74450000000002</v>
      </c>
      <c r="M1925">
        <v>-0.99959509999999996</v>
      </c>
      <c r="N1925">
        <v>-1.324579E-2</v>
      </c>
      <c r="O1925">
        <v>2.5184749999999999E-2</v>
      </c>
      <c r="P1925">
        <v>-0.98283500000000001</v>
      </c>
      <c r="Q1925">
        <v>0.17925779999999999</v>
      </c>
      <c r="R1925">
        <v>4.3612369999999998E-2</v>
      </c>
      <c r="S1925">
        <v>-3.0876769999999998</v>
      </c>
      <c r="T1925">
        <v>-0.2217846</v>
      </c>
      <c r="U1925">
        <v>9.9029539999999999E-2</v>
      </c>
      <c r="V1925">
        <v>1.885496E-2</v>
      </c>
      <c r="W1925">
        <v>0.19226979999999999</v>
      </c>
      <c r="X1925">
        <v>0.9811609</v>
      </c>
      <c r="Y1925">
        <v>6.8939120000000003E-3</v>
      </c>
      <c r="Z1925">
        <v>-1.179697E-3</v>
      </c>
      <c r="AA1925">
        <v>0.99997559999999996</v>
      </c>
      <c r="AB1925">
        <v>38</v>
      </c>
      <c r="AC1925">
        <v>-15.34</v>
      </c>
      <c r="AD1925">
        <v>-1.1211020012551001</v>
      </c>
      <c r="AE1925">
        <v>0.49379999999996399</v>
      </c>
      <c r="AF1925">
        <v>0.106706052625542</v>
      </c>
      <c r="AG1925">
        <v>-1.1211020012551001</v>
      </c>
      <c r="AH1925">
        <v>15.266115728791901</v>
      </c>
      <c r="AI1925">
        <v>94.200004309195904</v>
      </c>
      <c r="AJ1925">
        <v>89.599524397077204</v>
      </c>
      <c r="AK1925">
        <v>15.307597633977499</v>
      </c>
      <c r="AL1925">
        <v>78.914722567432406</v>
      </c>
      <c r="AM1925">
        <v>88.899083038422702</v>
      </c>
      <c r="AN1925">
        <v>0.99999994859872399</v>
      </c>
    </row>
    <row r="1926" spans="1:40" x14ac:dyDescent="0.25">
      <c r="A1926" t="str">
        <f>"20190303162817615"</f>
        <v>20190303162817615</v>
      </c>
      <c r="B1926" t="str">
        <f>"1551601697603264"</f>
        <v>1551601697603264</v>
      </c>
      <c r="C1926" t="s">
        <v>40</v>
      </c>
      <c r="D1926">
        <v>5.6139039999999998</v>
      </c>
      <c r="E1926">
        <v>0.49648629999999999</v>
      </c>
      <c r="F1926" t="s">
        <v>48</v>
      </c>
      <c r="G1926">
        <v>-335.22379999999998</v>
      </c>
      <c r="H1926" s="1">
        <v>1.259447E-6</v>
      </c>
      <c r="I1926">
        <v>284.2407</v>
      </c>
      <c r="J1926">
        <v>-319.60109999999997</v>
      </c>
      <c r="K1926">
        <v>1.1211139999999999</v>
      </c>
      <c r="L1926">
        <v>283.74970000000002</v>
      </c>
      <c r="M1926">
        <v>-0.99959509999999996</v>
      </c>
      <c r="N1926">
        <v>-1.324583E-2</v>
      </c>
      <c r="O1926">
        <v>2.518389E-2</v>
      </c>
      <c r="P1926">
        <v>-0.98280469999999998</v>
      </c>
      <c r="Q1926">
        <v>0.17945929999999999</v>
      </c>
      <c r="R1926">
        <v>4.346597E-2</v>
      </c>
      <c r="S1926">
        <v>-3.0880130000000001</v>
      </c>
      <c r="T1926">
        <v>-0.21869530000000001</v>
      </c>
      <c r="U1926">
        <v>9.6801760000000001E-2</v>
      </c>
      <c r="V1926">
        <v>1.8709630000000001E-2</v>
      </c>
      <c r="W1926">
        <v>0.192471</v>
      </c>
      <c r="X1926">
        <v>0.98112429999999995</v>
      </c>
      <c r="Y1926">
        <v>6.1718119999999996E-3</v>
      </c>
      <c r="Z1926">
        <v>-1.1881560000000001E-3</v>
      </c>
      <c r="AA1926">
        <v>0.99998030000000004</v>
      </c>
      <c r="AB1926">
        <v>38</v>
      </c>
      <c r="AC1926">
        <v>-15.6227</v>
      </c>
      <c r="AD1926">
        <v>-1.1211127405529999</v>
      </c>
      <c r="AE1926">
        <v>0.490999999999985</v>
      </c>
      <c r="AF1926">
        <v>9.6871006366670107E-2</v>
      </c>
      <c r="AG1926">
        <v>-1.1211127405529999</v>
      </c>
      <c r="AH1926">
        <v>15.550110335368</v>
      </c>
      <c r="AI1926">
        <v>94.123625890703806</v>
      </c>
      <c r="AJ1926">
        <v>89.643074685298998</v>
      </c>
      <c r="AK1926">
        <v>15.590773207606601</v>
      </c>
      <c r="AL1926">
        <v>78.902975979801994</v>
      </c>
      <c r="AM1926">
        <v>88.907525864167795</v>
      </c>
      <c r="AN1926">
        <v>1.00000001407311</v>
      </c>
    </row>
    <row r="1927" spans="1:40" x14ac:dyDescent="0.25">
      <c r="A1927" t="str">
        <f>"20190303162817629"</f>
        <v>20190303162817629</v>
      </c>
      <c r="B1927" t="str">
        <f>"1551601697623759"</f>
        <v>1551601697623759</v>
      </c>
      <c r="C1927" t="s">
        <v>40</v>
      </c>
      <c r="D1927">
        <v>5.5088739999999996</v>
      </c>
      <c r="E1927">
        <v>0.49653340000000001</v>
      </c>
      <c r="F1927" t="s">
        <v>48</v>
      </c>
      <c r="G1927">
        <v>-335.48899999999998</v>
      </c>
      <c r="H1927" s="1">
        <v>1.4002360000000001E-6</v>
      </c>
      <c r="I1927">
        <v>284.24869999999999</v>
      </c>
      <c r="J1927">
        <v>-319.84519999999998</v>
      </c>
      <c r="K1927">
        <v>1.1211199999999999</v>
      </c>
      <c r="L1927">
        <v>283.7559</v>
      </c>
      <c r="M1927">
        <v>-0.99959520000000002</v>
      </c>
      <c r="N1927">
        <v>-1.324587E-2</v>
      </c>
      <c r="O1927">
        <v>2.518285E-2</v>
      </c>
      <c r="P1927">
        <v>-0.98274280000000003</v>
      </c>
      <c r="Q1927">
        <v>0.1798807</v>
      </c>
      <c r="R1927">
        <v>4.3124860000000001E-2</v>
      </c>
      <c r="S1927">
        <v>-3.0879819999999998</v>
      </c>
      <c r="T1927">
        <v>-0.2179006</v>
      </c>
      <c r="U1927">
        <v>9.6984860000000006E-2</v>
      </c>
      <c r="V1927">
        <v>1.8370500000000001E-2</v>
      </c>
      <c r="W1927">
        <v>0.1928917</v>
      </c>
      <c r="X1927">
        <v>0.98104800000000003</v>
      </c>
      <c r="Y1927">
        <v>6.2319719999999997E-3</v>
      </c>
      <c r="Z1927">
        <v>-1.179926E-3</v>
      </c>
      <c r="AA1927">
        <v>0.99997990000000003</v>
      </c>
      <c r="AB1927">
        <v>38</v>
      </c>
      <c r="AC1927">
        <v>-15.643800000000001</v>
      </c>
      <c r="AD1927">
        <v>-1.1211185997640001</v>
      </c>
      <c r="AE1927">
        <v>0.49279999999998803</v>
      </c>
      <c r="AF1927">
        <v>9.8150099401136004E-2</v>
      </c>
      <c r="AG1927">
        <v>-1.1211185997640001</v>
      </c>
      <c r="AH1927">
        <v>15.571355060976201</v>
      </c>
      <c r="AI1927">
        <v>94.118038757844005</v>
      </c>
      <c r="AJ1927">
        <v>89.638855323928695</v>
      </c>
      <c r="AK1927">
        <v>15.6119710091883</v>
      </c>
      <c r="AL1927">
        <v>78.8784103995538</v>
      </c>
      <c r="AM1927">
        <v>88.927239930019795</v>
      </c>
      <c r="AN1927">
        <v>0.99999993075156701</v>
      </c>
    </row>
    <row r="1928" spans="1:40" x14ac:dyDescent="0.25">
      <c r="A1928" t="str">
        <f>"20190303162817643"</f>
        <v>20190303162817643</v>
      </c>
      <c r="B1928" t="str">
        <f>"1551601697633519"</f>
        <v>1551601697633519</v>
      </c>
      <c r="C1928" t="s">
        <v>40</v>
      </c>
      <c r="D1928">
        <v>5.5719949999999896</v>
      </c>
      <c r="E1928">
        <v>0.49643759999999998</v>
      </c>
      <c r="F1928" t="s">
        <v>48</v>
      </c>
      <c r="G1928">
        <v>-335.9282</v>
      </c>
      <c r="H1928" s="1">
        <v>1.633582E-6</v>
      </c>
      <c r="I1928">
        <v>284.25779999999997</v>
      </c>
      <c r="J1928">
        <v>-320.077</v>
      </c>
      <c r="K1928">
        <v>1.1211260000000001</v>
      </c>
      <c r="L1928">
        <v>283.76170000000002</v>
      </c>
      <c r="M1928">
        <v>-0.99959520000000002</v>
      </c>
      <c r="N1928">
        <v>-1.324588E-2</v>
      </c>
      <c r="O1928">
        <v>2.5182300000000001E-2</v>
      </c>
      <c r="P1928">
        <v>-0.98263659999999997</v>
      </c>
      <c r="Q1928">
        <v>0.1804528</v>
      </c>
      <c r="R1928">
        <v>4.3158589999999997E-2</v>
      </c>
      <c r="S1928">
        <v>-3.08786</v>
      </c>
      <c r="T1928">
        <v>-0.21524940000000001</v>
      </c>
      <c r="U1928">
        <v>9.6374509999999997E-2</v>
      </c>
      <c r="V1928">
        <v>1.8407150000000001E-2</v>
      </c>
      <c r="W1928">
        <v>0.19346250000000001</v>
      </c>
      <c r="X1928">
        <v>0.980935</v>
      </c>
      <c r="Y1928">
        <v>6.0360509999999997E-3</v>
      </c>
      <c r="Z1928">
        <v>-1.169203E-3</v>
      </c>
      <c r="AA1928">
        <v>0.99998109999999996</v>
      </c>
      <c r="AB1928">
        <v>38</v>
      </c>
      <c r="AC1928">
        <v>-15.8512</v>
      </c>
      <c r="AD1928">
        <v>-1.121124366418</v>
      </c>
      <c r="AE1928">
        <v>0.49609999999995502</v>
      </c>
      <c r="AF1928">
        <v>9.6256933936887099E-2</v>
      </c>
      <c r="AG1928">
        <v>-1.121124366418</v>
      </c>
      <c r="AH1928">
        <v>15.779805809124101</v>
      </c>
      <c r="AI1928">
        <v>94.0638490025473</v>
      </c>
      <c r="AJ1928">
        <v>89.650499649634398</v>
      </c>
      <c r="AK1928">
        <v>15.819875366638399</v>
      </c>
      <c r="AL1928">
        <v>78.845079103110706</v>
      </c>
      <c r="AM1928">
        <v>88.924976430208105</v>
      </c>
      <c r="AN1928">
        <v>1.0000000181511799</v>
      </c>
    </row>
    <row r="1929" spans="1:40" x14ac:dyDescent="0.25">
      <c r="A1929" t="str">
        <f>"20190303162817659"</f>
        <v>20190303162817659</v>
      </c>
      <c r="B1929" t="str">
        <f>"1551601697654016"</f>
        <v>1551601697654016</v>
      </c>
      <c r="C1929" t="s">
        <v>40</v>
      </c>
      <c r="D1929">
        <v>5.4424599999999996</v>
      </c>
      <c r="E1929">
        <v>0.49627729999999998</v>
      </c>
      <c r="F1929" t="s">
        <v>48</v>
      </c>
      <c r="G1929">
        <v>-336.63979999999998</v>
      </c>
      <c r="H1929" s="1">
        <v>2.0115740000000001E-6</v>
      </c>
      <c r="I1929">
        <v>284.27379999999999</v>
      </c>
      <c r="J1929">
        <v>-320.36779999999999</v>
      </c>
      <c r="K1929">
        <v>1.1211279999999999</v>
      </c>
      <c r="L1929">
        <v>283.76900000000001</v>
      </c>
      <c r="M1929">
        <v>-0.99959500000000001</v>
      </c>
      <c r="N1929">
        <v>-1.324577E-2</v>
      </c>
      <c r="O1929">
        <v>2.5181990000000001E-2</v>
      </c>
      <c r="P1929">
        <v>-0.98240209999999994</v>
      </c>
      <c r="Q1929">
        <v>0.18168010000000001</v>
      </c>
      <c r="R1929">
        <v>4.3337059999999997E-2</v>
      </c>
      <c r="S1929">
        <v>-3.087189</v>
      </c>
      <c r="T1929">
        <v>-0.2089686</v>
      </c>
      <c r="U1929">
        <v>9.5458979999999999E-2</v>
      </c>
      <c r="V1929">
        <v>1.8591199999999999E-2</v>
      </c>
      <c r="W1929">
        <v>0.19468659999999999</v>
      </c>
      <c r="X1929">
        <v>0.98068929999999999</v>
      </c>
      <c r="Y1929">
        <v>5.7457719999999997E-3</v>
      </c>
      <c r="Z1929">
        <v>-1.1363370000000001E-3</v>
      </c>
      <c r="AA1929">
        <v>0.99998279999999995</v>
      </c>
      <c r="AB1929">
        <v>38</v>
      </c>
      <c r="AC1929">
        <v>-16.271999999999899</v>
      </c>
      <c r="AD1929">
        <v>-1.1211259884260001</v>
      </c>
      <c r="AE1929">
        <v>0.50479999999998804</v>
      </c>
      <c r="AF1929">
        <v>9.4394877534820801E-2</v>
      </c>
      <c r="AG1929">
        <v>-1.1211259884260001</v>
      </c>
      <c r="AH1929">
        <v>16.202710274056798</v>
      </c>
      <c r="AI1929">
        <v>93.958132899611201</v>
      </c>
      <c r="AJ1929">
        <v>89.666206035197007</v>
      </c>
      <c r="AK1929">
        <v>16.241725711877201</v>
      </c>
      <c r="AL1929">
        <v>78.773583822919704</v>
      </c>
      <c r="AM1929">
        <v>88.913958049074097</v>
      </c>
      <c r="AN1929">
        <v>1.00000000403574</v>
      </c>
    </row>
    <row r="1930" spans="1:40" x14ac:dyDescent="0.25">
      <c r="A1930" t="str">
        <f>"20190303162817674"</f>
        <v>20190303162817674</v>
      </c>
      <c r="B1930" t="str">
        <f>"1551601697663776"</f>
        <v>1551601697663776</v>
      </c>
      <c r="C1930" t="s">
        <v>40</v>
      </c>
      <c r="D1930">
        <v>5.4971329999999998</v>
      </c>
      <c r="E1930">
        <v>0.49623080000000003</v>
      </c>
      <c r="F1930" t="s">
        <v>48</v>
      </c>
      <c r="G1930">
        <v>-338.09030000000001</v>
      </c>
      <c r="H1930" s="1">
        <v>2.781638E-6</v>
      </c>
      <c r="I1930">
        <v>284.315</v>
      </c>
      <c r="J1930">
        <v>-320.58449999999999</v>
      </c>
      <c r="K1930">
        <v>1.121132</v>
      </c>
      <c r="L1930">
        <v>283.77449999999999</v>
      </c>
      <c r="M1930">
        <v>-0.99959520000000002</v>
      </c>
      <c r="N1930">
        <v>-1.324556E-2</v>
      </c>
      <c r="O1930">
        <v>2.5181450000000001E-2</v>
      </c>
      <c r="P1930">
        <v>-0.98225859999999998</v>
      </c>
      <c r="Q1930">
        <v>0.18234400000000001</v>
      </c>
      <c r="R1930">
        <v>4.3806150000000002E-2</v>
      </c>
      <c r="S1930">
        <v>-3.0856629999999998</v>
      </c>
      <c r="T1930">
        <v>-0.1951994</v>
      </c>
      <c r="U1930">
        <v>9.5062259999999996E-2</v>
      </c>
      <c r="V1930">
        <v>1.906424E-2</v>
      </c>
      <c r="W1930">
        <v>0.19534840000000001</v>
      </c>
      <c r="X1930">
        <v>0.98054859999999999</v>
      </c>
      <c r="Y1930">
        <v>5.6294530000000004E-3</v>
      </c>
      <c r="Z1930">
        <v>-1.0422820000000001E-3</v>
      </c>
      <c r="AA1930">
        <v>0.99998359999999997</v>
      </c>
      <c r="AB1930">
        <v>38</v>
      </c>
      <c r="AC1930">
        <v>-17.505800000000001</v>
      </c>
      <c r="AD1930">
        <v>-1.1211292183620001</v>
      </c>
      <c r="AE1930">
        <v>0.54050000000000797</v>
      </c>
      <c r="AF1930">
        <v>9.9062575924129606E-2</v>
      </c>
      <c r="AG1930">
        <v>-1.1211292183620001</v>
      </c>
      <c r="AH1930">
        <v>17.442387061436101</v>
      </c>
      <c r="AI1930">
        <v>93.677632955420094</v>
      </c>
      <c r="AJ1930">
        <v>89.674596919398297</v>
      </c>
      <c r="AK1930">
        <v>17.478661576881901</v>
      </c>
      <c r="AL1930">
        <v>78.734923133524305</v>
      </c>
      <c r="AM1930">
        <v>88.886171587889706</v>
      </c>
      <c r="AN1930">
        <v>0.99999999979564802</v>
      </c>
    </row>
    <row r="1931" spans="1:40" x14ac:dyDescent="0.25">
      <c r="A1931" t="str">
        <f>"20190303162817689"</f>
        <v>20190303162817689</v>
      </c>
      <c r="B1931" t="str">
        <f>"1551601697683296"</f>
        <v>1551601697683296</v>
      </c>
      <c r="C1931" t="s">
        <v>40</v>
      </c>
      <c r="D1931">
        <v>5.3759480000000002</v>
      </c>
      <c r="E1931">
        <v>0.49626700000000001</v>
      </c>
      <c r="F1931" t="s">
        <v>48</v>
      </c>
      <c r="G1931">
        <v>-338.9033</v>
      </c>
      <c r="H1931" s="1">
        <v>3.2129390000000002E-6</v>
      </c>
      <c r="I1931">
        <v>284.34530000000001</v>
      </c>
      <c r="J1931">
        <v>-320.83210000000003</v>
      </c>
      <c r="K1931">
        <v>1.121138</v>
      </c>
      <c r="L1931">
        <v>283.78070000000002</v>
      </c>
      <c r="M1931">
        <v>-0.99959500000000001</v>
      </c>
      <c r="N1931">
        <v>-1.324525E-2</v>
      </c>
      <c r="O1931">
        <v>2.5181619999999998E-2</v>
      </c>
      <c r="P1931">
        <v>-0.98218419999999895</v>
      </c>
      <c r="Q1931">
        <v>0.1827548</v>
      </c>
      <c r="R1931">
        <v>4.3757459999999998E-2</v>
      </c>
      <c r="S1931">
        <v>-3.0849609999999998</v>
      </c>
      <c r="T1931">
        <v>-0.18880330000000001</v>
      </c>
      <c r="U1931">
        <v>9.6130370000000007E-2</v>
      </c>
      <c r="V1931">
        <v>1.9017059999999999E-2</v>
      </c>
      <c r="W1931">
        <v>0.19575799999999999</v>
      </c>
      <c r="X1931">
        <v>0.9804678</v>
      </c>
      <c r="Y1931">
        <v>5.9796409999999999E-3</v>
      </c>
      <c r="Z1931">
        <v>-9.833515000000001E-4</v>
      </c>
      <c r="AA1931">
        <v>0.99998160000000003</v>
      </c>
      <c r="AB1931">
        <v>38</v>
      </c>
      <c r="AC1931">
        <v>-18.071199999999902</v>
      </c>
      <c r="AD1931">
        <v>-1.121134787061</v>
      </c>
      <c r="AE1931">
        <v>0.564599999999984</v>
      </c>
      <c r="AF1931">
        <v>0.108900109189026</v>
      </c>
      <c r="AG1931">
        <v>-1.121134787061</v>
      </c>
      <c r="AH1931">
        <v>18.010433712810102</v>
      </c>
      <c r="AI1931">
        <v>93.561954378355196</v>
      </c>
      <c r="AJ1931">
        <v>89.653565221863701</v>
      </c>
      <c r="AK1931">
        <v>18.045623429742299</v>
      </c>
      <c r="AL1931">
        <v>78.710992476837205</v>
      </c>
      <c r="AM1931">
        <v>88.888835847872301</v>
      </c>
      <c r="AN1931">
        <v>0.99999997498594095</v>
      </c>
    </row>
    <row r="1932" spans="1:40" x14ac:dyDescent="0.25">
      <c r="A1932" t="str">
        <f>"20190303162817703"</f>
        <v>20190303162817703</v>
      </c>
      <c r="B1932" t="str">
        <f>"1551601697693056"</f>
        <v>1551601697693056</v>
      </c>
      <c r="C1932" t="s">
        <v>40</v>
      </c>
      <c r="D1932">
        <v>5.4345800000000004</v>
      </c>
      <c r="E1932">
        <v>0.49620330000000001</v>
      </c>
      <c r="F1932" t="s">
        <v>48</v>
      </c>
      <c r="G1932">
        <v>-339.9391</v>
      </c>
      <c r="H1932" s="1">
        <v>3.7627540000000002E-6</v>
      </c>
      <c r="I1932">
        <v>284.37729999999999</v>
      </c>
      <c r="J1932">
        <v>-321.08999999999997</v>
      </c>
      <c r="K1932">
        <v>1.1211420000000001</v>
      </c>
      <c r="L1932">
        <v>283.78719999999998</v>
      </c>
      <c r="M1932">
        <v>-0.99959520000000002</v>
      </c>
      <c r="N1932">
        <v>-1.3244850000000001E-2</v>
      </c>
      <c r="O1932">
        <v>2.5181439999999999E-2</v>
      </c>
      <c r="P1932">
        <v>-0.98219469999999998</v>
      </c>
      <c r="Q1932">
        <v>0.18265719999999999</v>
      </c>
      <c r="R1932">
        <v>4.3936339999999997E-2</v>
      </c>
      <c r="S1932">
        <v>-3.083771</v>
      </c>
      <c r="T1932">
        <v>-0.18094550000000001</v>
      </c>
      <c r="U1932">
        <v>9.6282960000000001E-2</v>
      </c>
      <c r="V1932">
        <v>1.919568E-2</v>
      </c>
      <c r="W1932">
        <v>0.19565979999999999</v>
      </c>
      <c r="X1932">
        <v>0.98048389999999996</v>
      </c>
      <c r="Y1932">
        <v>6.039193E-3</v>
      </c>
      <c r="Z1932">
        <v>-9.2534599999999996E-4</v>
      </c>
      <c r="AA1932">
        <v>0.99998129999999996</v>
      </c>
      <c r="AB1932">
        <v>38</v>
      </c>
      <c r="AC1932">
        <v>-18.8491</v>
      </c>
      <c r="AD1932">
        <v>-1.1211382372459999</v>
      </c>
      <c r="AE1932">
        <v>0.59010000000000595</v>
      </c>
      <c r="AF1932">
        <v>0.114817939676429</v>
      </c>
      <c r="AG1932">
        <v>-1.1211382372459999</v>
      </c>
      <c r="AH1932">
        <v>18.7915664279205</v>
      </c>
      <c r="AI1932">
        <v>93.414257128894306</v>
      </c>
      <c r="AJ1932">
        <v>89.649922665217403</v>
      </c>
      <c r="AK1932">
        <v>18.825331415973402</v>
      </c>
      <c r="AL1932">
        <v>78.716729641477997</v>
      </c>
      <c r="AM1932">
        <v>88.878420172409406</v>
      </c>
      <c r="AN1932">
        <v>0.99999995481295501</v>
      </c>
    </row>
    <row r="1933" spans="1:40" x14ac:dyDescent="0.25">
      <c r="A1933" t="str">
        <f>"20190303162817725"</f>
        <v>20190303162817725</v>
      </c>
      <c r="B1933" t="str">
        <f>"1551601697713552"</f>
        <v>1551601697713552</v>
      </c>
      <c r="C1933" t="s">
        <v>40</v>
      </c>
      <c r="D1933">
        <v>5.3784479999999997</v>
      </c>
      <c r="E1933">
        <v>0.49627710000000003</v>
      </c>
      <c r="F1933" t="s">
        <v>48</v>
      </c>
      <c r="G1933">
        <v>-340.49180000000001</v>
      </c>
      <c r="H1933" s="1">
        <v>-1.2750610000000001E-6</v>
      </c>
      <c r="I1933">
        <v>284.3929</v>
      </c>
      <c r="J1933">
        <v>-321.44670000000002</v>
      </c>
      <c r="K1933">
        <v>1.1211469999999999</v>
      </c>
      <c r="L1933">
        <v>283.79629999999997</v>
      </c>
      <c r="M1933">
        <v>-0.99959520000000002</v>
      </c>
      <c r="N1933">
        <v>-1.324411E-2</v>
      </c>
      <c r="O1933">
        <v>2.5181619999999998E-2</v>
      </c>
      <c r="P1933">
        <v>-0.9822206</v>
      </c>
      <c r="Q1933">
        <v>0.1826371</v>
      </c>
      <c r="R1933">
        <v>4.3434729999999998E-2</v>
      </c>
      <c r="S1933">
        <v>-3.0832519999999999</v>
      </c>
      <c r="T1933">
        <v>-0.178167299999999</v>
      </c>
      <c r="U1933">
        <v>9.6252439999999995E-2</v>
      </c>
      <c r="V1933">
        <v>1.8693100000000001E-2</v>
      </c>
      <c r="W1933">
        <v>0.19563929999999999</v>
      </c>
      <c r="X1933">
        <v>0.98049779999999997</v>
      </c>
      <c r="Y1933">
        <v>6.0337269999999896E-3</v>
      </c>
      <c r="Z1933">
        <v>-9.0587109999999997E-4</v>
      </c>
      <c r="AA1933">
        <v>0.99998140000000002</v>
      </c>
      <c r="AB1933">
        <v>38</v>
      </c>
      <c r="AC1933">
        <v>-19.045099999999898</v>
      </c>
      <c r="AD1933">
        <v>-1.12114827506099</v>
      </c>
      <c r="AE1933">
        <v>0.596600000000023</v>
      </c>
      <c r="AF1933">
        <v>0.116379351559443</v>
      </c>
      <c r="AG1933">
        <v>-1.12114827506099</v>
      </c>
      <c r="AH1933">
        <v>18.988345626388799</v>
      </c>
      <c r="AI1933">
        <v>93.378986849117894</v>
      </c>
      <c r="AJ1933">
        <v>89.648839224544801</v>
      </c>
      <c r="AK1933">
        <v>19.021771401090401</v>
      </c>
      <c r="AL1933">
        <v>78.717928460106805</v>
      </c>
      <c r="AM1933">
        <v>88.907793570840198</v>
      </c>
      <c r="AN1933">
        <v>1.00000005174846</v>
      </c>
    </row>
    <row r="1934" spans="1:40" x14ac:dyDescent="0.25">
      <c r="A1934" t="str">
        <f>"20190303162817739"</f>
        <v>20190303162817739</v>
      </c>
      <c r="B1934" t="str">
        <f>"1551601697734047"</f>
        <v>1551601697734047</v>
      </c>
      <c r="C1934" t="s">
        <v>40</v>
      </c>
      <c r="D1934">
        <v>5.3254440000000001</v>
      </c>
      <c r="E1934">
        <v>0.49624010000000002</v>
      </c>
      <c r="F1934" t="s">
        <v>48</v>
      </c>
      <c r="G1934">
        <v>-341.44</v>
      </c>
      <c r="H1934" s="1">
        <v>-7.7050270000000002E-7</v>
      </c>
      <c r="I1934">
        <v>284.41289999999998</v>
      </c>
      <c r="J1934">
        <v>-321.69549999999998</v>
      </c>
      <c r="K1934">
        <v>1.121146</v>
      </c>
      <c r="L1934">
        <v>283.80250000000001</v>
      </c>
      <c r="M1934">
        <v>-0.99959520000000002</v>
      </c>
      <c r="N1934">
        <v>-1.3243319999999999E-2</v>
      </c>
      <c r="O1934">
        <v>2.5181619999999998E-2</v>
      </c>
      <c r="P1934">
        <v>-0.98227129999999996</v>
      </c>
      <c r="Q1934">
        <v>0.18241489999999999</v>
      </c>
      <c r="R1934">
        <v>4.3223129999999998E-2</v>
      </c>
      <c r="S1934">
        <v>-3.082214</v>
      </c>
      <c r="T1934">
        <v>-0.172839299999999</v>
      </c>
      <c r="U1934">
        <v>9.5062259999999996E-2</v>
      </c>
      <c r="V1934">
        <v>1.848023E-2</v>
      </c>
      <c r="W1934">
        <v>0.1954166</v>
      </c>
      <c r="X1934">
        <v>0.98054620000000003</v>
      </c>
      <c r="Y1934">
        <v>5.6579630000000002E-3</v>
      </c>
      <c r="Z1934">
        <v>-8.8112960000000001E-4</v>
      </c>
      <c r="AA1934">
        <v>0.99998359999999997</v>
      </c>
      <c r="AB1934">
        <v>37</v>
      </c>
      <c r="AC1934">
        <v>-19.744499999999999</v>
      </c>
      <c r="AD1934">
        <v>-1.1211467705026901</v>
      </c>
      <c r="AE1934">
        <v>0.61039999999996997</v>
      </c>
      <c r="AF1934">
        <v>0.112601604627001</v>
      </c>
      <c r="AG1934">
        <v>-1.1211467705026901</v>
      </c>
      <c r="AH1934">
        <v>19.690183951012799</v>
      </c>
      <c r="AI1934">
        <v>93.258813902250097</v>
      </c>
      <c r="AJ1934">
        <v>89.672348089800593</v>
      </c>
      <c r="AK1934">
        <v>19.7223982625617</v>
      </c>
      <c r="AL1934">
        <v>78.730938869393199</v>
      </c>
      <c r="AM1934">
        <v>88.920281530897299</v>
      </c>
      <c r="AN1934">
        <v>1.0000000083954199</v>
      </c>
    </row>
    <row r="1935" spans="1:40" x14ac:dyDescent="0.25">
      <c r="A1935" t="str">
        <f>"20190303162817753"</f>
        <v>20190303162817753</v>
      </c>
      <c r="B1935" t="str">
        <f>"1551601697743808"</f>
        <v>1551601697743808</v>
      </c>
      <c r="C1935" t="s">
        <v>40</v>
      </c>
      <c r="D1935">
        <v>5.2628159999999999</v>
      </c>
      <c r="E1935">
        <v>0.49625999999999998</v>
      </c>
      <c r="F1935" t="s">
        <v>48</v>
      </c>
      <c r="G1935">
        <v>-342.2362</v>
      </c>
      <c r="H1935" s="1">
        <v>-3.4680579999999998E-7</v>
      </c>
      <c r="I1935">
        <v>284.43150000000003</v>
      </c>
      <c r="J1935">
        <v>-321.92070000000001</v>
      </c>
      <c r="K1935">
        <v>1.1211390000000001</v>
      </c>
      <c r="L1935">
        <v>283.8082</v>
      </c>
      <c r="M1935">
        <v>-0.99959520000000002</v>
      </c>
      <c r="N1935">
        <v>-1.324258E-2</v>
      </c>
      <c r="O1935">
        <v>2.5181619999999998E-2</v>
      </c>
      <c r="P1935">
        <v>-0.98237779999999997</v>
      </c>
      <c r="Q1935">
        <v>0.1819085</v>
      </c>
      <c r="R1935">
        <v>4.2931799999999999E-2</v>
      </c>
      <c r="S1935">
        <v>-3.0812379999999999</v>
      </c>
      <c r="T1935">
        <v>-0.168179</v>
      </c>
      <c r="U1935">
        <v>9.4360349999999996E-2</v>
      </c>
      <c r="V1935">
        <v>1.8186129999999998E-2</v>
      </c>
      <c r="W1935">
        <v>0.1949111</v>
      </c>
      <c r="X1935">
        <v>0.98065230000000003</v>
      </c>
      <c r="Y1935">
        <v>5.4394990000000004E-3</v>
      </c>
      <c r="Z1935">
        <v>-8.5522979999999897E-4</v>
      </c>
      <c r="AA1935">
        <v>0.99998489999999995</v>
      </c>
      <c r="AB1935">
        <v>37</v>
      </c>
      <c r="AC1935">
        <v>-20.315499999999901</v>
      </c>
      <c r="AD1935">
        <v>-1.1211393468058</v>
      </c>
      <c r="AE1935">
        <v>0.62330000000002805</v>
      </c>
      <c r="AF1935">
        <v>0.111142090718593</v>
      </c>
      <c r="AG1935">
        <v>-1.1211393468058</v>
      </c>
      <c r="AH1935">
        <v>20.263099734170599</v>
      </c>
      <c r="AI1935">
        <v>93.166848169772507</v>
      </c>
      <c r="AJ1935">
        <v>89.685738660438901</v>
      </c>
      <c r="AK1935">
        <v>20.2943961929453</v>
      </c>
      <c r="AL1935">
        <v>78.760469682530001</v>
      </c>
      <c r="AM1935">
        <v>88.937575461078197</v>
      </c>
      <c r="AN1935">
        <v>1.00000000286143</v>
      </c>
    </row>
    <row r="1936" spans="1:40" x14ac:dyDescent="0.25">
      <c r="A1936" t="str">
        <f>"20190303162817771"</f>
        <v>20190303162817771</v>
      </c>
      <c r="B1936" t="str">
        <f>"1551601697763328"</f>
        <v>1551601697763328</v>
      </c>
      <c r="C1936" t="s">
        <v>40</v>
      </c>
      <c r="D1936">
        <v>5.197819</v>
      </c>
      <c r="E1936">
        <v>0.49630279999999999</v>
      </c>
      <c r="F1936" t="s">
        <v>48</v>
      </c>
      <c r="G1936">
        <v>-342.51459999999997</v>
      </c>
      <c r="H1936" s="1">
        <v>-1.986337E-7</v>
      </c>
      <c r="I1936">
        <v>284.4332</v>
      </c>
      <c r="J1936">
        <v>-322.21660000000003</v>
      </c>
      <c r="K1936">
        <v>1.1211370000000001</v>
      </c>
      <c r="L1936">
        <v>283.81560000000002</v>
      </c>
      <c r="M1936">
        <v>-0.99959520000000002</v>
      </c>
      <c r="N1936">
        <v>-1.3241599999999999E-2</v>
      </c>
      <c r="O1936">
        <v>2.5181619999999998E-2</v>
      </c>
      <c r="P1936">
        <v>-0.98240170000000004</v>
      </c>
      <c r="Q1936">
        <v>0.1818216</v>
      </c>
      <c r="R1936">
        <v>4.2755050000000003E-2</v>
      </c>
      <c r="S1936">
        <v>-3.0807799999999999</v>
      </c>
      <c r="T1936">
        <v>-0.16771849999999999</v>
      </c>
      <c r="U1936">
        <v>9.3505859999999996E-2</v>
      </c>
      <c r="V1936">
        <v>1.800885E-2</v>
      </c>
      <c r="W1936">
        <v>0.19482360000000001</v>
      </c>
      <c r="X1936">
        <v>0.98067300000000002</v>
      </c>
      <c r="Y1936">
        <v>5.1673420000000001E-3</v>
      </c>
      <c r="Z1936">
        <v>-8.6129960000000004E-4</v>
      </c>
      <c r="AA1936">
        <v>0.99998629999999999</v>
      </c>
      <c r="AB1936">
        <v>37</v>
      </c>
      <c r="AC1936">
        <v>-20.297999999999899</v>
      </c>
      <c r="AD1936">
        <v>-1.1211371986337</v>
      </c>
      <c r="AE1936">
        <v>0.61759999999998105</v>
      </c>
      <c r="AF1936">
        <v>0.10590000587166599</v>
      </c>
      <c r="AG1936">
        <v>-1.1211371986337</v>
      </c>
      <c r="AH1936">
        <v>20.2454085798649</v>
      </c>
      <c r="AI1936">
        <v>93.169608079866904</v>
      </c>
      <c r="AJ1936">
        <v>89.700299056736597</v>
      </c>
      <c r="AK1936">
        <v>20.2767041699353</v>
      </c>
      <c r="AL1936">
        <v>78.765581511079901</v>
      </c>
      <c r="AM1936">
        <v>88.947951932062495</v>
      </c>
      <c r="AN1936">
        <v>1.0000000433621401</v>
      </c>
    </row>
    <row r="1937" spans="1:40" x14ac:dyDescent="0.25">
      <c r="A1937" t="str">
        <f>"20190303162817793"</f>
        <v>20190303162817793</v>
      </c>
      <c r="B1937" t="str">
        <f>"1551601697783823"</f>
        <v>1551601697783823</v>
      </c>
      <c r="C1937" t="s">
        <v>40</v>
      </c>
      <c r="D1937">
        <v>4.7798030000000002</v>
      </c>
      <c r="E1937">
        <v>0.49628679999999997</v>
      </c>
      <c r="F1937" t="s">
        <v>48</v>
      </c>
      <c r="G1937">
        <v>-343.32569999999998</v>
      </c>
      <c r="H1937" s="1">
        <v>2.3300130000000001E-7</v>
      </c>
      <c r="I1937">
        <v>284.45359999999999</v>
      </c>
      <c r="J1937">
        <v>-322.58879999999999</v>
      </c>
      <c r="K1937">
        <v>1.1211329999999999</v>
      </c>
      <c r="L1937">
        <v>283.82499999999999</v>
      </c>
      <c r="M1937">
        <v>-0.99959529999999996</v>
      </c>
      <c r="N1937">
        <v>-1.3240389999999999E-2</v>
      </c>
      <c r="O1937">
        <v>2.5181450000000001E-2</v>
      </c>
      <c r="P1937">
        <v>-0.98244379999999998</v>
      </c>
      <c r="Q1937">
        <v>0.1814751</v>
      </c>
      <c r="R1937">
        <v>4.3256900000000001E-2</v>
      </c>
      <c r="S1937">
        <v>-3.0799560000000001</v>
      </c>
      <c r="T1937">
        <v>-0.16358049999999999</v>
      </c>
      <c r="U1937">
        <v>9.3078610000000006E-2</v>
      </c>
      <c r="V1937">
        <v>1.8509520000000002E-2</v>
      </c>
      <c r="W1937">
        <v>0.1944766</v>
      </c>
      <c r="X1937">
        <v>0.98073250000000001</v>
      </c>
      <c r="Y1937">
        <v>5.0363329999999996E-3</v>
      </c>
      <c r="Z1937">
        <v>-8.3570960000000001E-4</v>
      </c>
      <c r="AA1937">
        <v>0.99998690000000001</v>
      </c>
      <c r="AB1937">
        <v>37</v>
      </c>
      <c r="AC1937">
        <v>-20.736899999999899</v>
      </c>
      <c r="AD1937">
        <v>-1.1211327669986999</v>
      </c>
      <c r="AE1937">
        <v>0.62860000000000504</v>
      </c>
      <c r="AF1937">
        <v>0.105860547664073</v>
      </c>
      <c r="AG1937">
        <v>-1.1211327669986999</v>
      </c>
      <c r="AH1937">
        <v>20.685744969577801</v>
      </c>
      <c r="AI1937">
        <v>93.102259591282007</v>
      </c>
      <c r="AJ1937">
        <v>89.706787951877104</v>
      </c>
      <c r="AK1937">
        <v>20.7163749262076</v>
      </c>
      <c r="AL1937">
        <v>78.785850275142593</v>
      </c>
      <c r="AM1937">
        <v>88.918776030847198</v>
      </c>
      <c r="AN1937">
        <v>0.99999999341722001</v>
      </c>
    </row>
    <row r="1938" spans="1:40" x14ac:dyDescent="0.25">
      <c r="A1938" t="str">
        <f>"20190303162817816"</f>
        <v>20190303162817816</v>
      </c>
      <c r="B1938" t="str">
        <f>"1551601697803344"</f>
        <v>1551601697803344</v>
      </c>
      <c r="C1938" t="s">
        <v>40</v>
      </c>
      <c r="D1938">
        <v>4.8622489999999896</v>
      </c>
      <c r="E1938">
        <v>0.49624430000000003</v>
      </c>
      <c r="F1938" t="s">
        <v>48</v>
      </c>
      <c r="G1938">
        <v>-344.14850000000001</v>
      </c>
      <c r="H1938" s="1">
        <v>6.7084449999999996E-7</v>
      </c>
      <c r="I1938">
        <v>284.48439999999999</v>
      </c>
      <c r="J1938">
        <v>-322.95420000000001</v>
      </c>
      <c r="K1938">
        <v>1.12113</v>
      </c>
      <c r="L1938">
        <v>283.83420000000001</v>
      </c>
      <c r="M1938">
        <v>-0.99959529999999996</v>
      </c>
      <c r="N1938">
        <v>-1.323916E-2</v>
      </c>
      <c r="O1938">
        <v>2.5181459999999999E-2</v>
      </c>
      <c r="P1938">
        <v>-0.98255870000000001</v>
      </c>
      <c r="Q1938">
        <v>0.18073339999999999</v>
      </c>
      <c r="R1938">
        <v>4.3750890000000001E-2</v>
      </c>
      <c r="S1938">
        <v>-3.0790709999999999</v>
      </c>
      <c r="T1938">
        <v>-0.1601156</v>
      </c>
      <c r="U1938">
        <v>9.4177250000000004E-2</v>
      </c>
      <c r="V1938">
        <v>1.9000349999999999E-2</v>
      </c>
      <c r="W1938">
        <v>0.19373570000000001</v>
      </c>
      <c r="X1938">
        <v>0.98086980000000001</v>
      </c>
      <c r="Y1938">
        <v>5.4000970000000004E-3</v>
      </c>
      <c r="Z1938">
        <v>-7.9877490000000002E-4</v>
      </c>
      <c r="AA1938">
        <v>0.99998509999999996</v>
      </c>
      <c r="AB1938">
        <v>37</v>
      </c>
      <c r="AC1938">
        <v>-21.194299999999998</v>
      </c>
      <c r="AD1938">
        <v>-1.1211293291555</v>
      </c>
      <c r="AE1938">
        <v>0.65019999999998301</v>
      </c>
      <c r="AF1938">
        <v>0.11591956865686399</v>
      </c>
      <c r="AG1938">
        <v>-1.1211293291555</v>
      </c>
      <c r="AH1938">
        <v>21.144841343978801</v>
      </c>
      <c r="AI1938">
        <v>93.0350155714018</v>
      </c>
      <c r="AJ1938">
        <v>89.685898068316604</v>
      </c>
      <c r="AK1938">
        <v>21.174859711014001</v>
      </c>
      <c r="AL1938">
        <v>78.829124394554597</v>
      </c>
      <c r="AM1938">
        <v>88.890266852381899</v>
      </c>
      <c r="AN1938">
        <v>1.0000000496533199</v>
      </c>
    </row>
    <row r="1939" spans="1:40" x14ac:dyDescent="0.25">
      <c r="A1939" t="str">
        <f>"20190303162817831"</f>
        <v>20190303162817831</v>
      </c>
      <c r="B1939" t="str">
        <f>"1551601697823840"</f>
        <v>1551601697823840</v>
      </c>
      <c r="C1939" t="s">
        <v>40</v>
      </c>
      <c r="D1939">
        <v>4.793126</v>
      </c>
      <c r="E1939">
        <v>0.49626579999999898</v>
      </c>
      <c r="F1939" t="s">
        <v>48</v>
      </c>
      <c r="G1939">
        <v>-344.8279</v>
      </c>
      <c r="H1939" s="1">
        <v>1.032391E-6</v>
      </c>
      <c r="I1939">
        <v>284.51170000000002</v>
      </c>
      <c r="J1939">
        <v>-323.2099</v>
      </c>
      <c r="K1939">
        <v>1.121127</v>
      </c>
      <c r="L1939">
        <v>283.84070000000003</v>
      </c>
      <c r="M1939">
        <v>-0.99959529999999996</v>
      </c>
      <c r="N1939">
        <v>-1.323823E-2</v>
      </c>
      <c r="O1939">
        <v>2.5181459999999999E-2</v>
      </c>
      <c r="P1939">
        <v>-0.98258239999999997</v>
      </c>
      <c r="Q1939">
        <v>0.1805117</v>
      </c>
      <c r="R1939">
        <v>4.4129010000000003E-2</v>
      </c>
      <c r="S1939">
        <v>-3.078033</v>
      </c>
      <c r="T1939">
        <v>-0.1577634</v>
      </c>
      <c r="U1939">
        <v>9.5336909999999997E-2</v>
      </c>
      <c r="V1939">
        <v>1.9377709999999999E-2</v>
      </c>
      <c r="W1939">
        <v>0.1935135</v>
      </c>
      <c r="X1939">
        <v>0.98090619999999995</v>
      </c>
      <c r="Y1939">
        <v>5.7856649999999997E-3</v>
      </c>
      <c r="Z1939">
        <v>-7.6961629999999998E-4</v>
      </c>
      <c r="AA1939">
        <v>0.99998299999999996</v>
      </c>
      <c r="AB1939">
        <v>37</v>
      </c>
      <c r="AC1939">
        <v>-21.617999999999899</v>
      </c>
      <c r="AD1939">
        <v>-1.121125967609</v>
      </c>
      <c r="AE1939">
        <v>0.67099999999999205</v>
      </c>
      <c r="AF1939">
        <v>0.12602807867098101</v>
      </c>
      <c r="AG1939">
        <v>-1.121125967609</v>
      </c>
      <c r="AH1939">
        <v>21.570084161807198</v>
      </c>
      <c r="AI1939">
        <v>92.9752754581434</v>
      </c>
      <c r="AJ1939">
        <v>89.665240302815306</v>
      </c>
      <c r="AK1939">
        <v>21.599567987793399</v>
      </c>
      <c r="AL1939">
        <v>78.842100210882407</v>
      </c>
      <c r="AM1939">
        <v>88.868274454125299</v>
      </c>
      <c r="AN1939">
        <v>0.999999971762766</v>
      </c>
    </row>
    <row r="1940" spans="1:40" x14ac:dyDescent="0.25">
      <c r="A1940" t="str">
        <f>"20190303162817849"</f>
        <v>20190303162817849</v>
      </c>
      <c r="B1940" t="str">
        <f>"1551601697843253"</f>
        <v>1551601697843253</v>
      </c>
      <c r="C1940" t="s">
        <v>40</v>
      </c>
      <c r="D1940">
        <v>4.7439359999999997</v>
      </c>
      <c r="E1940">
        <v>0.49635420000000002</v>
      </c>
      <c r="F1940" t="s">
        <v>48</v>
      </c>
      <c r="G1940">
        <v>-345.69869999999997</v>
      </c>
      <c r="H1940" s="1">
        <v>1.4957510000000001E-6</v>
      </c>
      <c r="I1940">
        <v>284.54750000000001</v>
      </c>
      <c r="J1940">
        <v>-323.5215</v>
      </c>
      <c r="K1940">
        <v>1.121132</v>
      </c>
      <c r="L1940">
        <v>283.8485</v>
      </c>
      <c r="M1940">
        <v>-0.99959529999999996</v>
      </c>
      <c r="N1940">
        <v>-1.323702E-2</v>
      </c>
      <c r="O1940">
        <v>2.5181350000000002E-2</v>
      </c>
      <c r="P1940">
        <v>-0.98268460000000002</v>
      </c>
      <c r="Q1940">
        <v>0.17983940000000001</v>
      </c>
      <c r="R1940">
        <v>4.4602419999999997E-2</v>
      </c>
      <c r="S1940">
        <v>-3.077026</v>
      </c>
      <c r="T1940">
        <v>-0.15339820000000001</v>
      </c>
      <c r="U1940">
        <v>9.6710210000000005E-2</v>
      </c>
      <c r="V1940">
        <v>1.9848480000000002E-2</v>
      </c>
      <c r="W1940">
        <v>0.1928416</v>
      </c>
      <c r="X1940">
        <v>0.98102920000000005</v>
      </c>
      <c r="Y1940">
        <v>6.2402040000000001E-3</v>
      </c>
      <c r="Z1940">
        <v>-7.2412529999999896E-4</v>
      </c>
      <c r="AA1940">
        <v>0.99998030000000004</v>
      </c>
      <c r="AB1940">
        <v>37</v>
      </c>
      <c r="AC1940">
        <v>-22.1771999999999</v>
      </c>
      <c r="AD1940">
        <v>-1.1211305042489901</v>
      </c>
      <c r="AE1940">
        <v>0.69900000000001195</v>
      </c>
      <c r="AF1940">
        <v>0.13992033334703799</v>
      </c>
      <c r="AG1940">
        <v>-1.1211305042489901</v>
      </c>
      <c r="AH1940">
        <v>22.131266355215601</v>
      </c>
      <c r="AI1940">
        <v>92.899965163791407</v>
      </c>
      <c r="AJ1940">
        <v>89.637764164600398</v>
      </c>
      <c r="AK1940">
        <v>22.160087134141399</v>
      </c>
      <c r="AL1940">
        <v>78.881337389632904</v>
      </c>
      <c r="AM1940">
        <v>88.840932565781202</v>
      </c>
      <c r="AN1940">
        <v>1.0000000680507499</v>
      </c>
    </row>
    <row r="1941" spans="1:40" x14ac:dyDescent="0.25">
      <c r="A1941" t="str">
        <f>"20190303162817864"</f>
        <v>20190303162817864</v>
      </c>
      <c r="B1941" t="str">
        <f>"1551601697853013"</f>
        <v>1551601697853013</v>
      </c>
      <c r="C1941" t="s">
        <v>40</v>
      </c>
      <c r="D1941">
        <v>4.7510700000000003</v>
      </c>
      <c r="E1941">
        <v>0.49636089999999999</v>
      </c>
      <c r="F1941" t="s">
        <v>48</v>
      </c>
      <c r="G1941">
        <v>-346.32479999999998</v>
      </c>
      <c r="H1941" s="1">
        <v>1.82897E-6</v>
      </c>
      <c r="I1941">
        <v>284.5829</v>
      </c>
      <c r="J1941">
        <v>-323.77870000000001</v>
      </c>
      <c r="K1941">
        <v>1.121129</v>
      </c>
      <c r="L1941">
        <v>283.85500000000002</v>
      </c>
      <c r="M1941">
        <v>-0.99959520000000002</v>
      </c>
      <c r="N1941">
        <v>-1.323598E-2</v>
      </c>
      <c r="O1941">
        <v>2.5181350000000002E-2</v>
      </c>
      <c r="P1941">
        <v>-0.98270029999999997</v>
      </c>
      <c r="Q1941">
        <v>0.17968729999999999</v>
      </c>
      <c r="R1941">
        <v>4.4859330000000003E-2</v>
      </c>
      <c r="S1941">
        <v>-3.07605</v>
      </c>
      <c r="T1941">
        <v>-0.15123490000000001</v>
      </c>
      <c r="U1941">
        <v>9.9060060000000005E-2</v>
      </c>
      <c r="V1941">
        <v>2.0104799999999999E-2</v>
      </c>
      <c r="W1941">
        <v>0.1926891</v>
      </c>
      <c r="X1941">
        <v>0.98105390000000003</v>
      </c>
      <c r="Y1941">
        <v>7.0117230000000001E-3</v>
      </c>
      <c r="Z1941">
        <v>-6.8494499999999995E-4</v>
      </c>
      <c r="AA1941">
        <v>0.99997519999999995</v>
      </c>
      <c r="AB1941">
        <v>37</v>
      </c>
      <c r="AC1941">
        <v>-22.5460999999999</v>
      </c>
      <c r="AD1941">
        <v>-1.1211271710299999</v>
      </c>
      <c r="AE1941">
        <v>0.72789999999997601</v>
      </c>
      <c r="AF1941">
        <v>0.15948418581573501</v>
      </c>
      <c r="AG1941">
        <v>-1.1211271710299999</v>
      </c>
      <c r="AH1941">
        <v>22.501699041712101</v>
      </c>
      <c r="AI1941">
        <v>92.852281100938498</v>
      </c>
      <c r="AJ1941">
        <v>89.593914320751907</v>
      </c>
      <c r="AK1941">
        <v>22.530175789436999</v>
      </c>
      <c r="AL1941">
        <v>78.890241500915295</v>
      </c>
      <c r="AM1941">
        <v>88.825998272942996</v>
      </c>
      <c r="AN1941">
        <v>1.00000002347352</v>
      </c>
    </row>
    <row r="1942" spans="1:40" x14ac:dyDescent="0.25">
      <c r="A1942" t="str">
        <f>"20190303162817882"</f>
        <v>20190303162817882</v>
      </c>
      <c r="B1942" t="str">
        <f>"1551601697873509"</f>
        <v>1551601697873509</v>
      </c>
      <c r="C1942" t="s">
        <v>40</v>
      </c>
      <c r="D1942">
        <v>4.7429690000000004</v>
      </c>
      <c r="E1942">
        <v>0.47509649999999998</v>
      </c>
      <c r="F1942" t="s">
        <v>48</v>
      </c>
      <c r="G1942">
        <v>-346.786</v>
      </c>
      <c r="H1942" s="1">
        <v>2.0743979999999999E-6</v>
      </c>
      <c r="I1942">
        <v>284.60149999999999</v>
      </c>
      <c r="J1942">
        <v>-324.08249999999998</v>
      </c>
      <c r="K1942">
        <v>1.12113</v>
      </c>
      <c r="L1942">
        <v>283.86259999999999</v>
      </c>
      <c r="M1942">
        <v>-0.99959529999999996</v>
      </c>
      <c r="N1942">
        <v>-1.32347E-2</v>
      </c>
      <c r="O1942">
        <v>2.5180999999999999E-2</v>
      </c>
      <c r="P1942">
        <v>-0.98270729999999995</v>
      </c>
      <c r="Q1942">
        <v>0.17955409999999999</v>
      </c>
      <c r="R1942">
        <v>4.5242070000000002E-2</v>
      </c>
      <c r="S1942">
        <v>-3.075653</v>
      </c>
      <c r="T1942">
        <v>-0.14987400000000001</v>
      </c>
      <c r="U1942">
        <v>9.9792480000000003E-2</v>
      </c>
      <c r="V1942">
        <v>2.0487539999999999E-2</v>
      </c>
      <c r="W1942">
        <v>0.19255430000000001</v>
      </c>
      <c r="X1942">
        <v>0.98107239999999996</v>
      </c>
      <c r="Y1942">
        <v>7.2535239999999999E-3</v>
      </c>
      <c r="Z1942">
        <v>-6.6804250000000005E-4</v>
      </c>
      <c r="AA1942">
        <v>0.99997349999999996</v>
      </c>
      <c r="AB1942">
        <v>37</v>
      </c>
      <c r="AC1942">
        <v>-22.703499999999998</v>
      </c>
      <c r="AD1942">
        <v>-1.1211279256019999</v>
      </c>
      <c r="AE1942">
        <v>0.738900000000001</v>
      </c>
      <c r="AF1942">
        <v>0.16651313802966</v>
      </c>
      <c r="AG1942">
        <v>-1.1211279256019999</v>
      </c>
      <c r="AH1942">
        <v>22.659710033639598</v>
      </c>
      <c r="AI1942">
        <v>92.832420619287404</v>
      </c>
      <c r="AJ1942">
        <v>89.578973945071098</v>
      </c>
      <c r="AK1942">
        <v>22.688038991048401</v>
      </c>
      <c r="AL1942">
        <v>78.898111833884997</v>
      </c>
      <c r="AM1942">
        <v>88.803677502284202</v>
      </c>
      <c r="AN1942">
        <v>0.99999997589275003</v>
      </c>
    </row>
    <row r="1943" spans="1:40" x14ac:dyDescent="0.25">
      <c r="A1943" t="str">
        <f>"20190303162817894"</f>
        <v>20190303162817894</v>
      </c>
      <c r="B1943" t="str">
        <f>"1551601697883269"</f>
        <v>1551601697883269</v>
      </c>
      <c r="C1943" t="s">
        <v>40</v>
      </c>
      <c r="D1943">
        <v>4.7011229999999999</v>
      </c>
      <c r="E1943">
        <v>0.46718460000000001</v>
      </c>
      <c r="F1943" t="s">
        <v>49</v>
      </c>
      <c r="G1943">
        <v>-401.72309999999999</v>
      </c>
      <c r="H1943" s="1">
        <v>8.147817E-6</v>
      </c>
      <c r="I1943">
        <v>282.14980000000003</v>
      </c>
      <c r="J1943">
        <v>-324.27730000000003</v>
      </c>
      <c r="K1943">
        <v>1.1211310000000001</v>
      </c>
      <c r="L1943">
        <v>283.86759999999998</v>
      </c>
      <c r="M1943">
        <v>-0.99959549999999997</v>
      </c>
      <c r="N1943">
        <v>-1.323386E-2</v>
      </c>
      <c r="O1943">
        <v>2.5180830000000001E-2</v>
      </c>
      <c r="P1943">
        <v>-0.98273120000000003</v>
      </c>
      <c r="Q1943">
        <v>0.17941979999999999</v>
      </c>
      <c r="R1943">
        <v>4.5255469999999999E-2</v>
      </c>
      <c r="S1943">
        <v>-3.0639949999999998</v>
      </c>
      <c r="T1943">
        <v>-4.4243810000000001E-2</v>
      </c>
      <c r="U1943">
        <v>-6.7596439999999994E-2</v>
      </c>
      <c r="V1943">
        <v>2.0500319999999999E-2</v>
      </c>
      <c r="W1943">
        <v>0.1924196</v>
      </c>
      <c r="X1943">
        <v>0.98109860000000004</v>
      </c>
      <c r="Y1943">
        <v>-4.7216639999999997E-2</v>
      </c>
      <c r="Z1943">
        <v>-6.8368140000000003E-4</v>
      </c>
      <c r="AA1943">
        <v>0.99888440000000001</v>
      </c>
      <c r="AB1943">
        <v>37</v>
      </c>
      <c r="AC1943">
        <v>-77.445799999999906</v>
      </c>
      <c r="AD1943">
        <v>-1.1211228521829999</v>
      </c>
      <c r="AE1943">
        <v>-1.71779999999995</v>
      </c>
      <c r="AF1943">
        <v>-3.6668071223621301</v>
      </c>
      <c r="AG1943">
        <v>-1.1211228521829999</v>
      </c>
      <c r="AH1943">
        <v>77.361775165137601</v>
      </c>
      <c r="AI1943">
        <v>90.829338421201399</v>
      </c>
      <c r="AJ1943">
        <v>92.713684545866002</v>
      </c>
      <c r="AK1943">
        <v>77.456740491861595</v>
      </c>
      <c r="AL1943">
        <v>78.905977082312404</v>
      </c>
      <c r="AM1943">
        <v>88.802963418954604</v>
      </c>
      <c r="AN1943">
        <v>1.00000001425311</v>
      </c>
    </row>
    <row r="1944" spans="1:40" x14ac:dyDescent="0.25">
      <c r="A1944" t="str">
        <f>"20190303162817906"</f>
        <v>20190303162817906</v>
      </c>
      <c r="B1944" t="str">
        <f>"1551601697893031"</f>
        <v>1551601697893031</v>
      </c>
      <c r="C1944" t="s">
        <v>40</v>
      </c>
      <c r="D1944">
        <v>4.6940309999999998</v>
      </c>
      <c r="E1944">
        <v>0.4603274</v>
      </c>
      <c r="F1944" t="s">
        <v>48</v>
      </c>
      <c r="G1944">
        <v>-381.76069999999999</v>
      </c>
      <c r="H1944" s="1">
        <v>-5.9985119999999997E-7</v>
      </c>
      <c r="I1944">
        <v>281.41770000000002</v>
      </c>
      <c r="J1944">
        <v>-324.48020000000002</v>
      </c>
      <c r="K1944">
        <v>1.1211310000000001</v>
      </c>
      <c r="L1944">
        <v>283.87270000000001</v>
      </c>
      <c r="M1944">
        <v>-0.99959549999999997</v>
      </c>
      <c r="N1944">
        <v>-1.323297E-2</v>
      </c>
      <c r="O1944">
        <v>2.5180709999999999E-2</v>
      </c>
      <c r="P1944">
        <v>-0.98271010000000003</v>
      </c>
      <c r="Q1944">
        <v>0.17960129999999999</v>
      </c>
      <c r="R1944">
        <v>4.4993360000000003E-2</v>
      </c>
      <c r="S1944">
        <v>-3.0697019999999999</v>
      </c>
      <c r="T1944">
        <v>-5.9870239999999998E-2</v>
      </c>
      <c r="U1944">
        <v>-0.1308289</v>
      </c>
      <c r="V1944">
        <v>2.0238969999999998E-2</v>
      </c>
      <c r="W1944">
        <v>0.1926002</v>
      </c>
      <c r="X1944">
        <v>0.98106859999999996</v>
      </c>
      <c r="Y1944">
        <v>-6.7705230000000005E-2</v>
      </c>
      <c r="Z1944">
        <v>-1.265972E-3</v>
      </c>
      <c r="AA1944">
        <v>0.99770460000000005</v>
      </c>
      <c r="AB1944">
        <v>37</v>
      </c>
      <c r="AC1944">
        <v>-57.280499999999897</v>
      </c>
      <c r="AD1944">
        <v>-1.1211315998511999</v>
      </c>
      <c r="AE1944">
        <v>-2.4549999999999801</v>
      </c>
      <c r="AF1944">
        <v>-3.8952216569837299</v>
      </c>
      <c r="AG1944">
        <v>-1.1211315998511999</v>
      </c>
      <c r="AH1944">
        <v>57.178645686444398</v>
      </c>
      <c r="AI1944">
        <v>91.120687576859396</v>
      </c>
      <c r="AJ1944">
        <v>93.897179961075494</v>
      </c>
      <c r="AK1944">
        <v>57.322135430888899</v>
      </c>
      <c r="AL1944">
        <v>78.895432349064293</v>
      </c>
      <c r="AM1944">
        <v>88.818183454299103</v>
      </c>
      <c r="AN1944">
        <v>1.0000000254263299</v>
      </c>
    </row>
    <row r="1945" spans="1:40" x14ac:dyDescent="0.25">
      <c r="A1945" t="str">
        <f>"20190303162817919"</f>
        <v>20190303162817919</v>
      </c>
      <c r="B1945" t="str">
        <f>"1551601697913526"</f>
        <v>1551601697913526</v>
      </c>
      <c r="C1945" t="s">
        <v>40</v>
      </c>
      <c r="D1945">
        <v>4.6150409999999997</v>
      </c>
      <c r="E1945">
        <v>0.45466990000000002</v>
      </c>
      <c r="F1945" t="s">
        <v>48</v>
      </c>
      <c r="G1945">
        <v>-370.7439</v>
      </c>
      <c r="H1945" s="1">
        <v>-1.140947E-6</v>
      </c>
      <c r="I1945">
        <v>281.0686</v>
      </c>
      <c r="J1945">
        <v>-324.70179999999999</v>
      </c>
      <c r="K1945">
        <v>1.1211340000000001</v>
      </c>
      <c r="L1945">
        <v>283.87819999999999</v>
      </c>
      <c r="M1945">
        <v>-0.99959549999999997</v>
      </c>
      <c r="N1945">
        <v>-1.3231969999999999E-2</v>
      </c>
      <c r="O1945">
        <v>2.518072E-2</v>
      </c>
      <c r="P1945">
        <v>-0.98271940000000002</v>
      </c>
      <c r="Q1945">
        <v>0.17956140000000001</v>
      </c>
      <c r="R1945">
        <v>4.4948599999999998E-2</v>
      </c>
      <c r="S1945">
        <v>-3.0749209999999998</v>
      </c>
      <c r="T1945">
        <v>-7.4516180000000001E-2</v>
      </c>
      <c r="U1945">
        <v>-0.1863708</v>
      </c>
      <c r="V1945">
        <v>2.019404E-2</v>
      </c>
      <c r="W1945">
        <v>0.19255900000000001</v>
      </c>
      <c r="X1945">
        <v>0.98107759999999999</v>
      </c>
      <c r="Y1945">
        <v>-8.5576269999999996E-2</v>
      </c>
      <c r="Z1945">
        <v>-1.879445E-3</v>
      </c>
      <c r="AA1945">
        <v>0.99632980000000004</v>
      </c>
      <c r="AB1945">
        <v>37</v>
      </c>
      <c r="AC1945">
        <v>-46.042099999999998</v>
      </c>
      <c r="AD1945">
        <v>-1.1211351409469901</v>
      </c>
      <c r="AE1945">
        <v>-2.8095999999999801</v>
      </c>
      <c r="AF1945">
        <v>-3.9658407610609898</v>
      </c>
      <c r="AG1945">
        <v>-1.1211351409469901</v>
      </c>
      <c r="AH1945">
        <v>45.929612119223997</v>
      </c>
      <c r="AI1945">
        <v>91.393122341219694</v>
      </c>
      <c r="AJ1945">
        <v>94.935024162658394</v>
      </c>
      <c r="AK1945">
        <v>46.114142151499799</v>
      </c>
      <c r="AL1945">
        <v>78.897837819397907</v>
      </c>
      <c r="AM1945">
        <v>88.820817129818593</v>
      </c>
      <c r="AN1945">
        <v>1.00000001247714</v>
      </c>
    </row>
    <row r="1946" spans="1:40" x14ac:dyDescent="0.25">
      <c r="A1946" t="str">
        <f>"20190303162817931"</f>
        <v>20190303162817931</v>
      </c>
      <c r="B1946" t="str">
        <f>"1551601697923285"</f>
        <v>1551601697923285</v>
      </c>
      <c r="C1946" t="s">
        <v>40</v>
      </c>
      <c r="D1946">
        <v>4.5303100000000001</v>
      </c>
      <c r="E1946">
        <v>0.45370070000000001</v>
      </c>
      <c r="F1946" t="s">
        <v>48</v>
      </c>
      <c r="G1946">
        <v>-363.4325</v>
      </c>
      <c r="H1946" s="1">
        <v>2.8979759999999999E-7</v>
      </c>
      <c r="I1946">
        <v>280.96409999999997</v>
      </c>
      <c r="J1946">
        <v>-324.89819999999997</v>
      </c>
      <c r="K1946">
        <v>1.121135</v>
      </c>
      <c r="L1946">
        <v>283.88319999999999</v>
      </c>
      <c r="M1946">
        <v>-0.99959549999999997</v>
      </c>
      <c r="N1946">
        <v>-1.3231079999999999E-2</v>
      </c>
      <c r="O1946">
        <v>2.5180729999999998E-2</v>
      </c>
      <c r="P1946">
        <v>-0.9826857</v>
      </c>
      <c r="Q1946">
        <v>0.17983629999999901</v>
      </c>
      <c r="R1946">
        <v>4.4583570000000003E-2</v>
      </c>
      <c r="S1946">
        <v>-3.0796510000000001</v>
      </c>
      <c r="T1946">
        <v>-8.9146379999999997E-2</v>
      </c>
      <c r="U1946">
        <v>-0.23172000000000001</v>
      </c>
      <c r="V1946">
        <v>1.9829869999999999E-2</v>
      </c>
      <c r="W1946">
        <v>0.1928327</v>
      </c>
      <c r="X1946">
        <v>0.98103119999999999</v>
      </c>
      <c r="Y1946">
        <v>-0.1000544</v>
      </c>
      <c r="Z1946">
        <v>-2.5040819999999999E-3</v>
      </c>
      <c r="AA1946">
        <v>0.99497880000000005</v>
      </c>
      <c r="AB1946">
        <v>37</v>
      </c>
      <c r="AC1946">
        <v>-38.534300000000002</v>
      </c>
      <c r="AD1946">
        <v>-1.1211347102023901</v>
      </c>
      <c r="AE1946">
        <v>-2.91910000000001</v>
      </c>
      <c r="AF1946">
        <v>-3.88531073911467</v>
      </c>
      <c r="AG1946">
        <v>-1.1211347102023901</v>
      </c>
      <c r="AH1946">
        <v>38.416234405177001</v>
      </c>
      <c r="AI1946">
        <v>91.663159023510104</v>
      </c>
      <c r="AJ1946">
        <v>95.775098018265993</v>
      </c>
      <c r="AK1946">
        <v>38.628482347244798</v>
      </c>
      <c r="AL1946">
        <v>78.881855686715596</v>
      </c>
      <c r="AM1946">
        <v>88.842021375263599</v>
      </c>
      <c r="AN1946">
        <v>0.99999994465347097</v>
      </c>
    </row>
    <row r="1947" spans="1:40" x14ac:dyDescent="0.25">
      <c r="A1947" t="str">
        <f>"20190303162817942"</f>
        <v>20190303162817942</v>
      </c>
      <c r="B1947" t="str">
        <f>"1551601697933046"</f>
        <v>1551601697933046</v>
      </c>
      <c r="C1947" t="s">
        <v>40</v>
      </c>
      <c r="D1947">
        <v>4.554945</v>
      </c>
      <c r="E1947">
        <v>0.45291900000000002</v>
      </c>
      <c r="F1947" t="s">
        <v>48</v>
      </c>
      <c r="G1947">
        <v>-362.86669999999998</v>
      </c>
      <c r="H1947" s="1">
        <v>-1.1291770000000001E-8</v>
      </c>
      <c r="I1947">
        <v>280.91840000000002</v>
      </c>
      <c r="J1947">
        <v>-325.08909999999997</v>
      </c>
      <c r="K1947">
        <v>1.121135</v>
      </c>
      <c r="L1947">
        <v>283.88799999999998</v>
      </c>
      <c r="M1947">
        <v>-0.99959549999999997</v>
      </c>
      <c r="N1947">
        <v>-1.3230209999999999E-2</v>
      </c>
      <c r="O1947">
        <v>2.5180549999999999E-2</v>
      </c>
      <c r="P1947">
        <v>-0.98265550000000002</v>
      </c>
      <c r="Q1947">
        <v>0.18003339999999901</v>
      </c>
      <c r="R1947">
        <v>4.4457990000000003E-2</v>
      </c>
      <c r="S1947">
        <v>-3.0804140000000002</v>
      </c>
      <c r="T1947">
        <v>-9.0958600000000001E-2</v>
      </c>
      <c r="U1947">
        <v>-0.24053959999999999</v>
      </c>
      <c r="V1947">
        <v>1.9705440000000001E-2</v>
      </c>
      <c r="W1947">
        <v>0.1930288</v>
      </c>
      <c r="X1947">
        <v>0.98099519999999996</v>
      </c>
      <c r="Y1947">
        <v>-0.10286339999999999</v>
      </c>
      <c r="Z1947">
        <v>-2.6075790000000001E-3</v>
      </c>
      <c r="AA1947">
        <v>0.99469209999999997</v>
      </c>
      <c r="AB1947">
        <v>37</v>
      </c>
      <c r="AC1947">
        <v>-37.7776</v>
      </c>
      <c r="AD1947">
        <v>-1.12113501129177</v>
      </c>
      <c r="AE1947">
        <v>-2.9695999999999501</v>
      </c>
      <c r="AF1947">
        <v>-3.9165738246967101</v>
      </c>
      <c r="AG1947">
        <v>-1.12113501129177</v>
      </c>
      <c r="AH1947">
        <v>37.657873610203197</v>
      </c>
      <c r="AI1947">
        <v>91.696139724171005</v>
      </c>
      <c r="AJ1947">
        <v>95.9376493593563</v>
      </c>
      <c r="AK1947">
        <v>37.877591516355402</v>
      </c>
      <c r="AL1947">
        <v>78.870405498409099</v>
      </c>
      <c r="AM1947">
        <v>88.8492433721635</v>
      </c>
      <c r="AN1947">
        <v>1.0000000022090301</v>
      </c>
    </row>
    <row r="1948" spans="1:40" x14ac:dyDescent="0.25">
      <c r="A1948" t="str">
        <f>"20190303162817960"</f>
        <v>20190303162817960</v>
      </c>
      <c r="B1948" t="str">
        <f>"1551601697953541"</f>
        <v>1551601697953541</v>
      </c>
      <c r="C1948" t="s">
        <v>40</v>
      </c>
      <c r="D1948">
        <v>4.5342840000000004</v>
      </c>
      <c r="E1948">
        <v>0.45174579999999998</v>
      </c>
      <c r="F1948" t="s">
        <v>48</v>
      </c>
      <c r="G1948">
        <v>-361.30950000000001</v>
      </c>
      <c r="H1948" s="1">
        <v>-8.3993519999999904E-7</v>
      </c>
      <c r="I1948">
        <v>280.98009999999999</v>
      </c>
      <c r="J1948">
        <v>-325.37880000000001</v>
      </c>
      <c r="K1948">
        <v>1.121135</v>
      </c>
      <c r="L1948">
        <v>283.89530000000002</v>
      </c>
      <c r="M1948">
        <v>-0.99959549999999997</v>
      </c>
      <c r="N1948">
        <v>-1.322887E-2</v>
      </c>
      <c r="O1948">
        <v>2.5180379999999999E-2</v>
      </c>
      <c r="P1948">
        <v>-0.98261509999999996</v>
      </c>
      <c r="Q1948">
        <v>0.18035880000000001</v>
      </c>
      <c r="R1948">
        <v>4.4030880000000001E-2</v>
      </c>
      <c r="S1948">
        <v>-3.0816349999999999</v>
      </c>
      <c r="T1948">
        <v>-9.5386390000000001E-2</v>
      </c>
      <c r="U1948">
        <v>-0.24740599999999999</v>
      </c>
      <c r="V1948">
        <v>1.9279569999999999E-2</v>
      </c>
      <c r="W1948">
        <v>0.19335160000000001</v>
      </c>
      <c r="X1948">
        <v>0.98094009999999998</v>
      </c>
      <c r="Y1948">
        <v>-0.1050276</v>
      </c>
      <c r="Z1948">
        <v>-2.764177E-3</v>
      </c>
      <c r="AA1948">
        <v>0.9944655</v>
      </c>
      <c r="AB1948">
        <v>37</v>
      </c>
      <c r="AC1948">
        <v>-35.930700000000002</v>
      </c>
      <c r="AD1948">
        <v>-1.1211358399351901</v>
      </c>
      <c r="AE1948">
        <v>-2.91520000000002</v>
      </c>
      <c r="AF1948">
        <v>-3.81541282476043</v>
      </c>
      <c r="AG1948">
        <v>-1.1211358399351901</v>
      </c>
      <c r="AH1948">
        <v>35.811254794843599</v>
      </c>
      <c r="AI1948">
        <v>91.783076948628704</v>
      </c>
      <c r="AJ1948">
        <v>96.081481547244906</v>
      </c>
      <c r="AK1948">
        <v>36.0313792488733</v>
      </c>
      <c r="AL1948">
        <v>78.851555412079406</v>
      </c>
      <c r="AM1948">
        <v>88.874043594359804</v>
      </c>
      <c r="AN1948">
        <v>1.0000000114149701</v>
      </c>
    </row>
    <row r="1949" spans="1:40" x14ac:dyDescent="0.25">
      <c r="A1949" t="str">
        <f>"20190303162817975"</f>
        <v>20190303162817975</v>
      </c>
      <c r="B1949" t="str">
        <f>"1551601697963301"</f>
        <v>1551601697963301</v>
      </c>
      <c r="C1949" t="s">
        <v>40</v>
      </c>
      <c r="D1949">
        <v>4.5128690000000002</v>
      </c>
      <c r="E1949">
        <v>0.451658</v>
      </c>
      <c r="F1949" t="s">
        <v>48</v>
      </c>
      <c r="G1949">
        <v>-361.96850000000001</v>
      </c>
      <c r="H1949" s="1">
        <v>-4.8923979999999997E-7</v>
      </c>
      <c r="I1949">
        <v>280.8338</v>
      </c>
      <c r="J1949">
        <v>-325.61860000000001</v>
      </c>
      <c r="K1949">
        <v>1.1211370000000001</v>
      </c>
      <c r="L1949">
        <v>283.90140000000002</v>
      </c>
      <c r="M1949">
        <v>-0.99959549999999997</v>
      </c>
      <c r="N1949">
        <v>-1.322775E-2</v>
      </c>
      <c r="O1949">
        <v>2.518039E-2</v>
      </c>
      <c r="P1949">
        <v>-0.98259739999999995</v>
      </c>
      <c r="Q1949">
        <v>0.18051929999999999</v>
      </c>
      <c r="R1949">
        <v>4.3762860000000001E-2</v>
      </c>
      <c r="S1949">
        <v>-3.0819399999999999</v>
      </c>
      <c r="T1949">
        <v>-9.4432829999999995E-2</v>
      </c>
      <c r="U1949">
        <v>-0.25787349999999998</v>
      </c>
      <c r="V1949">
        <v>1.9012020000000001E-2</v>
      </c>
      <c r="W1949">
        <v>0.19351109999999999</v>
      </c>
      <c r="X1949">
        <v>0.98091390000000001</v>
      </c>
      <c r="Y1949">
        <v>-0.10837330000000001</v>
      </c>
      <c r="Z1949">
        <v>-2.8130770000000002E-3</v>
      </c>
      <c r="AA1949">
        <v>0.9941063</v>
      </c>
      <c r="AB1949">
        <v>37</v>
      </c>
      <c r="AC1949">
        <v>-36.349899999999899</v>
      </c>
      <c r="AD1949">
        <v>-1.1211374892398001</v>
      </c>
      <c r="AE1949">
        <v>-3.0676000000000201</v>
      </c>
      <c r="AF1949">
        <v>-3.9782541285356601</v>
      </c>
      <c r="AG1949">
        <v>-1.1211374892398001</v>
      </c>
      <c r="AH1949">
        <v>36.226903712969097</v>
      </c>
      <c r="AI1949">
        <v>91.762018103927701</v>
      </c>
      <c r="AJ1949">
        <v>96.266820121921199</v>
      </c>
      <c r="AK1949">
        <v>36.4619254539544</v>
      </c>
      <c r="AL1949">
        <v>78.842241152181899</v>
      </c>
      <c r="AM1949">
        <v>88.889635335365696</v>
      </c>
      <c r="AN1949">
        <v>1.0000000409704399</v>
      </c>
    </row>
    <row r="1950" spans="1:40" x14ac:dyDescent="0.25">
      <c r="A1950" t="str">
        <f>"20190303162817993"</f>
        <v>20190303162817993</v>
      </c>
      <c r="B1950" t="str">
        <f>"1551601697983797"</f>
        <v>1551601697983797</v>
      </c>
      <c r="C1950" t="s">
        <v>40</v>
      </c>
      <c r="D1950">
        <v>4.4253660000000004</v>
      </c>
      <c r="E1950">
        <v>0.45188080000000003</v>
      </c>
      <c r="F1950" t="s">
        <v>48</v>
      </c>
      <c r="G1950">
        <v>-362.988</v>
      </c>
      <c r="H1950" s="1">
        <v>5.3296959999999998E-8</v>
      </c>
      <c r="I1950">
        <v>280.75689999999997</v>
      </c>
      <c r="J1950">
        <v>-325.92840000000001</v>
      </c>
      <c r="K1950">
        <v>1.121138</v>
      </c>
      <c r="L1950">
        <v>283.9092</v>
      </c>
      <c r="M1950">
        <v>-0.99959549999999997</v>
      </c>
      <c r="N1950">
        <v>-1.32263E-2</v>
      </c>
      <c r="O1950">
        <v>2.5180040000000001E-2</v>
      </c>
      <c r="P1950">
        <v>-0.98262159999999998</v>
      </c>
      <c r="Q1950">
        <v>0.1804731</v>
      </c>
      <c r="R1950">
        <v>4.3409059999999999E-2</v>
      </c>
      <c r="S1950">
        <v>-3.0816650000000001</v>
      </c>
      <c r="T1950">
        <v>-9.2454430000000004E-2</v>
      </c>
      <c r="U1950">
        <v>-0.25930789999999998</v>
      </c>
      <c r="V1950">
        <v>1.8658170000000002E-2</v>
      </c>
      <c r="W1950">
        <v>0.19346340000000001</v>
      </c>
      <c r="X1950">
        <v>0.98093010000000003</v>
      </c>
      <c r="Y1950">
        <v>-0.1088423</v>
      </c>
      <c r="Z1950">
        <v>-2.7725060000000001E-3</v>
      </c>
      <c r="AA1950">
        <v>0.99405520000000003</v>
      </c>
      <c r="AB1950">
        <v>37</v>
      </c>
      <c r="AC1950">
        <v>-37.059600000000003</v>
      </c>
      <c r="AD1950">
        <v>-1.12113794670304</v>
      </c>
      <c r="AE1950">
        <v>-3.1523000000000199</v>
      </c>
      <c r="AF1950">
        <v>-4.0808361550834897</v>
      </c>
      <c r="AG1950">
        <v>-1.12113794670304</v>
      </c>
      <c r="AH1950">
        <v>36.934905513426003</v>
      </c>
      <c r="AI1950">
        <v>91.728137151794101</v>
      </c>
      <c r="AJ1950">
        <v>96.304880658090994</v>
      </c>
      <c r="AK1950">
        <v>37.176570838444398</v>
      </c>
      <c r="AL1950">
        <v>78.845026765557606</v>
      </c>
      <c r="AM1950">
        <v>88.910314303918298</v>
      </c>
      <c r="AN1950">
        <v>1.00000003776665</v>
      </c>
    </row>
    <row r="1951" spans="1:40" x14ac:dyDescent="0.25">
      <c r="A1951" t="str">
        <f>"20190303162818117"</f>
        <v>20190303162818117</v>
      </c>
      <c r="B1951" t="str">
        <f>"1551601698113436"</f>
        <v>1551601698113436</v>
      </c>
      <c r="C1951" t="s">
        <v>40</v>
      </c>
      <c r="D1951">
        <v>4.1063239999999999</v>
      </c>
      <c r="E1951">
        <v>0.46341840000000001</v>
      </c>
      <c r="F1951" t="s">
        <v>48</v>
      </c>
      <c r="G1951">
        <v>-364.37349999999998</v>
      </c>
      <c r="H1951" s="1">
        <v>7.9058650000000005E-7</v>
      </c>
      <c r="I1951">
        <v>280.6773</v>
      </c>
      <c r="J1951">
        <v>-328.00529999999998</v>
      </c>
      <c r="K1951">
        <v>1.121149</v>
      </c>
      <c r="L1951">
        <v>283.9615</v>
      </c>
      <c r="M1951">
        <v>-0.99959560000000003</v>
      </c>
      <c r="N1951">
        <v>-1.321635E-2</v>
      </c>
      <c r="O1951">
        <v>2.517898E-2</v>
      </c>
      <c r="P1951">
        <v>-0.98251750000000004</v>
      </c>
      <c r="Q1951">
        <v>0.18119060000000001</v>
      </c>
      <c r="R1951">
        <v>4.2772350000000001E-2</v>
      </c>
      <c r="S1951">
        <v>-3.080994</v>
      </c>
      <c r="T1951">
        <v>-8.9847919999999998E-2</v>
      </c>
      <c r="U1951">
        <v>-0.25900269999999997</v>
      </c>
      <c r="V1951">
        <v>1.802544E-2</v>
      </c>
      <c r="W1951">
        <v>0.19416929999999999</v>
      </c>
      <c r="X1951">
        <v>0.98080239999999996</v>
      </c>
      <c r="Y1951">
        <v>-0.10876520000000001</v>
      </c>
      <c r="Z1951">
        <v>-2.70389E-3</v>
      </c>
      <c r="AA1951">
        <v>0.99406380000000005</v>
      </c>
      <c r="AB1951">
        <v>37</v>
      </c>
      <c r="AC1951">
        <v>-36.368200000000002</v>
      </c>
      <c r="AD1951">
        <v>-1.1211482094134999</v>
      </c>
      <c r="AE1951">
        <v>-3.28419999999999</v>
      </c>
      <c r="AF1951">
        <v>-4.1949982927061296</v>
      </c>
      <c r="AG1951">
        <v>-1.1211482094134999</v>
      </c>
      <c r="AH1951">
        <v>36.239805929710101</v>
      </c>
      <c r="AI1951">
        <v>91.760243571250996</v>
      </c>
      <c r="AJ1951">
        <v>96.602979340129593</v>
      </c>
      <c r="AK1951">
        <v>36.499020778732302</v>
      </c>
      <c r="AL1951">
        <v>78.803799391218007</v>
      </c>
      <c r="AM1951">
        <v>88.947121885253196</v>
      </c>
      <c r="AN1951">
        <v>0.99999999069772105</v>
      </c>
    </row>
    <row r="1952" spans="1:40" x14ac:dyDescent="0.25">
      <c r="A1952" t="str">
        <f>"20190303162818130"</f>
        <v>20190303162818130</v>
      </c>
      <c r="B1952" t="str">
        <f>"1551601698123197"</f>
        <v>1551601698123197</v>
      </c>
      <c r="C1952" t="s">
        <v>40</v>
      </c>
      <c r="D1952">
        <v>4.3690419999999897</v>
      </c>
      <c r="E1952">
        <v>0.46341840000000001</v>
      </c>
      <c r="F1952" t="s">
        <v>44</v>
      </c>
      <c r="G1952">
        <v>-328.78890000000001</v>
      </c>
      <c r="H1952">
        <v>0.96988439999999998</v>
      </c>
      <c r="I1952">
        <v>283.91890000000001</v>
      </c>
      <c r="J1952">
        <v>-328.20490000000001</v>
      </c>
      <c r="K1952">
        <v>1.121149</v>
      </c>
      <c r="L1952">
        <v>283.9665</v>
      </c>
      <c r="M1952">
        <v>-0.99959569999999998</v>
      </c>
      <c r="N1952">
        <v>-1.3215380000000001E-2</v>
      </c>
      <c r="O1952">
        <v>2.5178800000000001E-2</v>
      </c>
      <c r="P1952">
        <v>-0.98250959999999998</v>
      </c>
      <c r="Q1952">
        <v>0.18122260000000001</v>
      </c>
      <c r="R1952">
        <v>4.2819089999999997E-2</v>
      </c>
      <c r="S1952">
        <v>-3.17395</v>
      </c>
      <c r="T1952">
        <v>-0.61284419999999995</v>
      </c>
      <c r="U1952">
        <v>-0.17333979999999999</v>
      </c>
      <c r="V1952">
        <v>1.8072520000000002E-2</v>
      </c>
      <c r="W1952">
        <v>0.1942006</v>
      </c>
      <c r="X1952">
        <v>0.98079530000000004</v>
      </c>
      <c r="Y1952">
        <v>-7.7723890000000004E-2</v>
      </c>
      <c r="Z1952">
        <v>-1.2433090000000001E-2</v>
      </c>
      <c r="AA1952">
        <v>0.99689740000000004</v>
      </c>
      <c r="AB1952">
        <v>37</v>
      </c>
      <c r="AC1952">
        <v>-0.58400000000000296</v>
      </c>
      <c r="AD1952">
        <v>-0.151264599999999</v>
      </c>
      <c r="AE1952">
        <v>-4.7599999999988499E-2</v>
      </c>
      <c r="AF1952">
        <v>-5.8398583775739997E-2</v>
      </c>
      <c r="AG1952">
        <v>-0.151264599999999</v>
      </c>
      <c r="AH1952">
        <v>0.54621333711425801</v>
      </c>
      <c r="AI1952">
        <v>105.39562983255</v>
      </c>
      <c r="AJ1952">
        <v>96.102615340134193</v>
      </c>
      <c r="AK1952">
        <v>0.56977222066512401</v>
      </c>
      <c r="AL1952">
        <v>78.801970826589795</v>
      </c>
      <c r="AM1952">
        <v>88.944364892166206</v>
      </c>
      <c r="AN1952">
        <v>0.99999995476079895</v>
      </c>
    </row>
    <row r="1953" spans="1:40" x14ac:dyDescent="0.25">
      <c r="A1953" t="str">
        <f>"20190303162818141"</f>
        <v>20190303162818141</v>
      </c>
      <c r="B1953" t="str">
        <f>"1551601698132957"</f>
        <v>1551601698132957</v>
      </c>
      <c r="C1953" t="s">
        <v>40</v>
      </c>
      <c r="D1953">
        <v>4.4597850000000001</v>
      </c>
      <c r="E1953">
        <v>0.4640031</v>
      </c>
      <c r="F1953" t="s">
        <v>44</v>
      </c>
      <c r="G1953">
        <v>-329.11130000000003</v>
      </c>
      <c r="H1953">
        <v>0.94625459999999995</v>
      </c>
      <c r="I1953">
        <v>283.91730000000001</v>
      </c>
      <c r="J1953">
        <v>-328.40309999999999</v>
      </c>
      <c r="K1953">
        <v>1.121149</v>
      </c>
      <c r="L1953">
        <v>283.97149999999999</v>
      </c>
      <c r="M1953">
        <v>-0.99959580000000003</v>
      </c>
      <c r="N1953">
        <v>-1.3214419999999999E-2</v>
      </c>
      <c r="O1953">
        <v>2.517863E-2</v>
      </c>
      <c r="P1953">
        <v>-0.98250159999999997</v>
      </c>
      <c r="Q1953">
        <v>0.18124599999999999</v>
      </c>
      <c r="R1953">
        <v>4.2906189999999997E-2</v>
      </c>
      <c r="S1953">
        <v>-3.1739809999999999</v>
      </c>
      <c r="T1953">
        <v>-0.61257200000000001</v>
      </c>
      <c r="U1953">
        <v>-0.17349239999999999</v>
      </c>
      <c r="V1953">
        <v>1.8159990000000001E-2</v>
      </c>
      <c r="W1953">
        <v>0.1942226</v>
      </c>
      <c r="X1953">
        <v>0.98078940000000003</v>
      </c>
      <c r="Y1953">
        <v>-7.7771800000000002E-2</v>
      </c>
      <c r="Z1953">
        <v>-1.2432469999999999E-2</v>
      </c>
      <c r="AA1953">
        <v>0.99689360000000005</v>
      </c>
      <c r="AB1953">
        <v>37</v>
      </c>
      <c r="AC1953">
        <v>-0.70820000000003303</v>
      </c>
      <c r="AD1953">
        <v>-0.17489439999999901</v>
      </c>
      <c r="AE1953">
        <v>-5.4199999999980202E-2</v>
      </c>
      <c r="AF1953">
        <v>-6.7899004500625401E-2</v>
      </c>
      <c r="AG1953">
        <v>-0.17489439999999901</v>
      </c>
      <c r="AH1953">
        <v>0.66621643936813901</v>
      </c>
      <c r="AI1953">
        <v>104.636775609175</v>
      </c>
      <c r="AJ1953">
        <v>95.819339930821201</v>
      </c>
      <c r="AK1953">
        <v>0.69212908481575597</v>
      </c>
      <c r="AL1953">
        <v>78.8006866540494</v>
      </c>
      <c r="AM1953">
        <v>88.939250461518895</v>
      </c>
      <c r="AN1953">
        <v>1.0000000253699499</v>
      </c>
    </row>
    <row r="1954" spans="1:40" x14ac:dyDescent="0.25">
      <c r="A1954" t="str">
        <f>"20190303162818153"</f>
        <v>20190303162818153</v>
      </c>
      <c r="B1954" t="str">
        <f>"1551601698143692"</f>
        <v>1551601698143692</v>
      </c>
      <c r="C1954" t="s">
        <v>40</v>
      </c>
      <c r="D1954">
        <v>4.3157329999999998</v>
      </c>
      <c r="E1954">
        <v>0.4635804</v>
      </c>
      <c r="F1954" t="s">
        <v>48</v>
      </c>
      <c r="G1954">
        <v>-349.30579999999998</v>
      </c>
      <c r="H1954" s="1">
        <v>3.4152809999999998E-6</v>
      </c>
      <c r="I1954">
        <v>282.85739999999998</v>
      </c>
      <c r="J1954">
        <v>-328.59120000000001</v>
      </c>
      <c r="K1954">
        <v>1.121146</v>
      </c>
      <c r="L1954">
        <v>283.97620000000001</v>
      </c>
      <c r="M1954">
        <v>-0.99959580000000003</v>
      </c>
      <c r="N1954">
        <v>-1.32135E-2</v>
      </c>
      <c r="O1954">
        <v>2.517846E-2</v>
      </c>
      <c r="P1954">
        <v>-0.98246929999999999</v>
      </c>
      <c r="Q1954">
        <v>0.1813379</v>
      </c>
      <c r="R1954">
        <v>4.3252400000000003E-2</v>
      </c>
      <c r="S1954">
        <v>-3.0911870000000001</v>
      </c>
      <c r="T1954">
        <v>-0.1658007</v>
      </c>
      <c r="U1954">
        <v>-0.16476440000000001</v>
      </c>
      <c r="V1954">
        <v>1.8506809999999999E-2</v>
      </c>
      <c r="W1954">
        <v>0.19431329999999999</v>
      </c>
      <c r="X1954">
        <v>0.98076490000000005</v>
      </c>
      <c r="Y1954">
        <v>-7.8193550000000001E-2</v>
      </c>
      <c r="Z1954">
        <v>-3.627899E-3</v>
      </c>
      <c r="AA1954">
        <v>0.99693160000000003</v>
      </c>
      <c r="AB1954">
        <v>37</v>
      </c>
      <c r="AC1954">
        <v>-20.714599999999901</v>
      </c>
      <c r="AD1954">
        <v>-1.121142584719</v>
      </c>
      <c r="AE1954">
        <v>-1.11880000000002</v>
      </c>
      <c r="AF1954">
        <v>-1.6352760968787099</v>
      </c>
      <c r="AG1954">
        <v>-1.121142584719</v>
      </c>
      <c r="AH1954">
        <v>20.619633570839799</v>
      </c>
      <c r="AI1954">
        <v>93.102532149358794</v>
      </c>
      <c r="AJ1954">
        <v>94.534451308427293</v>
      </c>
      <c r="AK1954">
        <v>20.714738164022201</v>
      </c>
      <c r="AL1954">
        <v>78.795388425017507</v>
      </c>
      <c r="AM1954">
        <v>88.918970001520094</v>
      </c>
      <c r="AN1954">
        <v>0.99999997482263703</v>
      </c>
    </row>
    <row r="1955" spans="1:40" x14ac:dyDescent="0.25">
      <c r="A1955" t="str">
        <f>"20190303162818166"</f>
        <v>20190303162818166</v>
      </c>
      <c r="B1955" t="str">
        <f>"1551601698153454"</f>
        <v>1551601698153454</v>
      </c>
      <c r="C1955" t="s">
        <v>40</v>
      </c>
      <c r="D1955">
        <v>4.3511100000000003</v>
      </c>
      <c r="E1955">
        <v>0.46349030000000002</v>
      </c>
      <c r="F1955" t="s">
        <v>48</v>
      </c>
      <c r="G1955">
        <v>-360.20330000000001</v>
      </c>
      <c r="H1955" s="1">
        <v>-1.4286190000000001E-6</v>
      </c>
      <c r="I1955">
        <v>282.26749999999998</v>
      </c>
      <c r="J1955">
        <v>-328.79689999999999</v>
      </c>
      <c r="K1955">
        <v>1.121149</v>
      </c>
      <c r="L1955">
        <v>283.98140000000001</v>
      </c>
      <c r="M1955">
        <v>-0.99959569999999998</v>
      </c>
      <c r="N1955">
        <v>-1.321247E-2</v>
      </c>
      <c r="O1955">
        <v>2.5178470000000001E-2</v>
      </c>
      <c r="P1955">
        <v>-0.98246009999999995</v>
      </c>
      <c r="Q1955">
        <v>0.18136060000000001</v>
      </c>
      <c r="R1955">
        <v>4.3365580000000001E-2</v>
      </c>
      <c r="S1955">
        <v>-3.0810240000000002</v>
      </c>
      <c r="T1955">
        <v>-0.10927099999999999</v>
      </c>
      <c r="U1955">
        <v>-0.1665344</v>
      </c>
      <c r="V1955">
        <v>1.8620330000000001E-2</v>
      </c>
      <c r="W1955">
        <v>0.1943349</v>
      </c>
      <c r="X1955">
        <v>0.98075849999999998</v>
      </c>
      <c r="Y1955">
        <v>-7.9025429999999994E-2</v>
      </c>
      <c r="Z1955">
        <v>-2.4823570000000001E-3</v>
      </c>
      <c r="AA1955">
        <v>0.99686949999999996</v>
      </c>
      <c r="AB1955">
        <v>37</v>
      </c>
      <c r="AC1955">
        <v>-31.406400000000001</v>
      </c>
      <c r="AD1955">
        <v>-1.1211504286189999</v>
      </c>
      <c r="AE1955">
        <v>-1.71390000000002</v>
      </c>
      <c r="AF1955">
        <v>-2.5010129246256598</v>
      </c>
      <c r="AG1955">
        <v>-1.1211504286189999</v>
      </c>
      <c r="AH1955">
        <v>31.3134982891102</v>
      </c>
      <c r="AI1955">
        <v>92.044041911375203</v>
      </c>
      <c r="AJ1955">
        <v>94.566527037616893</v>
      </c>
      <c r="AK1955">
        <v>31.433218400838999</v>
      </c>
      <c r="AL1955">
        <v>78.794127102265406</v>
      </c>
      <c r="AM1955">
        <v>88.912333500827799</v>
      </c>
      <c r="AN1955">
        <v>1.00000000268478</v>
      </c>
    </row>
    <row r="1956" spans="1:40" x14ac:dyDescent="0.25">
      <c r="A1956" t="str">
        <f>"20190303162818180"</f>
        <v>20190303162818180</v>
      </c>
      <c r="B1956" t="str">
        <f>"1551601698172972"</f>
        <v>1551601698172972</v>
      </c>
      <c r="C1956" t="s">
        <v>40</v>
      </c>
      <c r="D1956">
        <v>4.3556819999999998</v>
      </c>
      <c r="E1956">
        <v>0.46212769999999997</v>
      </c>
      <c r="F1956" t="s">
        <v>48</v>
      </c>
      <c r="G1956">
        <v>-365.39609999999999</v>
      </c>
      <c r="H1956" s="1">
        <v>1.3347669999999901E-6</v>
      </c>
      <c r="I1956">
        <v>281.99919999999997</v>
      </c>
      <c r="J1956">
        <v>-329.0498</v>
      </c>
      <c r="K1956">
        <v>1.121149</v>
      </c>
      <c r="L1956">
        <v>283.98779999999999</v>
      </c>
      <c r="M1956">
        <v>-0.99959580000000003</v>
      </c>
      <c r="N1956">
        <v>-1.321102E-2</v>
      </c>
      <c r="O1956">
        <v>2.517836E-2</v>
      </c>
      <c r="P1956">
        <v>-0.98244779999999998</v>
      </c>
      <c r="Q1956">
        <v>0.1813632</v>
      </c>
      <c r="R1956">
        <v>4.363711E-2</v>
      </c>
      <c r="S1956">
        <v>-3.0782780000000001</v>
      </c>
      <c r="T1956">
        <v>-9.429717E-2</v>
      </c>
      <c r="U1956">
        <v>-0.16671749999999999</v>
      </c>
      <c r="V1956">
        <v>1.889242E-2</v>
      </c>
      <c r="W1956">
        <v>0.1943358</v>
      </c>
      <c r="X1956">
        <v>0.98075310000000004</v>
      </c>
      <c r="Y1956">
        <v>-7.9149810000000001E-2</v>
      </c>
      <c r="Z1956">
        <v>-2.1728239999999998E-3</v>
      </c>
      <c r="AA1956">
        <v>0.99686039999999998</v>
      </c>
      <c r="AB1956">
        <v>37</v>
      </c>
      <c r="AC1956">
        <v>-36.3462999999999</v>
      </c>
      <c r="AD1956">
        <v>-1.1211476652329999</v>
      </c>
      <c r="AE1956">
        <v>-1.9886000000000199</v>
      </c>
      <c r="AF1956">
        <v>-2.9004379313433599</v>
      </c>
      <c r="AG1956">
        <v>-1.1211476652329999</v>
      </c>
      <c r="AH1956">
        <v>36.250312302810201</v>
      </c>
      <c r="AI1956">
        <v>91.765836355408197</v>
      </c>
      <c r="AJ1956">
        <v>94.574569796214405</v>
      </c>
      <c r="AK1956">
        <v>36.383439286742899</v>
      </c>
      <c r="AL1956">
        <v>78.794074332290094</v>
      </c>
      <c r="AM1956">
        <v>88.896437776614604</v>
      </c>
      <c r="AN1956">
        <v>0.99999998492735298</v>
      </c>
    </row>
    <row r="1957" spans="1:40" x14ac:dyDescent="0.25">
      <c r="A1957" t="str">
        <f>"20190303162818195"</f>
        <v>20190303162818195</v>
      </c>
      <c r="B1957" t="str">
        <f>"1551601698183708"</f>
        <v>1551601698183708</v>
      </c>
      <c r="C1957" t="s">
        <v>40</v>
      </c>
      <c r="D1957">
        <v>4.3142849999999999</v>
      </c>
      <c r="E1957">
        <v>0.46226889999999998</v>
      </c>
      <c r="F1957" t="s">
        <v>48</v>
      </c>
      <c r="G1957">
        <v>-371.1746</v>
      </c>
      <c r="H1957" s="1">
        <v>-9.1174120000000005E-7</v>
      </c>
      <c r="I1957">
        <v>281.56880000000001</v>
      </c>
      <c r="J1957">
        <v>-329.27260000000001</v>
      </c>
      <c r="K1957">
        <v>1.1211519999999999</v>
      </c>
      <c r="L1957">
        <v>283.99329999999998</v>
      </c>
      <c r="M1957">
        <v>-0.99959569999999998</v>
      </c>
      <c r="N1957">
        <v>-1.320985E-2</v>
      </c>
      <c r="O1957">
        <v>2.5178369999999999E-2</v>
      </c>
      <c r="P1957">
        <v>-0.98238599999999998</v>
      </c>
      <c r="Q1957">
        <v>0.1816905</v>
      </c>
      <c r="R1957">
        <v>4.366043E-2</v>
      </c>
      <c r="S1957">
        <v>-3.0765690000000001</v>
      </c>
      <c r="T1957">
        <v>-8.1882830000000004E-2</v>
      </c>
      <c r="U1957">
        <v>-0.176666299999999</v>
      </c>
      <c r="V1957">
        <v>1.891696E-2</v>
      </c>
      <c r="W1957">
        <v>0.19466140000000001</v>
      </c>
      <c r="X1957">
        <v>0.98068809999999995</v>
      </c>
      <c r="Y1957">
        <v>-8.2403850000000001E-2</v>
      </c>
      <c r="Z1957">
        <v>-1.9776189999999999E-3</v>
      </c>
      <c r="AA1957">
        <v>0.99659710000000001</v>
      </c>
      <c r="AB1957">
        <v>37</v>
      </c>
      <c r="AC1957">
        <v>-41.902000000000001</v>
      </c>
      <c r="AD1957">
        <v>-1.1211529117412</v>
      </c>
      <c r="AE1957">
        <v>-2.4244999999999601</v>
      </c>
      <c r="AF1957">
        <v>-3.4763668815930799</v>
      </c>
      <c r="AG1957">
        <v>-1.1211529117412</v>
      </c>
      <c r="AH1957">
        <v>41.797839632674702</v>
      </c>
      <c r="AI1957">
        <v>91.531204907992503</v>
      </c>
      <c r="AJ1957">
        <v>94.754403010721106</v>
      </c>
      <c r="AK1957">
        <v>41.957138945663701</v>
      </c>
      <c r="AL1957">
        <v>78.775056142975401</v>
      </c>
      <c r="AM1957">
        <v>88.894931456775495</v>
      </c>
      <c r="AN1957">
        <v>1.0000000307536001</v>
      </c>
    </row>
    <row r="1958" spans="1:40" x14ac:dyDescent="0.25">
      <c r="A1958" t="str">
        <f>"20190303162818216"</f>
        <v>20190303162818216</v>
      </c>
      <c r="B1958" t="str">
        <f>"1551601698212988"</f>
        <v>1551601698212988</v>
      </c>
      <c r="C1958" t="s">
        <v>40</v>
      </c>
      <c r="D1958">
        <v>4.2105059999999996</v>
      </c>
      <c r="E1958">
        <v>0.46057670000000001</v>
      </c>
      <c r="F1958" t="s">
        <v>48</v>
      </c>
      <c r="G1958">
        <v>-378.16649999999998</v>
      </c>
      <c r="H1958" s="1">
        <v>2.8090149999999999E-6</v>
      </c>
      <c r="I1958">
        <v>281.20429999999999</v>
      </c>
      <c r="J1958">
        <v>-329.63459999999998</v>
      </c>
      <c r="K1958">
        <v>1.121159</v>
      </c>
      <c r="L1958">
        <v>284.0025</v>
      </c>
      <c r="M1958">
        <v>-0.99959569999999998</v>
      </c>
      <c r="N1958">
        <v>-1.320815E-2</v>
      </c>
      <c r="O1958">
        <v>2.517838E-2</v>
      </c>
      <c r="P1958">
        <v>-0.98229370000000005</v>
      </c>
      <c r="Q1958">
        <v>0.18212829999999999</v>
      </c>
      <c r="R1958">
        <v>4.3914300000000003E-2</v>
      </c>
      <c r="S1958">
        <v>-3.0746150000000001</v>
      </c>
      <c r="T1958">
        <v>-7.0501690000000006E-2</v>
      </c>
      <c r="U1958">
        <v>-0.1753845</v>
      </c>
      <c r="V1958">
        <v>1.917319E-2</v>
      </c>
      <c r="W1958">
        <v>0.19509679999999999</v>
      </c>
      <c r="X1958">
        <v>0.98059649999999998</v>
      </c>
      <c r="Y1958">
        <v>-8.2036719999999994E-2</v>
      </c>
      <c r="Z1958">
        <v>-1.7266339999999999E-3</v>
      </c>
      <c r="AA1958">
        <v>0.99662779999999995</v>
      </c>
      <c r="AB1958">
        <v>37</v>
      </c>
      <c r="AC1958">
        <v>-48.5319</v>
      </c>
      <c r="AD1958">
        <v>-1.1211561909850001</v>
      </c>
      <c r="AE1958">
        <v>-2.7982</v>
      </c>
      <c r="AF1958">
        <v>-4.0172371854882796</v>
      </c>
      <c r="AG1958">
        <v>-1.1211561909850001</v>
      </c>
      <c r="AH1958">
        <v>48.420296036113001</v>
      </c>
      <c r="AI1958">
        <v>91.321888016098697</v>
      </c>
      <c r="AJ1958">
        <v>94.742738268483905</v>
      </c>
      <c r="AK1958">
        <v>48.599591089163198</v>
      </c>
      <c r="AL1958">
        <v>78.749620817185701</v>
      </c>
      <c r="AM1958">
        <v>88.879862505415005</v>
      </c>
      <c r="AN1958">
        <v>0.99999993419863098</v>
      </c>
    </row>
    <row r="1959" spans="1:40" x14ac:dyDescent="0.25">
      <c r="A1959" t="str">
        <f>"20190303162818228"</f>
        <v>20190303162818228</v>
      </c>
      <c r="B1959" t="str">
        <f>"1551601698223725"</f>
        <v>1551601698223725</v>
      </c>
      <c r="C1959" t="s">
        <v>40</v>
      </c>
      <c r="D1959">
        <v>4.2125389999999996</v>
      </c>
      <c r="E1959">
        <v>0.46026590000000001</v>
      </c>
      <c r="F1959" t="s">
        <v>48</v>
      </c>
      <c r="G1959">
        <v>-390.9726</v>
      </c>
      <c r="H1959" s="1">
        <v>-1.0192459999999999E-6</v>
      </c>
      <c r="I1959">
        <v>280.24759999999998</v>
      </c>
      <c r="J1959">
        <v>-329.82859999999999</v>
      </c>
      <c r="K1959">
        <v>1.121159</v>
      </c>
      <c r="L1959">
        <v>284.00740000000002</v>
      </c>
      <c r="M1959">
        <v>-0.99959580000000003</v>
      </c>
      <c r="N1959">
        <v>-1.320732E-2</v>
      </c>
      <c r="O1959">
        <v>2.5178019999999999E-2</v>
      </c>
      <c r="P1959">
        <v>-0.98214400000000002</v>
      </c>
      <c r="Q1959">
        <v>0.1828997</v>
      </c>
      <c r="R1959">
        <v>4.4055990000000003E-2</v>
      </c>
      <c r="S1959">
        <v>-3.0728759999999999</v>
      </c>
      <c r="T1959">
        <v>-5.616724E-2</v>
      </c>
      <c r="U1959">
        <v>-0.18811040000000001</v>
      </c>
      <c r="V1959">
        <v>1.931892E-2</v>
      </c>
      <c r="W1959">
        <v>0.19586509999999999</v>
      </c>
      <c r="X1959">
        <v>0.9804406</v>
      </c>
      <c r="Y1959">
        <v>-8.6190729999999993E-2</v>
      </c>
      <c r="Z1959">
        <v>-1.4843300000000001E-3</v>
      </c>
      <c r="AA1959">
        <v>0.99627759999999999</v>
      </c>
      <c r="AB1959">
        <v>37</v>
      </c>
      <c r="AC1959">
        <v>-61.143999999999998</v>
      </c>
      <c r="AD1959">
        <v>-1.1211600192460001</v>
      </c>
      <c r="AE1959">
        <v>-3.7598000000000402</v>
      </c>
      <c r="AF1959">
        <v>-5.2964528331281597</v>
      </c>
      <c r="AG1959">
        <v>-1.1211600192460001</v>
      </c>
      <c r="AH1959">
        <v>61.009504852981799</v>
      </c>
      <c r="AI1959">
        <v>91.048851018607493</v>
      </c>
      <c r="AJ1959">
        <v>94.961611482770394</v>
      </c>
      <c r="AK1959">
        <v>61.249237503893198</v>
      </c>
      <c r="AL1959">
        <v>78.704735982668197</v>
      </c>
      <c r="AM1959">
        <v>88.871171430556004</v>
      </c>
      <c r="AN1959">
        <v>1.0000000640981599</v>
      </c>
    </row>
    <row r="1960" spans="1:40" x14ac:dyDescent="0.25">
      <c r="A1960" t="str">
        <f>"20190303162818240"</f>
        <v>20190303162818240</v>
      </c>
      <c r="B1960" t="str">
        <f>"1551601698233484"</f>
        <v>1551601698233484</v>
      </c>
      <c r="C1960" t="s">
        <v>40</v>
      </c>
      <c r="D1960">
        <v>4.232761</v>
      </c>
      <c r="E1960">
        <v>0.46005689999999999</v>
      </c>
      <c r="F1960" t="s">
        <v>48</v>
      </c>
      <c r="G1960">
        <v>-399.43509999999998</v>
      </c>
      <c r="H1960" s="1">
        <v>3.4840719999999999E-6</v>
      </c>
      <c r="I1960">
        <v>279.69850000000002</v>
      </c>
      <c r="J1960">
        <v>-330.03019999999998</v>
      </c>
      <c r="K1960">
        <v>1.121162</v>
      </c>
      <c r="L1960">
        <v>284.01249999999999</v>
      </c>
      <c r="M1960">
        <v>-0.99959589999999998</v>
      </c>
      <c r="N1960">
        <v>-1.3206499999999999E-2</v>
      </c>
      <c r="O1960">
        <v>2.5177850000000002E-2</v>
      </c>
      <c r="P1960">
        <v>-0.98207480000000003</v>
      </c>
      <c r="Q1960">
        <v>0.1832838</v>
      </c>
      <c r="R1960">
        <v>4.4005429999999998E-2</v>
      </c>
      <c r="S1960">
        <v>-3.0722659999999999</v>
      </c>
      <c r="T1960">
        <v>-4.9485210000000002E-2</v>
      </c>
      <c r="U1960">
        <v>-0.19018550000000001</v>
      </c>
      <c r="V1960">
        <v>1.9270410000000002E-2</v>
      </c>
      <c r="W1960">
        <v>0.19624710000000001</v>
      </c>
      <c r="X1960">
        <v>0.98036509999999999</v>
      </c>
      <c r="Y1960">
        <v>-8.687752E-2</v>
      </c>
      <c r="Z1960">
        <v>-1.346281E-3</v>
      </c>
      <c r="AA1960">
        <v>0.9962181</v>
      </c>
      <c r="AB1960">
        <v>37</v>
      </c>
      <c r="AC1960">
        <v>-69.404899999999998</v>
      </c>
      <c r="AD1960">
        <v>-1.121158515928</v>
      </c>
      <c r="AE1960">
        <v>-4.3139999999999601</v>
      </c>
      <c r="AF1960">
        <v>-6.0586755660494802</v>
      </c>
      <c r="AG1960">
        <v>-1.121158515928</v>
      </c>
      <c r="AH1960">
        <v>69.256264535885293</v>
      </c>
      <c r="AI1960">
        <v>90.923926493936605</v>
      </c>
      <c r="AJ1960">
        <v>94.999620313197298</v>
      </c>
      <c r="AK1960">
        <v>69.529811760833994</v>
      </c>
      <c r="AL1960">
        <v>78.682415099635406</v>
      </c>
      <c r="AM1960">
        <v>88.8739185067043</v>
      </c>
      <c r="AN1960">
        <v>1.00000000112899</v>
      </c>
    </row>
    <row r="1961" spans="1:40" x14ac:dyDescent="0.25">
      <c r="A1961" t="str">
        <f>"20190303162818251"</f>
        <v>20190303162818251</v>
      </c>
      <c r="B1961" t="str">
        <f>"1551601698243244"</f>
        <v>1551601698243244</v>
      </c>
      <c r="C1961" t="s">
        <v>40</v>
      </c>
      <c r="D1961">
        <v>4.189184</v>
      </c>
      <c r="E1961">
        <v>0.45992309999999997</v>
      </c>
      <c r="F1961" t="s">
        <v>49</v>
      </c>
      <c r="G1961">
        <v>-400.19920000000002</v>
      </c>
      <c r="H1961">
        <v>3.7512289999999997E-2</v>
      </c>
      <c r="I1961">
        <v>279.61630000000002</v>
      </c>
      <c r="J1961">
        <v>-330.21469999999999</v>
      </c>
      <c r="K1961">
        <v>1.1211629999999999</v>
      </c>
      <c r="L1961">
        <v>284.0172</v>
      </c>
      <c r="M1961">
        <v>-0.99959589999999998</v>
      </c>
      <c r="N1961">
        <v>-1.320576E-2</v>
      </c>
      <c r="O1961">
        <v>2.5177680000000001E-2</v>
      </c>
      <c r="P1961">
        <v>-0.98198439999999998</v>
      </c>
      <c r="Q1961">
        <v>0.18371999999999999</v>
      </c>
      <c r="R1961">
        <v>4.4202610000000003E-2</v>
      </c>
      <c r="S1961">
        <v>-3.0722049999999999</v>
      </c>
      <c r="T1961">
        <v>-4.7445300000000003E-2</v>
      </c>
      <c r="U1961">
        <v>-0.19247439999999999</v>
      </c>
      <c r="V1961">
        <v>1.946985E-2</v>
      </c>
      <c r="W1961">
        <v>0.19668189999999999</v>
      </c>
      <c r="X1961">
        <v>0.98027399999999998</v>
      </c>
      <c r="Y1961">
        <v>-8.7619020000000006E-2</v>
      </c>
      <c r="Z1961">
        <v>-1.3113930000000001E-3</v>
      </c>
      <c r="AA1961">
        <v>0.99615319999999996</v>
      </c>
      <c r="AB1961">
        <v>37</v>
      </c>
      <c r="AC1961">
        <v>-69.984499999999997</v>
      </c>
      <c r="AD1961">
        <v>-1.0836507099999999</v>
      </c>
      <c r="AE1961">
        <v>-4.4008999999999698</v>
      </c>
      <c r="AF1961">
        <v>-6.1602342531207004</v>
      </c>
      <c r="AG1961">
        <v>-1.0836507099999999</v>
      </c>
      <c r="AH1961">
        <v>69.834818810787695</v>
      </c>
      <c r="AI1961">
        <v>90.885568613145907</v>
      </c>
      <c r="AJ1961">
        <v>95.041098404544897</v>
      </c>
      <c r="AK1961">
        <v>70.1143687360169</v>
      </c>
      <c r="AL1961">
        <v>78.657007485393507</v>
      </c>
      <c r="AM1961">
        <v>88.862161416517694</v>
      </c>
      <c r="AN1961">
        <v>0.99999997996131595</v>
      </c>
    </row>
    <row r="1962" spans="1:40" x14ac:dyDescent="0.25">
      <c r="A1962" t="str">
        <f>"20190303162818262"</f>
        <v>20190303162818262</v>
      </c>
      <c r="B1962" t="str">
        <f>"1551601698253005"</f>
        <v>1551601698253005</v>
      </c>
      <c r="C1962" t="s">
        <v>40</v>
      </c>
      <c r="D1962">
        <v>4.1912779999999996</v>
      </c>
      <c r="E1962">
        <v>0.4598469</v>
      </c>
      <c r="F1962" t="s">
        <v>49</v>
      </c>
      <c r="G1962">
        <v>-401.67970000000003</v>
      </c>
      <c r="H1962">
        <v>8.0001509999999998E-2</v>
      </c>
      <c r="I1962">
        <v>279.529</v>
      </c>
      <c r="J1962">
        <v>-330.41079999999999</v>
      </c>
      <c r="K1962">
        <v>1.121167</v>
      </c>
      <c r="L1962">
        <v>284.02210000000002</v>
      </c>
      <c r="M1962">
        <v>-0.99959580000000003</v>
      </c>
      <c r="N1962">
        <v>-1.320496E-2</v>
      </c>
      <c r="O1962">
        <v>2.5177680000000001E-2</v>
      </c>
      <c r="P1962">
        <v>-0.98194210000000004</v>
      </c>
      <c r="Q1962">
        <v>0.18387419999999999</v>
      </c>
      <c r="R1962">
        <v>4.4498280000000001E-2</v>
      </c>
      <c r="S1962">
        <v>-3.0720830000000001</v>
      </c>
      <c r="T1962">
        <v>-4.4756650000000002E-2</v>
      </c>
      <c r="U1962">
        <v>-0.1929321</v>
      </c>
      <c r="V1962">
        <v>1.9766530000000001E-2</v>
      </c>
      <c r="W1962">
        <v>0.1968348</v>
      </c>
      <c r="X1962">
        <v>0.98023740000000004</v>
      </c>
      <c r="Y1962">
        <v>-8.7771020000000005E-2</v>
      </c>
      <c r="Z1962">
        <v>-1.2532140000000001E-3</v>
      </c>
      <c r="AA1962">
        <v>0.99613989999999997</v>
      </c>
      <c r="AB1962">
        <v>37</v>
      </c>
      <c r="AC1962">
        <v>-71.268900000000002</v>
      </c>
      <c r="AD1962">
        <v>-1.04116549</v>
      </c>
      <c r="AE1962">
        <v>-4.4931000000000196</v>
      </c>
      <c r="AF1962">
        <v>-6.2848813584968202</v>
      </c>
      <c r="AG1962">
        <v>-1.04116549</v>
      </c>
      <c r="AH1962">
        <v>71.118049474770999</v>
      </c>
      <c r="AI1962">
        <v>90.835492409618695</v>
      </c>
      <c r="AJ1962">
        <v>95.050252786299296</v>
      </c>
      <c r="AK1962">
        <v>71.402806109871705</v>
      </c>
      <c r="AL1962">
        <v>78.648072609778197</v>
      </c>
      <c r="AM1962">
        <v>88.844784667095894</v>
      </c>
      <c r="AN1962">
        <v>1.0000000072790201</v>
      </c>
    </row>
    <row r="1963" spans="1:40" x14ac:dyDescent="0.25">
      <c r="A1963" t="str">
        <f>"20190303162818275"</f>
        <v>20190303162818275</v>
      </c>
      <c r="B1963" t="str">
        <f>"1551601698263741"</f>
        <v>1551601698263741</v>
      </c>
      <c r="C1963" t="s">
        <v>40</v>
      </c>
      <c r="D1963">
        <v>4.1544169999999996</v>
      </c>
      <c r="E1963">
        <v>0.45979049999999999</v>
      </c>
      <c r="F1963" t="s">
        <v>49</v>
      </c>
      <c r="G1963">
        <v>-407.40010000000001</v>
      </c>
      <c r="H1963">
        <v>8.0001290000000003E-2</v>
      </c>
      <c r="I1963">
        <v>279.20319999999998</v>
      </c>
      <c r="J1963">
        <v>-330.60590000000002</v>
      </c>
      <c r="K1963">
        <v>1.1211690000000001</v>
      </c>
      <c r="L1963">
        <v>284.02699999999999</v>
      </c>
      <c r="M1963">
        <v>-0.99959580000000003</v>
      </c>
      <c r="N1963">
        <v>-1.320416E-2</v>
      </c>
      <c r="O1963">
        <v>2.517757E-2</v>
      </c>
      <c r="P1963">
        <v>-0.98180800000000001</v>
      </c>
      <c r="Q1963">
        <v>0.18456420000000001</v>
      </c>
      <c r="R1963">
        <v>4.4600430000000003E-2</v>
      </c>
      <c r="S1963">
        <v>-3.0716549999999998</v>
      </c>
      <c r="T1963">
        <v>-4.1539550000000001E-2</v>
      </c>
      <c r="U1963">
        <v>-0.19226070000000001</v>
      </c>
      <c r="V1963">
        <v>1.9872170000000001E-2</v>
      </c>
      <c r="W1963">
        <v>0.197522</v>
      </c>
      <c r="X1963">
        <v>0.980097</v>
      </c>
      <c r="Y1963">
        <v>-8.7564649999999994E-2</v>
      </c>
      <c r="Z1963">
        <v>-1.178318E-3</v>
      </c>
      <c r="AA1963">
        <v>0.99615810000000005</v>
      </c>
      <c r="AB1963">
        <v>37</v>
      </c>
      <c r="AC1963">
        <v>-76.794199999999904</v>
      </c>
      <c r="AD1963">
        <v>-1.0411677100000001</v>
      </c>
      <c r="AE1963">
        <v>-4.8238000000000003</v>
      </c>
      <c r="AF1963">
        <v>-6.7546937164663001</v>
      </c>
      <c r="AG1963">
        <v>-1.0411677100000001</v>
      </c>
      <c r="AH1963">
        <v>76.634358141562501</v>
      </c>
      <c r="AI1963">
        <v>90.775376780648401</v>
      </c>
      <c r="AJ1963">
        <v>95.037138148517002</v>
      </c>
      <c r="AK1963">
        <v>76.938512886413903</v>
      </c>
      <c r="AL1963">
        <v>78.607910231602801</v>
      </c>
      <c r="AM1963">
        <v>88.8384461104731</v>
      </c>
      <c r="AN1963">
        <v>0.99999998651675404</v>
      </c>
    </row>
    <row r="1964" spans="1:40" x14ac:dyDescent="0.25">
      <c r="A1964" t="str">
        <f>"20190303162818289"</f>
        <v>20190303162818289</v>
      </c>
      <c r="B1964" t="str">
        <f>"1551601698283261"</f>
        <v>1551601698283261</v>
      </c>
      <c r="C1964" t="s">
        <v>40</v>
      </c>
      <c r="D1964">
        <v>4.1865819999999996</v>
      </c>
      <c r="E1964">
        <v>0.45972649999999998</v>
      </c>
      <c r="F1964" t="s">
        <v>49</v>
      </c>
      <c r="G1964">
        <v>-421.23809999999997</v>
      </c>
      <c r="H1964" s="1">
        <v>4.5671849999999999E-6</v>
      </c>
      <c r="I1964">
        <v>278.36630000000002</v>
      </c>
      <c r="J1964">
        <v>-330.83659999999998</v>
      </c>
      <c r="K1964">
        <v>1.121173</v>
      </c>
      <c r="L1964">
        <v>284.03280000000001</v>
      </c>
      <c r="M1964">
        <v>-0.99959580000000003</v>
      </c>
      <c r="N1964">
        <v>-1.320319E-2</v>
      </c>
      <c r="O1964">
        <v>2.5177390000000001E-2</v>
      </c>
      <c r="P1964">
        <v>-0.98166960000000003</v>
      </c>
      <c r="Q1964">
        <v>0.18520919999999999</v>
      </c>
      <c r="R1964">
        <v>4.4970990000000002E-2</v>
      </c>
      <c r="S1964">
        <v>-3.0714419999999998</v>
      </c>
      <c r="T1964">
        <v>-3.7995220000000003E-2</v>
      </c>
      <c r="U1964">
        <v>-0.19183349999999999</v>
      </c>
      <c r="V1964">
        <v>2.0246340000000002E-2</v>
      </c>
      <c r="W1964">
        <v>0.19816420000000001</v>
      </c>
      <c r="X1964">
        <v>0.97995969999999999</v>
      </c>
      <c r="Y1964">
        <v>-8.7432739999999995E-2</v>
      </c>
      <c r="Z1964">
        <v>-1.097177E-3</v>
      </c>
      <c r="AA1964">
        <v>0.99616979999999999</v>
      </c>
      <c r="AB1964">
        <v>37</v>
      </c>
      <c r="AC1964">
        <v>-90.401499999999999</v>
      </c>
      <c r="AD1964">
        <v>-1.121168432815</v>
      </c>
      <c r="AE1964">
        <v>-5.6664999999999797</v>
      </c>
      <c r="AF1964">
        <v>-7.9397591990621699</v>
      </c>
      <c r="AG1964">
        <v>-1.121168432815</v>
      </c>
      <c r="AH1964">
        <v>90.216335486969101</v>
      </c>
      <c r="AI1964">
        <v>90.709268565823905</v>
      </c>
      <c r="AJ1964">
        <v>95.029528391061604</v>
      </c>
      <c r="AK1964">
        <v>90.571982331685703</v>
      </c>
      <c r="AL1964">
        <v>78.570372935908196</v>
      </c>
      <c r="AM1964">
        <v>88.816415796049696</v>
      </c>
      <c r="AN1964">
        <v>0.999999989034562</v>
      </c>
    </row>
    <row r="1965" spans="1:40" x14ac:dyDescent="0.25">
      <c r="A1965" t="str">
        <f>"20190303162818300"</f>
        <v>20190303162818300</v>
      </c>
      <c r="B1965" t="str">
        <f>"1551601698293020"</f>
        <v>1551601698293020</v>
      </c>
      <c r="C1965" t="s">
        <v>40</v>
      </c>
      <c r="D1965">
        <v>4.1841860000000004</v>
      </c>
      <c r="E1965">
        <v>0.45964149999999998</v>
      </c>
      <c r="F1965" t="s">
        <v>49</v>
      </c>
      <c r="G1965">
        <v>-430.3537</v>
      </c>
      <c r="H1965">
        <v>5.1458950000000003E-2</v>
      </c>
      <c r="I1965">
        <v>277.84309999999999</v>
      </c>
      <c r="J1965">
        <v>-331.05020000000002</v>
      </c>
      <c r="K1965">
        <v>1.1211770000000001</v>
      </c>
      <c r="L1965">
        <v>284.03820000000002</v>
      </c>
      <c r="M1965">
        <v>-0.99959580000000003</v>
      </c>
      <c r="N1965">
        <v>-1.320229E-2</v>
      </c>
      <c r="O1965">
        <v>2.5177399999999999E-2</v>
      </c>
      <c r="P1965">
        <v>-0.98153279999999998</v>
      </c>
      <c r="Q1965">
        <v>0.18582989999999999</v>
      </c>
      <c r="R1965">
        <v>4.5393849999999999E-2</v>
      </c>
      <c r="S1965">
        <v>-3.0710139999999999</v>
      </c>
      <c r="T1965">
        <v>-3.3010480000000002E-2</v>
      </c>
      <c r="U1965">
        <v>-0.1910095</v>
      </c>
      <c r="V1965">
        <v>2.0672380000000001E-2</v>
      </c>
      <c r="W1965">
        <v>0.1987825</v>
      </c>
      <c r="X1965">
        <v>0.97982559999999996</v>
      </c>
      <c r="Y1965">
        <v>-8.7177649999999995E-2</v>
      </c>
      <c r="Z1965">
        <v>-9.8250149999999994E-4</v>
      </c>
      <c r="AA1965">
        <v>0.99619230000000003</v>
      </c>
      <c r="AB1965">
        <v>37</v>
      </c>
      <c r="AC1965">
        <v>-99.3035</v>
      </c>
      <c r="AD1965">
        <v>-1.0697180500000001</v>
      </c>
      <c r="AE1965">
        <v>-6.1951000000000196</v>
      </c>
      <c r="AF1965">
        <v>-8.6925529333463594</v>
      </c>
      <c r="AG1965">
        <v>-1.0697180500000001</v>
      </c>
      <c r="AH1965">
        <v>99.104569536912393</v>
      </c>
      <c r="AI1965">
        <v>90.616052004877702</v>
      </c>
      <c r="AJ1965">
        <v>95.012637360913899</v>
      </c>
      <c r="AK1965">
        <v>99.490805988805903</v>
      </c>
      <c r="AL1965">
        <v>78.534228231935103</v>
      </c>
      <c r="AM1965">
        <v>88.791351816549295</v>
      </c>
      <c r="AN1965">
        <v>1.00000001800823</v>
      </c>
    </row>
    <row r="1966" spans="1:40" x14ac:dyDescent="0.25">
      <c r="A1966" t="str">
        <f>"20190303162818317"</f>
        <v>20190303162818317</v>
      </c>
      <c r="B1966" t="str">
        <f>"1551601698313516"</f>
        <v>1551601698313516</v>
      </c>
      <c r="C1966" t="s">
        <v>40</v>
      </c>
      <c r="D1966">
        <v>4.2083139999999997</v>
      </c>
      <c r="E1966">
        <v>0.45940049999999999</v>
      </c>
      <c r="F1966" t="s">
        <v>49</v>
      </c>
      <c r="G1966">
        <v>-438.5095</v>
      </c>
      <c r="H1966">
        <v>8.0000619999999995E-2</v>
      </c>
      <c r="I1966">
        <v>277.37990000000002</v>
      </c>
      <c r="J1966">
        <v>-331.30770000000001</v>
      </c>
      <c r="K1966">
        <v>1.121176</v>
      </c>
      <c r="L1966">
        <v>284.0446</v>
      </c>
      <c r="M1966">
        <v>-0.99959589999999998</v>
      </c>
      <c r="N1966">
        <v>-1.32012E-2</v>
      </c>
      <c r="O1966">
        <v>2.5177229999999998E-2</v>
      </c>
      <c r="P1966">
        <v>-0.98127120000000001</v>
      </c>
      <c r="Q1966">
        <v>0.18697430000000001</v>
      </c>
      <c r="R1966">
        <v>4.6346020000000002E-2</v>
      </c>
      <c r="S1966">
        <v>-3.0709230000000001</v>
      </c>
      <c r="T1966">
        <v>-2.9754280000000001E-2</v>
      </c>
      <c r="U1966">
        <v>-0.1902771</v>
      </c>
      <c r="V1966">
        <v>2.1631290000000001E-2</v>
      </c>
      <c r="W1966">
        <v>0.19992219999999999</v>
      </c>
      <c r="X1966">
        <v>0.97957300000000003</v>
      </c>
      <c r="Y1966">
        <v>-8.6944129999999994E-2</v>
      </c>
      <c r="Z1966">
        <v>-9.0698069999999996E-4</v>
      </c>
      <c r="AA1966">
        <v>0.99621280000000001</v>
      </c>
      <c r="AB1966">
        <v>37</v>
      </c>
      <c r="AC1966">
        <v>-107.20180000000001</v>
      </c>
      <c r="AD1966">
        <v>-1.0411753800000001</v>
      </c>
      <c r="AE1966">
        <v>-6.6646999999999803</v>
      </c>
      <c r="AF1966">
        <v>-9.36098675118782</v>
      </c>
      <c r="AG1966">
        <v>-1.0411753800000001</v>
      </c>
      <c r="AH1966">
        <v>106.98994480595201</v>
      </c>
      <c r="AI1966">
        <v>90.555435937630506</v>
      </c>
      <c r="AJ1966">
        <v>95.000307962917901</v>
      </c>
      <c r="AK1966">
        <v>107.40372623288501</v>
      </c>
      <c r="AL1966">
        <v>78.467590818241305</v>
      </c>
      <c r="AM1966">
        <v>88.734979192211497</v>
      </c>
      <c r="AN1966">
        <v>1.0000000305444501</v>
      </c>
    </row>
    <row r="1967" spans="1:40" x14ac:dyDescent="0.25">
      <c r="A1967" t="str">
        <f>"20190303162818329"</f>
        <v>20190303162818329</v>
      </c>
      <c r="B1967" t="str">
        <f>"1551601698323276"</f>
        <v>1551601698323276</v>
      </c>
      <c r="C1967" t="s">
        <v>40</v>
      </c>
      <c r="D1967">
        <v>4.1592699999999896</v>
      </c>
      <c r="E1967">
        <v>0.45924680000000001</v>
      </c>
      <c r="F1967" t="s">
        <v>52</v>
      </c>
      <c r="G1967">
        <v>-454.8227</v>
      </c>
      <c r="H1967">
        <v>0.144391299999999</v>
      </c>
      <c r="I1967">
        <v>276.43180000000001</v>
      </c>
      <c r="J1967">
        <v>-331.50959999999998</v>
      </c>
      <c r="K1967">
        <v>1.1211770000000001</v>
      </c>
      <c r="L1967">
        <v>284.04969999999997</v>
      </c>
      <c r="M1967">
        <v>-0.99959580000000003</v>
      </c>
      <c r="N1967">
        <v>-1.320029E-2</v>
      </c>
      <c r="O1967">
        <v>2.5177229999999998E-2</v>
      </c>
      <c r="P1967">
        <v>-0.981159</v>
      </c>
      <c r="Q1967">
        <v>0.18746660000000001</v>
      </c>
      <c r="R1967">
        <v>4.6727360000000003E-2</v>
      </c>
      <c r="S1967">
        <v>-3.0708310000000001</v>
      </c>
      <c r="T1967">
        <v>-2.428317E-2</v>
      </c>
      <c r="U1967">
        <v>-0.18926999999999999</v>
      </c>
      <c r="V1967">
        <v>2.2015070000000001E-2</v>
      </c>
      <c r="W1967">
        <v>0.20041229999999999</v>
      </c>
      <c r="X1967">
        <v>0.97946429999999995</v>
      </c>
      <c r="Y1967">
        <v>-8.6622710000000006E-2</v>
      </c>
      <c r="Z1967">
        <v>-7.813888E-4</v>
      </c>
      <c r="AA1967">
        <v>0.99624089999999998</v>
      </c>
      <c r="AB1967">
        <v>37</v>
      </c>
      <c r="AC1967">
        <v>-123.31310000000001</v>
      </c>
      <c r="AD1967">
        <v>-0.97678569999999998</v>
      </c>
      <c r="AE1967">
        <v>-7.6178999999999597</v>
      </c>
      <c r="AF1967">
        <v>-10.7197676304936</v>
      </c>
      <c r="AG1967">
        <v>-0.97678569999999998</v>
      </c>
      <c r="AH1967">
        <v>123.074496026839</v>
      </c>
      <c r="AI1967">
        <v>90.453005698784807</v>
      </c>
      <c r="AJ1967">
        <v>94.9778899416185</v>
      </c>
      <c r="AK1967">
        <v>123.544320389955</v>
      </c>
      <c r="AL1967">
        <v>78.438930156664497</v>
      </c>
      <c r="AM1967">
        <v>88.712399985944003</v>
      </c>
      <c r="AN1967">
        <v>1.0000000341364399</v>
      </c>
    </row>
    <row r="1968" spans="1:40" x14ac:dyDescent="0.25">
      <c r="A1968" t="str">
        <f>"20190303162818340"</f>
        <v>20190303162818340</v>
      </c>
      <c r="B1968" t="str">
        <f>"1551601698333037"</f>
        <v>1551601698333037</v>
      </c>
      <c r="C1968" t="s">
        <v>40</v>
      </c>
      <c r="D1968">
        <v>4.1399889999999999</v>
      </c>
      <c r="E1968">
        <v>0.45916299999999999</v>
      </c>
      <c r="F1968" t="s">
        <v>48</v>
      </c>
      <c r="G1968">
        <v>-447.87450000000001</v>
      </c>
      <c r="H1968">
        <v>8.0000950000000001E-2</v>
      </c>
      <c r="I1968">
        <v>276.87200000000001</v>
      </c>
      <c r="J1968">
        <v>-331.70080000000002</v>
      </c>
      <c r="K1968">
        <v>1.121178</v>
      </c>
      <c r="L1968">
        <v>284.05459999999999</v>
      </c>
      <c r="M1968">
        <v>-0.99959589999999998</v>
      </c>
      <c r="N1968">
        <v>-1.319938E-2</v>
      </c>
      <c r="O1968">
        <v>2.5177060000000001E-2</v>
      </c>
      <c r="P1968">
        <v>-0.98104119999999995</v>
      </c>
      <c r="Q1968">
        <v>0.1879905</v>
      </c>
      <c r="R1968">
        <v>4.7094009999999999E-2</v>
      </c>
      <c r="S1968">
        <v>-3.0718990000000002</v>
      </c>
      <c r="T1968">
        <v>-2.7485849999999999E-2</v>
      </c>
      <c r="U1968">
        <v>-0.1894836</v>
      </c>
      <c r="V1968">
        <v>2.238478E-2</v>
      </c>
      <c r="W1968">
        <v>0.2009341</v>
      </c>
      <c r="X1968">
        <v>0.97934900000000003</v>
      </c>
      <c r="Y1968">
        <v>-8.6669060000000006E-2</v>
      </c>
      <c r="Z1968">
        <v>-8.5303919999999995E-4</v>
      </c>
      <c r="AA1968">
        <v>0.99623680000000003</v>
      </c>
      <c r="AB1968">
        <v>37</v>
      </c>
      <c r="AC1968">
        <v>-116.1737</v>
      </c>
      <c r="AD1968">
        <v>-1.0411770499999999</v>
      </c>
      <c r="AE1968">
        <v>-7.1825999999999697</v>
      </c>
      <c r="AF1968">
        <v>-10.1046811766474</v>
      </c>
      <c r="AG1968">
        <v>-1.0411770499999999</v>
      </c>
      <c r="AH1968">
        <v>115.94673731358399</v>
      </c>
      <c r="AI1968">
        <v>90.512547475160801</v>
      </c>
      <c r="AJ1968">
        <v>94.980705085378503</v>
      </c>
      <c r="AK1968">
        <v>116.39086959463999</v>
      </c>
      <c r="AL1968">
        <v>78.408412355769997</v>
      </c>
      <c r="AM1968">
        <v>88.690630061543899</v>
      </c>
      <c r="AN1968">
        <v>1.00000002735972</v>
      </c>
    </row>
    <row r="1969" spans="1:40" x14ac:dyDescent="0.25">
      <c r="A1969" t="str">
        <f>"20190303162818352"</f>
        <v>20190303162818352</v>
      </c>
      <c r="B1969" t="str">
        <f>"1551601698343772"</f>
        <v>1551601698343772</v>
      </c>
      <c r="C1969" t="s">
        <v>40</v>
      </c>
      <c r="D1969">
        <v>4.1240649999999999</v>
      </c>
      <c r="E1969">
        <v>0.45914939999999999</v>
      </c>
      <c r="F1969" t="s">
        <v>48</v>
      </c>
      <c r="G1969">
        <v>-441.61759999999998</v>
      </c>
      <c r="H1969">
        <v>8.0001310000000006E-2</v>
      </c>
      <c r="I1969">
        <v>277.27940000000001</v>
      </c>
      <c r="J1969">
        <v>-331.89089999999999</v>
      </c>
      <c r="K1969">
        <v>1.1211819999999999</v>
      </c>
      <c r="L1969">
        <v>284.05930000000001</v>
      </c>
      <c r="M1969">
        <v>-0.99959589999999998</v>
      </c>
      <c r="N1969">
        <v>-1.319846E-2</v>
      </c>
      <c r="O1969">
        <v>2.517689E-2</v>
      </c>
      <c r="P1969">
        <v>-0.98099440000000004</v>
      </c>
      <c r="Q1969">
        <v>0.18825529999999999</v>
      </c>
      <c r="R1969">
        <v>4.7011150000000002E-2</v>
      </c>
      <c r="S1969">
        <v>-3.0726010000000001</v>
      </c>
      <c r="T1969">
        <v>-2.9104950000000001E-2</v>
      </c>
      <c r="U1969">
        <v>-0.18939210000000001</v>
      </c>
      <c r="V1969">
        <v>2.2303400000000001E-2</v>
      </c>
      <c r="W1969">
        <v>0.20119709999999999</v>
      </c>
      <c r="X1969">
        <v>0.97929690000000003</v>
      </c>
      <c r="Y1969">
        <v>-8.6624670000000001E-2</v>
      </c>
      <c r="Z1969">
        <v>-8.8844909999999996E-4</v>
      </c>
      <c r="AA1969">
        <v>0.99624060000000003</v>
      </c>
      <c r="AB1969">
        <v>37</v>
      </c>
      <c r="AC1969">
        <v>-109.72669999999999</v>
      </c>
      <c r="AD1969">
        <v>-1.04118068999999</v>
      </c>
      <c r="AE1969">
        <v>-6.7798999999999898</v>
      </c>
      <c r="AF1969">
        <v>-9.5397124583728594</v>
      </c>
      <c r="AG1969">
        <v>-1.04118068999999</v>
      </c>
      <c r="AH1969">
        <v>109.51137749259</v>
      </c>
      <c r="AI1969">
        <v>90.542668886594598</v>
      </c>
      <c r="AJ1969">
        <v>94.978559853682199</v>
      </c>
      <c r="AK1969">
        <v>109.93103279485</v>
      </c>
      <c r="AL1969">
        <v>78.393029873169894</v>
      </c>
      <c r="AM1969">
        <v>88.695319252328602</v>
      </c>
      <c r="AN1969">
        <v>1.0000000665247799</v>
      </c>
    </row>
    <row r="1970" spans="1:40" x14ac:dyDescent="0.25">
      <c r="A1970" t="str">
        <f>"20190303162818364"</f>
        <v>20190303162818364</v>
      </c>
      <c r="B1970" t="str">
        <f>"1551601698353533"</f>
        <v>1551601698353533</v>
      </c>
      <c r="C1970" t="s">
        <v>40</v>
      </c>
      <c r="D1970">
        <v>4.1810099999999997</v>
      </c>
      <c r="E1970">
        <v>0.45894259999999898</v>
      </c>
      <c r="F1970" t="s">
        <v>49</v>
      </c>
      <c r="G1970">
        <v>-435.12819999999999</v>
      </c>
      <c r="H1970">
        <v>8.0001320000000001E-2</v>
      </c>
      <c r="I1970">
        <v>277.69600000000003</v>
      </c>
      <c r="J1970">
        <v>-332.0822</v>
      </c>
      <c r="K1970">
        <v>1.1211819999999999</v>
      </c>
      <c r="L1970">
        <v>284.0641</v>
      </c>
      <c r="M1970">
        <v>-0.99959589999999998</v>
      </c>
      <c r="N1970">
        <v>-1.3197550000000001E-2</v>
      </c>
      <c r="O1970">
        <v>2.5176899999999999E-2</v>
      </c>
      <c r="P1970">
        <v>-0.98096439999999996</v>
      </c>
      <c r="Q1970">
        <v>0.1884797</v>
      </c>
      <c r="R1970">
        <v>4.6734039999999998E-2</v>
      </c>
      <c r="S1970">
        <v>-3.0731510000000002</v>
      </c>
      <c r="T1970">
        <v>-3.0993699999999999E-2</v>
      </c>
      <c r="U1970">
        <v>-0.1894226</v>
      </c>
      <c r="V1970">
        <v>2.202701E-2</v>
      </c>
      <c r="W1970">
        <v>0.2014203</v>
      </c>
      <c r="X1970">
        <v>0.97925720000000005</v>
      </c>
      <c r="Y1970">
        <v>-8.6622770000000002E-2</v>
      </c>
      <c r="Z1970">
        <v>-9.3035009999999996E-4</v>
      </c>
      <c r="AA1970">
        <v>0.99624069999999998</v>
      </c>
      <c r="AB1970">
        <v>37</v>
      </c>
      <c r="AC1970">
        <v>-103.04600000000001</v>
      </c>
      <c r="AD1970">
        <v>-1.0411806800000001</v>
      </c>
      <c r="AE1970">
        <v>-6.3681000000000196</v>
      </c>
      <c r="AF1970">
        <v>-8.9597745830581399</v>
      </c>
      <c r="AG1970">
        <v>-1.0411806800000001</v>
      </c>
      <c r="AH1970">
        <v>102.842527532754</v>
      </c>
      <c r="AI1970">
        <v>90.577855586001803</v>
      </c>
      <c r="AJ1970">
        <v>94.979110779844007</v>
      </c>
      <c r="AK1970">
        <v>103.23733378537401</v>
      </c>
      <c r="AL1970">
        <v>78.379973336191298</v>
      </c>
      <c r="AM1970">
        <v>88.711429517718003</v>
      </c>
      <c r="AN1970">
        <v>0.99999999508673498</v>
      </c>
    </row>
    <row r="1971" spans="1:40" x14ac:dyDescent="0.25">
      <c r="A1971" t="str">
        <f>"20190303162818377"</f>
        <v>20190303162818377</v>
      </c>
      <c r="B1971" t="str">
        <f>"1551601698363293"</f>
        <v>1551601698363293</v>
      </c>
      <c r="C1971" t="s">
        <v>40</v>
      </c>
      <c r="D1971">
        <v>4.1864270000000001</v>
      </c>
      <c r="E1971">
        <v>0.45875369999999999</v>
      </c>
      <c r="F1971" t="s">
        <v>48</v>
      </c>
      <c r="G1971">
        <v>-440.47039999999998</v>
      </c>
      <c r="H1971">
        <v>8.0001639999999999E-2</v>
      </c>
      <c r="I1971">
        <v>277.29149999999998</v>
      </c>
      <c r="J1971">
        <v>-332.31130000000002</v>
      </c>
      <c r="K1971">
        <v>1.121183</v>
      </c>
      <c r="L1971">
        <v>284.06990000000002</v>
      </c>
      <c r="M1971">
        <v>-0.99959609999999999</v>
      </c>
      <c r="N1971">
        <v>-1.319652E-2</v>
      </c>
      <c r="O1971">
        <v>2.5176609999999999E-2</v>
      </c>
      <c r="P1971">
        <v>-0.98091410000000001</v>
      </c>
      <c r="Q1971">
        <v>0.18876770000000001</v>
      </c>
      <c r="R1971">
        <v>4.6633029999999999E-2</v>
      </c>
      <c r="S1971">
        <v>-3.0729980000000001</v>
      </c>
      <c r="T1971">
        <v>-2.9519320000000002E-2</v>
      </c>
      <c r="U1971">
        <v>-0.19201660000000001</v>
      </c>
      <c r="V1971">
        <v>2.192765E-2</v>
      </c>
      <c r="W1971">
        <v>0.20170660000000001</v>
      </c>
      <c r="X1971">
        <v>0.97920050000000003</v>
      </c>
      <c r="Y1971">
        <v>-8.7463769999999996E-2</v>
      </c>
      <c r="Z1971">
        <v>-9.071347E-4</v>
      </c>
      <c r="AA1971">
        <v>0.99616729999999998</v>
      </c>
      <c r="AB1971">
        <v>37</v>
      </c>
      <c r="AC1971">
        <v>-108.159099999999</v>
      </c>
      <c r="AD1971">
        <v>-1.0411813599999999</v>
      </c>
      <c r="AE1971">
        <v>-6.7784000000000297</v>
      </c>
      <c r="AF1971">
        <v>-9.4986903385925299</v>
      </c>
      <c r="AG1971">
        <v>-1.0411813599999999</v>
      </c>
      <c r="AH1971">
        <v>107.944173923964</v>
      </c>
      <c r="AI1971">
        <v>90.550505261645597</v>
      </c>
      <c r="AJ1971">
        <v>95.028864494589399</v>
      </c>
      <c r="AK1971">
        <v>108.36629485637999</v>
      </c>
      <c r="AL1971">
        <v>78.363225839010298</v>
      </c>
      <c r="AM1971">
        <v>88.717165835289194</v>
      </c>
      <c r="AN1971">
        <v>0.99999999675916595</v>
      </c>
    </row>
    <row r="1972" spans="1:40" x14ac:dyDescent="0.25">
      <c r="A1972" t="str">
        <f>"20190303162818395"</f>
        <v>20190303162818395</v>
      </c>
      <c r="B1972" t="str">
        <f>"1551601698383788"</f>
        <v>1551601698383788</v>
      </c>
      <c r="C1972" t="s">
        <v>40</v>
      </c>
      <c r="D1972">
        <v>4.2109069999999997</v>
      </c>
      <c r="E1972">
        <v>0.45834009999999997</v>
      </c>
      <c r="F1972" t="s">
        <v>48</v>
      </c>
      <c r="G1972">
        <v>-446.63990000000001</v>
      </c>
      <c r="H1972">
        <v>8.0001310000000006E-2</v>
      </c>
      <c r="I1972">
        <v>276.86700000000002</v>
      </c>
      <c r="J1972">
        <v>-332.59280000000001</v>
      </c>
      <c r="K1972">
        <v>1.121191</v>
      </c>
      <c r="L1972">
        <v>284.077</v>
      </c>
      <c r="M1972">
        <v>-0.99959600000000004</v>
      </c>
      <c r="N1972">
        <v>-1.319524E-2</v>
      </c>
      <c r="O1972">
        <v>2.5176440000000001E-2</v>
      </c>
      <c r="P1972">
        <v>-0.98081039999999997</v>
      </c>
      <c r="Q1972">
        <v>0.18938759999999999</v>
      </c>
      <c r="R1972">
        <v>4.6299640000000003E-2</v>
      </c>
      <c r="S1972">
        <v>-3.0729980000000001</v>
      </c>
      <c r="T1972">
        <v>-2.7985570000000001E-2</v>
      </c>
      <c r="U1972">
        <v>-0.19360350000000001</v>
      </c>
      <c r="V1972">
        <v>2.1597399999999999E-2</v>
      </c>
      <c r="W1972">
        <v>0.202324</v>
      </c>
      <c r="X1972">
        <v>0.97908039999999996</v>
      </c>
      <c r="Y1972">
        <v>-8.7976600000000002E-2</v>
      </c>
      <c r="Z1972">
        <v>-8.7847629999999999E-4</v>
      </c>
      <c r="AA1972">
        <v>0.99612219999999996</v>
      </c>
      <c r="AB1972">
        <v>37</v>
      </c>
      <c r="AC1972">
        <v>-114.0471</v>
      </c>
      <c r="AD1972">
        <v>-1.0411896899999999</v>
      </c>
      <c r="AE1972">
        <v>-7.2099999999999698</v>
      </c>
      <c r="AF1972">
        <v>-10.0784273168473</v>
      </c>
      <c r="AG1972">
        <v>-1.0411896899999999</v>
      </c>
      <c r="AH1972">
        <v>113.819956682662</v>
      </c>
      <c r="AI1972">
        <v>90.522066869553001</v>
      </c>
      <c r="AJ1972">
        <v>95.060177846752794</v>
      </c>
      <c r="AK1972">
        <v>114.270036809282</v>
      </c>
      <c r="AL1972">
        <v>78.327106051687906</v>
      </c>
      <c r="AM1972">
        <v>88.736325211900706</v>
      </c>
      <c r="AN1972">
        <v>0.99999993916345797</v>
      </c>
    </row>
    <row r="1973" spans="1:40" x14ac:dyDescent="0.25">
      <c r="A1973" t="str">
        <f>"20190303162818417"</f>
        <v>20190303162818417</v>
      </c>
      <c r="B1973" t="str">
        <f>"1551601698403308"</f>
        <v>1551601698403308</v>
      </c>
      <c r="C1973" t="s">
        <v>40</v>
      </c>
      <c r="D1973">
        <v>4.3178330000000003</v>
      </c>
      <c r="E1973">
        <v>0.45834540000000001</v>
      </c>
      <c r="F1973" t="s">
        <v>48</v>
      </c>
      <c r="G1973">
        <v>-450.86020000000002</v>
      </c>
      <c r="H1973">
        <v>8.0001569999999994E-2</v>
      </c>
      <c r="I1973">
        <v>276.45510000000002</v>
      </c>
      <c r="J1973">
        <v>-332.97269999999997</v>
      </c>
      <c r="K1973">
        <v>1.121192</v>
      </c>
      <c r="L1973">
        <v>284.08659999999998</v>
      </c>
      <c r="M1973">
        <v>-0.99959600000000004</v>
      </c>
      <c r="N1973">
        <v>-1.31935E-2</v>
      </c>
      <c r="O1973">
        <v>2.5176270000000001E-2</v>
      </c>
      <c r="P1973">
        <v>-0.98078529999999997</v>
      </c>
      <c r="Q1973">
        <v>0.1895182</v>
      </c>
      <c r="R1973">
        <v>4.6292680000000003E-2</v>
      </c>
      <c r="S1973">
        <v>-3.0732119999999998</v>
      </c>
      <c r="T1973">
        <v>-2.7055619999999999E-2</v>
      </c>
      <c r="U1973">
        <v>-0.19805909999999999</v>
      </c>
      <c r="V1973">
        <v>2.1591019999999999E-2</v>
      </c>
      <c r="W1973">
        <v>0.20245189999999999</v>
      </c>
      <c r="X1973">
        <v>0.97905419999999999</v>
      </c>
      <c r="Y1973">
        <v>-8.9410580000000003E-2</v>
      </c>
      <c r="Z1973">
        <v>-8.7328289999999995E-4</v>
      </c>
      <c r="AA1973">
        <v>0.99599439999999995</v>
      </c>
      <c r="AB1973">
        <v>37</v>
      </c>
      <c r="AC1973">
        <v>-117.8875</v>
      </c>
      <c r="AD1973">
        <v>-1.0411904299999999</v>
      </c>
      <c r="AE1973">
        <v>-7.6314999999999502</v>
      </c>
      <c r="AF1973">
        <v>-10.59648323441</v>
      </c>
      <c r="AG1973">
        <v>-1.0411904299999999</v>
      </c>
      <c r="AH1973">
        <v>117.648838027184</v>
      </c>
      <c r="AI1973">
        <v>90.505009371502496</v>
      </c>
      <c r="AJ1973">
        <v>95.1466717049191</v>
      </c>
      <c r="AK1973">
        <v>118.129668684862</v>
      </c>
      <c r="AL1973">
        <v>78.319624201884693</v>
      </c>
      <c r="AM1973">
        <v>88.736664592280903</v>
      </c>
      <c r="AN1973">
        <v>1.0000000352479399</v>
      </c>
    </row>
    <row r="1974" spans="1:40" x14ac:dyDescent="0.25">
      <c r="A1974" t="str">
        <f>"20190303162818430"</f>
        <v>20190303162818430</v>
      </c>
      <c r="B1974" t="str">
        <f>"1551601698423804"</f>
        <v>1551601698423804</v>
      </c>
      <c r="C1974" t="s">
        <v>40</v>
      </c>
      <c r="D1974">
        <v>4.3037070000000002</v>
      </c>
      <c r="E1974">
        <v>0.48824079999999898</v>
      </c>
      <c r="F1974" t="s">
        <v>49</v>
      </c>
      <c r="G1974">
        <v>-433.9366</v>
      </c>
      <c r="H1974">
        <v>8.0001399999999903E-2</v>
      </c>
      <c r="I1974">
        <v>277.5729</v>
      </c>
      <c r="J1974">
        <v>-333.17410000000001</v>
      </c>
      <c r="K1974">
        <v>1.121189</v>
      </c>
      <c r="L1974">
        <v>284.0917</v>
      </c>
      <c r="M1974">
        <v>-0.99959600000000004</v>
      </c>
      <c r="N1974">
        <v>-1.3192540000000001E-2</v>
      </c>
      <c r="O1974">
        <v>2.5176150000000001E-2</v>
      </c>
      <c r="P1974">
        <v>-0.98065210000000003</v>
      </c>
      <c r="Q1974">
        <v>0.19016</v>
      </c>
      <c r="R1974">
        <v>4.6485470000000001E-2</v>
      </c>
      <c r="S1974">
        <v>-3.0742189999999998</v>
      </c>
      <c r="T1974">
        <v>-3.1702880000000003E-2</v>
      </c>
      <c r="U1974">
        <v>-0.1983337</v>
      </c>
      <c r="V1974">
        <v>2.178735E-2</v>
      </c>
      <c r="W1974">
        <v>0.2030912</v>
      </c>
      <c r="X1974">
        <v>0.97891740000000005</v>
      </c>
      <c r="Y1974">
        <v>-8.9476089999999994E-2</v>
      </c>
      <c r="Z1974">
        <v>-9.7936890000000008E-4</v>
      </c>
      <c r="AA1974">
        <v>0.99598850000000005</v>
      </c>
      <c r="AB1974">
        <v>37</v>
      </c>
      <c r="AC1974">
        <v>-100.7625</v>
      </c>
      <c r="AD1974">
        <v>-1.0411876</v>
      </c>
      <c r="AE1974">
        <v>-6.5187999999999899</v>
      </c>
      <c r="AF1974">
        <v>-9.0528033599019402</v>
      </c>
      <c r="AG1974">
        <v>-1.0411876</v>
      </c>
      <c r="AH1974">
        <v>100.555731380819</v>
      </c>
      <c r="AI1974">
        <v>90.590849011232194</v>
      </c>
      <c r="AJ1974">
        <v>95.144340105527803</v>
      </c>
      <c r="AK1974">
        <v>100.967779186347</v>
      </c>
      <c r="AL1974">
        <v>78.282217517608302</v>
      </c>
      <c r="AM1974">
        <v>88.725002597884199</v>
      </c>
      <c r="AN1974">
        <v>1.0000000000801099</v>
      </c>
    </row>
    <row r="1975" spans="1:40" x14ac:dyDescent="0.25">
      <c r="A1975" t="str">
        <f>"20190303162818442"</f>
        <v>20190303162818442</v>
      </c>
      <c r="B1975" t="str">
        <f>"1551601698433565"</f>
        <v>1551601698433565</v>
      </c>
      <c r="C1975" t="s">
        <v>40</v>
      </c>
      <c r="D1975">
        <v>4.2134289999999996</v>
      </c>
      <c r="E1975">
        <v>0.4963668</v>
      </c>
      <c r="F1975" t="s">
        <v>48</v>
      </c>
      <c r="G1975">
        <v>-395.85300000000001</v>
      </c>
      <c r="H1975" s="1">
        <v>1.577862E-6</v>
      </c>
      <c r="I1975">
        <v>284.90780000000001</v>
      </c>
      <c r="J1975">
        <v>-333.38869999999997</v>
      </c>
      <c r="K1975">
        <v>1.121191</v>
      </c>
      <c r="L1975">
        <v>284.09710000000001</v>
      </c>
      <c r="M1975">
        <v>-0.99959609999999999</v>
      </c>
      <c r="N1975">
        <v>-1.319152E-2</v>
      </c>
      <c r="O1975">
        <v>2.5175980000000001E-2</v>
      </c>
      <c r="P1975">
        <v>-0.98067760000000004</v>
      </c>
      <c r="Q1975">
        <v>0.18998290000000001</v>
      </c>
      <c r="R1975">
        <v>4.6668179999999997E-2</v>
      </c>
      <c r="S1975">
        <v>-3.0679319999999999</v>
      </c>
      <c r="T1975">
        <v>-5.4878589999999998E-2</v>
      </c>
      <c r="U1975">
        <v>3.9947509999999999E-2</v>
      </c>
      <c r="V1975">
        <v>2.1969289999999999E-2</v>
      </c>
      <c r="W1975">
        <v>0.2029137</v>
      </c>
      <c r="X1975">
        <v>0.97895010000000005</v>
      </c>
      <c r="Y1975">
        <v>-1.215663E-2</v>
      </c>
      <c r="Z1975">
        <v>-3.0700589999999999E-4</v>
      </c>
      <c r="AA1975">
        <v>0.99992599999999998</v>
      </c>
      <c r="AB1975">
        <v>37</v>
      </c>
      <c r="AC1975">
        <v>-62.464300000000001</v>
      </c>
      <c r="AD1975">
        <v>-1.1211894221379901</v>
      </c>
      <c r="AE1975">
        <v>0.81069999999999698</v>
      </c>
      <c r="AF1975">
        <v>-0.76204818519253603</v>
      </c>
      <c r="AG1975">
        <v>-1.1211894221379901</v>
      </c>
      <c r="AH1975">
        <v>62.4447946138731</v>
      </c>
      <c r="AI1975">
        <v>91.028552325669295</v>
      </c>
      <c r="AJ1975">
        <v>90.699177213653996</v>
      </c>
      <c r="AK1975">
        <v>62.459508143481699</v>
      </c>
      <c r="AL1975">
        <v>78.292603288952805</v>
      </c>
      <c r="AM1975">
        <v>88.714401943775897</v>
      </c>
      <c r="AN1975">
        <v>0.99999995882040105</v>
      </c>
    </row>
    <row r="1976" spans="1:40" x14ac:dyDescent="0.25">
      <c r="A1976" t="str">
        <f>"20190303162818456"</f>
        <v>20190303162818456</v>
      </c>
      <c r="B1976" t="str">
        <f>"1551601698443325"</f>
        <v>1551601698443325</v>
      </c>
      <c r="C1976" t="s">
        <v>40</v>
      </c>
      <c r="D1976">
        <v>4.243201</v>
      </c>
      <c r="E1976">
        <v>0.50157470000000004</v>
      </c>
      <c r="F1976" t="s">
        <v>49</v>
      </c>
      <c r="G1976">
        <v>-404.26209999999998</v>
      </c>
      <c r="H1976" s="1">
        <v>6.1159029999999899E-6</v>
      </c>
      <c r="I1976">
        <v>286.53429999999997</v>
      </c>
      <c r="J1976">
        <v>-333.6003</v>
      </c>
      <c r="K1976">
        <v>1.121191</v>
      </c>
      <c r="L1976">
        <v>284.10239999999999</v>
      </c>
      <c r="M1976">
        <v>-0.99959609999999999</v>
      </c>
      <c r="N1976">
        <v>-1.3190500000000001E-2</v>
      </c>
      <c r="O1976">
        <v>2.5175989999999999E-2</v>
      </c>
      <c r="P1976">
        <v>-0.98068699999999998</v>
      </c>
      <c r="Q1976">
        <v>0.1899412</v>
      </c>
      <c r="R1976">
        <v>4.6643499999999997E-2</v>
      </c>
      <c r="S1976">
        <v>-3.0634769999999998</v>
      </c>
      <c r="T1976">
        <v>-4.8462869999999998E-2</v>
      </c>
      <c r="U1976">
        <v>0.1053467</v>
      </c>
      <c r="V1976">
        <v>2.1944640000000001E-2</v>
      </c>
      <c r="W1976">
        <v>0.20287079999999999</v>
      </c>
      <c r="X1976">
        <v>0.97895960000000004</v>
      </c>
      <c r="Y1976">
        <v>9.1914160000000009E-3</v>
      </c>
      <c r="Z1976" s="1">
        <v>6.7326230000000001E-5</v>
      </c>
      <c r="AA1976">
        <v>0.99995769999999995</v>
      </c>
      <c r="AB1976">
        <v>37</v>
      </c>
      <c r="AC1976">
        <v>-70.6617999999999</v>
      </c>
      <c r="AD1976">
        <v>-1.121184884097</v>
      </c>
      <c r="AE1976">
        <v>2.4318999999999802</v>
      </c>
      <c r="AF1976">
        <v>0.65182973831776203</v>
      </c>
      <c r="AG1976">
        <v>-1.121184884097</v>
      </c>
      <c r="AH1976">
        <v>70.682855571473596</v>
      </c>
      <c r="AI1976">
        <v>90.908721694866401</v>
      </c>
      <c r="AJ1976">
        <v>89.471639423563602</v>
      </c>
      <c r="AK1976">
        <v>70.694752346195301</v>
      </c>
      <c r="AL1976">
        <v>78.2951141374038</v>
      </c>
      <c r="AM1976">
        <v>88.715856385736899</v>
      </c>
      <c r="AN1976">
        <v>1.00000001357476</v>
      </c>
    </row>
    <row r="1977" spans="1:40" x14ac:dyDescent="0.25">
      <c r="A1977" t="str">
        <f>"20190303162818472"</f>
        <v>20190303162818472</v>
      </c>
      <c r="B1977" t="str">
        <f>"1551601698463820"</f>
        <v>1551601698463820</v>
      </c>
      <c r="C1977" t="s">
        <v>40</v>
      </c>
      <c r="D1977">
        <v>4.2067870000000003</v>
      </c>
      <c r="E1977">
        <v>0.50566709999999904</v>
      </c>
      <c r="F1977" t="s">
        <v>49</v>
      </c>
      <c r="G1977">
        <v>-400.57619999999997</v>
      </c>
      <c r="H1977" s="1">
        <v>7.5890629999999902E-6</v>
      </c>
      <c r="I1977">
        <v>287.3152</v>
      </c>
      <c r="J1977">
        <v>-333.87950000000001</v>
      </c>
      <c r="K1977">
        <v>1.1211949999999999</v>
      </c>
      <c r="L1977">
        <v>284.10939999999999</v>
      </c>
      <c r="M1977">
        <v>-0.99959620000000005</v>
      </c>
      <c r="N1977">
        <v>-1.318914E-2</v>
      </c>
      <c r="O1977">
        <v>2.5175820000000002E-2</v>
      </c>
      <c r="P1977">
        <v>-0.98069740000000005</v>
      </c>
      <c r="Q1977">
        <v>0.1899885</v>
      </c>
      <c r="R1977">
        <v>4.6229840000000001E-2</v>
      </c>
      <c r="S1977">
        <v>-3.0620120000000002</v>
      </c>
      <c r="T1977">
        <v>-5.1258329999999998E-2</v>
      </c>
      <c r="U1977">
        <v>0.14688109999999999</v>
      </c>
      <c r="V1977">
        <v>2.153091E-2</v>
      </c>
      <c r="W1977">
        <v>0.20291699999999999</v>
      </c>
      <c r="X1977">
        <v>0.97895920000000003</v>
      </c>
      <c r="Y1977">
        <v>2.2743920000000001E-2</v>
      </c>
      <c r="Z1977">
        <v>2.5120840000000003E-4</v>
      </c>
      <c r="AA1977">
        <v>0.99974130000000005</v>
      </c>
      <c r="AB1977">
        <v>37</v>
      </c>
      <c r="AC1977">
        <v>-66.696699999999893</v>
      </c>
      <c r="AD1977">
        <v>-1.1211874109369999</v>
      </c>
      <c r="AE1977">
        <v>3.2058</v>
      </c>
      <c r="AF1977">
        <v>1.5250638487777499</v>
      </c>
      <c r="AG1977">
        <v>-1.1211874109369999</v>
      </c>
      <c r="AH1977">
        <v>66.737456238509296</v>
      </c>
      <c r="AI1977">
        <v>90.962225804453794</v>
      </c>
      <c r="AJ1977">
        <v>88.690922282361001</v>
      </c>
      <c r="AK1977">
        <v>66.764293946242205</v>
      </c>
      <c r="AL1977">
        <v>78.292410709921</v>
      </c>
      <c r="AM1977">
        <v>88.740058402295901</v>
      </c>
      <c r="AN1977">
        <v>1.0000000021195301</v>
      </c>
    </row>
    <row r="1978" spans="1:40" x14ac:dyDescent="0.25">
      <c r="A1978" t="str">
        <f>"20190303162818486"</f>
        <v>20190303162818486</v>
      </c>
      <c r="B1978" t="str">
        <f>"1551601698473581"</f>
        <v>1551601698473581</v>
      </c>
      <c r="C1978" t="s">
        <v>40</v>
      </c>
      <c r="D1978">
        <v>4.2542390000000001</v>
      </c>
      <c r="E1978">
        <v>0.50664690000000001</v>
      </c>
      <c r="F1978" t="s">
        <v>49</v>
      </c>
      <c r="G1978">
        <v>-407.7765</v>
      </c>
      <c r="H1978" s="1">
        <v>4.1665440000000002E-6</v>
      </c>
      <c r="I1978">
        <v>288.42570000000001</v>
      </c>
      <c r="J1978">
        <v>-334.09390000000002</v>
      </c>
      <c r="K1978">
        <v>1.1211990000000001</v>
      </c>
      <c r="L1978">
        <v>284.1148</v>
      </c>
      <c r="M1978">
        <v>-0.99959609999999999</v>
      </c>
      <c r="N1978">
        <v>-1.318809E-2</v>
      </c>
      <c r="O1978">
        <v>2.517583E-2</v>
      </c>
      <c r="P1978">
        <v>-0.98066310000000001</v>
      </c>
      <c r="Q1978">
        <v>0.19019649999999999</v>
      </c>
      <c r="R1978">
        <v>4.6103030000000003E-2</v>
      </c>
      <c r="S1978">
        <v>-3.059631</v>
      </c>
      <c r="T1978">
        <v>-4.6421770000000001E-2</v>
      </c>
      <c r="U1978">
        <v>0.17871090000000001</v>
      </c>
      <c r="V1978">
        <v>2.1404969999999999E-2</v>
      </c>
      <c r="W1978">
        <v>0.20312340000000001</v>
      </c>
      <c r="X1978">
        <v>0.97891910000000004</v>
      </c>
      <c r="Y1978">
        <v>3.3149199999999997E-2</v>
      </c>
      <c r="Z1978">
        <v>4.2036230000000002E-4</v>
      </c>
      <c r="AA1978">
        <v>0.99945030000000001</v>
      </c>
      <c r="AB1978">
        <v>37</v>
      </c>
      <c r="AC1978">
        <v>-73.682599999999894</v>
      </c>
      <c r="AD1978">
        <v>-1.121194833456</v>
      </c>
      <c r="AE1978">
        <v>4.3109000000000002</v>
      </c>
      <c r="AF1978">
        <v>2.4537853066029802</v>
      </c>
      <c r="AG1978">
        <v>-1.121194833456</v>
      </c>
      <c r="AH1978">
        <v>73.750763070543996</v>
      </c>
      <c r="AI1978">
        <v>90.870489506427205</v>
      </c>
      <c r="AJ1978">
        <v>88.094396680136299</v>
      </c>
      <c r="AK1978">
        <v>73.800089387974296</v>
      </c>
      <c r="AL1978">
        <v>78.280332681660894</v>
      </c>
      <c r="AM1978">
        <v>88.747374486339794</v>
      </c>
      <c r="AN1978">
        <v>0.999999946356534</v>
      </c>
    </row>
    <row r="1979" spans="1:40" x14ac:dyDescent="0.25">
      <c r="A1979" t="str">
        <f>"20190303162818508"</f>
        <v>20190303162818508</v>
      </c>
      <c r="B1979" t="str">
        <f>"1551601698493100"</f>
        <v>1551601698493100</v>
      </c>
      <c r="C1979" t="s">
        <v>40</v>
      </c>
      <c r="D1979">
        <v>4.3216659999999996</v>
      </c>
      <c r="E1979">
        <v>0.50793189999999999</v>
      </c>
      <c r="F1979" t="s">
        <v>49</v>
      </c>
      <c r="G1979">
        <v>-411.44619999999998</v>
      </c>
      <c r="H1979" s="1">
        <v>2.0950689999999998E-6</v>
      </c>
      <c r="I1979">
        <v>288.8168</v>
      </c>
      <c r="J1979">
        <v>-334.43529999999998</v>
      </c>
      <c r="K1979">
        <v>1.121202</v>
      </c>
      <c r="L1979">
        <v>284.1234</v>
      </c>
      <c r="M1979">
        <v>-0.99959609999999999</v>
      </c>
      <c r="N1979">
        <v>-1.3186410000000001E-2</v>
      </c>
      <c r="O1979">
        <v>2.517548E-2</v>
      </c>
      <c r="P1979">
        <v>-0.98058310000000004</v>
      </c>
      <c r="Q1979">
        <v>0.19058040000000001</v>
      </c>
      <c r="R1979">
        <v>4.6217260000000003E-2</v>
      </c>
      <c r="S1979">
        <v>-3.0589900000000001</v>
      </c>
      <c r="T1979">
        <v>-4.433906E-2</v>
      </c>
      <c r="U1979">
        <v>0.18594359999999999</v>
      </c>
      <c r="V1979">
        <v>2.1521490000000001E-2</v>
      </c>
      <c r="W1979">
        <v>0.20350480000000001</v>
      </c>
      <c r="X1979">
        <v>0.97883739999999997</v>
      </c>
      <c r="Y1979">
        <v>3.5516350000000002E-2</v>
      </c>
      <c r="Z1979">
        <v>4.5887880000000002E-4</v>
      </c>
      <c r="AA1979">
        <v>0.99936899999999995</v>
      </c>
      <c r="AB1979">
        <v>37</v>
      </c>
      <c r="AC1979">
        <v>-77.010899999999907</v>
      </c>
      <c r="AD1979">
        <v>-1.121199904931</v>
      </c>
      <c r="AE1979">
        <v>4.6933999999999898</v>
      </c>
      <c r="AF1979">
        <v>2.7523760043358401</v>
      </c>
      <c r="AG1979">
        <v>-1.121199904931</v>
      </c>
      <c r="AH1979">
        <v>77.088376338051702</v>
      </c>
      <c r="AI1979">
        <v>90.8327402651759</v>
      </c>
      <c r="AJ1979">
        <v>87.955170724056998</v>
      </c>
      <c r="AK1979">
        <v>77.145644266757898</v>
      </c>
      <c r="AL1979">
        <v>78.2580147505291</v>
      </c>
      <c r="AM1979">
        <v>88.740452802766598</v>
      </c>
      <c r="AN1979">
        <v>1.00000001689681</v>
      </c>
    </row>
    <row r="1980" spans="1:40" x14ac:dyDescent="0.25">
      <c r="A1980" t="str">
        <f>"20190303162818520"</f>
        <v>20190303162818520</v>
      </c>
      <c r="B1980" t="str">
        <f>"1551601698503599"</f>
        <v>1551601698503599</v>
      </c>
      <c r="C1980" t="s">
        <v>40</v>
      </c>
      <c r="D1980">
        <v>4.3066959999999996</v>
      </c>
      <c r="E1980">
        <v>0.50838139999999998</v>
      </c>
      <c r="F1980" t="s">
        <v>49</v>
      </c>
      <c r="G1980">
        <v>-412.94420000000002</v>
      </c>
      <c r="H1980" s="1">
        <v>2.3302889999999999E-6</v>
      </c>
      <c r="I1980">
        <v>289.16570000000002</v>
      </c>
      <c r="J1980">
        <v>-334.66120000000001</v>
      </c>
      <c r="K1980">
        <v>1.1211979999999999</v>
      </c>
      <c r="L1980">
        <v>284.12909999999999</v>
      </c>
      <c r="M1980">
        <v>-0.99959609999999999</v>
      </c>
      <c r="N1980">
        <v>-1.3185280000000001E-2</v>
      </c>
      <c r="O1980">
        <v>2.5175369999999999E-2</v>
      </c>
      <c r="P1980">
        <v>-0.98057930000000004</v>
      </c>
      <c r="Q1980">
        <v>0.1905965</v>
      </c>
      <c r="R1980">
        <v>4.6232250000000003E-2</v>
      </c>
      <c r="S1980">
        <v>-3.0585939999999998</v>
      </c>
      <c r="T1980">
        <v>-4.368031E-2</v>
      </c>
      <c r="U1980">
        <v>0.1964417</v>
      </c>
      <c r="V1980">
        <v>2.153681E-2</v>
      </c>
      <c r="W1980">
        <v>0.2035198</v>
      </c>
      <c r="X1980">
        <v>0.97883390000000003</v>
      </c>
      <c r="Y1980">
        <v>3.8940370000000002E-2</v>
      </c>
      <c r="Z1980">
        <v>5.0744159999999996E-4</v>
      </c>
      <c r="AA1980">
        <v>0.99924139999999995</v>
      </c>
      <c r="AB1980">
        <v>37</v>
      </c>
      <c r="AC1980">
        <v>-78.283000000000001</v>
      </c>
      <c r="AD1980">
        <v>-1.1211956697109999</v>
      </c>
      <c r="AE1980">
        <v>5.0366000000000204</v>
      </c>
      <c r="AF1980">
        <v>3.0634027573339702</v>
      </c>
      <c r="AG1980">
        <v>-1.1211956697109999</v>
      </c>
      <c r="AH1980">
        <v>78.368983678748904</v>
      </c>
      <c r="AI1980">
        <v>90.819027910814398</v>
      </c>
      <c r="AJ1980">
        <v>87.761477499067595</v>
      </c>
      <c r="AK1980">
        <v>78.436847967160404</v>
      </c>
      <c r="AL1980">
        <v>78.2571364263856</v>
      </c>
      <c r="AM1980">
        <v>88.739551981998005</v>
      </c>
      <c r="AN1980">
        <v>0.99999997348311198</v>
      </c>
    </row>
    <row r="1981" spans="1:40" x14ac:dyDescent="0.25">
      <c r="A1981" t="str">
        <f>"20190303162818532"</f>
        <v>20190303162818532</v>
      </c>
      <c r="B1981" t="str">
        <f>"1551601698523120"</f>
        <v>1551601698523120</v>
      </c>
      <c r="C1981" t="s">
        <v>40</v>
      </c>
      <c r="D1981">
        <v>4.3008290000000002</v>
      </c>
      <c r="E1981">
        <v>0.50881509999999996</v>
      </c>
      <c r="F1981" t="s">
        <v>49</v>
      </c>
      <c r="G1981">
        <v>-409.9</v>
      </c>
      <c r="H1981" s="1">
        <v>3.0958230000000001E-6</v>
      </c>
      <c r="I1981">
        <v>289.05040000000002</v>
      </c>
      <c r="J1981">
        <v>-334.86829999999998</v>
      </c>
      <c r="K1981">
        <v>1.1212</v>
      </c>
      <c r="L1981">
        <v>284.1343</v>
      </c>
      <c r="M1981">
        <v>-0.99959609999999999</v>
      </c>
      <c r="N1981">
        <v>-1.318424E-2</v>
      </c>
      <c r="O1981">
        <v>2.5175380000000001E-2</v>
      </c>
      <c r="P1981">
        <v>-0.98050680000000001</v>
      </c>
      <c r="Q1981">
        <v>0.19088949999999999</v>
      </c>
      <c r="R1981">
        <v>4.6557609999999999E-2</v>
      </c>
      <c r="S1981">
        <v>-3.0588380000000002</v>
      </c>
      <c r="T1981">
        <v>-4.5582289999999998E-2</v>
      </c>
      <c r="U1981">
        <v>0.20007320000000001</v>
      </c>
      <c r="V1981">
        <v>2.1863870000000001E-2</v>
      </c>
      <c r="W1981">
        <v>0.20381060000000001</v>
      </c>
      <c r="X1981">
        <v>0.97876609999999997</v>
      </c>
      <c r="Y1981">
        <v>4.0115869999999998E-2</v>
      </c>
      <c r="Z1981">
        <v>5.2037389999999995E-4</v>
      </c>
      <c r="AA1981">
        <v>0.9991949</v>
      </c>
      <c r="AB1981">
        <v>37</v>
      </c>
      <c r="AC1981">
        <v>-75.031700000000001</v>
      </c>
      <c r="AD1981">
        <v>-1.121196904177</v>
      </c>
      <c r="AE1981">
        <v>4.9161000000000197</v>
      </c>
      <c r="AF1981">
        <v>3.02475328695254</v>
      </c>
      <c r="AG1981">
        <v>-1.121196904177</v>
      </c>
      <c r="AH1981">
        <v>75.114989082742596</v>
      </c>
      <c r="AI1981">
        <v>90.854464234259893</v>
      </c>
      <c r="AJ1981">
        <v>87.694041937828104</v>
      </c>
      <c r="AK1981">
        <v>75.184225738151994</v>
      </c>
      <c r="AL1981">
        <v>78.240117648594605</v>
      </c>
      <c r="AM1981">
        <v>88.720328409164793</v>
      </c>
      <c r="AN1981">
        <v>0.99999993399647102</v>
      </c>
    </row>
    <row r="1982" spans="1:40" x14ac:dyDescent="0.25">
      <c r="A1982" t="str">
        <f>"20190303162818545"</f>
        <v>20190303162818545</v>
      </c>
      <c r="B1982" t="str">
        <f>"1551601698533854"</f>
        <v>1551601698533854</v>
      </c>
      <c r="C1982" t="s">
        <v>40</v>
      </c>
      <c r="D1982">
        <v>4.2630970000000001</v>
      </c>
      <c r="E1982">
        <v>0.50886439999999999</v>
      </c>
      <c r="F1982" t="s">
        <v>49</v>
      </c>
      <c r="G1982">
        <v>-408.17660000000001</v>
      </c>
      <c r="H1982" s="1">
        <v>3.8635469999999998E-6</v>
      </c>
      <c r="I1982">
        <v>289.0335</v>
      </c>
      <c r="J1982">
        <v>-335.07760000000002</v>
      </c>
      <c r="K1982">
        <v>1.121202</v>
      </c>
      <c r="L1982">
        <v>284.13959999999997</v>
      </c>
      <c r="M1982">
        <v>-0.99959620000000005</v>
      </c>
      <c r="N1982">
        <v>-1.3183179999999999E-2</v>
      </c>
      <c r="O1982">
        <v>2.5175030000000001E-2</v>
      </c>
      <c r="P1982">
        <v>-0.9805102</v>
      </c>
      <c r="Q1982">
        <v>0.19084719999999999</v>
      </c>
      <c r="R1982">
        <v>4.6662509999999997E-2</v>
      </c>
      <c r="S1982">
        <v>-3.0590820000000001</v>
      </c>
      <c r="T1982">
        <v>-4.6786429999999997E-2</v>
      </c>
      <c r="U1982">
        <v>0.20443729999999999</v>
      </c>
      <c r="V1982">
        <v>2.196905E-2</v>
      </c>
      <c r="W1982">
        <v>0.20376759999999999</v>
      </c>
      <c r="X1982">
        <v>0.9787728</v>
      </c>
      <c r="Y1982">
        <v>4.1529589999999998E-2</v>
      </c>
      <c r="Z1982">
        <v>5.384567E-4</v>
      </c>
      <c r="AA1982">
        <v>0.9991371</v>
      </c>
      <c r="AB1982">
        <v>37</v>
      </c>
      <c r="AC1982">
        <v>-73.098999999999904</v>
      </c>
      <c r="AD1982">
        <v>-1.1211981364529999</v>
      </c>
      <c r="AE1982">
        <v>4.8939000000000297</v>
      </c>
      <c r="AF1982">
        <v>3.0512047138366798</v>
      </c>
      <c r="AG1982">
        <v>-1.1211981364529999</v>
      </c>
      <c r="AH1982">
        <v>73.181902957358005</v>
      </c>
      <c r="AI1982">
        <v>90.876981103178196</v>
      </c>
      <c r="AJ1982">
        <v>87.612525073413494</v>
      </c>
      <c r="AK1982">
        <v>73.254063750259505</v>
      </c>
      <c r="AL1982">
        <v>78.242635369596698</v>
      </c>
      <c r="AM1982">
        <v>88.714183184166998</v>
      </c>
      <c r="AN1982">
        <v>1.00000003399375</v>
      </c>
    </row>
    <row r="1983" spans="1:40" x14ac:dyDescent="0.25">
      <c r="A1983" t="str">
        <f>"20190303162818562"</f>
        <v>20190303162818562</v>
      </c>
      <c r="B1983" t="str">
        <f>"1551601698553375"</f>
        <v>1551601698553375</v>
      </c>
      <c r="C1983" t="s">
        <v>40</v>
      </c>
      <c r="D1983">
        <v>4.2865320000000002</v>
      </c>
      <c r="E1983">
        <v>0.50921419999999995</v>
      </c>
      <c r="F1983" t="s">
        <v>49</v>
      </c>
      <c r="G1983">
        <v>-408.62240000000003</v>
      </c>
      <c r="H1983" s="1">
        <v>3.6566010000000001E-6</v>
      </c>
      <c r="I1983">
        <v>289.07819999999998</v>
      </c>
      <c r="J1983">
        <v>-335.35480000000001</v>
      </c>
      <c r="K1983">
        <v>1.1212040000000001</v>
      </c>
      <c r="L1983">
        <v>284.14659999999998</v>
      </c>
      <c r="M1983">
        <v>-0.99959620000000005</v>
      </c>
      <c r="N1983">
        <v>-1.3181760000000001E-2</v>
      </c>
      <c r="O1983">
        <v>2.5175039999999999E-2</v>
      </c>
      <c r="P1983">
        <v>-0.98047320000000004</v>
      </c>
      <c r="Q1983">
        <v>0.1908271</v>
      </c>
      <c r="R1983">
        <v>4.7511390000000001E-2</v>
      </c>
      <c r="S1983">
        <v>-3.0589599999999999</v>
      </c>
      <c r="T1983">
        <v>-4.6634200000000001E-2</v>
      </c>
      <c r="U1983">
        <v>0.20541380000000001</v>
      </c>
      <c r="V1983">
        <v>2.2818640000000001E-2</v>
      </c>
      <c r="W1983">
        <v>0.2037457</v>
      </c>
      <c r="X1983">
        <v>0.97875789999999996</v>
      </c>
      <c r="Y1983">
        <v>4.1849749999999998E-2</v>
      </c>
      <c r="Z1983">
        <v>5.4315899999999998E-4</v>
      </c>
      <c r="AA1983">
        <v>0.99912380000000001</v>
      </c>
      <c r="AB1983">
        <v>37</v>
      </c>
      <c r="AC1983">
        <v>-73.267600000000002</v>
      </c>
      <c r="AD1983">
        <v>-1.1212003433990001</v>
      </c>
      <c r="AE1983">
        <v>4.9316000000000004</v>
      </c>
      <c r="AF1983">
        <v>3.0846426724153102</v>
      </c>
      <c r="AG1983">
        <v>-1.1212003433990001</v>
      </c>
      <c r="AH1983">
        <v>73.351438747774395</v>
      </c>
      <c r="AI1983">
        <v>90.874943045150104</v>
      </c>
      <c r="AJ1983">
        <v>87.591963614924694</v>
      </c>
      <c r="AK1983">
        <v>73.424830112129101</v>
      </c>
      <c r="AL1983">
        <v>78.243916792537604</v>
      </c>
      <c r="AM1983">
        <v>88.664455257035598</v>
      </c>
      <c r="AN1983">
        <v>1.00000001370617</v>
      </c>
    </row>
    <row r="1984" spans="1:40" x14ac:dyDescent="0.25">
      <c r="A1984" t="str">
        <f>"20190303162818575"</f>
        <v>20190303162818575</v>
      </c>
      <c r="B1984" t="str">
        <f>"1551601698563135"</f>
        <v>1551601698563135</v>
      </c>
      <c r="C1984" t="s">
        <v>40</v>
      </c>
      <c r="D1984">
        <v>4.2722220000000002</v>
      </c>
      <c r="E1984">
        <v>0.50921640000000001</v>
      </c>
      <c r="F1984" t="s">
        <v>49</v>
      </c>
      <c r="G1984">
        <v>-404.81079999999997</v>
      </c>
      <c r="H1984" s="1">
        <v>5.3783249999999999E-6</v>
      </c>
      <c r="I1984">
        <v>288.92610000000002</v>
      </c>
      <c r="J1984">
        <v>-335.56110000000001</v>
      </c>
      <c r="K1984">
        <v>1.121202</v>
      </c>
      <c r="L1984">
        <v>284.15179999999998</v>
      </c>
      <c r="M1984">
        <v>-0.99959620000000005</v>
      </c>
      <c r="N1984">
        <v>-1.31807E-2</v>
      </c>
      <c r="O1984">
        <v>2.5175039999999999E-2</v>
      </c>
      <c r="P1984">
        <v>-0.98048919999999995</v>
      </c>
      <c r="Q1984">
        <v>0.19065280000000001</v>
      </c>
      <c r="R1984">
        <v>4.7878759999999999E-2</v>
      </c>
      <c r="S1984">
        <v>-3.0591740000000001</v>
      </c>
      <c r="T1984">
        <v>-4.9382929999999998E-2</v>
      </c>
      <c r="U1984">
        <v>0.21051030000000001</v>
      </c>
      <c r="V1984">
        <v>2.3185339999999999E-2</v>
      </c>
      <c r="W1984">
        <v>0.20357059999999999</v>
      </c>
      <c r="X1984">
        <v>0.97878569999999998</v>
      </c>
      <c r="Y1984">
        <v>4.3500690000000002E-2</v>
      </c>
      <c r="Z1984">
        <v>5.6351640000000004E-4</v>
      </c>
      <c r="AA1984">
        <v>0.99905319999999997</v>
      </c>
      <c r="AB1984">
        <v>37</v>
      </c>
      <c r="AC1984">
        <v>-69.249699999999905</v>
      </c>
      <c r="AD1984">
        <v>-1.121196621675</v>
      </c>
      <c r="AE1984">
        <v>4.7743000000000304</v>
      </c>
      <c r="AF1984">
        <v>3.0284810842369798</v>
      </c>
      <c r="AG1984">
        <v>-1.121196621675</v>
      </c>
      <c r="AH1984">
        <v>69.329863787089707</v>
      </c>
      <c r="AI1984">
        <v>90.925619148749703</v>
      </c>
      <c r="AJ1984">
        <v>87.498784287472205</v>
      </c>
      <c r="AK1984">
        <v>69.405034343903694</v>
      </c>
      <c r="AL1984">
        <v>78.254163855784498</v>
      </c>
      <c r="AM1984">
        <v>88.6430392818054</v>
      </c>
      <c r="AN1984">
        <v>0.99999999784988203</v>
      </c>
    </row>
    <row r="1985" spans="1:40" x14ac:dyDescent="0.25">
      <c r="A1985" t="str">
        <f>"20190303162818592"</f>
        <v>20190303162818592</v>
      </c>
      <c r="B1985" t="str">
        <f>"1551601698583630"</f>
        <v>1551601698583630</v>
      </c>
      <c r="C1985" t="s">
        <v>40</v>
      </c>
      <c r="D1985">
        <v>4.2976640000000002</v>
      </c>
      <c r="E1985">
        <v>0.50920159999999903</v>
      </c>
      <c r="F1985" t="s">
        <v>49</v>
      </c>
      <c r="G1985">
        <v>-404.43770000000001</v>
      </c>
      <c r="H1985" s="1">
        <v>5.545544E-6</v>
      </c>
      <c r="I1985">
        <v>288.91770000000002</v>
      </c>
      <c r="J1985">
        <v>-335.8329</v>
      </c>
      <c r="K1985">
        <v>1.1211990000000001</v>
      </c>
      <c r="L1985">
        <v>284.15859999999998</v>
      </c>
      <c r="M1985">
        <v>-0.99959629999999999</v>
      </c>
      <c r="N1985">
        <v>-1.31793E-2</v>
      </c>
      <c r="O1985">
        <v>2.5173729999999998E-2</v>
      </c>
      <c r="P1985">
        <v>-0.9805566</v>
      </c>
      <c r="Q1985">
        <v>0.19016420000000001</v>
      </c>
      <c r="R1985">
        <v>4.8439309999999999E-2</v>
      </c>
      <c r="S1985">
        <v>-3.0590519999999999</v>
      </c>
      <c r="T1985">
        <v>-4.9796340000000001E-2</v>
      </c>
      <c r="U1985">
        <v>0.21166989999999999</v>
      </c>
      <c r="V1985">
        <v>2.374515E-2</v>
      </c>
      <c r="W1985">
        <v>0.20308180000000001</v>
      </c>
      <c r="X1985">
        <v>0.97887380000000002</v>
      </c>
      <c r="Y1985">
        <v>4.3881450000000002E-2</v>
      </c>
      <c r="Z1985">
        <v>5.6860029999999896E-4</v>
      </c>
      <c r="AA1985">
        <v>0.99903660000000005</v>
      </c>
      <c r="AB1985">
        <v>37</v>
      </c>
      <c r="AC1985">
        <v>-68.604799999999997</v>
      </c>
      <c r="AD1985">
        <v>-1.121193454456</v>
      </c>
      <c r="AE1985">
        <v>4.7591000000000401</v>
      </c>
      <c r="AF1985">
        <v>3.02959767935572</v>
      </c>
      <c r="AG1985">
        <v>-1.121193454456</v>
      </c>
      <c r="AH1985">
        <v>68.684612587472103</v>
      </c>
      <c r="AI1985">
        <v>90.934293158715406</v>
      </c>
      <c r="AJ1985">
        <v>87.474387471376602</v>
      </c>
      <c r="AK1985">
        <v>68.760537688067799</v>
      </c>
      <c r="AL1985">
        <v>78.282767357216898</v>
      </c>
      <c r="AM1985">
        <v>88.610413191472901</v>
      </c>
      <c r="AN1985">
        <v>0.999999982983101</v>
      </c>
    </row>
    <row r="1986" spans="1:40" x14ac:dyDescent="0.25">
      <c r="A1986" t="str">
        <f>"20190303162818609"</f>
        <v>20190303162818609</v>
      </c>
      <c r="B1986" t="str">
        <f>"1551601698593391"</f>
        <v>1551601698593391</v>
      </c>
      <c r="C1986" t="s">
        <v>40</v>
      </c>
      <c r="D1986">
        <v>4.3070110000000001</v>
      </c>
      <c r="E1986">
        <v>0.50921209999999995</v>
      </c>
      <c r="F1986" t="s">
        <v>49</v>
      </c>
      <c r="G1986">
        <v>-403.30009999999999</v>
      </c>
      <c r="H1986" s="1">
        <v>6.0621239999999998E-6</v>
      </c>
      <c r="I1986">
        <v>288.85910000000001</v>
      </c>
      <c r="J1986">
        <v>-336.11099999999999</v>
      </c>
      <c r="K1986">
        <v>1.121197</v>
      </c>
      <c r="L1986">
        <v>284.16570000000002</v>
      </c>
      <c r="M1986">
        <v>-0.99959640000000005</v>
      </c>
      <c r="N1986">
        <v>-1.317787E-2</v>
      </c>
      <c r="O1986">
        <v>2.5170020000000001E-2</v>
      </c>
      <c r="P1986">
        <v>-0.98060579999999997</v>
      </c>
      <c r="Q1986">
        <v>0.18969610000000001</v>
      </c>
      <c r="R1986">
        <v>4.9272499999999997E-2</v>
      </c>
      <c r="S1986">
        <v>-3.0587770000000001</v>
      </c>
      <c r="T1986">
        <v>-5.0831790000000002E-2</v>
      </c>
      <c r="U1986">
        <v>0.21310419999999999</v>
      </c>
      <c r="V1986">
        <v>2.4579779999999999E-2</v>
      </c>
      <c r="W1986">
        <v>0.2026135</v>
      </c>
      <c r="X1986">
        <v>0.97895030000000005</v>
      </c>
      <c r="Y1986">
        <v>4.4357130000000002E-2</v>
      </c>
      <c r="Z1986">
        <v>5.7453849999999896E-4</v>
      </c>
      <c r="AA1986">
        <v>0.9990156</v>
      </c>
      <c r="AB1986">
        <v>37</v>
      </c>
      <c r="AC1986">
        <v>-67.189099999999996</v>
      </c>
      <c r="AD1986">
        <v>-1.1211909378759899</v>
      </c>
      <c r="AE1986">
        <v>4.6933999999999898</v>
      </c>
      <c r="AF1986">
        <v>2.9997838173051501</v>
      </c>
      <c r="AG1986">
        <v>-1.1211909378759899</v>
      </c>
      <c r="AH1986">
        <v>67.267312759044401</v>
      </c>
      <c r="AI1986">
        <v>90.953952137900103</v>
      </c>
      <c r="AJ1986">
        <v>87.446588181691297</v>
      </c>
      <c r="AK1986">
        <v>67.343501081342893</v>
      </c>
      <c r="AL1986">
        <v>78.310169346137798</v>
      </c>
      <c r="AM1986">
        <v>88.5617024478464</v>
      </c>
      <c r="AN1986">
        <v>1.00000004291859</v>
      </c>
    </row>
    <row r="1987" spans="1:40" x14ac:dyDescent="0.25">
      <c r="A1987" t="str">
        <f>"20190303162818631"</f>
        <v>20190303162818631</v>
      </c>
      <c r="B1987" t="str">
        <f>"1551601698623647"</f>
        <v>1551601698623647</v>
      </c>
      <c r="C1987" t="s">
        <v>40</v>
      </c>
      <c r="D1987">
        <v>4.356439</v>
      </c>
      <c r="E1987">
        <v>0.50933509999999904</v>
      </c>
      <c r="F1987" t="s">
        <v>49</v>
      </c>
      <c r="G1987">
        <v>-401.41079999999999</v>
      </c>
      <c r="H1987" s="1">
        <v>6.91996599999999E-6</v>
      </c>
      <c r="I1987">
        <v>288.76209999999998</v>
      </c>
      <c r="J1987">
        <v>-336.49029999999999</v>
      </c>
      <c r="K1987">
        <v>1.121202</v>
      </c>
      <c r="L1987">
        <v>284.17520000000002</v>
      </c>
      <c r="M1987">
        <v>-0.99959679999999995</v>
      </c>
      <c r="N1987">
        <v>-1.3175930000000001E-2</v>
      </c>
      <c r="O1987">
        <v>2.5157140000000001E-2</v>
      </c>
      <c r="P1987">
        <v>-0.98063750000000005</v>
      </c>
      <c r="Q1987">
        <v>0.18928500000000001</v>
      </c>
      <c r="R1987">
        <v>5.0217110000000002E-2</v>
      </c>
      <c r="S1987">
        <v>-3.058716</v>
      </c>
      <c r="T1987">
        <v>-5.2517769999999998E-2</v>
      </c>
      <c r="U1987">
        <v>0.21530150000000001</v>
      </c>
      <c r="V1987">
        <v>2.5533320000000002E-2</v>
      </c>
      <c r="W1987">
        <v>0.2022012</v>
      </c>
      <c r="X1987">
        <v>0.97901110000000002</v>
      </c>
      <c r="Y1987">
        <v>4.5084819999999998E-2</v>
      </c>
      <c r="Z1987">
        <v>5.8389689999999996E-4</v>
      </c>
      <c r="AA1987">
        <v>0.99898299999999995</v>
      </c>
      <c r="AB1987">
        <v>37</v>
      </c>
      <c r="AC1987">
        <v>-64.920500000000004</v>
      </c>
      <c r="AD1987">
        <v>-1.121195080034</v>
      </c>
      <c r="AE1987">
        <v>4.5868999999999502</v>
      </c>
      <c r="AF1987">
        <v>2.95121648182463</v>
      </c>
      <c r="AG1987">
        <v>-1.121195080034</v>
      </c>
      <c r="AH1987">
        <v>64.996063381642799</v>
      </c>
      <c r="AI1987">
        <v>90.987248641032295</v>
      </c>
      <c r="AJ1987">
        <v>87.400208919254197</v>
      </c>
      <c r="AK1987">
        <v>65.072690218252205</v>
      </c>
      <c r="AL1987">
        <v>78.334291242867295</v>
      </c>
      <c r="AM1987">
        <v>88.506023163243796</v>
      </c>
      <c r="AN1987">
        <v>1.00000000481743</v>
      </c>
    </row>
    <row r="1988" spans="1:40" x14ac:dyDescent="0.25">
      <c r="A1988" t="str">
        <f>"20190303162818644"</f>
        <v>20190303162818644</v>
      </c>
      <c r="B1988" t="str">
        <f>"1551601698633407"</f>
        <v>1551601698633407</v>
      </c>
      <c r="C1988" t="s">
        <v>40</v>
      </c>
      <c r="D1988">
        <v>4.3127810000000002</v>
      </c>
      <c r="E1988">
        <v>0.50935390000000003</v>
      </c>
      <c r="F1988" t="s">
        <v>48</v>
      </c>
      <c r="G1988">
        <v>-398.77670000000001</v>
      </c>
      <c r="H1988" s="1">
        <v>3.1337359999999999E-6</v>
      </c>
      <c r="I1988">
        <v>288.63229999999999</v>
      </c>
      <c r="J1988">
        <v>-336.69240000000002</v>
      </c>
      <c r="K1988">
        <v>1.1212059999999999</v>
      </c>
      <c r="L1988">
        <v>284.18029999999999</v>
      </c>
      <c r="M1988">
        <v>-0.99959690000000001</v>
      </c>
      <c r="N1988">
        <v>-1.31749E-2</v>
      </c>
      <c r="O1988">
        <v>2.514659E-2</v>
      </c>
      <c r="P1988">
        <v>-0.98064569999999995</v>
      </c>
      <c r="Q1988">
        <v>0.1890925</v>
      </c>
      <c r="R1988">
        <v>5.0773789999999999E-2</v>
      </c>
      <c r="S1988">
        <v>-3.0586850000000001</v>
      </c>
      <c r="T1988">
        <v>-5.505848E-2</v>
      </c>
      <c r="U1988">
        <v>0.21887210000000001</v>
      </c>
      <c r="V1988">
        <v>2.6097849999999999E-2</v>
      </c>
      <c r="W1988">
        <v>0.20200879999999999</v>
      </c>
      <c r="X1988">
        <v>0.97903589999999996</v>
      </c>
      <c r="Y1988">
        <v>4.6255200000000003E-2</v>
      </c>
      <c r="Z1988">
        <v>5.9998089999999896E-4</v>
      </c>
      <c r="AA1988">
        <v>0.99892950000000003</v>
      </c>
      <c r="AB1988">
        <v>37</v>
      </c>
      <c r="AC1988">
        <v>-62.084299999999899</v>
      </c>
      <c r="AD1988">
        <v>-1.1212028662639999</v>
      </c>
      <c r="AE1988">
        <v>4.4519999999999902</v>
      </c>
      <c r="AF1988">
        <v>2.8883107076992101</v>
      </c>
      <c r="AG1988">
        <v>-1.1212028662639999</v>
      </c>
      <c r="AH1988">
        <v>62.156458257847</v>
      </c>
      <c r="AI1988">
        <v>91.032298253938194</v>
      </c>
      <c r="AJ1988">
        <v>87.339471089541405</v>
      </c>
      <c r="AK1988">
        <v>62.233630279544201</v>
      </c>
      <c r="AL1988">
        <v>78.3455468581449</v>
      </c>
      <c r="AM1988">
        <v>88.473046151895304</v>
      </c>
      <c r="AN1988">
        <v>0.99999997327043499</v>
      </c>
    </row>
    <row r="1989" spans="1:40" x14ac:dyDescent="0.25">
      <c r="A1989" t="str">
        <f>"20190303162818658"</f>
        <v>20190303162818658</v>
      </c>
      <c r="B1989" t="str">
        <f>"1551601698643167"</f>
        <v>1551601698643167</v>
      </c>
      <c r="C1989" t="s">
        <v>40</v>
      </c>
      <c r="D1989">
        <v>4.3038179999999997</v>
      </c>
      <c r="E1989">
        <v>0.50936590000000004</v>
      </c>
      <c r="F1989" t="s">
        <v>48</v>
      </c>
      <c r="G1989">
        <v>-397.13080000000002</v>
      </c>
      <c r="H1989" s="1">
        <v>2.2578659999999999E-6</v>
      </c>
      <c r="I1989">
        <v>288.53640000000001</v>
      </c>
      <c r="J1989">
        <v>-336.93639999999999</v>
      </c>
      <c r="K1989">
        <v>1.1212169999999999</v>
      </c>
      <c r="L1989">
        <v>284.18639999999999</v>
      </c>
      <c r="M1989">
        <v>-0.99959750000000003</v>
      </c>
      <c r="N1989">
        <v>-1.317371E-2</v>
      </c>
      <c r="O1989">
        <v>2.512605E-2</v>
      </c>
      <c r="P1989">
        <v>-0.9806319</v>
      </c>
      <c r="Q1989">
        <v>0.18907679999999999</v>
      </c>
      <c r="R1989">
        <v>5.1102969999999998E-2</v>
      </c>
      <c r="S1989">
        <v>-3.0587460000000002</v>
      </c>
      <c r="T1989">
        <v>-5.6743380000000003E-2</v>
      </c>
      <c r="U1989">
        <v>0.22045899999999999</v>
      </c>
      <c r="V1989">
        <v>2.6444309999999999E-2</v>
      </c>
      <c r="W1989">
        <v>0.201992</v>
      </c>
      <c r="X1989">
        <v>0.97903010000000001</v>
      </c>
      <c r="Y1989">
        <v>4.6789200000000003E-2</v>
      </c>
      <c r="Z1989">
        <v>6.07399E-4</v>
      </c>
      <c r="AA1989">
        <v>0.99890460000000003</v>
      </c>
      <c r="AB1989">
        <v>37</v>
      </c>
      <c r="AC1989">
        <v>-60.194400000000002</v>
      </c>
      <c r="AD1989">
        <v>-1.121214742134</v>
      </c>
      <c r="AE1989">
        <v>4.3500000000000201</v>
      </c>
      <c r="AF1989">
        <v>2.83506917272409</v>
      </c>
      <c r="AG1989">
        <v>-1.121214742134</v>
      </c>
      <c r="AH1989">
        <v>60.263900721948403</v>
      </c>
      <c r="AI1989">
        <v>91.064692390590096</v>
      </c>
      <c r="AJ1989">
        <v>87.306549663129005</v>
      </c>
      <c r="AK1989">
        <v>60.3409684206093</v>
      </c>
      <c r="AL1989">
        <v>78.346530040961795</v>
      </c>
      <c r="AM1989">
        <v>88.452775820617504</v>
      </c>
      <c r="AN1989">
        <v>1.0000000031506899</v>
      </c>
    </row>
    <row r="1990" spans="1:40" x14ac:dyDescent="0.25">
      <c r="A1990" t="str">
        <f>"20190303162818674"</f>
        <v>20190303162818674</v>
      </c>
      <c r="B1990" t="str">
        <f>"1551601698663664"</f>
        <v>1551601698663664</v>
      </c>
      <c r="C1990" t="s">
        <v>40</v>
      </c>
      <c r="D1990">
        <v>4.312818</v>
      </c>
      <c r="E1990">
        <v>0.50940319999999994</v>
      </c>
      <c r="F1990" t="s">
        <v>48</v>
      </c>
      <c r="G1990">
        <v>-397.2038</v>
      </c>
      <c r="H1990" s="1">
        <v>2.2966889999999999E-6</v>
      </c>
      <c r="I1990">
        <v>288.54829999999998</v>
      </c>
      <c r="J1990">
        <v>-337.19450000000001</v>
      </c>
      <c r="K1990">
        <v>1.121218</v>
      </c>
      <c r="L1990">
        <v>284.19290000000001</v>
      </c>
      <c r="M1990">
        <v>-0.9995984</v>
      </c>
      <c r="N1990">
        <v>-1.317247E-2</v>
      </c>
      <c r="O1990">
        <v>2.5095920000000001E-2</v>
      </c>
      <c r="P1990">
        <v>-0.98066039999999999</v>
      </c>
      <c r="Q1990">
        <v>0.1885792</v>
      </c>
      <c r="R1990">
        <v>5.2376730000000003E-2</v>
      </c>
      <c r="S1990">
        <v>-3.0586850000000001</v>
      </c>
      <c r="T1990">
        <v>-5.6903839999999997E-2</v>
      </c>
      <c r="U1990">
        <v>0.2213745</v>
      </c>
      <c r="V1990">
        <v>2.7741700000000001E-2</v>
      </c>
      <c r="W1990">
        <v>0.2014946</v>
      </c>
      <c r="X1990">
        <v>0.97909669999999904</v>
      </c>
      <c r="Y1990">
        <v>4.7118029999999998E-2</v>
      </c>
      <c r="Z1990">
        <v>6.1263520000000001E-4</v>
      </c>
      <c r="AA1990">
        <v>0.99888909999999997</v>
      </c>
      <c r="AB1990">
        <v>37</v>
      </c>
      <c r="AC1990">
        <v>-60.009300000000003</v>
      </c>
      <c r="AD1990">
        <v>-1.121215703311</v>
      </c>
      <c r="AE1990">
        <v>4.3553999999999702</v>
      </c>
      <c r="AF1990">
        <v>2.8469203342785501</v>
      </c>
      <c r="AG1990">
        <v>-1.121215703311</v>
      </c>
      <c r="AH1990">
        <v>60.0788456947123</v>
      </c>
      <c r="AI1990">
        <v>91.067954804894697</v>
      </c>
      <c r="AJ1990">
        <v>87.286988606990406</v>
      </c>
      <c r="AK1990">
        <v>60.156710183088798</v>
      </c>
      <c r="AL1990">
        <v>78.375627348651605</v>
      </c>
      <c r="AM1990">
        <v>88.377017123671394</v>
      </c>
      <c r="AN1990">
        <v>1.0000000118494601</v>
      </c>
    </row>
    <row r="1991" spans="1:40" x14ac:dyDescent="0.25">
      <c r="A1991" t="str">
        <f>"20190303162818689"</f>
        <v>20190303162818689</v>
      </c>
      <c r="B1991" t="str">
        <f>"1551601698683183"</f>
        <v>1551601698683183</v>
      </c>
      <c r="C1991" t="s">
        <v>40</v>
      </c>
      <c r="D1991">
        <v>4.3313969999999999</v>
      </c>
      <c r="E1991">
        <v>0.50934849999999998</v>
      </c>
      <c r="F1991" t="s">
        <v>48</v>
      </c>
      <c r="G1991">
        <v>-395.41800000000001</v>
      </c>
      <c r="H1991" s="1">
        <v>1.3463970000000001E-6</v>
      </c>
      <c r="I1991">
        <v>288.48329999999999</v>
      </c>
      <c r="J1991">
        <v>-337.43689999999998</v>
      </c>
      <c r="K1991">
        <v>1.1212279999999999</v>
      </c>
      <c r="L1991">
        <v>284.19900000000001</v>
      </c>
      <c r="M1991">
        <v>-0.99959920000000002</v>
      </c>
      <c r="N1991">
        <v>-1.317131E-2</v>
      </c>
      <c r="O1991">
        <v>2.505899E-2</v>
      </c>
      <c r="P1991">
        <v>-0.98072429999999999</v>
      </c>
      <c r="Q1991">
        <v>0.18810959999999999</v>
      </c>
      <c r="R1991">
        <v>5.2866650000000001E-2</v>
      </c>
      <c r="S1991">
        <v>-3.0584410000000002</v>
      </c>
      <c r="T1991">
        <v>-5.8896780000000003E-2</v>
      </c>
      <c r="U1991">
        <v>0.2253723</v>
      </c>
      <c r="V1991">
        <v>2.82612E-2</v>
      </c>
      <c r="W1991">
        <v>0.20102610000000001</v>
      </c>
      <c r="X1991">
        <v>0.97917810000000005</v>
      </c>
      <c r="Y1991">
        <v>4.8458269999999998E-2</v>
      </c>
      <c r="Z1991">
        <v>6.3353629999999997E-4</v>
      </c>
      <c r="AA1991">
        <v>0.99882499999999996</v>
      </c>
      <c r="AB1991">
        <v>37</v>
      </c>
      <c r="AC1991">
        <v>-57.981099999999998</v>
      </c>
      <c r="AD1991">
        <v>-1.121226653603</v>
      </c>
      <c r="AE1991">
        <v>4.2842999999999698</v>
      </c>
      <c r="AF1991">
        <v>2.8288284340171499</v>
      </c>
      <c r="AG1991">
        <v>-1.121226653603</v>
      </c>
      <c r="AH1991">
        <v>58.048669381422798</v>
      </c>
      <c r="AI1991">
        <v>91.105235516407802</v>
      </c>
      <c r="AJ1991">
        <v>87.2100685250483</v>
      </c>
      <c r="AK1991">
        <v>58.128370323548403</v>
      </c>
      <c r="AL1991">
        <v>78.403030670997097</v>
      </c>
      <c r="AM1991">
        <v>88.346778707311202</v>
      </c>
      <c r="AN1991">
        <v>0.99999996991312901</v>
      </c>
    </row>
    <row r="1992" spans="1:40" x14ac:dyDescent="0.25">
      <c r="A1992" t="str">
        <f>"20190303162818709"</f>
        <v>20190303162818709</v>
      </c>
      <c r="B1992" t="str">
        <f>"1551601698703211"</f>
        <v>1551601698703211</v>
      </c>
      <c r="C1992" t="s">
        <v>40</v>
      </c>
      <c r="D1992">
        <v>4.3343129999999999</v>
      </c>
      <c r="E1992">
        <v>0.50928300000000004</v>
      </c>
      <c r="F1992" t="s">
        <v>48</v>
      </c>
      <c r="G1992">
        <v>-393.68259999999998</v>
      </c>
      <c r="H1992" s="1">
        <v>4.2288920000000001E-7</v>
      </c>
      <c r="I1992">
        <v>288.3587</v>
      </c>
      <c r="J1992">
        <v>-337.76179999999999</v>
      </c>
      <c r="K1992">
        <v>1.121243</v>
      </c>
      <c r="L1992">
        <v>284.20710000000003</v>
      </c>
      <c r="M1992">
        <v>-0.99960099999999996</v>
      </c>
      <c r="N1992">
        <v>-1.3169770000000001E-2</v>
      </c>
      <c r="O1992">
        <v>2.499198E-2</v>
      </c>
      <c r="P1992">
        <v>-0.98073169999999998</v>
      </c>
      <c r="Q1992">
        <v>0.18780150000000001</v>
      </c>
      <c r="R1992">
        <v>5.3815259999999997E-2</v>
      </c>
      <c r="S1992">
        <v>-3.0585019999999998</v>
      </c>
      <c r="T1992">
        <v>-6.0969589999999997E-2</v>
      </c>
      <c r="U1992">
        <v>0.22619629999999999</v>
      </c>
      <c r="V1992">
        <v>2.9267000000000001E-2</v>
      </c>
      <c r="W1992">
        <v>0.20071729999999999</v>
      </c>
      <c r="X1992">
        <v>0.97921190000000002</v>
      </c>
      <c r="Y1992">
        <v>4.879054E-2</v>
      </c>
      <c r="Z1992">
        <v>6.3885570000000004E-4</v>
      </c>
      <c r="AA1992">
        <v>0.99880880000000005</v>
      </c>
      <c r="AB1992">
        <v>37</v>
      </c>
      <c r="AC1992">
        <v>-55.9207999999999</v>
      </c>
      <c r="AD1992">
        <v>-1.1212425771108001</v>
      </c>
      <c r="AE1992">
        <v>4.15159999999997</v>
      </c>
      <c r="AF1992">
        <v>2.7515103294259098</v>
      </c>
      <c r="AG1992">
        <v>-1.1212425771108001</v>
      </c>
      <c r="AH1992">
        <v>55.984712050843299</v>
      </c>
      <c r="AI1992">
        <v>91.145963977131402</v>
      </c>
      <c r="AJ1992">
        <v>87.186317949387004</v>
      </c>
      <c r="AK1992">
        <v>56.063499511049997</v>
      </c>
      <c r="AL1992">
        <v>78.421091719858097</v>
      </c>
      <c r="AM1992">
        <v>88.288034977672496</v>
      </c>
      <c r="AN1992">
        <v>0.99999996845494898</v>
      </c>
    </row>
    <row r="1993" spans="1:40" x14ac:dyDescent="0.25">
      <c r="A1993" t="str">
        <f>"20190303162818722"</f>
        <v>20190303162818722</v>
      </c>
      <c r="B1993" t="str">
        <f>"1551601698712971"</f>
        <v>1551601698712971</v>
      </c>
      <c r="C1993" t="s">
        <v>40</v>
      </c>
      <c r="D1993">
        <v>4.3379269999999996</v>
      </c>
      <c r="E1993">
        <v>0.50923439999999998</v>
      </c>
      <c r="F1993" t="s">
        <v>48</v>
      </c>
      <c r="G1993">
        <v>-392.9622</v>
      </c>
      <c r="H1993" s="1">
        <v>3.9524080000000003E-8</v>
      </c>
      <c r="I1993">
        <v>288.32769999999999</v>
      </c>
      <c r="J1993">
        <v>-337.99009999999998</v>
      </c>
      <c r="K1993">
        <v>1.1212569999999999</v>
      </c>
      <c r="L1993">
        <v>284.21269999999998</v>
      </c>
      <c r="M1993">
        <v>-0.9996024</v>
      </c>
      <c r="N1993">
        <v>-1.31687E-2</v>
      </c>
      <c r="O1993">
        <v>2.4936E-2</v>
      </c>
      <c r="P1993">
        <v>-0.98073659999999996</v>
      </c>
      <c r="Q1993">
        <v>0.18768070000000001</v>
      </c>
      <c r="R1993">
        <v>5.4145930000000002E-2</v>
      </c>
      <c r="S1993">
        <v>-3.0583499999999999</v>
      </c>
      <c r="T1993">
        <v>-6.2121990000000002E-2</v>
      </c>
      <c r="U1993">
        <v>0.228302</v>
      </c>
      <c r="V1993">
        <v>2.96463E-2</v>
      </c>
      <c r="W1993">
        <v>0.20059679999999999</v>
      </c>
      <c r="X1993">
        <v>0.97922520000000002</v>
      </c>
      <c r="Y1993">
        <v>4.953337E-2</v>
      </c>
      <c r="Z1993">
        <v>6.5141339999999904E-4</v>
      </c>
      <c r="AA1993">
        <v>0.99877229999999995</v>
      </c>
      <c r="AB1993">
        <v>37</v>
      </c>
      <c r="AC1993">
        <v>-54.972099999999998</v>
      </c>
      <c r="AD1993">
        <v>-1.1212569604759199</v>
      </c>
      <c r="AE1993">
        <v>4.1150000000000002</v>
      </c>
      <c r="AF1993">
        <v>2.74168291136903</v>
      </c>
      <c r="AG1993">
        <v>-1.1212569604759199</v>
      </c>
      <c r="AH1993">
        <v>55.0348553500477</v>
      </c>
      <c r="AI1993">
        <v>91.1657133946062</v>
      </c>
      <c r="AJ1993">
        <v>87.148041883375996</v>
      </c>
      <c r="AK1993">
        <v>55.114511208560899</v>
      </c>
      <c r="AL1993">
        <v>78.428139399707703</v>
      </c>
      <c r="AM1993">
        <v>88.265884929347607</v>
      </c>
      <c r="AN1993">
        <v>0.99999998579448401</v>
      </c>
    </row>
    <row r="1994" spans="1:40" x14ac:dyDescent="0.25">
      <c r="A1994" t="str">
        <f>"20190303162818736"</f>
        <v>20190303162818736</v>
      </c>
      <c r="B1994" t="str">
        <f>"1551601698723707"</f>
        <v>1551601698723707</v>
      </c>
      <c r="C1994" t="s">
        <v>40</v>
      </c>
      <c r="D1994">
        <v>4.3443550000000002</v>
      </c>
      <c r="E1994">
        <v>0.50918200000000002</v>
      </c>
      <c r="F1994" t="s">
        <v>48</v>
      </c>
      <c r="G1994">
        <v>-393.00760000000002</v>
      </c>
      <c r="H1994" s="1">
        <v>6.368532E-8</v>
      </c>
      <c r="I1994">
        <v>288.33139999999997</v>
      </c>
      <c r="J1994">
        <v>-338.20190000000002</v>
      </c>
      <c r="K1994">
        <v>1.1212679999999999</v>
      </c>
      <c r="L1994">
        <v>284.21789999999999</v>
      </c>
      <c r="M1994">
        <v>-0.99960389999999999</v>
      </c>
      <c r="N1994">
        <v>-1.3167730000000001E-2</v>
      </c>
      <c r="O1994">
        <v>2.4873050000000001E-2</v>
      </c>
      <c r="P1994">
        <v>-0.98075239999999997</v>
      </c>
      <c r="Q1994">
        <v>0.1875165</v>
      </c>
      <c r="R1994">
        <v>5.4429749999999999E-2</v>
      </c>
      <c r="S1994">
        <v>-3.0582280000000002</v>
      </c>
      <c r="T1994">
        <v>-6.2326670000000001E-2</v>
      </c>
      <c r="U1994">
        <v>0.2289429</v>
      </c>
      <c r="V1994">
        <v>2.9985600000000001E-2</v>
      </c>
      <c r="W1994">
        <v>0.20043330000000001</v>
      </c>
      <c r="X1994">
        <v>0.97924829999999996</v>
      </c>
      <c r="Y1994">
        <v>4.9807190000000001E-2</v>
      </c>
      <c r="Z1994">
        <v>6.5639810000000002E-4</v>
      </c>
      <c r="AA1994">
        <v>0.99875860000000005</v>
      </c>
      <c r="AB1994">
        <v>37</v>
      </c>
      <c r="AC1994">
        <v>-54.805700000000002</v>
      </c>
      <c r="AD1994">
        <v>-1.12126793631468</v>
      </c>
      <c r="AE1994">
        <v>4.1134999999999797</v>
      </c>
      <c r="AF1994">
        <v>2.7477803397096698</v>
      </c>
      <c r="AG1994">
        <v>-1.12126793631468</v>
      </c>
      <c r="AH1994">
        <v>54.8682278134482</v>
      </c>
      <c r="AI1994">
        <v>91.169248689465306</v>
      </c>
      <c r="AJ1994">
        <v>87.133043923363502</v>
      </c>
      <c r="AK1994">
        <v>54.948430022783697</v>
      </c>
      <c r="AL1994">
        <v>78.437700904966704</v>
      </c>
      <c r="AM1994">
        <v>88.246091769371105</v>
      </c>
      <c r="AN1994">
        <v>0.99999993850456803</v>
      </c>
    </row>
    <row r="1995" spans="1:40" x14ac:dyDescent="0.25">
      <c r="A1995" t="str">
        <f>"20190303162818753"</f>
        <v>20190303162818753</v>
      </c>
      <c r="B1995" t="str">
        <f>"1551601698743227"</f>
        <v>1551601698743227</v>
      </c>
      <c r="C1995" t="s">
        <v>40</v>
      </c>
      <c r="D1995">
        <v>4.342784</v>
      </c>
      <c r="E1995">
        <v>0.50902639999999999</v>
      </c>
      <c r="F1995" t="s">
        <v>48</v>
      </c>
      <c r="G1995">
        <v>-392.61950000000002</v>
      </c>
      <c r="H1995" s="1">
        <v>-1.42816899999999E-7</v>
      </c>
      <c r="I1995">
        <v>288.2978</v>
      </c>
      <c r="J1995">
        <v>-338.49119999999999</v>
      </c>
      <c r="K1995">
        <v>1.121286</v>
      </c>
      <c r="L1995">
        <v>284.2251</v>
      </c>
      <c r="M1995">
        <v>-0.99960640000000001</v>
      </c>
      <c r="N1995">
        <v>-1.316638E-2</v>
      </c>
      <c r="O1995">
        <v>2.4776940000000001E-2</v>
      </c>
      <c r="P1995">
        <v>-0.98075330000000005</v>
      </c>
      <c r="Q1995">
        <v>0.187357</v>
      </c>
      <c r="R1995">
        <v>5.4960750000000003E-2</v>
      </c>
      <c r="S1995">
        <v>-3.0581670000000001</v>
      </c>
      <c r="T1995">
        <v>-6.3013199999999894E-2</v>
      </c>
      <c r="U1995">
        <v>0.2292786</v>
      </c>
      <c r="V1995">
        <v>3.060268E-2</v>
      </c>
      <c r="W1995">
        <v>0.20027400000000001</v>
      </c>
      <c r="X1995">
        <v>0.97926190000000002</v>
      </c>
      <c r="Y1995">
        <v>5.0013389999999998E-2</v>
      </c>
      <c r="Z1995">
        <v>6.6053270000000005E-4</v>
      </c>
      <c r="AA1995">
        <v>0.99874830000000003</v>
      </c>
      <c r="AB1995">
        <v>37</v>
      </c>
      <c r="AC1995">
        <v>-54.128300000000003</v>
      </c>
      <c r="AD1995">
        <v>-1.1212861428168901</v>
      </c>
      <c r="AE1995">
        <v>4.0726999999999904</v>
      </c>
      <c r="AF1995">
        <v>2.7290352133801701</v>
      </c>
      <c r="AG1995">
        <v>-1.1212861428168901</v>
      </c>
      <c r="AH1995">
        <v>54.189474589853603</v>
      </c>
      <c r="AI1995">
        <v>91.183892571682307</v>
      </c>
      <c r="AJ1995">
        <v>87.116963916862503</v>
      </c>
      <c r="AK1995">
        <v>54.269734402651402</v>
      </c>
      <c r="AL1995">
        <v>78.447018137941001</v>
      </c>
      <c r="AM1995">
        <v>88.210045808433193</v>
      </c>
      <c r="AN1995">
        <v>1.0000000339453901</v>
      </c>
    </row>
    <row r="1996" spans="1:40" x14ac:dyDescent="0.25">
      <c r="A1996" t="str">
        <f>"20190303162818767"</f>
        <v>20190303162818767</v>
      </c>
      <c r="B1996" t="str">
        <f>"1551601698752987"</f>
        <v>1551601698752987</v>
      </c>
      <c r="C1996" t="s">
        <v>40</v>
      </c>
      <c r="D1996">
        <v>4.3617710000000001</v>
      </c>
      <c r="E1996">
        <v>0.50896279999999905</v>
      </c>
      <c r="F1996" t="s">
        <v>48</v>
      </c>
      <c r="G1996">
        <v>-392.99180000000001</v>
      </c>
      <c r="H1996" s="1">
        <v>5.5281870000000003E-8</v>
      </c>
      <c r="I1996">
        <v>288.32060000000001</v>
      </c>
      <c r="J1996">
        <v>-338.71370000000002</v>
      </c>
      <c r="K1996">
        <v>1.1213010000000001</v>
      </c>
      <c r="L1996">
        <v>284.23050000000001</v>
      </c>
      <c r="M1996">
        <v>-0.99960850000000001</v>
      </c>
      <c r="N1996">
        <v>-1.316529E-2</v>
      </c>
      <c r="O1996">
        <v>2.469468E-2</v>
      </c>
      <c r="P1996">
        <v>-0.98077820000000004</v>
      </c>
      <c r="Q1996">
        <v>0.1872211</v>
      </c>
      <c r="R1996">
        <v>5.497788E-2</v>
      </c>
      <c r="S1996">
        <v>-3.058014</v>
      </c>
      <c r="T1996">
        <v>-6.2915090000000007E-2</v>
      </c>
      <c r="U1996">
        <v>0.22979740000000001</v>
      </c>
      <c r="V1996">
        <v>3.069392E-2</v>
      </c>
      <c r="W1996">
        <v>0.2001376</v>
      </c>
      <c r="X1996">
        <v>0.97928689999999996</v>
      </c>
      <c r="Y1996">
        <v>5.0267739999999998E-2</v>
      </c>
      <c r="Z1996">
        <v>6.6536709999999997E-4</v>
      </c>
      <c r="AA1996">
        <v>0.9987355</v>
      </c>
      <c r="AB1996">
        <v>37</v>
      </c>
      <c r="AC1996">
        <v>-54.278100000000002</v>
      </c>
      <c r="AD1996">
        <v>-1.1213009447181299</v>
      </c>
      <c r="AE1996">
        <v>4.0900999999999996</v>
      </c>
      <c r="AF1996">
        <v>2.74719038328859</v>
      </c>
      <c r="AG1996">
        <v>-1.1213009447181299</v>
      </c>
      <c r="AH1996">
        <v>54.339497336329401</v>
      </c>
      <c r="AI1996">
        <v>91.180628951021703</v>
      </c>
      <c r="AJ1996">
        <v>87.105815748957994</v>
      </c>
      <c r="AK1996">
        <v>54.420449663482202</v>
      </c>
      <c r="AL1996">
        <v>78.454994428645406</v>
      </c>
      <c r="AM1996">
        <v>88.204758459220201</v>
      </c>
      <c r="AN1996">
        <v>1.00000000408516</v>
      </c>
    </row>
    <row r="1997" spans="1:40" x14ac:dyDescent="0.25">
      <c r="A1997" t="str">
        <f>"20190303162818781"</f>
        <v>20190303162818781</v>
      </c>
      <c r="B1997" t="str">
        <f>"1551601698773482"</f>
        <v>1551601698773482</v>
      </c>
      <c r="C1997" t="s">
        <v>40</v>
      </c>
      <c r="D1997">
        <v>4.3548109999999998</v>
      </c>
      <c r="E1997">
        <v>0.50892349999999997</v>
      </c>
      <c r="F1997" t="s">
        <v>48</v>
      </c>
      <c r="G1997">
        <v>-392.69119999999998</v>
      </c>
      <c r="H1997" s="1">
        <v>-1.046549E-7</v>
      </c>
      <c r="I1997">
        <v>288.2774</v>
      </c>
      <c r="J1997">
        <v>-338.95260000000002</v>
      </c>
      <c r="K1997">
        <v>1.1213139999999999</v>
      </c>
      <c r="L1997">
        <v>284.23630000000003</v>
      </c>
      <c r="M1997">
        <v>-0.99961080000000002</v>
      </c>
      <c r="N1997">
        <v>-1.3163940000000001E-2</v>
      </c>
      <c r="O1997">
        <v>2.4597210000000001E-2</v>
      </c>
      <c r="P1997">
        <v>-0.98079760000000005</v>
      </c>
      <c r="Q1997">
        <v>0.18707699999999999</v>
      </c>
      <c r="R1997">
        <v>5.5122089999999999E-2</v>
      </c>
      <c r="S1997">
        <v>-3.0580750000000001</v>
      </c>
      <c r="T1997">
        <v>-6.3526869999999999E-2</v>
      </c>
      <c r="U1997">
        <v>0.2292786</v>
      </c>
      <c r="V1997">
        <v>3.0927219999999998E-2</v>
      </c>
      <c r="W1997">
        <v>0.1999937</v>
      </c>
      <c r="X1997">
        <v>0.97930899999999999</v>
      </c>
      <c r="Y1997">
        <v>5.0194929999999999E-2</v>
      </c>
      <c r="Z1997">
        <v>6.6489190000000001E-4</v>
      </c>
      <c r="AA1997">
        <v>0.99873920000000005</v>
      </c>
      <c r="AB1997">
        <v>37</v>
      </c>
      <c r="AC1997">
        <v>-53.738599999999899</v>
      </c>
      <c r="AD1997">
        <v>-1.12131410465489</v>
      </c>
      <c r="AE1997">
        <v>4.0410999999999699</v>
      </c>
      <c r="AF1997">
        <v>2.7167667826362698</v>
      </c>
      <c r="AG1997">
        <v>-1.12131410465489</v>
      </c>
      <c r="AH1997">
        <v>53.798454800474303</v>
      </c>
      <c r="AI1997">
        <v>91.192516358659205</v>
      </c>
      <c r="AJ1997">
        <v>87.109077662969895</v>
      </c>
      <c r="AK1997">
        <v>53.878677656297498</v>
      </c>
      <c r="AL1997">
        <v>78.463409902635306</v>
      </c>
      <c r="AM1997">
        <v>88.191162915462499</v>
      </c>
      <c r="AN1997">
        <v>1.0000000452288</v>
      </c>
    </row>
    <row r="1998" spans="1:40" x14ac:dyDescent="0.25">
      <c r="A1998" t="str">
        <f>"20190303162818798"</f>
        <v>20190303162818798</v>
      </c>
      <c r="B1998" t="str">
        <f>"1551601698783245"</f>
        <v>1551601698783245</v>
      </c>
      <c r="C1998" t="s">
        <v>40</v>
      </c>
      <c r="D1998">
        <v>4.3713430000000004</v>
      </c>
      <c r="E1998">
        <v>0.50889240000000002</v>
      </c>
      <c r="F1998" t="s">
        <v>48</v>
      </c>
      <c r="G1998">
        <v>-391.88249999999999</v>
      </c>
      <c r="H1998" s="1">
        <v>-5.3502219999999896E-7</v>
      </c>
      <c r="I1998">
        <v>288.20609999999999</v>
      </c>
      <c r="J1998">
        <v>-339.22809999999998</v>
      </c>
      <c r="K1998">
        <v>1.121329</v>
      </c>
      <c r="L1998">
        <v>284.24290000000002</v>
      </c>
      <c r="M1998">
        <v>-0.9996138</v>
      </c>
      <c r="N1998">
        <v>-1.3162510000000001E-2</v>
      </c>
      <c r="O1998">
        <v>2.4475179999999999E-2</v>
      </c>
      <c r="P1998">
        <v>-0.98081079999999998</v>
      </c>
      <c r="Q1998">
        <v>0.1869364</v>
      </c>
      <c r="R1998">
        <v>5.5361479999999998E-2</v>
      </c>
      <c r="S1998">
        <v>-3.0581969999999998</v>
      </c>
      <c r="T1998">
        <v>-6.4787629999999999E-2</v>
      </c>
      <c r="U1998">
        <v>0.22937009999999999</v>
      </c>
      <c r="V1998">
        <v>3.1279559999999998E-2</v>
      </c>
      <c r="W1998">
        <v>0.19985349999999999</v>
      </c>
      <c r="X1998">
        <v>0.97932640000000004</v>
      </c>
      <c r="Y1998">
        <v>5.0343079999999998E-2</v>
      </c>
      <c r="Z1998">
        <v>6.6854869999999995E-4</v>
      </c>
      <c r="AA1998">
        <v>0.9987317</v>
      </c>
      <c r="AB1998">
        <v>37</v>
      </c>
      <c r="AC1998">
        <v>-52.654400000000003</v>
      </c>
      <c r="AD1998">
        <v>-1.1213295350221999</v>
      </c>
      <c r="AE1998">
        <v>3.9631999999999699</v>
      </c>
      <c r="AF1998">
        <v>2.6719700558573298</v>
      </c>
      <c r="AG1998">
        <v>-1.1213295350221999</v>
      </c>
      <c r="AH1998">
        <v>52.711861187521897</v>
      </c>
      <c r="AI1998">
        <v>91.2170963815786</v>
      </c>
      <c r="AJ1998">
        <v>87.098154336568797</v>
      </c>
      <c r="AK1998">
        <v>52.791449248510702</v>
      </c>
      <c r="AL1998">
        <v>78.471607930813704</v>
      </c>
      <c r="AM1998">
        <v>88.170602049093006</v>
      </c>
      <c r="AN1998">
        <v>1.0000000150365</v>
      </c>
    </row>
    <row r="1999" spans="1:40" x14ac:dyDescent="0.25">
      <c r="A1999" t="str">
        <f>"20190303162818821"</f>
        <v>20190303162818821</v>
      </c>
      <c r="B1999" t="str">
        <f>"1551601698813028"</f>
        <v>1551601698813028</v>
      </c>
      <c r="C1999" t="s">
        <v>40</v>
      </c>
      <c r="D1999">
        <v>4.3842480000000004</v>
      </c>
      <c r="E1999">
        <v>0.50885809999999998</v>
      </c>
      <c r="F1999" t="s">
        <v>48</v>
      </c>
      <c r="G1999">
        <v>-391.56959999999998</v>
      </c>
      <c r="H1999" s="1">
        <v>-7.0152459999999996E-7</v>
      </c>
      <c r="I1999">
        <v>288.17959999999999</v>
      </c>
      <c r="J1999">
        <v>-339.59989999999999</v>
      </c>
      <c r="K1999">
        <v>1.1213390000000001</v>
      </c>
      <c r="L1999">
        <v>284.2518</v>
      </c>
      <c r="M1999">
        <v>-0.99961820000000001</v>
      </c>
      <c r="N1999">
        <v>-1.316086E-2</v>
      </c>
      <c r="O1999">
        <v>2.4299049999999999E-2</v>
      </c>
      <c r="P1999">
        <v>-0.98073679999999996</v>
      </c>
      <c r="Q1999">
        <v>0.18730949999999999</v>
      </c>
      <c r="R1999">
        <v>5.5412999999999997E-2</v>
      </c>
      <c r="S1999">
        <v>-3.0581969999999998</v>
      </c>
      <c r="T1999">
        <v>-6.5516710000000006E-2</v>
      </c>
      <c r="U1999">
        <v>0.23001099999999999</v>
      </c>
      <c r="V1999">
        <v>3.149834E-2</v>
      </c>
      <c r="W1999">
        <v>0.20022499999999999</v>
      </c>
      <c r="X1999">
        <v>0.97924350000000004</v>
      </c>
      <c r="Y1999">
        <v>5.0726720000000003E-2</v>
      </c>
      <c r="Z1999">
        <v>6.767155E-4</v>
      </c>
      <c r="AA1999">
        <v>0.99871239999999994</v>
      </c>
      <c r="AB1999">
        <v>37</v>
      </c>
      <c r="AC1999">
        <v>-51.969699999999897</v>
      </c>
      <c r="AD1999">
        <v>-1.1213397015245901</v>
      </c>
      <c r="AE1999">
        <v>3.9277999999999902</v>
      </c>
      <c r="AF1999">
        <v>2.6624839614409002</v>
      </c>
      <c r="AG1999">
        <v>-1.1213397015245901</v>
      </c>
      <c r="AH1999">
        <v>52.0257191181759</v>
      </c>
      <c r="AI1999">
        <v>91.233123881980205</v>
      </c>
      <c r="AJ1999">
        <v>87.070369628550097</v>
      </c>
      <c r="AK1999">
        <v>52.105869854887501</v>
      </c>
      <c r="AL1999">
        <v>78.449883441076196</v>
      </c>
      <c r="AM1999">
        <v>88.157659549874097</v>
      </c>
      <c r="AN1999">
        <v>1.0000000141700001</v>
      </c>
    </row>
    <row r="2000" spans="1:40" x14ac:dyDescent="0.25">
      <c r="A2000" t="str">
        <f>"20190303162818842"</f>
        <v>20190303162818842</v>
      </c>
      <c r="B2000" t="str">
        <f>"1551601698833524"</f>
        <v>1551601698833524</v>
      </c>
      <c r="C2000" t="s">
        <v>40</v>
      </c>
      <c r="D2000">
        <v>4.3785379999999998</v>
      </c>
      <c r="E2000">
        <v>0.50876520000000003</v>
      </c>
      <c r="F2000" t="s">
        <v>48</v>
      </c>
      <c r="G2000">
        <v>-391.94380000000001</v>
      </c>
      <c r="H2000" s="1">
        <v>-5.0239299999999996E-7</v>
      </c>
      <c r="I2000">
        <v>288.18310000000002</v>
      </c>
      <c r="J2000">
        <v>-339.94189999999998</v>
      </c>
      <c r="K2000">
        <v>1.121356</v>
      </c>
      <c r="L2000">
        <v>284.25990000000002</v>
      </c>
      <c r="M2000">
        <v>-0.99962229999999996</v>
      </c>
      <c r="N2000">
        <v>-1.315947E-2</v>
      </c>
      <c r="O2000">
        <v>2.4127409999999998E-2</v>
      </c>
      <c r="P2000">
        <v>-0.98064110000000004</v>
      </c>
      <c r="Q2000">
        <v>0.18771550000000001</v>
      </c>
      <c r="R2000">
        <v>5.5734680000000002E-2</v>
      </c>
      <c r="S2000">
        <v>-3.0584410000000002</v>
      </c>
      <c r="T2000">
        <v>-6.5519569999999999E-2</v>
      </c>
      <c r="U2000">
        <v>0.22970579999999999</v>
      </c>
      <c r="V2000">
        <v>3.1985550000000001E-2</v>
      </c>
      <c r="W2000">
        <v>0.20062949999999999</v>
      </c>
      <c r="X2000">
        <v>0.97914489999999998</v>
      </c>
      <c r="Y2000">
        <v>5.0793129999999999E-2</v>
      </c>
      <c r="Z2000">
        <v>6.7920509999999895E-4</v>
      </c>
      <c r="AA2000">
        <v>0.99870899999999996</v>
      </c>
      <c r="AB2000">
        <v>37</v>
      </c>
      <c r="AC2000">
        <v>-52.001899999999999</v>
      </c>
      <c r="AD2000">
        <v>-1.1213565023929899</v>
      </c>
      <c r="AE2000">
        <v>3.9232</v>
      </c>
      <c r="AF2000">
        <v>2.6660452584407501</v>
      </c>
      <c r="AG2000">
        <v>-1.1213565023929899</v>
      </c>
      <c r="AH2000">
        <v>52.057354589244497</v>
      </c>
      <c r="AI2000">
        <v>91.232390850278506</v>
      </c>
      <c r="AJ2000">
        <v>87.068237455533307</v>
      </c>
      <c r="AK2000">
        <v>52.137639038950098</v>
      </c>
      <c r="AL2000">
        <v>78.426227155608501</v>
      </c>
      <c r="AM2000">
        <v>88.128994436286305</v>
      </c>
      <c r="AN2000">
        <v>1.00000000343753</v>
      </c>
    </row>
    <row r="2001" spans="1:40" x14ac:dyDescent="0.25">
      <c r="A2001" t="str">
        <f>"20190303162818864"</f>
        <v>20190303162818864</v>
      </c>
      <c r="B2001" t="str">
        <f>"1551601698853045"</f>
        <v>1551601698853045</v>
      </c>
      <c r="C2001" t="s">
        <v>40</v>
      </c>
      <c r="D2001">
        <v>4.3859519999999996</v>
      </c>
      <c r="E2001">
        <v>0.50866440000000002</v>
      </c>
      <c r="F2001" t="s">
        <v>48</v>
      </c>
      <c r="G2001">
        <v>-393.00130000000001</v>
      </c>
      <c r="H2001" s="1">
        <v>6.0368679999999993E-8</v>
      </c>
      <c r="I2001">
        <v>288.24380000000002</v>
      </c>
      <c r="J2001">
        <v>-340.30560000000003</v>
      </c>
      <c r="K2001">
        <v>1.121364</v>
      </c>
      <c r="L2001">
        <v>284.26859999999999</v>
      </c>
      <c r="M2001">
        <v>-0.99962689999999998</v>
      </c>
      <c r="N2001">
        <v>-1.3158E-2</v>
      </c>
      <c r="O2001">
        <v>2.3939229999999999E-2</v>
      </c>
      <c r="P2001">
        <v>-0.9805294</v>
      </c>
      <c r="Q2001">
        <v>0.1882047</v>
      </c>
      <c r="R2001">
        <v>5.6048760000000003E-2</v>
      </c>
      <c r="S2001">
        <v>-3.0585629999999999</v>
      </c>
      <c r="T2001">
        <v>-6.4639569999999993E-2</v>
      </c>
      <c r="U2001">
        <v>0.22964480000000001</v>
      </c>
      <c r="V2001">
        <v>3.2482770000000001E-2</v>
      </c>
      <c r="W2001">
        <v>0.2011163</v>
      </c>
      <c r="X2001">
        <v>0.97902860000000003</v>
      </c>
      <c r="Y2001">
        <v>5.0958610000000001E-2</v>
      </c>
      <c r="Z2001">
        <v>6.8309449999999895E-4</v>
      </c>
      <c r="AA2001">
        <v>0.99870060000000005</v>
      </c>
      <c r="AB2001">
        <v>37</v>
      </c>
      <c r="AC2001">
        <v>-52.695699999999903</v>
      </c>
      <c r="AD2001">
        <v>-1.12136393963132</v>
      </c>
      <c r="AE2001">
        <v>3.9752000000000201</v>
      </c>
      <c r="AF2001">
        <v>2.7112361696923899</v>
      </c>
      <c r="AG2001">
        <v>-1.12136393963132</v>
      </c>
      <c r="AH2001">
        <v>52.752014135758699</v>
      </c>
      <c r="AI2001">
        <v>91.216163867347404</v>
      </c>
      <c r="AJ2001">
        <v>87.057821813123596</v>
      </c>
      <c r="AK2001">
        <v>52.833542887376403</v>
      </c>
      <c r="AL2001">
        <v>78.397754584052706</v>
      </c>
      <c r="AM2001">
        <v>88.099704994659106</v>
      </c>
      <c r="AN2001">
        <v>0.99999994804526005</v>
      </c>
    </row>
    <row r="2002" spans="1:40" x14ac:dyDescent="0.25">
      <c r="A2002" t="str">
        <f>"20190303162818878"</f>
        <v>20190303162818878</v>
      </c>
      <c r="B2002" t="str">
        <f>"1551601698863781"</f>
        <v>1551601698863781</v>
      </c>
      <c r="C2002" t="s">
        <v>40</v>
      </c>
      <c r="D2002">
        <v>4.3994169999999997</v>
      </c>
      <c r="E2002">
        <v>0.50861940000000005</v>
      </c>
      <c r="F2002" t="s">
        <v>48</v>
      </c>
      <c r="G2002">
        <v>-394.86649999999997</v>
      </c>
      <c r="H2002" s="1">
        <v>1.0529220000000001E-6</v>
      </c>
      <c r="I2002">
        <v>288.35700000000003</v>
      </c>
      <c r="J2002">
        <v>-340.5446</v>
      </c>
      <c r="K2002">
        <v>1.1213690000000001</v>
      </c>
      <c r="L2002">
        <v>284.27409999999998</v>
      </c>
      <c r="M2002">
        <v>-0.99962989999999996</v>
      </c>
      <c r="N2002">
        <v>-1.315701E-2</v>
      </c>
      <c r="O2002">
        <v>2.3813419999999998E-2</v>
      </c>
      <c r="P2002">
        <v>-0.98051069999999996</v>
      </c>
      <c r="Q2002">
        <v>0.18825069999999999</v>
      </c>
      <c r="R2002">
        <v>5.6220190000000003E-2</v>
      </c>
      <c r="S2002">
        <v>-3.0585330000000002</v>
      </c>
      <c r="T2002">
        <v>-6.2860490000000005E-2</v>
      </c>
      <c r="U2002">
        <v>0.229187</v>
      </c>
      <c r="V2002">
        <v>3.2776140000000002E-2</v>
      </c>
      <c r="W2002">
        <v>0.2011616</v>
      </c>
      <c r="X2002">
        <v>0.97900960000000004</v>
      </c>
      <c r="Y2002">
        <v>5.0937120000000002E-2</v>
      </c>
      <c r="Z2002">
        <v>6.8271E-4</v>
      </c>
      <c r="AA2002">
        <v>0.99870159999999997</v>
      </c>
      <c r="AB2002">
        <v>37</v>
      </c>
      <c r="AC2002">
        <v>-54.3218999999999</v>
      </c>
      <c r="AD2002">
        <v>-1.121367947078</v>
      </c>
      <c r="AE2002">
        <v>4.0829000000000502</v>
      </c>
      <c r="AF2002">
        <v>2.7868589477758898</v>
      </c>
      <c r="AG2002">
        <v>-1.121367947078</v>
      </c>
      <c r="AH2002">
        <v>54.3806856769436</v>
      </c>
      <c r="AI2002">
        <v>91.179764072910899</v>
      </c>
      <c r="AJ2002">
        <v>87.066317023612697</v>
      </c>
      <c r="AK2002">
        <v>54.4635935608556</v>
      </c>
      <c r="AL2002">
        <v>78.395105906925707</v>
      </c>
      <c r="AM2002">
        <v>88.082517940668893</v>
      </c>
      <c r="AN2002">
        <v>1.0000000307800001</v>
      </c>
    </row>
    <row r="2003" spans="1:40" x14ac:dyDescent="0.25">
      <c r="A2003" t="str">
        <f>"20190303162818893"</f>
        <v>20190303162818893</v>
      </c>
      <c r="B2003" t="str">
        <f>"1551601698883301"</f>
        <v>1551601698883301</v>
      </c>
      <c r="C2003" t="s">
        <v>40</v>
      </c>
      <c r="D2003">
        <v>4.4110769999999997</v>
      </c>
      <c r="E2003">
        <v>0.50854359999999998</v>
      </c>
      <c r="F2003" t="s">
        <v>48</v>
      </c>
      <c r="G2003">
        <v>-394.95429999999999</v>
      </c>
      <c r="H2003" s="1">
        <v>1.099674E-6</v>
      </c>
      <c r="I2003">
        <v>288.35109999999997</v>
      </c>
      <c r="J2003">
        <v>-340.77260000000001</v>
      </c>
      <c r="K2003">
        <v>1.121373</v>
      </c>
      <c r="L2003">
        <v>284.27940000000001</v>
      </c>
      <c r="M2003">
        <v>-0.99963279999999999</v>
      </c>
      <c r="N2003">
        <v>-1.3155999999999999E-2</v>
      </c>
      <c r="O2003">
        <v>2.3692979999999999E-2</v>
      </c>
      <c r="P2003">
        <v>-0.9804853</v>
      </c>
      <c r="Q2003">
        <v>0.18832699999999999</v>
      </c>
      <c r="R2003">
        <v>5.6408140000000002E-2</v>
      </c>
      <c r="S2003">
        <v>-3.058624</v>
      </c>
      <c r="T2003">
        <v>-6.3037280000000001E-2</v>
      </c>
      <c r="U2003">
        <v>0.229187</v>
      </c>
      <c r="V2003">
        <v>3.3081380000000001E-2</v>
      </c>
      <c r="W2003">
        <v>0.20123679999999999</v>
      </c>
      <c r="X2003">
        <v>0.97898390000000002</v>
      </c>
      <c r="Y2003">
        <v>5.1055110000000001E-2</v>
      </c>
      <c r="Z2003">
        <v>6.8563990000000002E-4</v>
      </c>
      <c r="AA2003">
        <v>0.99869560000000002</v>
      </c>
      <c r="AB2003">
        <v>37</v>
      </c>
      <c r="AC2003">
        <v>-54.1816999999999</v>
      </c>
      <c r="AD2003">
        <v>-1.1213719003260001</v>
      </c>
      <c r="AE2003">
        <v>4.0716999999999599</v>
      </c>
      <c r="AF2003">
        <v>2.7855334006791299</v>
      </c>
      <c r="AG2003">
        <v>-1.1213719003260001</v>
      </c>
      <c r="AH2003">
        <v>54.2398637119447</v>
      </c>
      <c r="AI2003">
        <v>91.182823800835905</v>
      </c>
      <c r="AJ2003">
        <v>87.060110257759504</v>
      </c>
      <c r="AK2003">
        <v>54.322918614112403</v>
      </c>
      <c r="AL2003">
        <v>78.390707563571297</v>
      </c>
      <c r="AM2003">
        <v>88.064623425552199</v>
      </c>
      <c r="AN2003">
        <v>1.0000000519180701</v>
      </c>
    </row>
    <row r="2004" spans="1:40" x14ac:dyDescent="0.25">
      <c r="A2004" t="str">
        <f>"20190303162818905"</f>
        <v>20190303162818905</v>
      </c>
      <c r="B2004" t="str">
        <f>"1551601698893063"</f>
        <v>1551601698893063</v>
      </c>
      <c r="C2004" t="s">
        <v>40</v>
      </c>
      <c r="D2004">
        <v>4.3966839999999996</v>
      </c>
      <c r="E2004">
        <v>0.5084997</v>
      </c>
      <c r="F2004" t="s">
        <v>48</v>
      </c>
      <c r="G2004">
        <v>-395.60809999999998</v>
      </c>
      <c r="H2004" s="1">
        <v>1.44757999999999E-6</v>
      </c>
      <c r="I2004">
        <v>288.38510000000002</v>
      </c>
      <c r="J2004">
        <v>-340.9769</v>
      </c>
      <c r="K2004">
        <v>1.1213759999999999</v>
      </c>
      <c r="L2004">
        <v>284.2842</v>
      </c>
      <c r="M2004">
        <v>-0.9996353</v>
      </c>
      <c r="N2004">
        <v>-1.315507E-2</v>
      </c>
      <c r="O2004">
        <v>2.358501E-2</v>
      </c>
      <c r="P2004">
        <v>-0.98047050000000002</v>
      </c>
      <c r="Q2004">
        <v>0.18840029999999999</v>
      </c>
      <c r="R2004">
        <v>5.6418429999999999E-2</v>
      </c>
      <c r="S2004">
        <v>-3.0585629999999999</v>
      </c>
      <c r="T2004">
        <v>-6.2546729999999995E-2</v>
      </c>
      <c r="U2004">
        <v>0.22900390000000001</v>
      </c>
      <c r="V2004">
        <v>3.319685E-2</v>
      </c>
      <c r="W2004">
        <v>0.20130909999999999</v>
      </c>
      <c r="X2004">
        <v>0.97896499999999997</v>
      </c>
      <c r="Y2004">
        <v>5.1105190000000002E-2</v>
      </c>
      <c r="Z2004">
        <v>6.8692470000000002E-4</v>
      </c>
      <c r="AA2004">
        <v>0.99869300000000005</v>
      </c>
      <c r="AB2004">
        <v>37</v>
      </c>
      <c r="AC2004">
        <v>-54.6311999999999</v>
      </c>
      <c r="AD2004">
        <v>-1.1213745524199901</v>
      </c>
      <c r="AE2004">
        <v>4.1009000000000198</v>
      </c>
      <c r="AF2004">
        <v>2.80999290651055</v>
      </c>
      <c r="AG2004">
        <v>-1.1213745524199901</v>
      </c>
      <c r="AH2004">
        <v>54.689815797710999</v>
      </c>
      <c r="AI2004">
        <v>91.173096318253002</v>
      </c>
      <c r="AJ2004">
        <v>87.058697728381105</v>
      </c>
      <c r="AK2004">
        <v>54.7734378417953</v>
      </c>
      <c r="AL2004">
        <v>78.386477072408695</v>
      </c>
      <c r="AM2004">
        <v>88.057835724351804</v>
      </c>
      <c r="AN2004">
        <v>0.99999992790886305</v>
      </c>
    </row>
    <row r="2005" spans="1:40" x14ac:dyDescent="0.25">
      <c r="A2005" t="str">
        <f>"20190303162818920"</f>
        <v>20190303162818920</v>
      </c>
      <c r="B2005" t="str">
        <f>"1551601698913556"</f>
        <v>1551601698913556</v>
      </c>
      <c r="C2005" t="s">
        <v>40</v>
      </c>
      <c r="D2005">
        <v>4.4318589999999896</v>
      </c>
      <c r="E2005">
        <v>0.50841210000000003</v>
      </c>
      <c r="F2005" t="s">
        <v>48</v>
      </c>
      <c r="G2005">
        <v>-395.90100000000001</v>
      </c>
      <c r="H2005" s="1">
        <v>1.603423E-6</v>
      </c>
      <c r="I2005">
        <v>288.3877</v>
      </c>
      <c r="J2005">
        <v>-341.2396</v>
      </c>
      <c r="K2005">
        <v>1.1213799999999901</v>
      </c>
      <c r="L2005">
        <v>284.29020000000003</v>
      </c>
      <c r="M2005">
        <v>-0.99963849999999999</v>
      </c>
      <c r="N2005">
        <v>-1.3153969999999999E-2</v>
      </c>
      <c r="O2005">
        <v>2.3446700000000001E-2</v>
      </c>
      <c r="P2005">
        <v>-0.98043729999999996</v>
      </c>
      <c r="Q2005">
        <v>0.1885049</v>
      </c>
      <c r="R2005">
        <v>5.6646700000000001E-2</v>
      </c>
      <c r="S2005">
        <v>-3.0585939999999998</v>
      </c>
      <c r="T2005">
        <v>-6.2446710000000002E-2</v>
      </c>
      <c r="U2005">
        <v>0.22851560000000001</v>
      </c>
      <c r="V2005">
        <v>3.3560560000000003E-2</v>
      </c>
      <c r="W2005">
        <v>0.20141239999999999</v>
      </c>
      <c r="X2005">
        <v>0.97893140000000001</v>
      </c>
      <c r="Y2005">
        <v>5.1084119999999997E-2</v>
      </c>
      <c r="Z2005">
        <v>6.8745160000000004E-4</v>
      </c>
      <c r="AA2005">
        <v>0.99869410000000003</v>
      </c>
      <c r="AB2005">
        <v>37</v>
      </c>
      <c r="AC2005">
        <v>-54.6614</v>
      </c>
      <c r="AD2005">
        <v>-1.1213783965769999</v>
      </c>
      <c r="AE2005">
        <v>4.0974999999999602</v>
      </c>
      <c r="AF2005">
        <v>2.8134554851226001</v>
      </c>
      <c r="AG2005">
        <v>-1.1213783965769999</v>
      </c>
      <c r="AH2005">
        <v>54.719550650333801</v>
      </c>
      <c r="AI2005">
        <v>91.172460923961196</v>
      </c>
      <c r="AJ2005">
        <v>87.056677189868694</v>
      </c>
      <c r="AK2005">
        <v>54.803305052245904</v>
      </c>
      <c r="AL2005">
        <v>78.380435218342896</v>
      </c>
      <c r="AM2005">
        <v>88.036506288094103</v>
      </c>
      <c r="AN2005">
        <v>0.99999997598361601</v>
      </c>
    </row>
    <row r="2006" spans="1:40" x14ac:dyDescent="0.25">
      <c r="A2006" t="str">
        <f>"20190303162818932"</f>
        <v>20190303162818932</v>
      </c>
      <c r="B2006" t="str">
        <f>"1551601698923317"</f>
        <v>1551601698923317</v>
      </c>
      <c r="C2006" t="s">
        <v>40</v>
      </c>
      <c r="D2006">
        <v>4.4596049999999998</v>
      </c>
      <c r="E2006">
        <v>0.50838109999999903</v>
      </c>
      <c r="F2006" t="s">
        <v>48</v>
      </c>
      <c r="G2006">
        <v>-396.12479999999999</v>
      </c>
      <c r="H2006" s="1">
        <v>1.722508E-6</v>
      </c>
      <c r="I2006">
        <v>288.39019999999999</v>
      </c>
      <c r="J2006">
        <v>-341.42739999999998</v>
      </c>
      <c r="K2006">
        <v>1.121383</v>
      </c>
      <c r="L2006">
        <v>284.29450000000003</v>
      </c>
      <c r="M2006">
        <v>-0.99964090000000005</v>
      </c>
      <c r="N2006">
        <v>-1.3153089999999999E-2</v>
      </c>
      <c r="O2006">
        <v>2.3347920000000001E-2</v>
      </c>
      <c r="P2006">
        <v>-0.98044030000000004</v>
      </c>
      <c r="Q2006">
        <v>0.1884363</v>
      </c>
      <c r="R2006">
        <v>5.6823220000000001E-2</v>
      </c>
      <c r="S2006">
        <v>-3.0586850000000001</v>
      </c>
      <c r="T2006">
        <v>-6.2493090000000001E-2</v>
      </c>
      <c r="U2006">
        <v>0.2284851</v>
      </c>
      <c r="V2006">
        <v>3.3833330000000002E-2</v>
      </c>
      <c r="W2006">
        <v>0.20134369999999999</v>
      </c>
      <c r="X2006">
        <v>0.97893609999999998</v>
      </c>
      <c r="Y2006">
        <v>5.1170630000000002E-2</v>
      </c>
      <c r="Z2006">
        <v>6.8960679999999902E-4</v>
      </c>
      <c r="AA2006">
        <v>0.99868970000000001</v>
      </c>
      <c r="AB2006">
        <v>37</v>
      </c>
      <c r="AC2006">
        <v>-54.697400000000002</v>
      </c>
      <c r="AD2006">
        <v>-1.121381277492</v>
      </c>
      <c r="AE2006">
        <v>4.0956999999999599</v>
      </c>
      <c r="AF2006">
        <v>2.81622525669406</v>
      </c>
      <c r="AG2006">
        <v>-1.121381277492</v>
      </c>
      <c r="AH2006">
        <v>54.755235224794703</v>
      </c>
      <c r="AI2006">
        <v>91.171699015111599</v>
      </c>
      <c r="AJ2006">
        <v>87.055701370599493</v>
      </c>
      <c r="AK2006">
        <v>54.839077355372702</v>
      </c>
      <c r="AL2006">
        <v>78.384453267430004</v>
      </c>
      <c r="AM2006">
        <v>88.020569749946901</v>
      </c>
      <c r="AN2006">
        <v>0.99999993381589203</v>
      </c>
    </row>
    <row r="2007" spans="1:40" x14ac:dyDescent="0.25">
      <c r="A2007" t="str">
        <f>"20190303162818944"</f>
        <v>20190303162818944</v>
      </c>
      <c r="B2007" t="str">
        <f>"1551601698933076"</f>
        <v>1551601698933076</v>
      </c>
      <c r="C2007" t="s">
        <v>40</v>
      </c>
      <c r="D2007">
        <v>4.4641449999999896</v>
      </c>
      <c r="E2007">
        <v>0.50834330000000005</v>
      </c>
      <c r="F2007" t="s">
        <v>48</v>
      </c>
      <c r="G2007">
        <v>-395.89240000000001</v>
      </c>
      <c r="H2007" s="1">
        <v>1.598835E-6</v>
      </c>
      <c r="I2007">
        <v>288.36790000000002</v>
      </c>
      <c r="J2007">
        <v>-341.62569999999999</v>
      </c>
      <c r="K2007">
        <v>1.1213850000000001</v>
      </c>
      <c r="L2007">
        <v>284.29899999999998</v>
      </c>
      <c r="M2007">
        <v>-0.99964330000000001</v>
      </c>
      <c r="N2007">
        <v>-1.315213E-2</v>
      </c>
      <c r="O2007">
        <v>2.3243610000000001E-2</v>
      </c>
      <c r="P2007">
        <v>-0.98037439999999998</v>
      </c>
      <c r="Q2007">
        <v>0.18880240000000001</v>
      </c>
      <c r="R2007">
        <v>5.6745780000000003E-2</v>
      </c>
      <c r="S2007">
        <v>-3.058716</v>
      </c>
      <c r="T2007">
        <v>-6.2976000000000004E-2</v>
      </c>
      <c r="U2007">
        <v>0.22875980000000001</v>
      </c>
      <c r="V2007">
        <v>3.3859170000000001E-2</v>
      </c>
      <c r="W2007">
        <v>0.201708</v>
      </c>
      <c r="X2007">
        <v>0.97886030000000002</v>
      </c>
      <c r="Y2007">
        <v>5.1363020000000002E-2</v>
      </c>
      <c r="Z2007">
        <v>6.9393079999999999E-4</v>
      </c>
      <c r="AA2007">
        <v>0.99867980000000001</v>
      </c>
      <c r="AB2007">
        <v>37</v>
      </c>
      <c r="AC2007">
        <v>-54.2667</v>
      </c>
      <c r="AD2007">
        <v>-1.1213834011649999</v>
      </c>
      <c r="AE2007">
        <v>4.0688999999999798</v>
      </c>
      <c r="AF2007">
        <v>2.8051462433088599</v>
      </c>
      <c r="AG2007">
        <v>-1.1213834011649999</v>
      </c>
      <c r="AH2007">
        <v>54.323553180781801</v>
      </c>
      <c r="AI2007">
        <v>91.180997102759093</v>
      </c>
      <c r="AJ2007">
        <v>87.044000150088706</v>
      </c>
      <c r="AK2007">
        <v>54.407488237962099</v>
      </c>
      <c r="AL2007">
        <v>78.363144260497805</v>
      </c>
      <c r="AM2007">
        <v>88.0189059002535</v>
      </c>
      <c r="AN2007">
        <v>1.00000002378658</v>
      </c>
    </row>
    <row r="2008" spans="1:40" x14ac:dyDescent="0.25">
      <c r="A2008" t="str">
        <f>"20190303162818958"</f>
        <v>20190303162818958</v>
      </c>
      <c r="B2008" t="str">
        <f>"1551601698943813"</f>
        <v>1551601698943813</v>
      </c>
      <c r="C2008" t="s">
        <v>40</v>
      </c>
      <c r="D2008">
        <v>4.4494999999999996</v>
      </c>
      <c r="E2008">
        <v>0.50830730000000002</v>
      </c>
      <c r="F2008" t="s">
        <v>48</v>
      </c>
      <c r="G2008">
        <v>-396.86790000000002</v>
      </c>
      <c r="H2008" s="1">
        <v>2.1179570000000002E-6</v>
      </c>
      <c r="I2008">
        <v>288.42219999999998</v>
      </c>
      <c r="J2008">
        <v>-341.85570000000001</v>
      </c>
      <c r="K2008">
        <v>1.1213879999999901</v>
      </c>
      <c r="L2008">
        <v>284.30430000000001</v>
      </c>
      <c r="M2008">
        <v>-0.99964629999999999</v>
      </c>
      <c r="N2008">
        <v>-1.3151039999999999E-2</v>
      </c>
      <c r="O2008">
        <v>2.3122790000000001E-2</v>
      </c>
      <c r="P2008">
        <v>-0.98030320000000004</v>
      </c>
      <c r="Q2008">
        <v>0.18913940000000001</v>
      </c>
      <c r="R2008">
        <v>5.6850440000000002E-2</v>
      </c>
      <c r="S2008">
        <v>-3.0587770000000001</v>
      </c>
      <c r="T2008">
        <v>-6.2091349999999997E-2</v>
      </c>
      <c r="U2008">
        <v>0.228302</v>
      </c>
      <c r="V2008">
        <v>3.4083309999999999E-2</v>
      </c>
      <c r="W2008">
        <v>0.20204279999999999</v>
      </c>
      <c r="X2008">
        <v>0.97878339999999997</v>
      </c>
      <c r="Y2008">
        <v>5.1333980000000001E-2</v>
      </c>
      <c r="Z2008">
        <v>6.9354349999999998E-4</v>
      </c>
      <c r="AA2008">
        <v>0.99868129999999999</v>
      </c>
      <c r="AB2008">
        <v>37</v>
      </c>
      <c r="AC2008">
        <v>-55.0122</v>
      </c>
      <c r="AD2008">
        <v>-1.1213858820429901</v>
      </c>
      <c r="AE2008">
        <v>4.1178999999999597</v>
      </c>
      <c r="AF2008">
        <v>2.8434785318606099</v>
      </c>
      <c r="AG2008">
        <v>-1.1213858820429901</v>
      </c>
      <c r="AH2008">
        <v>55.069959364984399</v>
      </c>
      <c r="AI2008">
        <v>91.164997373976306</v>
      </c>
      <c r="AJ2008">
        <v>87.044218523751695</v>
      </c>
      <c r="AK2008">
        <v>55.154721474399899</v>
      </c>
      <c r="AL2008">
        <v>78.343557566471603</v>
      </c>
      <c r="AM2008">
        <v>88.005645510612496</v>
      </c>
      <c r="AN2008">
        <v>0.99999995458397695</v>
      </c>
    </row>
    <row r="2009" spans="1:40" x14ac:dyDescent="0.25">
      <c r="A2009" t="str">
        <f>"20190303162818970"</f>
        <v>20190303162818970</v>
      </c>
      <c r="B2009" t="str">
        <f>"1551601698963333"</f>
        <v>1551601698963333</v>
      </c>
      <c r="C2009" t="s">
        <v>40</v>
      </c>
      <c r="D2009">
        <v>4.4890999999999996</v>
      </c>
      <c r="E2009">
        <v>0.50823799999999997</v>
      </c>
      <c r="F2009" t="s">
        <v>48</v>
      </c>
      <c r="G2009">
        <v>-397.63600000000002</v>
      </c>
      <c r="H2009" s="1">
        <v>2.5266990000000001E-6</v>
      </c>
      <c r="I2009">
        <v>288.46969999999999</v>
      </c>
      <c r="J2009">
        <v>-342.0521</v>
      </c>
      <c r="K2009">
        <v>1.121391</v>
      </c>
      <c r="L2009">
        <v>284.30869999999999</v>
      </c>
      <c r="M2009">
        <v>-0.9996486</v>
      </c>
      <c r="N2009">
        <v>-1.3150139999999999E-2</v>
      </c>
      <c r="O2009">
        <v>2.302015E-2</v>
      </c>
      <c r="P2009">
        <v>-0.98024529999999999</v>
      </c>
      <c r="Q2009">
        <v>0.18939600000000001</v>
      </c>
      <c r="R2009">
        <v>5.6994549999999998E-2</v>
      </c>
      <c r="S2009">
        <v>-3.0588679999999999</v>
      </c>
      <c r="T2009">
        <v>-6.1494350000000003E-2</v>
      </c>
      <c r="U2009">
        <v>0.22842409999999999</v>
      </c>
      <c r="V2009">
        <v>3.4329030000000003E-2</v>
      </c>
      <c r="W2009">
        <v>0.2022978</v>
      </c>
      <c r="X2009">
        <v>0.97872219999999999</v>
      </c>
      <c r="Y2009">
        <v>5.1474119999999998E-2</v>
      </c>
      <c r="Z2009">
        <v>6.9604050000000005E-4</v>
      </c>
      <c r="AA2009">
        <v>0.99867410000000001</v>
      </c>
      <c r="AB2009">
        <v>37</v>
      </c>
      <c r="AC2009">
        <v>-55.5838999999999</v>
      </c>
      <c r="AD2009">
        <v>-1.121388473301</v>
      </c>
      <c r="AE2009">
        <v>4.1609999999999996</v>
      </c>
      <c r="AF2009">
        <v>2.87907159405755</v>
      </c>
      <c r="AG2009">
        <v>-1.121388473301</v>
      </c>
      <c r="AH2009">
        <v>55.6424416148473</v>
      </c>
      <c r="AI2009">
        <v>91.153010666825296</v>
      </c>
      <c r="AJ2009">
        <v>87.038022246800594</v>
      </c>
      <c r="AK2009">
        <v>55.7281605134554</v>
      </c>
      <c r="AL2009">
        <v>78.328639777978395</v>
      </c>
      <c r="AM2009">
        <v>87.991153657099602</v>
      </c>
      <c r="AN2009">
        <v>1.00000001347921</v>
      </c>
    </row>
    <row r="2010" spans="1:40" x14ac:dyDescent="0.25">
      <c r="A2010" t="str">
        <f>"20190303162818989"</f>
        <v>20190303162818989</v>
      </c>
      <c r="B2010" t="str">
        <f>"1551601698983832"</f>
        <v>1551601698983832</v>
      </c>
      <c r="C2010" t="s">
        <v>40</v>
      </c>
      <c r="D2010">
        <v>4.4931489999999998</v>
      </c>
      <c r="E2010">
        <v>0.50816240000000001</v>
      </c>
      <c r="F2010" t="s">
        <v>48</v>
      </c>
      <c r="G2010">
        <v>-397.84</v>
      </c>
      <c r="H2010" s="1">
        <v>2.635279E-6</v>
      </c>
      <c r="I2010">
        <v>288.4683</v>
      </c>
      <c r="J2010">
        <v>-342.35919999999999</v>
      </c>
      <c r="K2010">
        <v>1.121391</v>
      </c>
      <c r="L2010">
        <v>284.31560000000002</v>
      </c>
      <c r="M2010">
        <v>-0.99965230000000005</v>
      </c>
      <c r="N2010">
        <v>-1.3148760000000001E-2</v>
      </c>
      <c r="O2010">
        <v>2.2859870000000001E-2</v>
      </c>
      <c r="P2010">
        <v>-0.98023000000000005</v>
      </c>
      <c r="Q2010">
        <v>0.1894084</v>
      </c>
      <c r="R2010">
        <v>5.721793E-2</v>
      </c>
      <c r="S2010">
        <v>-3.0590820000000001</v>
      </c>
      <c r="T2010">
        <v>-6.1490299999999998E-2</v>
      </c>
      <c r="U2010">
        <v>0.2280884</v>
      </c>
      <c r="V2010">
        <v>3.4709589999999998E-2</v>
      </c>
      <c r="W2010">
        <v>0.20230909999999999</v>
      </c>
      <c r="X2010">
        <v>0.97870639999999998</v>
      </c>
      <c r="Y2010">
        <v>5.1520059999999999E-2</v>
      </c>
      <c r="Z2010">
        <v>6.9783829999999999E-4</v>
      </c>
      <c r="AA2010">
        <v>0.99867169999999905</v>
      </c>
      <c r="AB2010">
        <v>37</v>
      </c>
      <c r="AC2010">
        <v>-55.480799999999903</v>
      </c>
      <c r="AD2010">
        <v>-1.1213883647209999</v>
      </c>
      <c r="AE2010">
        <v>4.1526999999999799</v>
      </c>
      <c r="AF2010">
        <v>2.8820503636984798</v>
      </c>
      <c r="AG2010">
        <v>-1.1213883647209999</v>
      </c>
      <c r="AH2010">
        <v>55.538674630292398</v>
      </c>
      <c r="AI2010">
        <v>91.1551552557723</v>
      </c>
      <c r="AJ2010">
        <v>87.0294332824039</v>
      </c>
      <c r="AK2010">
        <v>55.624707692291899</v>
      </c>
      <c r="AL2010">
        <v>78.327978180639903</v>
      </c>
      <c r="AM2010">
        <v>87.968870054647098</v>
      </c>
      <c r="AN2010">
        <v>0.99999997249086803</v>
      </c>
    </row>
    <row r="2011" spans="1:40" x14ac:dyDescent="0.25">
      <c r="A2011" t="str">
        <f>"20190303162819005"</f>
        <v>20190303162819005</v>
      </c>
      <c r="B2011" t="str">
        <f>"1551601698993589"</f>
        <v>1551601698993589</v>
      </c>
      <c r="C2011" t="s">
        <v>40</v>
      </c>
      <c r="D2011">
        <v>4.5067529999999998</v>
      </c>
      <c r="E2011">
        <v>0.50814179999999998</v>
      </c>
      <c r="F2011" t="s">
        <v>48</v>
      </c>
      <c r="G2011">
        <v>-397.88440000000003</v>
      </c>
      <c r="H2011" s="1">
        <v>2.6588899999999998E-6</v>
      </c>
      <c r="I2011">
        <v>288.45549999999997</v>
      </c>
      <c r="J2011">
        <v>-342.60660000000001</v>
      </c>
      <c r="K2011">
        <v>1.1213900000000001</v>
      </c>
      <c r="L2011">
        <v>284.3211</v>
      </c>
      <c r="M2011">
        <v>-0.99965519999999997</v>
      </c>
      <c r="N2011">
        <v>-1.314765E-2</v>
      </c>
      <c r="O2011">
        <v>2.2731009999999999E-2</v>
      </c>
      <c r="P2011">
        <v>-0.98024999999999995</v>
      </c>
      <c r="Q2011">
        <v>0.18935189999999999</v>
      </c>
      <c r="R2011">
        <v>5.7060659999999999E-2</v>
      </c>
      <c r="S2011">
        <v>-3.0591430000000002</v>
      </c>
      <c r="T2011">
        <v>-6.1782480000000001E-2</v>
      </c>
      <c r="U2011">
        <v>0.2280884</v>
      </c>
      <c r="V2011">
        <v>3.4678069999999998E-2</v>
      </c>
      <c r="W2011">
        <v>0.20225199999999999</v>
      </c>
      <c r="X2011">
        <v>0.97871940000000002</v>
      </c>
      <c r="Y2011">
        <v>5.1647159999999998E-2</v>
      </c>
      <c r="Z2011">
        <v>7.0108300000000002E-4</v>
      </c>
      <c r="AA2011">
        <v>0.99866520000000003</v>
      </c>
      <c r="AB2011">
        <v>37</v>
      </c>
      <c r="AC2011">
        <v>-55.277799999999999</v>
      </c>
      <c r="AD2011">
        <v>-1.1213873411099999</v>
      </c>
      <c r="AE2011">
        <v>4.1343999999999701</v>
      </c>
      <c r="AF2011">
        <v>2.8755259619465101</v>
      </c>
      <c r="AG2011">
        <v>-1.1213873411099999</v>
      </c>
      <c r="AH2011">
        <v>55.334856199002999</v>
      </c>
      <c r="AI2011">
        <v>91.159403500010399</v>
      </c>
      <c r="AJ2011">
        <v>87.0252486827345</v>
      </c>
      <c r="AK2011">
        <v>55.420866735291703</v>
      </c>
      <c r="AL2011">
        <v>78.331319769596107</v>
      </c>
      <c r="AM2011">
        <v>87.970739925690197</v>
      </c>
      <c r="AN2011">
        <v>1.0000000519896399</v>
      </c>
    </row>
    <row r="2012" spans="1:40" x14ac:dyDescent="0.25">
      <c r="A2012" t="str">
        <f>"20190303162819021"</f>
        <v>20190303162819021</v>
      </c>
      <c r="B2012" t="str">
        <f>"1551601699013109"</f>
        <v>1551601699013109</v>
      </c>
      <c r="C2012" t="s">
        <v>40</v>
      </c>
      <c r="D2012">
        <v>4.4895100000000001</v>
      </c>
      <c r="E2012">
        <v>0.50808969999999998</v>
      </c>
      <c r="F2012" t="s">
        <v>48</v>
      </c>
      <c r="G2012">
        <v>-397.69290000000001</v>
      </c>
      <c r="H2012" s="1">
        <v>2.5570039999999999E-6</v>
      </c>
      <c r="I2012">
        <v>288.41770000000002</v>
      </c>
      <c r="J2012">
        <v>-342.8965</v>
      </c>
      <c r="K2012">
        <v>1.1213919999999999</v>
      </c>
      <c r="L2012">
        <v>284.32749999999999</v>
      </c>
      <c r="M2012">
        <v>-0.99965879999999996</v>
      </c>
      <c r="N2012">
        <v>-1.3146339999999999E-2</v>
      </c>
      <c r="O2012">
        <v>2.2580039999999999E-2</v>
      </c>
      <c r="P2012">
        <v>-0.98032490000000005</v>
      </c>
      <c r="Q2012">
        <v>0.189105</v>
      </c>
      <c r="R2012">
        <v>5.659264E-2</v>
      </c>
      <c r="S2012">
        <v>-3.0592350000000001</v>
      </c>
      <c r="T2012">
        <v>-6.2276600000000001E-2</v>
      </c>
      <c r="U2012">
        <v>0.2275085</v>
      </c>
      <c r="V2012">
        <v>3.4356589999999999E-2</v>
      </c>
      <c r="W2012">
        <v>0.20200409999999999</v>
      </c>
      <c r="X2012">
        <v>0.97878189999999998</v>
      </c>
      <c r="Y2012">
        <v>5.1607340000000002E-2</v>
      </c>
      <c r="Z2012">
        <v>7.0193429999999997E-4</v>
      </c>
      <c r="AA2012">
        <v>0.99866719999999998</v>
      </c>
      <c r="AB2012">
        <v>37</v>
      </c>
      <c r="AC2012">
        <v>-54.796399999999998</v>
      </c>
      <c r="AD2012">
        <v>-1.1213894429960001</v>
      </c>
      <c r="AE2012">
        <v>4.0902000000000296</v>
      </c>
      <c r="AF2012">
        <v>2.8505581820368602</v>
      </c>
      <c r="AG2012">
        <v>-1.1213894429960001</v>
      </c>
      <c r="AH2012">
        <v>54.851946627333298</v>
      </c>
      <c r="AI2012">
        <v>91.169609969419895</v>
      </c>
      <c r="AJ2012">
        <v>87.025116325790407</v>
      </c>
      <c r="AK2012">
        <v>54.937412070827101</v>
      </c>
      <c r="AL2012">
        <v>78.345822365857202</v>
      </c>
      <c r="AM2012">
        <v>87.989664765475595</v>
      </c>
      <c r="AN2012">
        <v>1.00000001973042</v>
      </c>
    </row>
    <row r="2013" spans="1:40" x14ac:dyDescent="0.25">
      <c r="A2013" t="str">
        <f>"20190303162819036"</f>
        <v>20190303162819036</v>
      </c>
      <c r="B2013" t="str">
        <f>"1551601699023845"</f>
        <v>1551601699023845</v>
      </c>
      <c r="C2013" t="s">
        <v>40</v>
      </c>
      <c r="D2013">
        <v>4.4995430000000001</v>
      </c>
      <c r="E2013">
        <v>0.50804850000000001</v>
      </c>
      <c r="F2013" t="s">
        <v>48</v>
      </c>
      <c r="G2013">
        <v>-397.05860000000001</v>
      </c>
      <c r="H2013" s="1">
        <v>2.2194470000000001E-6</v>
      </c>
      <c r="I2013">
        <v>288.32549999999998</v>
      </c>
      <c r="J2013">
        <v>-343.11959999999999</v>
      </c>
      <c r="K2013">
        <v>1.121394</v>
      </c>
      <c r="L2013">
        <v>284.33249999999998</v>
      </c>
      <c r="M2013">
        <v>-0.99966120000000003</v>
      </c>
      <c r="N2013">
        <v>-1.314531E-2</v>
      </c>
      <c r="O2013">
        <v>2.2464350000000001E-2</v>
      </c>
      <c r="P2013">
        <v>-0.98037479999999999</v>
      </c>
      <c r="Q2013">
        <v>0.18892709999999999</v>
      </c>
      <c r="R2013">
        <v>5.6320460000000003E-2</v>
      </c>
      <c r="S2013">
        <v>-3.0593870000000001</v>
      </c>
      <c r="T2013">
        <v>-6.3342570000000001E-2</v>
      </c>
      <c r="U2013">
        <v>0.22583010000000001</v>
      </c>
      <c r="V2013">
        <v>3.4196890000000001E-2</v>
      </c>
      <c r="W2013">
        <v>0.2018257</v>
      </c>
      <c r="X2013">
        <v>0.97882429999999998</v>
      </c>
      <c r="Y2013">
        <v>5.1174039999999997E-2</v>
      </c>
      <c r="Z2013">
        <v>6.9654399999999903E-4</v>
      </c>
      <c r="AA2013">
        <v>0.99868950000000001</v>
      </c>
      <c r="AB2013">
        <v>37</v>
      </c>
      <c r="AC2013">
        <v>-53.939</v>
      </c>
      <c r="AD2013">
        <v>-1.121391780553</v>
      </c>
      <c r="AE2013">
        <v>3.9929999999999901</v>
      </c>
      <c r="AF2013">
        <v>2.7789882691723702</v>
      </c>
      <c r="AG2013">
        <v>-1.121391780553</v>
      </c>
      <c r="AH2013">
        <v>53.991884352403197</v>
      </c>
      <c r="AI2013">
        <v>91.188268915209406</v>
      </c>
      <c r="AJ2013">
        <v>87.053558735756496</v>
      </c>
      <c r="AK2013">
        <v>54.074983784084303</v>
      </c>
      <c r="AL2013">
        <v>78.356258959717294</v>
      </c>
      <c r="AM2013">
        <v>87.999088415218495</v>
      </c>
      <c r="AN2013">
        <v>1.0000000253683199</v>
      </c>
    </row>
    <row r="2014" spans="1:40" x14ac:dyDescent="0.25">
      <c r="A2014" t="str">
        <f>"20190303162819054"</f>
        <v>20190303162819054</v>
      </c>
      <c r="B2014" t="str">
        <f>"1551601699043365"</f>
        <v>1551601699043365</v>
      </c>
      <c r="C2014" t="s">
        <v>40</v>
      </c>
      <c r="D2014">
        <v>4.5698889999999999</v>
      </c>
      <c r="E2014">
        <v>0.50800159999999905</v>
      </c>
      <c r="F2014" t="s">
        <v>48</v>
      </c>
      <c r="G2014">
        <v>-396.77109999999999</v>
      </c>
      <c r="H2014" s="1">
        <v>2.0664269999999999E-6</v>
      </c>
      <c r="I2014">
        <v>288.27069999999998</v>
      </c>
      <c r="J2014">
        <v>-343.40230000000003</v>
      </c>
      <c r="K2014">
        <v>1.1213900000000001</v>
      </c>
      <c r="L2014">
        <v>284.33859999999999</v>
      </c>
      <c r="M2014">
        <v>-0.99966449999999996</v>
      </c>
      <c r="N2014">
        <v>-1.3144009999999999E-2</v>
      </c>
      <c r="O2014">
        <v>2.231756E-2</v>
      </c>
      <c r="P2014">
        <v>-0.98032770000000002</v>
      </c>
      <c r="Q2014">
        <v>0.18926180000000001</v>
      </c>
      <c r="R2014">
        <v>5.6017450000000003E-2</v>
      </c>
      <c r="S2014">
        <v>-3.0594790000000001</v>
      </c>
      <c r="T2014">
        <v>-6.3947439999999994E-2</v>
      </c>
      <c r="U2014">
        <v>0.2245789</v>
      </c>
      <c r="V2014">
        <v>3.4038819999999997E-2</v>
      </c>
      <c r="W2014">
        <v>0.2021587</v>
      </c>
      <c r="X2014">
        <v>0.97876110000000005</v>
      </c>
      <c r="Y2014">
        <v>5.0912100000000002E-2</v>
      </c>
      <c r="Z2014">
        <v>6.9377350000000002E-4</v>
      </c>
      <c r="AA2014">
        <v>0.99870289999999995</v>
      </c>
      <c r="AB2014">
        <v>37</v>
      </c>
      <c r="AC2014">
        <v>-53.368799999999901</v>
      </c>
      <c r="AD2014">
        <v>-1.1213879335729999</v>
      </c>
      <c r="AE2014">
        <v>3.9320999999999899</v>
      </c>
      <c r="AF2014">
        <v>2.7387534975148</v>
      </c>
      <c r="AG2014">
        <v>-1.1213879335729999</v>
      </c>
      <c r="AH2014">
        <v>53.4198098739542</v>
      </c>
      <c r="AI2014">
        <v>91.200998724112296</v>
      </c>
      <c r="AJ2014">
        <v>87.0651009755952</v>
      </c>
      <c r="AK2014">
        <v>53.501723043161199</v>
      </c>
      <c r="AL2014">
        <v>78.336778031587002</v>
      </c>
      <c r="AM2014">
        <v>88.008201361773203</v>
      </c>
      <c r="AN2014">
        <v>1.00000003606294</v>
      </c>
    </row>
    <row r="2015" spans="1:40" x14ac:dyDescent="0.25">
      <c r="A2015" t="str">
        <f>"20190303162819068"</f>
        <v>20190303162819068</v>
      </c>
      <c r="B2015" t="str">
        <f>"1551601699053125"</f>
        <v>1551601699053125</v>
      </c>
      <c r="C2015" t="s">
        <v>40</v>
      </c>
      <c r="D2015">
        <v>4.5529760000000001</v>
      </c>
      <c r="E2015">
        <v>0.50799129999999904</v>
      </c>
      <c r="F2015" t="s">
        <v>48</v>
      </c>
      <c r="G2015">
        <v>-397.44799999999998</v>
      </c>
      <c r="H2015" s="1">
        <v>2.4266779999999998E-6</v>
      </c>
      <c r="I2015">
        <v>288.27910000000003</v>
      </c>
      <c r="J2015">
        <v>-343.6429</v>
      </c>
      <c r="K2015">
        <v>1.121391</v>
      </c>
      <c r="L2015">
        <v>284.34390000000002</v>
      </c>
      <c r="M2015">
        <v>-0.99966730000000004</v>
      </c>
      <c r="N2015">
        <v>-1.3142900000000001E-2</v>
      </c>
      <c r="O2015">
        <v>2.2192340000000001E-2</v>
      </c>
      <c r="P2015">
        <v>-0.98032200000000003</v>
      </c>
      <c r="Q2015">
        <v>0.1893425</v>
      </c>
      <c r="R2015">
        <v>5.5839489999999999E-2</v>
      </c>
      <c r="S2015">
        <v>-3.059723</v>
      </c>
      <c r="T2015">
        <v>-6.3485860000000005E-2</v>
      </c>
      <c r="U2015">
        <v>0.22308349999999999</v>
      </c>
      <c r="V2015">
        <v>3.3983850000000003E-2</v>
      </c>
      <c r="W2015">
        <v>0.20223759999999999</v>
      </c>
      <c r="X2015">
        <v>0.97874669999999997</v>
      </c>
      <c r="Y2015">
        <v>5.0546199999999999E-2</v>
      </c>
      <c r="Z2015">
        <v>6.8798990000000005E-4</v>
      </c>
      <c r="AA2015">
        <v>0.99872150000000004</v>
      </c>
      <c r="AB2015">
        <v>37</v>
      </c>
      <c r="AC2015">
        <v>-53.805100000000003</v>
      </c>
      <c r="AD2015">
        <v>-1.1213885733219999</v>
      </c>
      <c r="AE2015">
        <v>3.9352</v>
      </c>
      <c r="AF2015">
        <v>2.73888304966342</v>
      </c>
      <c r="AG2015">
        <v>-1.1213885733219999</v>
      </c>
      <c r="AH2015">
        <v>53.855916193727303</v>
      </c>
      <c r="AI2015">
        <v>91.191301985992396</v>
      </c>
      <c r="AJ2015">
        <v>87.088688239175198</v>
      </c>
      <c r="AK2015">
        <v>53.9371736537788</v>
      </c>
      <c r="AL2015">
        <v>78.332161928969398</v>
      </c>
      <c r="AM2015">
        <v>88.011386140364607</v>
      </c>
      <c r="AN2015">
        <v>1.00000002583773</v>
      </c>
    </row>
    <row r="2016" spans="1:40" x14ac:dyDescent="0.25">
      <c r="A2016" t="str">
        <f>"20190303162819081"</f>
        <v>20190303162819081</v>
      </c>
      <c r="B2016" t="str">
        <f>"1551601699073621"</f>
        <v>1551601699073621</v>
      </c>
      <c r="C2016" t="s">
        <v>40</v>
      </c>
      <c r="D2016">
        <v>4.8141259999999999</v>
      </c>
      <c r="E2016">
        <v>0.50794249999999996</v>
      </c>
      <c r="F2016" t="s">
        <v>48</v>
      </c>
      <c r="G2016">
        <v>-397.63529999999997</v>
      </c>
      <c r="H2016" s="1">
        <v>2.526336E-6</v>
      </c>
      <c r="I2016">
        <v>288.26150000000001</v>
      </c>
      <c r="J2016">
        <v>-343.85840000000002</v>
      </c>
      <c r="K2016">
        <v>1.121389</v>
      </c>
      <c r="L2016">
        <v>284.34859999999998</v>
      </c>
      <c r="M2016">
        <v>-0.99966980000000005</v>
      </c>
      <c r="N2016">
        <v>-1.314189E-2</v>
      </c>
      <c r="O2016">
        <v>2.2079999999999999E-2</v>
      </c>
      <c r="P2016">
        <v>-0.98030879999999998</v>
      </c>
      <c r="Q2016">
        <v>0.1894286</v>
      </c>
      <c r="R2016">
        <v>5.5781320000000002E-2</v>
      </c>
      <c r="S2016">
        <v>-3.0598139999999998</v>
      </c>
      <c r="T2016">
        <v>-6.3550469999999998E-2</v>
      </c>
      <c r="U2016">
        <v>0.2220154</v>
      </c>
      <c r="V2016">
        <v>3.4036280000000002E-2</v>
      </c>
      <c r="W2016">
        <v>0.20232259999999999</v>
      </c>
      <c r="X2016">
        <v>0.97872729999999997</v>
      </c>
      <c r="Y2016">
        <v>5.0309529999999998E-2</v>
      </c>
      <c r="Z2016">
        <v>6.8484639999999897E-4</v>
      </c>
      <c r="AA2016">
        <v>0.99873350000000005</v>
      </c>
      <c r="AB2016">
        <v>36</v>
      </c>
      <c r="AC2016">
        <v>-53.776899999999898</v>
      </c>
      <c r="AD2016">
        <v>-1.121386473664</v>
      </c>
      <c r="AE2016">
        <v>3.9129000000000298</v>
      </c>
      <c r="AF2016">
        <v>2.7232714399539599</v>
      </c>
      <c r="AG2016">
        <v>-1.121386473664</v>
      </c>
      <c r="AH2016">
        <v>53.826909332254303</v>
      </c>
      <c r="AI2016">
        <v>91.191957385585894</v>
      </c>
      <c r="AJ2016">
        <v>87.103697087610698</v>
      </c>
      <c r="AK2016">
        <v>53.9074195563256</v>
      </c>
      <c r="AL2016">
        <v>78.327188860927606</v>
      </c>
      <c r="AM2016">
        <v>88.008281145910104</v>
      </c>
      <c r="AN2016">
        <v>1.0000000152961399</v>
      </c>
    </row>
    <row r="2017" spans="1:40" x14ac:dyDescent="0.25">
      <c r="A2017" t="str">
        <f>"20190303162819094"</f>
        <v>20190303162819094</v>
      </c>
      <c r="B2017" t="str">
        <f>"1551601699083444"</f>
        <v>1551601699083444</v>
      </c>
      <c r="C2017" t="s">
        <v>40</v>
      </c>
      <c r="D2017">
        <v>4.696256</v>
      </c>
      <c r="E2017">
        <v>0.48804029999999998</v>
      </c>
      <c r="F2017" t="s">
        <v>48</v>
      </c>
      <c r="G2017">
        <v>-397.91059999999999</v>
      </c>
      <c r="H2017" s="1">
        <v>2.672851E-6</v>
      </c>
      <c r="I2017">
        <v>288.25850000000003</v>
      </c>
      <c r="J2017">
        <v>-344.06689999999998</v>
      </c>
      <c r="K2017">
        <v>1.1213900000000001</v>
      </c>
      <c r="L2017">
        <v>284.35309999999998</v>
      </c>
      <c r="M2017">
        <v>-0.99967240000000002</v>
      </c>
      <c r="N2017">
        <v>-1.3140890000000001E-2</v>
      </c>
      <c r="O2017">
        <v>2.1971350000000001E-2</v>
      </c>
      <c r="P2017">
        <v>-0.98036789999999996</v>
      </c>
      <c r="Q2017">
        <v>0.18917929999999999</v>
      </c>
      <c r="R2017">
        <v>5.558917E-2</v>
      </c>
      <c r="S2017">
        <v>-3.0599370000000001</v>
      </c>
      <c r="T2017">
        <v>-6.3482520000000001E-2</v>
      </c>
      <c r="U2017">
        <v>0.22134400000000001</v>
      </c>
      <c r="V2017">
        <v>3.3949680000000003E-2</v>
      </c>
      <c r="W2017">
        <v>0.2020728</v>
      </c>
      <c r="X2017">
        <v>0.97878189999999998</v>
      </c>
      <c r="Y2017">
        <v>5.0197270000000002E-2</v>
      </c>
      <c r="Z2017">
        <v>6.8364929999999895E-4</v>
      </c>
      <c r="AA2017">
        <v>0.99873909999999999</v>
      </c>
      <c r="AB2017">
        <v>36</v>
      </c>
      <c r="AC2017">
        <v>-53.843699999999998</v>
      </c>
      <c r="AD2017">
        <v>-1.12138732714899</v>
      </c>
      <c r="AE2017">
        <v>3.9054000000000402</v>
      </c>
      <c r="AF2017">
        <v>2.7201626363162501</v>
      </c>
      <c r="AG2017">
        <v>-1.12138732714899</v>
      </c>
      <c r="AH2017">
        <v>53.893260263684901</v>
      </c>
      <c r="AI2017">
        <v>91.190498427278598</v>
      </c>
      <c r="AJ2017">
        <v>87.110553492013594</v>
      </c>
      <c r="AK2017">
        <v>53.973514765621701</v>
      </c>
      <c r="AL2017">
        <v>78.341803058824198</v>
      </c>
      <c r="AM2017">
        <v>88.013455431639798</v>
      </c>
      <c r="AN2017">
        <v>1.0000000025197699</v>
      </c>
    </row>
    <row r="2018" spans="1:40" x14ac:dyDescent="0.25">
      <c r="A2018" t="str">
        <f>"20190303162819110"</f>
        <v>20190303162819110</v>
      </c>
      <c r="B2018" t="str">
        <f>"1551601699102952"</f>
        <v>1551601699102952</v>
      </c>
      <c r="C2018" t="s">
        <v>40</v>
      </c>
      <c r="D2018">
        <v>4.6585809999999999</v>
      </c>
      <c r="E2018">
        <v>0.47414719999999999</v>
      </c>
      <c r="F2018" t="s">
        <v>48</v>
      </c>
      <c r="G2018">
        <v>-393.37270000000001</v>
      </c>
      <c r="H2018" s="1">
        <v>2.5800670000000001E-7</v>
      </c>
      <c r="I2018">
        <v>285.34899999999999</v>
      </c>
      <c r="J2018">
        <v>-344.3322</v>
      </c>
      <c r="K2018">
        <v>1.121386</v>
      </c>
      <c r="L2018">
        <v>284.3587</v>
      </c>
      <c r="M2018">
        <v>-0.99967530000000004</v>
      </c>
      <c r="N2018">
        <v>-1.3139619999999999E-2</v>
      </c>
      <c r="O2018">
        <v>2.1833140000000001E-2</v>
      </c>
      <c r="P2018">
        <v>-0.98040899999999997</v>
      </c>
      <c r="Q2018">
        <v>0.18899299999999999</v>
      </c>
      <c r="R2018">
        <v>5.5497119999999997E-2</v>
      </c>
      <c r="S2018">
        <v>-3.0700069999999999</v>
      </c>
      <c r="T2018">
        <v>-6.9822910000000002E-2</v>
      </c>
      <c r="U2018">
        <v>6.2011719999999999E-2</v>
      </c>
      <c r="V2018">
        <v>3.3992550000000003E-2</v>
      </c>
      <c r="W2018">
        <v>0.20188639999999999</v>
      </c>
      <c r="X2018">
        <v>0.97881890000000005</v>
      </c>
      <c r="Y2018">
        <v>-1.6386250000000001E-3</v>
      </c>
      <c r="Z2018">
        <v>-2.3891130000000001E-4</v>
      </c>
      <c r="AA2018">
        <v>0.99999859999999896</v>
      </c>
      <c r="AB2018">
        <v>36</v>
      </c>
      <c r="AC2018">
        <v>-49.040500000000002</v>
      </c>
      <c r="AD2018">
        <v>-1.1213857419933</v>
      </c>
      <c r="AE2018">
        <v>0.99029999999998997</v>
      </c>
      <c r="AF2018">
        <v>-8.06944446542157E-2</v>
      </c>
      <c r="AG2018">
        <v>-1.1213857419933</v>
      </c>
      <c r="AH2018">
        <v>49.024807813707</v>
      </c>
      <c r="AI2018">
        <v>91.3103443751029</v>
      </c>
      <c r="AJ2018">
        <v>90.094308313272506</v>
      </c>
      <c r="AK2018">
        <v>49.037697730895303</v>
      </c>
      <c r="AL2018">
        <v>78.352708011718093</v>
      </c>
      <c r="AM2018">
        <v>88.011024060796998</v>
      </c>
      <c r="AN2018">
        <v>1.0000000254788299</v>
      </c>
    </row>
    <row r="2019" spans="1:40" x14ac:dyDescent="0.25">
      <c r="A2019" t="str">
        <f>"20190303162819123"</f>
        <v>20190303162819123</v>
      </c>
      <c r="B2019" t="str">
        <f>"1551601699113686"</f>
        <v>1551601699113686</v>
      </c>
      <c r="C2019" t="s">
        <v>40</v>
      </c>
      <c r="D2019">
        <v>4.8113910000000004</v>
      </c>
      <c r="E2019">
        <v>0.46851359999999997</v>
      </c>
      <c r="F2019" t="s">
        <v>49</v>
      </c>
      <c r="G2019">
        <v>-404.55020000000002</v>
      </c>
      <c r="H2019" s="1">
        <v>6.6328630000000001E-6</v>
      </c>
      <c r="I2019">
        <v>283.41410000000002</v>
      </c>
      <c r="J2019">
        <v>-344.54079999999999</v>
      </c>
      <c r="K2019">
        <v>1.121386</v>
      </c>
      <c r="L2019">
        <v>284.36320000000001</v>
      </c>
      <c r="M2019">
        <v>-0.99967779999999995</v>
      </c>
      <c r="N2019">
        <v>-1.313861E-2</v>
      </c>
      <c r="O2019">
        <v>2.172408E-2</v>
      </c>
      <c r="P2019">
        <v>-0.98042450000000003</v>
      </c>
      <c r="Q2019">
        <v>0.188968</v>
      </c>
      <c r="R2019">
        <v>5.5309110000000002E-2</v>
      </c>
      <c r="S2019">
        <v>-3.0737000000000001</v>
      </c>
      <c r="T2019">
        <v>-5.7238459999999998E-2</v>
      </c>
      <c r="U2019">
        <v>-4.821777E-2</v>
      </c>
      <c r="V2019">
        <v>3.391131E-2</v>
      </c>
      <c r="W2019">
        <v>0.20186029999999999</v>
      </c>
      <c r="X2019">
        <v>0.97882709999999995</v>
      </c>
      <c r="Y2019">
        <v>-3.739348E-2</v>
      </c>
      <c r="Z2019">
        <v>-7.1289339999999995E-4</v>
      </c>
      <c r="AA2019">
        <v>0.99930039999999998</v>
      </c>
      <c r="AB2019">
        <v>36</v>
      </c>
      <c r="AC2019">
        <v>-60.009399999999999</v>
      </c>
      <c r="AD2019">
        <v>-1.121379367137</v>
      </c>
      <c r="AE2019">
        <v>-0.94909999999998695</v>
      </c>
      <c r="AF2019">
        <v>-2.2518512116985998</v>
      </c>
      <c r="AG2019">
        <v>-1.121379367137</v>
      </c>
      <c r="AH2019">
        <v>59.953685277079302</v>
      </c>
      <c r="AI2019">
        <v>91.0707858432568</v>
      </c>
      <c r="AJ2019">
        <v>92.151009553080996</v>
      </c>
      <c r="AK2019">
        <v>60.006438853407602</v>
      </c>
      <c r="AL2019">
        <v>78.354234857522798</v>
      </c>
      <c r="AM2019">
        <v>88.015790389887201</v>
      </c>
      <c r="AN2019">
        <v>1.0000000246781999</v>
      </c>
    </row>
    <row r="2020" spans="1:40" x14ac:dyDescent="0.25">
      <c r="A2020" t="str">
        <f>"20190303162819138"</f>
        <v>20190303162819138</v>
      </c>
      <c r="B2020" t="str">
        <f>"1551601699133207"</f>
        <v>1551601699133207</v>
      </c>
      <c r="C2020" t="s">
        <v>40</v>
      </c>
      <c r="D2020">
        <v>4.6955559999999998</v>
      </c>
      <c r="E2020">
        <v>0.464119</v>
      </c>
      <c r="F2020" t="s">
        <v>48</v>
      </c>
      <c r="G2020">
        <v>-395.19880000000001</v>
      </c>
      <c r="H2020" s="1">
        <v>1.2297630000000001E-6</v>
      </c>
      <c r="I2020">
        <v>282.81889999999999</v>
      </c>
      <c r="J2020">
        <v>-344.77539999999999</v>
      </c>
      <c r="K2020">
        <v>1.121383</v>
      </c>
      <c r="L2020">
        <v>284.36810000000003</v>
      </c>
      <c r="M2020">
        <v>-0.99968049999999997</v>
      </c>
      <c r="N2020">
        <v>-1.31375E-2</v>
      </c>
      <c r="O2020">
        <v>2.16019E-2</v>
      </c>
      <c r="P2020">
        <v>-0.98042209999999996</v>
      </c>
      <c r="Q2020">
        <v>0.18901200000000001</v>
      </c>
      <c r="R2020">
        <v>5.5200199999999998E-2</v>
      </c>
      <c r="S2020">
        <v>-3.0783689999999999</v>
      </c>
      <c r="T2020">
        <v>-6.8143960000000003E-2</v>
      </c>
      <c r="U2020">
        <v>-9.3841549999999996E-2</v>
      </c>
      <c r="V2020">
        <v>3.3922479999999998E-2</v>
      </c>
      <c r="W2020">
        <v>0.20190279999999999</v>
      </c>
      <c r="X2020">
        <v>0.97881790000000002</v>
      </c>
      <c r="Y2020">
        <v>-5.2035480000000002E-2</v>
      </c>
      <c r="Z2020">
        <v>-1.112013E-3</v>
      </c>
      <c r="AA2020">
        <v>0.99864459999999999</v>
      </c>
      <c r="AB2020">
        <v>36</v>
      </c>
      <c r="AC2020">
        <v>-50.423400000000001</v>
      </c>
      <c r="AD2020">
        <v>-1.1213817702369999</v>
      </c>
      <c r="AE2020">
        <v>-1.5492000000000401</v>
      </c>
      <c r="AF2020">
        <v>-2.6368705731376498</v>
      </c>
      <c r="AG2020">
        <v>-1.1213817702369999</v>
      </c>
      <c r="AH2020">
        <v>50.353282618610002</v>
      </c>
      <c r="AI2020">
        <v>91.274037090662105</v>
      </c>
      <c r="AJ2020">
        <v>92.997692861445799</v>
      </c>
      <c r="AK2020">
        <v>50.434746494492302</v>
      </c>
      <c r="AL2020">
        <v>78.351748047213505</v>
      </c>
      <c r="AM2020">
        <v>88.015118695504299</v>
      </c>
      <c r="AN2020">
        <v>0.99999997832879906</v>
      </c>
    </row>
    <row r="2021" spans="1:40" x14ac:dyDescent="0.25">
      <c r="A2021" t="str">
        <f>"20190303162819150"</f>
        <v>20190303162819150</v>
      </c>
      <c r="B2021" t="str">
        <f>"1551601699142966"</f>
        <v>1551601699142966</v>
      </c>
      <c r="C2021" t="s">
        <v>40</v>
      </c>
      <c r="D2021">
        <v>4.7469289999999997</v>
      </c>
      <c r="E2021">
        <v>0.4626516</v>
      </c>
      <c r="F2021" t="s">
        <v>48</v>
      </c>
      <c r="G2021">
        <v>-383.99849999999998</v>
      </c>
      <c r="H2021" s="1">
        <v>5.9100910000000001E-7</v>
      </c>
      <c r="I2021">
        <v>282.72210000000001</v>
      </c>
      <c r="J2021">
        <v>-344.9932</v>
      </c>
      <c r="K2021">
        <v>1.121381</v>
      </c>
      <c r="L2021">
        <v>284.37270000000001</v>
      </c>
      <c r="M2021">
        <v>-0.99968299999999999</v>
      </c>
      <c r="N2021">
        <v>-1.3136449999999999E-2</v>
      </c>
      <c r="O2021">
        <v>2.1488190000000001E-2</v>
      </c>
      <c r="P2021">
        <v>-0.98044050000000005</v>
      </c>
      <c r="Q2021">
        <v>0.18889529999999999</v>
      </c>
      <c r="R2021">
        <v>5.5273320000000001E-2</v>
      </c>
      <c r="S2021">
        <v>-3.0841980000000002</v>
      </c>
      <c r="T2021">
        <v>-8.8176729999999995E-2</v>
      </c>
      <c r="U2021">
        <v>-0.12942500000000001</v>
      </c>
      <c r="V2021">
        <v>3.4106789999999998E-2</v>
      </c>
      <c r="W2021">
        <v>0.20178550000000001</v>
      </c>
      <c r="X2021">
        <v>0.97883569999999998</v>
      </c>
      <c r="Y2021">
        <v>-6.3348180000000004E-2</v>
      </c>
      <c r="Z2021">
        <v>-1.6532459999999999E-3</v>
      </c>
      <c r="AA2021">
        <v>0.99799009999999999</v>
      </c>
      <c r="AB2021">
        <v>36</v>
      </c>
      <c r="AC2021">
        <v>-39.005299999999899</v>
      </c>
      <c r="AD2021">
        <v>-1.1213804089909001</v>
      </c>
      <c r="AE2021">
        <v>-1.6505999999999901</v>
      </c>
      <c r="AF2021">
        <v>-2.4863928632046601</v>
      </c>
      <c r="AG2021">
        <v>-1.1213804089909001</v>
      </c>
      <c r="AH2021">
        <v>38.928702521563103</v>
      </c>
      <c r="AI2021">
        <v>91.646652809753405</v>
      </c>
      <c r="AJ2021">
        <v>93.654541828591803</v>
      </c>
      <c r="AK2021">
        <v>39.024140266048398</v>
      </c>
      <c r="AL2021">
        <v>78.358610268315104</v>
      </c>
      <c r="AM2021">
        <v>88.004379257118501</v>
      </c>
      <c r="AN2021">
        <v>0.999999994364422</v>
      </c>
    </row>
    <row r="2022" spans="1:40" x14ac:dyDescent="0.25">
      <c r="A2022" t="str">
        <f>"20190303162819166"</f>
        <v>20190303162819166</v>
      </c>
      <c r="B2022" t="str">
        <f>"1551601699153703"</f>
        <v>1551601699153703</v>
      </c>
      <c r="C2022" t="s">
        <v>40</v>
      </c>
      <c r="D2022">
        <v>4.708151</v>
      </c>
      <c r="E2022">
        <v>0.46198980000000001</v>
      </c>
      <c r="F2022" t="s">
        <v>48</v>
      </c>
      <c r="G2022">
        <v>-381.20179999999999</v>
      </c>
      <c r="H2022" s="1">
        <v>-8.9722229999999996E-7</v>
      </c>
      <c r="I2022">
        <v>282.71929999999998</v>
      </c>
      <c r="J2022">
        <v>-345.22559999999999</v>
      </c>
      <c r="K2022">
        <v>1.1213839999999999</v>
      </c>
      <c r="L2022">
        <v>284.37759999999997</v>
      </c>
      <c r="M2022">
        <v>-0.9996855</v>
      </c>
      <c r="N2022">
        <v>-1.3135330000000001E-2</v>
      </c>
      <c r="O2022">
        <v>2.136679E-2</v>
      </c>
      <c r="P2022">
        <v>-0.98055060000000005</v>
      </c>
      <c r="Q2022">
        <v>0.1883666</v>
      </c>
      <c r="R2022">
        <v>5.5124680000000002E-2</v>
      </c>
      <c r="S2022">
        <v>-3.0862120000000002</v>
      </c>
      <c r="T2022">
        <v>-9.5579979999999995E-2</v>
      </c>
      <c r="U2022">
        <v>-0.14093020000000001</v>
      </c>
      <c r="V2022">
        <v>3.4075479999999998E-2</v>
      </c>
      <c r="W2022">
        <v>0.20125680000000001</v>
      </c>
      <c r="X2022">
        <v>0.97894559999999997</v>
      </c>
      <c r="Y2022">
        <v>-6.6903870000000004E-2</v>
      </c>
      <c r="Z2022">
        <v>-1.85582E-3</v>
      </c>
      <c r="AA2022">
        <v>0.99775769999999997</v>
      </c>
      <c r="AB2022">
        <v>36</v>
      </c>
      <c r="AC2022">
        <v>-35.976199999999999</v>
      </c>
      <c r="AD2022">
        <v>-1.1213848972222999</v>
      </c>
      <c r="AE2022">
        <v>-1.6582999999999899</v>
      </c>
      <c r="AF2022">
        <v>-2.4243330763251301</v>
      </c>
      <c r="AG2022">
        <v>-1.1213848972222999</v>
      </c>
      <c r="AH2022">
        <v>35.897746156211703</v>
      </c>
      <c r="AI2022">
        <v>91.785177699297506</v>
      </c>
      <c r="AJ2022">
        <v>93.863569962066805</v>
      </c>
      <c r="AK2022">
        <v>35.996987013477899</v>
      </c>
      <c r="AL2022">
        <v>78.389536664727999</v>
      </c>
      <c r="AM2022">
        <v>88.006433405322198</v>
      </c>
      <c r="AN2022">
        <v>0.99999996282141401</v>
      </c>
    </row>
    <row r="2023" spans="1:40" x14ac:dyDescent="0.25">
      <c r="A2023" t="str">
        <f>"20190303162819178"</f>
        <v>20190303162819178</v>
      </c>
      <c r="B2023" t="str">
        <f>"1551601699173222"</f>
        <v>1551601699173222</v>
      </c>
      <c r="C2023" t="s">
        <v>40</v>
      </c>
      <c r="D2023">
        <v>4.67448</v>
      </c>
      <c r="E2023">
        <v>0.46047939999999998</v>
      </c>
      <c r="F2023" t="s">
        <v>48</v>
      </c>
      <c r="G2023">
        <v>-382.1311</v>
      </c>
      <c r="H2023" s="1">
        <v>-4.0269929999999997E-7</v>
      </c>
      <c r="I2023">
        <v>282.6216</v>
      </c>
      <c r="J2023">
        <v>-345.4323</v>
      </c>
      <c r="K2023">
        <v>1.1213879999999901</v>
      </c>
      <c r="L2023">
        <v>284.38189999999997</v>
      </c>
      <c r="M2023">
        <v>-0.99968780000000002</v>
      </c>
      <c r="N2023">
        <v>-1.313434E-2</v>
      </c>
      <c r="O2023">
        <v>2.125904E-2</v>
      </c>
      <c r="P2023">
        <v>-0.98055210000000004</v>
      </c>
      <c r="Q2023">
        <v>0.1884199</v>
      </c>
      <c r="R2023">
        <v>5.491567E-2</v>
      </c>
      <c r="S2023">
        <v>-3.0857540000000001</v>
      </c>
      <c r="T2023">
        <v>-9.3761559999999994E-2</v>
      </c>
      <c r="U2023">
        <v>-0.14682010000000001</v>
      </c>
      <c r="V2023">
        <v>3.3972189999999999E-2</v>
      </c>
      <c r="W2023">
        <v>0.20130909999999999</v>
      </c>
      <c r="X2023">
        <v>0.97893850000000004</v>
      </c>
      <c r="Y2023">
        <v>-6.8703810000000004E-2</v>
      </c>
      <c r="Z2023">
        <v>-1.861047E-3</v>
      </c>
      <c r="AA2023">
        <v>0.99763539999999995</v>
      </c>
      <c r="AB2023">
        <v>36</v>
      </c>
      <c r="AC2023">
        <v>-36.698799999999999</v>
      </c>
      <c r="AD2023">
        <v>-1.12138840269929</v>
      </c>
      <c r="AE2023">
        <v>-1.76029999999997</v>
      </c>
      <c r="AF2023">
        <v>-2.5377865079991202</v>
      </c>
      <c r="AG2023">
        <v>-1.12138840269929</v>
      </c>
      <c r="AH2023">
        <v>36.618966441584398</v>
      </c>
      <c r="AI2023">
        <v>91.749835125098897</v>
      </c>
      <c r="AJ2023">
        <v>93.964402989123499</v>
      </c>
      <c r="AK2023">
        <v>36.723923749509296</v>
      </c>
      <c r="AL2023">
        <v>78.386478216965102</v>
      </c>
      <c r="AM2023">
        <v>88.012457070676902</v>
      </c>
      <c r="AN2023">
        <v>1.00000002510922</v>
      </c>
    </row>
    <row r="2024" spans="1:40" x14ac:dyDescent="0.25">
      <c r="A2024" t="str">
        <f>"20190303162819191"</f>
        <v>20190303162819191</v>
      </c>
      <c r="B2024" t="str">
        <f>"1551601699183959"</f>
        <v>1551601699183959</v>
      </c>
      <c r="C2024" t="s">
        <v>40</v>
      </c>
      <c r="D2024">
        <v>4.7140909999999998</v>
      </c>
      <c r="E2024">
        <v>0.46003620000000001</v>
      </c>
      <c r="F2024" t="s">
        <v>48</v>
      </c>
      <c r="G2024">
        <v>-380.44439999999997</v>
      </c>
      <c r="H2024" s="1">
        <v>-1.30030399999999E-6</v>
      </c>
      <c r="I2024">
        <v>282.57499999999999</v>
      </c>
      <c r="J2024">
        <v>-345.65280000000001</v>
      </c>
      <c r="K2024">
        <v>1.121389</v>
      </c>
      <c r="L2024">
        <v>284.38639999999998</v>
      </c>
      <c r="M2024">
        <v>-0.99969019999999997</v>
      </c>
      <c r="N2024">
        <v>-1.3133300000000001E-2</v>
      </c>
      <c r="O2024">
        <v>2.1144309999999999E-2</v>
      </c>
      <c r="P2024">
        <v>-0.98060820000000004</v>
      </c>
      <c r="Q2024">
        <v>0.1883061</v>
      </c>
      <c r="R2024">
        <v>5.430099E-2</v>
      </c>
      <c r="S2024">
        <v>-3.087402</v>
      </c>
      <c r="T2024">
        <v>-9.8885420000000002E-2</v>
      </c>
      <c r="U2024">
        <v>-0.15933229999999901</v>
      </c>
      <c r="V2024">
        <v>3.3469350000000002E-2</v>
      </c>
      <c r="W2024">
        <v>0.20119429999999999</v>
      </c>
      <c r="X2024">
        <v>0.97897940000000006</v>
      </c>
      <c r="Y2024">
        <v>-7.2589000000000001E-2</v>
      </c>
      <c r="Z2024">
        <v>-2.0377680000000001E-3</v>
      </c>
      <c r="AA2024">
        <v>0.99735989999999997</v>
      </c>
      <c r="AB2024">
        <v>36</v>
      </c>
      <c r="AC2024">
        <v>-34.791599999999903</v>
      </c>
      <c r="AD2024">
        <v>-1.121390300304</v>
      </c>
      <c r="AE2024">
        <v>-1.8113999999999899</v>
      </c>
      <c r="AF2024">
        <v>-2.5440669358663199</v>
      </c>
      <c r="AG2024">
        <v>-1.121390300304</v>
      </c>
      <c r="AH2024">
        <v>34.709554805081197</v>
      </c>
      <c r="AI2024">
        <v>91.8455112637469</v>
      </c>
      <c r="AJ2024">
        <v>94.192047640471898</v>
      </c>
      <c r="AK2024">
        <v>34.820726407510797</v>
      </c>
      <c r="AL2024">
        <v>78.393192922644801</v>
      </c>
      <c r="AM2024">
        <v>88.0419343944465</v>
      </c>
      <c r="AN2024">
        <v>1.0000000046831301</v>
      </c>
    </row>
    <row r="2025" spans="1:40" x14ac:dyDescent="0.25">
      <c r="A2025" t="str">
        <f>"20190303162819211"</f>
        <v>20190303162819211</v>
      </c>
      <c r="B2025" t="str">
        <f>"1551601699203478"</f>
        <v>1551601699203478</v>
      </c>
      <c r="C2025" t="s">
        <v>40</v>
      </c>
      <c r="D2025">
        <v>4.8294680000000003</v>
      </c>
      <c r="E2025">
        <v>0.4595764</v>
      </c>
      <c r="F2025" t="s">
        <v>48</v>
      </c>
      <c r="G2025">
        <v>-379.95240000000001</v>
      </c>
      <c r="H2025" s="1">
        <v>3.7593920000000002E-6</v>
      </c>
      <c r="I2025">
        <v>282.55590000000001</v>
      </c>
      <c r="J2025">
        <v>-345.9717</v>
      </c>
      <c r="K2025">
        <v>1.121391</v>
      </c>
      <c r="L2025">
        <v>284.39299999999997</v>
      </c>
      <c r="M2025">
        <v>-0.99969379999999997</v>
      </c>
      <c r="N2025">
        <v>-1.3131800000000001E-2</v>
      </c>
      <c r="O2025">
        <v>2.0978030000000002E-2</v>
      </c>
      <c r="P2025">
        <v>-0.98065760000000002</v>
      </c>
      <c r="Q2025">
        <v>0.18821080000000001</v>
      </c>
      <c r="R2025">
        <v>5.3734009999999999E-2</v>
      </c>
      <c r="S2025">
        <v>-3.0878299999999999</v>
      </c>
      <c r="T2025">
        <v>-0.100953</v>
      </c>
      <c r="U2025">
        <v>-0.16479489999999999</v>
      </c>
      <c r="V2025">
        <v>3.3064540000000003E-2</v>
      </c>
      <c r="W2025">
        <v>0.20109850000000001</v>
      </c>
      <c r="X2025">
        <v>0.97901280000000002</v>
      </c>
      <c r="Y2025">
        <v>-7.4172180000000004E-2</v>
      </c>
      <c r="Z2025">
        <v>-2.1088700000000001E-3</v>
      </c>
      <c r="AA2025">
        <v>0.9972432</v>
      </c>
      <c r="AB2025">
        <v>36</v>
      </c>
      <c r="AC2025">
        <v>-33.980699999999999</v>
      </c>
      <c r="AD2025">
        <v>-1.1213872406080001</v>
      </c>
      <c r="AE2025">
        <v>-1.83709999999996</v>
      </c>
      <c r="AF2025">
        <v>-2.5468396461693201</v>
      </c>
      <c r="AG2025">
        <v>-1.1213872406080001</v>
      </c>
      <c r="AH2025">
        <v>33.897869971335503</v>
      </c>
      <c r="AI2025">
        <v>91.889409244604195</v>
      </c>
      <c r="AJ2025">
        <v>94.296715809905706</v>
      </c>
      <c r="AK2025">
        <v>34.011902183210303</v>
      </c>
      <c r="AL2025">
        <v>78.398795937722696</v>
      </c>
      <c r="AM2025">
        <v>88.065664934827893</v>
      </c>
      <c r="AN2025">
        <v>0.99999996653574996</v>
      </c>
    </row>
    <row r="2026" spans="1:40" x14ac:dyDescent="0.25">
      <c r="A2026" t="str">
        <f>"20190303162819232"</f>
        <v>20190303162819232</v>
      </c>
      <c r="B2026" t="str">
        <f>"1551601699222998"</f>
        <v>1551601699222998</v>
      </c>
      <c r="C2026" t="s">
        <v>40</v>
      </c>
      <c r="D2026">
        <v>4.7223870000000003</v>
      </c>
      <c r="E2026">
        <v>0.45945409999999998</v>
      </c>
      <c r="F2026" t="s">
        <v>48</v>
      </c>
      <c r="G2026">
        <v>-379.71010000000001</v>
      </c>
      <c r="H2026" s="1">
        <v>3.6304209999999999E-6</v>
      </c>
      <c r="I2026">
        <v>282.53460000000001</v>
      </c>
      <c r="J2026">
        <v>-346.31779999999998</v>
      </c>
      <c r="K2026">
        <v>1.1213919999999999</v>
      </c>
      <c r="L2026">
        <v>284.39999999999998</v>
      </c>
      <c r="M2026">
        <v>-0.99969759999999996</v>
      </c>
      <c r="N2026">
        <v>-1.31301E-2</v>
      </c>
      <c r="O2026">
        <v>2.079775E-2</v>
      </c>
      <c r="P2026">
        <v>-0.98059240000000003</v>
      </c>
      <c r="Q2026">
        <v>0.1886678</v>
      </c>
      <c r="R2026">
        <v>5.3322179999999997E-2</v>
      </c>
      <c r="S2026">
        <v>-3.0882260000000001</v>
      </c>
      <c r="T2026">
        <v>-0.1026456</v>
      </c>
      <c r="U2026">
        <v>-0.17010500000000001</v>
      </c>
      <c r="V2026">
        <v>3.2830949999999998E-2</v>
      </c>
      <c r="W2026">
        <v>0.2015525</v>
      </c>
      <c r="X2026">
        <v>0.97892729999999994</v>
      </c>
      <c r="Y2026">
        <v>-7.5692179999999998E-2</v>
      </c>
      <c r="Z2026">
        <v>-2.1719370000000001E-3</v>
      </c>
      <c r="AA2026">
        <v>0.99712880000000004</v>
      </c>
      <c r="AB2026">
        <v>36</v>
      </c>
      <c r="AC2026">
        <v>-33.392299999999999</v>
      </c>
      <c r="AD2026">
        <v>-1.1213883695789999</v>
      </c>
      <c r="AE2026">
        <v>-1.86539999999996</v>
      </c>
      <c r="AF2026">
        <v>-2.55666659334964</v>
      </c>
      <c r="AG2026">
        <v>-1.1213883695789999</v>
      </c>
      <c r="AH2026">
        <v>33.308828913466201</v>
      </c>
      <c r="AI2026">
        <v>91.922563516972204</v>
      </c>
      <c r="AJ2026">
        <v>94.389212889809201</v>
      </c>
      <c r="AK2026">
        <v>33.425621004426198</v>
      </c>
      <c r="AL2026">
        <v>78.372239943925294</v>
      </c>
      <c r="AM2026">
        <v>88.0791524708808</v>
      </c>
      <c r="AN2026">
        <v>0.99999997010971997</v>
      </c>
    </row>
    <row r="2027" spans="1:40" x14ac:dyDescent="0.25">
      <c r="A2027" t="str">
        <f>"20190303162819246"</f>
        <v>20190303162819246</v>
      </c>
      <c r="B2027" t="str">
        <f>"1551601699233735"</f>
        <v>1551601699233735</v>
      </c>
      <c r="C2027" t="s">
        <v>40</v>
      </c>
      <c r="D2027">
        <v>4.8284729999999998</v>
      </c>
      <c r="E2027">
        <v>0.45933350000000001</v>
      </c>
      <c r="F2027" t="s">
        <v>48</v>
      </c>
      <c r="G2027">
        <v>-381.85050000000001</v>
      </c>
      <c r="H2027" s="1">
        <v>-5.5206350000000003E-7</v>
      </c>
      <c r="I2027">
        <v>282.41739999999999</v>
      </c>
      <c r="J2027">
        <v>-346.54230000000001</v>
      </c>
      <c r="K2027">
        <v>1.1213919999999999</v>
      </c>
      <c r="L2027">
        <v>284.40460000000002</v>
      </c>
      <c r="M2027">
        <v>-0.99970009999999998</v>
      </c>
      <c r="N2027">
        <v>-1.312895E-2</v>
      </c>
      <c r="O2027">
        <v>2.0681109999999999E-2</v>
      </c>
      <c r="P2027">
        <v>-0.98055049999999999</v>
      </c>
      <c r="Q2027">
        <v>0.18895400000000001</v>
      </c>
      <c r="R2027">
        <v>5.3081860000000002E-2</v>
      </c>
      <c r="S2027">
        <v>-3.0874630000000001</v>
      </c>
      <c r="T2027">
        <v>-9.7438689999999994E-2</v>
      </c>
      <c r="U2027">
        <v>-0.1722717</v>
      </c>
      <c r="V2027">
        <v>3.2706029999999997E-2</v>
      </c>
      <c r="W2027">
        <v>0.2018364</v>
      </c>
      <c r="X2027">
        <v>0.97887299999999999</v>
      </c>
      <c r="Y2027">
        <v>-7.6292200000000004E-2</v>
      </c>
      <c r="Z2027">
        <v>-2.0848580000000002E-3</v>
      </c>
      <c r="AA2027">
        <v>0.99708330000000001</v>
      </c>
      <c r="AB2027">
        <v>36</v>
      </c>
      <c r="AC2027">
        <v>-35.308199999999999</v>
      </c>
      <c r="AD2027">
        <v>-1.1213925520635</v>
      </c>
      <c r="AE2027">
        <v>-1.9872000000000201</v>
      </c>
      <c r="AF2027">
        <v>-2.7143211815850901</v>
      </c>
      <c r="AG2027">
        <v>-1.1213925520635</v>
      </c>
      <c r="AH2027">
        <v>35.2241274895513</v>
      </c>
      <c r="AI2027">
        <v>91.818061833770301</v>
      </c>
      <c r="AJ2027">
        <v>94.406423255955204</v>
      </c>
      <c r="AK2027">
        <v>35.346346602340503</v>
      </c>
      <c r="AL2027">
        <v>78.355632518141903</v>
      </c>
      <c r="AM2027">
        <v>88.086349679425396</v>
      </c>
      <c r="AN2027">
        <v>0.99999998344616003</v>
      </c>
    </row>
    <row r="2028" spans="1:40" x14ac:dyDescent="0.25">
      <c r="A2028" t="str">
        <f>"20190303162819261"</f>
        <v>20190303162819261</v>
      </c>
      <c r="B2028" t="str">
        <f>"1551601699253255"</f>
        <v>1551601699253255</v>
      </c>
      <c r="C2028" t="s">
        <v>40</v>
      </c>
      <c r="D2028">
        <v>4.774127</v>
      </c>
      <c r="E2028">
        <v>0.45905649999999998</v>
      </c>
      <c r="F2028" t="s">
        <v>48</v>
      </c>
      <c r="G2028">
        <v>-383.22089999999997</v>
      </c>
      <c r="H2028" s="1">
        <v>1.772192E-7</v>
      </c>
      <c r="I2028">
        <v>282.33760000000001</v>
      </c>
      <c r="J2028">
        <v>-346.79199999999997</v>
      </c>
      <c r="K2028">
        <v>1.1213930000000001</v>
      </c>
      <c r="L2028">
        <v>284.40969999999999</v>
      </c>
      <c r="M2028">
        <v>-0.99970270000000006</v>
      </c>
      <c r="N2028">
        <v>-1.3127750000000001E-2</v>
      </c>
      <c r="O2028">
        <v>2.0551010000000001E-2</v>
      </c>
      <c r="P2028">
        <v>-0.9805606</v>
      </c>
      <c r="Q2028">
        <v>0.1889429</v>
      </c>
      <c r="R2028">
        <v>5.2930579999999998E-2</v>
      </c>
      <c r="S2028">
        <v>-3.0871279999999999</v>
      </c>
      <c r="T2028">
        <v>-9.438407E-2</v>
      </c>
      <c r="U2028">
        <v>-0.17398069999999999</v>
      </c>
      <c r="V2028">
        <v>3.2682170000000003E-2</v>
      </c>
      <c r="W2028">
        <v>0.2018248</v>
      </c>
      <c r="X2028">
        <v>0.97887619999999997</v>
      </c>
      <c r="Y2028">
        <v>-7.6721620000000004E-2</v>
      </c>
      <c r="Z2028">
        <v>-2.0340010000000001E-3</v>
      </c>
      <c r="AA2028">
        <v>0.99705049999999995</v>
      </c>
      <c r="AB2028">
        <v>36</v>
      </c>
      <c r="AC2028">
        <v>-36.428899999999999</v>
      </c>
      <c r="AD2028">
        <v>-1.1213928227808001</v>
      </c>
      <c r="AE2028">
        <v>-2.0720999999999701</v>
      </c>
      <c r="AF2028">
        <v>-2.8177160052815702</v>
      </c>
      <c r="AG2028">
        <v>-1.1213928227808001</v>
      </c>
      <c r="AH2028">
        <v>36.344289032339098</v>
      </c>
      <c r="AI2028">
        <v>91.762000378477893</v>
      </c>
      <c r="AJ2028">
        <v>94.433184434931803</v>
      </c>
      <c r="AK2028">
        <v>36.470596247053699</v>
      </c>
      <c r="AL2028">
        <v>78.3563112452524</v>
      </c>
      <c r="AM2028">
        <v>88.087750952746504</v>
      </c>
      <c r="AN2028">
        <v>0.99999999452869404</v>
      </c>
    </row>
    <row r="2029" spans="1:40" x14ac:dyDescent="0.25">
      <c r="A2029" t="str">
        <f>"20190303162819277"</f>
        <v>20190303162819277</v>
      </c>
      <c r="B2029" t="str">
        <f>"1551601699273750"</f>
        <v>1551601699273750</v>
      </c>
      <c r="C2029" t="s">
        <v>40</v>
      </c>
      <c r="D2029">
        <v>4.7841009999999997</v>
      </c>
      <c r="E2029">
        <v>0.45888800000000002</v>
      </c>
      <c r="F2029" t="s">
        <v>48</v>
      </c>
      <c r="G2029">
        <v>-382.47280000000001</v>
      </c>
      <c r="H2029" s="1">
        <v>-2.2090390000000001E-7</v>
      </c>
      <c r="I2029">
        <v>282.3639</v>
      </c>
      <c r="J2029">
        <v>-347.05020000000002</v>
      </c>
      <c r="K2029">
        <v>1.1213919999999999</v>
      </c>
      <c r="L2029">
        <v>284.41480000000001</v>
      </c>
      <c r="M2029">
        <v>-0.99970550000000002</v>
      </c>
      <c r="N2029">
        <v>-1.3126530000000001E-2</v>
      </c>
      <c r="O2029">
        <v>2.0416380000000001E-2</v>
      </c>
      <c r="P2029">
        <v>-0.98056109999999996</v>
      </c>
      <c r="Q2029">
        <v>0.18900790000000001</v>
      </c>
      <c r="R2029">
        <v>5.268813E-2</v>
      </c>
      <c r="S2029">
        <v>-3.0877080000000001</v>
      </c>
      <c r="T2029">
        <v>-9.7042080000000003E-2</v>
      </c>
      <c r="U2029">
        <v>-0.17703250000000001</v>
      </c>
      <c r="V2029">
        <v>3.257198E-2</v>
      </c>
      <c r="W2029">
        <v>0.20188829999999999</v>
      </c>
      <c r="X2029">
        <v>0.97886680000000004</v>
      </c>
      <c r="Y2029">
        <v>-7.7555739999999998E-2</v>
      </c>
      <c r="Z2029">
        <v>-2.1003760000000002E-3</v>
      </c>
      <c r="AA2029">
        <v>0.99698580000000003</v>
      </c>
      <c r="AB2029">
        <v>36</v>
      </c>
      <c r="AC2029">
        <v>-35.422599999999903</v>
      </c>
      <c r="AD2029">
        <v>-1.1213922209039</v>
      </c>
      <c r="AE2029">
        <v>-2.0509000000000102</v>
      </c>
      <c r="AF2029">
        <v>-2.7709681562216901</v>
      </c>
      <c r="AG2029">
        <v>-1.1213922209039</v>
      </c>
      <c r="AH2029">
        <v>35.338042379798601</v>
      </c>
      <c r="AI2029">
        <v>91.812015007266695</v>
      </c>
      <c r="AJ2029">
        <v>94.483569828430205</v>
      </c>
      <c r="AK2029">
        <v>35.464249946563598</v>
      </c>
      <c r="AL2029">
        <v>78.352596747287393</v>
      </c>
      <c r="AM2029">
        <v>88.094175170826901</v>
      </c>
      <c r="AN2029">
        <v>1.0000000158501201</v>
      </c>
    </row>
    <row r="2030" spans="1:40" x14ac:dyDescent="0.25">
      <c r="A2030" t="str">
        <f>"20190303162819292"</f>
        <v>20190303162819292</v>
      </c>
      <c r="B2030" t="str">
        <f>"1551601699283510"</f>
        <v>1551601699283510</v>
      </c>
      <c r="C2030" t="s">
        <v>40</v>
      </c>
      <c r="D2030">
        <v>4.7985959999999999</v>
      </c>
      <c r="E2030">
        <v>0.45881250000000001</v>
      </c>
      <c r="F2030" t="s">
        <v>48</v>
      </c>
      <c r="G2030">
        <v>-382.02159999999998</v>
      </c>
      <c r="H2030" s="1">
        <v>-4.6098900000000003E-7</v>
      </c>
      <c r="I2030">
        <v>282.3972</v>
      </c>
      <c r="J2030">
        <v>-347.28539999999998</v>
      </c>
      <c r="K2030">
        <v>1.1213930000000001</v>
      </c>
      <c r="L2030">
        <v>284.41950000000003</v>
      </c>
      <c r="M2030">
        <v>-0.99970789999999998</v>
      </c>
      <c r="N2030">
        <v>-1.312543E-2</v>
      </c>
      <c r="O2030">
        <v>2.0293729999999999E-2</v>
      </c>
      <c r="P2030">
        <v>-0.98051109999999997</v>
      </c>
      <c r="Q2030">
        <v>0.18934960000000001</v>
      </c>
      <c r="R2030">
        <v>5.239249E-2</v>
      </c>
      <c r="S2030">
        <v>-3.0881349999999999</v>
      </c>
      <c r="T2030">
        <v>-9.9024180000000003E-2</v>
      </c>
      <c r="U2030">
        <v>-0.1781616</v>
      </c>
      <c r="V2030">
        <v>3.2397820000000001E-2</v>
      </c>
      <c r="W2030">
        <v>0.20222780000000001</v>
      </c>
      <c r="X2030">
        <v>0.97880250000000002</v>
      </c>
      <c r="Y2030">
        <v>-7.7786610000000006E-2</v>
      </c>
      <c r="Z2030">
        <v>-2.1409250000000001E-3</v>
      </c>
      <c r="AA2030">
        <v>0.99696770000000001</v>
      </c>
      <c r="AB2030">
        <v>36</v>
      </c>
      <c r="AC2030">
        <v>-34.736199999999997</v>
      </c>
      <c r="AD2030">
        <v>-1.1213934609889999</v>
      </c>
      <c r="AE2030">
        <v>-2.02230000000002</v>
      </c>
      <c r="AF2030">
        <v>-2.7240418432530902</v>
      </c>
      <c r="AG2030">
        <v>-1.1213934609889999</v>
      </c>
      <c r="AH2030">
        <v>34.652009324884702</v>
      </c>
      <c r="AI2030">
        <v>91.847837746949395</v>
      </c>
      <c r="AJ2030">
        <v>94.494855770513595</v>
      </c>
      <c r="AK2030">
        <v>34.776999259712397</v>
      </c>
      <c r="AL2030">
        <v>78.332735180665793</v>
      </c>
      <c r="AM2030">
        <v>88.104233583733105</v>
      </c>
      <c r="AN2030">
        <v>1.00000001791992</v>
      </c>
    </row>
    <row r="2031" spans="1:40" x14ac:dyDescent="0.25">
      <c r="A2031" t="str">
        <f>"20190303162819306"</f>
        <v>20190303162819306</v>
      </c>
      <c r="B2031" t="str">
        <f>"1551601699293273"</f>
        <v>1551601699293273</v>
      </c>
      <c r="C2031" t="s">
        <v>40</v>
      </c>
      <c r="D2031">
        <v>4.8348110000000002</v>
      </c>
      <c r="E2031">
        <v>0.45857829999999999</v>
      </c>
      <c r="F2031" t="s">
        <v>48</v>
      </c>
      <c r="G2031">
        <v>-382.49560000000002</v>
      </c>
      <c r="H2031" s="1">
        <v>-2.0875739999999999E-7</v>
      </c>
      <c r="I2031">
        <v>282.37419999999997</v>
      </c>
      <c r="J2031">
        <v>-347.51139999999998</v>
      </c>
      <c r="K2031">
        <v>1.121391</v>
      </c>
      <c r="L2031">
        <v>284.4239</v>
      </c>
      <c r="M2031">
        <v>-0.99971030000000005</v>
      </c>
      <c r="N2031">
        <v>-1.312438E-2</v>
      </c>
      <c r="O2031">
        <v>2.017596E-2</v>
      </c>
      <c r="P2031">
        <v>-0.98050210000000004</v>
      </c>
      <c r="Q2031">
        <v>0.18951799999999999</v>
      </c>
      <c r="R2031">
        <v>5.1947670000000001E-2</v>
      </c>
      <c r="S2031">
        <v>-3.088165</v>
      </c>
      <c r="T2031">
        <v>-9.8353620000000003E-2</v>
      </c>
      <c r="U2031">
        <v>-0.17938229999999999</v>
      </c>
      <c r="V2031">
        <v>3.2068800000000001E-2</v>
      </c>
      <c r="W2031">
        <v>0.20239499999999999</v>
      </c>
      <c r="X2031">
        <v>0.97877879999999995</v>
      </c>
      <c r="Y2031">
        <v>-7.8061920000000007E-2</v>
      </c>
      <c r="Z2031">
        <v>-2.1320250000000001E-3</v>
      </c>
      <c r="AA2031">
        <v>0.9969462</v>
      </c>
      <c r="AB2031">
        <v>36</v>
      </c>
      <c r="AC2031">
        <v>-34.984200000000001</v>
      </c>
      <c r="AD2031">
        <v>-1.1213912087573901</v>
      </c>
      <c r="AE2031">
        <v>-2.0497000000000298</v>
      </c>
      <c r="AF2031">
        <v>-2.7523650113977798</v>
      </c>
      <c r="AG2031">
        <v>-1.1213912087573901</v>
      </c>
      <c r="AH2031">
        <v>34.899983205701801</v>
      </c>
      <c r="AI2031">
        <v>91.834677381883694</v>
      </c>
      <c r="AJ2031">
        <v>94.5092621347044</v>
      </c>
      <c r="AK2031">
        <v>35.026302390593699</v>
      </c>
      <c r="AL2031">
        <v>78.322953325000498</v>
      </c>
      <c r="AM2031">
        <v>88.123427029218206</v>
      </c>
      <c r="AN2031">
        <v>1.0000000416439301</v>
      </c>
    </row>
    <row r="2032" spans="1:40" x14ac:dyDescent="0.25">
      <c r="A2032" t="str">
        <f>"20190303162819321"</f>
        <v>20190303162819321</v>
      </c>
      <c r="B2032" t="str">
        <f>"1551601699313767"</f>
        <v>1551601699313767</v>
      </c>
      <c r="C2032" t="s">
        <v>40</v>
      </c>
      <c r="D2032">
        <v>4.8092499999999996</v>
      </c>
      <c r="E2032">
        <v>0.45829560000000003</v>
      </c>
      <c r="F2032" t="s">
        <v>48</v>
      </c>
      <c r="G2032">
        <v>-382.54239999999999</v>
      </c>
      <c r="H2032" s="1">
        <v>-1.838371E-7</v>
      </c>
      <c r="I2032">
        <v>282.35289999999998</v>
      </c>
      <c r="J2032">
        <v>-347.77080000000001</v>
      </c>
      <c r="K2032">
        <v>1.1213930000000001</v>
      </c>
      <c r="L2032">
        <v>284.42899999999997</v>
      </c>
      <c r="M2032">
        <v>-0.99971299999999996</v>
      </c>
      <c r="N2032">
        <v>-1.312317E-2</v>
      </c>
      <c r="O2032">
        <v>2.0040619999999999E-2</v>
      </c>
      <c r="P2032">
        <v>-0.98046359999999999</v>
      </c>
      <c r="Q2032">
        <v>0.18982959999999999</v>
      </c>
      <c r="R2032">
        <v>5.1538559999999997E-2</v>
      </c>
      <c r="S2032">
        <v>-3.0884399999999999</v>
      </c>
      <c r="T2032">
        <v>-9.8865270000000005E-2</v>
      </c>
      <c r="U2032">
        <v>-0.18258669999999999</v>
      </c>
      <c r="V2032">
        <v>3.1793500000000002E-2</v>
      </c>
      <c r="W2032">
        <v>0.2027041</v>
      </c>
      <c r="X2032">
        <v>0.97872380000000003</v>
      </c>
      <c r="Y2032">
        <v>-7.8951460000000001E-2</v>
      </c>
      <c r="Z2032">
        <v>-2.159111E-3</v>
      </c>
      <c r="AA2032">
        <v>0.99687610000000004</v>
      </c>
      <c r="AB2032">
        <v>36</v>
      </c>
      <c r="AC2032">
        <v>-34.7715999999999</v>
      </c>
      <c r="AD2032">
        <v>-1.1213931838371001</v>
      </c>
      <c r="AE2032">
        <v>-2.07610000000005</v>
      </c>
      <c r="AF2032">
        <v>-2.7697169457759099</v>
      </c>
      <c r="AG2032">
        <v>-1.1213931838371001</v>
      </c>
      <c r="AH2032">
        <v>34.687056446186197</v>
      </c>
      <c r="AI2032">
        <v>91.845791856336703</v>
      </c>
      <c r="AJ2032">
        <v>94.565308387552406</v>
      </c>
      <c r="AK2032">
        <v>34.8155244041129</v>
      </c>
      <c r="AL2032">
        <v>78.3048681699659</v>
      </c>
      <c r="AM2032">
        <v>88.139420937449003</v>
      </c>
      <c r="AN2032">
        <v>1.0000000277427401</v>
      </c>
    </row>
    <row r="2033" spans="1:40" x14ac:dyDescent="0.25">
      <c r="A2033" t="str">
        <f>"20190303162819335"</f>
        <v>20190303162819335</v>
      </c>
      <c r="B2033" t="str">
        <f>"1551601699323527"</f>
        <v>1551601699323527</v>
      </c>
      <c r="C2033" t="s">
        <v>40</v>
      </c>
      <c r="D2033">
        <v>4.7681420000000001</v>
      </c>
      <c r="E2033">
        <v>0.45820339999999998</v>
      </c>
      <c r="F2033" t="s">
        <v>48</v>
      </c>
      <c r="G2033">
        <v>-382.88589999999999</v>
      </c>
      <c r="H2033" s="1">
        <v>-1.065473E-9</v>
      </c>
      <c r="I2033">
        <v>282.30669999999998</v>
      </c>
      <c r="J2033">
        <v>-347.98230000000001</v>
      </c>
      <c r="K2033">
        <v>1.1213930000000001</v>
      </c>
      <c r="L2033">
        <v>284.4332</v>
      </c>
      <c r="M2033">
        <v>-0.99971540000000003</v>
      </c>
      <c r="N2033">
        <v>-1.3122190000000001E-2</v>
      </c>
      <c r="O2033">
        <v>1.9930010000000001E-2</v>
      </c>
      <c r="P2033">
        <v>-0.98040930000000004</v>
      </c>
      <c r="Q2033">
        <v>0.19011310000000001</v>
      </c>
      <c r="R2033">
        <v>5.1527320000000001E-2</v>
      </c>
      <c r="S2033">
        <v>-3.0887150000000001</v>
      </c>
      <c r="T2033">
        <v>-9.8637580000000002E-2</v>
      </c>
      <c r="U2033">
        <v>-0.18667600000000001</v>
      </c>
      <c r="V2033">
        <v>3.1891870000000003E-2</v>
      </c>
      <c r="W2033">
        <v>0.2029861</v>
      </c>
      <c r="X2033">
        <v>0.97866209999999998</v>
      </c>
      <c r="Y2033">
        <v>-8.0150429999999995E-2</v>
      </c>
      <c r="Z2033">
        <v>-2.1794200000000001E-3</v>
      </c>
      <c r="AA2033">
        <v>0.99678040000000001</v>
      </c>
      <c r="AB2033">
        <v>36</v>
      </c>
      <c r="AC2033">
        <v>-34.903599999999898</v>
      </c>
      <c r="AD2033">
        <v>-1.12139300106547</v>
      </c>
      <c r="AE2033">
        <v>-2.12650000000002</v>
      </c>
      <c r="AF2033">
        <v>-2.81886750489751</v>
      </c>
      <c r="AG2033">
        <v>-1.12139300106547</v>
      </c>
      <c r="AH2033">
        <v>34.8184737044215</v>
      </c>
      <c r="AI2033">
        <v>91.838666701065506</v>
      </c>
      <c r="AJ2033">
        <v>94.628512173968005</v>
      </c>
      <c r="AK2033">
        <v>34.950388372355697</v>
      </c>
      <c r="AL2033">
        <v>78.288367128377999</v>
      </c>
      <c r="AM2033">
        <v>88.133550737302997</v>
      </c>
      <c r="AN2033">
        <v>0.99999997707085797</v>
      </c>
    </row>
    <row r="2034" spans="1:40" x14ac:dyDescent="0.25">
      <c r="A2034" t="str">
        <f>"20190303162819348"</f>
        <v>20190303162819348</v>
      </c>
      <c r="B2034" t="str">
        <f>"1551601699343046"</f>
        <v>1551601699343046</v>
      </c>
      <c r="C2034" t="s">
        <v>40</v>
      </c>
      <c r="D2034">
        <v>4.7597639999999997</v>
      </c>
      <c r="E2034">
        <v>0.45802080000000001</v>
      </c>
      <c r="F2034" t="s">
        <v>48</v>
      </c>
      <c r="G2034">
        <v>-383.15699999999998</v>
      </c>
      <c r="H2034" s="1">
        <v>1.4319009999999999E-7</v>
      </c>
      <c r="I2034">
        <v>282.298</v>
      </c>
      <c r="J2034">
        <v>-348.19760000000002</v>
      </c>
      <c r="K2034">
        <v>1.1213979999999999</v>
      </c>
      <c r="L2034">
        <v>284.43729999999999</v>
      </c>
      <c r="M2034">
        <v>-0.99971750000000004</v>
      </c>
      <c r="N2034">
        <v>-1.312119E-2</v>
      </c>
      <c r="O2034">
        <v>1.981755E-2</v>
      </c>
      <c r="P2034">
        <v>-0.98039699999999996</v>
      </c>
      <c r="Q2034">
        <v>0.19027839999999999</v>
      </c>
      <c r="R2034">
        <v>5.1148039999999999E-2</v>
      </c>
      <c r="S2034">
        <v>-3.0888979999999999</v>
      </c>
      <c r="T2034">
        <v>-9.8476289999999994E-2</v>
      </c>
      <c r="U2034">
        <v>-0.1875</v>
      </c>
      <c r="V2034">
        <v>3.1623369999999998E-2</v>
      </c>
      <c r="W2034">
        <v>0.20315</v>
      </c>
      <c r="X2034">
        <v>0.97863679999999997</v>
      </c>
      <c r="Y2034">
        <v>-8.0299770000000006E-2</v>
      </c>
      <c r="Z2034">
        <v>-2.1773999999999999E-3</v>
      </c>
      <c r="AA2034">
        <v>0.9967684</v>
      </c>
      <c r="AB2034">
        <v>36</v>
      </c>
      <c r="AC2034">
        <v>-34.959399999999903</v>
      </c>
      <c r="AD2034">
        <v>-1.1213978568098999</v>
      </c>
      <c r="AE2034">
        <v>-2.1392999999999902</v>
      </c>
      <c r="AF2034">
        <v>-2.8288492411627701</v>
      </c>
      <c r="AG2034">
        <v>-1.1213978568098999</v>
      </c>
      <c r="AH2034">
        <v>34.874384016707197</v>
      </c>
      <c r="AI2034">
        <v>91.835705825677493</v>
      </c>
      <c r="AJ2034">
        <v>94.637416307399505</v>
      </c>
      <c r="AK2034">
        <v>35.006893345843302</v>
      </c>
      <c r="AL2034">
        <v>78.278776479759202</v>
      </c>
      <c r="AM2034">
        <v>88.149205723712299</v>
      </c>
      <c r="AN2034">
        <v>0.99999997317219802</v>
      </c>
    </row>
    <row r="2035" spans="1:40" x14ac:dyDescent="0.25">
      <c r="A2035" t="str">
        <f>"20190303162819360"</f>
        <v>20190303162819360</v>
      </c>
      <c r="B2035" t="str">
        <f>"1551601699353783"</f>
        <v>1551601699353783</v>
      </c>
      <c r="C2035" t="s">
        <v>40</v>
      </c>
      <c r="D2035">
        <v>4.7508189999999999</v>
      </c>
      <c r="E2035">
        <v>0.45787359999999999</v>
      </c>
      <c r="F2035" t="s">
        <v>48</v>
      </c>
      <c r="G2035">
        <v>-383.04719999999998</v>
      </c>
      <c r="H2035" s="1">
        <v>8.4775190000000004E-8</v>
      </c>
      <c r="I2035">
        <v>282.29149999999998</v>
      </c>
      <c r="J2035">
        <v>-348.41059999999999</v>
      </c>
      <c r="K2035">
        <v>1.1213979999999999</v>
      </c>
      <c r="L2035">
        <v>284.44139999999999</v>
      </c>
      <c r="M2035">
        <v>-0.99971989999999999</v>
      </c>
      <c r="N2035">
        <v>-1.312021E-2</v>
      </c>
      <c r="O2035">
        <v>1.970622E-2</v>
      </c>
      <c r="P2035">
        <v>-0.98036939999999995</v>
      </c>
      <c r="Q2035">
        <v>0.19048899999999999</v>
      </c>
      <c r="R2035">
        <v>5.0894389999999998E-2</v>
      </c>
      <c r="S2035">
        <v>-3.0892029999999999</v>
      </c>
      <c r="T2035">
        <v>-9.9405049999999995E-2</v>
      </c>
      <c r="U2035">
        <v>-0.1902161</v>
      </c>
      <c r="V2035">
        <v>3.1479449999999999E-2</v>
      </c>
      <c r="W2035">
        <v>0.20335919999999999</v>
      </c>
      <c r="X2035">
        <v>0.97859799999999997</v>
      </c>
      <c r="Y2035">
        <v>-8.1054340000000002E-2</v>
      </c>
      <c r="Z2035">
        <v>-2.2101289999999999E-3</v>
      </c>
      <c r="AA2035">
        <v>0.99670729999999996</v>
      </c>
      <c r="AB2035">
        <v>36</v>
      </c>
      <c r="AC2035">
        <v>-34.636599999999902</v>
      </c>
      <c r="AD2035">
        <v>-1.1213979152248099</v>
      </c>
      <c r="AE2035">
        <v>-2.1499000000000001</v>
      </c>
      <c r="AF2035">
        <v>-2.8291433815558502</v>
      </c>
      <c r="AG2035">
        <v>-1.1213979152248099</v>
      </c>
      <c r="AH2035">
        <v>34.5514246385993</v>
      </c>
      <c r="AI2035">
        <v>91.852737812392604</v>
      </c>
      <c r="AJ2035">
        <v>94.681056016093095</v>
      </c>
      <c r="AK2035">
        <v>34.685191798726997</v>
      </c>
      <c r="AL2035">
        <v>78.266534780299907</v>
      </c>
      <c r="AM2035">
        <v>88.157549992543494</v>
      </c>
      <c r="AN2035">
        <v>0.99999998280047098</v>
      </c>
    </row>
    <row r="2036" spans="1:40" x14ac:dyDescent="0.25">
      <c r="A2036" t="str">
        <f>"20190303162819374"</f>
        <v>20190303162819374</v>
      </c>
      <c r="B2036" t="str">
        <f>"1551601699363543"</f>
        <v>1551601699363543</v>
      </c>
      <c r="C2036" t="s">
        <v>40</v>
      </c>
      <c r="D2036">
        <v>4.7556979999999998</v>
      </c>
      <c r="E2036">
        <v>0.4578796</v>
      </c>
      <c r="F2036" t="s">
        <v>48</v>
      </c>
      <c r="G2036">
        <v>-383.6223</v>
      </c>
      <c r="H2036" s="1">
        <v>3.9082930000000001E-7</v>
      </c>
      <c r="I2036">
        <v>282.25240000000002</v>
      </c>
      <c r="J2036">
        <v>-348.60759999999999</v>
      </c>
      <c r="K2036">
        <v>1.1214010000000001</v>
      </c>
      <c r="L2036">
        <v>284.4452</v>
      </c>
      <c r="M2036">
        <v>-0.99972179999999999</v>
      </c>
      <c r="N2036">
        <v>-1.311932E-2</v>
      </c>
      <c r="O2036">
        <v>1.9603590000000001E-2</v>
      </c>
      <c r="P2036">
        <v>-0.9803847</v>
      </c>
      <c r="Q2036">
        <v>0.1904468</v>
      </c>
      <c r="R2036">
        <v>5.0754689999999998E-2</v>
      </c>
      <c r="S2036">
        <v>-3.089172</v>
      </c>
      <c r="T2036">
        <v>-9.8381759999999999E-2</v>
      </c>
      <c r="U2036">
        <v>-0.1920471</v>
      </c>
      <c r="V2036">
        <v>3.1440290000000003E-2</v>
      </c>
      <c r="W2036">
        <v>0.20331579999999999</v>
      </c>
      <c r="X2036">
        <v>0.97860829999999999</v>
      </c>
      <c r="Y2036">
        <v>-8.1541970000000005E-2</v>
      </c>
      <c r="Z2036">
        <v>-2.199225E-3</v>
      </c>
      <c r="AA2036">
        <v>0.99666750000000004</v>
      </c>
      <c r="AB2036">
        <v>36</v>
      </c>
      <c r="AC2036">
        <v>-35.014699999999998</v>
      </c>
      <c r="AD2036">
        <v>-1.1214006091707001</v>
      </c>
      <c r="AE2036">
        <v>-2.1927999999999699</v>
      </c>
      <c r="AF2036">
        <v>-2.8759131061123901</v>
      </c>
      <c r="AG2036">
        <v>-1.1214006091707001</v>
      </c>
      <c r="AH2036">
        <v>34.929292610937701</v>
      </c>
      <c r="AI2036">
        <v>91.832645194284595</v>
      </c>
      <c r="AJ2036">
        <v>94.706847179216496</v>
      </c>
      <c r="AK2036">
        <v>35.065423109106597</v>
      </c>
      <c r="AL2036">
        <v>78.269074745897399</v>
      </c>
      <c r="AM2036">
        <v>88.159859752725595</v>
      </c>
      <c r="AN2036">
        <v>1.0000000055969001</v>
      </c>
    </row>
    <row r="2037" spans="1:40" x14ac:dyDescent="0.25">
      <c r="A2037" t="str">
        <f>"20190303162819389"</f>
        <v>20190303162819389</v>
      </c>
      <c r="B2037" t="str">
        <f>"1551601699383063"</f>
        <v>1551601699383063</v>
      </c>
      <c r="C2037" t="s">
        <v>40</v>
      </c>
      <c r="D2037">
        <v>4.6930100000000001</v>
      </c>
      <c r="E2037">
        <v>0.45825650000000001</v>
      </c>
      <c r="F2037" t="s">
        <v>48</v>
      </c>
      <c r="G2037">
        <v>-383.92320000000001</v>
      </c>
      <c r="H2037" s="1">
        <v>5.5092850000000004E-7</v>
      </c>
      <c r="I2037">
        <v>282.24579999999997</v>
      </c>
      <c r="J2037">
        <v>-348.86189999999999</v>
      </c>
      <c r="K2037">
        <v>1.1214010000000001</v>
      </c>
      <c r="L2037">
        <v>284.45</v>
      </c>
      <c r="M2037">
        <v>-0.99972450000000002</v>
      </c>
      <c r="N2037">
        <v>-1.3118080000000001E-2</v>
      </c>
      <c r="O2037">
        <v>1.9470870000000001E-2</v>
      </c>
      <c r="P2037">
        <v>-0.98041560000000005</v>
      </c>
      <c r="Q2037">
        <v>0.1903802</v>
      </c>
      <c r="R2037">
        <v>5.0406810000000003E-2</v>
      </c>
      <c r="S2037">
        <v>-3.0890499999999999</v>
      </c>
      <c r="T2037">
        <v>-9.8088739999999994E-2</v>
      </c>
      <c r="U2037">
        <v>-0.19238279999999999</v>
      </c>
      <c r="V2037">
        <v>3.1221929999999998E-2</v>
      </c>
      <c r="W2037">
        <v>0.2032485</v>
      </c>
      <c r="X2037">
        <v>0.97862930000000004</v>
      </c>
      <c r="Y2037">
        <v>-8.1520330000000002E-2</v>
      </c>
      <c r="Z2037">
        <v>-2.1905959999999999E-3</v>
      </c>
      <c r="AA2037">
        <v>0.99666929999999998</v>
      </c>
      <c r="AB2037">
        <v>36</v>
      </c>
      <c r="AC2037">
        <v>-35.061300000000003</v>
      </c>
      <c r="AD2037">
        <v>-1.1214004490714999</v>
      </c>
      <c r="AE2037">
        <v>-2.2042000000000099</v>
      </c>
      <c r="AF2037">
        <v>-2.8835765161467402</v>
      </c>
      <c r="AG2037">
        <v>-1.1214004490714999</v>
      </c>
      <c r="AH2037">
        <v>34.976091873716399</v>
      </c>
      <c r="AI2037">
        <v>91.830178152552605</v>
      </c>
      <c r="AJ2037">
        <v>94.713046708816094</v>
      </c>
      <c r="AK2037">
        <v>35.112669440677699</v>
      </c>
      <c r="AL2037">
        <v>78.273013322093107</v>
      </c>
      <c r="AM2037">
        <v>88.172670438289501</v>
      </c>
      <c r="AN2037">
        <v>1.00000003424183</v>
      </c>
    </row>
    <row r="2038" spans="1:40" x14ac:dyDescent="0.25">
      <c r="A2038" t="str">
        <f>"20190303162819413"</f>
        <v>20190303162819413</v>
      </c>
      <c r="B2038" t="str">
        <f>"1551601699403560"</f>
        <v>1551601699403560</v>
      </c>
      <c r="C2038" t="s">
        <v>40</v>
      </c>
      <c r="D2038">
        <v>4.666137</v>
      </c>
      <c r="E2038">
        <v>0.48176970000000002</v>
      </c>
      <c r="F2038" t="s">
        <v>48</v>
      </c>
      <c r="G2038">
        <v>-384.2484</v>
      </c>
      <c r="H2038" s="1">
        <v>7.240139E-7</v>
      </c>
      <c r="I2038">
        <v>282.27080000000001</v>
      </c>
      <c r="J2038">
        <v>-349.23579999999998</v>
      </c>
      <c r="K2038">
        <v>1.1213979999999999</v>
      </c>
      <c r="L2038">
        <v>284.45710000000003</v>
      </c>
      <c r="M2038">
        <v>-0.99972810000000001</v>
      </c>
      <c r="N2038">
        <v>-1.311611E-2</v>
      </c>
      <c r="O2038">
        <v>1.927622E-2</v>
      </c>
      <c r="P2038">
        <v>-0.98046089999999997</v>
      </c>
      <c r="Q2038">
        <v>0.19010099999999999</v>
      </c>
      <c r="R2038">
        <v>5.0576969999999999E-2</v>
      </c>
      <c r="S2038">
        <v>-3.0887150000000001</v>
      </c>
      <c r="T2038">
        <v>-9.788144E-2</v>
      </c>
      <c r="U2038">
        <v>-0.1902161</v>
      </c>
      <c r="V2038">
        <v>3.1582399999999997E-2</v>
      </c>
      <c r="W2038">
        <v>0.20296790000000001</v>
      </c>
      <c r="X2038">
        <v>0.97867590000000004</v>
      </c>
      <c r="Y2038">
        <v>-8.063737E-2</v>
      </c>
      <c r="Z2038">
        <v>-2.1633640000000001E-3</v>
      </c>
      <c r="AA2038">
        <v>0.99674119999999999</v>
      </c>
      <c r="AB2038">
        <v>36</v>
      </c>
      <c r="AC2038">
        <v>-35.012599999999999</v>
      </c>
      <c r="AD2038">
        <v>-1.1213972759861</v>
      </c>
      <c r="AE2038">
        <v>-2.1863000000000099</v>
      </c>
      <c r="AF2038">
        <v>-2.8579420483995102</v>
      </c>
      <c r="AG2038">
        <v>-1.1213972759861</v>
      </c>
      <c r="AH2038">
        <v>34.9282553202451</v>
      </c>
      <c r="AI2038">
        <v>91.832770601326004</v>
      </c>
      <c r="AJ2038">
        <v>94.677704164372201</v>
      </c>
      <c r="AK2038">
        <v>35.062920362097998</v>
      </c>
      <c r="AL2038">
        <v>78.289431958533996</v>
      </c>
      <c r="AM2038">
        <v>88.151675671762803</v>
      </c>
      <c r="AN2038">
        <v>0.99999996683048897</v>
      </c>
    </row>
    <row r="2039" spans="1:40" x14ac:dyDescent="0.25">
      <c r="A2039" t="str">
        <f>"20190303162819433"</f>
        <v>20190303162819433</v>
      </c>
      <c r="B2039" t="str">
        <f>"1551601699423079"</f>
        <v>1551601699423079</v>
      </c>
      <c r="C2039" t="s">
        <v>40</v>
      </c>
      <c r="D2039">
        <v>4.6268349999999998</v>
      </c>
      <c r="E2039">
        <v>0.48331790000000002</v>
      </c>
      <c r="F2039" t="s">
        <v>48</v>
      </c>
      <c r="G2039">
        <v>-390.7724</v>
      </c>
      <c r="H2039" s="1">
        <v>-1.1257760000000001E-6</v>
      </c>
      <c r="I2039">
        <v>284.42579999999998</v>
      </c>
      <c r="J2039">
        <v>-349.5838</v>
      </c>
      <c r="K2039">
        <v>1.1213979999999999</v>
      </c>
      <c r="L2039">
        <v>284.46359999999999</v>
      </c>
      <c r="M2039">
        <v>-0.9997317</v>
      </c>
      <c r="N2039">
        <v>-1.3114539999999999E-2</v>
      </c>
      <c r="O2039">
        <v>1.9095279999999999E-2</v>
      </c>
      <c r="P2039">
        <v>-0.98060080000000005</v>
      </c>
      <c r="Q2039">
        <v>0.18926609999999999</v>
      </c>
      <c r="R2039">
        <v>5.099646E-2</v>
      </c>
      <c r="S2039">
        <v>-3.0760190000000001</v>
      </c>
      <c r="T2039">
        <v>-8.3046079999999994E-2</v>
      </c>
      <c r="U2039">
        <v>-2.319336E-3</v>
      </c>
      <c r="V2039">
        <v>3.2177039999999997E-2</v>
      </c>
      <c r="W2039">
        <v>0.20213390000000001</v>
      </c>
      <c r="X2039">
        <v>0.97882910000000001</v>
      </c>
      <c r="Y2039">
        <v>-1.98382E-2</v>
      </c>
      <c r="Z2039">
        <v>-6.6286329999999997E-4</v>
      </c>
      <c r="AA2039">
        <v>0.999803</v>
      </c>
      <c r="AB2039">
        <v>36</v>
      </c>
      <c r="AC2039">
        <v>-41.188600000000001</v>
      </c>
      <c r="AD2039">
        <v>-1.1213991257760001</v>
      </c>
      <c r="AE2039">
        <v>-3.7800000000004198E-2</v>
      </c>
      <c r="AF2039">
        <v>-0.82375795248887196</v>
      </c>
      <c r="AG2039">
        <v>-1.1213991257760001</v>
      </c>
      <c r="AH2039">
        <v>41.1498644387786</v>
      </c>
      <c r="AI2039">
        <v>91.560702057190497</v>
      </c>
      <c r="AJ2039">
        <v>91.1468215385799</v>
      </c>
      <c r="AK2039">
        <v>41.173382864338897</v>
      </c>
      <c r="AL2039">
        <v>78.338227798397</v>
      </c>
      <c r="AM2039">
        <v>88.117194379429804</v>
      </c>
      <c r="AN2039">
        <v>0.99999994121958902</v>
      </c>
    </row>
    <row r="2040" spans="1:40" x14ac:dyDescent="0.25">
      <c r="A2040" t="str">
        <f>"20190303162819448"</f>
        <v>20190303162819448</v>
      </c>
      <c r="B2040" t="str">
        <f>"1551601699443574"</f>
        <v>1551601699443574</v>
      </c>
      <c r="C2040" t="s">
        <v>40</v>
      </c>
      <c r="D2040">
        <v>4.6046940000000003</v>
      </c>
      <c r="E2040">
        <v>0.4830931</v>
      </c>
      <c r="F2040" t="s">
        <v>48</v>
      </c>
      <c r="G2040">
        <v>-388.18040000000002</v>
      </c>
      <c r="H2040" s="1">
        <v>2.8163890000000002E-6</v>
      </c>
      <c r="I2040">
        <v>284.6046</v>
      </c>
      <c r="J2040">
        <v>-349.80849999999998</v>
      </c>
      <c r="K2040">
        <v>1.1213959999999901</v>
      </c>
      <c r="L2040">
        <v>284.46780000000001</v>
      </c>
      <c r="M2040">
        <v>-0.99973389999999995</v>
      </c>
      <c r="N2040">
        <v>-1.3113639999999999E-2</v>
      </c>
      <c r="O2040">
        <v>1.8978410000000001E-2</v>
      </c>
      <c r="P2040">
        <v>-0.98064130000000005</v>
      </c>
      <c r="Q2040">
        <v>0.1890241</v>
      </c>
      <c r="R2040">
        <v>5.1112280000000003E-2</v>
      </c>
      <c r="S2040">
        <v>-3.0759889999999999</v>
      </c>
      <c r="T2040">
        <v>-8.9370729999999995E-2</v>
      </c>
      <c r="U2040">
        <v>1.1230469999999999E-2</v>
      </c>
      <c r="V2040">
        <v>3.2406839999999999E-2</v>
      </c>
      <c r="W2040">
        <v>0.2018915</v>
      </c>
      <c r="X2040">
        <v>0.97887159999999995</v>
      </c>
      <c r="Y2040">
        <v>-1.531779E-2</v>
      </c>
      <c r="Z2040">
        <v>-6.2533409999999999E-4</v>
      </c>
      <c r="AA2040">
        <v>0.99988250000000001</v>
      </c>
      <c r="AB2040">
        <v>36</v>
      </c>
      <c r="AC2040">
        <v>-38.371899999999997</v>
      </c>
      <c r="AD2040">
        <v>-1.1213931836109901</v>
      </c>
      <c r="AE2040">
        <v>0.13679999999999301</v>
      </c>
      <c r="AF2040">
        <v>-0.59102015022365295</v>
      </c>
      <c r="AG2040">
        <v>-1.1213931836109901</v>
      </c>
      <c r="AH2040">
        <v>38.334844358457403</v>
      </c>
      <c r="AI2040">
        <v>91.675372682098597</v>
      </c>
      <c r="AJ2040">
        <v>90.883276772431103</v>
      </c>
      <c r="AK2040">
        <v>38.355796426060202</v>
      </c>
      <c r="AL2040">
        <v>78.352409301726993</v>
      </c>
      <c r="AM2040">
        <v>88.103839925984403</v>
      </c>
      <c r="AN2040">
        <v>0.99999999516879701</v>
      </c>
    </row>
    <row r="2041" spans="1:40" x14ac:dyDescent="0.25">
      <c r="A2041" t="str">
        <f>"20190303162819460"</f>
        <v>20190303162819460</v>
      </c>
      <c r="B2041" t="str">
        <f>"1551601699453335"</f>
        <v>1551601699453335</v>
      </c>
      <c r="C2041" t="s">
        <v>40</v>
      </c>
      <c r="D2041">
        <v>4.608161</v>
      </c>
      <c r="E2041">
        <v>0.4833479</v>
      </c>
      <c r="F2041" t="s">
        <v>48</v>
      </c>
      <c r="G2041">
        <v>-388.65589999999997</v>
      </c>
      <c r="H2041" s="1">
        <v>3.069477E-6</v>
      </c>
      <c r="I2041">
        <v>284.59269999999998</v>
      </c>
      <c r="J2041">
        <v>-350.02109999999999</v>
      </c>
      <c r="K2041">
        <v>1.1213949999999999</v>
      </c>
      <c r="L2041">
        <v>284.4717</v>
      </c>
      <c r="M2041">
        <v>-0.99973610000000002</v>
      </c>
      <c r="N2041">
        <v>-1.3112840000000001E-2</v>
      </c>
      <c r="O2041">
        <v>1.886755E-2</v>
      </c>
      <c r="P2041">
        <v>-0.98069949999999995</v>
      </c>
      <c r="Q2041">
        <v>0.1887385</v>
      </c>
      <c r="R2041">
        <v>5.1053040000000001E-2</v>
      </c>
      <c r="S2041">
        <v>-3.0757750000000001</v>
      </c>
      <c r="T2041">
        <v>-8.8787080000000004E-2</v>
      </c>
      <c r="U2041">
        <v>9.8876950000000002E-3</v>
      </c>
      <c r="V2041">
        <v>3.2455589999999999E-2</v>
      </c>
      <c r="W2041">
        <v>0.20160620000000001</v>
      </c>
      <c r="X2041">
        <v>0.97892880000000004</v>
      </c>
      <c r="Y2041">
        <v>-1.564316E-2</v>
      </c>
      <c r="Z2041">
        <v>-6.2542979999999999E-4</v>
      </c>
      <c r="AA2041">
        <v>0.99987749999999997</v>
      </c>
      <c r="AB2041">
        <v>36</v>
      </c>
      <c r="AC2041">
        <v>-38.634799999999899</v>
      </c>
      <c r="AD2041">
        <v>-1.121391930523</v>
      </c>
      <c r="AE2041">
        <v>0.12099999999998</v>
      </c>
      <c r="AF2041">
        <v>-0.60751635515526003</v>
      </c>
      <c r="AG2041">
        <v>-1.121391930523</v>
      </c>
      <c r="AH2041">
        <v>38.597687377455102</v>
      </c>
      <c r="AI2041">
        <v>91.663959935122605</v>
      </c>
      <c r="AJ2041">
        <v>90.901744417633196</v>
      </c>
      <c r="AK2041">
        <v>38.618752787620899</v>
      </c>
      <c r="AL2041">
        <v>78.369099151523898</v>
      </c>
      <c r="AM2041">
        <v>88.101100476719594</v>
      </c>
      <c r="AN2041">
        <v>1.0000000103350599</v>
      </c>
    </row>
    <row r="2042" spans="1:40" x14ac:dyDescent="0.25">
      <c r="A2042" t="str">
        <f>"20190303162819473"</f>
        <v>20190303162819473</v>
      </c>
      <c r="B2042" t="str">
        <f>"1551601699463095"</f>
        <v>1551601699463095</v>
      </c>
      <c r="C2042" t="s">
        <v>40</v>
      </c>
      <c r="D2042">
        <v>4.6176029999999999</v>
      </c>
      <c r="E2042">
        <v>0.48333549999999997</v>
      </c>
      <c r="F2042" t="s">
        <v>48</v>
      </c>
      <c r="G2042">
        <v>-388.6343</v>
      </c>
      <c r="H2042" s="1">
        <v>3.0579540000000002E-6</v>
      </c>
      <c r="I2042">
        <v>284.62</v>
      </c>
      <c r="J2042">
        <v>-350.22059999999999</v>
      </c>
      <c r="K2042">
        <v>1.1213919999999999</v>
      </c>
      <c r="L2042">
        <v>284.4753</v>
      </c>
      <c r="M2042">
        <v>-0.99973820000000002</v>
      </c>
      <c r="N2042">
        <v>-1.311207E-2</v>
      </c>
      <c r="O2042">
        <v>1.876338E-2</v>
      </c>
      <c r="P2042">
        <v>-0.98069510000000004</v>
      </c>
      <c r="Q2042">
        <v>0.18875149999999999</v>
      </c>
      <c r="R2042">
        <v>5.1093350000000003E-2</v>
      </c>
      <c r="S2042">
        <v>-3.075653</v>
      </c>
      <c r="T2042">
        <v>-8.9322090000000007E-2</v>
      </c>
      <c r="U2042">
        <v>1.1810299999999999E-2</v>
      </c>
      <c r="V2042">
        <v>3.2598490000000001E-2</v>
      </c>
      <c r="W2042">
        <v>0.20161789999999999</v>
      </c>
      <c r="X2042">
        <v>0.97892170000000001</v>
      </c>
      <c r="Y2042">
        <v>-1.4914119999999999E-2</v>
      </c>
      <c r="Z2042">
        <v>-6.1308390000000003E-4</v>
      </c>
      <c r="AA2042">
        <v>0.99988860000000002</v>
      </c>
      <c r="AB2042">
        <v>36</v>
      </c>
      <c r="AC2042">
        <v>-38.413699999999999</v>
      </c>
      <c r="AD2042">
        <v>-1.1213889420459999</v>
      </c>
      <c r="AE2042">
        <v>0.1447</v>
      </c>
      <c r="AF2042">
        <v>-0.57566755545307402</v>
      </c>
      <c r="AG2042">
        <v>-1.1213889420459999</v>
      </c>
      <c r="AH2042">
        <v>38.376947215496202</v>
      </c>
      <c r="AI2042">
        <v>91.673539975831204</v>
      </c>
      <c r="AJ2042">
        <v>90.859392166213695</v>
      </c>
      <c r="AK2042">
        <v>38.397642946862298</v>
      </c>
      <c r="AL2042">
        <v>78.368415404377402</v>
      </c>
      <c r="AM2042">
        <v>88.092732075459494</v>
      </c>
      <c r="AN2042">
        <v>1.00000006694078</v>
      </c>
    </row>
    <row r="2043" spans="1:40" x14ac:dyDescent="0.25">
      <c r="A2043" t="str">
        <f>"20190303162819490"</f>
        <v>20190303162819490</v>
      </c>
      <c r="B2043" t="str">
        <f>"1551601699483592"</f>
        <v>1551601699483592</v>
      </c>
      <c r="C2043" t="s">
        <v>40</v>
      </c>
      <c r="D2043">
        <v>4.6439599999999999</v>
      </c>
      <c r="E2043">
        <v>0.48303950000000001</v>
      </c>
      <c r="F2043" t="s">
        <v>48</v>
      </c>
      <c r="G2043">
        <v>-389.22789999999998</v>
      </c>
      <c r="H2043" s="1">
        <v>3.373831E-6</v>
      </c>
      <c r="I2043">
        <v>284.6259</v>
      </c>
      <c r="J2043">
        <v>-350.49560000000002</v>
      </c>
      <c r="K2043">
        <v>1.1213850000000001</v>
      </c>
      <c r="L2043">
        <v>284.4803</v>
      </c>
      <c r="M2043">
        <v>-0.99974079999999999</v>
      </c>
      <c r="N2043">
        <v>-1.3111009999999999E-2</v>
      </c>
      <c r="O2043">
        <v>1.8619750000000001E-2</v>
      </c>
      <c r="P2043">
        <v>-0.98081079999999998</v>
      </c>
      <c r="Q2043">
        <v>0.18823709999999999</v>
      </c>
      <c r="R2043">
        <v>5.0765730000000002E-2</v>
      </c>
      <c r="S2043">
        <v>-3.0754090000000001</v>
      </c>
      <c r="T2043">
        <v>-8.8412279999999996E-2</v>
      </c>
      <c r="U2043">
        <v>1.1871339999999999E-2</v>
      </c>
      <c r="V2043">
        <v>3.2409880000000002E-2</v>
      </c>
      <c r="W2043">
        <v>0.20110410000000001</v>
      </c>
      <c r="X2043">
        <v>0.97903359999999995</v>
      </c>
      <c r="Y2043">
        <v>-1.475068E-2</v>
      </c>
      <c r="Z2043">
        <v>-5.9973830000000004E-4</v>
      </c>
      <c r="AA2043">
        <v>0.99989099999999997</v>
      </c>
      <c r="AB2043">
        <v>36</v>
      </c>
      <c r="AC2043">
        <v>-38.732299999999903</v>
      </c>
      <c r="AD2043">
        <v>-1.1213816261689999</v>
      </c>
      <c r="AE2043">
        <v>0.14560000000000101</v>
      </c>
      <c r="AF2043">
        <v>-0.57519075604518799</v>
      </c>
      <c r="AG2043">
        <v>-1.1213816261689999</v>
      </c>
      <c r="AH2043">
        <v>38.695860028683299</v>
      </c>
      <c r="AI2043">
        <v>91.659747749312402</v>
      </c>
      <c r="AJ2043">
        <v>90.851604688967996</v>
      </c>
      <c r="AK2043">
        <v>38.7163779880918</v>
      </c>
      <c r="AL2043">
        <v>78.3984690731954</v>
      </c>
      <c r="AM2043">
        <v>88.103975738720095</v>
      </c>
      <c r="AN2043">
        <v>1.00000002464369</v>
      </c>
    </row>
    <row r="2044" spans="1:40" x14ac:dyDescent="0.25">
      <c r="A2044" t="str">
        <f>"20190303162819502"</f>
        <v>20190303162819502</v>
      </c>
      <c r="B2044" t="str">
        <f>"1551601699493350"</f>
        <v>1551601699493350</v>
      </c>
      <c r="C2044" t="s">
        <v>40</v>
      </c>
      <c r="D2044">
        <v>4.6059650000000003</v>
      </c>
      <c r="E2044">
        <v>0.48283900000000002</v>
      </c>
      <c r="F2044" t="s">
        <v>48</v>
      </c>
      <c r="G2044">
        <v>-388.33839999999998</v>
      </c>
      <c r="H2044" s="1">
        <v>2.900509E-6</v>
      </c>
      <c r="I2044">
        <v>284.58440000000002</v>
      </c>
      <c r="J2044">
        <v>-350.69659999999999</v>
      </c>
      <c r="K2044">
        <v>1.1213839999999999</v>
      </c>
      <c r="L2044">
        <v>284.48399999999998</v>
      </c>
      <c r="M2044">
        <v>-0.99974280000000004</v>
      </c>
      <c r="N2044">
        <v>-1.3110220000000001E-2</v>
      </c>
      <c r="O2044">
        <v>1.8514739999999998E-2</v>
      </c>
      <c r="P2044">
        <v>-0.9808791</v>
      </c>
      <c r="Q2044">
        <v>0.1878948</v>
      </c>
      <c r="R2044">
        <v>5.0714339999999997E-2</v>
      </c>
      <c r="S2044">
        <v>-3.075745</v>
      </c>
      <c r="T2044">
        <v>-9.1142299999999996E-2</v>
      </c>
      <c r="U2044">
        <v>8.4533690000000005E-3</v>
      </c>
      <c r="V2044">
        <v>3.2460709999999997E-2</v>
      </c>
      <c r="W2044">
        <v>0.20076169999999999</v>
      </c>
      <c r="X2044">
        <v>0.97910209999999998</v>
      </c>
      <c r="Y2044">
        <v>-1.575584E-2</v>
      </c>
      <c r="Z2044">
        <v>-6.4247700000000002E-4</v>
      </c>
      <c r="AA2044">
        <v>0.99987570000000003</v>
      </c>
      <c r="AB2044">
        <v>36</v>
      </c>
      <c r="AC2044">
        <v>-37.641799999999897</v>
      </c>
      <c r="AD2044">
        <v>-1.1213810994909901</v>
      </c>
      <c r="AE2044">
        <v>0.10039999999997901</v>
      </c>
      <c r="AF2044">
        <v>-0.59607612495443996</v>
      </c>
      <c r="AG2044">
        <v>-1.1213810994909901</v>
      </c>
      <c r="AH2044">
        <v>37.603832698182103</v>
      </c>
      <c r="AI2044">
        <v>91.707892539015205</v>
      </c>
      <c r="AJ2044">
        <v>90.908146423029507</v>
      </c>
      <c r="AK2044">
        <v>37.625271240349903</v>
      </c>
      <c r="AL2044">
        <v>78.418494595088106</v>
      </c>
      <c r="AM2044">
        <v>88.101137047040893</v>
      </c>
      <c r="AN2044">
        <v>0.99999994005250004</v>
      </c>
    </row>
    <row r="2045" spans="1:40" x14ac:dyDescent="0.25">
      <c r="A2045" t="str">
        <f>"20190303162819522"</f>
        <v>20190303162819522</v>
      </c>
      <c r="B2045" t="str">
        <f>"1551601699513847"</f>
        <v>1551601699513847</v>
      </c>
      <c r="C2045" t="s">
        <v>40</v>
      </c>
      <c r="D2045">
        <v>4.6044519999999904</v>
      </c>
      <c r="E2045">
        <v>0.482568</v>
      </c>
      <c r="F2045" t="s">
        <v>48</v>
      </c>
      <c r="G2045">
        <v>-388.24180000000001</v>
      </c>
      <c r="H2045" s="1">
        <v>2.8490839999999902E-6</v>
      </c>
      <c r="I2045">
        <v>284.56630000000001</v>
      </c>
      <c r="J2045">
        <v>-351.02140000000003</v>
      </c>
      <c r="K2045">
        <v>1.1213879999999901</v>
      </c>
      <c r="L2045">
        <v>284.4898</v>
      </c>
      <c r="M2045">
        <v>-0.99974580000000002</v>
      </c>
      <c r="N2045">
        <v>-1.310892E-2</v>
      </c>
      <c r="O2045">
        <v>1.8345179999999999E-2</v>
      </c>
      <c r="P2045">
        <v>-0.9808905</v>
      </c>
      <c r="Q2045">
        <v>0.18788050000000001</v>
      </c>
      <c r="R2045">
        <v>5.0546309999999997E-2</v>
      </c>
      <c r="S2045">
        <v>-3.075745</v>
      </c>
      <c r="T2045">
        <v>-9.186482E-2</v>
      </c>
      <c r="U2045">
        <v>6.7443850000000003E-3</v>
      </c>
      <c r="V2045">
        <v>3.2459109999999999E-2</v>
      </c>
      <c r="W2045">
        <v>0.20074629999999999</v>
      </c>
      <c r="X2045">
        <v>0.97910540000000001</v>
      </c>
      <c r="Y2045">
        <v>-1.6141389999999999E-2</v>
      </c>
      <c r="Z2045">
        <v>-6.5413370000000001E-4</v>
      </c>
      <c r="AA2045">
        <v>0.99986949999999997</v>
      </c>
      <c r="AB2045">
        <v>36</v>
      </c>
      <c r="AC2045">
        <v>-37.220399999999898</v>
      </c>
      <c r="AD2045">
        <v>-1.12138515091599</v>
      </c>
      <c r="AE2045">
        <v>7.6500000000009893E-2</v>
      </c>
      <c r="AF2045">
        <v>-0.60583654960995603</v>
      </c>
      <c r="AG2045">
        <v>-1.12138515091599</v>
      </c>
      <c r="AH2045">
        <v>37.181788571416099</v>
      </c>
      <c r="AI2045">
        <v>91.727260822313198</v>
      </c>
      <c r="AJ2045">
        <v>90.933489412131394</v>
      </c>
      <c r="AK2045">
        <v>37.203628101987903</v>
      </c>
      <c r="AL2045">
        <v>78.419396313982404</v>
      </c>
      <c r="AM2045">
        <v>88.101236969133495</v>
      </c>
      <c r="AN2045">
        <v>1.0000000275474199</v>
      </c>
    </row>
    <row r="2046" spans="1:40" x14ac:dyDescent="0.25">
      <c r="A2046" t="str">
        <f>"20190303162819535"</f>
        <v>20190303162819535</v>
      </c>
      <c r="B2046" t="str">
        <f>"1551601699523607"</f>
        <v>1551601699523607</v>
      </c>
      <c r="C2046" t="s">
        <v>40</v>
      </c>
      <c r="D2046">
        <v>4.5939930000000002</v>
      </c>
      <c r="E2046">
        <v>0.48255480000000001</v>
      </c>
      <c r="F2046" t="s">
        <v>48</v>
      </c>
      <c r="G2046">
        <v>-388.75170000000003</v>
      </c>
      <c r="H2046" s="1">
        <v>3.1204510000000002E-6</v>
      </c>
      <c r="I2046">
        <v>284.53250000000003</v>
      </c>
      <c r="J2046">
        <v>-351.2251</v>
      </c>
      <c r="K2046">
        <v>1.121389</v>
      </c>
      <c r="L2046">
        <v>284.49349999999998</v>
      </c>
      <c r="M2046">
        <v>-0.99974779999999996</v>
      </c>
      <c r="N2046">
        <v>-1.3108109999999999E-2</v>
      </c>
      <c r="O2046">
        <v>1.823868E-2</v>
      </c>
      <c r="P2046">
        <v>-0.98093989999999998</v>
      </c>
      <c r="Q2046">
        <v>0.18769749999999999</v>
      </c>
      <c r="R2046">
        <v>5.0265780000000003E-2</v>
      </c>
      <c r="S2046">
        <v>-3.0757750000000001</v>
      </c>
      <c r="T2046">
        <v>-9.1415289999999996E-2</v>
      </c>
      <c r="U2046">
        <v>3.479004E-3</v>
      </c>
      <c r="V2046">
        <v>3.2282499999999999E-2</v>
      </c>
      <c r="W2046">
        <v>0.2005632</v>
      </c>
      <c r="X2046">
        <v>0.97914869999999998</v>
      </c>
      <c r="Y2046">
        <v>-1.709594E-2</v>
      </c>
      <c r="Z2046">
        <v>-6.6894980000000001E-4</v>
      </c>
      <c r="AA2046">
        <v>0.99985360000000001</v>
      </c>
      <c r="AB2046">
        <v>36</v>
      </c>
      <c r="AC2046">
        <v>-37.526600000000002</v>
      </c>
      <c r="AD2046">
        <v>-1.1213858795489999</v>
      </c>
      <c r="AE2046">
        <v>3.9000000000044097E-2</v>
      </c>
      <c r="AF2046">
        <v>-0.64492500785747597</v>
      </c>
      <c r="AG2046">
        <v>-1.1213858795489999</v>
      </c>
      <c r="AH2046">
        <v>37.487593313106601</v>
      </c>
      <c r="AI2046">
        <v>91.713154167579106</v>
      </c>
      <c r="AJ2046">
        <v>90.985601714094898</v>
      </c>
      <c r="AK2046">
        <v>37.509906517685202</v>
      </c>
      <c r="AL2046">
        <v>78.430104251338193</v>
      </c>
      <c r="AM2046">
        <v>88.111644087193994</v>
      </c>
      <c r="AN2046">
        <v>0.99999996685608905</v>
      </c>
    </row>
    <row r="2047" spans="1:40" x14ac:dyDescent="0.25">
      <c r="A2047" t="str">
        <f>"20190303162819548"</f>
        <v>20190303162819548</v>
      </c>
      <c r="B2047" t="str">
        <f>"1551601699543127"</f>
        <v>1551601699543127</v>
      </c>
      <c r="C2047" t="s">
        <v>40</v>
      </c>
      <c r="D2047">
        <v>4.6336500000000003</v>
      </c>
      <c r="E2047">
        <v>0.48235610000000001</v>
      </c>
      <c r="F2047" t="s">
        <v>48</v>
      </c>
      <c r="G2047">
        <v>-388.84649999999999</v>
      </c>
      <c r="H2047" s="1">
        <v>3.1708909999999898E-6</v>
      </c>
      <c r="I2047">
        <v>284.51889999999997</v>
      </c>
      <c r="J2047">
        <v>-351.4194</v>
      </c>
      <c r="K2047">
        <v>1.1213879999999901</v>
      </c>
      <c r="L2047">
        <v>284.49689999999998</v>
      </c>
      <c r="M2047">
        <v>-0.99974960000000002</v>
      </c>
      <c r="N2047">
        <v>-1.31072999999999E-2</v>
      </c>
      <c r="O2047">
        <v>1.8137130000000001E-2</v>
      </c>
      <c r="P2047">
        <v>-0.9809234</v>
      </c>
      <c r="Q2047">
        <v>0.1877992</v>
      </c>
      <c r="R2047">
        <v>5.0207259999999997E-2</v>
      </c>
      <c r="S2047">
        <v>-3.0757140000000001</v>
      </c>
      <c r="T2047">
        <v>-9.1678140000000005E-2</v>
      </c>
      <c r="U2047">
        <v>2.0751950000000002E-3</v>
      </c>
      <c r="V2047">
        <v>3.2324060000000002E-2</v>
      </c>
      <c r="W2047">
        <v>0.20066310000000001</v>
      </c>
      <c r="X2047">
        <v>0.97912690000000002</v>
      </c>
      <c r="Y2047">
        <v>-1.7450400000000001E-2</v>
      </c>
      <c r="Z2047">
        <v>-6.7717329999999998E-4</v>
      </c>
      <c r="AA2047">
        <v>0.9998475</v>
      </c>
      <c r="AB2047">
        <v>36</v>
      </c>
      <c r="AC2047">
        <v>-37.427100000000003</v>
      </c>
      <c r="AD2047">
        <v>-1.1213848291089901</v>
      </c>
      <c r="AE2047">
        <v>2.1999999999991301E-2</v>
      </c>
      <c r="AF2047">
        <v>-0.65629294784030801</v>
      </c>
      <c r="AG2047">
        <v>-1.1213848291089901</v>
      </c>
      <c r="AH2047">
        <v>37.387778119130203</v>
      </c>
      <c r="AI2047">
        <v>91.717713040357395</v>
      </c>
      <c r="AJ2047">
        <v>91.005648274281597</v>
      </c>
      <c r="AK2047">
        <v>37.410348528898503</v>
      </c>
      <c r="AL2047">
        <v>78.424262078022196</v>
      </c>
      <c r="AM2047">
        <v>88.109172742676094</v>
      </c>
      <c r="AN2047">
        <v>1.00000000543005</v>
      </c>
    </row>
    <row r="2048" spans="1:40" x14ac:dyDescent="0.25">
      <c r="A2048" t="str">
        <f>"20190303162819561"</f>
        <v>20190303162819561</v>
      </c>
      <c r="B2048" t="str">
        <f>"1551601699553862"</f>
        <v>1551601699553862</v>
      </c>
      <c r="C2048" t="s">
        <v>40</v>
      </c>
      <c r="D2048">
        <v>4.6640550000000003</v>
      </c>
      <c r="E2048">
        <v>0.48221059999999999</v>
      </c>
      <c r="F2048" t="s">
        <v>48</v>
      </c>
      <c r="G2048">
        <v>-389.21660000000003</v>
      </c>
      <c r="H2048" s="1">
        <v>3.367801E-6</v>
      </c>
      <c r="I2048">
        <v>284.5018</v>
      </c>
      <c r="J2048">
        <v>-351.64620000000002</v>
      </c>
      <c r="K2048">
        <v>1.121389</v>
      </c>
      <c r="L2048">
        <v>284.5009</v>
      </c>
      <c r="M2048">
        <v>-0.99975179999999997</v>
      </c>
      <c r="N2048">
        <v>-1.310628E-2</v>
      </c>
      <c r="O2048">
        <v>1.8018820000000001E-2</v>
      </c>
      <c r="P2048">
        <v>-0.98091450000000002</v>
      </c>
      <c r="Q2048">
        <v>0.18784339999999999</v>
      </c>
      <c r="R2048">
        <v>5.0218020000000002E-2</v>
      </c>
      <c r="S2048">
        <v>-3.075806</v>
      </c>
      <c r="T2048">
        <v>-9.1254589999999997E-2</v>
      </c>
      <c r="U2048">
        <v>3.9672850000000001E-4</v>
      </c>
      <c r="V2048">
        <v>3.2451189999999998E-2</v>
      </c>
      <c r="W2048">
        <v>0.20070660000000001</v>
      </c>
      <c r="X2048">
        <v>0.97911380000000003</v>
      </c>
      <c r="Y2048">
        <v>-1.78775999999999E-2</v>
      </c>
      <c r="Z2048">
        <v>-6.8064099999999995E-4</v>
      </c>
      <c r="AA2048">
        <v>0.99983999999999995</v>
      </c>
      <c r="AB2048">
        <v>36</v>
      </c>
      <c r="AC2048">
        <v>-37.570399999999999</v>
      </c>
      <c r="AD2048">
        <v>-1.1213856321989999</v>
      </c>
      <c r="AE2048">
        <v>9.0000000000145497E-4</v>
      </c>
      <c r="AF2048">
        <v>-0.67553071783385699</v>
      </c>
      <c r="AG2048">
        <v>-1.1213856321989999</v>
      </c>
      <c r="AH2048">
        <v>37.530880093767102</v>
      </c>
      <c r="AI2048">
        <v>91.711155132487704</v>
      </c>
      <c r="AJ2048">
        <v>91.031174327473195</v>
      </c>
      <c r="AK2048">
        <v>37.553705650702</v>
      </c>
      <c r="AL2048">
        <v>78.421718197197606</v>
      </c>
      <c r="AM2048">
        <v>88.101716200924201</v>
      </c>
      <c r="AN2048">
        <v>1.0000000261832001</v>
      </c>
    </row>
    <row r="2049" spans="1:40" x14ac:dyDescent="0.25">
      <c r="A2049" t="str">
        <f>"20190303162819574"</f>
        <v>20190303162819574</v>
      </c>
      <c r="B2049" t="str">
        <f>"1551601699563623"</f>
        <v>1551601699563623</v>
      </c>
      <c r="C2049" t="s">
        <v>40</v>
      </c>
      <c r="D2049">
        <v>4.6714479999999998</v>
      </c>
      <c r="E2049">
        <v>0.48206480000000002</v>
      </c>
      <c r="F2049" t="s">
        <v>48</v>
      </c>
      <c r="G2049">
        <v>-389.52620000000002</v>
      </c>
      <c r="H2049" s="1">
        <v>3.5325620000000001E-6</v>
      </c>
      <c r="I2049">
        <v>284.49110000000002</v>
      </c>
      <c r="J2049">
        <v>-351.85199999999998</v>
      </c>
      <c r="K2049">
        <v>1.121391</v>
      </c>
      <c r="L2049">
        <v>284.50450000000001</v>
      </c>
      <c r="M2049">
        <v>-0.99975369999999997</v>
      </c>
      <c r="N2049">
        <v>-1.310536E-2</v>
      </c>
      <c r="O2049">
        <v>1.7911779999999999E-2</v>
      </c>
      <c r="P2049">
        <v>-0.98091600000000001</v>
      </c>
      <c r="Q2049">
        <v>0.18787980000000001</v>
      </c>
      <c r="R2049">
        <v>5.0052119999999999E-2</v>
      </c>
      <c r="S2049">
        <v>-3.0758670000000001</v>
      </c>
      <c r="T2049">
        <v>-9.1056940000000003E-2</v>
      </c>
      <c r="U2049">
        <v>-7.9345700000000002E-4</v>
      </c>
      <c r="V2049">
        <v>3.2390250000000002E-2</v>
      </c>
      <c r="W2049">
        <v>0.20074210000000001</v>
      </c>
      <c r="X2049">
        <v>0.97910850000000005</v>
      </c>
      <c r="Y2049">
        <v>-1.8157329999999999E-2</v>
      </c>
      <c r="Z2049">
        <v>-6.8311100000000003E-4</v>
      </c>
      <c r="AA2049">
        <v>0.99983489999999997</v>
      </c>
      <c r="AB2049">
        <v>36</v>
      </c>
      <c r="AC2049">
        <v>-37.674199999999999</v>
      </c>
      <c r="AD2049">
        <v>-1.121387467438</v>
      </c>
      <c r="AE2049">
        <v>-1.339999999999E-2</v>
      </c>
      <c r="AF2049">
        <v>-0.687658523772957</v>
      </c>
      <c r="AG2049">
        <v>-1.121387467438</v>
      </c>
      <c r="AH2049">
        <v>37.6345714694232</v>
      </c>
      <c r="AI2049">
        <v>91.706437682459693</v>
      </c>
      <c r="AJ2049">
        <v>91.046791440354497</v>
      </c>
      <c r="AK2049">
        <v>37.657553741375303</v>
      </c>
      <c r="AL2049">
        <v>78.419641479279505</v>
      </c>
      <c r="AM2049">
        <v>88.105268133245801</v>
      </c>
      <c r="AN2049">
        <v>0.99999998688986103</v>
      </c>
    </row>
    <row r="2050" spans="1:40" x14ac:dyDescent="0.25">
      <c r="A2050" t="str">
        <f>"20190303162819590"</f>
        <v>20190303162819590</v>
      </c>
      <c r="B2050" t="str">
        <f>"1551601699583143"</f>
        <v>1551601699583143</v>
      </c>
      <c r="C2050" t="s">
        <v>40</v>
      </c>
      <c r="D2050">
        <v>4.666544</v>
      </c>
      <c r="E2050">
        <v>0.48182849999999999</v>
      </c>
      <c r="F2050" t="s">
        <v>48</v>
      </c>
      <c r="G2050">
        <v>-389.8073</v>
      </c>
      <c r="H2050" s="1">
        <v>3.682159E-6</v>
      </c>
      <c r="I2050">
        <v>284.47359999999998</v>
      </c>
      <c r="J2050">
        <v>-352.11869999999999</v>
      </c>
      <c r="K2050">
        <v>1.1213949999999999</v>
      </c>
      <c r="L2050">
        <v>284.50909999999999</v>
      </c>
      <c r="M2050">
        <v>-0.99975619999999998</v>
      </c>
      <c r="N2050">
        <v>-1.310419E-2</v>
      </c>
      <c r="O2050">
        <v>1.7773270000000001E-2</v>
      </c>
      <c r="P2050">
        <v>-0.98081209999999996</v>
      </c>
      <c r="Q2050">
        <v>0.18833910000000001</v>
      </c>
      <c r="R2050">
        <v>5.0359880000000003E-2</v>
      </c>
      <c r="S2050">
        <v>-3.0758969999999999</v>
      </c>
      <c r="T2050">
        <v>-9.0877289999999999E-2</v>
      </c>
      <c r="U2050">
        <v>-2.5024410000000002E-3</v>
      </c>
      <c r="V2050">
        <v>3.2835379999999997E-2</v>
      </c>
      <c r="W2050">
        <v>0.20119890000000001</v>
      </c>
      <c r="X2050">
        <v>0.97899990000000003</v>
      </c>
      <c r="Y2050">
        <v>-1.8574130000000001E-2</v>
      </c>
      <c r="Z2050">
        <v>-6.8815070000000002E-4</v>
      </c>
      <c r="AA2050">
        <v>0.99982729999999997</v>
      </c>
      <c r="AB2050">
        <v>36</v>
      </c>
      <c r="AC2050">
        <v>-37.688600000000001</v>
      </c>
      <c r="AD2050">
        <v>-1.121391317841</v>
      </c>
      <c r="AE2050">
        <v>-3.5500000000013097E-2</v>
      </c>
      <c r="AF2050">
        <v>-0.70477760834280501</v>
      </c>
      <c r="AG2050">
        <v>-1.121391317841</v>
      </c>
      <c r="AH2050">
        <v>37.648684142871097</v>
      </c>
      <c r="AI2050">
        <v>91.705790136117102</v>
      </c>
      <c r="AJ2050">
        <v>91.072442967103299</v>
      </c>
      <c r="AK2050">
        <v>37.671974299930497</v>
      </c>
      <c r="AL2050">
        <v>78.392923591494593</v>
      </c>
      <c r="AM2050">
        <v>88.079035835463202</v>
      </c>
      <c r="AN2050">
        <v>0.999999981870482</v>
      </c>
    </row>
    <row r="2051" spans="1:40" x14ac:dyDescent="0.25">
      <c r="A2051" t="str">
        <f>"20190303162819613"</f>
        <v>20190303162819613</v>
      </c>
      <c r="B2051" t="str">
        <f>"1551601699603640"</f>
        <v>1551601699603640</v>
      </c>
      <c r="C2051" t="s">
        <v>40</v>
      </c>
      <c r="D2051">
        <v>4.7041510000000004</v>
      </c>
      <c r="E2051">
        <v>0.48159580000000002</v>
      </c>
      <c r="F2051" t="s">
        <v>48</v>
      </c>
      <c r="G2051">
        <v>-390.34679999999997</v>
      </c>
      <c r="H2051" s="1">
        <v>-1.352254E-6</v>
      </c>
      <c r="I2051">
        <v>284.47120000000001</v>
      </c>
      <c r="J2051">
        <v>-352.4742</v>
      </c>
      <c r="K2051">
        <v>1.121391</v>
      </c>
      <c r="L2051">
        <v>284.51519999999999</v>
      </c>
      <c r="M2051">
        <v>-0.99975950000000002</v>
      </c>
      <c r="N2051">
        <v>-1.310268E-2</v>
      </c>
      <c r="O2051">
        <v>1.7588159999999999E-2</v>
      </c>
      <c r="P2051">
        <v>-0.98074240000000001</v>
      </c>
      <c r="Q2051">
        <v>0.1887364</v>
      </c>
      <c r="R2051">
        <v>5.0229740000000002E-2</v>
      </c>
      <c r="S2051">
        <v>-3.0761409999999998</v>
      </c>
      <c r="T2051">
        <v>-9.0236540000000004E-2</v>
      </c>
      <c r="U2051">
        <v>-3.0517579999999999E-3</v>
      </c>
      <c r="V2051">
        <v>3.2888199999999902E-2</v>
      </c>
      <c r="W2051">
        <v>0.20159360000000001</v>
      </c>
      <c r="X2051">
        <v>0.97891689999999998</v>
      </c>
      <c r="Y2051">
        <v>-1.8567710000000001E-2</v>
      </c>
      <c r="Z2051">
        <v>-6.7932769999999999E-4</v>
      </c>
      <c r="AA2051">
        <v>0.99982740000000003</v>
      </c>
      <c r="AB2051">
        <v>36</v>
      </c>
      <c r="AC2051">
        <v>-37.872599999999899</v>
      </c>
      <c r="AD2051">
        <v>-1.1213923522539999</v>
      </c>
      <c r="AE2051">
        <v>-4.3999999999982699E-2</v>
      </c>
      <c r="AF2051">
        <v>-0.70953762954716104</v>
      </c>
      <c r="AG2051">
        <v>-1.1213923522539999</v>
      </c>
      <c r="AH2051">
        <v>37.832797744045202</v>
      </c>
      <c r="AI2051">
        <v>91.697494225653102</v>
      </c>
      <c r="AJ2051">
        <v>91.074431408864598</v>
      </c>
      <c r="AK2051">
        <v>37.856063577678903</v>
      </c>
      <c r="AL2051">
        <v>78.369835561302494</v>
      </c>
      <c r="AM2051">
        <v>88.075785021203799</v>
      </c>
      <c r="AN2051">
        <v>0.99999995518290397</v>
      </c>
    </row>
    <row r="2052" spans="1:40" x14ac:dyDescent="0.25">
      <c r="A2052" t="str">
        <f>"20190303162819635"</f>
        <v>20190303162819635</v>
      </c>
      <c r="B2052" t="str">
        <f>"1551601699623159"</f>
        <v>1551601699623159</v>
      </c>
      <c r="C2052" t="s">
        <v>40</v>
      </c>
      <c r="D2052">
        <v>4.6993210000000003</v>
      </c>
      <c r="E2052">
        <v>0.48147089999999998</v>
      </c>
      <c r="F2052" t="s">
        <v>48</v>
      </c>
      <c r="G2052">
        <v>-391.06</v>
      </c>
      <c r="H2052" s="1">
        <v>-9.727015999999999E-7</v>
      </c>
      <c r="I2052">
        <v>284.45249999999999</v>
      </c>
      <c r="J2052">
        <v>-352.82479999999998</v>
      </c>
      <c r="K2052">
        <v>1.1213900000000001</v>
      </c>
      <c r="L2052">
        <v>284.52109999999999</v>
      </c>
      <c r="M2052">
        <v>-0.99976279999999995</v>
      </c>
      <c r="N2052">
        <v>-1.3101170000000001E-2</v>
      </c>
      <c r="O2052">
        <v>1.740537E-2</v>
      </c>
      <c r="P2052">
        <v>-0.98073540000000003</v>
      </c>
      <c r="Q2052">
        <v>0.18894250000000001</v>
      </c>
      <c r="R2052">
        <v>4.9589429999999997E-2</v>
      </c>
      <c r="S2052">
        <v>-3.076416</v>
      </c>
      <c r="T2052">
        <v>-8.9407680000000003E-2</v>
      </c>
      <c r="U2052">
        <v>-5.0048829999999999E-3</v>
      </c>
      <c r="V2052">
        <v>3.2427589999999999E-2</v>
      </c>
      <c r="W2052">
        <v>0.20179820000000001</v>
      </c>
      <c r="X2052">
        <v>0.97889020000000004</v>
      </c>
      <c r="Y2052">
        <v>-1.9019589999999999E-2</v>
      </c>
      <c r="Z2052">
        <v>-6.7864450000000001E-4</v>
      </c>
      <c r="AA2052">
        <v>0.99981889999999995</v>
      </c>
      <c r="AB2052">
        <v>36</v>
      </c>
      <c r="AC2052">
        <v>-38.235199999999999</v>
      </c>
      <c r="AD2052">
        <v>-1.12139097270159</v>
      </c>
      <c r="AE2052">
        <v>-6.8600000000003505E-2</v>
      </c>
      <c r="AF2052">
        <v>-0.73351350005478</v>
      </c>
      <c r="AG2052">
        <v>-1.12139097270159</v>
      </c>
      <c r="AH2052">
        <v>38.195358210780498</v>
      </c>
      <c r="AI2052">
        <v>91.681374049553895</v>
      </c>
      <c r="AJ2052">
        <v>91.100187674211199</v>
      </c>
      <c r="AK2052">
        <v>38.2188559302637</v>
      </c>
      <c r="AL2052">
        <v>78.357867901274403</v>
      </c>
      <c r="AM2052">
        <v>88.102662733505397</v>
      </c>
      <c r="AN2052">
        <v>1.0000000428862399</v>
      </c>
    </row>
    <row r="2053" spans="1:40" x14ac:dyDescent="0.25">
      <c r="A2053" t="str">
        <f>"20190303162819648"</f>
        <v>20190303162819648</v>
      </c>
      <c r="B2053" t="str">
        <f>"1551601699643655"</f>
        <v>1551601699643655</v>
      </c>
      <c r="C2053" t="s">
        <v>40</v>
      </c>
      <c r="D2053">
        <v>4.6727290000000004</v>
      </c>
      <c r="E2053">
        <v>0.46333999999999997</v>
      </c>
      <c r="F2053" t="s">
        <v>48</v>
      </c>
      <c r="G2053">
        <v>-391.64269999999999</v>
      </c>
      <c r="H2053" s="1">
        <v>-6.6261130000000003E-7</v>
      </c>
      <c r="I2053">
        <v>284.4203</v>
      </c>
      <c r="J2053">
        <v>-353.0471</v>
      </c>
      <c r="K2053">
        <v>1.121394</v>
      </c>
      <c r="L2053">
        <v>284.5249</v>
      </c>
      <c r="M2053">
        <v>-0.99976469999999995</v>
      </c>
      <c r="N2053">
        <v>-1.3100179999999999E-2</v>
      </c>
      <c r="O2053">
        <v>1.7289579999999999E-2</v>
      </c>
      <c r="P2053">
        <v>-0.98072530000000002</v>
      </c>
      <c r="Q2053">
        <v>0.18906490000000001</v>
      </c>
      <c r="R2053">
        <v>4.931957E-2</v>
      </c>
      <c r="S2053">
        <v>-3.0764770000000001</v>
      </c>
      <c r="T2053">
        <v>-8.8874819999999993E-2</v>
      </c>
      <c r="U2053">
        <v>-7.9956049999999994E-3</v>
      </c>
      <c r="V2053">
        <v>3.22717E-2</v>
      </c>
      <c r="W2053">
        <v>0.20191909999999999</v>
      </c>
      <c r="X2053">
        <v>0.97887040000000003</v>
      </c>
      <c r="Y2053">
        <v>-1.987535E-2</v>
      </c>
      <c r="Z2053">
        <v>-6.9011649999999904E-4</v>
      </c>
      <c r="AA2053">
        <v>0.99980219999999997</v>
      </c>
      <c r="AB2053">
        <v>36</v>
      </c>
      <c r="AC2053">
        <v>-38.595599999999898</v>
      </c>
      <c r="AD2053">
        <v>-1.1213946626113001</v>
      </c>
      <c r="AE2053">
        <v>-0.104600000000004</v>
      </c>
      <c r="AF2053">
        <v>-0.77129222869861602</v>
      </c>
      <c r="AG2053">
        <v>-1.1213946626113001</v>
      </c>
      <c r="AH2053">
        <v>38.555473256285602</v>
      </c>
      <c r="AI2053">
        <v>91.665657965587897</v>
      </c>
      <c r="AJ2053">
        <v>91.146034327344907</v>
      </c>
      <c r="AK2053">
        <v>38.579488536106098</v>
      </c>
      <c r="AL2053">
        <v>78.350795011423301</v>
      </c>
      <c r="AM2053">
        <v>88.111739067637103</v>
      </c>
      <c r="AN2053">
        <v>1.00000002278092</v>
      </c>
    </row>
    <row r="2054" spans="1:40" x14ac:dyDescent="0.25">
      <c r="A2054" t="str">
        <f>"20190303162819670"</f>
        <v>20190303162819670</v>
      </c>
      <c r="B2054" t="str">
        <f>"1551601699663175"</f>
        <v>1551601699663175</v>
      </c>
      <c r="C2054" t="s">
        <v>40</v>
      </c>
      <c r="D2054">
        <v>4.7236640000000003</v>
      </c>
      <c r="E2054">
        <v>0.4555013</v>
      </c>
      <c r="F2054" t="s">
        <v>48</v>
      </c>
      <c r="G2054">
        <v>-384.23660000000001</v>
      </c>
      <c r="H2054" s="1">
        <v>7.1772669999999905E-7</v>
      </c>
      <c r="I2054">
        <v>282.97449999999998</v>
      </c>
      <c r="J2054">
        <v>-353.40910000000002</v>
      </c>
      <c r="K2054">
        <v>1.121399</v>
      </c>
      <c r="L2054">
        <v>284.53089999999997</v>
      </c>
      <c r="M2054">
        <v>-0.99976799999999999</v>
      </c>
      <c r="N2054">
        <v>-1.3098510000000001E-2</v>
      </c>
      <c r="O2054">
        <v>1.7100589999999999E-2</v>
      </c>
      <c r="P2054">
        <v>-0.980684</v>
      </c>
      <c r="Q2054">
        <v>0.18952260000000001</v>
      </c>
      <c r="R2054">
        <v>4.8376379999999997E-2</v>
      </c>
      <c r="S2054">
        <v>-3.0880429999999999</v>
      </c>
      <c r="T2054">
        <v>-0.111028</v>
      </c>
      <c r="U2054">
        <v>-0.15350339999999901</v>
      </c>
      <c r="V2054">
        <v>3.1514800000000003E-2</v>
      </c>
      <c r="W2054">
        <v>0.202374</v>
      </c>
      <c r="X2054">
        <v>0.97880109999999998</v>
      </c>
      <c r="Y2054">
        <v>-6.6658239999999994E-2</v>
      </c>
      <c r="Z2054">
        <v>-2.024737E-3</v>
      </c>
      <c r="AA2054">
        <v>0.99777380000000004</v>
      </c>
      <c r="AB2054">
        <v>36</v>
      </c>
      <c r="AC2054">
        <v>-30.827499999999901</v>
      </c>
      <c r="AD2054">
        <v>-1.1213982822733</v>
      </c>
      <c r="AE2054">
        <v>-1.55639999999999</v>
      </c>
      <c r="AF2054">
        <v>-2.0806398135342801</v>
      </c>
      <c r="AG2054">
        <v>-1.1213982822733</v>
      </c>
      <c r="AH2054">
        <v>30.755779580931002</v>
      </c>
      <c r="AI2054">
        <v>92.083400613718595</v>
      </c>
      <c r="AJ2054">
        <v>93.870183711151299</v>
      </c>
      <c r="AK2054">
        <v>30.846467768157201</v>
      </c>
      <c r="AL2054">
        <v>78.324181538670601</v>
      </c>
      <c r="AM2054">
        <v>88.155864903623495</v>
      </c>
      <c r="AN2054">
        <v>1.00000000592812</v>
      </c>
    </row>
    <row r="2055" spans="1:40" x14ac:dyDescent="0.25">
      <c r="A2055" t="str">
        <f>"20190303162819683"</f>
        <v>20190303162819683</v>
      </c>
      <c r="B2055" t="str">
        <f>"1551601699673911"</f>
        <v>1551601699673911</v>
      </c>
      <c r="C2055" t="s">
        <v>40</v>
      </c>
      <c r="D2055">
        <v>4.7005140000000001</v>
      </c>
      <c r="E2055">
        <v>0.45366050000000002</v>
      </c>
      <c r="F2055" t="s">
        <v>48</v>
      </c>
      <c r="G2055">
        <v>-385.1164</v>
      </c>
      <c r="H2055" s="1">
        <v>1.185895E-6</v>
      </c>
      <c r="I2055">
        <v>282.2842</v>
      </c>
      <c r="J2055">
        <v>-353.61689999999999</v>
      </c>
      <c r="K2055">
        <v>1.1214059999999999</v>
      </c>
      <c r="L2055">
        <v>284.53440000000001</v>
      </c>
      <c r="M2055">
        <v>-0.99976980000000004</v>
      </c>
      <c r="N2055">
        <v>-1.309748E-2</v>
      </c>
      <c r="O2055">
        <v>1.6992130000000001E-2</v>
      </c>
      <c r="P2055">
        <v>-0.98063069999999997</v>
      </c>
      <c r="Q2055">
        <v>0.18983030000000001</v>
      </c>
      <c r="R2055">
        <v>4.8247779999999997E-2</v>
      </c>
      <c r="S2055">
        <v>-3.0910340000000001</v>
      </c>
      <c r="T2055">
        <v>-0.109321</v>
      </c>
      <c r="U2055">
        <v>-0.21902469999999999</v>
      </c>
      <c r="V2055">
        <v>3.1493460000000001E-2</v>
      </c>
      <c r="W2055">
        <v>0.20267979999999999</v>
      </c>
      <c r="X2055">
        <v>0.97873849999999996</v>
      </c>
      <c r="Y2055">
        <v>-8.7542789999999995E-2</v>
      </c>
      <c r="Z2055">
        <v>-2.4978069999999999E-3</v>
      </c>
      <c r="AA2055">
        <v>0.99615759999999998</v>
      </c>
      <c r="AB2055">
        <v>36</v>
      </c>
      <c r="AC2055">
        <v>-31.499500000000001</v>
      </c>
      <c r="AD2055">
        <v>-1.1214048141049999</v>
      </c>
      <c r="AE2055">
        <v>-2.2502</v>
      </c>
      <c r="AF2055">
        <v>-2.7816569971856802</v>
      </c>
      <c r="AG2055">
        <v>-1.1214048141049999</v>
      </c>
      <c r="AH2055">
        <v>31.4170962432447</v>
      </c>
      <c r="AI2055">
        <v>92.036293920100206</v>
      </c>
      <c r="AJ2055">
        <v>95.059751107500801</v>
      </c>
      <c r="AK2055">
        <v>31.559928719254</v>
      </c>
      <c r="AL2055">
        <v>78.306289586372301</v>
      </c>
      <c r="AM2055">
        <v>88.156994994324904</v>
      </c>
      <c r="AN2055">
        <v>0.99999999536652995</v>
      </c>
    </row>
    <row r="2056" spans="1:40" x14ac:dyDescent="0.25">
      <c r="A2056" t="str">
        <f>"20190303162819697"</f>
        <v>20190303162819697</v>
      </c>
      <c r="B2056" t="str">
        <f>"1551601699683672"</f>
        <v>1551601699683672</v>
      </c>
      <c r="C2056" t="s">
        <v>40</v>
      </c>
      <c r="D2056">
        <v>4.7100119999999999</v>
      </c>
      <c r="E2056">
        <v>0.45244139999999999</v>
      </c>
      <c r="F2056" t="s">
        <v>48</v>
      </c>
      <c r="G2056">
        <v>-385.40359999999998</v>
      </c>
      <c r="H2056" s="1">
        <v>1.3387330000000001E-6</v>
      </c>
      <c r="I2056">
        <v>282.12610000000001</v>
      </c>
      <c r="J2056">
        <v>-353.8372</v>
      </c>
      <c r="K2056">
        <v>1.1214059999999999</v>
      </c>
      <c r="L2056">
        <v>284.53800000000001</v>
      </c>
      <c r="M2056">
        <v>-0.99977190000000005</v>
      </c>
      <c r="N2056">
        <v>-1.3096490000000001E-2</v>
      </c>
      <c r="O2056">
        <v>1.6876990000000001E-2</v>
      </c>
      <c r="P2056">
        <v>-0.98060349999999996</v>
      </c>
      <c r="Q2056">
        <v>0.19007399999999999</v>
      </c>
      <c r="R2056">
        <v>4.7843730000000001E-2</v>
      </c>
      <c r="S2056">
        <v>-3.091888</v>
      </c>
      <c r="T2056">
        <v>-0.109079</v>
      </c>
      <c r="U2056">
        <v>-0.23425289999999999</v>
      </c>
      <c r="V2056">
        <v>3.120301E-2</v>
      </c>
      <c r="W2056">
        <v>0.20292170000000001</v>
      </c>
      <c r="X2056">
        <v>0.9786977</v>
      </c>
      <c r="Y2056">
        <v>-9.2284099999999994E-2</v>
      </c>
      <c r="Z2056">
        <v>-2.6042529999999999E-3</v>
      </c>
      <c r="AA2056">
        <v>0.99572930000000004</v>
      </c>
      <c r="AB2056">
        <v>36</v>
      </c>
      <c r="AC2056">
        <v>-31.566399999999899</v>
      </c>
      <c r="AD2056">
        <v>-1.1214046612669999</v>
      </c>
      <c r="AE2056">
        <v>-2.4119000000000002</v>
      </c>
      <c r="AF2056">
        <v>-2.94065817905684</v>
      </c>
      <c r="AG2056">
        <v>-1.1214046612669999</v>
      </c>
      <c r="AH2056">
        <v>31.481693552268599</v>
      </c>
      <c r="AI2056">
        <v>92.031227097457005</v>
      </c>
      <c r="AJ2056">
        <v>95.336429126381603</v>
      </c>
      <c r="AK2056">
        <v>31.638616402417401</v>
      </c>
      <c r="AL2056">
        <v>78.292135863962201</v>
      </c>
      <c r="AM2056">
        <v>88.173904567397102</v>
      </c>
      <c r="AN2056">
        <v>1.0000000160746101</v>
      </c>
    </row>
    <row r="2057" spans="1:40" x14ac:dyDescent="0.25">
      <c r="A2057" t="str">
        <f>"20190303162819712"</f>
        <v>20190303162819712</v>
      </c>
      <c r="B2057" t="str">
        <f>"1551601699703191"</f>
        <v>1551601699703191</v>
      </c>
      <c r="C2057" t="s">
        <v>40</v>
      </c>
      <c r="D2057">
        <v>4.8895339999999896</v>
      </c>
      <c r="E2057">
        <v>0.4513837</v>
      </c>
      <c r="F2057" t="s">
        <v>48</v>
      </c>
      <c r="G2057">
        <v>-385.98869999999999</v>
      </c>
      <c r="H2057" s="1">
        <v>1.650113E-6</v>
      </c>
      <c r="I2057">
        <v>281.98559999999998</v>
      </c>
      <c r="J2057">
        <v>-354.0874</v>
      </c>
      <c r="K2057">
        <v>1.1214010000000001</v>
      </c>
      <c r="L2057">
        <v>284.5421</v>
      </c>
      <c r="M2057">
        <v>-0.99977400000000005</v>
      </c>
      <c r="N2057">
        <v>-1.309536E-2</v>
      </c>
      <c r="O2057">
        <v>1.6746589999999999E-2</v>
      </c>
      <c r="P2057">
        <v>-0.98066759999999997</v>
      </c>
      <c r="Q2057">
        <v>0.18983120000000001</v>
      </c>
      <c r="R2057">
        <v>4.7489290000000003E-2</v>
      </c>
      <c r="S2057">
        <v>-3.0921940000000001</v>
      </c>
      <c r="T2057">
        <v>-0.1078519</v>
      </c>
      <c r="U2057">
        <v>-0.24548339999999999</v>
      </c>
      <c r="V2057">
        <v>3.097573E-2</v>
      </c>
      <c r="W2057">
        <v>0.20267840000000001</v>
      </c>
      <c r="X2057">
        <v>0.97875529999999999</v>
      </c>
      <c r="Y2057">
        <v>-9.5739829999999998E-2</v>
      </c>
      <c r="Z2057">
        <v>-2.6588480000000001E-3</v>
      </c>
      <c r="AA2057">
        <v>0.99540280000000003</v>
      </c>
      <c r="AB2057">
        <v>36</v>
      </c>
      <c r="AC2057">
        <v>-31.9012999999999</v>
      </c>
      <c r="AD2057">
        <v>-1.1213993498870001</v>
      </c>
      <c r="AE2057">
        <v>-2.5565000000000202</v>
      </c>
      <c r="AF2057">
        <v>-3.086635502225</v>
      </c>
      <c r="AG2057">
        <v>-1.1213993498870001</v>
      </c>
      <c r="AH2057">
        <v>31.814947219967198</v>
      </c>
      <c r="AI2057">
        <v>92.009274572763402</v>
      </c>
      <c r="AJ2057">
        <v>95.541402407908805</v>
      </c>
      <c r="AK2057">
        <v>31.9839916494928</v>
      </c>
      <c r="AL2057">
        <v>78.306371359579302</v>
      </c>
      <c r="AM2057">
        <v>88.187303392341903</v>
      </c>
      <c r="AN2057">
        <v>0.99999998347684105</v>
      </c>
    </row>
    <row r="2058" spans="1:40" x14ac:dyDescent="0.25">
      <c r="A2058" t="str">
        <f>"20190303162819736"</f>
        <v>20190303162819736</v>
      </c>
      <c r="B2058" t="str">
        <f>"1551601699723870"</f>
        <v>1551601699723870</v>
      </c>
      <c r="C2058" t="s">
        <v>40</v>
      </c>
      <c r="D2058">
        <v>4.70207</v>
      </c>
      <c r="E2058">
        <v>0.45097999999999999</v>
      </c>
      <c r="F2058" t="s">
        <v>48</v>
      </c>
      <c r="G2058">
        <v>-389.18579999999997</v>
      </c>
      <c r="H2058" s="1">
        <v>3.3514549999999998E-6</v>
      </c>
      <c r="I2058">
        <v>281.65030000000002</v>
      </c>
      <c r="J2058">
        <v>-354.45269999999999</v>
      </c>
      <c r="K2058">
        <v>1.1214</v>
      </c>
      <c r="L2058">
        <v>284.548</v>
      </c>
      <c r="M2058">
        <v>-0.99977720000000003</v>
      </c>
      <c r="N2058">
        <v>-1.309368E-2</v>
      </c>
      <c r="O2058">
        <v>1.655653E-2</v>
      </c>
      <c r="P2058">
        <v>-0.98066350000000002</v>
      </c>
      <c r="Q2058">
        <v>0.18986410000000001</v>
      </c>
      <c r="R2058">
        <v>4.7442560000000002E-2</v>
      </c>
      <c r="S2058">
        <v>-3.090576</v>
      </c>
      <c r="T2058">
        <v>-9.8744029999999997E-2</v>
      </c>
      <c r="U2058">
        <v>-0.2546387</v>
      </c>
      <c r="V2058">
        <v>3.1115440000000001E-2</v>
      </c>
      <c r="W2058">
        <v>0.20270969999999999</v>
      </c>
      <c r="X2058">
        <v>0.97874439999999996</v>
      </c>
      <c r="Y2058">
        <v>-9.853104E-2</v>
      </c>
      <c r="Z2058">
        <v>-2.5290489999999998E-3</v>
      </c>
      <c r="AA2058">
        <v>0.99513079999999998</v>
      </c>
      <c r="AB2058">
        <v>36</v>
      </c>
      <c r="AC2058">
        <v>-34.733099999999901</v>
      </c>
      <c r="AD2058">
        <v>-1.121396648545</v>
      </c>
      <c r="AE2058">
        <v>-2.89769999999998</v>
      </c>
      <c r="AF2058">
        <v>-3.4688207772514299</v>
      </c>
      <c r="AG2058">
        <v>-1.121396648545</v>
      </c>
      <c r="AH2058">
        <v>34.644494835189903</v>
      </c>
      <c r="AI2058">
        <v>91.844724159899698</v>
      </c>
      <c r="AJ2058">
        <v>95.717750806121799</v>
      </c>
      <c r="AK2058">
        <v>34.835775725732901</v>
      </c>
      <c r="AL2058">
        <v>78.304540144305605</v>
      </c>
      <c r="AM2058">
        <v>88.1791128038127</v>
      </c>
      <c r="AN2058">
        <v>0.999999996805921</v>
      </c>
    </row>
    <row r="2059" spans="1:40" x14ac:dyDescent="0.25">
      <c r="A2059" t="str">
        <f>"20190303162819751"</f>
        <v>20190303162819751</v>
      </c>
      <c r="B2059" t="str">
        <f>"1551601699743390"</f>
        <v>1551601699743390</v>
      </c>
      <c r="C2059" t="s">
        <v>40</v>
      </c>
      <c r="D2059">
        <v>4.7631600000000001</v>
      </c>
      <c r="E2059">
        <v>0.45071070000000002</v>
      </c>
      <c r="F2059" t="s">
        <v>48</v>
      </c>
      <c r="G2059">
        <v>-393.06009999999998</v>
      </c>
      <c r="H2059" s="1">
        <v>9.1634260000000002E-8</v>
      </c>
      <c r="I2059">
        <v>281.32499999999999</v>
      </c>
      <c r="J2059">
        <v>-354.709</v>
      </c>
      <c r="K2059">
        <v>1.121402</v>
      </c>
      <c r="L2059">
        <v>284.5521</v>
      </c>
      <c r="M2059">
        <v>-0.99977939999999998</v>
      </c>
      <c r="N2059">
        <v>-1.309249E-2</v>
      </c>
      <c r="O2059">
        <v>1.6422969999999999E-2</v>
      </c>
      <c r="P2059">
        <v>-0.98070100000000004</v>
      </c>
      <c r="Q2059">
        <v>0.1896564</v>
      </c>
      <c r="R2059">
        <v>4.7496629999999998E-2</v>
      </c>
      <c r="S2059">
        <v>-3.088959</v>
      </c>
      <c r="T2059">
        <v>-8.9722629999999998E-2</v>
      </c>
      <c r="U2059">
        <v>-0.25787349999999998</v>
      </c>
      <c r="V2059">
        <v>3.1300179999999997E-2</v>
      </c>
      <c r="W2059">
        <v>0.20250099999999999</v>
      </c>
      <c r="X2059">
        <v>0.97878169999999998</v>
      </c>
      <c r="Y2059">
        <v>-9.9486530000000004E-2</v>
      </c>
      <c r="Z2059">
        <v>-2.3562269999999998E-3</v>
      </c>
      <c r="AA2059">
        <v>0.99503609999999998</v>
      </c>
      <c r="AB2059">
        <v>36</v>
      </c>
      <c r="AC2059">
        <v>-38.351099999999903</v>
      </c>
      <c r="AD2059">
        <v>-1.1214019083657401</v>
      </c>
      <c r="AE2059">
        <v>-3.2271000000000001</v>
      </c>
      <c r="AF2059">
        <v>-3.8532862572703199</v>
      </c>
      <c r="AG2059">
        <v>-1.1214019083657401</v>
      </c>
      <c r="AH2059">
        <v>38.260440999299398</v>
      </c>
      <c r="AI2059">
        <v>91.670396126513197</v>
      </c>
      <c r="AJ2059">
        <v>95.750982044152096</v>
      </c>
      <c r="AK2059">
        <v>38.470335359617302</v>
      </c>
      <c r="AL2059">
        <v>78.316750896457606</v>
      </c>
      <c r="AM2059">
        <v>88.168378848342499</v>
      </c>
      <c r="AN2059">
        <v>0.99999998626196096</v>
      </c>
    </row>
    <row r="2060" spans="1:40" x14ac:dyDescent="0.25">
      <c r="A2060" t="str">
        <f>"20190303162819764"</f>
        <v>20190303162819764</v>
      </c>
      <c r="B2060" t="str">
        <f>"1551601699753150"</f>
        <v>1551601699753150</v>
      </c>
      <c r="C2060" t="s">
        <v>40</v>
      </c>
      <c r="D2060">
        <v>4.7382949999999999</v>
      </c>
      <c r="E2060">
        <v>0.45061780000000001</v>
      </c>
      <c r="F2060" t="s">
        <v>48</v>
      </c>
      <c r="G2060">
        <v>-395.59120000000001</v>
      </c>
      <c r="H2060" s="1">
        <v>1.438573E-6</v>
      </c>
      <c r="I2060">
        <v>281.1139</v>
      </c>
      <c r="J2060">
        <v>-354.9135</v>
      </c>
      <c r="K2060">
        <v>1.1214</v>
      </c>
      <c r="L2060">
        <v>284.55540000000002</v>
      </c>
      <c r="M2060">
        <v>-0.99978129999999998</v>
      </c>
      <c r="N2060">
        <v>-1.309154E-2</v>
      </c>
      <c r="O2060">
        <v>1.631647E-2</v>
      </c>
      <c r="P2060">
        <v>-0.98073889999999997</v>
      </c>
      <c r="Q2060">
        <v>0.1894759</v>
      </c>
      <c r="R2060">
        <v>4.7434209999999997E-2</v>
      </c>
      <c r="S2060">
        <v>-3.0879819999999998</v>
      </c>
      <c r="T2060">
        <v>-8.4703559999999997E-2</v>
      </c>
      <c r="U2060">
        <v>-0.25970460000000001</v>
      </c>
      <c r="V2060">
        <v>3.1341849999999997E-2</v>
      </c>
      <c r="W2060">
        <v>0.20232030000000001</v>
      </c>
      <c r="X2060">
        <v>0.97881779999999996</v>
      </c>
      <c r="Y2060">
        <v>-9.9998199999999995E-2</v>
      </c>
      <c r="Z2060">
        <v>-2.258295E-3</v>
      </c>
      <c r="AA2060">
        <v>0.99498500000000001</v>
      </c>
      <c r="AB2060">
        <v>36</v>
      </c>
      <c r="AC2060">
        <v>-40.677700000000002</v>
      </c>
      <c r="AD2060">
        <v>-1.1213985614269999</v>
      </c>
      <c r="AE2060">
        <v>-3.4415000000000102</v>
      </c>
      <c r="AF2060">
        <v>-4.1017199418538901</v>
      </c>
      <c r="AG2060">
        <v>-1.1213985614269999</v>
      </c>
      <c r="AH2060">
        <v>40.585500705182298</v>
      </c>
      <c r="AI2060">
        <v>91.574692246584206</v>
      </c>
      <c r="AJ2060">
        <v>95.770927566782902</v>
      </c>
      <c r="AK2060">
        <v>40.807652575287001</v>
      </c>
      <c r="AL2060">
        <v>78.327323840507304</v>
      </c>
      <c r="AM2060">
        <v>88.166009667367007</v>
      </c>
      <c r="AN2060">
        <v>1.00000005047517</v>
      </c>
    </row>
    <row r="2061" spans="1:40" x14ac:dyDescent="0.25">
      <c r="A2061" t="str">
        <f>"20190303162819780"</f>
        <v>20190303162819780</v>
      </c>
      <c r="B2061" t="str">
        <f>"1551601699773646"</f>
        <v>1551601699773646</v>
      </c>
      <c r="C2061" t="s">
        <v>40</v>
      </c>
      <c r="D2061">
        <v>4.7502740000000001</v>
      </c>
      <c r="E2061">
        <v>0.45018550000000002</v>
      </c>
      <c r="F2061" t="s">
        <v>48</v>
      </c>
      <c r="G2061">
        <v>-394.70490000000001</v>
      </c>
      <c r="H2061" s="1">
        <v>9.669359E-7</v>
      </c>
      <c r="I2061">
        <v>281.19749999999999</v>
      </c>
      <c r="J2061">
        <v>-355.1739</v>
      </c>
      <c r="K2061">
        <v>1.1213979999999999</v>
      </c>
      <c r="L2061">
        <v>284.55939999999998</v>
      </c>
      <c r="M2061">
        <v>-0.99978350000000005</v>
      </c>
      <c r="N2061">
        <v>-1.3090340000000001E-2</v>
      </c>
      <c r="O2061">
        <v>1.618023E-2</v>
      </c>
      <c r="P2061">
        <v>-0.98083779999999998</v>
      </c>
      <c r="Q2061">
        <v>0.18899640000000001</v>
      </c>
      <c r="R2061">
        <v>4.7307040000000002E-2</v>
      </c>
      <c r="S2061">
        <v>-3.0883790000000002</v>
      </c>
      <c r="T2061">
        <v>-8.703661E-2</v>
      </c>
      <c r="U2061">
        <v>-0.26062010000000002</v>
      </c>
      <c r="V2061">
        <v>3.1347270000000003E-2</v>
      </c>
      <c r="W2061">
        <v>0.20184070000000001</v>
      </c>
      <c r="X2061">
        <v>0.97891660000000003</v>
      </c>
      <c r="Y2061">
        <v>-0.10014199999999999</v>
      </c>
      <c r="Z2061">
        <v>-2.3089130000000001E-3</v>
      </c>
      <c r="AA2061">
        <v>0.99497049999999998</v>
      </c>
      <c r="AB2061">
        <v>36</v>
      </c>
      <c r="AC2061">
        <v>-39.530999999999999</v>
      </c>
      <c r="AD2061">
        <v>-1.1213970330641001</v>
      </c>
      <c r="AE2061">
        <v>-3.3618999999999901</v>
      </c>
      <c r="AF2061">
        <v>-3.9979411294452198</v>
      </c>
      <c r="AG2061">
        <v>-1.1213970330641001</v>
      </c>
      <c r="AH2061">
        <v>39.439913128549399</v>
      </c>
      <c r="AI2061">
        <v>91.620355779429801</v>
      </c>
      <c r="AJ2061">
        <v>95.788181431206894</v>
      </c>
      <c r="AK2061">
        <v>39.657884615392703</v>
      </c>
      <c r="AL2061">
        <v>78.355381337364307</v>
      </c>
      <c r="AM2061">
        <v>88.165877735244905</v>
      </c>
      <c r="AN2061">
        <v>1.00000001463425</v>
      </c>
    </row>
    <row r="2062" spans="1:40" x14ac:dyDescent="0.25">
      <c r="A2062" t="str">
        <f>"20190303162819792"</f>
        <v>20190303162819792</v>
      </c>
      <c r="B2062" t="str">
        <f>"1551601699783406"</f>
        <v>1551601699783406</v>
      </c>
      <c r="C2062" t="s">
        <v>40</v>
      </c>
      <c r="D2062">
        <v>4.7848410000000001</v>
      </c>
      <c r="E2062">
        <v>0.44994190000000001</v>
      </c>
      <c r="F2062" t="s">
        <v>48</v>
      </c>
      <c r="G2062">
        <v>-392.8922</v>
      </c>
      <c r="H2062" s="1">
        <v>2.3179040000000001E-9</v>
      </c>
      <c r="I2062">
        <v>281.3306</v>
      </c>
      <c r="J2062">
        <v>-355.36450000000002</v>
      </c>
      <c r="K2062">
        <v>1.1213979999999999</v>
      </c>
      <c r="L2062">
        <v>284.56240000000003</v>
      </c>
      <c r="M2062">
        <v>-0.99978520000000004</v>
      </c>
      <c r="N2062">
        <v>-1.3089440000000001E-2</v>
      </c>
      <c r="O2062">
        <v>1.6080589999999999E-2</v>
      </c>
      <c r="P2062">
        <v>-0.98086189999999995</v>
      </c>
      <c r="Q2062">
        <v>0.1888416</v>
      </c>
      <c r="R2062">
        <v>4.7423060000000003E-2</v>
      </c>
      <c r="S2062">
        <v>-3.0890200000000001</v>
      </c>
      <c r="T2062">
        <v>-9.1839080000000003E-2</v>
      </c>
      <c r="U2062">
        <v>-0.26443480000000003</v>
      </c>
      <c r="V2062">
        <v>3.1560699999999997E-2</v>
      </c>
      <c r="W2062">
        <v>0.20168510000000001</v>
      </c>
      <c r="X2062">
        <v>0.97894179999999997</v>
      </c>
      <c r="Y2062">
        <v>-0.1012388</v>
      </c>
      <c r="Z2062">
        <v>-2.4330300000000001E-3</v>
      </c>
      <c r="AA2062">
        <v>0.99485919999999906</v>
      </c>
      <c r="AB2062">
        <v>36</v>
      </c>
      <c r="AC2062">
        <v>-37.527699999999903</v>
      </c>
      <c r="AD2062">
        <v>-1.12139799768209</v>
      </c>
      <c r="AE2062">
        <v>-3.2318000000000202</v>
      </c>
      <c r="AF2062">
        <v>-3.8315051384231502</v>
      </c>
      <c r="AG2062">
        <v>-1.12139799768209</v>
      </c>
      <c r="AH2062">
        <v>37.4376900980009</v>
      </c>
      <c r="AI2062">
        <v>91.706798525022606</v>
      </c>
      <c r="AJ2062">
        <v>95.843506652439203</v>
      </c>
      <c r="AK2062">
        <v>37.649948273124103</v>
      </c>
      <c r="AL2062">
        <v>78.364483614940397</v>
      </c>
      <c r="AM2062">
        <v>88.153446109242495</v>
      </c>
      <c r="AN2062">
        <v>1.0000000025668601</v>
      </c>
    </row>
    <row r="2063" spans="1:40" x14ac:dyDescent="0.25">
      <c r="A2063" t="str">
        <f>"20190303162819807"</f>
        <v>20190303162819807</v>
      </c>
      <c r="B2063" t="str">
        <f>"1551601699793167"</f>
        <v>1551601699793167</v>
      </c>
      <c r="C2063" t="s">
        <v>40</v>
      </c>
      <c r="D2063">
        <v>4.889513</v>
      </c>
      <c r="E2063">
        <v>0.44990960000000002</v>
      </c>
      <c r="F2063" t="s">
        <v>48</v>
      </c>
      <c r="G2063">
        <v>-392.15690000000001</v>
      </c>
      <c r="H2063" s="1">
        <v>-3.8902319999999999E-7</v>
      </c>
      <c r="I2063">
        <v>281.39519999999999</v>
      </c>
      <c r="J2063">
        <v>-355.58879999999999</v>
      </c>
      <c r="K2063">
        <v>1.1213979999999999</v>
      </c>
      <c r="L2063">
        <v>284.5659</v>
      </c>
      <c r="M2063">
        <v>-0.99978699999999998</v>
      </c>
      <c r="N2063">
        <v>-1.308839E-2</v>
      </c>
      <c r="O2063">
        <v>1.5963359999999999E-2</v>
      </c>
      <c r="P2063">
        <v>-0.98089850000000001</v>
      </c>
      <c r="Q2063">
        <v>0.18862000000000001</v>
      </c>
      <c r="R2063">
        <v>4.755007E-2</v>
      </c>
      <c r="S2063">
        <v>-3.0895389999999998</v>
      </c>
      <c r="T2063">
        <v>-9.4166399999999997E-2</v>
      </c>
      <c r="U2063">
        <v>-0.26596069999999999</v>
      </c>
      <c r="V2063">
        <v>3.1802509999999999E-2</v>
      </c>
      <c r="W2063">
        <v>0.2014638</v>
      </c>
      <c r="X2063">
        <v>0.9789795</v>
      </c>
      <c r="Y2063">
        <v>-0.1015925</v>
      </c>
      <c r="Z2063">
        <v>-2.488433E-3</v>
      </c>
      <c r="AA2063">
        <v>0.99482300000000001</v>
      </c>
      <c r="AB2063">
        <v>36</v>
      </c>
      <c r="AC2063">
        <v>-36.568100000000001</v>
      </c>
      <c r="AD2063">
        <v>-1.1213983890232</v>
      </c>
      <c r="AE2063">
        <v>-3.1707000000000098</v>
      </c>
      <c r="AF2063">
        <v>-3.75059485037545</v>
      </c>
      <c r="AG2063">
        <v>-1.1213983890232</v>
      </c>
      <c r="AH2063">
        <v>36.478771396523598</v>
      </c>
      <c r="AI2063">
        <v>91.751554287889903</v>
      </c>
      <c r="AJ2063">
        <v>95.870285520229501</v>
      </c>
      <c r="AK2063">
        <v>36.688216891508802</v>
      </c>
      <c r="AL2063">
        <v>78.377428416793705</v>
      </c>
      <c r="AM2063">
        <v>88.139379797560693</v>
      </c>
      <c r="AN2063">
        <v>0.99999996188649398</v>
      </c>
    </row>
    <row r="2064" spans="1:40" x14ac:dyDescent="0.25">
      <c r="A2064" t="str">
        <f>"20190303162819826"</f>
        <v>20190303162819826</v>
      </c>
      <c r="B2064" t="str">
        <f>"1551601699813662"</f>
        <v>1551601699813662</v>
      </c>
      <c r="C2064" t="s">
        <v>40</v>
      </c>
      <c r="D2064">
        <v>4.8237860000000001</v>
      </c>
      <c r="E2064">
        <v>0.44984190000000002</v>
      </c>
      <c r="F2064" t="s">
        <v>48</v>
      </c>
      <c r="G2064">
        <v>-392.91930000000002</v>
      </c>
      <c r="H2064" s="1">
        <v>1.670088E-8</v>
      </c>
      <c r="I2064">
        <v>281.34969999999998</v>
      </c>
      <c r="J2064">
        <v>-355.90480000000002</v>
      </c>
      <c r="K2064">
        <v>1.1213949999999999</v>
      </c>
      <c r="L2064">
        <v>284.57080000000002</v>
      </c>
      <c r="M2064">
        <v>-0.99978959999999995</v>
      </c>
      <c r="N2064">
        <v>-1.308694E-2</v>
      </c>
      <c r="O2064">
        <v>1.5798510000000002E-2</v>
      </c>
      <c r="P2064">
        <v>-0.98096859999999997</v>
      </c>
      <c r="Q2064">
        <v>0.1881572</v>
      </c>
      <c r="R2064">
        <v>4.7933629999999998E-2</v>
      </c>
      <c r="S2064">
        <v>-3.089172</v>
      </c>
      <c r="T2064">
        <v>-9.2797879999999999E-2</v>
      </c>
      <c r="U2064">
        <v>-0.26614379999999999</v>
      </c>
      <c r="V2064">
        <v>3.2346970000000003E-2</v>
      </c>
      <c r="W2064">
        <v>0.2010004</v>
      </c>
      <c r="X2064">
        <v>0.97905699999999996</v>
      </c>
      <c r="Y2064">
        <v>-0.10149900000000001</v>
      </c>
      <c r="Z2064">
        <v>-2.4543059999999998E-3</v>
      </c>
      <c r="AA2064">
        <v>0.99483259999999996</v>
      </c>
      <c r="AB2064">
        <v>36</v>
      </c>
      <c r="AC2064">
        <v>-37.014499999999998</v>
      </c>
      <c r="AD2064">
        <v>-1.1213949832991199</v>
      </c>
      <c r="AE2064">
        <v>-3.2211000000000301</v>
      </c>
      <c r="AF2064">
        <v>-3.8020584204988399</v>
      </c>
      <c r="AG2064">
        <v>-1.1213949832991199</v>
      </c>
      <c r="AH2064">
        <v>36.925349372638998</v>
      </c>
      <c r="AI2064">
        <v>91.730352107449505</v>
      </c>
      <c r="AJ2064">
        <v>95.878804420825304</v>
      </c>
      <c r="AK2064">
        <v>37.137509356887499</v>
      </c>
      <c r="AL2064">
        <v>78.4045347758411</v>
      </c>
      <c r="AM2064">
        <v>88.107698580381495</v>
      </c>
      <c r="AN2064">
        <v>1.00000004825866</v>
      </c>
    </row>
    <row r="2065" spans="1:40" x14ac:dyDescent="0.25">
      <c r="A2065" t="str">
        <f>"20190303162819847"</f>
        <v>20190303162819847</v>
      </c>
      <c r="B2065" t="str">
        <f>"1551601699833182"</f>
        <v>1551601699833182</v>
      </c>
      <c r="C2065" t="s">
        <v>40</v>
      </c>
      <c r="D2065">
        <v>4.7635829999999997</v>
      </c>
      <c r="E2065">
        <v>0.44984760000000001</v>
      </c>
      <c r="F2065" t="s">
        <v>48</v>
      </c>
      <c r="G2065">
        <v>-394.10140000000001</v>
      </c>
      <c r="H2065" s="1">
        <v>6.4577899999999998E-7</v>
      </c>
      <c r="I2065">
        <v>281.2835</v>
      </c>
      <c r="J2065">
        <v>-356.25439999999998</v>
      </c>
      <c r="K2065">
        <v>1.121394</v>
      </c>
      <c r="L2065">
        <v>284.5761</v>
      </c>
      <c r="M2065">
        <v>-0.99979249999999997</v>
      </c>
      <c r="N2065">
        <v>-1.3085329999999999E-2</v>
      </c>
      <c r="O2065">
        <v>1.561656E-2</v>
      </c>
      <c r="P2065">
        <v>-0.98103799999999997</v>
      </c>
      <c r="Q2065">
        <v>0.18775990000000001</v>
      </c>
      <c r="R2065">
        <v>4.8072030000000002E-2</v>
      </c>
      <c r="S2065">
        <v>-3.088562</v>
      </c>
      <c r="T2065">
        <v>-9.067559E-2</v>
      </c>
      <c r="U2065">
        <v>-0.26580809999999999</v>
      </c>
      <c r="V2065">
        <v>3.2663039999999997E-2</v>
      </c>
      <c r="W2065">
        <v>0.2006029</v>
      </c>
      <c r="X2065">
        <v>0.979128</v>
      </c>
      <c r="Y2065">
        <v>-0.1012303</v>
      </c>
      <c r="Z2065">
        <v>-2.4003679999999999E-3</v>
      </c>
      <c r="AA2065">
        <v>0.99486010000000002</v>
      </c>
      <c r="AB2065">
        <v>36</v>
      </c>
      <c r="AC2065">
        <v>-37.847000000000001</v>
      </c>
      <c r="AD2065">
        <v>-1.1213933542209999</v>
      </c>
      <c r="AE2065">
        <v>-3.29259999999999</v>
      </c>
      <c r="AF2065">
        <v>-3.8799082751807301</v>
      </c>
      <c r="AG2065">
        <v>-1.1213933542209999</v>
      </c>
      <c r="AH2065">
        <v>37.7580610298279</v>
      </c>
      <c r="AI2065">
        <v>91.692247091619294</v>
      </c>
      <c r="AJ2065">
        <v>95.866955329842995</v>
      </c>
      <c r="AK2065">
        <v>37.973443141370801</v>
      </c>
      <c r="AL2065">
        <v>78.427783033655501</v>
      </c>
      <c r="AM2065">
        <v>88.089360544257104</v>
      </c>
      <c r="AN2065">
        <v>1.00000001902722</v>
      </c>
    </row>
    <row r="2066" spans="1:40" x14ac:dyDescent="0.25">
      <c r="A2066" t="str">
        <f>"20190303162819870"</f>
        <v>20190303162819870</v>
      </c>
      <c r="B2066" t="str">
        <f>"1551601699863437"</f>
        <v>1551601699863437</v>
      </c>
      <c r="C2066" t="s">
        <v>40</v>
      </c>
      <c r="D2066">
        <v>4.7990430000000002</v>
      </c>
      <c r="E2066">
        <v>0.44992589999999999</v>
      </c>
      <c r="F2066" t="s">
        <v>48</v>
      </c>
      <c r="G2066">
        <v>-394.72899999999998</v>
      </c>
      <c r="H2066" s="1">
        <v>9.7975450000000004E-7</v>
      </c>
      <c r="I2066">
        <v>281.27330000000001</v>
      </c>
      <c r="J2066">
        <v>-356.61239999999998</v>
      </c>
      <c r="K2066">
        <v>1.1213959999999901</v>
      </c>
      <c r="L2066">
        <v>284.58150000000001</v>
      </c>
      <c r="M2066">
        <v>-0.9997954</v>
      </c>
      <c r="N2066">
        <v>-1.308371E-2</v>
      </c>
      <c r="O2066">
        <v>1.54299E-2</v>
      </c>
      <c r="P2066">
        <v>-0.98107869999999997</v>
      </c>
      <c r="Q2066">
        <v>0.1876187</v>
      </c>
      <c r="R2066">
        <v>4.7790190000000003E-2</v>
      </c>
      <c r="S2066">
        <v>-3.0881959999999999</v>
      </c>
      <c r="T2066">
        <v>-9.0009450000000005E-2</v>
      </c>
      <c r="U2066">
        <v>-0.26510620000000001</v>
      </c>
      <c r="V2066">
        <v>3.256415E-2</v>
      </c>
      <c r="W2066">
        <v>0.20046040000000001</v>
      </c>
      <c r="X2066">
        <v>0.97916049999999999</v>
      </c>
      <c r="Y2066">
        <v>-0.1008312</v>
      </c>
      <c r="Z2066">
        <v>-2.374882E-3</v>
      </c>
      <c r="AA2066">
        <v>0.99490069999999997</v>
      </c>
      <c r="AB2066">
        <v>36</v>
      </c>
      <c r="AC2066">
        <v>-38.116599999999998</v>
      </c>
      <c r="AD2066">
        <v>-1.1213950202455001</v>
      </c>
      <c r="AE2066">
        <v>-3.3081999999999998</v>
      </c>
      <c r="AF2066">
        <v>-3.8926476727732799</v>
      </c>
      <c r="AG2066">
        <v>-1.1213950202455001</v>
      </c>
      <c r="AH2066">
        <v>38.028342857980299</v>
      </c>
      <c r="AI2066">
        <v>91.680296444061398</v>
      </c>
      <c r="AJ2066">
        <v>95.844540016567194</v>
      </c>
      <c r="AK2066">
        <v>38.2434973978568</v>
      </c>
      <c r="AL2066">
        <v>78.436117216763904</v>
      </c>
      <c r="AM2066">
        <v>88.095204070930393</v>
      </c>
      <c r="AN2066">
        <v>1.0000000402968099</v>
      </c>
    </row>
    <row r="2067" spans="1:40" x14ac:dyDescent="0.25">
      <c r="A2067" t="str">
        <f>"20190303162819882"</f>
        <v>20190303162819882</v>
      </c>
      <c r="B2067" t="str">
        <f>"1551601699873198"</f>
        <v>1551601699873198</v>
      </c>
      <c r="C2067" t="s">
        <v>40</v>
      </c>
      <c r="D2067">
        <v>4.8862370000000004</v>
      </c>
      <c r="E2067">
        <v>0.44997910000000002</v>
      </c>
      <c r="F2067" t="s">
        <v>48</v>
      </c>
      <c r="G2067">
        <v>-393.49279999999999</v>
      </c>
      <c r="H2067" s="1">
        <v>3.2189890000000002E-7</v>
      </c>
      <c r="I2067">
        <v>281.41460000000001</v>
      </c>
      <c r="J2067">
        <v>-356.82170000000002</v>
      </c>
      <c r="K2067">
        <v>1.1213919999999999</v>
      </c>
      <c r="L2067">
        <v>284.58460000000002</v>
      </c>
      <c r="M2067">
        <v>-0.99979720000000005</v>
      </c>
      <c r="N2067">
        <v>-1.3082770000000001E-2</v>
      </c>
      <c r="O2067">
        <v>1.5320479999999999E-2</v>
      </c>
      <c r="P2067">
        <v>-0.98112140000000003</v>
      </c>
      <c r="Q2067">
        <v>0.18743209999999999</v>
      </c>
      <c r="R2067">
        <v>4.7647349999999998E-2</v>
      </c>
      <c r="S2067">
        <v>-3.0887760000000002</v>
      </c>
      <c r="T2067">
        <v>-9.3918089999999996E-2</v>
      </c>
      <c r="U2067">
        <v>-0.26522829999999997</v>
      </c>
      <c r="V2067">
        <v>3.25282E-2</v>
      </c>
      <c r="W2067">
        <v>0.20027300000000001</v>
      </c>
      <c r="X2067">
        <v>0.97919999999999996</v>
      </c>
      <c r="Y2067">
        <v>-0.1007406</v>
      </c>
      <c r="Z2067">
        <v>-2.4537640000000002E-3</v>
      </c>
      <c r="AA2067">
        <v>0.99490970000000001</v>
      </c>
      <c r="AB2067">
        <v>36</v>
      </c>
      <c r="AC2067">
        <v>-36.671099999999903</v>
      </c>
      <c r="AD2067">
        <v>-1.1213916781011</v>
      </c>
      <c r="AE2067">
        <v>-3.1700000000000101</v>
      </c>
      <c r="AF2067">
        <v>-3.7280344416222899</v>
      </c>
      <c r="AG2067">
        <v>-1.1213916781011</v>
      </c>
      <c r="AH2067">
        <v>36.584268382950199</v>
      </c>
      <c r="AI2067">
        <v>91.746657529027203</v>
      </c>
      <c r="AJ2067">
        <v>95.818507995995802</v>
      </c>
      <c r="AK2067">
        <v>36.7908202301792</v>
      </c>
      <c r="AL2067">
        <v>78.447076211148897</v>
      </c>
      <c r="AM2067">
        <v>88.097382067552104</v>
      </c>
      <c r="AN2067">
        <v>0.99999999916211901</v>
      </c>
    </row>
    <row r="2068" spans="1:40" x14ac:dyDescent="0.25">
      <c r="A2068" t="str">
        <f>"20190303162819902"</f>
        <v>20190303162819902</v>
      </c>
      <c r="B2068" t="str">
        <f>"1551601699893694"</f>
        <v>1551601699893694</v>
      </c>
      <c r="C2068" t="s">
        <v>40</v>
      </c>
      <c r="D2068">
        <v>4.7496850000000004</v>
      </c>
      <c r="E2068">
        <v>0.44994410000000001</v>
      </c>
      <c r="F2068" t="s">
        <v>48</v>
      </c>
      <c r="G2068">
        <v>-393.94499999999999</v>
      </c>
      <c r="H2068" s="1">
        <v>5.625448E-7</v>
      </c>
      <c r="I2068">
        <v>281.39359999999999</v>
      </c>
      <c r="J2068">
        <v>-357.13679999999999</v>
      </c>
      <c r="K2068">
        <v>1.1213900000000001</v>
      </c>
      <c r="L2068">
        <v>284.58920000000001</v>
      </c>
      <c r="M2068">
        <v>-0.99979960000000001</v>
      </c>
      <c r="N2068">
        <v>-1.308134E-2</v>
      </c>
      <c r="O2068">
        <v>1.5156050000000001E-2</v>
      </c>
      <c r="P2068">
        <v>-0.98116490000000001</v>
      </c>
      <c r="Q2068">
        <v>0.1871034</v>
      </c>
      <c r="R2068">
        <v>4.8037249999999997E-2</v>
      </c>
      <c r="S2068">
        <v>-3.0884399999999999</v>
      </c>
      <c r="T2068">
        <v>-9.3293189999999998E-2</v>
      </c>
      <c r="U2068">
        <v>-0.2654724</v>
      </c>
      <c r="V2068">
        <v>3.3078999999999997E-2</v>
      </c>
      <c r="W2068">
        <v>0.1999437</v>
      </c>
      <c r="X2068">
        <v>0.97924880000000003</v>
      </c>
      <c r="Y2068">
        <v>-0.1006652</v>
      </c>
      <c r="Z2068">
        <v>-2.4362210000000001E-3</v>
      </c>
      <c r="AA2068">
        <v>0.99491739999999995</v>
      </c>
      <c r="AB2068">
        <v>36</v>
      </c>
      <c r="AC2068">
        <v>-36.808199999999999</v>
      </c>
      <c r="AD2068">
        <v>-1.12138943745519</v>
      </c>
      <c r="AE2068">
        <v>-3.19560000000001</v>
      </c>
      <c r="AF2068">
        <v>-3.7496932439054098</v>
      </c>
      <c r="AG2068">
        <v>-1.12138943745519</v>
      </c>
      <c r="AH2068">
        <v>36.721705974913299</v>
      </c>
      <c r="AI2068">
        <v>91.740084309250307</v>
      </c>
      <c r="AJ2068">
        <v>95.830326616434505</v>
      </c>
      <c r="AK2068">
        <v>36.929681875177401</v>
      </c>
      <c r="AL2068">
        <v>78.466332724873993</v>
      </c>
      <c r="AM2068">
        <v>88.065285667916299</v>
      </c>
      <c r="AN2068">
        <v>0.99999995785606399</v>
      </c>
    </row>
    <row r="2069" spans="1:40" x14ac:dyDescent="0.25">
      <c r="A2069" t="str">
        <f>"20190303162819916"</f>
        <v>20190303162819916</v>
      </c>
      <c r="B2069" t="str">
        <f>"1551601699903454"</f>
        <v>1551601699903454</v>
      </c>
      <c r="C2069" t="s">
        <v>40</v>
      </c>
      <c r="D2069">
        <v>4.7638829999999999</v>
      </c>
      <c r="E2069">
        <v>0.44996229999999998</v>
      </c>
      <c r="F2069" t="s">
        <v>48</v>
      </c>
      <c r="G2069">
        <v>-394.8107</v>
      </c>
      <c r="H2069" s="1">
        <v>1.0232410000000001E-6</v>
      </c>
      <c r="I2069">
        <v>281.35320000000002</v>
      </c>
      <c r="J2069">
        <v>-357.3519</v>
      </c>
      <c r="K2069">
        <v>1.121383</v>
      </c>
      <c r="L2069">
        <v>284.59230000000002</v>
      </c>
      <c r="M2069">
        <v>-0.9998013</v>
      </c>
      <c r="N2069">
        <v>-1.3080359999999999E-2</v>
      </c>
      <c r="O2069">
        <v>1.504365E-2</v>
      </c>
      <c r="P2069">
        <v>-0.98123510000000003</v>
      </c>
      <c r="Q2069">
        <v>0.1867009</v>
      </c>
      <c r="R2069">
        <v>4.8173340000000002E-2</v>
      </c>
      <c r="S2069">
        <v>-3.0881349999999999</v>
      </c>
      <c r="T2069">
        <v>-9.1920379999999996E-2</v>
      </c>
      <c r="U2069">
        <v>-0.26525880000000002</v>
      </c>
      <c r="V2069">
        <v>3.3324850000000003E-2</v>
      </c>
      <c r="W2069">
        <v>0.19954140000000001</v>
      </c>
      <c r="X2069">
        <v>0.97932260000000004</v>
      </c>
      <c r="Y2069">
        <v>-0.10049520000000001</v>
      </c>
      <c r="Z2069">
        <v>-2.401827E-3</v>
      </c>
      <c r="AA2069">
        <v>0.9949346</v>
      </c>
      <c r="AB2069">
        <v>36</v>
      </c>
      <c r="AC2069">
        <v>-37.458799999999997</v>
      </c>
      <c r="AD2069">
        <v>-1.1213819767589901</v>
      </c>
      <c r="AE2069">
        <v>-3.2391000000000001</v>
      </c>
      <c r="AF2069">
        <v>-3.7989193906317502</v>
      </c>
      <c r="AG2069">
        <v>-1.1213819767589901</v>
      </c>
      <c r="AH2069">
        <v>37.372583994623803</v>
      </c>
      <c r="AI2069">
        <v>91.709865380189299</v>
      </c>
      <c r="AJ2069">
        <v>95.804174057047007</v>
      </c>
      <c r="AK2069">
        <v>37.581901502046598</v>
      </c>
      <c r="AL2069">
        <v>78.489857771763397</v>
      </c>
      <c r="AM2069">
        <v>88.051064284985898</v>
      </c>
      <c r="AN2069">
        <v>1.00000003540612</v>
      </c>
    </row>
    <row r="2070" spans="1:40" x14ac:dyDescent="0.25">
      <c r="A2070" t="str">
        <f>"20190303162819936"</f>
        <v>20190303162819936</v>
      </c>
      <c r="B2070" t="str">
        <f>"1551601699923951"</f>
        <v>1551601699923951</v>
      </c>
      <c r="C2070" t="s">
        <v>40</v>
      </c>
      <c r="D2070">
        <v>4.7201769999999996</v>
      </c>
      <c r="E2070">
        <v>0.44992860000000001</v>
      </c>
      <c r="F2070" t="s">
        <v>48</v>
      </c>
      <c r="G2070">
        <v>-394.87150000000003</v>
      </c>
      <c r="H2070" s="1">
        <v>1.0555910000000001E-6</v>
      </c>
      <c r="I2070">
        <v>281.37200000000001</v>
      </c>
      <c r="J2070">
        <v>-357.67610000000002</v>
      </c>
      <c r="K2070">
        <v>1.121386</v>
      </c>
      <c r="L2070">
        <v>284.59710000000001</v>
      </c>
      <c r="M2070">
        <v>-0.99980380000000002</v>
      </c>
      <c r="N2070">
        <v>-1.3078879999999999E-2</v>
      </c>
      <c r="O2070">
        <v>1.487487E-2</v>
      </c>
      <c r="P2070">
        <v>-0.98134549999999998</v>
      </c>
      <c r="Q2070">
        <v>0.1859903</v>
      </c>
      <c r="R2070">
        <v>4.8669400000000002E-2</v>
      </c>
      <c r="S2070">
        <v>-3.087952</v>
      </c>
      <c r="T2070">
        <v>-9.2292429999999995E-2</v>
      </c>
      <c r="U2070">
        <v>-0.26504519999999998</v>
      </c>
      <c r="V2070">
        <v>3.3985210000000002E-2</v>
      </c>
      <c r="W2070">
        <v>0.1988316</v>
      </c>
      <c r="X2070">
        <v>0.97944419999999999</v>
      </c>
      <c r="Y2070">
        <v>-0.1002637</v>
      </c>
      <c r="Z2070">
        <v>-2.4019369999999998E-3</v>
      </c>
      <c r="AA2070">
        <v>0.99495800000000001</v>
      </c>
      <c r="AB2070">
        <v>36</v>
      </c>
      <c r="AC2070">
        <v>-37.195399999999999</v>
      </c>
      <c r="AD2070">
        <v>-1.1213849444090001</v>
      </c>
      <c r="AE2070">
        <v>-3.2250999999999901</v>
      </c>
      <c r="AF2070">
        <v>-3.7746618957189702</v>
      </c>
      <c r="AG2070">
        <v>-1.1213849444090001</v>
      </c>
      <c r="AH2070">
        <v>37.109828477560797</v>
      </c>
      <c r="AI2070">
        <v>91.721957902405606</v>
      </c>
      <c r="AJ2070">
        <v>95.807920437716106</v>
      </c>
      <c r="AK2070">
        <v>37.318158398486503</v>
      </c>
      <c r="AL2070">
        <v>78.531357154972696</v>
      </c>
      <c r="AM2070">
        <v>88.012721711223094</v>
      </c>
      <c r="AN2070">
        <v>0.99999997028547105</v>
      </c>
    </row>
    <row r="2071" spans="1:40" x14ac:dyDescent="0.25">
      <c r="A2071" t="str">
        <f>"20190303162819949"</f>
        <v>20190303162819949</v>
      </c>
      <c r="B2071" t="str">
        <f>"1551601699943470"</f>
        <v>1551601699943470</v>
      </c>
      <c r="C2071" t="s">
        <v>40</v>
      </c>
      <c r="D2071">
        <v>4.822025</v>
      </c>
      <c r="E2071">
        <v>0.44986530000000002</v>
      </c>
      <c r="F2071" t="s">
        <v>48</v>
      </c>
      <c r="G2071">
        <v>-394.6155</v>
      </c>
      <c r="H2071" s="1">
        <v>9.1935350000000003E-7</v>
      </c>
      <c r="I2071">
        <v>281.44389999999999</v>
      </c>
      <c r="J2071">
        <v>-357.87209999999999</v>
      </c>
      <c r="K2071">
        <v>1.1213850000000001</v>
      </c>
      <c r="L2071">
        <v>284.59989999999999</v>
      </c>
      <c r="M2071">
        <v>-0.99980550000000001</v>
      </c>
      <c r="N2071">
        <v>-1.3077989999999999E-2</v>
      </c>
      <c r="O2071">
        <v>1.477259E-2</v>
      </c>
      <c r="P2071">
        <v>-0.9813866</v>
      </c>
      <c r="Q2071">
        <v>0.185724</v>
      </c>
      <c r="R2071">
        <v>4.8860069999999999E-2</v>
      </c>
      <c r="S2071">
        <v>-3.0878909999999999</v>
      </c>
      <c r="T2071">
        <v>-9.3740340000000005E-2</v>
      </c>
      <c r="U2071">
        <v>-0.26358029999999999</v>
      </c>
      <c r="V2071">
        <v>3.4275729999999997E-2</v>
      </c>
      <c r="W2071">
        <v>0.19856480000000001</v>
      </c>
      <c r="X2071">
        <v>0.97948829999999998</v>
      </c>
      <c r="Y2071">
        <v>-9.9693539999999997E-2</v>
      </c>
      <c r="Z2071">
        <v>-2.4182420000000001E-3</v>
      </c>
      <c r="AA2071">
        <v>0.99501530000000005</v>
      </c>
      <c r="AB2071">
        <v>36</v>
      </c>
      <c r="AC2071">
        <v>-36.743400000000001</v>
      </c>
      <c r="AD2071">
        <v>-1.1213840806465001</v>
      </c>
      <c r="AE2071">
        <v>-3.1560000000000001</v>
      </c>
      <c r="AF2071">
        <v>-3.6950805799065001</v>
      </c>
      <c r="AG2071">
        <v>-1.1213840806465001</v>
      </c>
      <c r="AH2071">
        <v>36.658868481600997</v>
      </c>
      <c r="AI2071">
        <v>91.743286852500404</v>
      </c>
      <c r="AJ2071">
        <v>95.755765986731603</v>
      </c>
      <c r="AK2071">
        <v>36.8616841869664</v>
      </c>
      <c r="AL2071">
        <v>78.546955802893393</v>
      </c>
      <c r="AM2071">
        <v>87.995837574178594</v>
      </c>
      <c r="AN2071">
        <v>1.00000006765147</v>
      </c>
    </row>
    <row r="2072" spans="1:40" x14ac:dyDescent="0.25">
      <c r="A2072" t="str">
        <f>"20190303162819961"</f>
        <v>20190303162819961</v>
      </c>
      <c r="B2072" t="str">
        <f>"1551601699953231"</f>
        <v>1551601699953231</v>
      </c>
      <c r="C2072" t="s">
        <v>40</v>
      </c>
      <c r="D2072">
        <v>4.7800209999999996</v>
      </c>
      <c r="E2072">
        <v>0.44981019999999999</v>
      </c>
      <c r="F2072" t="s">
        <v>48</v>
      </c>
      <c r="G2072">
        <v>-394.96269999999998</v>
      </c>
      <c r="H2072" s="1">
        <v>1.1041059999999999E-6</v>
      </c>
      <c r="I2072">
        <v>281.43259999999998</v>
      </c>
      <c r="J2072">
        <v>-358.07429999999999</v>
      </c>
      <c r="K2072">
        <v>1.121383</v>
      </c>
      <c r="L2072">
        <v>284.6028</v>
      </c>
      <c r="M2072">
        <v>-0.99980709999999995</v>
      </c>
      <c r="N2072">
        <v>-1.307707E-2</v>
      </c>
      <c r="O2072">
        <v>1.4667349999999999E-2</v>
      </c>
      <c r="P2072">
        <v>-0.98144330000000002</v>
      </c>
      <c r="Q2072">
        <v>0.18533289999999999</v>
      </c>
      <c r="R2072">
        <v>4.9204079999999997E-2</v>
      </c>
      <c r="S2072">
        <v>-3.0876769999999998</v>
      </c>
      <c r="T2072">
        <v>-9.3351719999999999E-2</v>
      </c>
      <c r="U2072">
        <v>-0.26367190000000001</v>
      </c>
      <c r="V2072">
        <v>3.4722349999999999E-2</v>
      </c>
      <c r="W2072">
        <v>0.19817360000000001</v>
      </c>
      <c r="X2072">
        <v>0.97955170000000003</v>
      </c>
      <c r="Y2072">
        <v>-9.9624450000000003E-2</v>
      </c>
      <c r="Z2072">
        <v>-2.4069310000000002E-3</v>
      </c>
      <c r="AA2072">
        <v>0.99502219999999997</v>
      </c>
      <c r="AB2072">
        <v>36</v>
      </c>
      <c r="AC2072">
        <v>-36.888399999999898</v>
      </c>
      <c r="AD2072">
        <v>-1.1213818958939901</v>
      </c>
      <c r="AE2072">
        <v>-3.1702000000000199</v>
      </c>
      <c r="AF2072">
        <v>-3.7075590567316201</v>
      </c>
      <c r="AG2072">
        <v>-1.1213818958939901</v>
      </c>
      <c r="AH2072">
        <v>36.804166750088903</v>
      </c>
      <c r="AI2072">
        <v>91.736415606475802</v>
      </c>
      <c r="AJ2072">
        <v>95.752426274765497</v>
      </c>
      <c r="AK2072">
        <v>37.007434140776901</v>
      </c>
      <c r="AL2072">
        <v>78.569823297426097</v>
      </c>
      <c r="AM2072">
        <v>87.969875923886505</v>
      </c>
      <c r="AN2072">
        <v>0.99999997514968597</v>
      </c>
    </row>
    <row r="2073" spans="1:40" x14ac:dyDescent="0.25">
      <c r="A2073" t="str">
        <f>"20190303162819972"</f>
        <v>20190303162819972</v>
      </c>
      <c r="B2073" t="str">
        <f>"1551601699963966"</f>
        <v>1551601699963966</v>
      </c>
      <c r="C2073" t="s">
        <v>40</v>
      </c>
      <c r="D2073">
        <v>4.7646319999999998</v>
      </c>
      <c r="E2073">
        <v>0.44981019999999999</v>
      </c>
      <c r="F2073" t="s">
        <v>48</v>
      </c>
      <c r="G2073">
        <v>-394.43669999999997</v>
      </c>
      <c r="H2073" s="1">
        <v>8.2422849999999897E-7</v>
      </c>
      <c r="I2073">
        <v>281.50540000000001</v>
      </c>
      <c r="J2073">
        <v>-358.267</v>
      </c>
      <c r="K2073">
        <v>1.1213820000000001</v>
      </c>
      <c r="L2073">
        <v>284.60550000000001</v>
      </c>
      <c r="M2073">
        <v>-0.99980840000000004</v>
      </c>
      <c r="N2073">
        <v>-1.307621E-2</v>
      </c>
      <c r="O2073">
        <v>1.456698E-2</v>
      </c>
      <c r="P2073">
        <v>-0.98150400000000004</v>
      </c>
      <c r="Q2073">
        <v>0.18496029999999999</v>
      </c>
      <c r="R2073">
        <v>4.9390539999999997E-2</v>
      </c>
      <c r="S2073">
        <v>-3.0879210000000001</v>
      </c>
      <c r="T2073">
        <v>-9.5228430000000003E-2</v>
      </c>
      <c r="U2073">
        <v>-0.26303100000000001</v>
      </c>
      <c r="V2073">
        <v>3.5006710000000003E-2</v>
      </c>
      <c r="W2073">
        <v>0.19780110000000001</v>
      </c>
      <c r="X2073">
        <v>0.97961690000000001</v>
      </c>
      <c r="Y2073">
        <v>-9.9310759999999998E-2</v>
      </c>
      <c r="Z2073">
        <v>-2.4371940000000002E-3</v>
      </c>
      <c r="AA2073">
        <v>0.99505350000000004</v>
      </c>
      <c r="AB2073">
        <v>36</v>
      </c>
      <c r="AC2073">
        <v>-36.169699999999899</v>
      </c>
      <c r="AD2073">
        <v>-1.1213811757715</v>
      </c>
      <c r="AE2073">
        <v>-3.1000999999999901</v>
      </c>
      <c r="AF2073">
        <v>-3.62324206636975</v>
      </c>
      <c r="AG2073">
        <v>-1.1213811757715</v>
      </c>
      <c r="AH2073">
        <v>36.086265235775699</v>
      </c>
      <c r="AI2073">
        <v>91.770995588871699</v>
      </c>
      <c r="AJ2073">
        <v>95.7335682069114</v>
      </c>
      <c r="AK2073">
        <v>36.285037101808797</v>
      </c>
      <c r="AL2073">
        <v>78.591597373500804</v>
      </c>
      <c r="AM2073">
        <v>87.953400336820593</v>
      </c>
      <c r="AN2073">
        <v>1.0000000078359199</v>
      </c>
    </row>
    <row r="2074" spans="1:40" x14ac:dyDescent="0.25">
      <c r="A2074" t="str">
        <f>"20190303162819987"</f>
        <v>20190303162819987</v>
      </c>
      <c r="B2074" t="str">
        <f>"1551601699983487"</f>
        <v>1551601699983487</v>
      </c>
      <c r="C2074" t="s">
        <v>40</v>
      </c>
      <c r="D2074">
        <v>4.7400799999999998</v>
      </c>
      <c r="E2074">
        <v>0.47041290000000002</v>
      </c>
      <c r="F2074" t="s">
        <v>48</v>
      </c>
      <c r="G2074">
        <v>-394.2636</v>
      </c>
      <c r="H2074" s="1">
        <v>7.3211229999999999E-7</v>
      </c>
      <c r="I2074">
        <v>281.54180000000002</v>
      </c>
      <c r="J2074">
        <v>-358.48689999999999</v>
      </c>
      <c r="K2074">
        <v>1.121386</v>
      </c>
      <c r="L2074">
        <v>284.60860000000002</v>
      </c>
      <c r="M2074">
        <v>-0.99981019999999998</v>
      </c>
      <c r="N2074">
        <v>-1.3074519999999999E-2</v>
      </c>
      <c r="O2074">
        <v>1.4452019999999999E-2</v>
      </c>
      <c r="P2074">
        <v>-0.98156180000000004</v>
      </c>
      <c r="Q2074">
        <v>0.1845725</v>
      </c>
      <c r="R2074">
        <v>4.9696850000000001E-2</v>
      </c>
      <c r="S2074">
        <v>-3.0878909999999999</v>
      </c>
      <c r="T2074">
        <v>-9.6195219999999998E-2</v>
      </c>
      <c r="U2074">
        <v>-0.26281739999999998</v>
      </c>
      <c r="V2074">
        <v>3.542526E-2</v>
      </c>
      <c r="W2074">
        <v>0.19741259999999999</v>
      </c>
      <c r="X2074">
        <v>0.9796802</v>
      </c>
      <c r="Y2074">
        <v>-9.9127729999999997E-2</v>
      </c>
      <c r="Z2074">
        <v>-2.4511009999999998E-3</v>
      </c>
      <c r="AA2074">
        <v>0.9950717</v>
      </c>
      <c r="AB2074">
        <v>36</v>
      </c>
      <c r="AC2074">
        <v>-35.776699999999998</v>
      </c>
      <c r="AD2074">
        <v>-1.1213852678876901</v>
      </c>
      <c r="AE2074">
        <v>-3.0668000000000002</v>
      </c>
      <c r="AF2074">
        <v>-3.5800778010217198</v>
      </c>
      <c r="AG2074">
        <v>-1.1213852678876901</v>
      </c>
      <c r="AH2074">
        <v>35.6938262548654</v>
      </c>
      <c r="AI2074">
        <v>91.790479617179997</v>
      </c>
      <c r="AJ2074">
        <v>95.727590564059</v>
      </c>
      <c r="AK2074">
        <v>35.890440157414098</v>
      </c>
      <c r="AL2074">
        <v>78.614304320794105</v>
      </c>
      <c r="AM2074">
        <v>87.929085502821295</v>
      </c>
      <c r="AN2074">
        <v>0.99999998897843301</v>
      </c>
    </row>
    <row r="2075" spans="1:40" x14ac:dyDescent="0.25">
      <c r="A2075" t="str">
        <f>"20190303162820003"</f>
        <v>20190303162820003</v>
      </c>
      <c r="B2075" t="str">
        <f>"1551601699993246"</f>
        <v>1551601699993246</v>
      </c>
      <c r="C2075" t="s">
        <v>40</v>
      </c>
      <c r="D2075">
        <v>4.7088229999999998</v>
      </c>
      <c r="E2075">
        <v>0.50466329999999904</v>
      </c>
      <c r="F2075" t="s">
        <v>44</v>
      </c>
      <c r="G2075">
        <v>-359.46859999999998</v>
      </c>
      <c r="H2075">
        <v>1.0127919999999999</v>
      </c>
      <c r="I2075">
        <v>284.57679999999999</v>
      </c>
      <c r="J2075">
        <v>-358.74669999999998</v>
      </c>
      <c r="K2075">
        <v>1.1213820000000001</v>
      </c>
      <c r="L2075">
        <v>284.61219999999997</v>
      </c>
      <c r="M2075">
        <v>-0.99981220000000004</v>
      </c>
      <c r="N2075">
        <v>-1.3070150000000001E-2</v>
      </c>
      <c r="O2075">
        <v>1.431616E-2</v>
      </c>
      <c r="P2075">
        <v>-0.98157419999999995</v>
      </c>
      <c r="Q2075">
        <v>0.1843062</v>
      </c>
      <c r="R2075">
        <v>5.0436599999999998E-2</v>
      </c>
      <c r="S2075">
        <v>-3.1265559999999999</v>
      </c>
      <c r="T2075">
        <v>-0.3459545</v>
      </c>
      <c r="U2075">
        <v>-0.10186770000000001</v>
      </c>
      <c r="V2075">
        <v>3.6298509999999999E-2</v>
      </c>
      <c r="W2075">
        <v>0.1971424</v>
      </c>
      <c r="X2075">
        <v>0.97970270000000004</v>
      </c>
      <c r="Y2075">
        <v>-4.6485560000000002E-2</v>
      </c>
      <c r="Z2075">
        <v>-4.2605759999999899E-3</v>
      </c>
      <c r="AA2075">
        <v>0.99890990000000002</v>
      </c>
      <c r="AB2075">
        <v>36</v>
      </c>
      <c r="AC2075">
        <v>-0.72190000000000498</v>
      </c>
      <c r="AD2075">
        <v>-0.10858999999999901</v>
      </c>
      <c r="AE2075">
        <v>-3.5399999999981398E-2</v>
      </c>
      <c r="AF2075">
        <v>-4.4722582077119898E-2</v>
      </c>
      <c r="AG2075">
        <v>-0.10858999999999901</v>
      </c>
      <c r="AH2075">
        <v>0.70539650374083496</v>
      </c>
      <c r="AI2075">
        <v>98.734249562595494</v>
      </c>
      <c r="AJ2075">
        <v>93.627732936640697</v>
      </c>
      <c r="AK2075">
        <v>0.71510567396535096</v>
      </c>
      <c r="AL2075">
        <v>78.630096617811901</v>
      </c>
      <c r="AM2075">
        <v>87.878131238706899</v>
      </c>
      <c r="AN2075">
        <v>1.0000000440466299</v>
      </c>
    </row>
    <row r="2076" spans="1:40" x14ac:dyDescent="0.25">
      <c r="A2076" t="str">
        <f>"20190303162820018"</f>
        <v>20190303162820018</v>
      </c>
      <c r="B2076" t="str">
        <f>"1551601700014719"</f>
        <v>1551601700014719</v>
      </c>
      <c r="C2076" t="s">
        <v>40</v>
      </c>
      <c r="D2076">
        <v>4.6855289999999998</v>
      </c>
      <c r="E2076">
        <v>0.50949169999999999</v>
      </c>
      <c r="F2076" t="s">
        <v>44</v>
      </c>
      <c r="G2076">
        <v>-359.42849999999999</v>
      </c>
      <c r="H2076">
        <v>0.94139470000000003</v>
      </c>
      <c r="I2076">
        <v>284.6472</v>
      </c>
      <c r="J2076">
        <v>-358.97680000000003</v>
      </c>
      <c r="K2076">
        <v>1.1213770000000001</v>
      </c>
      <c r="L2076">
        <v>284.61540000000002</v>
      </c>
      <c r="M2076">
        <v>-0.99981390000000003</v>
      </c>
      <c r="N2076">
        <v>-1.3063669999999999E-2</v>
      </c>
      <c r="O2076">
        <v>1.4196510000000001E-2</v>
      </c>
      <c r="P2076">
        <v>-0.98157249999999996</v>
      </c>
      <c r="Q2076">
        <v>0.18427569999999999</v>
      </c>
      <c r="R2076">
        <v>5.0574849999999998E-2</v>
      </c>
      <c r="S2076">
        <v>-3.2068479999999999</v>
      </c>
      <c r="T2076">
        <v>-0.84665679999999999</v>
      </c>
      <c r="U2076">
        <v>0.163970899999999</v>
      </c>
      <c r="V2076">
        <v>3.65539E-2</v>
      </c>
      <c r="W2076">
        <v>0.197106</v>
      </c>
      <c r="X2076">
        <v>0.97970049999999997</v>
      </c>
      <c r="Y2076">
        <v>3.6024510000000003E-2</v>
      </c>
      <c r="Z2076">
        <v>1.4122850000000001E-3</v>
      </c>
      <c r="AA2076">
        <v>0.99934990000000001</v>
      </c>
      <c r="AB2076">
        <v>36</v>
      </c>
      <c r="AC2076">
        <v>-0.45169999999995902</v>
      </c>
      <c r="AD2076">
        <v>-0.17998230000000001</v>
      </c>
      <c r="AE2076">
        <v>3.1799999999975598E-2</v>
      </c>
      <c r="AF2076">
        <v>2.1920588604822201E-2</v>
      </c>
      <c r="AG2076">
        <v>-0.17998230000000001</v>
      </c>
      <c r="AH2076">
        <v>0.390425153035934</v>
      </c>
      <c r="AI2076">
        <v>114.71499163594299</v>
      </c>
      <c r="AJ2076">
        <v>86.786477586527397</v>
      </c>
      <c r="AK2076">
        <v>0.43047176520789898</v>
      </c>
      <c r="AL2076">
        <v>78.632223605038504</v>
      </c>
      <c r="AM2076">
        <v>87.863211135951104</v>
      </c>
      <c r="AN2076">
        <v>1.0000000162707201</v>
      </c>
    </row>
    <row r="2077" spans="1:40" x14ac:dyDescent="0.25">
      <c r="A2077" t="str">
        <f>"20190303162820038"</f>
        <v>20190303162820038</v>
      </c>
      <c r="B2077" t="str">
        <f>"1551601700033262"</f>
        <v>1551601700033262</v>
      </c>
      <c r="C2077" t="s">
        <v>40</v>
      </c>
      <c r="D2077">
        <v>4.645912</v>
      </c>
      <c r="E2077">
        <v>0.51034840000000004</v>
      </c>
      <c r="F2077" t="s">
        <v>44</v>
      </c>
      <c r="G2077">
        <v>-359.72620000000001</v>
      </c>
      <c r="H2077">
        <v>0.89289149999999995</v>
      </c>
      <c r="I2077">
        <v>284.66239999999999</v>
      </c>
      <c r="J2077">
        <v>-359.29239999999999</v>
      </c>
      <c r="K2077">
        <v>1.1213709999999999</v>
      </c>
      <c r="L2077">
        <v>284.61959999999999</v>
      </c>
      <c r="M2077">
        <v>-0.99981629999999999</v>
      </c>
      <c r="N2077">
        <v>-1.3054110000000001E-2</v>
      </c>
      <c r="O2077">
        <v>1.4034019999999999E-2</v>
      </c>
      <c r="P2077">
        <v>-0.98156080000000001</v>
      </c>
      <c r="Q2077">
        <v>0.184257</v>
      </c>
      <c r="R2077">
        <v>5.0870730000000003E-2</v>
      </c>
      <c r="S2077">
        <v>-3.2309570000000001</v>
      </c>
      <c r="T2077">
        <v>-0.98516559999999997</v>
      </c>
      <c r="U2077">
        <v>0.20043949999999999</v>
      </c>
      <c r="V2077">
        <v>3.7008920000000001E-2</v>
      </c>
      <c r="W2077">
        <v>0.1970779</v>
      </c>
      <c r="X2077">
        <v>0.97968909999999998</v>
      </c>
      <c r="Y2077">
        <v>4.629569E-2</v>
      </c>
      <c r="Z2077">
        <v>3.2039360000000001E-3</v>
      </c>
      <c r="AA2077">
        <v>0.99892259999999999</v>
      </c>
      <c r="AB2077">
        <v>36</v>
      </c>
      <c r="AC2077">
        <v>-0.433800000000019</v>
      </c>
      <c r="AD2077">
        <v>-0.228479499999999</v>
      </c>
      <c r="AE2077">
        <v>4.2799999999999699E-2</v>
      </c>
      <c r="AF2077">
        <v>2.8796112410657802E-2</v>
      </c>
      <c r="AG2077">
        <v>-0.228479499999999</v>
      </c>
      <c r="AH2077">
        <v>0.34074471813125601</v>
      </c>
      <c r="AI2077">
        <v>123.748793547486</v>
      </c>
      <c r="AJ2077">
        <v>85.169449128248999</v>
      </c>
      <c r="AK2077">
        <v>0.41126519539655498</v>
      </c>
      <c r="AL2077">
        <v>78.633866168073396</v>
      </c>
      <c r="AM2077">
        <v>87.836612528596902</v>
      </c>
      <c r="AN2077">
        <v>1.00000004574339</v>
      </c>
    </row>
    <row r="2078" spans="1:40" x14ac:dyDescent="0.25">
      <c r="A2078" t="str">
        <f>"20190303162820060"</f>
        <v>20190303162820060</v>
      </c>
      <c r="B2078" t="str">
        <f>"1551601700053758"</f>
        <v>1551601700053758</v>
      </c>
      <c r="C2078" t="s">
        <v>40</v>
      </c>
      <c r="D2078">
        <v>4.7075550000000002</v>
      </c>
      <c r="E2078">
        <v>0.51068849999999999</v>
      </c>
      <c r="F2078" t="s">
        <v>44</v>
      </c>
      <c r="G2078">
        <v>-360.04219999999998</v>
      </c>
      <c r="H2078">
        <v>0.88351759999999901</v>
      </c>
      <c r="I2078">
        <v>284.66789999999997</v>
      </c>
      <c r="J2078">
        <v>-359.66160000000002</v>
      </c>
      <c r="K2078">
        <v>1.121373</v>
      </c>
      <c r="L2078">
        <v>284.62459999999999</v>
      </c>
      <c r="M2078">
        <v>-0.99981909999999896</v>
      </c>
      <c r="N2078">
        <v>-1.3042990000000001E-2</v>
      </c>
      <c r="O2078">
        <v>1.384662E-2</v>
      </c>
      <c r="P2078">
        <v>-0.9815796</v>
      </c>
      <c r="Q2078">
        <v>0.18414730000000001</v>
      </c>
      <c r="R2078">
        <v>5.0907559999999998E-2</v>
      </c>
      <c r="S2078">
        <v>-3.2384029999999999</v>
      </c>
      <c r="T2078">
        <v>-1.0272239999999999</v>
      </c>
      <c r="U2078">
        <v>0.207428</v>
      </c>
      <c r="V2078">
        <v>3.7229070000000003E-2</v>
      </c>
      <c r="W2078">
        <v>0.19695779999999999</v>
      </c>
      <c r="X2078">
        <v>0.97970489999999999</v>
      </c>
      <c r="Y2078">
        <v>4.8256630000000002E-2</v>
      </c>
      <c r="Z2078">
        <v>3.6799379999999998E-3</v>
      </c>
      <c r="AA2078">
        <v>0.99882820000000005</v>
      </c>
      <c r="AB2078">
        <v>36</v>
      </c>
      <c r="AC2078">
        <v>-0.38059999999995803</v>
      </c>
      <c r="AD2078">
        <v>-0.23785539999999999</v>
      </c>
      <c r="AE2078">
        <v>4.3299999999987897E-2</v>
      </c>
      <c r="AF2078">
        <v>2.74438477553542E-2</v>
      </c>
      <c r="AG2078">
        <v>-0.23785539999999999</v>
      </c>
      <c r="AH2078">
        <v>0.27509477838111401</v>
      </c>
      <c r="AI2078">
        <v>130.707387080057</v>
      </c>
      <c r="AJ2078">
        <v>84.302941047668497</v>
      </c>
      <c r="AK2078">
        <v>0.36469918176674399</v>
      </c>
      <c r="AL2078">
        <v>78.640884834598097</v>
      </c>
      <c r="AM2078">
        <v>87.823790876019004</v>
      </c>
      <c r="AN2078">
        <v>1.0000000348589499</v>
      </c>
    </row>
    <row r="2079" spans="1:40" x14ac:dyDescent="0.25">
      <c r="A2079" t="str">
        <f>"20190303162820074"</f>
        <v>20190303162820074</v>
      </c>
      <c r="B2079" t="str">
        <f>"1551601700063518"</f>
        <v>1551601700063518</v>
      </c>
      <c r="C2079" t="s">
        <v>40</v>
      </c>
      <c r="D2079">
        <v>4.6428289999999999</v>
      </c>
      <c r="E2079">
        <v>0.51068179999999996</v>
      </c>
      <c r="F2079" t="s">
        <v>44</v>
      </c>
      <c r="G2079">
        <v>-360.36790000000002</v>
      </c>
      <c r="H2079">
        <v>0.89638770000000001</v>
      </c>
      <c r="I2079">
        <v>284.67090000000002</v>
      </c>
      <c r="J2079">
        <v>-359.8759</v>
      </c>
      <c r="K2079">
        <v>1.1213740000000001</v>
      </c>
      <c r="L2079">
        <v>284.62740000000002</v>
      </c>
      <c r="M2079">
        <v>-0.99982079999999995</v>
      </c>
      <c r="N2079">
        <v>-1.3034850000000001E-2</v>
      </c>
      <c r="O2079">
        <v>1.373766E-2</v>
      </c>
      <c r="P2079">
        <v>-0.98156259999999995</v>
      </c>
      <c r="Q2079">
        <v>0.18425269999999999</v>
      </c>
      <c r="R2079">
        <v>5.0851800000000003E-2</v>
      </c>
      <c r="S2079">
        <v>-3.2389830000000002</v>
      </c>
      <c r="T2079">
        <v>-1.0318000000000001</v>
      </c>
      <c r="U2079">
        <v>0.20977779999999999</v>
      </c>
      <c r="V2079">
        <v>3.728016E-2</v>
      </c>
      <c r="W2079">
        <v>0.1970546</v>
      </c>
      <c r="X2079">
        <v>0.97968350000000004</v>
      </c>
      <c r="Y2079">
        <v>4.9017100000000001E-2</v>
      </c>
      <c r="Z2079">
        <v>3.8481660000000001E-3</v>
      </c>
      <c r="AA2079">
        <v>0.99879050000000003</v>
      </c>
      <c r="AB2079">
        <v>36</v>
      </c>
      <c r="AC2079">
        <v>-0.49200000000001798</v>
      </c>
      <c r="AD2079">
        <v>-0.224986299999999</v>
      </c>
      <c r="AE2079">
        <v>4.3499999999994501E-2</v>
      </c>
      <c r="AF2079">
        <v>3.0423728784660199E-2</v>
      </c>
      <c r="AG2079">
        <v>-0.224986299999999</v>
      </c>
      <c r="AH2079">
        <v>0.40791278840490902</v>
      </c>
      <c r="AI2079">
        <v>118.81198997301399</v>
      </c>
      <c r="AJ2079">
        <v>85.734554522689706</v>
      </c>
      <c r="AK2079">
        <v>0.46683753212988399</v>
      </c>
      <c r="AL2079">
        <v>78.635227829991805</v>
      </c>
      <c r="AM2079">
        <v>87.820759753625694</v>
      </c>
      <c r="AN2079">
        <v>1.0000000429415099</v>
      </c>
    </row>
    <row r="2080" spans="1:40" x14ac:dyDescent="0.25">
      <c r="A2080" t="str">
        <f>"20190303162820089"</f>
        <v>20190303162820089</v>
      </c>
      <c r="B2080" t="str">
        <f>"1551601700084014"</f>
        <v>1551601700084014</v>
      </c>
      <c r="C2080" t="s">
        <v>40</v>
      </c>
      <c r="D2080">
        <v>4.6275389999999996</v>
      </c>
      <c r="E2080">
        <v>0.51009420000000005</v>
      </c>
      <c r="F2080" t="s">
        <v>44</v>
      </c>
      <c r="G2080">
        <v>-360.67509999999999</v>
      </c>
      <c r="H2080">
        <v>0.86725969999999997</v>
      </c>
      <c r="I2080">
        <v>284.67950000000002</v>
      </c>
      <c r="J2080">
        <v>-360.12490000000003</v>
      </c>
      <c r="K2080">
        <v>1.1213759999999999</v>
      </c>
      <c r="L2080">
        <v>284.63069999999999</v>
      </c>
      <c r="M2080">
        <v>-0.99982260000000001</v>
      </c>
      <c r="N2080">
        <v>-1.3023939999999999E-2</v>
      </c>
      <c r="O2080">
        <v>1.3610840000000001E-2</v>
      </c>
      <c r="P2080">
        <v>-0.98152360000000005</v>
      </c>
      <c r="Q2080">
        <v>0.18450649999999999</v>
      </c>
      <c r="R2080">
        <v>5.0686149999999999E-2</v>
      </c>
      <c r="S2080">
        <v>-3.2388309999999998</v>
      </c>
      <c r="T2080">
        <v>-1.0298670000000001</v>
      </c>
      <c r="U2080">
        <v>0.2096558</v>
      </c>
      <c r="V2080">
        <v>3.7239599999999998E-2</v>
      </c>
      <c r="W2080">
        <v>0.19729759999999999</v>
      </c>
      <c r="X2080">
        <v>0.97963610000000001</v>
      </c>
      <c r="Y2080">
        <v>4.9105669999999997E-2</v>
      </c>
      <c r="Z2080">
        <v>3.893929E-3</v>
      </c>
      <c r="AA2080">
        <v>0.99878599999999995</v>
      </c>
      <c r="AB2080">
        <v>36</v>
      </c>
      <c r="AC2080">
        <v>-0.55019999999996105</v>
      </c>
      <c r="AD2080">
        <v>-0.25411630000000002</v>
      </c>
      <c r="AE2080">
        <v>4.88000000000283E-2</v>
      </c>
      <c r="AF2080">
        <v>3.40908009553701E-2</v>
      </c>
      <c r="AG2080">
        <v>-0.25411630000000002</v>
      </c>
      <c r="AH2080">
        <v>0.45459723995257501</v>
      </c>
      <c r="AI2080">
        <v>119.13647471430301</v>
      </c>
      <c r="AJ2080">
        <v>85.711346999473193</v>
      </c>
      <c r="AK2080">
        <v>0.52191563227016702</v>
      </c>
      <c r="AL2080">
        <v>78.621025765526397</v>
      </c>
      <c r="AM2080">
        <v>87.823023209892995</v>
      </c>
      <c r="AN2080">
        <v>1.0000000095985599</v>
      </c>
    </row>
    <row r="2081" spans="1:40" x14ac:dyDescent="0.25">
      <c r="A2081" t="str">
        <f>"20190303162820103"</f>
        <v>20190303162820103</v>
      </c>
      <c r="B2081" t="str">
        <f>"1551601700093774"</f>
        <v>1551601700093774</v>
      </c>
      <c r="C2081" t="s">
        <v>40</v>
      </c>
      <c r="D2081">
        <v>4.6194040000000003</v>
      </c>
      <c r="E2081">
        <v>0.50980969999999903</v>
      </c>
      <c r="F2081" t="s">
        <v>44</v>
      </c>
      <c r="G2081">
        <v>-360.98700000000002</v>
      </c>
      <c r="H2081">
        <v>0.84790339999999997</v>
      </c>
      <c r="I2081">
        <v>284.68549999999999</v>
      </c>
      <c r="J2081">
        <v>-360.3503</v>
      </c>
      <c r="K2081">
        <v>1.1213770000000001</v>
      </c>
      <c r="L2081">
        <v>284.6336</v>
      </c>
      <c r="M2081">
        <v>-0.99982439999999995</v>
      </c>
      <c r="N2081">
        <v>-1.301279E-2</v>
      </c>
      <c r="O2081">
        <v>1.3495409999999999E-2</v>
      </c>
      <c r="P2081">
        <v>-0.98142810000000003</v>
      </c>
      <c r="Q2081">
        <v>0.18509529999999999</v>
      </c>
      <c r="R2081">
        <v>5.0389580000000003E-2</v>
      </c>
      <c r="S2081">
        <v>-3.2390750000000001</v>
      </c>
      <c r="T2081">
        <v>-1.027515</v>
      </c>
      <c r="U2081">
        <v>0.20413210000000001</v>
      </c>
      <c r="V2081">
        <v>3.7057550000000002E-2</v>
      </c>
      <c r="W2081">
        <v>0.19787399999999999</v>
      </c>
      <c r="X2081">
        <v>0.97952680000000003</v>
      </c>
      <c r="Y2081">
        <v>4.7599669999999997E-2</v>
      </c>
      <c r="Z2081">
        <v>3.6772509999999999E-3</v>
      </c>
      <c r="AA2081">
        <v>0.99885970000000002</v>
      </c>
      <c r="AB2081">
        <v>36</v>
      </c>
      <c r="AC2081">
        <v>-0.63669999999996196</v>
      </c>
      <c r="AD2081">
        <v>-0.27347359999999998</v>
      </c>
      <c r="AE2081">
        <v>5.1899999999989101E-2</v>
      </c>
      <c r="AF2081">
        <v>3.6595297662015899E-2</v>
      </c>
      <c r="AG2081">
        <v>-0.27347359999999998</v>
      </c>
      <c r="AH2081">
        <v>0.53862933650632105</v>
      </c>
      <c r="AI2081">
        <v>116.864654831997</v>
      </c>
      <c r="AJ2081">
        <v>86.113210651148293</v>
      </c>
      <c r="AK2081">
        <v>0.60518475513943004</v>
      </c>
      <c r="AL2081">
        <v>78.587336973303906</v>
      </c>
      <c r="AM2081">
        <v>87.833413942484697</v>
      </c>
      <c r="AN2081">
        <v>1.0000000669031099</v>
      </c>
    </row>
    <row r="2082" spans="1:40" x14ac:dyDescent="0.25">
      <c r="A2082" t="str">
        <f>"20190303162820117"</f>
        <v>20190303162820117</v>
      </c>
      <c r="B2082" t="str">
        <f>"1551601700113295"</f>
        <v>1551601700113295</v>
      </c>
      <c r="C2082" t="s">
        <v>40</v>
      </c>
      <c r="D2082">
        <v>4.6489750000000001</v>
      </c>
      <c r="E2082">
        <v>0.50938339999999904</v>
      </c>
      <c r="F2082" t="s">
        <v>44</v>
      </c>
      <c r="G2082">
        <v>-361.29640000000001</v>
      </c>
      <c r="H2082">
        <v>0.82177520000000004</v>
      </c>
      <c r="I2082">
        <v>284.69229999999999</v>
      </c>
      <c r="J2082">
        <v>-360.57990000000001</v>
      </c>
      <c r="K2082">
        <v>1.1213770000000001</v>
      </c>
      <c r="L2082">
        <v>284.63659999999999</v>
      </c>
      <c r="M2082">
        <v>-0.99982610000000005</v>
      </c>
      <c r="N2082">
        <v>-1.3000960000000001E-2</v>
      </c>
      <c r="O2082">
        <v>1.3378610000000001E-2</v>
      </c>
      <c r="P2082">
        <v>-0.98138519999999896</v>
      </c>
      <c r="Q2082">
        <v>0.18536140000000001</v>
      </c>
      <c r="R2082">
        <v>5.0245909999999998E-2</v>
      </c>
      <c r="S2082">
        <v>-3.240021</v>
      </c>
      <c r="T2082">
        <v>-1.0260800000000001</v>
      </c>
      <c r="U2082">
        <v>0.20062260000000001</v>
      </c>
      <c r="V2082">
        <v>3.7028999999999999E-2</v>
      </c>
      <c r="W2082">
        <v>0.19812779999999999</v>
      </c>
      <c r="X2082">
        <v>0.97947649999999997</v>
      </c>
      <c r="Y2082">
        <v>4.666816E-2</v>
      </c>
      <c r="Z2082">
        <v>3.5562739999999999E-3</v>
      </c>
      <c r="AA2082">
        <v>0.99890409999999996</v>
      </c>
      <c r="AB2082">
        <v>36</v>
      </c>
      <c r="AC2082">
        <v>-0.71649999999999603</v>
      </c>
      <c r="AD2082">
        <v>-0.29960179999999997</v>
      </c>
      <c r="AE2082">
        <v>5.5700000000001602E-2</v>
      </c>
      <c r="AF2082">
        <v>3.9281469203721303E-2</v>
      </c>
      <c r="AG2082">
        <v>-0.29960179999999997</v>
      </c>
      <c r="AH2082">
        <v>0.61099298510117706</v>
      </c>
      <c r="AI2082">
        <v>116.074445045277</v>
      </c>
      <c r="AJ2082">
        <v>86.321448543589497</v>
      </c>
      <c r="AK2082">
        <v>0.681627977880082</v>
      </c>
      <c r="AL2082">
        <v>78.572500736397998</v>
      </c>
      <c r="AM2082">
        <v>87.8349704706267</v>
      </c>
      <c r="AN2082">
        <v>0.99999999301304499</v>
      </c>
    </row>
    <row r="2083" spans="1:40" x14ac:dyDescent="0.25">
      <c r="A2083" t="str">
        <f>"20190303162820130"</f>
        <v>20190303162820130</v>
      </c>
      <c r="B2083" t="str">
        <f>"1551601700124031"</f>
        <v>1551601700124031</v>
      </c>
      <c r="C2083" t="s">
        <v>40</v>
      </c>
      <c r="D2083">
        <v>4.6745640000000002</v>
      </c>
      <c r="E2083">
        <v>0.50919859999999995</v>
      </c>
      <c r="F2083" t="s">
        <v>44</v>
      </c>
      <c r="G2083">
        <v>-361.32299999999998</v>
      </c>
      <c r="H2083">
        <v>0.88614179999999998</v>
      </c>
      <c r="I2083">
        <v>284.68189999999998</v>
      </c>
      <c r="J2083">
        <v>-360.77780000000001</v>
      </c>
      <c r="K2083">
        <v>1.1213789999999999</v>
      </c>
      <c r="L2083">
        <v>284.63909999999998</v>
      </c>
      <c r="M2083">
        <v>-0.99982749999999998</v>
      </c>
      <c r="N2083">
        <v>-1.2991000000000001E-2</v>
      </c>
      <c r="O2083">
        <v>1.3277539999999999E-2</v>
      </c>
      <c r="P2083">
        <v>-0.98136279999999998</v>
      </c>
      <c r="Q2083">
        <v>0.1855502</v>
      </c>
      <c r="R2083">
        <v>4.9984349999999997E-2</v>
      </c>
      <c r="S2083">
        <v>-3.2406009999999998</v>
      </c>
      <c r="T2083">
        <v>-1.025787</v>
      </c>
      <c r="U2083">
        <v>0.196991</v>
      </c>
      <c r="V2083">
        <v>3.6867129999999998E-2</v>
      </c>
      <c r="W2083">
        <v>0.19830629999999999</v>
      </c>
      <c r="X2083">
        <v>0.9794465</v>
      </c>
      <c r="Y2083">
        <v>4.5689569999999999E-2</v>
      </c>
      <c r="Z2083">
        <v>3.426962E-3</v>
      </c>
      <c r="AA2083">
        <v>0.9989498</v>
      </c>
      <c r="AB2083">
        <v>36</v>
      </c>
      <c r="AC2083">
        <v>-0.545200000000022</v>
      </c>
      <c r="AD2083">
        <v>-0.23523720000000001</v>
      </c>
      <c r="AE2083">
        <v>4.2799999999999699E-2</v>
      </c>
      <c r="AF2083">
        <v>3.00050041075694E-2</v>
      </c>
      <c r="AG2083">
        <v>-0.23523720000000001</v>
      </c>
      <c r="AH2083">
        <v>0.460513436139384</v>
      </c>
      <c r="AI2083">
        <v>117.00949619396501</v>
      </c>
      <c r="AJ2083">
        <v>86.272131515030196</v>
      </c>
      <c r="AK2083">
        <v>0.51798597027355697</v>
      </c>
      <c r="AL2083">
        <v>78.562066601606006</v>
      </c>
      <c r="AM2083">
        <v>87.844359854736595</v>
      </c>
      <c r="AN2083">
        <v>1.0000000101281801</v>
      </c>
    </row>
    <row r="2084" spans="1:40" x14ac:dyDescent="0.25">
      <c r="A2084" t="str">
        <f>"20190303162820142"</f>
        <v>20190303162820142</v>
      </c>
      <c r="B2084" t="str">
        <f>"1551601700133791"</f>
        <v>1551601700133791</v>
      </c>
      <c r="C2084" t="s">
        <v>40</v>
      </c>
      <c r="D2084">
        <v>4.6853930000000004</v>
      </c>
      <c r="E2084">
        <v>0.50899689999999997</v>
      </c>
      <c r="F2084" t="s">
        <v>44</v>
      </c>
      <c r="G2084">
        <v>-361.62830000000002</v>
      </c>
      <c r="H2084">
        <v>0.85246420000000001</v>
      </c>
      <c r="I2084">
        <v>284.69069999999999</v>
      </c>
      <c r="J2084">
        <v>-360.9855</v>
      </c>
      <c r="K2084">
        <v>1.1213789999999999</v>
      </c>
      <c r="L2084">
        <v>284.64179999999999</v>
      </c>
      <c r="M2084">
        <v>-0.99982919999999997</v>
      </c>
      <c r="N2084">
        <v>-1.2980759999999999E-2</v>
      </c>
      <c r="O2084">
        <v>1.317129E-2</v>
      </c>
      <c r="P2084">
        <v>-0.98128490000000002</v>
      </c>
      <c r="Q2084">
        <v>0.18600900000000001</v>
      </c>
      <c r="R2084">
        <v>4.9811699999999903E-2</v>
      </c>
      <c r="S2084">
        <v>-3.2407840000000001</v>
      </c>
      <c r="T2084">
        <v>-1.0247189999999999</v>
      </c>
      <c r="U2084">
        <v>0.19488530000000001</v>
      </c>
      <c r="V2084">
        <v>3.6800159999999998E-2</v>
      </c>
      <c r="W2084">
        <v>0.1987536</v>
      </c>
      <c r="X2084">
        <v>0.97935839999999996</v>
      </c>
      <c r="Y2084">
        <v>4.5170740000000001E-2</v>
      </c>
      <c r="Z2084">
        <v>3.3714909999999999E-3</v>
      </c>
      <c r="AA2084">
        <v>0.99897360000000002</v>
      </c>
      <c r="AB2084">
        <v>36</v>
      </c>
      <c r="AC2084">
        <v>-0.64280000000002202</v>
      </c>
      <c r="AD2084">
        <v>-0.26891480000000001</v>
      </c>
      <c r="AE2084">
        <v>4.8900000000003198E-2</v>
      </c>
      <c r="AF2084">
        <v>3.4436313818724001E-2</v>
      </c>
      <c r="AG2084">
        <v>-0.26891480000000001</v>
      </c>
      <c r="AH2084">
        <v>0.54802679459932602</v>
      </c>
      <c r="AI2084">
        <v>116.09240352608801</v>
      </c>
      <c r="AJ2084">
        <v>86.404437259770503</v>
      </c>
      <c r="AK2084">
        <v>0.61141998410852905</v>
      </c>
      <c r="AL2084">
        <v>78.535918285858898</v>
      </c>
      <c r="AM2084">
        <v>87.848078560466107</v>
      </c>
      <c r="AN2084">
        <v>1.0000000604697701</v>
      </c>
    </row>
    <row r="2085" spans="1:40" x14ac:dyDescent="0.25">
      <c r="A2085" t="str">
        <f>"20190303162820157"</f>
        <v>20190303162820157</v>
      </c>
      <c r="B2085" t="str">
        <f>"1551601700153311"</f>
        <v>1551601700153311</v>
      </c>
      <c r="C2085" t="s">
        <v>40</v>
      </c>
      <c r="D2085">
        <v>4.6938399999999998</v>
      </c>
      <c r="E2085">
        <v>0.51054849999999996</v>
      </c>
      <c r="F2085" t="s">
        <v>44</v>
      </c>
      <c r="G2085">
        <v>-361.65410000000003</v>
      </c>
      <c r="H2085">
        <v>0.9115297</v>
      </c>
      <c r="I2085">
        <v>284.68209999999999</v>
      </c>
      <c r="J2085">
        <v>-361.2045</v>
      </c>
      <c r="K2085">
        <v>1.121378</v>
      </c>
      <c r="L2085">
        <v>284.64449999999999</v>
      </c>
      <c r="M2085">
        <v>-0.99983069999999996</v>
      </c>
      <c r="N2085">
        <v>-1.297067E-2</v>
      </c>
      <c r="O2085">
        <v>1.3058790000000001E-2</v>
      </c>
      <c r="P2085">
        <v>-0.98122290000000001</v>
      </c>
      <c r="Q2085">
        <v>0.18644340000000001</v>
      </c>
      <c r="R2085">
        <v>4.9402040000000001E-2</v>
      </c>
      <c r="S2085">
        <v>-3.2402039999999999</v>
      </c>
      <c r="T2085">
        <v>-1.0171840000000001</v>
      </c>
      <c r="U2085">
        <v>0.193573</v>
      </c>
      <c r="V2085">
        <v>3.6502010000000001E-2</v>
      </c>
      <c r="W2085">
        <v>0.19917699999999999</v>
      </c>
      <c r="X2085">
        <v>0.97928349999999997</v>
      </c>
      <c r="Y2085">
        <v>4.4921120000000002E-2</v>
      </c>
      <c r="Z2085">
        <v>3.3443679999999999E-3</v>
      </c>
      <c r="AA2085">
        <v>0.99898489999999995</v>
      </c>
      <c r="AB2085">
        <v>36</v>
      </c>
      <c r="AC2085">
        <v>-0.44960000000003197</v>
      </c>
      <c r="AD2085">
        <v>-0.20984829999999999</v>
      </c>
      <c r="AE2085">
        <v>3.7599999999997601E-2</v>
      </c>
      <c r="AF2085">
        <v>2.60824588065664E-2</v>
      </c>
      <c r="AG2085">
        <v>-0.20984829999999999</v>
      </c>
      <c r="AH2085">
        <v>0.37000649542667202</v>
      </c>
      <c r="AI2085">
        <v>119.498739320238</v>
      </c>
      <c r="AJ2085">
        <v>85.967781974473397</v>
      </c>
      <c r="AK2085">
        <v>0.42617063522515702</v>
      </c>
      <c r="AL2085">
        <v>78.5111639089357</v>
      </c>
      <c r="AM2085">
        <v>87.865333843744295</v>
      </c>
      <c r="AN2085">
        <v>1.0000000237176401</v>
      </c>
    </row>
    <row r="2086" spans="1:40" x14ac:dyDescent="0.25">
      <c r="A2086" t="str">
        <f>"20190303162820170"</f>
        <v>20190303162820170</v>
      </c>
      <c r="B2086" t="str">
        <f>"1551601700163070"</f>
        <v>1551601700163070</v>
      </c>
      <c r="C2086" t="s">
        <v>40</v>
      </c>
      <c r="D2086">
        <v>4.6631879999999999</v>
      </c>
      <c r="E2086">
        <v>0.51054849999999996</v>
      </c>
      <c r="F2086" t="s">
        <v>44</v>
      </c>
      <c r="G2086">
        <v>-361.96140000000003</v>
      </c>
      <c r="H2086">
        <v>0.88437449999999995</v>
      </c>
      <c r="I2086">
        <v>284.6925</v>
      </c>
      <c r="J2086">
        <v>-361.43270000000001</v>
      </c>
      <c r="K2086">
        <v>1.1213770000000001</v>
      </c>
      <c r="L2086">
        <v>284.64729999999997</v>
      </c>
      <c r="M2086">
        <v>-0.99983239999999995</v>
      </c>
      <c r="N2086">
        <v>-1.296052E-2</v>
      </c>
      <c r="O2086">
        <v>1.29417E-2</v>
      </c>
      <c r="P2086">
        <v>-0.98109139999999995</v>
      </c>
      <c r="Q2086">
        <v>0.18725069999999999</v>
      </c>
      <c r="R2086">
        <v>4.8957569999999999E-2</v>
      </c>
      <c r="S2086">
        <v>-3.2398989999999999</v>
      </c>
      <c r="T2086">
        <v>-1.0145379999999999</v>
      </c>
      <c r="U2086">
        <v>0.20477290000000001</v>
      </c>
      <c r="V2086">
        <v>3.6174449999999997E-2</v>
      </c>
      <c r="W2086">
        <v>0.19997219999999999</v>
      </c>
      <c r="X2086">
        <v>0.97913349999999999</v>
      </c>
      <c r="Y2086">
        <v>4.8317989999999998E-2</v>
      </c>
      <c r="Z2086">
        <v>3.9126320000000001E-3</v>
      </c>
      <c r="AA2086">
        <v>0.99882439999999995</v>
      </c>
      <c r="AB2086">
        <v>36</v>
      </c>
      <c r="AC2086">
        <v>-0.52870000000001405</v>
      </c>
      <c r="AD2086">
        <v>-0.2370025</v>
      </c>
      <c r="AE2086">
        <v>4.52000000000225E-2</v>
      </c>
      <c r="AF2086">
        <v>3.1974683998950301E-2</v>
      </c>
      <c r="AG2086">
        <v>-0.2370025</v>
      </c>
      <c r="AH2086">
        <v>0.44122088791775999</v>
      </c>
      <c r="AI2086">
        <v>118.18003034167</v>
      </c>
      <c r="AJ2086">
        <v>85.855097763324906</v>
      </c>
      <c r="AK2086">
        <v>0.50186495928488495</v>
      </c>
      <c r="AL2086">
        <v>78.464665942877602</v>
      </c>
      <c r="AM2086">
        <v>87.884148527838406</v>
      </c>
      <c r="AN2086">
        <v>0.99999994121394398</v>
      </c>
    </row>
    <row r="2087" spans="1:40" x14ac:dyDescent="0.25">
      <c r="A2087" t="str">
        <f>"20190303162820182"</f>
        <v>20190303162820182</v>
      </c>
      <c r="B2087" t="str">
        <f>"1551601700173806"</f>
        <v>1551601700173806</v>
      </c>
      <c r="C2087" t="s">
        <v>40</v>
      </c>
      <c r="D2087">
        <v>4.6538199999999996</v>
      </c>
      <c r="E2087">
        <v>0.53276159999999995</v>
      </c>
      <c r="F2087" t="s">
        <v>44</v>
      </c>
      <c r="G2087">
        <v>-362.2704</v>
      </c>
      <c r="H2087">
        <v>0.85983999999999905</v>
      </c>
      <c r="I2087">
        <v>284.69979999999998</v>
      </c>
      <c r="J2087">
        <v>-361.62360000000001</v>
      </c>
      <c r="K2087">
        <v>1.1213759999999999</v>
      </c>
      <c r="L2087">
        <v>284.6497</v>
      </c>
      <c r="M2087">
        <v>-0.99983379999999999</v>
      </c>
      <c r="N2087">
        <v>-1.295227E-2</v>
      </c>
      <c r="O2087">
        <v>1.284389E-2</v>
      </c>
      <c r="P2087">
        <v>-0.98102929999999999</v>
      </c>
      <c r="Q2087">
        <v>0.18753810000000001</v>
      </c>
      <c r="R2087">
        <v>4.9107209999999998E-2</v>
      </c>
      <c r="S2087">
        <v>-3.240875</v>
      </c>
      <c r="T2087">
        <v>-1.0118799999999999</v>
      </c>
      <c r="U2087">
        <v>0.20254520000000001</v>
      </c>
      <c r="V2087">
        <v>3.6421250000000002E-2</v>
      </c>
      <c r="W2087">
        <v>0.20025109999999999</v>
      </c>
      <c r="X2087">
        <v>0.97906740000000003</v>
      </c>
      <c r="Y2087">
        <v>4.7746900000000002E-2</v>
      </c>
      <c r="Z2087">
        <v>3.840572E-3</v>
      </c>
      <c r="AA2087">
        <v>0.99885210000000002</v>
      </c>
      <c r="AB2087">
        <v>36</v>
      </c>
      <c r="AC2087">
        <v>-0.64679999999998405</v>
      </c>
      <c r="AD2087">
        <v>-0.26153599999999999</v>
      </c>
      <c r="AE2087">
        <v>5.0099999999986197E-2</v>
      </c>
      <c r="AF2087">
        <v>3.5945616419898997E-2</v>
      </c>
      <c r="AG2087">
        <v>-0.26153599999999999</v>
      </c>
      <c r="AH2087">
        <v>0.55688192225164102</v>
      </c>
      <c r="AI2087">
        <v>115.11099318609701</v>
      </c>
      <c r="AJ2087">
        <v>86.306795299130798</v>
      </c>
      <c r="AK2087">
        <v>0.61628779151179702</v>
      </c>
      <c r="AL2087">
        <v>78.448356850677101</v>
      </c>
      <c r="AM2087">
        <v>87.869582707598695</v>
      </c>
      <c r="AN2087">
        <v>0.99999999212276602</v>
      </c>
    </row>
    <row r="2088" spans="1:40" x14ac:dyDescent="0.25">
      <c r="A2088" t="str">
        <f>"20190303162820195"</f>
        <v>20190303162820195</v>
      </c>
      <c r="B2088" t="str">
        <f>"1551601700183567"</f>
        <v>1551601700183567</v>
      </c>
      <c r="C2088" t="s">
        <v>40</v>
      </c>
      <c r="D2088">
        <v>4.6312239999999996</v>
      </c>
      <c r="E2088">
        <v>0.53262909999999997</v>
      </c>
      <c r="F2088" t="s">
        <v>44</v>
      </c>
      <c r="G2088">
        <v>-362.2928</v>
      </c>
      <c r="H2088">
        <v>0.91509079999999998</v>
      </c>
      <c r="I2088">
        <v>284.72859999999997</v>
      </c>
      <c r="J2088">
        <v>-361.8134</v>
      </c>
      <c r="K2088">
        <v>1.1213759999999999</v>
      </c>
      <c r="L2088">
        <v>284.65199999999999</v>
      </c>
      <c r="M2088">
        <v>-0.99983500000000003</v>
      </c>
      <c r="N2088">
        <v>-1.294469E-2</v>
      </c>
      <c r="O2088">
        <v>1.274668E-2</v>
      </c>
      <c r="P2088">
        <v>-0.98101519999999998</v>
      </c>
      <c r="Q2088">
        <v>0.18767619999999999</v>
      </c>
      <c r="R2088">
        <v>4.8859409999999999E-2</v>
      </c>
      <c r="S2088">
        <v>-3.2293090000000002</v>
      </c>
      <c r="T2088">
        <v>-0.99560280000000001</v>
      </c>
      <c r="U2088">
        <v>0.38015749999999998</v>
      </c>
      <c r="V2088">
        <v>3.626915E-2</v>
      </c>
      <c r="W2088">
        <v>0.200381</v>
      </c>
      <c r="X2088">
        <v>0.97904650000000004</v>
      </c>
      <c r="Y2088">
        <v>9.9995600000000004E-2</v>
      </c>
      <c r="Z2088">
        <v>1.2014169999999999E-2</v>
      </c>
      <c r="AA2088">
        <v>0.99491540000000001</v>
      </c>
      <c r="AB2088">
        <v>36</v>
      </c>
      <c r="AC2088">
        <v>-0.47939999999999799</v>
      </c>
      <c r="AD2088">
        <v>-0.206285199999999</v>
      </c>
      <c r="AE2088">
        <v>7.6599999999984902E-2</v>
      </c>
      <c r="AF2088">
        <v>5.9703236331848798E-2</v>
      </c>
      <c r="AG2088">
        <v>-0.206285199999999</v>
      </c>
      <c r="AH2088">
        <v>0.40687691848324598</v>
      </c>
      <c r="AI2088">
        <v>116.639487872362</v>
      </c>
      <c r="AJ2088">
        <v>81.6522547773463</v>
      </c>
      <c r="AK2088">
        <v>0.46007269747503798</v>
      </c>
      <c r="AL2088">
        <v>78.440760513206698</v>
      </c>
      <c r="AM2088">
        <v>87.878426220123103</v>
      </c>
      <c r="AN2088">
        <v>1.0000000227824799</v>
      </c>
    </row>
    <row r="2089" spans="1:40" x14ac:dyDescent="0.25">
      <c r="A2089" t="str">
        <f>"20190303162820208"</f>
        <v>20190303162820208</v>
      </c>
      <c r="B2089" t="str">
        <f>"1551601700203087"</f>
        <v>1551601700203087</v>
      </c>
      <c r="C2089" t="s">
        <v>40</v>
      </c>
      <c r="D2089">
        <v>4.5974550000000001</v>
      </c>
      <c r="E2089">
        <v>0.53241719999999904</v>
      </c>
      <c r="F2089" t="s">
        <v>44</v>
      </c>
      <c r="G2089">
        <v>-362.59739999999999</v>
      </c>
      <c r="H2089">
        <v>0.87999609999999995</v>
      </c>
      <c r="I2089">
        <v>284.7441</v>
      </c>
      <c r="J2089">
        <v>-362.02710000000002</v>
      </c>
      <c r="K2089">
        <v>1.121375</v>
      </c>
      <c r="L2089">
        <v>284.65460000000002</v>
      </c>
      <c r="M2089">
        <v>-0.99983639999999996</v>
      </c>
      <c r="N2089">
        <v>-1.293646E-2</v>
      </c>
      <c r="O2089">
        <v>1.2637199999999999E-2</v>
      </c>
      <c r="P2089">
        <v>-0.98099159999999996</v>
      </c>
      <c r="Q2089">
        <v>0.18784970000000001</v>
      </c>
      <c r="R2089">
        <v>4.8665920000000001E-2</v>
      </c>
      <c r="S2089">
        <v>-3.2294309999999999</v>
      </c>
      <c r="T2089">
        <v>-0.99423269999999997</v>
      </c>
      <c r="U2089">
        <v>0.37829590000000002</v>
      </c>
      <c r="V2089">
        <v>3.6183769999999997E-2</v>
      </c>
      <c r="W2089">
        <v>0.2005459</v>
      </c>
      <c r="X2089">
        <v>0.97901590000000005</v>
      </c>
      <c r="Y2089">
        <v>9.9561739999999996E-2</v>
      </c>
      <c r="Z2089">
        <v>1.196232E-2</v>
      </c>
      <c r="AA2089">
        <v>0.9949595</v>
      </c>
      <c r="AB2089">
        <v>36</v>
      </c>
      <c r="AC2089">
        <v>-0.57029999999997405</v>
      </c>
      <c r="AD2089">
        <v>-0.24137890000000001</v>
      </c>
      <c r="AE2089">
        <v>8.9499999999986798E-2</v>
      </c>
      <c r="AF2089">
        <v>7.00399096286944E-2</v>
      </c>
      <c r="AG2089">
        <v>-0.24137890000000001</v>
      </c>
      <c r="AH2089">
        <v>0.486354389842302</v>
      </c>
      <c r="AI2089">
        <v>116.16187747644901</v>
      </c>
      <c r="AJ2089">
        <v>81.805173738137896</v>
      </c>
      <c r="AK2089">
        <v>0.54745771966872803</v>
      </c>
      <c r="AL2089">
        <v>78.431116740243098</v>
      </c>
      <c r="AM2089">
        <v>87.883349903067497</v>
      </c>
      <c r="AN2089">
        <v>1.0000000278355099</v>
      </c>
    </row>
    <row r="2090" spans="1:40" x14ac:dyDescent="0.25">
      <c r="A2090" t="str">
        <f>"20190303162820221"</f>
        <v>20190303162820221</v>
      </c>
      <c r="B2090" t="str">
        <f>"1551601700213822"</f>
        <v>1551601700213822</v>
      </c>
      <c r="C2090" t="s">
        <v>40</v>
      </c>
      <c r="D2090">
        <v>4.5710230000000003</v>
      </c>
      <c r="E2090">
        <v>0.53232199999999996</v>
      </c>
      <c r="F2090" t="s">
        <v>44</v>
      </c>
      <c r="G2090">
        <v>-362.90480000000002</v>
      </c>
      <c r="H2090">
        <v>0.85019089999999997</v>
      </c>
      <c r="I2090">
        <v>284.75700000000001</v>
      </c>
      <c r="J2090">
        <v>-362.24299999999999</v>
      </c>
      <c r="K2090">
        <v>1.1213740000000001</v>
      </c>
      <c r="L2090">
        <v>284.65719999999999</v>
      </c>
      <c r="M2090">
        <v>-0.999838</v>
      </c>
      <c r="N2090">
        <v>-1.292866E-2</v>
      </c>
      <c r="O2090">
        <v>1.252616E-2</v>
      </c>
      <c r="P2090">
        <v>-0.98094049999999999</v>
      </c>
      <c r="Q2090">
        <v>0.18816069999999999</v>
      </c>
      <c r="R2090">
        <v>4.8492220000000003E-2</v>
      </c>
      <c r="S2090">
        <v>-3.230591</v>
      </c>
      <c r="T2090">
        <v>-0.99830249999999998</v>
      </c>
      <c r="U2090">
        <v>0.37622070000000002</v>
      </c>
      <c r="V2090">
        <v>3.6119720000000001E-2</v>
      </c>
      <c r="W2090">
        <v>0.20084859999999999</v>
      </c>
      <c r="X2090">
        <v>0.97895620000000005</v>
      </c>
      <c r="Y2090">
        <v>9.8992759999999999E-2</v>
      </c>
      <c r="Z2090">
        <v>1.1944649999999999E-2</v>
      </c>
      <c r="AA2090">
        <v>0.99501649999999997</v>
      </c>
      <c r="AB2090">
        <v>36</v>
      </c>
      <c r="AC2090">
        <v>-0.66179999999997097</v>
      </c>
      <c r="AD2090">
        <v>-0.27118309999999901</v>
      </c>
      <c r="AE2090">
        <v>9.9800000000016098E-2</v>
      </c>
      <c r="AF2090">
        <v>7.8597883675651001E-2</v>
      </c>
      <c r="AG2090">
        <v>-0.27118309999999901</v>
      </c>
      <c r="AH2090">
        <v>0.56950070656431795</v>
      </c>
      <c r="AI2090">
        <v>115.253522054531</v>
      </c>
      <c r="AJ2090">
        <v>82.142139097221204</v>
      </c>
      <c r="AK2090">
        <v>0.635648453015626</v>
      </c>
      <c r="AL2090">
        <v>78.413412981102496</v>
      </c>
      <c r="AM2090">
        <v>87.886964516039995</v>
      </c>
      <c r="AN2090">
        <v>1.00000001790663</v>
      </c>
    </row>
    <row r="2091" spans="1:40" x14ac:dyDescent="0.25">
      <c r="A2091" t="str">
        <f>"20190303162820236"</f>
        <v>20190303162820236</v>
      </c>
      <c r="B2091" t="str">
        <f>"1551601700223582"</f>
        <v>1551601700223582</v>
      </c>
      <c r="C2091" t="s">
        <v>40</v>
      </c>
      <c r="D2091">
        <v>4.5443889999999998</v>
      </c>
      <c r="E2091">
        <v>0.53217829999999999</v>
      </c>
      <c r="F2091" t="s">
        <v>44</v>
      </c>
      <c r="G2091">
        <v>-362.92919999999998</v>
      </c>
      <c r="H2091">
        <v>0.90995599999999999</v>
      </c>
      <c r="I2091">
        <v>284.73719999999997</v>
      </c>
      <c r="J2091">
        <v>-362.45979999999997</v>
      </c>
      <c r="K2091">
        <v>1.1213740000000001</v>
      </c>
      <c r="L2091">
        <v>284.65980000000002</v>
      </c>
      <c r="M2091">
        <v>-0.99983960000000005</v>
      </c>
      <c r="N2091">
        <v>-1.2921449999999999E-2</v>
      </c>
      <c r="O2091">
        <v>1.2414639999999999E-2</v>
      </c>
      <c r="P2091">
        <v>-0.98094159999999997</v>
      </c>
      <c r="Q2091">
        <v>0.18821940000000001</v>
      </c>
      <c r="R2091">
        <v>4.8240720000000001E-2</v>
      </c>
      <c r="S2091">
        <v>-3.2306819999999998</v>
      </c>
      <c r="T2091">
        <v>-0.99550810000000001</v>
      </c>
      <c r="U2091">
        <v>0.37542720000000002</v>
      </c>
      <c r="V2091">
        <v>3.5977790000000003E-2</v>
      </c>
      <c r="W2091">
        <v>0.2009</v>
      </c>
      <c r="X2091">
        <v>0.97895089999999996</v>
      </c>
      <c r="Y2091">
        <v>9.8882629999999999E-2</v>
      </c>
      <c r="Z2091">
        <v>1.192899E-2</v>
      </c>
      <c r="AA2091">
        <v>0.99502760000000001</v>
      </c>
      <c r="AB2091">
        <v>36</v>
      </c>
      <c r="AC2091">
        <v>-0.46940000000000698</v>
      </c>
      <c r="AD2091">
        <v>-0.211417999999999</v>
      </c>
      <c r="AE2091">
        <v>7.7399999999954602E-2</v>
      </c>
      <c r="AF2091">
        <v>5.97633854172522E-2</v>
      </c>
      <c r="AG2091">
        <v>-0.211417999999999</v>
      </c>
      <c r="AH2091">
        <v>0.39275851802343398</v>
      </c>
      <c r="AI2091">
        <v>118.020324174967</v>
      </c>
      <c r="AJ2091">
        <v>81.348059200852504</v>
      </c>
      <c r="AK2091">
        <v>0.45003165048749</v>
      </c>
      <c r="AL2091">
        <v>78.410406937170393</v>
      </c>
      <c r="AM2091">
        <v>87.895248679233802</v>
      </c>
      <c r="AN2091">
        <v>1.00000003799204</v>
      </c>
    </row>
    <row r="2092" spans="1:40" x14ac:dyDescent="0.25">
      <c r="A2092" t="str">
        <f>"20190303162820250"</f>
        <v>20190303162820250</v>
      </c>
      <c r="B2092" t="str">
        <f>"1551601700243103"</f>
        <v>1551601700243103</v>
      </c>
      <c r="C2092" t="s">
        <v>40</v>
      </c>
      <c r="D2092">
        <v>4.5381330000000002</v>
      </c>
      <c r="E2092">
        <v>0.53171950000000001</v>
      </c>
      <c r="F2092" t="s">
        <v>44</v>
      </c>
      <c r="G2092">
        <v>-363.23689999999999</v>
      </c>
      <c r="H2092">
        <v>0.88233439999999996</v>
      </c>
      <c r="I2092">
        <v>284.74990000000003</v>
      </c>
      <c r="J2092">
        <v>-362.7038</v>
      </c>
      <c r="K2092">
        <v>1.121373</v>
      </c>
      <c r="L2092">
        <v>284.66269999999997</v>
      </c>
      <c r="M2092">
        <v>-0.99984110000000004</v>
      </c>
      <c r="N2092">
        <v>-1.291379E-2</v>
      </c>
      <c r="O2092">
        <v>1.228959E-2</v>
      </c>
      <c r="P2092">
        <v>-0.98092590000000002</v>
      </c>
      <c r="Q2092">
        <v>0.18831719999999999</v>
      </c>
      <c r="R2092">
        <v>4.818074E-2</v>
      </c>
      <c r="S2092">
        <v>-3.2306210000000002</v>
      </c>
      <c r="T2092">
        <v>-0.99381140000000001</v>
      </c>
      <c r="U2092">
        <v>0.37365720000000002</v>
      </c>
      <c r="V2092">
        <v>3.6041129999999998E-2</v>
      </c>
      <c r="W2092">
        <v>0.2009901</v>
      </c>
      <c r="X2092">
        <v>0.97893010000000003</v>
      </c>
      <c r="Y2092">
        <v>9.8497639999999997E-2</v>
      </c>
      <c r="Z2092">
        <v>1.1886509999999999E-2</v>
      </c>
      <c r="AA2092">
        <v>0.99506629999999996</v>
      </c>
      <c r="AB2092">
        <v>36</v>
      </c>
      <c r="AC2092">
        <v>-0.53309999999999003</v>
      </c>
      <c r="AD2092">
        <v>-0.23903859999999899</v>
      </c>
      <c r="AE2092">
        <v>8.7200000000052499E-2</v>
      </c>
      <c r="AF2092">
        <v>6.74361127406852E-2</v>
      </c>
      <c r="AG2092">
        <v>-0.23903859999999899</v>
      </c>
      <c r="AH2092">
        <v>0.44666636389007802</v>
      </c>
      <c r="AI2092">
        <v>117.886205380748</v>
      </c>
      <c r="AJ2092">
        <v>81.414525522356598</v>
      </c>
      <c r="AK2092">
        <v>0.51107526082008503</v>
      </c>
      <c r="AL2092">
        <v>78.405137378575802</v>
      </c>
      <c r="AM2092">
        <v>87.891501782283797</v>
      </c>
      <c r="AN2092">
        <v>1.00000006201784</v>
      </c>
    </row>
    <row r="2093" spans="1:40" x14ac:dyDescent="0.25">
      <c r="A2093" t="str">
        <f>"20190303162820271"</f>
        <v>20190303162820271</v>
      </c>
      <c r="B2093" t="str">
        <f>"1551601700263598"</f>
        <v>1551601700263598</v>
      </c>
      <c r="C2093" t="s">
        <v>40</v>
      </c>
      <c r="D2093">
        <v>4.5236190000000001</v>
      </c>
      <c r="E2093">
        <v>0.53145659999999995</v>
      </c>
      <c r="F2093" t="s">
        <v>44</v>
      </c>
      <c r="G2093">
        <v>-363.54689999999999</v>
      </c>
      <c r="H2093">
        <v>0.85950079999999995</v>
      </c>
      <c r="I2093">
        <v>284.75909999999999</v>
      </c>
      <c r="J2093">
        <v>-363.03070000000002</v>
      </c>
      <c r="K2093">
        <v>1.121373</v>
      </c>
      <c r="L2093">
        <v>284.66649999999998</v>
      </c>
      <c r="M2093">
        <v>-0.99984340000000005</v>
      </c>
      <c r="N2093">
        <v>-1.2904399999999899E-2</v>
      </c>
      <c r="O2093">
        <v>1.212212E-2</v>
      </c>
      <c r="P2093">
        <v>-0.98090100000000002</v>
      </c>
      <c r="Q2093">
        <v>0.18847410000000001</v>
      </c>
      <c r="R2093">
        <v>4.8073600000000001E-2</v>
      </c>
      <c r="S2093">
        <v>-3.232971</v>
      </c>
      <c r="T2093">
        <v>-1.0041960000000001</v>
      </c>
      <c r="U2093">
        <v>0.36932369999999998</v>
      </c>
      <c r="V2093">
        <v>3.6098659999999998E-2</v>
      </c>
      <c r="W2093">
        <v>0.20113780000000001</v>
      </c>
      <c r="X2093">
        <v>0.97889760000000003</v>
      </c>
      <c r="Y2093">
        <v>9.7240880000000002E-2</v>
      </c>
      <c r="Z2093">
        <v>1.1839880000000001E-2</v>
      </c>
      <c r="AA2093">
        <v>0.99519040000000003</v>
      </c>
      <c r="AB2093">
        <v>36</v>
      </c>
      <c r="AC2093">
        <v>-0.51619999999996902</v>
      </c>
      <c r="AD2093">
        <v>-0.2618722</v>
      </c>
      <c r="AE2093">
        <v>9.2600000000004401E-2</v>
      </c>
      <c r="AF2093">
        <v>6.9104822566300295E-2</v>
      </c>
      <c r="AG2093">
        <v>-0.2618722</v>
      </c>
      <c r="AH2093">
        <v>0.41404722543364503</v>
      </c>
      <c r="AI2093">
        <v>121.957575666474</v>
      </c>
      <c r="AJ2093">
        <v>80.524624733456093</v>
      </c>
      <c r="AK2093">
        <v>0.49476017475546602</v>
      </c>
      <c r="AL2093">
        <v>78.396497868153602</v>
      </c>
      <c r="AM2093">
        <v>87.888069123753993</v>
      </c>
      <c r="AN2093">
        <v>1.00000001956419</v>
      </c>
    </row>
    <row r="2094" spans="1:40" x14ac:dyDescent="0.25">
      <c r="A2094" t="str">
        <f>"20190303162820284"</f>
        <v>20190303162820284</v>
      </c>
      <c r="B2094" t="str">
        <f>"1551601700273359"</f>
        <v>1551601700273359</v>
      </c>
      <c r="C2094" t="s">
        <v>40</v>
      </c>
      <c r="D2094">
        <v>4.5097189999999996</v>
      </c>
      <c r="E2094">
        <v>0.53134550000000003</v>
      </c>
      <c r="F2094" t="s">
        <v>44</v>
      </c>
      <c r="G2094">
        <v>-363.8664</v>
      </c>
      <c r="H2094">
        <v>0.86057079999999997</v>
      </c>
      <c r="I2094">
        <v>284.7611</v>
      </c>
      <c r="J2094">
        <v>-363.2285</v>
      </c>
      <c r="K2094">
        <v>1.12137</v>
      </c>
      <c r="L2094">
        <v>284.66879999999998</v>
      </c>
      <c r="M2094">
        <v>-0.99984459999999997</v>
      </c>
      <c r="N2094">
        <v>-1.289908E-2</v>
      </c>
      <c r="O2094">
        <v>1.202078E-2</v>
      </c>
      <c r="P2094">
        <v>-0.98086569999999995</v>
      </c>
      <c r="Q2094">
        <v>0.18862950000000001</v>
      </c>
      <c r="R2094">
        <v>4.8179939999999997E-2</v>
      </c>
      <c r="S2094">
        <v>-3.2344059999999999</v>
      </c>
      <c r="T2094">
        <v>-1.0093270000000001</v>
      </c>
      <c r="U2094">
        <v>0.3659058</v>
      </c>
      <c r="V2094">
        <v>3.6304749999999997E-2</v>
      </c>
      <c r="W2094">
        <v>0.2012872</v>
      </c>
      <c r="X2094">
        <v>0.97885919999999904</v>
      </c>
      <c r="Y2094">
        <v>9.625947E-2</v>
      </c>
      <c r="Z2094">
        <v>1.1763330000000001E-2</v>
      </c>
      <c r="AA2094">
        <v>0.99528680000000003</v>
      </c>
      <c r="AB2094">
        <v>36</v>
      </c>
      <c r="AC2094">
        <v>-0.63790000000000102</v>
      </c>
      <c r="AD2094">
        <v>-0.26079919999999901</v>
      </c>
      <c r="AE2094">
        <v>9.2300000000022905E-2</v>
      </c>
      <c r="AF2094">
        <v>7.2718906679789697E-2</v>
      </c>
      <c r="AG2094">
        <v>-0.26079919999999901</v>
      </c>
      <c r="AH2094">
        <v>0.54906856666986703</v>
      </c>
      <c r="AI2094">
        <v>115.214481741334</v>
      </c>
      <c r="AJ2094">
        <v>82.455625437574</v>
      </c>
      <c r="AK2094">
        <v>0.61219323176121898</v>
      </c>
      <c r="AL2094">
        <v>78.387758362715303</v>
      </c>
      <c r="AM2094">
        <v>87.875939715350896</v>
      </c>
      <c r="AN2094">
        <v>0.99999995259051999</v>
      </c>
    </row>
    <row r="2095" spans="1:40" x14ac:dyDescent="0.25">
      <c r="A2095" t="str">
        <f>"20190303162820296"</f>
        <v>20190303162820296</v>
      </c>
      <c r="B2095" t="str">
        <f>"1551601700293855"</f>
        <v>1551601700293855</v>
      </c>
      <c r="C2095" t="s">
        <v>40</v>
      </c>
      <c r="D2095">
        <v>4.4919019999999996</v>
      </c>
      <c r="E2095">
        <v>0.53125829999999996</v>
      </c>
      <c r="F2095" t="s">
        <v>44</v>
      </c>
      <c r="G2095">
        <v>-364.17169999999999</v>
      </c>
      <c r="H2095">
        <v>0.82649209999999995</v>
      </c>
      <c r="I2095">
        <v>284.7756</v>
      </c>
      <c r="J2095">
        <v>-363.4391</v>
      </c>
      <c r="K2095">
        <v>1.1213690000000001</v>
      </c>
      <c r="L2095">
        <v>284.67110000000002</v>
      </c>
      <c r="M2095">
        <v>-0.99984589999999995</v>
      </c>
      <c r="N2095">
        <v>-1.289393E-2</v>
      </c>
      <c r="O2095">
        <v>1.19124E-2</v>
      </c>
      <c r="P2095">
        <v>-0.98084360000000004</v>
      </c>
      <c r="Q2095">
        <v>0.18870960000000001</v>
      </c>
      <c r="R2095">
        <v>4.8317859999999997E-2</v>
      </c>
      <c r="S2095">
        <v>-3.2351380000000001</v>
      </c>
      <c r="T2095">
        <v>-1.0115160000000001</v>
      </c>
      <c r="U2095">
        <v>0.36499019999999999</v>
      </c>
      <c r="V2095">
        <v>3.6549680000000001E-2</v>
      </c>
      <c r="W2095">
        <v>0.20136190000000001</v>
      </c>
      <c r="X2095">
        <v>0.97883469999999995</v>
      </c>
      <c r="Y2095">
        <v>9.6053830000000007E-2</v>
      </c>
      <c r="Z2095">
        <v>1.1782529999999999E-2</v>
      </c>
      <c r="AA2095">
        <v>0.99530640000000004</v>
      </c>
      <c r="AB2095">
        <v>36</v>
      </c>
      <c r="AC2095">
        <v>-0.73259999999999004</v>
      </c>
      <c r="AD2095">
        <v>-0.2948769</v>
      </c>
      <c r="AE2095">
        <v>0.104499999999973</v>
      </c>
      <c r="AF2095">
        <v>8.2642704111128798E-2</v>
      </c>
      <c r="AG2095">
        <v>-0.2948769</v>
      </c>
      <c r="AH2095">
        <v>0.63324533430140695</v>
      </c>
      <c r="AI2095">
        <v>114.78485771668601</v>
      </c>
      <c r="AJ2095">
        <v>82.5645453061544</v>
      </c>
      <c r="AK2095">
        <v>0.70340731877832297</v>
      </c>
      <c r="AL2095">
        <v>78.383388657585598</v>
      </c>
      <c r="AM2095">
        <v>87.861569527721002</v>
      </c>
      <c r="AN2095">
        <v>0.99999993190189895</v>
      </c>
    </row>
    <row r="2096" spans="1:40" x14ac:dyDescent="0.25">
      <c r="A2096" t="str">
        <f>"20190303162820316"</f>
        <v>20190303162820316</v>
      </c>
      <c r="B2096" t="str">
        <f>"1551601700313233"</f>
        <v>1551601700313233</v>
      </c>
      <c r="C2096" t="s">
        <v>40</v>
      </c>
      <c r="D2096">
        <v>4.4331160000000001</v>
      </c>
      <c r="E2096">
        <v>0.53120719999999899</v>
      </c>
      <c r="F2096" t="s">
        <v>44</v>
      </c>
      <c r="G2096">
        <v>-364.19490000000002</v>
      </c>
      <c r="H2096">
        <v>0.88424369999999997</v>
      </c>
      <c r="I2096">
        <v>284.7568</v>
      </c>
      <c r="J2096">
        <v>-363.74079999999998</v>
      </c>
      <c r="K2096">
        <v>1.121373</v>
      </c>
      <c r="L2096">
        <v>284.67450000000002</v>
      </c>
      <c r="M2096">
        <v>-0.99984799999999996</v>
      </c>
      <c r="N2096">
        <v>-1.2887020000000001E-2</v>
      </c>
      <c r="O2096">
        <v>1.175677E-2</v>
      </c>
      <c r="P2096">
        <v>-0.98080529999999999</v>
      </c>
      <c r="Q2096">
        <v>0.18880949999999999</v>
      </c>
      <c r="R2096">
        <v>4.8709809999999999E-2</v>
      </c>
      <c r="S2096">
        <v>-3.2359309999999999</v>
      </c>
      <c r="T2096">
        <v>-1.015201</v>
      </c>
      <c r="U2096">
        <v>0.36483759999999998</v>
      </c>
      <c r="V2096">
        <v>3.7095110000000001E-2</v>
      </c>
      <c r="W2096">
        <v>0.20145489999999999</v>
      </c>
      <c r="X2096">
        <v>0.97879510000000003</v>
      </c>
      <c r="Y2096">
        <v>9.6099000000000004E-2</v>
      </c>
      <c r="Z2096">
        <v>1.187065E-2</v>
      </c>
      <c r="AA2096">
        <v>0.99530099999999999</v>
      </c>
      <c r="AB2096">
        <v>36</v>
      </c>
      <c r="AC2096">
        <v>-0.45410000000003897</v>
      </c>
      <c r="AD2096">
        <v>-0.23712929999999899</v>
      </c>
      <c r="AE2096">
        <v>8.2299999999975101E-2</v>
      </c>
      <c r="AF2096">
        <v>6.0881409845711998E-2</v>
      </c>
      <c r="AG2096">
        <v>-0.23712929999999899</v>
      </c>
      <c r="AH2096">
        <v>0.35999229274530098</v>
      </c>
      <c r="AI2096">
        <v>123.00308293974901</v>
      </c>
      <c r="AJ2096">
        <v>80.401041175440398</v>
      </c>
      <c r="AK2096">
        <v>0.43535192869598099</v>
      </c>
      <c r="AL2096">
        <v>78.377949305723504</v>
      </c>
      <c r="AM2096">
        <v>87.829600351071804</v>
      </c>
      <c r="AN2096">
        <v>0.99999998585196503</v>
      </c>
    </row>
    <row r="2097" spans="1:40" x14ac:dyDescent="0.25">
      <c r="A2097" t="str">
        <f>"20190303162820338"</f>
        <v>20190303162820338</v>
      </c>
      <c r="B2097" t="str">
        <f>"1551601700333728"</f>
        <v>1551601700333728</v>
      </c>
      <c r="C2097" t="s">
        <v>40</v>
      </c>
      <c r="D2097">
        <v>4.4371460000000003</v>
      </c>
      <c r="E2097">
        <v>0.53115179999999995</v>
      </c>
      <c r="F2097" t="s">
        <v>44</v>
      </c>
      <c r="G2097">
        <v>-364.51170000000002</v>
      </c>
      <c r="H2097">
        <v>0.87903249999999999</v>
      </c>
      <c r="I2097">
        <v>284.76170000000002</v>
      </c>
      <c r="J2097">
        <v>-364.10770000000002</v>
      </c>
      <c r="K2097">
        <v>1.121373</v>
      </c>
      <c r="L2097">
        <v>284.67860000000002</v>
      </c>
      <c r="M2097">
        <v>-0.99985020000000002</v>
      </c>
      <c r="N2097">
        <v>-1.2879450000000001E-2</v>
      </c>
      <c r="O2097">
        <v>1.1566089999999999E-2</v>
      </c>
      <c r="P2097">
        <v>-0.98083310000000001</v>
      </c>
      <c r="Q2097">
        <v>0.18853130000000001</v>
      </c>
      <c r="R2097">
        <v>4.9219609999999997E-2</v>
      </c>
      <c r="S2097">
        <v>-3.2363590000000002</v>
      </c>
      <c r="T2097">
        <v>-1.017436</v>
      </c>
      <c r="U2097">
        <v>0.36602780000000001</v>
      </c>
      <c r="V2097">
        <v>3.7791569999999997E-2</v>
      </c>
      <c r="W2097">
        <v>0.20116999999999999</v>
      </c>
      <c r="X2097">
        <v>0.97882709999999995</v>
      </c>
      <c r="Y2097">
        <v>9.658651E-2</v>
      </c>
      <c r="Z2097">
        <v>1.20257E-2</v>
      </c>
      <c r="AA2097">
        <v>0.99525200000000003</v>
      </c>
      <c r="AB2097">
        <v>36</v>
      </c>
      <c r="AC2097">
        <v>-0.40399999999999597</v>
      </c>
      <c r="AD2097">
        <v>-0.24234049999999899</v>
      </c>
      <c r="AE2097">
        <v>8.31000000000017E-2</v>
      </c>
      <c r="AF2097">
        <v>5.8296421309313902E-2</v>
      </c>
      <c r="AG2097">
        <v>-0.24234049999999899</v>
      </c>
      <c r="AH2097">
        <v>0.30101768887493602</v>
      </c>
      <c r="AI2097">
        <v>128.32231539612101</v>
      </c>
      <c r="AJ2097">
        <v>79.039528403930007</v>
      </c>
      <c r="AK2097">
        <v>0.39081842291955798</v>
      </c>
      <c r="AL2097">
        <v>78.394614588837996</v>
      </c>
      <c r="AM2097">
        <v>87.788963425996002</v>
      </c>
      <c r="AN2097">
        <v>1.0000000316787301</v>
      </c>
    </row>
    <row r="2098" spans="1:40" x14ac:dyDescent="0.25">
      <c r="A2098" t="str">
        <f>"20190303162820350"</f>
        <v>20190303162820350</v>
      </c>
      <c r="B2098" t="str">
        <f>"1551601700343489"</f>
        <v>1551601700343489</v>
      </c>
      <c r="C2098" t="s">
        <v>40</v>
      </c>
      <c r="D2098">
        <v>4.4452579999999999</v>
      </c>
      <c r="E2098">
        <v>0.53114269999999997</v>
      </c>
      <c r="F2098" t="s">
        <v>44</v>
      </c>
      <c r="G2098">
        <v>-364.83569999999997</v>
      </c>
      <c r="H2098">
        <v>0.89189850000000004</v>
      </c>
      <c r="I2098">
        <v>284.76159999999999</v>
      </c>
      <c r="J2098">
        <v>-364.29750000000001</v>
      </c>
      <c r="K2098">
        <v>1.1213709999999999</v>
      </c>
      <c r="L2098">
        <v>284.6807</v>
      </c>
      <c r="M2098">
        <v>-0.9998515</v>
      </c>
      <c r="N2098">
        <v>-1.2875899999999999E-2</v>
      </c>
      <c r="O2098">
        <v>1.146604E-2</v>
      </c>
      <c r="P2098">
        <v>-0.980854</v>
      </c>
      <c r="Q2098">
        <v>0.18839549999999999</v>
      </c>
      <c r="R2098">
        <v>4.9323770000000003E-2</v>
      </c>
      <c r="S2098">
        <v>-3.236237</v>
      </c>
      <c r="T2098">
        <v>-1.020189</v>
      </c>
      <c r="U2098">
        <v>0.36730960000000001</v>
      </c>
      <c r="V2098">
        <v>3.7993270000000003E-2</v>
      </c>
      <c r="W2098">
        <v>0.20103080000000001</v>
      </c>
      <c r="X2098">
        <v>0.97884789999999999</v>
      </c>
      <c r="Y2098">
        <v>9.7030699999999998E-2</v>
      </c>
      <c r="Z2098">
        <v>1.2155269999999999E-2</v>
      </c>
      <c r="AA2098">
        <v>0.99520719999999996</v>
      </c>
      <c r="AB2098">
        <v>36</v>
      </c>
      <c r="AC2098">
        <v>-0.53819999999996004</v>
      </c>
      <c r="AD2098">
        <v>-0.229472499999999</v>
      </c>
      <c r="AE2098">
        <v>8.0899999999985497E-2</v>
      </c>
      <c r="AF2098">
        <v>6.3444339981932996E-2</v>
      </c>
      <c r="AG2098">
        <v>-0.229472499999999</v>
      </c>
      <c r="AH2098">
        <v>0.45772101293294198</v>
      </c>
      <c r="AI2098">
        <v>116.408506525189</v>
      </c>
      <c r="AJ2098">
        <v>82.108560037809099</v>
      </c>
      <c r="AK2098">
        <v>0.51593733942442299</v>
      </c>
      <c r="AL2098">
        <v>78.402756607301598</v>
      </c>
      <c r="AM2098">
        <v>87.777221742245899</v>
      </c>
      <c r="AN2098">
        <v>1.0000000412241701</v>
      </c>
    </row>
    <row r="2099" spans="1:40" x14ac:dyDescent="0.25">
      <c r="A2099" t="str">
        <f>"20190303162820362"</f>
        <v>20190303162820362</v>
      </c>
      <c r="B2099" t="str">
        <f>"1551601700353249"</f>
        <v>1551601700353249</v>
      </c>
      <c r="C2099" t="s">
        <v>40</v>
      </c>
      <c r="D2099">
        <v>4.396649</v>
      </c>
      <c r="E2099">
        <v>0.53111629999999999</v>
      </c>
      <c r="F2099" t="s">
        <v>44</v>
      </c>
      <c r="G2099">
        <v>-365.13979999999998</v>
      </c>
      <c r="H2099">
        <v>0.85563210000000001</v>
      </c>
      <c r="I2099">
        <v>284.77640000000002</v>
      </c>
      <c r="J2099">
        <v>-364.49110000000002</v>
      </c>
      <c r="K2099">
        <v>1.1213679999999999</v>
      </c>
      <c r="L2099">
        <v>284.68279999999999</v>
      </c>
      <c r="M2099">
        <v>-0.99985259999999998</v>
      </c>
      <c r="N2099">
        <v>-1.2872410000000001E-2</v>
      </c>
      <c r="O2099">
        <v>1.136383E-2</v>
      </c>
      <c r="P2099">
        <v>-0.98085619999999996</v>
      </c>
      <c r="Q2099">
        <v>0.18841869999999999</v>
      </c>
      <c r="R2099">
        <v>4.9191209999999999E-2</v>
      </c>
      <c r="S2099">
        <v>-3.2361759999999999</v>
      </c>
      <c r="T2099">
        <v>-1.0209629999999901</v>
      </c>
      <c r="U2099">
        <v>0.36761470000000002</v>
      </c>
      <c r="V2099">
        <v>3.7960819999999999E-2</v>
      </c>
      <c r="W2099">
        <v>0.20105039999999999</v>
      </c>
      <c r="X2099">
        <v>0.97884510000000002</v>
      </c>
      <c r="Y2099">
        <v>9.7207470000000004E-2</v>
      </c>
      <c r="Z2099">
        <v>1.2221859999999999E-2</v>
      </c>
      <c r="AA2099">
        <v>0.99518910000000005</v>
      </c>
      <c r="AB2099">
        <v>36</v>
      </c>
      <c r="AC2099">
        <v>-0.64869999999996197</v>
      </c>
      <c r="AD2099">
        <v>-0.26573589999999903</v>
      </c>
      <c r="AE2099">
        <v>9.3600000000037598E-2</v>
      </c>
      <c r="AF2099">
        <v>7.4049031721343403E-2</v>
      </c>
      <c r="AG2099">
        <v>-0.26573589999999903</v>
      </c>
      <c r="AH2099">
        <v>0.55799542255488299</v>
      </c>
      <c r="AI2099">
        <v>115.27172878127899</v>
      </c>
      <c r="AJ2099">
        <v>82.440706408647998</v>
      </c>
      <c r="AK2099">
        <v>0.62246101824924005</v>
      </c>
      <c r="AL2099">
        <v>78.401609818966904</v>
      </c>
      <c r="AM2099">
        <v>87.779111965780601</v>
      </c>
      <c r="AN2099">
        <v>1.0000000084946199</v>
      </c>
    </row>
    <row r="2100" spans="1:40" x14ac:dyDescent="0.25">
      <c r="A2100" t="str">
        <f>"20190303162820376"</f>
        <v>20190303162820376</v>
      </c>
      <c r="B2100" t="str">
        <f>"1551601700373745"</f>
        <v>1551601700373745</v>
      </c>
      <c r="C2100" t="s">
        <v>40</v>
      </c>
      <c r="D2100">
        <v>4.4338050000000004</v>
      </c>
      <c r="E2100">
        <v>0.53108330000000004</v>
      </c>
      <c r="F2100" t="s">
        <v>44</v>
      </c>
      <c r="G2100">
        <v>-365.1619</v>
      </c>
      <c r="H2100">
        <v>0.90959950000000001</v>
      </c>
      <c r="I2100">
        <v>284.75889999999998</v>
      </c>
      <c r="J2100">
        <v>-364.69850000000002</v>
      </c>
      <c r="K2100">
        <v>1.1213690000000001</v>
      </c>
      <c r="L2100">
        <v>284.685</v>
      </c>
      <c r="M2100">
        <v>-0.99985400000000002</v>
      </c>
      <c r="N2100">
        <v>-1.2869E-2</v>
      </c>
      <c r="O2100">
        <v>1.1252679999999999E-2</v>
      </c>
      <c r="P2100">
        <v>-0.98081529999999995</v>
      </c>
      <c r="Q2100">
        <v>0.1886391</v>
      </c>
      <c r="R2100">
        <v>4.9159960000000003E-2</v>
      </c>
      <c r="S2100">
        <v>-3.2363590000000002</v>
      </c>
      <c r="T2100">
        <v>-1.0215959999999999</v>
      </c>
      <c r="U2100">
        <v>0.36743160000000002</v>
      </c>
      <c r="V2100">
        <v>3.8038379999999997E-2</v>
      </c>
      <c r="W2100">
        <v>0.2012671</v>
      </c>
      <c r="X2100">
        <v>0.97879760000000005</v>
      </c>
      <c r="Y2100">
        <v>9.7244720000000007E-2</v>
      </c>
      <c r="Z2100">
        <v>1.2266569999999999E-2</v>
      </c>
      <c r="AA2100">
        <v>0.99518490000000004</v>
      </c>
      <c r="AB2100">
        <v>36</v>
      </c>
      <c r="AC2100">
        <v>-0.463399999999978</v>
      </c>
      <c r="AD2100">
        <v>-0.211769499999999</v>
      </c>
      <c r="AE2100">
        <v>7.3899999999980495E-2</v>
      </c>
      <c r="AF2100">
        <v>5.7059582505417601E-2</v>
      </c>
      <c r="AG2100">
        <v>-0.211769499999999</v>
      </c>
      <c r="AH2100">
        <v>0.38565864999861499</v>
      </c>
      <c r="AI2100">
        <v>118.510723143771</v>
      </c>
      <c r="AJ2100">
        <v>81.583939135206705</v>
      </c>
      <c r="AK2100">
        <v>0.44366058130590902</v>
      </c>
      <c r="AL2100">
        <v>78.388935249658701</v>
      </c>
      <c r="AM2100">
        <v>87.774471006845104</v>
      </c>
      <c r="AN2100">
        <v>1.0000000528305899</v>
      </c>
    </row>
    <row r="2101" spans="1:40" x14ac:dyDescent="0.25">
      <c r="A2101" t="str">
        <f>"20190303162820394"</f>
        <v>20190303162820394</v>
      </c>
      <c r="B2101" t="str">
        <f>"1551601700383505"</f>
        <v>1551601700383505</v>
      </c>
      <c r="C2101" t="s">
        <v>40</v>
      </c>
      <c r="D2101">
        <v>4.4228069999999997</v>
      </c>
      <c r="E2101">
        <v>0.53108339999999998</v>
      </c>
      <c r="F2101" t="s">
        <v>44</v>
      </c>
      <c r="G2101">
        <v>-365.4676</v>
      </c>
      <c r="H2101">
        <v>0.87829629999999903</v>
      </c>
      <c r="I2101">
        <v>284.77260000000001</v>
      </c>
      <c r="J2101">
        <v>-364.983</v>
      </c>
      <c r="K2101">
        <v>1.121373</v>
      </c>
      <c r="L2101">
        <v>284.68799999999999</v>
      </c>
      <c r="M2101">
        <v>-0.99985570000000001</v>
      </c>
      <c r="N2101">
        <v>-1.28646E-2</v>
      </c>
      <c r="O2101">
        <v>1.1097940000000001E-2</v>
      </c>
      <c r="P2101">
        <v>-0.98073489999999997</v>
      </c>
      <c r="Q2101">
        <v>0.18913430000000001</v>
      </c>
      <c r="R2101">
        <v>4.8862540000000003E-2</v>
      </c>
      <c r="S2101">
        <v>-3.2370909999999999</v>
      </c>
      <c r="T2101">
        <v>-1.0231570000000001</v>
      </c>
      <c r="U2101">
        <v>0.36679079999999997</v>
      </c>
      <c r="V2101">
        <v>3.7892670000000003E-2</v>
      </c>
      <c r="W2101">
        <v>0.20175709999999999</v>
      </c>
      <c r="X2101">
        <v>0.97870230000000003</v>
      </c>
      <c r="Y2101">
        <v>9.7165180000000004E-2</v>
      </c>
      <c r="Z2101">
        <v>1.2313589999999999E-2</v>
      </c>
      <c r="AA2101">
        <v>0.99519210000000002</v>
      </c>
      <c r="AB2101">
        <v>36</v>
      </c>
      <c r="AC2101">
        <v>-0.48459999999999998</v>
      </c>
      <c r="AD2101">
        <v>-0.24307670000000001</v>
      </c>
      <c r="AE2101">
        <v>8.4600000000023101E-2</v>
      </c>
      <c r="AF2101">
        <v>6.3670293916400306E-2</v>
      </c>
      <c r="AG2101">
        <v>-0.24307670000000001</v>
      </c>
      <c r="AH2101">
        <v>0.39022921863286703</v>
      </c>
      <c r="AI2101">
        <v>121.58228759818</v>
      </c>
      <c r="AJ2101">
        <v>80.733204526748096</v>
      </c>
      <c r="AK2101">
        <v>0.46413255809640103</v>
      </c>
      <c r="AL2101">
        <v>78.360271550707793</v>
      </c>
      <c r="AM2101">
        <v>87.782771942061601</v>
      </c>
      <c r="AN2101">
        <v>0.99999998693271397</v>
      </c>
    </row>
    <row r="2102" spans="1:40" x14ac:dyDescent="0.25">
      <c r="A2102" t="str">
        <f>"20190303162820406"</f>
        <v>20190303162820406</v>
      </c>
      <c r="B2102" t="str">
        <f>"1551601700404002"</f>
        <v>1551601700404002</v>
      </c>
      <c r="C2102" t="s">
        <v>40</v>
      </c>
      <c r="D2102">
        <v>4.3709360000000004</v>
      </c>
      <c r="E2102">
        <v>0.53114099999999997</v>
      </c>
      <c r="F2102" t="s">
        <v>44</v>
      </c>
      <c r="G2102">
        <v>-365.7824</v>
      </c>
      <c r="H2102">
        <v>0.86900689999999903</v>
      </c>
      <c r="I2102">
        <v>284.77839999999998</v>
      </c>
      <c r="J2102">
        <v>-365.18169999999998</v>
      </c>
      <c r="K2102">
        <v>1.121375</v>
      </c>
      <c r="L2102">
        <v>284.69009999999997</v>
      </c>
      <c r="M2102">
        <v>-0.99985690000000005</v>
      </c>
      <c r="N2102">
        <v>-1.286172E-2</v>
      </c>
      <c r="O2102">
        <v>1.098797E-2</v>
      </c>
      <c r="P2102">
        <v>-0.98074450000000002</v>
      </c>
      <c r="Q2102">
        <v>0.1891243</v>
      </c>
      <c r="R2102">
        <v>4.8706779999999998E-2</v>
      </c>
      <c r="S2102">
        <v>-3.2378230000000001</v>
      </c>
      <c r="T2102">
        <v>-1.022151</v>
      </c>
      <c r="U2102">
        <v>0.36587520000000001</v>
      </c>
      <c r="V2102">
        <v>3.7843689999999999E-2</v>
      </c>
      <c r="W2102">
        <v>0.20174439999999999</v>
      </c>
      <c r="X2102">
        <v>0.97870679999999999</v>
      </c>
      <c r="Y2102">
        <v>9.6985639999999998E-2</v>
      </c>
      <c r="Z2102">
        <v>1.230389E-2</v>
      </c>
      <c r="AA2102">
        <v>0.99520980000000003</v>
      </c>
      <c r="AB2102">
        <v>36</v>
      </c>
      <c r="AC2102">
        <v>-0.600700000000017</v>
      </c>
      <c r="AD2102">
        <v>-0.25236809999999998</v>
      </c>
      <c r="AE2102">
        <v>8.8300000000003806E-2</v>
      </c>
      <c r="AF2102">
        <v>6.9658684349910904E-2</v>
      </c>
      <c r="AG2102">
        <v>-0.25236809999999998</v>
      </c>
      <c r="AH2102">
        <v>0.51300237954216099</v>
      </c>
      <c r="AI2102">
        <v>115.98783986054499</v>
      </c>
      <c r="AJ2102">
        <v>82.267312719136598</v>
      </c>
      <c r="AK2102">
        <v>0.575945684608271</v>
      </c>
      <c r="AL2102">
        <v>78.361014332510905</v>
      </c>
      <c r="AM2102">
        <v>87.785645243662401</v>
      </c>
      <c r="AN2102">
        <v>0.99999997408520702</v>
      </c>
    </row>
    <row r="2103" spans="1:40" x14ac:dyDescent="0.25">
      <c r="A2103" t="str">
        <f>"20190303162820418"</f>
        <v>20190303162820418</v>
      </c>
      <c r="B2103" t="str">
        <f>"1551601700413761"</f>
        <v>1551601700413761</v>
      </c>
      <c r="C2103" t="s">
        <v>40</v>
      </c>
      <c r="D2103">
        <v>4.3629259999999999</v>
      </c>
      <c r="E2103">
        <v>0.53121719999999994</v>
      </c>
      <c r="F2103" t="s">
        <v>44</v>
      </c>
      <c r="G2103">
        <v>-366.0874</v>
      </c>
      <c r="H2103">
        <v>0.83549959999999901</v>
      </c>
      <c r="I2103">
        <v>284.79289999999997</v>
      </c>
      <c r="J2103">
        <v>-365.38819999999998</v>
      </c>
      <c r="K2103">
        <v>1.121375</v>
      </c>
      <c r="L2103">
        <v>284.69220000000001</v>
      </c>
      <c r="M2103">
        <v>-0.99985829999999998</v>
      </c>
      <c r="N2103">
        <v>-1.2858929999999999E-2</v>
      </c>
      <c r="O2103">
        <v>1.087161E-2</v>
      </c>
      <c r="P2103">
        <v>-0.98074170000000005</v>
      </c>
      <c r="Q2103">
        <v>0.1891688</v>
      </c>
      <c r="R2103">
        <v>4.8589359999999998E-2</v>
      </c>
      <c r="S2103">
        <v>-3.237762</v>
      </c>
      <c r="T2103">
        <v>-1.022054</v>
      </c>
      <c r="U2103">
        <v>0.36621090000000001</v>
      </c>
      <c r="V2103">
        <v>3.783943E-2</v>
      </c>
      <c r="W2103">
        <v>0.20178599999999999</v>
      </c>
      <c r="X2103">
        <v>0.97869839999999997</v>
      </c>
      <c r="Y2103">
        <v>9.7190719999999994E-2</v>
      </c>
      <c r="Z2103">
        <v>1.2369969999999999E-2</v>
      </c>
      <c r="AA2103">
        <v>0.99518890000000004</v>
      </c>
      <c r="AB2103">
        <v>36</v>
      </c>
      <c r="AC2103">
        <v>-0.69920000000001803</v>
      </c>
      <c r="AD2103">
        <v>-0.2858754</v>
      </c>
      <c r="AE2103">
        <v>0.10069999999996</v>
      </c>
      <c r="AF2103">
        <v>7.9991735155339999E-2</v>
      </c>
      <c r="AG2103">
        <v>-0.2858754</v>
      </c>
      <c r="AH2103">
        <v>0.60171122186727299</v>
      </c>
      <c r="AI2103">
        <v>115.21858489819201</v>
      </c>
      <c r="AJ2103">
        <v>82.427477509353395</v>
      </c>
      <c r="AK2103">
        <v>0.67095440719867705</v>
      </c>
      <c r="AL2103">
        <v>78.358580910698606</v>
      </c>
      <c r="AM2103">
        <v>87.785875277351195</v>
      </c>
      <c r="AN2103">
        <v>0.99999998521064204</v>
      </c>
    </row>
    <row r="2104" spans="1:40" x14ac:dyDescent="0.25">
      <c r="A2104" t="str">
        <f>"20190303162820433"</f>
        <v>20190303162820433</v>
      </c>
      <c r="B2104" t="str">
        <f>"1551601700423521"</f>
        <v>1551601700423521</v>
      </c>
      <c r="C2104" t="s">
        <v>40</v>
      </c>
      <c r="D2104">
        <v>4.4124749999999997</v>
      </c>
      <c r="E2104">
        <v>0.53131719999999905</v>
      </c>
      <c r="F2104" t="s">
        <v>44</v>
      </c>
      <c r="G2104">
        <v>-366.11070000000001</v>
      </c>
      <c r="H2104">
        <v>0.89343709999999898</v>
      </c>
      <c r="I2104">
        <v>284.77440000000001</v>
      </c>
      <c r="J2104">
        <v>-365.61090000000002</v>
      </c>
      <c r="K2104">
        <v>1.121378</v>
      </c>
      <c r="L2104">
        <v>284.69450000000001</v>
      </c>
      <c r="M2104">
        <v>-0.99985970000000002</v>
      </c>
      <c r="N2104">
        <v>-1.285613E-2</v>
      </c>
      <c r="O2104">
        <v>1.074398E-2</v>
      </c>
      <c r="P2104">
        <v>-0.98073259999999995</v>
      </c>
      <c r="Q2104">
        <v>0.18923319999999999</v>
      </c>
      <c r="R2104">
        <v>4.8524860000000003E-2</v>
      </c>
      <c r="S2104">
        <v>-3.2378230000000001</v>
      </c>
      <c r="T2104">
        <v>-1.021636</v>
      </c>
      <c r="U2104">
        <v>0.36651610000000001</v>
      </c>
      <c r="V2104">
        <v>3.7899139999999998E-2</v>
      </c>
      <c r="W2104">
        <v>0.2018481</v>
      </c>
      <c r="X2104">
        <v>0.97868330000000003</v>
      </c>
      <c r="Y2104">
        <v>9.7395960000000004E-2</v>
      </c>
      <c r="Z2104">
        <v>1.2435470000000001E-2</v>
      </c>
      <c r="AA2104">
        <v>0.99516800000000005</v>
      </c>
      <c r="AB2104">
        <v>36</v>
      </c>
      <c r="AC2104">
        <v>-0.49979999999999303</v>
      </c>
      <c r="AD2104">
        <v>-0.2279409</v>
      </c>
      <c r="AE2104">
        <v>7.9900000000009103E-2</v>
      </c>
      <c r="AF2104">
        <v>6.1959090958442403E-2</v>
      </c>
      <c r="AG2104">
        <v>-0.2279409</v>
      </c>
      <c r="AH2104">
        <v>0.41621624926286699</v>
      </c>
      <c r="AI2104">
        <v>118.443572381561</v>
      </c>
      <c r="AJ2104">
        <v>81.532971398253096</v>
      </c>
      <c r="AK2104">
        <v>0.47857282517465999</v>
      </c>
      <c r="AL2104">
        <v>78.354948277423901</v>
      </c>
      <c r="AM2104">
        <v>87.782350729192103</v>
      </c>
      <c r="AN2104">
        <v>1.00000000099261</v>
      </c>
    </row>
    <row r="2105" spans="1:40" x14ac:dyDescent="0.25">
      <c r="A2105" t="str">
        <f>"20190303162820451"</f>
        <v>20190303162820451</v>
      </c>
      <c r="B2105" t="str">
        <f>"1551601700444017"</f>
        <v>1551601700444017</v>
      </c>
      <c r="C2105" t="s">
        <v>40</v>
      </c>
      <c r="D2105">
        <v>4.3804930000000004</v>
      </c>
      <c r="E2105">
        <v>0.53467030000000004</v>
      </c>
      <c r="F2105" t="s">
        <v>44</v>
      </c>
      <c r="G2105">
        <v>-366.41840000000002</v>
      </c>
      <c r="H2105">
        <v>0.86690710000000004</v>
      </c>
      <c r="I2105">
        <v>284.786</v>
      </c>
      <c r="J2105">
        <v>-365.89949999999999</v>
      </c>
      <c r="K2105">
        <v>1.1213879999999901</v>
      </c>
      <c r="L2105">
        <v>284.69740000000002</v>
      </c>
      <c r="M2105">
        <v>-0.99986149999999996</v>
      </c>
      <c r="N2105">
        <v>-1.285273E-2</v>
      </c>
      <c r="O2105">
        <v>1.0575630000000001E-2</v>
      </c>
      <c r="P2105">
        <v>-0.98066900000000001</v>
      </c>
      <c r="Q2105">
        <v>0.18959419999999999</v>
      </c>
      <c r="R2105">
        <v>4.8398240000000002E-2</v>
      </c>
      <c r="S2105">
        <v>-3.2376399999999999</v>
      </c>
      <c r="T2105">
        <v>-1.02032099999999</v>
      </c>
      <c r="U2105">
        <v>0.36709589999999998</v>
      </c>
      <c r="V2105">
        <v>3.7936560000000001E-2</v>
      </c>
      <c r="W2105">
        <v>0.20220489999999999</v>
      </c>
      <c r="X2105">
        <v>0.97860820000000004</v>
      </c>
      <c r="Y2105">
        <v>9.7731990000000005E-2</v>
      </c>
      <c r="Z2105">
        <v>1.252471E-2</v>
      </c>
      <c r="AA2105">
        <v>0.99513390000000002</v>
      </c>
      <c r="AB2105">
        <v>36</v>
      </c>
      <c r="AC2105">
        <v>-0.51890000000003</v>
      </c>
      <c r="AD2105">
        <v>-0.25448089999999901</v>
      </c>
      <c r="AE2105">
        <v>8.8599999999985302E-2</v>
      </c>
      <c r="AF2105">
        <v>6.7363828400079304E-2</v>
      </c>
      <c r="AG2105">
        <v>-0.25448089999999901</v>
      </c>
      <c r="AH2105">
        <v>0.42134000849339298</v>
      </c>
      <c r="AI2105">
        <v>120.812081368983</v>
      </c>
      <c r="AJ2105">
        <v>80.916428691082103</v>
      </c>
      <c r="AK2105">
        <v>0.49681567668375498</v>
      </c>
      <c r="AL2105">
        <v>78.334074798621103</v>
      </c>
      <c r="AM2105">
        <v>87.779993122506298</v>
      </c>
      <c r="AN2105">
        <v>1.00000000663794</v>
      </c>
    </row>
    <row r="2106" spans="1:40" x14ac:dyDescent="0.25">
      <c r="A2106" t="str">
        <f>"20190303162820473"</f>
        <v>20190303162820473</v>
      </c>
      <c r="B2106" t="str">
        <f>"1551601700463537"</f>
        <v>1551601700463537</v>
      </c>
      <c r="C2106" t="s">
        <v>40</v>
      </c>
      <c r="D2106">
        <v>4.3756879999999896</v>
      </c>
      <c r="E2106">
        <v>0.53442639999999997</v>
      </c>
      <c r="F2106" t="s">
        <v>44</v>
      </c>
      <c r="G2106">
        <v>-366.7373</v>
      </c>
      <c r="H2106">
        <v>0.86855170000000004</v>
      </c>
      <c r="I2106">
        <v>284.79989999999998</v>
      </c>
      <c r="J2106">
        <v>-366.24099999999999</v>
      </c>
      <c r="K2106">
        <v>1.121394</v>
      </c>
      <c r="L2106">
        <v>284.70080000000002</v>
      </c>
      <c r="M2106">
        <v>-0.99986370000000002</v>
      </c>
      <c r="N2106">
        <v>-1.284913E-2</v>
      </c>
      <c r="O2106">
        <v>1.0371150000000001E-2</v>
      </c>
      <c r="P2106">
        <v>-0.98072990000000004</v>
      </c>
      <c r="Q2106">
        <v>0.18939039999999999</v>
      </c>
      <c r="R2106">
        <v>4.7959679999999998E-2</v>
      </c>
      <c r="S2106">
        <v>-3.2279659999999999</v>
      </c>
      <c r="T2106">
        <v>-0.9741727</v>
      </c>
      <c r="U2106">
        <v>0.39431759999999999</v>
      </c>
      <c r="V2106">
        <v>3.7695970000000002E-2</v>
      </c>
      <c r="W2106">
        <v>0.20199900000000001</v>
      </c>
      <c r="X2106">
        <v>0.97865999999999997</v>
      </c>
      <c r="Y2106">
        <v>0.10648639999999999</v>
      </c>
      <c r="Z2106">
        <v>1.3445210000000001E-2</v>
      </c>
      <c r="AA2106">
        <v>0.99422319999999997</v>
      </c>
      <c r="AB2106">
        <v>36</v>
      </c>
      <c r="AC2106">
        <v>-0.496300000000019</v>
      </c>
      <c r="AD2106">
        <v>-0.25284230000000002</v>
      </c>
      <c r="AE2106">
        <v>9.9099999999964397E-2</v>
      </c>
      <c r="AF2106">
        <v>7.5182148711694402E-2</v>
      </c>
      <c r="AG2106">
        <v>-0.25284230000000002</v>
      </c>
      <c r="AH2106">
        <v>0.39797070076360003</v>
      </c>
      <c r="AI2106">
        <v>121.97598422105099</v>
      </c>
      <c r="AJ2106">
        <v>79.302112342881898</v>
      </c>
      <c r="AK2106">
        <v>0.47745393790445201</v>
      </c>
      <c r="AL2106">
        <v>78.346120360342297</v>
      </c>
      <c r="AM2106">
        <v>87.794174882484697</v>
      </c>
      <c r="AN2106">
        <v>0.99999998887761998</v>
      </c>
    </row>
    <row r="2107" spans="1:40" x14ac:dyDescent="0.25">
      <c r="A2107" t="str">
        <f>"20190303162820494"</f>
        <v>20190303162820494</v>
      </c>
      <c r="B2107" t="str">
        <f>"1551601700483057"</f>
        <v>1551601700483057</v>
      </c>
      <c r="C2107" t="s">
        <v>40</v>
      </c>
      <c r="D2107">
        <v>4.4089619999999998</v>
      </c>
      <c r="E2107">
        <v>0.53434340000000002</v>
      </c>
      <c r="F2107" t="s">
        <v>44</v>
      </c>
      <c r="G2107">
        <v>-367.0575</v>
      </c>
      <c r="H2107">
        <v>0.87345219999999901</v>
      </c>
      <c r="I2107">
        <v>284.80020000000002</v>
      </c>
      <c r="J2107">
        <v>-366.58269999999999</v>
      </c>
      <c r="K2107">
        <v>1.1213930000000001</v>
      </c>
      <c r="L2107">
        <v>284.70400000000001</v>
      </c>
      <c r="M2107">
        <v>-0.99986580000000003</v>
      </c>
      <c r="N2107">
        <v>-1.284588E-2</v>
      </c>
      <c r="O2107">
        <v>1.0161959999999999E-2</v>
      </c>
      <c r="P2107">
        <v>-0.98073569999999999</v>
      </c>
      <c r="Q2107">
        <v>0.18955569999999999</v>
      </c>
      <c r="R2107">
        <v>4.7179779999999998E-2</v>
      </c>
      <c r="S2107">
        <v>-3.2291560000000001</v>
      </c>
      <c r="T2107">
        <v>-0.98058520000000005</v>
      </c>
      <c r="U2107">
        <v>0.39227289999999998</v>
      </c>
      <c r="V2107">
        <v>3.7119220000000001E-2</v>
      </c>
      <c r="W2107">
        <v>0.2021606</v>
      </c>
      <c r="X2107">
        <v>0.97864870000000004</v>
      </c>
      <c r="Y2107">
        <v>0.1059909</v>
      </c>
      <c r="Z2107">
        <v>1.3503299999999999E-2</v>
      </c>
      <c r="AA2107">
        <v>0.99427540000000003</v>
      </c>
      <c r="AB2107">
        <v>36</v>
      </c>
      <c r="AC2107">
        <v>-0.47480000000001599</v>
      </c>
      <c r="AD2107">
        <v>-0.24794079999999999</v>
      </c>
      <c r="AE2107">
        <v>9.6200000000010194E-2</v>
      </c>
      <c r="AF2107">
        <v>7.2404164187235706E-2</v>
      </c>
      <c r="AG2107">
        <v>-0.24794079999999999</v>
      </c>
      <c r="AH2107">
        <v>0.37700129658741799</v>
      </c>
      <c r="AI2107">
        <v>122.85689747919901</v>
      </c>
      <c r="AJ2107">
        <v>79.128555624564896</v>
      </c>
      <c r="AK2107">
        <v>0.45699779094092602</v>
      </c>
      <c r="AL2107">
        <v>78.336666582204302</v>
      </c>
      <c r="AM2107">
        <v>87.827866469806395</v>
      </c>
      <c r="AN2107">
        <v>1.00000001134872</v>
      </c>
    </row>
    <row r="2108" spans="1:40" x14ac:dyDescent="0.25">
      <c r="A2108" t="str">
        <f>"20190303162820508"</f>
        <v>20190303162820508</v>
      </c>
      <c r="B2108" t="str">
        <f>"1551601700503554"</f>
        <v>1551601700503554</v>
      </c>
      <c r="C2108" t="s">
        <v>40</v>
      </c>
      <c r="D2108">
        <v>4.4171279999999999</v>
      </c>
      <c r="E2108">
        <v>0.53430500000000003</v>
      </c>
      <c r="F2108" t="s">
        <v>44</v>
      </c>
      <c r="G2108">
        <v>-367.37849999999997</v>
      </c>
      <c r="H2108">
        <v>0.88068950000000001</v>
      </c>
      <c r="I2108">
        <v>284.8005</v>
      </c>
      <c r="J2108">
        <v>-366.79759999999999</v>
      </c>
      <c r="K2108">
        <v>1.121397</v>
      </c>
      <c r="L2108">
        <v>284.70609999999999</v>
      </c>
      <c r="M2108">
        <v>-0.99986739999999996</v>
      </c>
      <c r="N2108">
        <v>-1.284394E-2</v>
      </c>
      <c r="O2108">
        <v>1.002843E-2</v>
      </c>
      <c r="P2108">
        <v>-0.98072110000000001</v>
      </c>
      <c r="Q2108">
        <v>0.1897653</v>
      </c>
      <c r="R2108">
        <v>4.6644869999999998E-2</v>
      </c>
      <c r="S2108">
        <v>-3.2289119999999998</v>
      </c>
      <c r="T2108">
        <v>-0.97658800000000001</v>
      </c>
      <c r="U2108">
        <v>0.3898315</v>
      </c>
      <c r="V2108">
        <v>3.6714459999999997E-2</v>
      </c>
      <c r="W2108">
        <v>0.2023684</v>
      </c>
      <c r="X2108">
        <v>0.97862099999999996</v>
      </c>
      <c r="Y2108">
        <v>0.10544530000000001</v>
      </c>
      <c r="Z2108">
        <v>1.3408669999999999E-2</v>
      </c>
      <c r="AA2108">
        <v>0.99433470000000002</v>
      </c>
      <c r="AB2108">
        <v>36</v>
      </c>
      <c r="AC2108">
        <v>-0.58089999999998498</v>
      </c>
      <c r="AD2108">
        <v>-0.24070749999999999</v>
      </c>
      <c r="AE2108">
        <v>9.4400000000007298E-2</v>
      </c>
      <c r="AF2108">
        <v>7.5876309306973297E-2</v>
      </c>
      <c r="AG2108">
        <v>-0.24070749999999999</v>
      </c>
      <c r="AH2108">
        <v>0.498436694758084</v>
      </c>
      <c r="AI2108">
        <v>115.520966080861</v>
      </c>
      <c r="AJ2108">
        <v>81.344397045407803</v>
      </c>
      <c r="AK2108">
        <v>0.55869173392100602</v>
      </c>
      <c r="AL2108">
        <v>78.324509000583802</v>
      </c>
      <c r="AM2108">
        <v>87.851469043046805</v>
      </c>
      <c r="AN2108">
        <v>0.99999999126632499</v>
      </c>
    </row>
    <row r="2109" spans="1:40" x14ac:dyDescent="0.25">
      <c r="A2109" t="str">
        <f>"20190303162820528"</f>
        <v>20190303162820528</v>
      </c>
      <c r="B2109" t="str">
        <f>"1551601700524050"</f>
        <v>1551601700524050</v>
      </c>
      <c r="C2109" t="s">
        <v>40</v>
      </c>
      <c r="D2109">
        <v>4.4267949999999896</v>
      </c>
      <c r="E2109">
        <v>0.53412669999999995</v>
      </c>
      <c r="F2109" t="s">
        <v>44</v>
      </c>
      <c r="G2109">
        <v>-367.68520000000001</v>
      </c>
      <c r="H2109">
        <v>0.85237220000000002</v>
      </c>
      <c r="I2109">
        <v>284.81270000000001</v>
      </c>
      <c r="J2109">
        <v>-367.13740000000001</v>
      </c>
      <c r="K2109">
        <v>1.121405</v>
      </c>
      <c r="L2109">
        <v>284.70920000000001</v>
      </c>
      <c r="M2109">
        <v>-0.99986940000000002</v>
      </c>
      <c r="N2109">
        <v>-1.2841089999999999E-2</v>
      </c>
      <c r="O2109">
        <v>9.8160980000000005E-3</v>
      </c>
      <c r="P2109">
        <v>-0.98067689999999996</v>
      </c>
      <c r="Q2109">
        <v>0.19020210000000001</v>
      </c>
      <c r="R2109">
        <v>4.5781700000000002E-2</v>
      </c>
      <c r="S2109">
        <v>-3.2299500000000001</v>
      </c>
      <c r="T2109">
        <v>-0.97904740000000001</v>
      </c>
      <c r="U2109">
        <v>0.38809199999999999</v>
      </c>
      <c r="V2109">
        <v>3.6058489999999999E-2</v>
      </c>
      <c r="W2109">
        <v>0.20280119999999999</v>
      </c>
      <c r="X2109">
        <v>0.97855579999999998</v>
      </c>
      <c r="Y2109">
        <v>0.1050798</v>
      </c>
      <c r="Z2109">
        <v>1.3439049999999999E-2</v>
      </c>
      <c r="AA2109">
        <v>0.99437299999999995</v>
      </c>
      <c r="AB2109">
        <v>36</v>
      </c>
      <c r="AC2109">
        <v>-0.54779999999999496</v>
      </c>
      <c r="AD2109">
        <v>-0.26903280000000002</v>
      </c>
      <c r="AE2109">
        <v>0.103499999999996</v>
      </c>
      <c r="AF2109">
        <v>7.9583782945403303E-2</v>
      </c>
      <c r="AG2109">
        <v>-0.26903280000000002</v>
      </c>
      <c r="AH2109">
        <v>0.445127941327777</v>
      </c>
      <c r="AI2109">
        <v>120.750955775335</v>
      </c>
      <c r="AJ2109">
        <v>79.863272617974104</v>
      </c>
      <c r="AK2109">
        <v>0.52616642817120696</v>
      </c>
      <c r="AL2109">
        <v>78.299186388625301</v>
      </c>
      <c r="AM2109">
        <v>87.889680930797894</v>
      </c>
      <c r="AN2109">
        <v>0.999999997568079</v>
      </c>
    </row>
    <row r="2110" spans="1:40" x14ac:dyDescent="0.25">
      <c r="A2110" t="str">
        <f>"20190303162820540"</f>
        <v>20190303162820540</v>
      </c>
      <c r="B2110" t="str">
        <f>"1551601700533809"</f>
        <v>1551601700533809</v>
      </c>
      <c r="C2110" t="s">
        <v>40</v>
      </c>
      <c r="D2110">
        <v>4.4826189999999997</v>
      </c>
      <c r="E2110">
        <v>0.53411450000000005</v>
      </c>
      <c r="F2110" t="s">
        <v>44</v>
      </c>
      <c r="G2110">
        <v>-368.00529999999998</v>
      </c>
      <c r="H2110">
        <v>0.85776330000000001</v>
      </c>
      <c r="I2110">
        <v>284.81259999999997</v>
      </c>
      <c r="J2110">
        <v>-367.3365</v>
      </c>
      <c r="K2110">
        <v>1.1214059999999999</v>
      </c>
      <c r="L2110">
        <v>284.71100000000001</v>
      </c>
      <c r="M2110">
        <v>-0.9998707</v>
      </c>
      <c r="N2110">
        <v>-1.283952E-2</v>
      </c>
      <c r="O2110">
        <v>9.6910980000000004E-3</v>
      </c>
      <c r="P2110">
        <v>-0.98064879999999999</v>
      </c>
      <c r="Q2110">
        <v>0.19042249999999999</v>
      </c>
      <c r="R2110">
        <v>4.5471669999999999E-2</v>
      </c>
      <c r="S2110">
        <v>-3.231598</v>
      </c>
      <c r="T2110">
        <v>-0.9816935</v>
      </c>
      <c r="U2110">
        <v>0.38342290000000001</v>
      </c>
      <c r="V2110">
        <v>3.5870539999999999E-2</v>
      </c>
      <c r="W2110">
        <v>0.2030197</v>
      </c>
      <c r="X2110">
        <v>0.97851739999999998</v>
      </c>
      <c r="Y2110">
        <v>0.1037638</v>
      </c>
      <c r="Z2110">
        <v>1.329842E-2</v>
      </c>
      <c r="AA2110">
        <v>0.99451299999999998</v>
      </c>
      <c r="AB2110">
        <v>36</v>
      </c>
      <c r="AC2110">
        <v>-0.66879999999997597</v>
      </c>
      <c r="AD2110">
        <v>-0.26364269999999901</v>
      </c>
      <c r="AE2110">
        <v>0.101599999999962</v>
      </c>
      <c r="AF2110">
        <v>8.2571474494035804E-2</v>
      </c>
      <c r="AG2110">
        <v>-0.26364269999999901</v>
      </c>
      <c r="AH2110">
        <v>0.581438381518536</v>
      </c>
      <c r="AI2110">
        <v>114.176627904939</v>
      </c>
      <c r="AJ2110">
        <v>81.917334042756394</v>
      </c>
      <c r="AK2110">
        <v>0.64373605861898298</v>
      </c>
      <c r="AL2110">
        <v>78.286401303375797</v>
      </c>
      <c r="AM2110">
        <v>87.900588505131793</v>
      </c>
      <c r="AN2110">
        <v>0.99999999816537</v>
      </c>
    </row>
    <row r="2111" spans="1:40" x14ac:dyDescent="0.25">
      <c r="A2111" t="str">
        <f>"20190303162820553"</f>
        <v>20190303162820553</v>
      </c>
      <c r="B2111" t="str">
        <f>"1551601700543569"</f>
        <v>1551601700543569</v>
      </c>
      <c r="C2111" t="s">
        <v>40</v>
      </c>
      <c r="D2111">
        <v>4.4786590000000004</v>
      </c>
      <c r="E2111">
        <v>0.53412839999999995</v>
      </c>
      <c r="F2111" t="s">
        <v>44</v>
      </c>
      <c r="G2111">
        <v>-368.0274</v>
      </c>
      <c r="H2111">
        <v>0.91164449999999997</v>
      </c>
      <c r="I2111">
        <v>284.79309999999998</v>
      </c>
      <c r="J2111">
        <v>-367.51799999999997</v>
      </c>
      <c r="K2111">
        <v>1.1214109999999999</v>
      </c>
      <c r="L2111">
        <v>284.71260000000001</v>
      </c>
      <c r="M2111">
        <v>-0.99987170000000003</v>
      </c>
      <c r="N2111">
        <v>-1.2838169999999999E-2</v>
      </c>
      <c r="O2111">
        <v>9.5771869999999992E-3</v>
      </c>
      <c r="P2111">
        <v>-0.9806511</v>
      </c>
      <c r="Q2111">
        <v>0.19044929999999999</v>
      </c>
      <c r="R2111">
        <v>4.5306760000000001E-2</v>
      </c>
      <c r="S2111">
        <v>-3.232056</v>
      </c>
      <c r="T2111">
        <v>-0.981429</v>
      </c>
      <c r="U2111">
        <v>0.38189699999999999</v>
      </c>
      <c r="V2111">
        <v>3.5816790000000001E-2</v>
      </c>
      <c r="W2111">
        <v>0.20304539999999999</v>
      </c>
      <c r="X2111">
        <v>0.97851399999999999</v>
      </c>
      <c r="Y2111">
        <v>0.1034124</v>
      </c>
      <c r="Z2111">
        <v>1.3271689999999999E-2</v>
      </c>
      <c r="AA2111">
        <v>0.99455000000000005</v>
      </c>
      <c r="AB2111">
        <v>36</v>
      </c>
      <c r="AC2111">
        <v>-0.50939999999997099</v>
      </c>
      <c r="AD2111">
        <v>-0.20976649999999999</v>
      </c>
      <c r="AE2111">
        <v>8.0499999999972205E-2</v>
      </c>
      <c r="AF2111">
        <v>6.4883007819293806E-2</v>
      </c>
      <c r="AG2111">
        <v>-0.20976649999999999</v>
      </c>
      <c r="AH2111">
        <v>0.43772947075914898</v>
      </c>
      <c r="AI2111">
        <v>115.362622109969</v>
      </c>
      <c r="AJ2111">
        <v>81.568650964881002</v>
      </c>
      <c r="AK2111">
        <v>0.48971305761334699</v>
      </c>
      <c r="AL2111">
        <v>78.284897057060405</v>
      </c>
      <c r="AM2111">
        <v>87.903724269948398</v>
      </c>
      <c r="AN2111">
        <v>0.99999996255153101</v>
      </c>
    </row>
    <row r="2112" spans="1:40" x14ac:dyDescent="0.25">
      <c r="A2112" t="str">
        <f>"20190303162820572"</f>
        <v>20190303162820572</v>
      </c>
      <c r="B2112" t="str">
        <f>"1551601700563089"</f>
        <v>1551601700563089</v>
      </c>
      <c r="C2112" t="s">
        <v>40</v>
      </c>
      <c r="D2112">
        <v>4.4794890000000001</v>
      </c>
      <c r="E2112">
        <v>0.53414640000000002</v>
      </c>
      <c r="F2112" t="s">
        <v>44</v>
      </c>
      <c r="G2112">
        <v>-368.33</v>
      </c>
      <c r="H2112">
        <v>0.87497939999999996</v>
      </c>
      <c r="I2112">
        <v>284.80869999999999</v>
      </c>
      <c r="J2112">
        <v>-367.82740000000001</v>
      </c>
      <c r="K2112">
        <v>1.121416</v>
      </c>
      <c r="L2112">
        <v>284.71539999999999</v>
      </c>
      <c r="M2112">
        <v>-0.99987349999999997</v>
      </c>
      <c r="N2112">
        <v>-1.283598E-2</v>
      </c>
      <c r="O2112">
        <v>9.3825149999999993E-3</v>
      </c>
      <c r="P2112">
        <v>-0.98064810000000002</v>
      </c>
      <c r="Q2112">
        <v>0.1905847</v>
      </c>
      <c r="R2112">
        <v>4.4796330000000002E-2</v>
      </c>
      <c r="S2112">
        <v>-3.2320250000000001</v>
      </c>
      <c r="T2112">
        <v>-0.98085840000000002</v>
      </c>
      <c r="U2112">
        <v>0.3815308</v>
      </c>
      <c r="V2112">
        <v>3.5496430000000002E-2</v>
      </c>
      <c r="W2112">
        <v>0.203178</v>
      </c>
      <c r="X2112">
        <v>0.97849819999999998</v>
      </c>
      <c r="Y2112">
        <v>0.1034892</v>
      </c>
      <c r="Z2112">
        <v>1.333178E-2</v>
      </c>
      <c r="AA2112">
        <v>0.99454120000000001</v>
      </c>
      <c r="AB2112">
        <v>36</v>
      </c>
      <c r="AC2112">
        <v>-0.50259999999997196</v>
      </c>
      <c r="AD2112">
        <v>-0.24643660000000001</v>
      </c>
      <c r="AE2112">
        <v>9.3299999999999203E-2</v>
      </c>
      <c r="AF2112">
        <v>7.1875409421676306E-2</v>
      </c>
      <c r="AG2112">
        <v>-0.24643660000000001</v>
      </c>
      <c r="AH2112">
        <v>0.408511799279348</v>
      </c>
      <c r="AI2112">
        <v>120.715756841687</v>
      </c>
      <c r="AJ2112">
        <v>80.021254414592704</v>
      </c>
      <c r="AK2112">
        <v>0.48247172191698801</v>
      </c>
      <c r="AL2112">
        <v>78.277138486946001</v>
      </c>
      <c r="AM2112">
        <v>87.922424194799106</v>
      </c>
      <c r="AN2112">
        <v>1.0000000118149901</v>
      </c>
    </row>
    <row r="2113" spans="1:40" x14ac:dyDescent="0.25">
      <c r="A2113" t="str">
        <f>"20190303162820585"</f>
        <v>20190303162820585</v>
      </c>
      <c r="B2113" t="str">
        <f>"1551601700574801"</f>
        <v>1551601700574801</v>
      </c>
      <c r="C2113" t="s">
        <v>40</v>
      </c>
      <c r="D2113">
        <v>4.4933690000000004</v>
      </c>
      <c r="E2113">
        <v>0.53413639999999996</v>
      </c>
      <c r="F2113" t="s">
        <v>44</v>
      </c>
      <c r="G2113">
        <v>-368.64699999999999</v>
      </c>
      <c r="H2113">
        <v>0.8730154</v>
      </c>
      <c r="I2113">
        <v>284.81220000000002</v>
      </c>
      <c r="J2113">
        <v>-368.03129999999999</v>
      </c>
      <c r="K2113">
        <v>1.1214109999999999</v>
      </c>
      <c r="L2113">
        <v>284.71719999999999</v>
      </c>
      <c r="M2113">
        <v>-0.99987490000000001</v>
      </c>
      <c r="N2113">
        <v>-1.283459E-2</v>
      </c>
      <c r="O2113">
        <v>9.2538310000000006E-3</v>
      </c>
      <c r="P2113">
        <v>-0.98063599999999995</v>
      </c>
      <c r="Q2113">
        <v>0.19065570000000001</v>
      </c>
      <c r="R2113">
        <v>4.4764249999999998E-2</v>
      </c>
      <c r="S2113">
        <v>-3.2322389999999999</v>
      </c>
      <c r="T2113">
        <v>-0.97965380000000002</v>
      </c>
      <c r="U2113">
        <v>0.37991330000000001</v>
      </c>
      <c r="V2113">
        <v>3.5590320000000002E-2</v>
      </c>
      <c r="W2113">
        <v>0.20324800000000001</v>
      </c>
      <c r="X2113">
        <v>0.97848020000000002</v>
      </c>
      <c r="Y2113">
        <v>0.1031402</v>
      </c>
      <c r="Z2113">
        <v>1.3299E-2</v>
      </c>
      <c r="AA2113">
        <v>0.99457790000000001</v>
      </c>
      <c r="AB2113">
        <v>36</v>
      </c>
      <c r="AC2113">
        <v>-0.61570000000000302</v>
      </c>
      <c r="AD2113">
        <v>-0.24839559999999999</v>
      </c>
      <c r="AE2113">
        <v>9.5000000000027202E-2</v>
      </c>
      <c r="AF2113">
        <v>7.7048952396061895E-2</v>
      </c>
      <c r="AG2113">
        <v>-0.24839559999999999</v>
      </c>
      <c r="AH2113">
        <v>0.53198070660030305</v>
      </c>
      <c r="AI2113">
        <v>114.801863918084</v>
      </c>
      <c r="AJ2113">
        <v>81.758922040876001</v>
      </c>
      <c r="AK2113">
        <v>0.59214895707047299</v>
      </c>
      <c r="AL2113">
        <v>78.273041710620902</v>
      </c>
      <c r="AM2113">
        <v>87.916895441773207</v>
      </c>
      <c r="AN2113">
        <v>0.99999996108686995</v>
      </c>
    </row>
    <row r="2114" spans="1:40" x14ac:dyDescent="0.25">
      <c r="A2114" t="str">
        <f>"20190303162820598"</f>
        <v>20190303162820598</v>
      </c>
      <c r="B2114" t="str">
        <f>"1551601700593345"</f>
        <v>1551601700593345</v>
      </c>
      <c r="C2114" t="s">
        <v>40</v>
      </c>
      <c r="D2114">
        <v>4.497662</v>
      </c>
      <c r="E2114">
        <v>0.53405459999999905</v>
      </c>
      <c r="F2114" t="s">
        <v>44</v>
      </c>
      <c r="G2114">
        <v>-368.95229999999998</v>
      </c>
      <c r="H2114">
        <v>0.84224279999999996</v>
      </c>
      <c r="I2114">
        <v>284.82580000000002</v>
      </c>
      <c r="J2114">
        <v>-368.2405</v>
      </c>
      <c r="K2114">
        <v>1.12141</v>
      </c>
      <c r="L2114">
        <v>284.71890000000002</v>
      </c>
      <c r="M2114">
        <v>-0.99987610000000005</v>
      </c>
      <c r="N2114">
        <v>-1.2833260000000001E-2</v>
      </c>
      <c r="O2114">
        <v>9.1219309999999998E-3</v>
      </c>
      <c r="P2114">
        <v>-0.9806047</v>
      </c>
      <c r="Q2114">
        <v>0.19082569999999999</v>
      </c>
      <c r="R2114">
        <v>4.4725170000000002E-2</v>
      </c>
      <c r="S2114">
        <v>-3.2324220000000001</v>
      </c>
      <c r="T2114">
        <v>-0.97983770000000003</v>
      </c>
      <c r="U2114">
        <v>0.37969969999999997</v>
      </c>
      <c r="V2114">
        <v>3.5680740000000002E-2</v>
      </c>
      <c r="W2114">
        <v>0.20341609999999999</v>
      </c>
      <c r="X2114">
        <v>0.97844200000000003</v>
      </c>
      <c r="Y2114">
        <v>0.10319109999999999</v>
      </c>
      <c r="Z2114">
        <v>1.334571E-2</v>
      </c>
      <c r="AA2114">
        <v>0.99457200000000001</v>
      </c>
      <c r="AB2114">
        <v>36</v>
      </c>
      <c r="AC2114">
        <v>-0.711799999999982</v>
      </c>
      <c r="AD2114">
        <v>-0.2791672</v>
      </c>
      <c r="AE2114">
        <v>0.106899999999996</v>
      </c>
      <c r="AF2114">
        <v>8.7273694157021603E-2</v>
      </c>
      <c r="AG2114">
        <v>-0.2791672</v>
      </c>
      <c r="AH2114">
        <v>0.61954865908534296</v>
      </c>
      <c r="AI2114">
        <v>114.04606834850399</v>
      </c>
      <c r="AJ2114">
        <v>81.981699091830393</v>
      </c>
      <c r="AK2114">
        <v>0.68512156893656395</v>
      </c>
      <c r="AL2114">
        <v>78.263205093337007</v>
      </c>
      <c r="AM2114">
        <v>87.911526369344799</v>
      </c>
      <c r="AN2114">
        <v>0.99999998615507801</v>
      </c>
    </row>
    <row r="2115" spans="1:40" x14ac:dyDescent="0.25">
      <c r="A2115" t="str">
        <f>"20190303162820610"</f>
        <v>20190303162820610</v>
      </c>
      <c r="B2115" t="str">
        <f>"1551601700603105"</f>
        <v>1551601700603105</v>
      </c>
      <c r="C2115" t="s">
        <v>40</v>
      </c>
      <c r="D2115">
        <v>4.5405530000000001</v>
      </c>
      <c r="E2115">
        <v>0.53403750000000005</v>
      </c>
      <c r="F2115" t="s">
        <v>44</v>
      </c>
      <c r="G2115">
        <v>-368.9751</v>
      </c>
      <c r="H2115">
        <v>0.89894439999999998</v>
      </c>
      <c r="I2115">
        <v>284.80549999999999</v>
      </c>
      <c r="J2115">
        <v>-368.43369999999999</v>
      </c>
      <c r="K2115">
        <v>1.1214109999999999</v>
      </c>
      <c r="L2115">
        <v>284.72059999999999</v>
      </c>
      <c r="M2115">
        <v>-0.99987729999999997</v>
      </c>
      <c r="N2115">
        <v>-1.2832079999999999E-2</v>
      </c>
      <c r="O2115">
        <v>8.9999269999999996E-3</v>
      </c>
      <c r="P2115">
        <v>-0.98061909999999997</v>
      </c>
      <c r="Q2115">
        <v>0.19071270000000001</v>
      </c>
      <c r="R2115">
        <v>4.4890100000000002E-2</v>
      </c>
      <c r="S2115">
        <v>-3.232605</v>
      </c>
      <c r="T2115">
        <v>-0.9790082</v>
      </c>
      <c r="U2115">
        <v>0.3791504</v>
      </c>
      <c r="V2115">
        <v>3.5964969999999999E-2</v>
      </c>
      <c r="W2115">
        <v>0.20330219999999999</v>
      </c>
      <c r="X2115">
        <v>0.97845530000000003</v>
      </c>
      <c r="Y2115">
        <v>0.103143899999999</v>
      </c>
      <c r="Z2115">
        <v>1.336209E-2</v>
      </c>
      <c r="AA2115">
        <v>0.99457669999999998</v>
      </c>
      <c r="AB2115">
        <v>36</v>
      </c>
      <c r="AC2115">
        <v>-0.54140000000000998</v>
      </c>
      <c r="AD2115">
        <v>-0.22246659999999999</v>
      </c>
      <c r="AE2115">
        <v>8.4900000000004597E-2</v>
      </c>
      <c r="AF2115">
        <v>6.8701908108176904E-2</v>
      </c>
      <c r="AG2115">
        <v>-0.22246659999999999</v>
      </c>
      <c r="AH2115">
        <v>0.465440262989472</v>
      </c>
      <c r="AI2115">
        <v>115.306980816985</v>
      </c>
      <c r="AJ2115">
        <v>81.6034130639854</v>
      </c>
      <c r="AK2115">
        <v>0.52042864900481101</v>
      </c>
      <c r="AL2115">
        <v>78.269870747606205</v>
      </c>
      <c r="AM2115">
        <v>87.8949332479623</v>
      </c>
      <c r="AN2115">
        <v>1.00000001884501</v>
      </c>
    </row>
    <row r="2116" spans="1:40" x14ac:dyDescent="0.25">
      <c r="A2116" t="str">
        <f>"20190303162820622"</f>
        <v>20190303162820622</v>
      </c>
      <c r="B2116" t="str">
        <f>"1551601700613842"</f>
        <v>1551601700613842</v>
      </c>
      <c r="C2116" t="s">
        <v>40</v>
      </c>
      <c r="D2116">
        <v>4.5462300000000004</v>
      </c>
      <c r="E2116">
        <v>0.53401509999999996</v>
      </c>
      <c r="F2116" t="s">
        <v>44</v>
      </c>
      <c r="G2116">
        <v>-369.27910000000003</v>
      </c>
      <c r="H2116">
        <v>0.86504629999999905</v>
      </c>
      <c r="I2116">
        <v>284.8202</v>
      </c>
      <c r="J2116">
        <v>-368.6284</v>
      </c>
      <c r="K2116">
        <v>1.1214170000000001</v>
      </c>
      <c r="L2116">
        <v>284.72219999999999</v>
      </c>
      <c r="M2116">
        <v>-0.9998783</v>
      </c>
      <c r="N2116">
        <v>-1.2830930000000001E-2</v>
      </c>
      <c r="O2116">
        <v>8.8772690000000001E-3</v>
      </c>
      <c r="P2116">
        <v>-0.98062870000000002</v>
      </c>
      <c r="Q2116">
        <v>0.19061230000000001</v>
      </c>
      <c r="R2116">
        <v>4.5107220000000003E-2</v>
      </c>
      <c r="S2116">
        <v>-3.232605</v>
      </c>
      <c r="T2116">
        <v>-0.98037890000000005</v>
      </c>
      <c r="U2116">
        <v>0.3794556</v>
      </c>
      <c r="V2116">
        <v>3.6302260000000003E-2</v>
      </c>
      <c r="W2116">
        <v>0.2032014</v>
      </c>
      <c r="X2116">
        <v>0.97846379999999999</v>
      </c>
      <c r="Y2116">
        <v>0.10333299999999999</v>
      </c>
      <c r="Z2116">
        <v>1.344276E-2</v>
      </c>
      <c r="AA2116">
        <v>0.994556</v>
      </c>
      <c r="AB2116">
        <v>36</v>
      </c>
      <c r="AC2116">
        <v>-0.65070000000002803</v>
      </c>
      <c r="AD2116">
        <v>-0.25637070000000001</v>
      </c>
      <c r="AE2116">
        <v>9.8000000000013202E-2</v>
      </c>
      <c r="AF2116">
        <v>8.00662187140148E-2</v>
      </c>
      <c r="AG2116">
        <v>-0.25637070000000001</v>
      </c>
      <c r="AH2116">
        <v>0.56568136721628703</v>
      </c>
      <c r="AI2116">
        <v>114.167412129318</v>
      </c>
      <c r="AJ2116">
        <v>81.943900611025398</v>
      </c>
      <c r="AK2116">
        <v>0.62620439507667003</v>
      </c>
      <c r="AL2116">
        <v>78.275769482948604</v>
      </c>
      <c r="AM2116">
        <v>87.875227769410799</v>
      </c>
      <c r="AN2116">
        <v>1.00000003547675</v>
      </c>
    </row>
    <row r="2117" spans="1:40" x14ac:dyDescent="0.25">
      <c r="A2117" t="str">
        <f>"20190303162820641"</f>
        <v>20190303162820641</v>
      </c>
      <c r="B2117" t="str">
        <f>"1551601700633361"</f>
        <v>1551601700633361</v>
      </c>
      <c r="C2117" t="s">
        <v>40</v>
      </c>
      <c r="D2117">
        <v>4.5460989999999999</v>
      </c>
      <c r="E2117">
        <v>0.5291517</v>
      </c>
      <c r="F2117" t="s">
        <v>44</v>
      </c>
      <c r="G2117">
        <v>-369.30099999999999</v>
      </c>
      <c r="H2117">
        <v>0.91749530000000001</v>
      </c>
      <c r="I2117">
        <v>284.80160000000001</v>
      </c>
      <c r="J2117">
        <v>-368.9135</v>
      </c>
      <c r="K2117">
        <v>1.1214189999999999</v>
      </c>
      <c r="L2117">
        <v>284.72449999999998</v>
      </c>
      <c r="M2117">
        <v>-0.99987999999999999</v>
      </c>
      <c r="N2117">
        <v>-1.282907E-2</v>
      </c>
      <c r="O2117">
        <v>8.6976899999999992E-3</v>
      </c>
      <c r="P2117">
        <v>-0.98065009999999997</v>
      </c>
      <c r="Q2117">
        <v>0.19040299999999999</v>
      </c>
      <c r="R2117">
        <v>4.5522079999999999E-2</v>
      </c>
      <c r="S2117">
        <v>-3.2323</v>
      </c>
      <c r="T2117">
        <v>-0.98010410000000003</v>
      </c>
      <c r="U2117">
        <v>0.37988280000000002</v>
      </c>
      <c r="V2117">
        <v>3.689286E-2</v>
      </c>
      <c r="W2117">
        <v>0.20299030000000001</v>
      </c>
      <c r="X2117">
        <v>0.97848550000000001</v>
      </c>
      <c r="Y2117">
        <v>0.10363260000000001</v>
      </c>
      <c r="Z2117">
        <v>1.353736E-2</v>
      </c>
      <c r="AA2117">
        <v>0.9945235</v>
      </c>
      <c r="AB2117">
        <v>36</v>
      </c>
      <c r="AC2117">
        <v>-0.38749999999998802</v>
      </c>
      <c r="AD2117">
        <v>-0.20392369999999899</v>
      </c>
      <c r="AE2117">
        <v>7.7100000000029895E-2</v>
      </c>
      <c r="AF2117">
        <v>5.8217449679091898E-2</v>
      </c>
      <c r="AG2117">
        <v>-0.20392369999999899</v>
      </c>
      <c r="AH2117">
        <v>0.306503992064318</v>
      </c>
      <c r="AI2117">
        <v>123.170047148376</v>
      </c>
      <c r="AJ2117">
        <v>79.245336224957498</v>
      </c>
      <c r="AK2117">
        <v>0.372718183109157</v>
      </c>
      <c r="AL2117">
        <v>78.288121753236197</v>
      </c>
      <c r="AM2117">
        <v>87.840740238410106</v>
      </c>
      <c r="AN2117">
        <v>1.0000000093616499</v>
      </c>
    </row>
    <row r="2118" spans="1:40" x14ac:dyDescent="0.25">
      <c r="A2118" t="str">
        <f>"20190303162820662"</f>
        <v>20190303162820662</v>
      </c>
      <c r="B2118" t="str">
        <f>"1551601700653857"</f>
        <v>1551601700653857</v>
      </c>
      <c r="C2118" t="s">
        <v>40</v>
      </c>
      <c r="D2118">
        <v>4.5554160000000001</v>
      </c>
      <c r="E2118">
        <v>0.52231399999999994</v>
      </c>
      <c r="F2118" t="s">
        <v>44</v>
      </c>
      <c r="G2118">
        <v>-369.63389999999998</v>
      </c>
      <c r="H2118">
        <v>0.94905850000000003</v>
      </c>
      <c r="I2118">
        <v>284.80290000000002</v>
      </c>
      <c r="J2118">
        <v>-369.2561</v>
      </c>
      <c r="K2118">
        <v>1.121416</v>
      </c>
      <c r="L2118">
        <v>284.72719999999998</v>
      </c>
      <c r="M2118">
        <v>-0.99988189999999999</v>
      </c>
      <c r="N2118">
        <v>-1.2827089999999999E-2</v>
      </c>
      <c r="O2118">
        <v>8.4813489999999991E-3</v>
      </c>
      <c r="P2118">
        <v>-0.98066379999999997</v>
      </c>
      <c r="Q2118">
        <v>0.19035089999999999</v>
      </c>
      <c r="R2118">
        <v>4.5444690000000003E-2</v>
      </c>
      <c r="S2118">
        <v>-3.1914060000000002</v>
      </c>
      <c r="T2118">
        <v>-0.76369489999999995</v>
      </c>
      <c r="U2118">
        <v>0.34579470000000001</v>
      </c>
      <c r="V2118">
        <v>3.702772E-2</v>
      </c>
      <c r="W2118">
        <v>0.20293659999999999</v>
      </c>
      <c r="X2118">
        <v>0.97849149999999996</v>
      </c>
      <c r="Y2118">
        <v>9.6649799999999994E-2</v>
      </c>
      <c r="Z2118">
        <v>1.011345E-2</v>
      </c>
      <c r="AA2118">
        <v>0.99526709999999996</v>
      </c>
      <c r="AB2118">
        <v>36</v>
      </c>
      <c r="AC2118">
        <v>-0.37779999999997899</v>
      </c>
      <c r="AD2118">
        <v>-0.1723575</v>
      </c>
      <c r="AE2118">
        <v>7.5700000000040193E-2</v>
      </c>
      <c r="AF2118">
        <v>6.04057366734113E-2</v>
      </c>
      <c r="AG2118">
        <v>-0.1723575</v>
      </c>
      <c r="AH2118">
        <v>0.315331521858911</v>
      </c>
      <c r="AI2118">
        <v>118.228252025435</v>
      </c>
      <c r="AJ2118">
        <v>79.1556449436722</v>
      </c>
      <c r="AK2118">
        <v>0.364403525651392</v>
      </c>
      <c r="AL2118">
        <v>78.291263417582798</v>
      </c>
      <c r="AM2118">
        <v>87.832867960893495</v>
      </c>
      <c r="AN2118">
        <v>0.99999996562010296</v>
      </c>
    </row>
    <row r="2119" spans="1:40" x14ac:dyDescent="0.25">
      <c r="A2119" t="str">
        <f>"20190303162820686"</f>
        <v>20190303162820686</v>
      </c>
      <c r="B2119" t="str">
        <f>"1551601700673378"</f>
        <v>1551601700673378</v>
      </c>
      <c r="C2119" t="s">
        <v>40</v>
      </c>
      <c r="D2119">
        <v>4.5927309999999997</v>
      </c>
      <c r="E2119">
        <v>0.51788990000000001</v>
      </c>
      <c r="F2119" t="s">
        <v>44</v>
      </c>
      <c r="G2119">
        <v>-369.97329999999999</v>
      </c>
      <c r="H2119">
        <v>0.99338029999999999</v>
      </c>
      <c r="I2119">
        <v>284.7946</v>
      </c>
      <c r="J2119">
        <v>-369.6114</v>
      </c>
      <c r="K2119">
        <v>1.121418</v>
      </c>
      <c r="L2119">
        <v>284.72989999999999</v>
      </c>
      <c r="M2119">
        <v>-0.99988379999999999</v>
      </c>
      <c r="N2119">
        <v>-1.282086E-2</v>
      </c>
      <c r="O2119">
        <v>8.2550729999999999E-3</v>
      </c>
      <c r="P2119">
        <v>-0.98067110000000002</v>
      </c>
      <c r="Q2119">
        <v>0.19038720000000001</v>
      </c>
      <c r="R2119">
        <v>4.5135429999999997E-2</v>
      </c>
      <c r="S2119">
        <v>-3.1548769999999999</v>
      </c>
      <c r="T2119">
        <v>-0.56338789999999905</v>
      </c>
      <c r="U2119">
        <v>0.29483029999999999</v>
      </c>
      <c r="V2119">
        <v>3.6939989999999999E-2</v>
      </c>
      <c r="W2119">
        <v>0.20296700000000001</v>
      </c>
      <c r="X2119">
        <v>0.97848860000000004</v>
      </c>
      <c r="Y2119">
        <v>8.3529199999999998E-2</v>
      </c>
      <c r="Z2119">
        <v>6.5705850000000003E-3</v>
      </c>
      <c r="AA2119">
        <v>0.99648369999999997</v>
      </c>
      <c r="AB2119">
        <v>36</v>
      </c>
      <c r="AC2119">
        <v>-0.36189999999999101</v>
      </c>
      <c r="AD2119">
        <v>-0.1280377</v>
      </c>
      <c r="AE2119">
        <v>6.4700000000016106E-2</v>
      </c>
      <c r="AF2119">
        <v>5.5034724302822302E-2</v>
      </c>
      <c r="AG2119">
        <v>-0.1280377</v>
      </c>
      <c r="AH2119">
        <v>0.32321782639906999</v>
      </c>
      <c r="AI2119">
        <v>111.331336022641</v>
      </c>
      <c r="AJ2119">
        <v>80.336846799769106</v>
      </c>
      <c r="AK2119">
        <v>0.35198329051606497</v>
      </c>
      <c r="AL2119">
        <v>78.289485645921602</v>
      </c>
      <c r="AM2119">
        <v>87.837991279968605</v>
      </c>
      <c r="AN2119">
        <v>1.0000000531400699</v>
      </c>
    </row>
    <row r="2120" spans="1:40" x14ac:dyDescent="0.25">
      <c r="A2120" t="str">
        <f>"20190303162820707"</f>
        <v>20190303162820707</v>
      </c>
      <c r="B2120" t="str">
        <f>"1551601700693874"</f>
        <v>1551601700693874</v>
      </c>
      <c r="C2120" t="s">
        <v>40</v>
      </c>
      <c r="D2120">
        <v>4.6294719999999998</v>
      </c>
      <c r="E2120">
        <v>0.51545470000000004</v>
      </c>
      <c r="F2120" t="s">
        <v>44</v>
      </c>
      <c r="G2120">
        <v>-370.60449999999997</v>
      </c>
      <c r="H2120">
        <v>0.98654660000000005</v>
      </c>
      <c r="I2120">
        <v>284.81330000000003</v>
      </c>
      <c r="J2120">
        <v>-369.96899999999999</v>
      </c>
      <c r="K2120">
        <v>1.121416</v>
      </c>
      <c r="L2120">
        <v>284.73259999999999</v>
      </c>
      <c r="M2120">
        <v>-0.99988589999999999</v>
      </c>
      <c r="N2120">
        <v>-1.281086E-2</v>
      </c>
      <c r="O2120">
        <v>8.0239370000000001E-3</v>
      </c>
      <c r="P2120">
        <v>-0.98075380000000001</v>
      </c>
      <c r="Q2120">
        <v>0.18992410000000001</v>
      </c>
      <c r="R2120">
        <v>4.5289129999999997E-2</v>
      </c>
      <c r="S2120">
        <v>-3.1296689999999998</v>
      </c>
      <c r="T2120">
        <v>-0.4252899</v>
      </c>
      <c r="U2120">
        <v>0.26107789999999997</v>
      </c>
      <c r="V2120">
        <v>3.7319980000000003E-2</v>
      </c>
      <c r="W2120">
        <v>0.20249490000000001</v>
      </c>
      <c r="X2120">
        <v>0.978572</v>
      </c>
      <c r="Y2120">
        <v>7.4447680000000002E-2</v>
      </c>
      <c r="Z2120">
        <v>4.5254559999999997E-3</v>
      </c>
      <c r="AA2120">
        <v>0.99721470000000001</v>
      </c>
      <c r="AB2120">
        <v>36</v>
      </c>
      <c r="AC2120">
        <v>-0.63549999999997897</v>
      </c>
      <c r="AD2120">
        <v>-0.134869399999999</v>
      </c>
      <c r="AE2120">
        <v>8.0700000000035702E-2</v>
      </c>
      <c r="AF2120">
        <v>7.2389126893222397E-2</v>
      </c>
      <c r="AG2120">
        <v>-0.134869399999999</v>
      </c>
      <c r="AH2120">
        <v>0.60912756843214999</v>
      </c>
      <c r="AI2120">
        <v>102.400143711712</v>
      </c>
      <c r="AJ2120">
        <v>83.222717453941101</v>
      </c>
      <c r="AK2120">
        <v>0.62806555021971</v>
      </c>
      <c r="AL2120">
        <v>78.317108695656103</v>
      </c>
      <c r="AM2120">
        <v>87.8159587843586</v>
      </c>
      <c r="AN2120">
        <v>1.0000000623086001</v>
      </c>
    </row>
    <row r="2121" spans="1:40" x14ac:dyDescent="0.25">
      <c r="A2121" t="str">
        <f>"20190303162820721"</f>
        <v>20190303162820721</v>
      </c>
      <c r="B2121" t="str">
        <f>"1551601700713393"</f>
        <v>1551601700713393</v>
      </c>
      <c r="C2121" t="s">
        <v>40</v>
      </c>
      <c r="D2121">
        <v>4.6364660000000004</v>
      </c>
      <c r="E2121">
        <v>0.51425779999999999</v>
      </c>
      <c r="F2121" t="s">
        <v>44</v>
      </c>
      <c r="G2121">
        <v>-370.93270000000001</v>
      </c>
      <c r="H2121">
        <v>1.008823</v>
      </c>
      <c r="I2121">
        <v>284.80779999999999</v>
      </c>
      <c r="J2121">
        <v>-370.19929999999999</v>
      </c>
      <c r="K2121">
        <v>1.1214139999999999</v>
      </c>
      <c r="L2121">
        <v>284.73430000000002</v>
      </c>
      <c r="M2121">
        <v>-0.99988710000000003</v>
      </c>
      <c r="N2121">
        <v>-1.280382E-2</v>
      </c>
      <c r="O2121">
        <v>7.8732530000000002E-3</v>
      </c>
      <c r="P2121">
        <v>-0.98075610000000002</v>
      </c>
      <c r="Q2121">
        <v>0.1899344</v>
      </c>
      <c r="R2121">
        <v>4.5192450000000002E-2</v>
      </c>
      <c r="S2121">
        <v>-3.1181950000000001</v>
      </c>
      <c r="T2121">
        <v>-0.36435879999999998</v>
      </c>
      <c r="U2121">
        <v>0.242981</v>
      </c>
      <c r="V2121">
        <v>3.7371290000000001E-2</v>
      </c>
      <c r="W2121">
        <v>0.2024986</v>
      </c>
      <c r="X2121">
        <v>0.97856920000000003</v>
      </c>
      <c r="Y2121">
        <v>6.9356829999999994E-2</v>
      </c>
      <c r="Z2121">
        <v>3.6636799999999999E-3</v>
      </c>
      <c r="AA2121">
        <v>0.99758519999999995</v>
      </c>
      <c r="AB2121">
        <v>35</v>
      </c>
      <c r="AC2121">
        <v>-0.73340000000001704</v>
      </c>
      <c r="AD2121">
        <v>-0.112590999999999</v>
      </c>
      <c r="AE2121">
        <v>7.3499999999967203E-2</v>
      </c>
      <c r="AF2121">
        <v>6.6178802179946095E-2</v>
      </c>
      <c r="AG2121">
        <v>-0.112590999999999</v>
      </c>
      <c r="AH2121">
        <v>0.71722051949683396</v>
      </c>
      <c r="AI2121">
        <v>98.884482905426296</v>
      </c>
      <c r="AJ2121">
        <v>84.728176908524304</v>
      </c>
      <c r="AK2121">
        <v>0.72901415673927805</v>
      </c>
      <c r="AL2121">
        <v>78.316891333159802</v>
      </c>
      <c r="AM2121">
        <v>87.812952680838293</v>
      </c>
      <c r="AN2121">
        <v>0.99999998775343202</v>
      </c>
    </row>
    <row r="2122" spans="1:40" x14ac:dyDescent="0.25">
      <c r="A2122" t="str">
        <f>"20190303162820741"</f>
        <v>20190303162820741</v>
      </c>
      <c r="B2122" t="str">
        <f>"1551601700733890"</f>
        <v>1551601700733890</v>
      </c>
      <c r="C2122" t="s">
        <v>40</v>
      </c>
      <c r="D2122">
        <v>4.5798629999999996</v>
      </c>
      <c r="E2122">
        <v>0.51315149999999998</v>
      </c>
      <c r="F2122" t="s">
        <v>44</v>
      </c>
      <c r="G2122">
        <v>-370.94909999999999</v>
      </c>
      <c r="H2122">
        <v>1.0415350000000001</v>
      </c>
      <c r="I2122">
        <v>284.79059999999998</v>
      </c>
      <c r="J2122">
        <v>-370.50920000000002</v>
      </c>
      <c r="K2122">
        <v>1.1214139999999999</v>
      </c>
      <c r="L2122">
        <v>284.73649999999998</v>
      </c>
      <c r="M2122">
        <v>-0.99988880000000002</v>
      </c>
      <c r="N2122">
        <v>-1.279455E-2</v>
      </c>
      <c r="O2122">
        <v>7.6685850000000003E-3</v>
      </c>
      <c r="P2122">
        <v>-0.98079340000000004</v>
      </c>
      <c r="Q2122">
        <v>0.18965609999999999</v>
      </c>
      <c r="R2122">
        <v>4.5553049999999998E-2</v>
      </c>
      <c r="S2122">
        <v>-3.1123050000000001</v>
      </c>
      <c r="T2122">
        <v>-0.33160780000000001</v>
      </c>
      <c r="U2122">
        <v>0.23364260000000001</v>
      </c>
      <c r="V2122">
        <v>3.7932710000000001E-2</v>
      </c>
      <c r="W2122">
        <v>0.2022119</v>
      </c>
      <c r="X2122">
        <v>0.97860689999999995</v>
      </c>
      <c r="Y2122">
        <v>6.6821809999999995E-2</v>
      </c>
      <c r="Z2122">
        <v>3.258478E-3</v>
      </c>
      <c r="AA2122">
        <v>0.99775959999999997</v>
      </c>
      <c r="AB2122">
        <v>35</v>
      </c>
      <c r="AC2122">
        <v>-0.43989999999996598</v>
      </c>
      <c r="AD2122">
        <v>-7.9878999999999797E-2</v>
      </c>
      <c r="AE2122">
        <v>5.4100000000005297E-2</v>
      </c>
      <c r="AF2122">
        <v>4.9128934236997303E-2</v>
      </c>
      <c r="AG2122">
        <v>-7.9878999999999797E-2</v>
      </c>
      <c r="AH2122">
        <v>0.42645016746968201</v>
      </c>
      <c r="AI2122">
        <v>100.541076240685</v>
      </c>
      <c r="AJ2122">
        <v>83.428245660639107</v>
      </c>
      <c r="AK2122">
        <v>0.436639499078111</v>
      </c>
      <c r="AL2122">
        <v>78.333665235420497</v>
      </c>
      <c r="AM2122">
        <v>87.780215249145101</v>
      </c>
      <c r="AN2122">
        <v>1.0000000038585799</v>
      </c>
    </row>
    <row r="2123" spans="1:40" x14ac:dyDescent="0.25">
      <c r="A2123" t="str">
        <f>"20190303162820762"</f>
        <v>20190303162820762</v>
      </c>
      <c r="B2123" t="str">
        <f>"1551601700753410"</f>
        <v>1551601700753410</v>
      </c>
      <c r="C2123" t="s">
        <v>40</v>
      </c>
      <c r="D2123">
        <v>4.6736599999999999</v>
      </c>
      <c r="E2123">
        <v>0.51282019999999995</v>
      </c>
      <c r="F2123" t="s">
        <v>44</v>
      </c>
      <c r="G2123">
        <v>-371.26909999999998</v>
      </c>
      <c r="H2123">
        <v>1.045749</v>
      </c>
      <c r="I2123">
        <v>284.7921</v>
      </c>
      <c r="J2123">
        <v>-370.83800000000002</v>
      </c>
      <c r="K2123">
        <v>1.1214109999999999</v>
      </c>
      <c r="L2123">
        <v>284.73880000000003</v>
      </c>
      <c r="M2123">
        <v>-0.99989070000000002</v>
      </c>
      <c r="N2123">
        <v>-1.278141E-2</v>
      </c>
      <c r="O2123">
        <v>7.4502049999999997E-3</v>
      </c>
      <c r="P2123">
        <v>-0.98086200000000001</v>
      </c>
      <c r="Q2123">
        <v>0.1892826</v>
      </c>
      <c r="R2123">
        <v>4.5631240000000003E-2</v>
      </c>
      <c r="S2123">
        <v>-3.1081850000000002</v>
      </c>
      <c r="T2123">
        <v>-0.3097239</v>
      </c>
      <c r="U2123">
        <v>0.22570799999999999</v>
      </c>
      <c r="V2123">
        <v>3.8224010000000003E-2</v>
      </c>
      <c r="W2123">
        <v>0.2018267</v>
      </c>
      <c r="X2123">
        <v>0.97867510000000002</v>
      </c>
      <c r="Y2123">
        <v>6.4661449999999995E-2</v>
      </c>
      <c r="Z2123">
        <v>2.9798379999999998E-3</v>
      </c>
      <c r="AA2123">
        <v>0.99790279999999998</v>
      </c>
      <c r="AB2123">
        <v>35</v>
      </c>
      <c r="AC2123">
        <v>-0.43109999999995802</v>
      </c>
      <c r="AD2123">
        <v>-7.5662000000000104E-2</v>
      </c>
      <c r="AE2123">
        <v>5.3299999999978802E-2</v>
      </c>
      <c r="AF2123">
        <v>4.8611613972282301E-2</v>
      </c>
      <c r="AG2123">
        <v>-7.5662000000000104E-2</v>
      </c>
      <c r="AH2123">
        <v>0.41877952158788101</v>
      </c>
      <c r="AI2123">
        <v>100.17442254892499</v>
      </c>
      <c r="AJ2123">
        <v>83.378781579723594</v>
      </c>
      <c r="AK2123">
        <v>0.42832711209817698</v>
      </c>
      <c r="AL2123">
        <v>78.356200415211106</v>
      </c>
      <c r="AM2123">
        <v>87.763341626429295</v>
      </c>
      <c r="AN2123">
        <v>1.00000002156668</v>
      </c>
    </row>
    <row r="2124" spans="1:40" x14ac:dyDescent="0.25">
      <c r="A2124" t="str">
        <f>"20190303162820776"</f>
        <v>20190303162820776</v>
      </c>
      <c r="B2124" t="str">
        <f>"1551601700765122"</f>
        <v>1551601700765122</v>
      </c>
      <c r="C2124" t="s">
        <v>40</v>
      </c>
      <c r="D2124">
        <v>4.6676029999999997</v>
      </c>
      <c r="E2124">
        <v>0.51245509999999905</v>
      </c>
      <c r="F2124" t="s">
        <v>44</v>
      </c>
      <c r="G2124">
        <v>-371.59010000000001</v>
      </c>
      <c r="H2124">
        <v>1.049965</v>
      </c>
      <c r="I2124">
        <v>284.79329999999999</v>
      </c>
      <c r="J2124">
        <v>-371.05739999999997</v>
      </c>
      <c r="K2124">
        <v>1.121413</v>
      </c>
      <c r="L2124">
        <v>284.74029999999999</v>
      </c>
      <c r="M2124">
        <v>-0.99989189999999994</v>
      </c>
      <c r="N2124">
        <v>-1.277059E-2</v>
      </c>
      <c r="O2124">
        <v>7.3029180000000003E-3</v>
      </c>
      <c r="P2124">
        <v>-0.98086830000000003</v>
      </c>
      <c r="Q2124">
        <v>0.1892296</v>
      </c>
      <c r="R2124">
        <v>4.571484E-2</v>
      </c>
      <c r="S2124">
        <v>-3.1051030000000002</v>
      </c>
      <c r="T2124">
        <v>-0.29518810000000001</v>
      </c>
      <c r="U2124">
        <v>0.2232056</v>
      </c>
      <c r="V2124">
        <v>3.8451289999999999E-2</v>
      </c>
      <c r="W2124">
        <v>0.2017631</v>
      </c>
      <c r="X2124">
        <v>0.97867930000000003</v>
      </c>
      <c r="Y2124">
        <v>6.4109899999999997E-2</v>
      </c>
      <c r="Z2124">
        <v>2.8487339999999999E-3</v>
      </c>
      <c r="AA2124">
        <v>0.99793880000000001</v>
      </c>
      <c r="AB2124">
        <v>35</v>
      </c>
      <c r="AC2124">
        <v>-0.53270000000003304</v>
      </c>
      <c r="AD2124">
        <v>-7.14479999999999E-2</v>
      </c>
      <c r="AE2124">
        <v>5.2999999999997202E-2</v>
      </c>
      <c r="AF2124">
        <v>4.8248554109211798E-2</v>
      </c>
      <c r="AG2124">
        <v>-7.14479999999999E-2</v>
      </c>
      <c r="AH2124">
        <v>0.52374344095875902</v>
      </c>
      <c r="AI2124">
        <v>97.735863480409293</v>
      </c>
      <c r="AJ2124">
        <v>84.736625423121595</v>
      </c>
      <c r="AK2124">
        <v>0.53079179687044098</v>
      </c>
      <c r="AL2124">
        <v>78.359920844701605</v>
      </c>
      <c r="AM2124">
        <v>87.750065726746399</v>
      </c>
      <c r="AN2124">
        <v>1.00000001123638</v>
      </c>
    </row>
    <row r="2125" spans="1:40" x14ac:dyDescent="0.25">
      <c r="A2125" t="str">
        <f>"20190303162820796"</f>
        <v>20190303162820796</v>
      </c>
      <c r="B2125" t="str">
        <f>"1551601700783666"</f>
        <v>1551601700783666</v>
      </c>
      <c r="C2125" t="s">
        <v>40</v>
      </c>
      <c r="D2125">
        <v>4.6758360000000003</v>
      </c>
      <c r="E2125">
        <v>0.5119165</v>
      </c>
      <c r="F2125" t="s">
        <v>44</v>
      </c>
      <c r="G2125">
        <v>-371.9008</v>
      </c>
      <c r="H2125">
        <v>1.04267</v>
      </c>
      <c r="I2125">
        <v>284.80070000000001</v>
      </c>
      <c r="J2125">
        <v>-371.37079999999997</v>
      </c>
      <c r="K2125">
        <v>1.12141</v>
      </c>
      <c r="L2125">
        <v>284.7423</v>
      </c>
      <c r="M2125">
        <v>-0.9998937</v>
      </c>
      <c r="N2125">
        <v>-1.2754450000000001E-2</v>
      </c>
      <c r="O2125">
        <v>7.0915259999999999E-3</v>
      </c>
      <c r="P2125">
        <v>-0.98073639999999995</v>
      </c>
      <c r="Q2125">
        <v>0.1898666</v>
      </c>
      <c r="R2125">
        <v>4.5903680000000002E-2</v>
      </c>
      <c r="S2125">
        <v>-3.104187</v>
      </c>
      <c r="T2125">
        <v>-0.29010449999999999</v>
      </c>
      <c r="U2125">
        <v>0.22064210000000001</v>
      </c>
      <c r="V2125">
        <v>3.8847279999999998E-2</v>
      </c>
      <c r="W2125">
        <v>0.2023828</v>
      </c>
      <c r="X2125">
        <v>0.97853570000000001</v>
      </c>
      <c r="Y2125">
        <v>6.3533530000000005E-2</v>
      </c>
      <c r="Z2125">
        <v>2.7950660000000001E-3</v>
      </c>
      <c r="AA2125">
        <v>0.99797579999999997</v>
      </c>
      <c r="AB2125">
        <v>35</v>
      </c>
      <c r="AC2125">
        <v>-0.530000000000029</v>
      </c>
      <c r="AD2125">
        <v>-7.8740000000000004E-2</v>
      </c>
      <c r="AE2125">
        <v>5.8400000000005899E-2</v>
      </c>
      <c r="AF2125">
        <v>5.3473613260964198E-2</v>
      </c>
      <c r="AG2125">
        <v>-7.8740000000000004E-2</v>
      </c>
      <c r="AH2125">
        <v>0.51908119627719296</v>
      </c>
      <c r="AI2125">
        <v>98.580773692190505</v>
      </c>
      <c r="AJ2125">
        <v>84.118371341434894</v>
      </c>
      <c r="AK2125">
        <v>0.52773544815915496</v>
      </c>
      <c r="AL2125">
        <v>78.323666760344807</v>
      </c>
      <c r="AM2125">
        <v>87.726585771496701</v>
      </c>
      <c r="AN2125">
        <v>1.00000001253686</v>
      </c>
    </row>
    <row r="2126" spans="1:40" x14ac:dyDescent="0.25">
      <c r="A2126" t="str">
        <f>"20190303162820809"</f>
        <v>20190303162820809</v>
      </c>
      <c r="B2126" t="str">
        <f>"1551601700793425"</f>
        <v>1551601700793425</v>
      </c>
      <c r="C2126" t="s">
        <v>40</v>
      </c>
      <c r="D2126">
        <v>4.7871930000000003</v>
      </c>
      <c r="E2126">
        <v>0.49524829999999997</v>
      </c>
      <c r="F2126" t="s">
        <v>44</v>
      </c>
      <c r="G2126">
        <v>-372.2192</v>
      </c>
      <c r="H2126">
        <v>1.0449850000000001</v>
      </c>
      <c r="I2126">
        <v>284.80200000000002</v>
      </c>
      <c r="J2126">
        <v>-371.57819999999998</v>
      </c>
      <c r="K2126">
        <v>1.12141</v>
      </c>
      <c r="L2126">
        <v>284.74360000000001</v>
      </c>
      <c r="M2126">
        <v>-0.99989470000000003</v>
      </c>
      <c r="N2126">
        <v>-1.2743819999999999E-2</v>
      </c>
      <c r="O2126">
        <v>6.9511570000000003E-3</v>
      </c>
      <c r="P2126">
        <v>-0.98075310000000004</v>
      </c>
      <c r="Q2126">
        <v>0.18983710000000001</v>
      </c>
      <c r="R2126">
        <v>4.5666560000000002E-2</v>
      </c>
      <c r="S2126">
        <v>-3.102875</v>
      </c>
      <c r="T2126">
        <v>-0.27959810000000002</v>
      </c>
      <c r="U2126">
        <v>0.2173157</v>
      </c>
      <c r="V2126">
        <v>3.8747320000000002E-2</v>
      </c>
      <c r="W2126">
        <v>0.2023432</v>
      </c>
      <c r="X2126">
        <v>0.97854790000000003</v>
      </c>
      <c r="Y2126">
        <v>6.2661330000000001E-2</v>
      </c>
      <c r="Z2126">
        <v>2.6787849999999999E-3</v>
      </c>
      <c r="AA2126">
        <v>0.99803129999999995</v>
      </c>
      <c r="AB2126">
        <v>35</v>
      </c>
      <c r="AC2126">
        <v>-0.641000000000019</v>
      </c>
      <c r="AD2126">
        <v>-7.6424999999999896E-2</v>
      </c>
      <c r="AE2126">
        <v>5.8400000000005899E-2</v>
      </c>
      <c r="AF2126">
        <v>5.3192613580928402E-2</v>
      </c>
      <c r="AG2126">
        <v>-7.6424999999999896E-2</v>
      </c>
      <c r="AH2126">
        <v>0.63247372716290695</v>
      </c>
      <c r="AI2126">
        <v>96.865928140561707</v>
      </c>
      <c r="AJ2126">
        <v>85.192595755690206</v>
      </c>
      <c r="AK2126">
        <v>0.63929120932162797</v>
      </c>
      <c r="AL2126">
        <v>78.325984157372901</v>
      </c>
      <c r="AM2126">
        <v>87.732457741369601</v>
      </c>
      <c r="AN2126">
        <v>1.00000005899391</v>
      </c>
    </row>
    <row r="2127" spans="1:40" x14ac:dyDescent="0.25">
      <c r="A2127" t="str">
        <f>"20190303162820825"</f>
        <v>20190303162820825</v>
      </c>
      <c r="B2127" t="str">
        <f>"1551601700813921"</f>
        <v>1551601700813921</v>
      </c>
      <c r="C2127" t="s">
        <v>40</v>
      </c>
      <c r="D2127">
        <v>4.6970580000000002</v>
      </c>
      <c r="E2127">
        <v>0.49341119999999999</v>
      </c>
      <c r="F2127" t="s">
        <v>49</v>
      </c>
      <c r="G2127">
        <v>-421.99540000000002</v>
      </c>
      <c r="H2127" s="1">
        <v>3.4737810000000002E-6</v>
      </c>
      <c r="I2127">
        <v>286.18189999999998</v>
      </c>
      <c r="J2127">
        <v>-371.83920000000001</v>
      </c>
      <c r="K2127">
        <v>1.1214059999999999</v>
      </c>
      <c r="L2127">
        <v>284.74520000000001</v>
      </c>
      <c r="M2127">
        <v>-0.99989600000000001</v>
      </c>
      <c r="N2127">
        <v>-1.2730969999999999E-2</v>
      </c>
      <c r="O2127">
        <v>6.7731349999999996E-3</v>
      </c>
      <c r="P2127">
        <v>-0.98080800000000001</v>
      </c>
      <c r="Q2127">
        <v>0.1896351</v>
      </c>
      <c r="R2127">
        <v>4.5325520000000001E-2</v>
      </c>
      <c r="S2127">
        <v>-3.067993</v>
      </c>
      <c r="T2127">
        <v>-6.8239930000000004E-2</v>
      </c>
      <c r="U2127">
        <v>8.7524409999999997E-2</v>
      </c>
      <c r="V2127">
        <v>3.858019E-2</v>
      </c>
      <c r="W2127">
        <v>0.20212930000000001</v>
      </c>
      <c r="X2127">
        <v>0.97859870000000004</v>
      </c>
      <c r="Y2127">
        <v>2.17369E-2</v>
      </c>
      <c r="Z2127">
        <v>3.1570410000000002E-4</v>
      </c>
      <c r="AA2127">
        <v>0.99976370000000003</v>
      </c>
      <c r="AB2127">
        <v>35</v>
      </c>
      <c r="AC2127">
        <v>-50.156199999999998</v>
      </c>
      <c r="AD2127">
        <v>-1.1214025262189999</v>
      </c>
      <c r="AE2127">
        <v>1.4366999999999699</v>
      </c>
      <c r="AF2127">
        <v>1.09637716860342</v>
      </c>
      <c r="AG2127">
        <v>-1.1214025262189999</v>
      </c>
      <c r="AH2127">
        <v>50.139737317620103</v>
      </c>
      <c r="AI2127">
        <v>91.280931608117399</v>
      </c>
      <c r="AJ2127">
        <v>88.747345342628904</v>
      </c>
      <c r="AK2127">
        <v>50.164258639011003</v>
      </c>
      <c r="AL2127">
        <v>78.338498204007493</v>
      </c>
      <c r="AM2127">
        <v>87.7423453388773</v>
      </c>
      <c r="AN2127">
        <v>1.0000000503102999</v>
      </c>
    </row>
    <row r="2128" spans="1:40" x14ac:dyDescent="0.25">
      <c r="A2128" t="str">
        <f>"20190303162820842"</f>
        <v>20190303162820842</v>
      </c>
      <c r="B2128" t="str">
        <f>"1551601700833441"</f>
        <v>1551601700833441</v>
      </c>
      <c r="C2128" t="s">
        <v>40</v>
      </c>
      <c r="D2128">
        <v>4.7768329999999999</v>
      </c>
      <c r="E2128">
        <v>0.49529469999999998</v>
      </c>
      <c r="F2128" t="s">
        <v>49</v>
      </c>
      <c r="G2128">
        <v>-432.28699999999998</v>
      </c>
      <c r="H2128" s="1">
        <v>3.0955319999999999E-6</v>
      </c>
      <c r="I2128">
        <v>286.16800000000001</v>
      </c>
      <c r="J2128">
        <v>-372.10730000000001</v>
      </c>
      <c r="K2128">
        <v>1.1214029999999999</v>
      </c>
      <c r="L2128">
        <v>284.74689999999998</v>
      </c>
      <c r="M2128">
        <v>-0.99989740000000005</v>
      </c>
      <c r="N2128">
        <v>-1.271864E-2</v>
      </c>
      <c r="O2128">
        <v>6.5905769999999898E-3</v>
      </c>
      <c r="P2128">
        <v>-0.98090900000000003</v>
      </c>
      <c r="Q2128">
        <v>0.18918080000000001</v>
      </c>
      <c r="R2128">
        <v>4.503646E-2</v>
      </c>
      <c r="S2128">
        <v>-3.0664060000000002</v>
      </c>
      <c r="T2128">
        <v>-5.688667E-2</v>
      </c>
      <c r="U2128">
        <v>7.2174070000000007E-2</v>
      </c>
      <c r="V2128">
        <v>3.8469250000000003E-2</v>
      </c>
      <c r="W2128">
        <v>0.20166410000000001</v>
      </c>
      <c r="X2128">
        <v>0.97869899999999999</v>
      </c>
      <c r="Y2128">
        <v>1.6935909999999998E-2</v>
      </c>
      <c r="Z2128">
        <v>2.263741E-4</v>
      </c>
      <c r="AA2128">
        <v>0.99985650000000004</v>
      </c>
      <c r="AB2128">
        <v>35</v>
      </c>
      <c r="AC2128">
        <v>-60.179699999999897</v>
      </c>
      <c r="AD2128">
        <v>-1.1213999044679901</v>
      </c>
      <c r="AE2128">
        <v>1.42110000000002</v>
      </c>
      <c r="AF2128">
        <v>1.0240627133573199</v>
      </c>
      <c r="AG2128">
        <v>-1.1213999044679901</v>
      </c>
      <c r="AH2128">
        <v>60.166879144657301</v>
      </c>
      <c r="AI2128">
        <v>91.067609669444494</v>
      </c>
      <c r="AJ2128">
        <v>89.024898625493506</v>
      </c>
      <c r="AK2128">
        <v>60.186041473039502</v>
      </c>
      <c r="AL2128">
        <v>78.3657121851748</v>
      </c>
      <c r="AM2128">
        <v>87.749061161113403</v>
      </c>
      <c r="AN2128">
        <v>1.00000001251268</v>
      </c>
    </row>
    <row r="2129" spans="1:40" x14ac:dyDescent="0.25">
      <c r="A2129" t="str">
        <f>"20190303162820864"</f>
        <v>20190303162820864</v>
      </c>
      <c r="B2129" t="str">
        <f>"1551601700853937"</f>
        <v>1551601700853937</v>
      </c>
      <c r="C2129" t="s">
        <v>40</v>
      </c>
      <c r="D2129">
        <v>4.8053019999999904</v>
      </c>
      <c r="E2129">
        <v>0.4950058</v>
      </c>
      <c r="F2129" t="s">
        <v>49</v>
      </c>
      <c r="G2129">
        <v>-431.32859999999999</v>
      </c>
      <c r="H2129" s="1">
        <v>2.6488450000000001E-6</v>
      </c>
      <c r="I2129">
        <v>286.41590000000002</v>
      </c>
      <c r="J2129">
        <v>-372.4418</v>
      </c>
      <c r="K2129">
        <v>1.1214010000000001</v>
      </c>
      <c r="L2129">
        <v>284.74880000000002</v>
      </c>
      <c r="M2129">
        <v>-0.99989910000000004</v>
      </c>
      <c r="N2129">
        <v>-1.270427E-2</v>
      </c>
      <c r="O2129">
        <v>6.3627859999999996E-3</v>
      </c>
      <c r="P2129">
        <v>-0.98095670000000001</v>
      </c>
      <c r="Q2129">
        <v>0.18907450000000001</v>
      </c>
      <c r="R2129">
        <v>4.4441370000000001E-2</v>
      </c>
      <c r="S2129">
        <v>-3.0656129999999999</v>
      </c>
      <c r="T2129">
        <v>-5.8049679999999999E-2</v>
      </c>
      <c r="U2129">
        <v>8.6395260000000001E-2</v>
      </c>
      <c r="V2129">
        <v>3.809655E-2</v>
      </c>
      <c r="W2129">
        <v>0.2015441</v>
      </c>
      <c r="X2129">
        <v>0.97873829999999995</v>
      </c>
      <c r="Y2129">
        <v>2.180313E-2</v>
      </c>
      <c r="Z2129">
        <v>3.0529549999999998E-4</v>
      </c>
      <c r="AA2129">
        <v>0.99976220000000005</v>
      </c>
      <c r="AB2129">
        <v>35</v>
      </c>
      <c r="AC2129">
        <v>-58.886800000000001</v>
      </c>
      <c r="AD2129">
        <v>-1.1213983511550001</v>
      </c>
      <c r="AE2129">
        <v>1.6671</v>
      </c>
      <c r="AF2129">
        <v>1.29188379604445</v>
      </c>
      <c r="AG2129">
        <v>-1.1213983511550001</v>
      </c>
      <c r="AH2129">
        <v>58.874882341710901</v>
      </c>
      <c r="AI2129">
        <v>91.090926466699997</v>
      </c>
      <c r="AJ2129">
        <v>88.742967972866794</v>
      </c>
      <c r="AK2129">
        <v>58.899730633974599</v>
      </c>
      <c r="AL2129">
        <v>78.372731848687707</v>
      </c>
      <c r="AM2129">
        <v>87.770936147388099</v>
      </c>
      <c r="AN2129">
        <v>1.0000000156268001</v>
      </c>
    </row>
    <row r="2130" spans="1:40" x14ac:dyDescent="0.25">
      <c r="A2130" t="str">
        <f>"20190303162820885"</f>
        <v>20190303162820885</v>
      </c>
      <c r="B2130" t="str">
        <f>"1551601700873457"</f>
        <v>1551601700873457</v>
      </c>
      <c r="C2130" t="s">
        <v>40</v>
      </c>
      <c r="D2130">
        <v>4.6602629999999996</v>
      </c>
      <c r="E2130">
        <v>0.49469449999999998</v>
      </c>
      <c r="F2130" t="s">
        <v>49</v>
      </c>
      <c r="G2130">
        <v>-429.1</v>
      </c>
      <c r="H2130" s="1">
        <v>2.2058289999999999E-6</v>
      </c>
      <c r="I2130">
        <v>286.27019999999999</v>
      </c>
      <c r="J2130">
        <v>-372.78629999999998</v>
      </c>
      <c r="K2130">
        <v>1.121397</v>
      </c>
      <c r="L2130">
        <v>284.75080000000003</v>
      </c>
      <c r="M2130">
        <v>-0.99990080000000003</v>
      </c>
      <c r="N2130">
        <v>-1.2690669999999999E-2</v>
      </c>
      <c r="O2130">
        <v>6.1292660000000004E-3</v>
      </c>
      <c r="P2130">
        <v>-0.98095489999999996</v>
      </c>
      <c r="Q2130">
        <v>0.1892383</v>
      </c>
      <c r="R2130">
        <v>4.3778739999999997E-2</v>
      </c>
      <c r="S2130">
        <v>-3.0662229999999999</v>
      </c>
      <c r="T2130">
        <v>-6.0687779999999997E-2</v>
      </c>
      <c r="U2130">
        <v>8.2336430000000002E-2</v>
      </c>
      <c r="V2130">
        <v>3.7662260000000003E-2</v>
      </c>
      <c r="W2130">
        <v>0.20169490000000001</v>
      </c>
      <c r="X2130">
        <v>0.97872400000000004</v>
      </c>
      <c r="Y2130">
        <v>2.070849E-2</v>
      </c>
      <c r="Z2130">
        <v>2.928273E-4</v>
      </c>
      <c r="AA2130">
        <v>0.99978549999999999</v>
      </c>
      <c r="AB2130">
        <v>35</v>
      </c>
      <c r="AC2130">
        <v>-56.313699999999997</v>
      </c>
      <c r="AD2130">
        <v>-1.1213947941710001</v>
      </c>
      <c r="AE2130">
        <v>1.5193999999999599</v>
      </c>
      <c r="AF2130">
        <v>1.1737169606431701</v>
      </c>
      <c r="AG2130">
        <v>-1.1213947941710001</v>
      </c>
      <c r="AH2130">
        <v>56.299646660391701</v>
      </c>
      <c r="AI2130">
        <v>91.140837379626603</v>
      </c>
      <c r="AJ2130">
        <v>88.805688987460798</v>
      </c>
      <c r="AK2130">
        <v>56.323044589875003</v>
      </c>
      <c r="AL2130">
        <v>78.363909990282494</v>
      </c>
      <c r="AM2130">
        <v>87.796289488564696</v>
      </c>
      <c r="AN2130">
        <v>0.999999973345158</v>
      </c>
    </row>
    <row r="2131" spans="1:40" x14ac:dyDescent="0.25">
      <c r="A2131" t="str">
        <f>"20190303162820907"</f>
        <v>20190303162820907</v>
      </c>
      <c r="B2131" t="str">
        <f>"1551601700893954"</f>
        <v>1551601700893954</v>
      </c>
      <c r="C2131" t="s">
        <v>40</v>
      </c>
      <c r="D2131">
        <v>4.7179580000000003</v>
      </c>
      <c r="E2131">
        <v>0.49498009999999898</v>
      </c>
      <c r="F2131" t="s">
        <v>49</v>
      </c>
      <c r="G2131">
        <v>-433.90859999999998</v>
      </c>
      <c r="H2131" s="1">
        <v>3.8027999999999998E-6</v>
      </c>
      <c r="I2131">
        <v>286.30360000000002</v>
      </c>
      <c r="J2131">
        <v>-373.1447</v>
      </c>
      <c r="K2131">
        <v>1.1214</v>
      </c>
      <c r="L2131">
        <v>284.7527</v>
      </c>
      <c r="M2131">
        <v>-0.99990230000000002</v>
      </c>
      <c r="N2131">
        <v>-1.2677829999999999E-2</v>
      </c>
      <c r="O2131">
        <v>5.8861520000000004E-3</v>
      </c>
      <c r="P2131">
        <v>-0.98098510000000005</v>
      </c>
      <c r="Q2131">
        <v>0.1892337</v>
      </c>
      <c r="R2131">
        <v>4.3114619999999999E-2</v>
      </c>
      <c r="S2131">
        <v>-3.065582</v>
      </c>
      <c r="T2131">
        <v>-5.6243300000000003E-2</v>
      </c>
      <c r="U2131">
        <v>7.7880859999999996E-2</v>
      </c>
      <c r="V2131">
        <v>3.7235940000000002E-2</v>
      </c>
      <c r="W2131">
        <v>0.20167769999999999</v>
      </c>
      <c r="X2131">
        <v>0.9787439</v>
      </c>
      <c r="Y2131">
        <v>1.9506099999999998E-2</v>
      </c>
      <c r="Z2131">
        <v>2.6923419999999999E-4</v>
      </c>
      <c r="AA2131">
        <v>0.99980970000000002</v>
      </c>
      <c r="AB2131">
        <v>35</v>
      </c>
      <c r="AC2131">
        <v>-60.7638999999999</v>
      </c>
      <c r="AD2131">
        <v>-1.1213961971999999</v>
      </c>
      <c r="AE2131">
        <v>1.5509000000000099</v>
      </c>
      <c r="AF2131">
        <v>1.1927728500400501</v>
      </c>
      <c r="AG2131">
        <v>-1.1213961971999999</v>
      </c>
      <c r="AH2131">
        <v>60.751299175886402</v>
      </c>
      <c r="AI2131">
        <v>91.057287632858205</v>
      </c>
      <c r="AJ2131">
        <v>88.875216303382501</v>
      </c>
      <c r="AK2131">
        <v>60.773354260407103</v>
      </c>
      <c r="AL2131">
        <v>78.364916655628093</v>
      </c>
      <c r="AM2131">
        <v>87.821254587984896</v>
      </c>
      <c r="AN2131">
        <v>1.00000001584609</v>
      </c>
    </row>
    <row r="2132" spans="1:40" x14ac:dyDescent="0.25">
      <c r="A2132" t="str">
        <f>"20190303162820921"</f>
        <v>20190303162820921</v>
      </c>
      <c r="B2132" t="str">
        <f>"1551601700913474"</f>
        <v>1551601700913474</v>
      </c>
      <c r="C2132" t="s">
        <v>40</v>
      </c>
      <c r="D2132">
        <v>4.7346409999999999</v>
      </c>
      <c r="E2132">
        <v>0.49501030000000001</v>
      </c>
      <c r="F2132" t="s">
        <v>49</v>
      </c>
      <c r="G2132">
        <v>-437.48419999999999</v>
      </c>
      <c r="H2132" s="1">
        <v>5.3803059999999997E-6</v>
      </c>
      <c r="I2132">
        <v>286.3965</v>
      </c>
      <c r="J2132">
        <v>-373.36500000000001</v>
      </c>
      <c r="K2132">
        <v>1.1214</v>
      </c>
      <c r="L2132">
        <v>284.75380000000001</v>
      </c>
      <c r="M2132">
        <v>-0.99990330000000005</v>
      </c>
      <c r="N2132">
        <v>-1.2670529999999999E-2</v>
      </c>
      <c r="O2132">
        <v>5.7370640000000001E-3</v>
      </c>
      <c r="P2132">
        <v>-0.98099479999999994</v>
      </c>
      <c r="Q2132">
        <v>0.18922439999999999</v>
      </c>
      <c r="R2132">
        <v>4.2936500000000002E-2</v>
      </c>
      <c r="S2132">
        <v>-3.064972</v>
      </c>
      <c r="T2132">
        <v>-5.3420420000000003E-2</v>
      </c>
      <c r="U2132">
        <v>7.830811E-2</v>
      </c>
      <c r="V2132">
        <v>3.7203649999999998E-2</v>
      </c>
      <c r="W2132">
        <v>0.2016609</v>
      </c>
      <c r="X2132">
        <v>0.97874859999999997</v>
      </c>
      <c r="Y2132">
        <v>1.9799839999999999E-2</v>
      </c>
      <c r="Z2132">
        <v>2.7070270000000002E-4</v>
      </c>
      <c r="AA2132">
        <v>0.99980389999999997</v>
      </c>
      <c r="AB2132">
        <v>35</v>
      </c>
      <c r="AC2132">
        <v>-64.119199999999907</v>
      </c>
      <c r="AD2132">
        <v>-1.1213946196939999</v>
      </c>
      <c r="AE2132">
        <v>1.6426999999999901</v>
      </c>
      <c r="AF2132">
        <v>1.2743979399765999</v>
      </c>
      <c r="AG2132">
        <v>-1.1213946196939999</v>
      </c>
      <c r="AH2132">
        <v>64.107973628374097</v>
      </c>
      <c r="AI2132">
        <v>91.001933702925797</v>
      </c>
      <c r="AJ2132">
        <v>88.861171187321602</v>
      </c>
      <c r="AK2132">
        <v>64.130444398419797</v>
      </c>
      <c r="AL2132">
        <v>78.365899537593606</v>
      </c>
      <c r="AM2132">
        <v>87.823152561960896</v>
      </c>
      <c r="AN2132">
        <v>1.0000000260820401</v>
      </c>
    </row>
    <row r="2133" spans="1:40" x14ac:dyDescent="0.25">
      <c r="A2133" t="str">
        <f>"20190303162820934"</f>
        <v>20190303162820934</v>
      </c>
      <c r="B2133" t="str">
        <f>"1551601700924209"</f>
        <v>1551601700924209</v>
      </c>
      <c r="C2133" t="s">
        <v>40</v>
      </c>
      <c r="D2133">
        <v>4.7557989999999997</v>
      </c>
      <c r="E2133">
        <v>0.49499919999999997</v>
      </c>
      <c r="F2133" t="s">
        <v>49</v>
      </c>
      <c r="G2133">
        <v>-437.84949999999998</v>
      </c>
      <c r="H2133" s="1">
        <v>5.5425059999999996E-6</v>
      </c>
      <c r="I2133">
        <v>286.39420000000001</v>
      </c>
      <c r="J2133">
        <v>-373.57</v>
      </c>
      <c r="K2133">
        <v>1.121399</v>
      </c>
      <c r="L2133">
        <v>284.75479999999999</v>
      </c>
      <c r="M2133">
        <v>-0.99990420000000002</v>
      </c>
      <c r="N2133">
        <v>-1.2664299999999899E-2</v>
      </c>
      <c r="O2133">
        <v>5.5981049999999999E-3</v>
      </c>
      <c r="P2133">
        <v>-0.98102630000000002</v>
      </c>
      <c r="Q2133">
        <v>0.1891139</v>
      </c>
      <c r="R2133">
        <v>4.2701389999999999E-2</v>
      </c>
      <c r="S2133">
        <v>-3.0650629999999999</v>
      </c>
      <c r="T2133">
        <v>-5.3301809999999998E-2</v>
      </c>
      <c r="U2133">
        <v>7.7972410000000006E-2</v>
      </c>
      <c r="V2133">
        <v>3.710459E-2</v>
      </c>
      <c r="W2133">
        <v>0.201545</v>
      </c>
      <c r="X2133">
        <v>0.97877619999999999</v>
      </c>
      <c r="Y2133">
        <v>1.9828599999999998E-2</v>
      </c>
      <c r="Z2133">
        <v>2.715304E-4</v>
      </c>
      <c r="AA2133">
        <v>0.99980340000000001</v>
      </c>
      <c r="AB2133">
        <v>35</v>
      </c>
      <c r="AC2133">
        <v>-64.279499999999899</v>
      </c>
      <c r="AD2133">
        <v>-1.1213934574940001</v>
      </c>
      <c r="AE2133">
        <v>1.63940000000002</v>
      </c>
      <c r="AF2133">
        <v>1.2791130376744799</v>
      </c>
      <c r="AG2133">
        <v>-1.1213934574940001</v>
      </c>
      <c r="AH2133">
        <v>64.2681236915938</v>
      </c>
      <c r="AI2133">
        <v>90.999435977278196</v>
      </c>
      <c r="AJ2133">
        <v>88.859806389943301</v>
      </c>
      <c r="AK2133">
        <v>64.290632103656193</v>
      </c>
      <c r="AL2133">
        <v>78.372678943109705</v>
      </c>
      <c r="AM2133">
        <v>87.8290043353051</v>
      </c>
      <c r="AN2133">
        <v>0.99999999365525305</v>
      </c>
    </row>
    <row r="2134" spans="1:40" x14ac:dyDescent="0.25">
      <c r="A2134" t="str">
        <f>"20190303162820950"</f>
        <v>20190303162820950</v>
      </c>
      <c r="B2134" t="str">
        <f>"1551601700943729"</f>
        <v>1551601700943729</v>
      </c>
      <c r="C2134" t="s">
        <v>40</v>
      </c>
      <c r="D2134">
        <v>4.7008020000000004</v>
      </c>
      <c r="E2134">
        <v>0.4950425</v>
      </c>
      <c r="F2134" t="s">
        <v>49</v>
      </c>
      <c r="G2134">
        <v>-438.25749999999999</v>
      </c>
      <c r="H2134" s="1">
        <v>5.7245039999999899E-6</v>
      </c>
      <c r="I2134">
        <v>286.3818</v>
      </c>
      <c r="J2134">
        <v>-373.82049999999998</v>
      </c>
      <c r="K2134">
        <v>1.1213979999999999</v>
      </c>
      <c r="L2134">
        <v>284.75599999999997</v>
      </c>
      <c r="M2134">
        <v>-0.99990520000000005</v>
      </c>
      <c r="N2134">
        <v>-1.2657140000000001E-2</v>
      </c>
      <c r="O2134">
        <v>5.4281609999999999E-3</v>
      </c>
      <c r="P2134">
        <v>-0.98095319999999997</v>
      </c>
      <c r="Q2134">
        <v>0.18953100000000001</v>
      </c>
      <c r="R2134">
        <v>4.2532830000000001E-2</v>
      </c>
      <c r="S2134">
        <v>-3.06488</v>
      </c>
      <c r="T2134">
        <v>-5.3131339999999999E-2</v>
      </c>
      <c r="U2134">
        <v>7.7087399999999903E-2</v>
      </c>
      <c r="V2134">
        <v>3.7102740000000002E-2</v>
      </c>
      <c r="W2134">
        <v>0.2019541</v>
      </c>
      <c r="X2134">
        <v>0.97869189999999995</v>
      </c>
      <c r="Y2134">
        <v>1.9711590000000001E-2</v>
      </c>
      <c r="Z2134">
        <v>2.7022340000000002E-4</v>
      </c>
      <c r="AA2134">
        <v>0.99980570000000002</v>
      </c>
      <c r="AB2134">
        <v>35</v>
      </c>
      <c r="AC2134">
        <v>-64.436999999999998</v>
      </c>
      <c r="AD2134">
        <v>-1.121392275496</v>
      </c>
      <c r="AE2134">
        <v>1.6258000000000199</v>
      </c>
      <c r="AF2134">
        <v>1.2755875452622301</v>
      </c>
      <c r="AG2134">
        <v>-1.121392275496</v>
      </c>
      <c r="AH2134">
        <v>64.425376763823806</v>
      </c>
      <c r="AI2134">
        <v>90.996997983522903</v>
      </c>
      <c r="AJ2134">
        <v>88.865722820227901</v>
      </c>
      <c r="AK2134">
        <v>64.447760359703906</v>
      </c>
      <c r="AL2134">
        <v>78.348746658274806</v>
      </c>
      <c r="AM2134">
        <v>87.828925664248501</v>
      </c>
      <c r="AN2134">
        <v>0.99999995347396198</v>
      </c>
    </row>
    <row r="2135" spans="1:40" x14ac:dyDescent="0.25">
      <c r="A2135" t="str">
        <f>"20190303162820963"</f>
        <v>20190303162820963</v>
      </c>
      <c r="B2135" t="str">
        <f>"1551601700953490"</f>
        <v>1551601700953490</v>
      </c>
      <c r="C2135" t="s">
        <v>40</v>
      </c>
      <c r="D2135">
        <v>4.6430099999999896</v>
      </c>
      <c r="E2135">
        <v>0.49509789999999998</v>
      </c>
      <c r="F2135" t="s">
        <v>48</v>
      </c>
      <c r="G2135">
        <v>-440.89659999999998</v>
      </c>
      <c r="H2135" s="1">
        <v>-1.139335E-6</v>
      </c>
      <c r="I2135">
        <v>286.43920000000003</v>
      </c>
      <c r="J2135">
        <v>-374.02330000000001</v>
      </c>
      <c r="K2135">
        <v>1.121397</v>
      </c>
      <c r="L2135">
        <v>284.75700000000001</v>
      </c>
      <c r="M2135">
        <v>-0.99990599999999996</v>
      </c>
      <c r="N2135">
        <v>-1.26517E-2</v>
      </c>
      <c r="O2135">
        <v>5.2905119999999998E-3</v>
      </c>
      <c r="P2135">
        <v>-0.98089979999999999</v>
      </c>
      <c r="Q2135">
        <v>0.18982009999999999</v>
      </c>
      <c r="R2135">
        <v>4.2477349999999997E-2</v>
      </c>
      <c r="S2135">
        <v>-3.0647579999999999</v>
      </c>
      <c r="T2135">
        <v>-5.1237579999999998E-2</v>
      </c>
      <c r="U2135">
        <v>7.6904299999999995E-2</v>
      </c>
      <c r="V2135">
        <v>3.7182449999999999E-2</v>
      </c>
      <c r="W2135">
        <v>0.20223669999999999</v>
      </c>
      <c r="X2135">
        <v>0.97863049999999996</v>
      </c>
      <c r="Y2135">
        <v>1.9790769999999999E-2</v>
      </c>
      <c r="Z2135">
        <v>2.6912980000000001E-4</v>
      </c>
      <c r="AA2135">
        <v>0.99980409999999997</v>
      </c>
      <c r="AB2135">
        <v>35</v>
      </c>
      <c r="AC2135">
        <v>-66.873299999999901</v>
      </c>
      <c r="AD2135">
        <v>-1.1213981393350001</v>
      </c>
      <c r="AE2135">
        <v>1.6822000000000199</v>
      </c>
      <c r="AF2135">
        <v>1.32798095964844</v>
      </c>
      <c r="AG2135">
        <v>-1.1213981393350001</v>
      </c>
      <c r="AH2135">
        <v>66.862474591595102</v>
      </c>
      <c r="AI2135">
        <v>90.960668776688394</v>
      </c>
      <c r="AJ2135">
        <v>88.862176396996404</v>
      </c>
      <c r="AK2135">
        <v>66.885062425984103</v>
      </c>
      <c r="AL2135">
        <v>78.332213525835499</v>
      </c>
      <c r="AM2135">
        <v>87.824129519332601</v>
      </c>
      <c r="AN2135">
        <v>0.99999993647256902</v>
      </c>
    </row>
    <row r="2136" spans="1:40" x14ac:dyDescent="0.25">
      <c r="A2136" t="str">
        <f>"20190303162820978"</f>
        <v>20190303162820978</v>
      </c>
      <c r="B2136" t="str">
        <f>"1551601700973985"</f>
        <v>1551601700973985</v>
      </c>
      <c r="C2136" t="s">
        <v>40</v>
      </c>
      <c r="D2136">
        <v>4.6676140000000004</v>
      </c>
      <c r="E2136">
        <v>0.49513879999999999</v>
      </c>
      <c r="F2136" t="s">
        <v>48</v>
      </c>
      <c r="G2136">
        <v>-443.2081</v>
      </c>
      <c r="H2136" s="1">
        <v>8.783185E-8</v>
      </c>
      <c r="I2136">
        <v>286.50560000000002</v>
      </c>
      <c r="J2136">
        <v>-374.28039999999999</v>
      </c>
      <c r="K2136">
        <v>1.1213979999999999</v>
      </c>
      <c r="L2136">
        <v>284.75819999999999</v>
      </c>
      <c r="M2136">
        <v>-0.99990690000000004</v>
      </c>
      <c r="N2136">
        <v>-1.264553E-2</v>
      </c>
      <c r="O2136">
        <v>5.1156800000000001E-3</v>
      </c>
      <c r="P2136">
        <v>-0.98089749999999998</v>
      </c>
      <c r="Q2136">
        <v>0.18985070000000001</v>
      </c>
      <c r="R2136">
        <v>4.2386899999999998E-2</v>
      </c>
      <c r="S2136">
        <v>-3.0646360000000001</v>
      </c>
      <c r="T2136">
        <v>-4.9673799999999997E-2</v>
      </c>
      <c r="U2136">
        <v>7.7453610000000006E-2</v>
      </c>
      <c r="V2136">
        <v>3.7263459999999998E-2</v>
      </c>
      <c r="W2136">
        <v>0.20226140000000001</v>
      </c>
      <c r="X2136">
        <v>0.9786224</v>
      </c>
      <c r="Y2136">
        <v>2.014581E-2</v>
      </c>
      <c r="Z2136">
        <v>2.7243439999999997E-4</v>
      </c>
      <c r="AA2136">
        <v>0.99979700000000005</v>
      </c>
      <c r="AB2136">
        <v>35</v>
      </c>
      <c r="AC2136">
        <v>-68.927700000000002</v>
      </c>
      <c r="AD2136">
        <v>-1.1213979121681501</v>
      </c>
      <c r="AE2136">
        <v>1.74740000000002</v>
      </c>
      <c r="AF2136">
        <v>1.3943680254350701</v>
      </c>
      <c r="AG2136">
        <v>-1.1213979121681501</v>
      </c>
      <c r="AH2136">
        <v>68.917507956020501</v>
      </c>
      <c r="AI2136">
        <v>90.932020856023399</v>
      </c>
      <c r="AJ2136">
        <v>88.840925814258995</v>
      </c>
      <c r="AK2136">
        <v>68.940733230332896</v>
      </c>
      <c r="AL2136">
        <v>78.330769451643306</v>
      </c>
      <c r="AM2136">
        <v>87.819375455554393</v>
      </c>
      <c r="AN2136">
        <v>1.0000000205814401</v>
      </c>
    </row>
    <row r="2137" spans="1:40" x14ac:dyDescent="0.25">
      <c r="A2137" t="str">
        <f>"20190303162820991"</f>
        <v>20190303162820991</v>
      </c>
      <c r="B2137" t="str">
        <f>"1551601700983746"</f>
        <v>1551601700983746</v>
      </c>
      <c r="C2137" t="s">
        <v>40</v>
      </c>
      <c r="D2137">
        <v>4.6393680000000002</v>
      </c>
      <c r="E2137">
        <v>0.49518659999999998</v>
      </c>
      <c r="F2137" t="s">
        <v>48</v>
      </c>
      <c r="G2137">
        <v>-444.75069999999999</v>
      </c>
      <c r="H2137" s="1">
        <v>9.0717629999999997E-7</v>
      </c>
      <c r="I2137">
        <v>286.54070000000002</v>
      </c>
      <c r="J2137">
        <v>-374.47730000000001</v>
      </c>
      <c r="K2137">
        <v>1.1213959999999901</v>
      </c>
      <c r="L2137">
        <v>284.75900000000001</v>
      </c>
      <c r="M2137">
        <v>-0.99990780000000001</v>
      </c>
      <c r="N2137">
        <v>-1.264116E-2</v>
      </c>
      <c r="O2137">
        <v>4.9817230000000004E-3</v>
      </c>
      <c r="P2137">
        <v>-0.98088770000000003</v>
      </c>
      <c r="Q2137">
        <v>0.18992000000000001</v>
      </c>
      <c r="R2137">
        <v>4.2307810000000001E-2</v>
      </c>
      <c r="S2137">
        <v>-3.064514</v>
      </c>
      <c r="T2137">
        <v>-4.8765780000000002E-2</v>
      </c>
      <c r="U2137">
        <v>7.7514650000000004E-2</v>
      </c>
      <c r="V2137">
        <v>3.7315719999999997E-2</v>
      </c>
      <c r="W2137">
        <v>0.20232629999999999</v>
      </c>
      <c r="X2137">
        <v>0.978607</v>
      </c>
      <c r="Y2137">
        <v>2.0300760000000001E-2</v>
      </c>
      <c r="Z2137">
        <v>2.7355249999999999E-4</v>
      </c>
      <c r="AA2137">
        <v>0.99979390000000001</v>
      </c>
      <c r="AB2137">
        <v>35</v>
      </c>
      <c r="AC2137">
        <v>-70.273399999999896</v>
      </c>
      <c r="AD2137">
        <v>-1.12139509282369</v>
      </c>
      <c r="AE2137">
        <v>1.7817000000000001</v>
      </c>
      <c r="AF2137">
        <v>1.4312031243873999</v>
      </c>
      <c r="AG2137">
        <v>-1.12139509282369</v>
      </c>
      <c r="AH2137">
        <v>70.263523722375794</v>
      </c>
      <c r="AI2137">
        <v>90.914164658691703</v>
      </c>
      <c r="AJ2137">
        <v>88.833099220069499</v>
      </c>
      <c r="AK2137">
        <v>70.287044575955306</v>
      </c>
      <c r="AL2137">
        <v>78.326972534538001</v>
      </c>
      <c r="AM2137">
        <v>87.816285874825994</v>
      </c>
      <c r="AN2137">
        <v>1.0000000275398999</v>
      </c>
    </row>
    <row r="2138" spans="1:40" x14ac:dyDescent="0.25">
      <c r="A2138" t="str">
        <f>"20190303162821010"</f>
        <v>20190303162821010</v>
      </c>
      <c r="B2138" t="str">
        <f>"1551601701003265"</f>
        <v>1551601701003265</v>
      </c>
      <c r="C2138" t="s">
        <v>40</v>
      </c>
      <c r="D2138">
        <v>4.6156689999999996</v>
      </c>
      <c r="E2138">
        <v>0.49547259999999999</v>
      </c>
      <c r="F2138" t="s">
        <v>48</v>
      </c>
      <c r="G2138">
        <v>-446.50209999999998</v>
      </c>
      <c r="H2138" s="1">
        <v>1.837669E-6</v>
      </c>
      <c r="I2138">
        <v>286.5752</v>
      </c>
      <c r="J2138">
        <v>-374.76350000000002</v>
      </c>
      <c r="K2138">
        <v>1.1213959999999901</v>
      </c>
      <c r="L2138">
        <v>284.76029999999997</v>
      </c>
      <c r="M2138">
        <v>-0.99990880000000004</v>
      </c>
      <c r="N2138">
        <v>-1.263529E-2</v>
      </c>
      <c r="O2138">
        <v>4.7875139999999997E-3</v>
      </c>
      <c r="P2138">
        <v>-0.98081739999999995</v>
      </c>
      <c r="Q2138">
        <v>0.19023519999999999</v>
      </c>
      <c r="R2138">
        <v>4.2517869999999999E-2</v>
      </c>
      <c r="S2138">
        <v>-3.064362</v>
      </c>
      <c r="T2138">
        <v>-4.7710780000000001E-2</v>
      </c>
      <c r="U2138">
        <v>7.7270510000000001E-2</v>
      </c>
      <c r="V2138">
        <v>3.7716260000000001E-2</v>
      </c>
      <c r="W2138">
        <v>0.2026345</v>
      </c>
      <c r="X2138">
        <v>0.97852779999999995</v>
      </c>
      <c r="Y2138">
        <v>2.0416730000000001E-2</v>
      </c>
      <c r="Z2138">
        <v>2.7389329999999998E-4</v>
      </c>
      <c r="AA2138">
        <v>0.99979150000000006</v>
      </c>
      <c r="AB2138">
        <v>35</v>
      </c>
      <c r="AC2138">
        <v>-71.738599999999906</v>
      </c>
      <c r="AD2138">
        <v>-1.12139416233099</v>
      </c>
      <c r="AE2138">
        <v>1.8149000000000199</v>
      </c>
      <c r="AF2138">
        <v>1.4710430390715701</v>
      </c>
      <c r="AG2138">
        <v>-1.12139416233099</v>
      </c>
      <c r="AH2138">
        <v>71.728951585453899</v>
      </c>
      <c r="AI2138">
        <v>90.895487988464694</v>
      </c>
      <c r="AJ2138">
        <v>88.825122321633302</v>
      </c>
      <c r="AK2138">
        <v>71.752797771505101</v>
      </c>
      <c r="AL2138">
        <v>78.308939618309694</v>
      </c>
      <c r="AM2138">
        <v>87.792690888134501</v>
      </c>
      <c r="AN2138">
        <v>0.999999956115737</v>
      </c>
    </row>
    <row r="2139" spans="1:40" x14ac:dyDescent="0.25">
      <c r="A2139" t="str">
        <f>"20190303162821024"</f>
        <v>20190303162821024</v>
      </c>
      <c r="B2139" t="str">
        <f>"1551601701014001"</f>
        <v>1551601701014001</v>
      </c>
      <c r="C2139" t="s">
        <v>40</v>
      </c>
      <c r="D2139">
        <v>4.5874139999999999</v>
      </c>
      <c r="E2139">
        <v>0.4955948</v>
      </c>
      <c r="F2139" t="s">
        <v>48</v>
      </c>
      <c r="G2139">
        <v>-448.8272</v>
      </c>
      <c r="H2139" s="1">
        <v>3.0699780000000001E-6</v>
      </c>
      <c r="I2139">
        <v>286.68990000000002</v>
      </c>
      <c r="J2139">
        <v>-374.98469999999998</v>
      </c>
      <c r="K2139">
        <v>1.1213959999999901</v>
      </c>
      <c r="L2139">
        <v>284.7611</v>
      </c>
      <c r="M2139">
        <v>-0.99990959999999995</v>
      </c>
      <c r="N2139">
        <v>-1.2631109999999999E-2</v>
      </c>
      <c r="O2139">
        <v>4.6375180000000002E-3</v>
      </c>
      <c r="P2139">
        <v>-0.98083770000000003</v>
      </c>
      <c r="Q2139">
        <v>0.19009509999999999</v>
      </c>
      <c r="R2139">
        <v>4.2680170000000003E-2</v>
      </c>
      <c r="S2139">
        <v>-3.0642399999999999</v>
      </c>
      <c r="T2139">
        <v>-4.639542E-2</v>
      </c>
      <c r="U2139">
        <v>7.9833979999999999E-2</v>
      </c>
      <c r="V2139">
        <v>3.8025820000000002E-2</v>
      </c>
      <c r="W2139">
        <v>0.20249120000000001</v>
      </c>
      <c r="X2139">
        <v>0.97854549999999996</v>
      </c>
      <c r="Y2139">
        <v>2.140353E-2</v>
      </c>
      <c r="Z2139">
        <v>2.8558609999999998E-4</v>
      </c>
      <c r="AA2139">
        <v>0.99977090000000002</v>
      </c>
      <c r="AB2139">
        <v>35</v>
      </c>
      <c r="AC2139">
        <v>-73.842500000000001</v>
      </c>
      <c r="AD2139">
        <v>-1.12139293002199</v>
      </c>
      <c r="AE2139">
        <v>1.9288000000000201</v>
      </c>
      <c r="AF2139">
        <v>1.5859405509959701</v>
      </c>
      <c r="AG2139">
        <v>-1.12139293002199</v>
      </c>
      <c r="AH2139">
        <v>73.833635243244103</v>
      </c>
      <c r="AI2139">
        <v>90.869946716406403</v>
      </c>
      <c r="AJ2139">
        <v>88.7694804862045</v>
      </c>
      <c r="AK2139">
        <v>73.859179678407003</v>
      </c>
      <c r="AL2139">
        <v>78.317324108513702</v>
      </c>
      <c r="AM2139">
        <v>87.774632530350303</v>
      </c>
      <c r="AN2139">
        <v>0.99999997231717996</v>
      </c>
    </row>
    <row r="2140" spans="1:40" x14ac:dyDescent="0.25">
      <c r="A2140" t="str">
        <f>"20190303162821042"</f>
        <v>20190303162821042</v>
      </c>
      <c r="B2140" t="str">
        <f>"1551601701033521"</f>
        <v>1551601701033521</v>
      </c>
      <c r="C2140" t="s">
        <v>40</v>
      </c>
      <c r="D2140">
        <v>4.5553100000000004</v>
      </c>
      <c r="E2140">
        <v>0.49573440000000002</v>
      </c>
      <c r="F2140" t="s">
        <v>48</v>
      </c>
      <c r="G2140">
        <v>-448.65190000000001</v>
      </c>
      <c r="H2140" s="1">
        <v>2.9754170000000002E-6</v>
      </c>
      <c r="I2140">
        <v>286.71940000000001</v>
      </c>
      <c r="J2140">
        <v>-375.27269999999999</v>
      </c>
      <c r="K2140">
        <v>1.1213919999999999</v>
      </c>
      <c r="L2140">
        <v>284.76229999999998</v>
      </c>
      <c r="M2140">
        <v>-0.99991050000000004</v>
      </c>
      <c r="N2140">
        <v>-1.262622E-2</v>
      </c>
      <c r="O2140">
        <v>4.4417600000000003E-3</v>
      </c>
      <c r="P2140">
        <v>-0.98083509999999996</v>
      </c>
      <c r="Q2140">
        <v>0.18999260000000001</v>
      </c>
      <c r="R2140">
        <v>4.319096E-2</v>
      </c>
      <c r="S2140">
        <v>-3.0640869999999998</v>
      </c>
      <c r="T2140">
        <v>-4.6642780000000002E-2</v>
      </c>
      <c r="U2140">
        <v>8.1451419999999997E-2</v>
      </c>
      <c r="V2140">
        <v>3.8728779999999997E-2</v>
      </c>
      <c r="W2140">
        <v>0.2023838</v>
      </c>
      <c r="X2140">
        <v>0.97854019999999997</v>
      </c>
      <c r="Y2140">
        <v>2.212774E-2</v>
      </c>
      <c r="Z2140">
        <v>2.965973E-4</v>
      </c>
      <c r="AA2140">
        <v>0.99975510000000001</v>
      </c>
      <c r="AB2140">
        <v>35</v>
      </c>
      <c r="AC2140">
        <v>-73.379199999999997</v>
      </c>
      <c r="AD2140">
        <v>-1.121389024583</v>
      </c>
      <c r="AE2140">
        <v>1.95710000000002</v>
      </c>
      <c r="AF2140">
        <v>1.63074136048452</v>
      </c>
      <c r="AG2140">
        <v>-1.121389024583</v>
      </c>
      <c r="AH2140">
        <v>73.370046811529605</v>
      </c>
      <c r="AI2140">
        <v>90.875425302040796</v>
      </c>
      <c r="AJ2140">
        <v>88.7267390401326</v>
      </c>
      <c r="AK2140">
        <v>73.396734258788996</v>
      </c>
      <c r="AL2140">
        <v>78.323608365425201</v>
      </c>
      <c r="AM2140">
        <v>87.7335237780554</v>
      </c>
      <c r="AN2140">
        <v>1.0000000219593801</v>
      </c>
    </row>
    <row r="2141" spans="1:40" x14ac:dyDescent="0.25">
      <c r="A2141" t="str">
        <f>"20190303162821065"</f>
        <v>20190303162821065</v>
      </c>
      <c r="B2141" t="str">
        <f>"1551601701054018"</f>
        <v>1551601701054018</v>
      </c>
      <c r="C2141" t="s">
        <v>40</v>
      </c>
      <c r="D2141">
        <v>4.5729629999999997</v>
      </c>
      <c r="E2141">
        <v>0.49590830000000002</v>
      </c>
      <c r="F2141" t="s">
        <v>48</v>
      </c>
      <c r="G2141">
        <v>-448.5034</v>
      </c>
      <c r="H2141" s="1">
        <v>2.8937700000000002E-6</v>
      </c>
      <c r="I2141">
        <v>286.7783</v>
      </c>
      <c r="J2141">
        <v>-375.63549999999998</v>
      </c>
      <c r="K2141">
        <v>1.1213919999999999</v>
      </c>
      <c r="L2141">
        <v>284.7636</v>
      </c>
      <c r="M2141">
        <v>-0.99991149999999995</v>
      </c>
      <c r="N2141">
        <v>-1.2620370000000001E-2</v>
      </c>
      <c r="O2141">
        <v>4.19558E-3</v>
      </c>
      <c r="P2141">
        <v>-0.98091050000000002</v>
      </c>
      <c r="Q2141">
        <v>0.1896555</v>
      </c>
      <c r="R2141">
        <v>4.2959610000000002E-2</v>
      </c>
      <c r="S2141">
        <v>-3.0639949999999998</v>
      </c>
      <c r="T2141">
        <v>-4.6919349999999999E-2</v>
      </c>
      <c r="U2141">
        <v>8.4350590000000003E-2</v>
      </c>
      <c r="V2141">
        <v>3.8738889999999998E-2</v>
      </c>
      <c r="W2141">
        <v>0.20204240000000001</v>
      </c>
      <c r="X2141">
        <v>0.97861030000000004</v>
      </c>
      <c r="Y2141">
        <v>2.3319639999999999E-2</v>
      </c>
      <c r="Z2141">
        <v>3.1441660000000002E-4</v>
      </c>
      <c r="AA2141">
        <v>0.99972799999999995</v>
      </c>
      <c r="AB2141">
        <v>35</v>
      </c>
      <c r="AC2141">
        <v>-72.867900000000006</v>
      </c>
      <c r="AD2141">
        <v>-1.1213891062300001</v>
      </c>
      <c r="AE2141">
        <v>2.0146999999999999</v>
      </c>
      <c r="AF2141">
        <v>1.7085304681422999</v>
      </c>
      <c r="AG2141">
        <v>-1.1213891062300001</v>
      </c>
      <c r="AH2141">
        <v>72.858470033195601</v>
      </c>
      <c r="AI2141">
        <v>90.881546589739202</v>
      </c>
      <c r="AJ2141">
        <v>88.656660683759696</v>
      </c>
      <c r="AK2141">
        <v>72.887126747226105</v>
      </c>
      <c r="AL2141">
        <v>78.343581222073993</v>
      </c>
      <c r="AM2141">
        <v>87.733094965928402</v>
      </c>
      <c r="AN2141">
        <v>0.99999997613114</v>
      </c>
    </row>
    <row r="2142" spans="1:40" x14ac:dyDescent="0.25">
      <c r="A2142" t="str">
        <f>"20190303162821087"</f>
        <v>20190303162821087</v>
      </c>
      <c r="B2142" t="str">
        <f>"1551601701073538"</f>
        <v>1551601701073538</v>
      </c>
      <c r="C2142" t="s">
        <v>40</v>
      </c>
      <c r="D2142">
        <v>4.5509230000000001</v>
      </c>
      <c r="E2142">
        <v>0.49623489999999998</v>
      </c>
      <c r="F2142" t="s">
        <v>48</v>
      </c>
      <c r="G2142">
        <v>-447.94630000000001</v>
      </c>
      <c r="H2142" s="1">
        <v>2.597418E-6</v>
      </c>
      <c r="I2142">
        <v>286.77600000000001</v>
      </c>
      <c r="J2142">
        <v>-375.97719999999998</v>
      </c>
      <c r="K2142">
        <v>1.121397</v>
      </c>
      <c r="L2142">
        <v>284.76479999999998</v>
      </c>
      <c r="M2142">
        <v>-0.99991260000000004</v>
      </c>
      <c r="N2142">
        <v>-1.2610909999999999E-2</v>
      </c>
      <c r="O2142">
        <v>3.9621209999999999E-3</v>
      </c>
      <c r="P2142">
        <v>-0.98089820000000005</v>
      </c>
      <c r="Q2142">
        <v>0.18974959999999999</v>
      </c>
      <c r="R2142">
        <v>4.2826620000000003E-2</v>
      </c>
      <c r="S2142">
        <v>-3.0638429999999999</v>
      </c>
      <c r="T2142">
        <v>-4.7513840000000002E-2</v>
      </c>
      <c r="U2142">
        <v>8.5266110000000006E-2</v>
      </c>
      <c r="V2142">
        <v>3.8835090000000003E-2</v>
      </c>
      <c r="W2142">
        <v>0.20212649999999999</v>
      </c>
      <c r="X2142">
        <v>0.97858920000000005</v>
      </c>
      <c r="Y2142">
        <v>2.3852720000000001E-2</v>
      </c>
      <c r="Z2142">
        <v>3.2389069999999999E-4</v>
      </c>
      <c r="AA2142">
        <v>0.99971540000000003</v>
      </c>
      <c r="AB2142">
        <v>35</v>
      </c>
      <c r="AC2142">
        <v>-71.969099999999997</v>
      </c>
      <c r="AD2142">
        <v>-1.121394402582</v>
      </c>
      <c r="AE2142">
        <v>2.0112000000000299</v>
      </c>
      <c r="AF2142">
        <v>1.7255926193417901</v>
      </c>
      <c r="AG2142">
        <v>-1.121394402582</v>
      </c>
      <c r="AH2142">
        <v>71.959047203738507</v>
      </c>
      <c r="AI2142">
        <v>90.892556350990404</v>
      </c>
      <c r="AJ2142">
        <v>88.626298804028906</v>
      </c>
      <c r="AK2142">
        <v>71.988469005556297</v>
      </c>
      <c r="AL2142">
        <v>78.338662060374304</v>
      </c>
      <c r="AM2142">
        <v>87.727422524075806</v>
      </c>
      <c r="AN2142">
        <v>1.0000000542870899</v>
      </c>
    </row>
    <row r="2143" spans="1:40" x14ac:dyDescent="0.25">
      <c r="A2143" t="str">
        <f>"20190303162821098"</f>
        <v>20190303162821098</v>
      </c>
      <c r="B2143" t="str">
        <f>"1551601701094034"</f>
        <v>1551601701094034</v>
      </c>
      <c r="C2143" t="s">
        <v>40</v>
      </c>
      <c r="D2143">
        <v>4.5344350000000002</v>
      </c>
      <c r="E2143">
        <v>0.50281409999999904</v>
      </c>
      <c r="F2143" t="s">
        <v>48</v>
      </c>
      <c r="G2143">
        <v>-448.3295</v>
      </c>
      <c r="H2143" s="1">
        <v>2.7992339999999999E-6</v>
      </c>
      <c r="I2143">
        <v>286.8245</v>
      </c>
      <c r="J2143">
        <v>-376.17930000000001</v>
      </c>
      <c r="K2143">
        <v>1.1213979999999999</v>
      </c>
      <c r="L2143">
        <v>284.7654</v>
      </c>
      <c r="M2143">
        <v>-0.99991339999999995</v>
      </c>
      <c r="N2143">
        <v>-1.260374E-2</v>
      </c>
      <c r="O2143">
        <v>3.8240119999999999E-3</v>
      </c>
      <c r="P2143">
        <v>-0.98088719999999996</v>
      </c>
      <c r="Q2143">
        <v>0.18987109999999999</v>
      </c>
      <c r="R2143">
        <v>4.2540120000000001E-2</v>
      </c>
      <c r="S2143">
        <v>-3.0637819999999998</v>
      </c>
      <c r="T2143">
        <v>-4.748583E-2</v>
      </c>
      <c r="U2143">
        <v>8.7219240000000003E-2</v>
      </c>
      <c r="V2143">
        <v>3.8683839999999997E-2</v>
      </c>
      <c r="W2143">
        <v>0.2022409</v>
      </c>
      <c r="X2143">
        <v>0.97857150000000004</v>
      </c>
      <c r="Y2143">
        <v>2.4627989999999999E-2</v>
      </c>
      <c r="Z2143">
        <v>3.3499949999999897E-4</v>
      </c>
      <c r="AA2143">
        <v>0.99969660000000005</v>
      </c>
      <c r="AB2143">
        <v>35</v>
      </c>
      <c r="AC2143">
        <v>-72.150199999999899</v>
      </c>
      <c r="AD2143">
        <v>-1.121395200766</v>
      </c>
      <c r="AE2143">
        <v>2.0590999999999999</v>
      </c>
      <c r="AF2143">
        <v>1.78272953144968</v>
      </c>
      <c r="AG2143">
        <v>-1.121395200766</v>
      </c>
      <c r="AH2143">
        <v>72.1401343510083</v>
      </c>
      <c r="AI2143">
        <v>90.890300987683403</v>
      </c>
      <c r="AJ2143">
        <v>88.584392802483904</v>
      </c>
      <c r="AK2143">
        <v>72.170871104346105</v>
      </c>
      <c r="AL2143">
        <v>78.331968567898997</v>
      </c>
      <c r="AM2143">
        <v>87.736223342611297</v>
      </c>
      <c r="AN2143">
        <v>1.0000000008611001</v>
      </c>
    </row>
    <row r="2144" spans="1:40" x14ac:dyDescent="0.25">
      <c r="A2144" t="str">
        <f>"20190303162821112"</f>
        <v>20190303162821112</v>
      </c>
      <c r="B2144" t="str">
        <f>"1551601701103794"</f>
        <v>1551601701103794</v>
      </c>
      <c r="C2144" t="s">
        <v>40</v>
      </c>
      <c r="D2144">
        <v>4.5370900000000001</v>
      </c>
      <c r="E2144">
        <v>0.50264909999999996</v>
      </c>
      <c r="F2144" t="s">
        <v>49</v>
      </c>
      <c r="G2144">
        <v>-421.39569999999998</v>
      </c>
      <c r="H2144" s="1">
        <v>3.5258639999999998E-6</v>
      </c>
      <c r="I2144">
        <v>286.803</v>
      </c>
      <c r="J2144">
        <v>-376.38249999999999</v>
      </c>
      <c r="K2144">
        <v>1.121402</v>
      </c>
      <c r="L2144">
        <v>284.76609999999999</v>
      </c>
      <c r="M2144">
        <v>-0.99991390000000002</v>
      </c>
      <c r="N2144">
        <v>-1.259621E-2</v>
      </c>
      <c r="O2144">
        <v>3.6844199999999999E-3</v>
      </c>
      <c r="P2144">
        <v>-0.98082939999999996</v>
      </c>
      <c r="Q2144">
        <v>0.19025839999999999</v>
      </c>
      <c r="R2144">
        <v>4.2135980000000003E-2</v>
      </c>
      <c r="S2144">
        <v>-3.0672000000000001</v>
      </c>
      <c r="T2144">
        <v>-7.6068399999999994E-2</v>
      </c>
      <c r="U2144">
        <v>0.13821410000000001</v>
      </c>
      <c r="V2144">
        <v>3.8416869999999999E-2</v>
      </c>
      <c r="W2144">
        <v>0.20261999999999999</v>
      </c>
      <c r="X2144">
        <v>0.97850360000000003</v>
      </c>
      <c r="Y2144">
        <v>4.1316169999999999E-2</v>
      </c>
      <c r="Z2144">
        <v>7.2748300000000001E-4</v>
      </c>
      <c r="AA2144">
        <v>0.99914590000000003</v>
      </c>
      <c r="AB2144">
        <v>35</v>
      </c>
      <c r="AC2144">
        <v>-45.013199999999898</v>
      </c>
      <c r="AD2144">
        <v>-1.1213984741359999</v>
      </c>
      <c r="AE2144">
        <v>2.0369000000000002</v>
      </c>
      <c r="AF2144">
        <v>1.8698673392760401</v>
      </c>
      <c r="AG2144">
        <v>-1.1213984741359999</v>
      </c>
      <c r="AH2144">
        <v>44.992532687389698</v>
      </c>
      <c r="AI2144">
        <v>91.426519361601805</v>
      </c>
      <c r="AJ2144">
        <v>87.620185327943204</v>
      </c>
      <c r="AK2144">
        <v>45.045332011542698</v>
      </c>
      <c r="AL2144">
        <v>78.309788618372195</v>
      </c>
      <c r="AM2144">
        <v>87.751674485021795</v>
      </c>
      <c r="AN2144">
        <v>1.0000000077567699</v>
      </c>
    </row>
    <row r="2145" spans="1:40" x14ac:dyDescent="0.25">
      <c r="A2145" t="str">
        <f>"20190303162821131"</f>
        <v>20190303162821131</v>
      </c>
      <c r="B2145" t="str">
        <f>"1551601701123314"</f>
        <v>1551601701123314</v>
      </c>
      <c r="C2145" t="s">
        <v>40</v>
      </c>
      <c r="D2145">
        <v>4.5405749999999996</v>
      </c>
      <c r="E2145">
        <v>0.50287029999999999</v>
      </c>
      <c r="F2145" t="s">
        <v>49</v>
      </c>
      <c r="G2145">
        <v>-422.90879999999999</v>
      </c>
      <c r="H2145" s="1">
        <v>3.2560120000000002E-6</v>
      </c>
      <c r="I2145">
        <v>286.81959999999998</v>
      </c>
      <c r="J2145">
        <v>-376.67950000000002</v>
      </c>
      <c r="K2145">
        <v>1.1214010000000001</v>
      </c>
      <c r="L2145">
        <v>284.76690000000002</v>
      </c>
      <c r="M2145">
        <v>-0.99991479999999999</v>
      </c>
      <c r="N2145">
        <v>-1.2585300000000001E-2</v>
      </c>
      <c r="O2145">
        <v>3.4794119999999999E-3</v>
      </c>
      <c r="P2145">
        <v>-0.98079329999999998</v>
      </c>
      <c r="Q2145">
        <v>0.1906322</v>
      </c>
      <c r="R2145">
        <v>4.1278950000000002E-2</v>
      </c>
      <c r="S2145">
        <v>-3.0671689999999998</v>
      </c>
      <c r="T2145">
        <v>-7.3926329999999998E-2</v>
      </c>
      <c r="U2145">
        <v>0.135376</v>
      </c>
      <c r="V2145">
        <v>3.7761299999999998E-2</v>
      </c>
      <c r="W2145">
        <v>0.20298189999999999</v>
      </c>
      <c r="X2145">
        <v>0.97845409999999999</v>
      </c>
      <c r="Y2145">
        <v>4.0599910000000003E-2</v>
      </c>
      <c r="Z2145">
        <v>7.0460189999999999E-4</v>
      </c>
      <c r="AA2145">
        <v>0.99917529999999999</v>
      </c>
      <c r="AB2145">
        <v>35</v>
      </c>
      <c r="AC2145">
        <v>-46.229299999999903</v>
      </c>
      <c r="AD2145">
        <v>-1.1213977439880001</v>
      </c>
      <c r="AE2145">
        <v>2.05269999999995</v>
      </c>
      <c r="AF2145">
        <v>1.8907137220439001</v>
      </c>
      <c r="AG2145">
        <v>-1.1213977439880001</v>
      </c>
      <c r="AH2145">
        <v>46.209026232523101</v>
      </c>
      <c r="AI2145">
        <v>91.389015733799397</v>
      </c>
      <c r="AJ2145">
        <v>87.656961593502004</v>
      </c>
      <c r="AK2145">
        <v>46.261284424850999</v>
      </c>
      <c r="AL2145">
        <v>78.288613119462596</v>
      </c>
      <c r="AM2145">
        <v>87.789891281712599</v>
      </c>
      <c r="AN2145">
        <v>0.99999999665605499</v>
      </c>
    </row>
    <row r="2146" spans="1:40" x14ac:dyDescent="0.25">
      <c r="A2146" t="str">
        <f>"20190303162821145"</f>
        <v>20190303162821145</v>
      </c>
      <c r="B2146" t="str">
        <f>"1551601701134050"</f>
        <v>1551601701134050</v>
      </c>
      <c r="C2146" t="s">
        <v>40</v>
      </c>
      <c r="D2146">
        <v>4.5202210000000003</v>
      </c>
      <c r="E2146">
        <v>0.50287029999999999</v>
      </c>
      <c r="F2146" t="s">
        <v>49</v>
      </c>
      <c r="G2146">
        <v>-423.74770000000001</v>
      </c>
      <c r="H2146" s="1">
        <v>3.1059019999999998E-6</v>
      </c>
      <c r="I2146">
        <v>286.83440000000002</v>
      </c>
      <c r="J2146">
        <v>-376.90039999999999</v>
      </c>
      <c r="K2146">
        <v>1.121399</v>
      </c>
      <c r="L2146">
        <v>284.76749999999998</v>
      </c>
      <c r="M2146">
        <v>-0.99991540000000001</v>
      </c>
      <c r="N2146">
        <v>-1.257752E-2</v>
      </c>
      <c r="O2146">
        <v>3.3264689999999999E-3</v>
      </c>
      <c r="P2146">
        <v>-0.98081390000000002</v>
      </c>
      <c r="Q2146">
        <v>0.19061790000000001</v>
      </c>
      <c r="R2146">
        <v>4.0856429999999999E-2</v>
      </c>
      <c r="S2146">
        <v>-3.0673219999999999</v>
      </c>
      <c r="T2146">
        <v>-7.3078749999999998E-2</v>
      </c>
      <c r="U2146">
        <v>0.1347351</v>
      </c>
      <c r="V2146">
        <v>3.7489080000000001E-2</v>
      </c>
      <c r="W2146">
        <v>0.20296</v>
      </c>
      <c r="X2146">
        <v>0.97846909999999998</v>
      </c>
      <c r="Y2146">
        <v>4.0542540000000002E-2</v>
      </c>
      <c r="Z2146">
        <v>7.0042749999999995E-4</v>
      </c>
      <c r="AA2146">
        <v>0.9991776</v>
      </c>
      <c r="AB2146">
        <v>35</v>
      </c>
      <c r="AC2146">
        <v>-46.847299999999997</v>
      </c>
      <c r="AD2146">
        <v>-1.121395894098</v>
      </c>
      <c r="AE2146">
        <v>2.0669000000000302</v>
      </c>
      <c r="AF2146">
        <v>1.90994788970879</v>
      </c>
      <c r="AG2146">
        <v>-1.121395894098</v>
      </c>
      <c r="AH2146">
        <v>46.827137327359097</v>
      </c>
      <c r="AI2146">
        <v>91.370692946218796</v>
      </c>
      <c r="AJ2146">
        <v>87.664360104004899</v>
      </c>
      <c r="AK2146">
        <v>46.879486131655099</v>
      </c>
      <c r="AL2146">
        <v>78.289894446425606</v>
      </c>
      <c r="AM2146">
        <v>87.805841859340205</v>
      </c>
      <c r="AN2146">
        <v>0.99999998618702801</v>
      </c>
    </row>
    <row r="2147" spans="1:40" x14ac:dyDescent="0.25">
      <c r="A2147" t="str">
        <f>"20190303162821165"</f>
        <v>20190303162821165</v>
      </c>
      <c r="B2147" t="str">
        <f>"1551601701153570"</f>
        <v>1551601701153570</v>
      </c>
      <c r="C2147" t="s">
        <v>40</v>
      </c>
      <c r="D2147">
        <v>4.519374</v>
      </c>
      <c r="E2147">
        <v>0.5131386</v>
      </c>
      <c r="F2147" t="s">
        <v>49</v>
      </c>
      <c r="G2147">
        <v>-423.94490000000002</v>
      </c>
      <c r="H2147" s="1">
        <v>3.0731400000000001E-6</v>
      </c>
      <c r="I2147">
        <v>286.8091</v>
      </c>
      <c r="J2147">
        <v>-377.20940000000002</v>
      </c>
      <c r="K2147">
        <v>1.1213930000000001</v>
      </c>
      <c r="L2147">
        <v>284.76839999999999</v>
      </c>
      <c r="M2147">
        <v>-0.99991629999999998</v>
      </c>
      <c r="N2147">
        <v>-1.2567200000000001E-2</v>
      </c>
      <c r="O2147">
        <v>3.112446E-3</v>
      </c>
      <c r="P2147">
        <v>-0.98089320000000002</v>
      </c>
      <c r="Q2147">
        <v>0.1902691</v>
      </c>
      <c r="R2147">
        <v>4.0574819999999998E-2</v>
      </c>
      <c r="S2147">
        <v>-3.067383</v>
      </c>
      <c r="T2147">
        <v>-7.3117020000000005E-2</v>
      </c>
      <c r="U2147">
        <v>0.13311770000000001</v>
      </c>
      <c r="V2147">
        <v>3.7417180000000001E-2</v>
      </c>
      <c r="W2147">
        <v>0.2026019</v>
      </c>
      <c r="X2147">
        <v>0.97854609999999997</v>
      </c>
      <c r="Y2147">
        <v>4.022978E-2</v>
      </c>
      <c r="Z2147">
        <v>6.9710720000000005E-4</v>
      </c>
      <c r="AA2147">
        <v>0.99919020000000003</v>
      </c>
      <c r="AB2147">
        <v>35</v>
      </c>
      <c r="AC2147">
        <v>-46.735500000000002</v>
      </c>
      <c r="AD2147">
        <v>-1.1213899268600001</v>
      </c>
      <c r="AE2147">
        <v>2.04070000000001</v>
      </c>
      <c r="AF2147">
        <v>1.89412848949235</v>
      </c>
      <c r="AG2147">
        <v>-1.1213899268600001</v>
      </c>
      <c r="AH2147">
        <v>46.714781701805997</v>
      </c>
      <c r="AI2147">
        <v>91.373994497907802</v>
      </c>
      <c r="AJ2147">
        <v>87.6781192208269</v>
      </c>
      <c r="AK2147">
        <v>46.766612744031001</v>
      </c>
      <c r="AL2147">
        <v>78.310847811911103</v>
      </c>
      <c r="AM2147">
        <v>87.810218071769498</v>
      </c>
      <c r="AN2147">
        <v>1.00000002253398</v>
      </c>
    </row>
    <row r="2148" spans="1:40" x14ac:dyDescent="0.25">
      <c r="A2148" t="str">
        <f>"20190303162821178"</f>
        <v>20190303162821178</v>
      </c>
      <c r="B2148" t="str">
        <f>"1551601701173090"</f>
        <v>1551601701173090</v>
      </c>
      <c r="C2148" t="s">
        <v>40</v>
      </c>
      <c r="D2148">
        <v>4.4943059999999999</v>
      </c>
      <c r="E2148">
        <v>0.51393800000000001</v>
      </c>
      <c r="F2148" t="s">
        <v>49</v>
      </c>
      <c r="G2148">
        <v>-410.42689999999999</v>
      </c>
      <c r="H2148" s="1">
        <v>2.0659800000000001E-6</v>
      </c>
      <c r="I2148">
        <v>287.0813</v>
      </c>
      <c r="J2148">
        <v>-377.44240000000002</v>
      </c>
      <c r="K2148">
        <v>1.1213959999999901</v>
      </c>
      <c r="L2148">
        <v>284.76889999999997</v>
      </c>
      <c r="M2148">
        <v>-0.99991680000000005</v>
      </c>
      <c r="N2148">
        <v>-1.2559910000000001E-2</v>
      </c>
      <c r="O2148">
        <v>2.9520940000000002E-3</v>
      </c>
      <c r="P2148">
        <v>-0.98093520000000001</v>
      </c>
      <c r="Q2148">
        <v>0.19009860000000001</v>
      </c>
      <c r="R2148">
        <v>4.0358489999999997E-2</v>
      </c>
      <c r="S2148">
        <v>-3.0697019999999999</v>
      </c>
      <c r="T2148">
        <v>-0.10363029999999999</v>
      </c>
      <c r="U2148">
        <v>0.21374509999999999</v>
      </c>
      <c r="V2148">
        <v>3.7357939999999999E-2</v>
      </c>
      <c r="W2148">
        <v>0.20242489999999999</v>
      </c>
      <c r="X2148">
        <v>0.97858500000000004</v>
      </c>
      <c r="Y2148">
        <v>6.6465789999999997E-2</v>
      </c>
      <c r="Z2148">
        <v>1.4758429999999999E-3</v>
      </c>
      <c r="AA2148">
        <v>0.9977876</v>
      </c>
      <c r="AB2148">
        <v>35</v>
      </c>
      <c r="AC2148">
        <v>-32.984499999999898</v>
      </c>
      <c r="AD2148">
        <v>-1.1213939340200001</v>
      </c>
      <c r="AE2148">
        <v>2.3124000000000202</v>
      </c>
      <c r="AF2148">
        <v>2.2124641589432499</v>
      </c>
      <c r="AG2148">
        <v>-1.1213939340200001</v>
      </c>
      <c r="AH2148">
        <v>32.953280870855103</v>
      </c>
      <c r="AI2148">
        <v>91.944637844870698</v>
      </c>
      <c r="AJ2148">
        <v>86.158959106123007</v>
      </c>
      <c r="AK2148">
        <v>33.0465012091042</v>
      </c>
      <c r="AL2148">
        <v>78.321203821708494</v>
      </c>
      <c r="AM2148">
        <v>87.813768457634893</v>
      </c>
      <c r="AN2148">
        <v>1.00000002902302</v>
      </c>
    </row>
    <row r="2149" spans="1:40" x14ac:dyDescent="0.25">
      <c r="A2149" t="str">
        <f>"20190303162821192"</f>
        <v>20190303162821192</v>
      </c>
      <c r="B2149" t="str">
        <f>"1551601701183827"</f>
        <v>1551601701183827</v>
      </c>
      <c r="C2149" t="s">
        <v>40</v>
      </c>
      <c r="D2149">
        <v>4.4622380000000001</v>
      </c>
      <c r="E2149">
        <v>0.51400310000000005</v>
      </c>
      <c r="F2149" t="s">
        <v>49</v>
      </c>
      <c r="G2149">
        <v>-411.19279999999998</v>
      </c>
      <c r="H2149" s="1">
        <v>2.1931319999999998E-6</v>
      </c>
      <c r="I2149">
        <v>287.18090000000001</v>
      </c>
      <c r="J2149">
        <v>-377.642</v>
      </c>
      <c r="K2149">
        <v>1.1213930000000001</v>
      </c>
      <c r="L2149">
        <v>284.76929999999999</v>
      </c>
      <c r="M2149">
        <v>-0.99991730000000001</v>
      </c>
      <c r="N2149">
        <v>-1.255218E-2</v>
      </c>
      <c r="O2149">
        <v>2.816126E-3</v>
      </c>
      <c r="P2149">
        <v>-0.9809715</v>
      </c>
      <c r="Q2149">
        <v>0.189883</v>
      </c>
      <c r="R2149">
        <v>4.0490470000000001E-2</v>
      </c>
      <c r="S2149">
        <v>-3.069061</v>
      </c>
      <c r="T2149">
        <v>-0.1019731</v>
      </c>
      <c r="U2149">
        <v>0.21932979999999999</v>
      </c>
      <c r="V2149">
        <v>3.7623160000000003E-2</v>
      </c>
      <c r="W2149">
        <v>0.2022021</v>
      </c>
      <c r="X2149">
        <v>0.97862090000000002</v>
      </c>
      <c r="Y2149">
        <v>6.8422300000000005E-2</v>
      </c>
      <c r="Z2149">
        <v>1.5069739999999999E-3</v>
      </c>
      <c r="AA2149">
        <v>0.99765530000000002</v>
      </c>
      <c r="AB2149">
        <v>35</v>
      </c>
      <c r="AC2149">
        <v>-33.550799999999903</v>
      </c>
      <c r="AD2149">
        <v>-1.1213908068680001</v>
      </c>
      <c r="AE2149">
        <v>2.4116000000000199</v>
      </c>
      <c r="AF2149">
        <v>2.3145273515262099</v>
      </c>
      <c r="AG2149">
        <v>-1.1213908068680001</v>
      </c>
      <c r="AH2149">
        <v>33.5202045080757</v>
      </c>
      <c r="AI2149">
        <v>91.911520474801193</v>
      </c>
      <c r="AJ2149">
        <v>86.050068966087395</v>
      </c>
      <c r="AK2149">
        <v>33.6187249083886</v>
      </c>
      <c r="AL2149">
        <v>78.334238871150703</v>
      </c>
      <c r="AM2149">
        <v>87.798343375574404</v>
      </c>
      <c r="AN2149">
        <v>1.0000000286648001</v>
      </c>
    </row>
    <row r="2150" spans="1:40" x14ac:dyDescent="0.25">
      <c r="A2150" t="str">
        <f>"20190303162821210"</f>
        <v>20190303162821210</v>
      </c>
      <c r="B2150" t="str">
        <f>"1551601701203346"</f>
        <v>1551601701203346</v>
      </c>
      <c r="C2150" t="s">
        <v>40</v>
      </c>
      <c r="D2150">
        <v>4.5068510000000002</v>
      </c>
      <c r="E2150">
        <v>0.5141308</v>
      </c>
      <c r="F2150" t="s">
        <v>49</v>
      </c>
      <c r="G2150">
        <v>-411.50080000000003</v>
      </c>
      <c r="H2150" s="1">
        <v>2.2459470000000002E-6</v>
      </c>
      <c r="I2150">
        <v>287.20170000000002</v>
      </c>
      <c r="J2150">
        <v>-377.92829999999998</v>
      </c>
      <c r="K2150">
        <v>1.1213919999999999</v>
      </c>
      <c r="L2150">
        <v>284.76990000000001</v>
      </c>
      <c r="M2150">
        <v>-0.99991799999999997</v>
      </c>
      <c r="N2150">
        <v>-1.253929E-2</v>
      </c>
      <c r="O2150">
        <v>2.6219080000000001E-3</v>
      </c>
      <c r="P2150">
        <v>-0.98107259999999996</v>
      </c>
      <c r="Q2150">
        <v>0.189364</v>
      </c>
      <c r="R2150">
        <v>4.0467000000000003E-2</v>
      </c>
      <c r="S2150">
        <v>-3.0688170000000001</v>
      </c>
      <c r="T2150">
        <v>-0.1016381</v>
      </c>
      <c r="U2150">
        <v>0.22045899999999999</v>
      </c>
      <c r="V2150">
        <v>3.7790120000000003E-2</v>
      </c>
      <c r="W2150">
        <v>0.20167160000000001</v>
      </c>
      <c r="X2150">
        <v>0.97872389999999998</v>
      </c>
      <c r="Y2150">
        <v>6.8986770000000003E-2</v>
      </c>
      <c r="Z2150">
        <v>1.5200179999999999E-3</v>
      </c>
      <c r="AA2150">
        <v>0.99761639999999996</v>
      </c>
      <c r="AB2150">
        <v>35</v>
      </c>
      <c r="AC2150">
        <v>-33.572499999999998</v>
      </c>
      <c r="AD2150">
        <v>-1.121389754053</v>
      </c>
      <c r="AE2150">
        <v>2.4318</v>
      </c>
      <c r="AF2150">
        <v>2.3411623258757301</v>
      </c>
      <c r="AG2150">
        <v>-1.121389754053</v>
      </c>
      <c r="AH2150">
        <v>33.541534212818803</v>
      </c>
      <c r="AI2150">
        <v>91.910205074886704</v>
      </c>
      <c r="AJ2150">
        <v>86.007292990675893</v>
      </c>
      <c r="AK2150">
        <v>33.641835166445503</v>
      </c>
      <c r="AL2150">
        <v>78.365273304105102</v>
      </c>
      <c r="AM2150">
        <v>87.788815276684204</v>
      </c>
      <c r="AN2150">
        <v>0.99999999992369204</v>
      </c>
    </row>
    <row r="2151" spans="1:40" x14ac:dyDescent="0.25">
      <c r="A2151" t="str">
        <f>"20190303162821223"</f>
        <v>20190303162821223</v>
      </c>
      <c r="B2151" t="str">
        <f>"1551601701213106"</f>
        <v>1551601701213106</v>
      </c>
      <c r="C2151" t="s">
        <v>40</v>
      </c>
      <c r="D2151">
        <v>4.4892329999999996</v>
      </c>
      <c r="E2151">
        <v>0.51408029999999905</v>
      </c>
      <c r="F2151" t="s">
        <v>49</v>
      </c>
      <c r="G2151">
        <v>-411.30790000000002</v>
      </c>
      <c r="H2151" s="1">
        <v>2.213519E-6</v>
      </c>
      <c r="I2151">
        <v>287.18119999999999</v>
      </c>
      <c r="J2151">
        <v>-378.13630000000001</v>
      </c>
      <c r="K2151">
        <v>1.121389</v>
      </c>
      <c r="L2151">
        <v>284.77030000000002</v>
      </c>
      <c r="M2151">
        <v>-0.99991850000000004</v>
      </c>
      <c r="N2151">
        <v>-1.2528890000000001E-2</v>
      </c>
      <c r="O2151">
        <v>2.4812660000000002E-3</v>
      </c>
      <c r="P2151">
        <v>-0.98107129999999998</v>
      </c>
      <c r="Q2151">
        <v>0.18940070000000001</v>
      </c>
      <c r="R2151">
        <v>4.0330400000000002E-2</v>
      </c>
      <c r="S2151">
        <v>-3.0686650000000002</v>
      </c>
      <c r="T2151">
        <v>-0.10309210000000001</v>
      </c>
      <c r="U2151">
        <v>0.22167970000000001</v>
      </c>
      <c r="V2151">
        <v>3.7791970000000001E-2</v>
      </c>
      <c r="W2151">
        <v>0.20169819999999999</v>
      </c>
      <c r="X2151">
        <v>0.97871830000000004</v>
      </c>
      <c r="Y2151">
        <v>6.9523710000000002E-2</v>
      </c>
      <c r="Z2151">
        <v>1.550079E-3</v>
      </c>
      <c r="AA2151">
        <v>0.99757910000000005</v>
      </c>
      <c r="AB2151">
        <v>35</v>
      </c>
      <c r="AC2151">
        <v>-33.171599999999998</v>
      </c>
      <c r="AD2151">
        <v>-1.1213867864810001</v>
      </c>
      <c r="AE2151">
        <v>2.4108999999999599</v>
      </c>
      <c r="AF2151">
        <v>2.3259344005854801</v>
      </c>
      <c r="AG2151">
        <v>-1.1213867864810001</v>
      </c>
      <c r="AH2151">
        <v>33.139806578461702</v>
      </c>
      <c r="AI2151">
        <v>91.9332863777923</v>
      </c>
      <c r="AJ2151">
        <v>85.985249783537995</v>
      </c>
      <c r="AK2151">
        <v>33.240250588985802</v>
      </c>
      <c r="AL2151">
        <v>78.363716716378207</v>
      </c>
      <c r="AM2151">
        <v>87.7886944965433</v>
      </c>
      <c r="AN2151">
        <v>0.999999953817304</v>
      </c>
    </row>
    <row r="2152" spans="1:40" x14ac:dyDescent="0.25">
      <c r="A2152" t="str">
        <f>"20190303162821241"</f>
        <v>20190303162821241</v>
      </c>
      <c r="B2152" t="str">
        <f>"1551601701233602"</f>
        <v>1551601701233602</v>
      </c>
      <c r="C2152" t="s">
        <v>40</v>
      </c>
      <c r="D2152">
        <v>4.5136129999999897</v>
      </c>
      <c r="E2152">
        <v>0.51431660000000001</v>
      </c>
      <c r="F2152" t="s">
        <v>49</v>
      </c>
      <c r="G2152">
        <v>-412.04489999999998</v>
      </c>
      <c r="H2152" s="1">
        <v>2.341318E-6</v>
      </c>
      <c r="I2152">
        <v>287.21469999999999</v>
      </c>
      <c r="J2152">
        <v>-378.43560000000002</v>
      </c>
      <c r="K2152">
        <v>1.1213869999999999</v>
      </c>
      <c r="L2152">
        <v>284.77080000000001</v>
      </c>
      <c r="M2152">
        <v>-0.99991909999999895</v>
      </c>
      <c r="N2152">
        <v>-1.2513639999999999E-2</v>
      </c>
      <c r="O2152">
        <v>2.2781419999999999E-3</v>
      </c>
      <c r="P2152">
        <v>-0.98103399999999996</v>
      </c>
      <c r="Q2152">
        <v>0.18959989999999999</v>
      </c>
      <c r="R2152">
        <v>4.0306309999999998E-2</v>
      </c>
      <c r="S2152">
        <v>-3.06839</v>
      </c>
      <c r="T2152">
        <v>-0.1014745</v>
      </c>
      <c r="U2152">
        <v>0.22119140000000001</v>
      </c>
      <c r="V2152">
        <v>3.7967880000000002E-2</v>
      </c>
      <c r="W2152">
        <v>0.20188220000000001</v>
      </c>
      <c r="X2152">
        <v>0.97867360000000003</v>
      </c>
      <c r="Y2152">
        <v>6.9576189999999996E-2</v>
      </c>
      <c r="Z2152">
        <v>1.537989E-3</v>
      </c>
      <c r="AA2152">
        <v>0.99757549999999995</v>
      </c>
      <c r="AB2152">
        <v>35</v>
      </c>
      <c r="AC2152">
        <v>-33.609299999999898</v>
      </c>
      <c r="AD2152">
        <v>-1.121384658682</v>
      </c>
      <c r="AE2152">
        <v>2.4438999999999802</v>
      </c>
      <c r="AF2152">
        <v>2.3647022590926698</v>
      </c>
      <c r="AG2152">
        <v>-1.121384658682</v>
      </c>
      <c r="AH2152">
        <v>33.577597312725402</v>
      </c>
      <c r="AI2152">
        <v>91.908063036739406</v>
      </c>
      <c r="AJ2152">
        <v>85.971595862208304</v>
      </c>
      <c r="AK2152">
        <v>33.679435292510902</v>
      </c>
      <c r="AL2152">
        <v>78.352953399971</v>
      </c>
      <c r="AM2152">
        <v>87.778310471576106</v>
      </c>
      <c r="AN2152">
        <v>0.99999999896274705</v>
      </c>
    </row>
    <row r="2153" spans="1:40" x14ac:dyDescent="0.25">
      <c r="A2153" t="str">
        <f>"20190303162821257"</f>
        <v>20190303162821257</v>
      </c>
      <c r="B2153" t="str">
        <f>"1551601701243362"</f>
        <v>1551601701243362</v>
      </c>
      <c r="C2153" t="s">
        <v>40</v>
      </c>
      <c r="D2153">
        <v>4.5066160000000002</v>
      </c>
      <c r="E2153">
        <v>0.5142139</v>
      </c>
      <c r="F2153" t="s">
        <v>49</v>
      </c>
      <c r="G2153">
        <v>-413.048</v>
      </c>
      <c r="H2153" s="1">
        <v>2.512974E-6</v>
      </c>
      <c r="I2153">
        <v>287.28660000000002</v>
      </c>
      <c r="J2153">
        <v>-378.6671</v>
      </c>
      <c r="K2153">
        <v>1.1213850000000001</v>
      </c>
      <c r="L2153">
        <v>284.77120000000002</v>
      </c>
      <c r="M2153">
        <v>-0.99991960000000002</v>
      </c>
      <c r="N2153">
        <v>-1.25025E-2</v>
      </c>
      <c r="O2153">
        <v>2.1201060000000001E-3</v>
      </c>
      <c r="P2153">
        <v>-0.98110629999999999</v>
      </c>
      <c r="Q2153">
        <v>0.18929029999999999</v>
      </c>
      <c r="R2153">
        <v>3.9993599999999997E-2</v>
      </c>
      <c r="S2153">
        <v>-3.0680239999999999</v>
      </c>
      <c r="T2153">
        <v>-9.9398849999999997E-2</v>
      </c>
      <c r="U2153">
        <v>0.22299189999999999</v>
      </c>
      <c r="V2153">
        <v>3.7810629999999998E-2</v>
      </c>
      <c r="W2153">
        <v>0.2015623</v>
      </c>
      <c r="X2153">
        <v>0.97874559999999999</v>
      </c>
      <c r="Y2153">
        <v>7.0326E-2</v>
      </c>
      <c r="Z2153">
        <v>1.535696E-3</v>
      </c>
      <c r="AA2153">
        <v>0.99752289999999999</v>
      </c>
      <c r="AB2153">
        <v>35</v>
      </c>
      <c r="AC2153">
        <v>-34.380899999999997</v>
      </c>
      <c r="AD2153">
        <v>-1.1213824870260001</v>
      </c>
      <c r="AE2153">
        <v>2.5154000000000001</v>
      </c>
      <c r="AF2153">
        <v>2.4399156561384001</v>
      </c>
      <c r="AG2153">
        <v>-1.1213824870260001</v>
      </c>
      <c r="AH2153">
        <v>34.349808187323099</v>
      </c>
      <c r="AI2153">
        <v>91.865115762698395</v>
      </c>
      <c r="AJ2153">
        <v>85.937023443988295</v>
      </c>
      <c r="AK2153">
        <v>34.454607958837101</v>
      </c>
      <c r="AL2153">
        <v>78.371666761490104</v>
      </c>
      <c r="AM2153">
        <v>87.787665385300002</v>
      </c>
      <c r="AN2153">
        <v>0.99999997702082299</v>
      </c>
    </row>
    <row r="2154" spans="1:40" x14ac:dyDescent="0.25">
      <c r="A2154" t="str">
        <f>"20190303162821277"</f>
        <v>20190303162821277</v>
      </c>
      <c r="B2154" t="str">
        <f>"1551601701263859"</f>
        <v>1551601701263859</v>
      </c>
      <c r="C2154" t="s">
        <v>40</v>
      </c>
      <c r="D2154">
        <v>4.5296760000000003</v>
      </c>
      <c r="E2154">
        <v>0.51424340000000002</v>
      </c>
      <c r="F2154" t="s">
        <v>49</v>
      </c>
      <c r="G2154">
        <v>-413.20319999999998</v>
      </c>
      <c r="H2154" s="1">
        <v>2.5427510000000002E-6</v>
      </c>
      <c r="I2154">
        <v>287.26080000000002</v>
      </c>
      <c r="J2154">
        <v>-378.98289999999997</v>
      </c>
      <c r="K2154">
        <v>1.1213759999999999</v>
      </c>
      <c r="L2154">
        <v>284.77170000000001</v>
      </c>
      <c r="M2154">
        <v>-0.99992040000000004</v>
      </c>
      <c r="N2154">
        <v>-1.248793E-2</v>
      </c>
      <c r="O2154">
        <v>1.9046289999999999E-3</v>
      </c>
      <c r="P2154">
        <v>-0.98121820000000004</v>
      </c>
      <c r="Q2154">
        <v>0.18878439999999999</v>
      </c>
      <c r="R2154">
        <v>3.9643020000000001E-2</v>
      </c>
      <c r="S2154">
        <v>-3.0679630000000002</v>
      </c>
      <c r="T2154">
        <v>-9.9616529999999995E-2</v>
      </c>
      <c r="U2154">
        <v>0.22116089999999999</v>
      </c>
      <c r="V2154">
        <v>3.7671910000000003E-2</v>
      </c>
      <c r="W2154">
        <v>0.2010429</v>
      </c>
      <c r="X2154">
        <v>0.9788578</v>
      </c>
      <c r="Y2154">
        <v>6.9950209999999999E-2</v>
      </c>
      <c r="Z2154">
        <v>1.533384E-3</v>
      </c>
      <c r="AA2154">
        <v>0.99754929999999997</v>
      </c>
      <c r="AB2154">
        <v>35</v>
      </c>
      <c r="AC2154">
        <v>-34.220300000000002</v>
      </c>
      <c r="AD2154">
        <v>-1.1213734572489999</v>
      </c>
      <c r="AE2154">
        <v>2.4891000000000001</v>
      </c>
      <c r="AF2154">
        <v>2.4213270445124002</v>
      </c>
      <c r="AG2154">
        <v>-1.1213734572489999</v>
      </c>
      <c r="AH2154">
        <v>34.188459942808002</v>
      </c>
      <c r="AI2154">
        <v>91.873924160012194</v>
      </c>
      <c r="AJ2154">
        <v>85.948909021869</v>
      </c>
      <c r="AK2154">
        <v>34.292434972572302</v>
      </c>
      <c r="AL2154">
        <v>78.402048471251803</v>
      </c>
      <c r="AM2154">
        <v>87.796026405464602</v>
      </c>
      <c r="AN2154">
        <v>1.0000000065321399</v>
      </c>
    </row>
    <row r="2155" spans="1:40" x14ac:dyDescent="0.25">
      <c r="A2155" t="str">
        <f>"20190303162821299"</f>
        <v>20190303162821299</v>
      </c>
      <c r="B2155" t="str">
        <f>"1551601701283378"</f>
        <v>1551601701283378</v>
      </c>
      <c r="C2155" t="s">
        <v>40</v>
      </c>
      <c r="D2155">
        <v>4.5898909999999997</v>
      </c>
      <c r="E2155">
        <v>0.51442589999999999</v>
      </c>
      <c r="F2155" t="s">
        <v>49</v>
      </c>
      <c r="G2155">
        <v>-413.7878</v>
      </c>
      <c r="H2155" s="1">
        <v>2.6447389999999999E-6</v>
      </c>
      <c r="I2155">
        <v>287.28030000000001</v>
      </c>
      <c r="J2155">
        <v>-379.34190000000001</v>
      </c>
      <c r="K2155">
        <v>1.121372</v>
      </c>
      <c r="L2155">
        <v>284.77210000000002</v>
      </c>
      <c r="M2155">
        <v>-0.99992099999999995</v>
      </c>
      <c r="N2155">
        <v>-1.247271E-2</v>
      </c>
      <c r="O2155">
        <v>1.6610079999999901E-3</v>
      </c>
      <c r="P2155">
        <v>-0.98142669999999999</v>
      </c>
      <c r="Q2155">
        <v>0.18787239999999999</v>
      </c>
      <c r="R2155">
        <v>3.8799930000000003E-2</v>
      </c>
      <c r="S2155">
        <v>-3.0675050000000001</v>
      </c>
      <c r="T2155">
        <v>-9.8831530000000001E-2</v>
      </c>
      <c r="U2155">
        <v>0.22109989999999999</v>
      </c>
      <c r="V2155">
        <v>3.7067679999999999E-2</v>
      </c>
      <c r="W2155">
        <v>0.2001184</v>
      </c>
      <c r="X2155">
        <v>0.97907029999999995</v>
      </c>
      <c r="Y2155">
        <v>7.0184629999999998E-2</v>
      </c>
      <c r="Z2155">
        <v>1.5345720000000001E-3</v>
      </c>
      <c r="AA2155">
        <v>0.9975328</v>
      </c>
      <c r="AB2155">
        <v>35</v>
      </c>
      <c r="AC2155">
        <v>-34.445899999999902</v>
      </c>
      <c r="AD2155">
        <v>-1.121369355261</v>
      </c>
      <c r="AE2155">
        <v>2.50819999999998</v>
      </c>
      <c r="AF2155">
        <v>2.4483960675119198</v>
      </c>
      <c r="AG2155">
        <v>-1.121369355261</v>
      </c>
      <c r="AH2155">
        <v>34.413739750264398</v>
      </c>
      <c r="AI2155">
        <v>91.861616467596306</v>
      </c>
      <c r="AJ2155">
        <v>85.930497905285407</v>
      </c>
      <c r="AK2155">
        <v>34.518945466703599</v>
      </c>
      <c r="AL2155">
        <v>78.456117403908706</v>
      </c>
      <c r="AM2155">
        <v>87.831812750989997</v>
      </c>
      <c r="AN2155">
        <v>1.00000001963061</v>
      </c>
    </row>
    <row r="2156" spans="1:40" x14ac:dyDescent="0.25">
      <c r="A2156" t="str">
        <f>"20190303162821321"</f>
        <v>20190303162821321</v>
      </c>
      <c r="B2156" t="str">
        <f>"1551601701313634"</f>
        <v>1551601701313634</v>
      </c>
      <c r="C2156" t="s">
        <v>40</v>
      </c>
      <c r="D2156">
        <v>4.5920880000000004</v>
      </c>
      <c r="E2156">
        <v>0.51442969999999999</v>
      </c>
      <c r="F2156" t="s">
        <v>49</v>
      </c>
      <c r="G2156">
        <v>-413.35090000000002</v>
      </c>
      <c r="H2156" s="1">
        <v>2.573199E-6</v>
      </c>
      <c r="I2156">
        <v>287.2122</v>
      </c>
      <c r="J2156">
        <v>-379.68830000000003</v>
      </c>
      <c r="K2156">
        <v>1.121364</v>
      </c>
      <c r="L2156">
        <v>284.7724</v>
      </c>
      <c r="M2156">
        <v>-0.99992139999999996</v>
      </c>
      <c r="N2156">
        <v>-1.2459639999999999E-2</v>
      </c>
      <c r="O2156">
        <v>1.4271329999999999E-3</v>
      </c>
      <c r="P2156">
        <v>-0.98169309999999999</v>
      </c>
      <c r="Q2156">
        <v>0.1866719</v>
      </c>
      <c r="R2156">
        <v>3.7846390000000001E-2</v>
      </c>
      <c r="S2156">
        <v>-3.0675050000000001</v>
      </c>
      <c r="T2156">
        <v>-0.101144</v>
      </c>
      <c r="U2156">
        <v>0.22009280000000001</v>
      </c>
      <c r="V2156">
        <v>3.6343510000000002E-2</v>
      </c>
      <c r="W2156">
        <v>0.19890830000000001</v>
      </c>
      <c r="X2156">
        <v>0.97934399999999999</v>
      </c>
      <c r="Y2156">
        <v>7.0090150000000004E-2</v>
      </c>
      <c r="Z2156">
        <v>1.5618989999999901E-3</v>
      </c>
      <c r="AA2156">
        <v>0.99753950000000002</v>
      </c>
      <c r="AB2156">
        <v>35</v>
      </c>
      <c r="AC2156">
        <v>-33.662599999999998</v>
      </c>
      <c r="AD2156">
        <v>-1.1213614268009999</v>
      </c>
      <c r="AE2156">
        <v>2.4397999999999902</v>
      </c>
      <c r="AF2156">
        <v>2.3891154917706299</v>
      </c>
      <c r="AG2156">
        <v>-1.1213614268009999</v>
      </c>
      <c r="AH2156">
        <v>33.628925721182803</v>
      </c>
      <c r="AI2156">
        <v>91.905030569889803</v>
      </c>
      <c r="AJ2156">
        <v>85.936336644933306</v>
      </c>
      <c r="AK2156">
        <v>33.732328254114996</v>
      </c>
      <c r="AL2156">
        <v>78.526873538205606</v>
      </c>
      <c r="AM2156">
        <v>87.874725707212207</v>
      </c>
      <c r="AN2156">
        <v>1.000000016432</v>
      </c>
    </row>
    <row r="2157" spans="1:40" x14ac:dyDescent="0.25">
      <c r="A2157" t="str">
        <f>"20190303162821342"</f>
        <v>20190303162821342</v>
      </c>
      <c r="B2157" t="str">
        <f>"1551601701333154"</f>
        <v>1551601701333154</v>
      </c>
      <c r="C2157" t="s">
        <v>40</v>
      </c>
      <c r="D2157">
        <v>4.6109450000000001</v>
      </c>
      <c r="E2157">
        <v>0.51444999999999996</v>
      </c>
      <c r="F2157" t="s">
        <v>49</v>
      </c>
      <c r="G2157">
        <v>-412.82929999999999</v>
      </c>
      <c r="H2157" s="1">
        <v>2.488341E-6</v>
      </c>
      <c r="I2157">
        <v>287.12470000000002</v>
      </c>
      <c r="J2157">
        <v>-380.02670000000001</v>
      </c>
      <c r="K2157">
        <v>1.121359</v>
      </c>
      <c r="L2157">
        <v>284.77260000000001</v>
      </c>
      <c r="M2157">
        <v>-0.99992179999999997</v>
      </c>
      <c r="N2157">
        <v>-1.2448219999999999E-2</v>
      </c>
      <c r="O2157">
        <v>1.1985590000000001E-3</v>
      </c>
      <c r="P2157">
        <v>-0.98192889999999999</v>
      </c>
      <c r="Q2157">
        <v>0.18570600000000001</v>
      </c>
      <c r="R2157">
        <v>3.645822E-2</v>
      </c>
      <c r="S2157">
        <v>-3.067291</v>
      </c>
      <c r="T2157">
        <v>-0.103785</v>
      </c>
      <c r="U2157">
        <v>0.2177124</v>
      </c>
      <c r="V2157">
        <v>3.5179670000000003E-2</v>
      </c>
      <c r="W2157">
        <v>0.19793340000000001</v>
      </c>
      <c r="X2157">
        <v>0.97958400000000001</v>
      </c>
      <c r="Y2157">
        <v>6.9550929999999997E-2</v>
      </c>
      <c r="Z2157">
        <v>1.582881E-3</v>
      </c>
      <c r="AA2157">
        <v>0.99757709999999999</v>
      </c>
      <c r="AB2157">
        <v>35</v>
      </c>
      <c r="AC2157">
        <v>-32.802599999999899</v>
      </c>
      <c r="AD2157">
        <v>-1.1213565116590001</v>
      </c>
      <c r="AE2157">
        <v>2.3521000000000001</v>
      </c>
      <c r="AF2157">
        <v>2.3100936150534199</v>
      </c>
      <c r="AG2157">
        <v>-1.1213565116590001</v>
      </c>
      <c r="AH2157">
        <v>32.767299352457997</v>
      </c>
      <c r="AI2157">
        <v>91.955151772010197</v>
      </c>
      <c r="AJ2157">
        <v>85.967321576243293</v>
      </c>
      <c r="AK2157">
        <v>32.867763534961497</v>
      </c>
      <c r="AL2157">
        <v>78.583864465334599</v>
      </c>
      <c r="AM2157">
        <v>87.943228210875901</v>
      </c>
      <c r="AN2157">
        <v>1.0000000265364299</v>
      </c>
    </row>
    <row r="2158" spans="1:40" x14ac:dyDescent="0.25">
      <c r="A2158" t="str">
        <f>"20190303162821356"</f>
        <v>20190303162821356</v>
      </c>
      <c r="B2158" t="str">
        <f>"1551601701343891"</f>
        <v>1551601701343891</v>
      </c>
      <c r="C2158" t="s">
        <v>40</v>
      </c>
      <c r="D2158">
        <v>4.6365210000000001</v>
      </c>
      <c r="E2158">
        <v>0.51451689999999894</v>
      </c>
      <c r="F2158" t="s">
        <v>49</v>
      </c>
      <c r="G2158">
        <v>-412.16879999999998</v>
      </c>
      <c r="H2158" s="1">
        <v>2.3810729999999998E-6</v>
      </c>
      <c r="I2158">
        <v>287.01139999999998</v>
      </c>
      <c r="J2158">
        <v>-380.2407</v>
      </c>
      <c r="K2158">
        <v>1.1213550000000001</v>
      </c>
      <c r="L2158">
        <v>284.77269999999999</v>
      </c>
      <c r="M2158">
        <v>-0.99992210000000004</v>
      </c>
      <c r="N2158">
        <v>-1.244175E-2</v>
      </c>
      <c r="O2158">
        <v>1.0540580000000001E-3</v>
      </c>
      <c r="P2158">
        <v>-0.98205869999999995</v>
      </c>
      <c r="Q2158">
        <v>0.18519730000000001</v>
      </c>
      <c r="R2158">
        <v>3.5532849999999998E-2</v>
      </c>
      <c r="S2158">
        <v>-3.0675050000000001</v>
      </c>
      <c r="T2158">
        <v>-0.1070175</v>
      </c>
      <c r="U2158">
        <v>0.2136536</v>
      </c>
      <c r="V2158">
        <v>3.4395799999999997E-2</v>
      </c>
      <c r="W2158">
        <v>0.1974196</v>
      </c>
      <c r="X2158">
        <v>0.97971549999999996</v>
      </c>
      <c r="Y2158">
        <v>6.8374679999999993E-2</v>
      </c>
      <c r="Z2158">
        <v>1.593342E-3</v>
      </c>
      <c r="AA2158">
        <v>0.99765839999999995</v>
      </c>
      <c r="AB2158">
        <v>35</v>
      </c>
      <c r="AC2158">
        <v>-31.928099999999901</v>
      </c>
      <c r="AD2158">
        <v>-1.12135261892699</v>
      </c>
      <c r="AE2158">
        <v>2.2386999999999899</v>
      </c>
      <c r="AF2158">
        <v>2.2023387949109599</v>
      </c>
      <c r="AG2158">
        <v>-1.12135261892699</v>
      </c>
      <c r="AH2158">
        <v>31.891296783381801</v>
      </c>
      <c r="AI2158">
        <v>92.009007297903395</v>
      </c>
      <c r="AJ2158">
        <v>86.049558573339098</v>
      </c>
      <c r="AK2158">
        <v>31.986911985830702</v>
      </c>
      <c r="AL2158">
        <v>78.613895501635895</v>
      </c>
      <c r="AM2158">
        <v>87.989288642143606</v>
      </c>
      <c r="AN2158">
        <v>1.00000001523102</v>
      </c>
    </row>
    <row r="2159" spans="1:40" x14ac:dyDescent="0.25">
      <c r="A2159" t="str">
        <f>"20190303162821371"</f>
        <v>20190303162821371</v>
      </c>
      <c r="B2159" t="str">
        <f>"1551601701363410"</f>
        <v>1551601701363410</v>
      </c>
      <c r="C2159" t="s">
        <v>40</v>
      </c>
      <c r="D2159">
        <v>4.710642</v>
      </c>
      <c r="E2159">
        <v>0.51457759999999997</v>
      </c>
      <c r="F2159" t="s">
        <v>49</v>
      </c>
      <c r="G2159">
        <v>-412.10169999999999</v>
      </c>
      <c r="H2159" s="1">
        <v>2.372708E-6</v>
      </c>
      <c r="I2159">
        <v>286.97089999999997</v>
      </c>
      <c r="J2159">
        <v>-380.46820000000002</v>
      </c>
      <c r="K2159">
        <v>1.121354</v>
      </c>
      <c r="L2159">
        <v>284.77280000000002</v>
      </c>
      <c r="M2159">
        <v>-0.99992230000000004</v>
      </c>
      <c r="N2159">
        <v>-1.243526E-2</v>
      </c>
      <c r="O2159">
        <v>9.0128189999999996E-4</v>
      </c>
      <c r="P2159">
        <v>-0.98223450000000001</v>
      </c>
      <c r="Q2159">
        <v>0.1844576</v>
      </c>
      <c r="R2159">
        <v>3.4511760000000002E-2</v>
      </c>
      <c r="S2159">
        <v>-3.0675050000000001</v>
      </c>
      <c r="T2159">
        <v>-0.10796119999999999</v>
      </c>
      <c r="U2159">
        <v>0.21163940000000001</v>
      </c>
      <c r="V2159">
        <v>3.3525470000000002E-2</v>
      </c>
      <c r="W2159">
        <v>0.1966754</v>
      </c>
      <c r="X2159">
        <v>0.97989530000000002</v>
      </c>
      <c r="Y2159">
        <v>6.7874680000000007E-2</v>
      </c>
      <c r="Z2159">
        <v>1.5948749999999999E-3</v>
      </c>
      <c r="AA2159">
        <v>0.99769260000000004</v>
      </c>
      <c r="AB2159">
        <v>35</v>
      </c>
      <c r="AC2159">
        <v>-31.633499999999898</v>
      </c>
      <c r="AD2159">
        <v>-1.1213516272920001</v>
      </c>
      <c r="AE2159">
        <v>2.19809999999995</v>
      </c>
      <c r="AF2159">
        <v>2.16687643864732</v>
      </c>
      <c r="AG2159">
        <v>-1.1213516272920001</v>
      </c>
      <c r="AH2159">
        <v>31.595956433633798</v>
      </c>
      <c r="AI2159">
        <v>92.027835093575803</v>
      </c>
      <c r="AJ2159">
        <v>86.076751831743593</v>
      </c>
      <c r="AK2159">
        <v>31.690018080280101</v>
      </c>
      <c r="AL2159">
        <v>78.657387379575994</v>
      </c>
      <c r="AM2159">
        <v>88.040485578669205</v>
      </c>
      <c r="AN2159">
        <v>0.999999984532985</v>
      </c>
    </row>
    <row r="2160" spans="1:40" x14ac:dyDescent="0.25">
      <c r="A2160" t="str">
        <f>"20190303162821384"</f>
        <v>20190303162821384</v>
      </c>
      <c r="B2160" t="str">
        <f>"1551601701373171"</f>
        <v>1551601701373171</v>
      </c>
      <c r="C2160" t="s">
        <v>40</v>
      </c>
      <c r="D2160">
        <v>4.7371019999999904</v>
      </c>
      <c r="E2160">
        <v>0.50502879999999895</v>
      </c>
      <c r="F2160" t="s">
        <v>49</v>
      </c>
      <c r="G2160">
        <v>-411.61110000000002</v>
      </c>
      <c r="H2160" s="1">
        <v>2.2922459999999998E-6</v>
      </c>
      <c r="I2160">
        <v>286.89600000000002</v>
      </c>
      <c r="J2160">
        <v>-380.68020000000001</v>
      </c>
      <c r="K2160">
        <v>1.121345</v>
      </c>
      <c r="L2160">
        <v>284.77280000000002</v>
      </c>
      <c r="M2160">
        <v>-0.99992250000000005</v>
      </c>
      <c r="N2160">
        <v>-1.2429569999999999E-2</v>
      </c>
      <c r="O2160">
        <v>7.5995369999999997E-4</v>
      </c>
      <c r="P2160">
        <v>-0.98235249999999996</v>
      </c>
      <c r="Q2160">
        <v>0.1840289</v>
      </c>
      <c r="R2160">
        <v>3.3428359999999997E-2</v>
      </c>
      <c r="S2160">
        <v>-3.0676570000000001</v>
      </c>
      <c r="T2160">
        <v>-0.1104561</v>
      </c>
      <c r="U2160">
        <v>0.20913699999999999</v>
      </c>
      <c r="V2160">
        <v>3.2581270000000002E-2</v>
      </c>
      <c r="W2160">
        <v>0.196242</v>
      </c>
      <c r="X2160">
        <v>0.98001400000000005</v>
      </c>
      <c r="Y2160">
        <v>6.7200499999999996E-2</v>
      </c>
      <c r="Z2160">
        <v>1.608469E-3</v>
      </c>
      <c r="AA2160">
        <v>0.99773820000000002</v>
      </c>
      <c r="AB2160">
        <v>35</v>
      </c>
      <c r="AC2160">
        <v>-30.930900000000001</v>
      </c>
      <c r="AD2160">
        <v>-1.1213427077539999</v>
      </c>
      <c r="AE2160">
        <v>2.1231999999999398</v>
      </c>
      <c r="AF2160">
        <v>2.0969484439818902</v>
      </c>
      <c r="AG2160">
        <v>-1.1213427077539999</v>
      </c>
      <c r="AH2160">
        <v>30.892093928701801</v>
      </c>
      <c r="AI2160">
        <v>92.074080682303503</v>
      </c>
      <c r="AJ2160">
        <v>86.116732222909206</v>
      </c>
      <c r="AK2160">
        <v>30.983480591190599</v>
      </c>
      <c r="AL2160">
        <v>78.682712527478799</v>
      </c>
      <c r="AM2160">
        <v>88.095861945140499</v>
      </c>
      <c r="AN2160">
        <v>0.99999995095740501</v>
      </c>
    </row>
    <row r="2161" spans="1:40" x14ac:dyDescent="0.25">
      <c r="A2161" t="str">
        <f>"20190303162821399"</f>
        <v>20190303162821399</v>
      </c>
      <c r="B2161" t="str">
        <f>"1551601701393666"</f>
        <v>1551601701393666</v>
      </c>
      <c r="C2161" t="s">
        <v>40</v>
      </c>
      <c r="D2161">
        <v>4.610214</v>
      </c>
      <c r="E2161">
        <v>0.49775770000000003</v>
      </c>
      <c r="F2161" t="s">
        <v>49</v>
      </c>
      <c r="G2161">
        <v>-406.15159999999997</v>
      </c>
      <c r="H2161" s="1">
        <v>5.4202859999999996E-6</v>
      </c>
      <c r="I2161">
        <v>285.84550000000002</v>
      </c>
      <c r="J2161">
        <v>-380.9307</v>
      </c>
      <c r="K2161">
        <v>1.12134</v>
      </c>
      <c r="L2161">
        <v>284.77289999999999</v>
      </c>
      <c r="M2161">
        <v>-0.9999228</v>
      </c>
      <c r="N2161">
        <v>-1.2423490000000001E-2</v>
      </c>
      <c r="O2161">
        <v>5.9618289999999999E-4</v>
      </c>
      <c r="P2161">
        <v>-0.98246440000000002</v>
      </c>
      <c r="Q2161">
        <v>0.18374850000000001</v>
      </c>
      <c r="R2161">
        <v>3.1628530000000002E-2</v>
      </c>
      <c r="S2161">
        <v>-3.0748600000000001</v>
      </c>
      <c r="T2161">
        <v>-0.13536570000000001</v>
      </c>
      <c r="U2161">
        <v>0.12948609999999999</v>
      </c>
      <c r="V2161">
        <v>3.0943330000000002E-2</v>
      </c>
      <c r="W2161">
        <v>0.19595580000000001</v>
      </c>
      <c r="X2161">
        <v>0.98012440000000001</v>
      </c>
      <c r="Y2161">
        <v>4.1427140000000001E-2</v>
      </c>
      <c r="Z2161">
        <v>1.1498350000000001E-3</v>
      </c>
      <c r="AA2161">
        <v>0.9991409</v>
      </c>
      <c r="AB2161">
        <v>35</v>
      </c>
      <c r="AC2161">
        <v>-25.220899999999901</v>
      </c>
      <c r="AD2161">
        <v>-1.121334579714</v>
      </c>
      <c r="AE2161">
        <v>1.07260000000002</v>
      </c>
      <c r="AF2161">
        <v>1.0554797409241901</v>
      </c>
      <c r="AG2161">
        <v>-1.121334579714</v>
      </c>
      <c r="AH2161">
        <v>25.1718666612764</v>
      </c>
      <c r="AI2161">
        <v>92.548440176844906</v>
      </c>
      <c r="AJ2161">
        <v>87.598941290010401</v>
      </c>
      <c r="AK2161">
        <v>25.218927414468698</v>
      </c>
      <c r="AL2161">
        <v>78.699435855558605</v>
      </c>
      <c r="AM2161">
        <v>88.191725936608805</v>
      </c>
      <c r="AN2161">
        <v>1.00000000235024</v>
      </c>
    </row>
    <row r="2162" spans="1:40" x14ac:dyDescent="0.25">
      <c r="A2162" t="str">
        <f>"20190303162821413"</f>
        <v>20190303162821413</v>
      </c>
      <c r="B2162" t="str">
        <f>"1551601701403426"</f>
        <v>1551601701403426</v>
      </c>
      <c r="C2162" t="s">
        <v>40</v>
      </c>
      <c r="D2162">
        <v>4.6932790000000004</v>
      </c>
      <c r="E2162">
        <v>0.49677549999999998</v>
      </c>
      <c r="F2162" t="s">
        <v>49</v>
      </c>
      <c r="G2162">
        <v>-408.61860000000001</v>
      </c>
      <c r="H2162" s="1">
        <v>4.4247640000000002E-6</v>
      </c>
      <c r="I2162">
        <v>285.36900000000003</v>
      </c>
      <c r="J2162">
        <v>-381.13490000000002</v>
      </c>
      <c r="K2162">
        <v>1.121337</v>
      </c>
      <c r="L2162">
        <v>284.77280000000002</v>
      </c>
      <c r="M2162">
        <v>-0.9999228</v>
      </c>
      <c r="N2162">
        <v>-1.241895E-2</v>
      </c>
      <c r="O2162">
        <v>4.6549029999999998E-4</v>
      </c>
      <c r="P2162">
        <v>-0.98249240000000004</v>
      </c>
      <c r="Q2162">
        <v>0.1837317</v>
      </c>
      <c r="R2162">
        <v>3.0846930000000002E-2</v>
      </c>
      <c r="S2162">
        <v>-3.0747070000000001</v>
      </c>
      <c r="T2162">
        <v>-0.12452290000000001</v>
      </c>
      <c r="U2162">
        <v>6.6192630000000002E-2</v>
      </c>
      <c r="V2162">
        <v>3.029163E-2</v>
      </c>
      <c r="W2162">
        <v>0.19593430000000001</v>
      </c>
      <c r="X2162">
        <v>0.98014900000000005</v>
      </c>
      <c r="Y2162">
        <v>2.1035359999999999E-2</v>
      </c>
      <c r="Z2162">
        <v>5.4337839999999999E-4</v>
      </c>
      <c r="AA2162">
        <v>0.99977859999999996</v>
      </c>
      <c r="AB2162">
        <v>35</v>
      </c>
      <c r="AC2162">
        <v>-27.483699999999999</v>
      </c>
      <c r="AD2162">
        <v>-1.1213325752359999</v>
      </c>
      <c r="AE2162">
        <v>0.59620000000001006</v>
      </c>
      <c r="AF2162">
        <v>0.58243646641666103</v>
      </c>
      <c r="AG2162">
        <v>-1.1213325752359999</v>
      </c>
      <c r="AH2162">
        <v>27.438321319237598</v>
      </c>
      <c r="AI2162">
        <v>92.339700223818497</v>
      </c>
      <c r="AJ2162">
        <v>88.783958388516297</v>
      </c>
      <c r="AK2162">
        <v>27.467400601429802</v>
      </c>
      <c r="AL2162">
        <v>78.7006914384922</v>
      </c>
      <c r="AM2162">
        <v>88.229830053579306</v>
      </c>
      <c r="AN2162">
        <v>0.99999994748277199</v>
      </c>
    </row>
    <row r="2163" spans="1:40" x14ac:dyDescent="0.25">
      <c r="A2163" t="str">
        <f>"20190303162821432"</f>
        <v>20190303162821432</v>
      </c>
      <c r="B2163" t="str">
        <f>"1551601701423922"</f>
        <v>1551601701423922</v>
      </c>
      <c r="C2163" t="s">
        <v>40</v>
      </c>
      <c r="D2163">
        <v>4.6653929999999999</v>
      </c>
      <c r="E2163">
        <v>0.4953089</v>
      </c>
      <c r="F2163" t="s">
        <v>49</v>
      </c>
      <c r="G2163">
        <v>-410.45100000000002</v>
      </c>
      <c r="H2163" s="1">
        <v>2.2253039999999998E-6</v>
      </c>
      <c r="I2163">
        <v>285.30779999999999</v>
      </c>
      <c r="J2163">
        <v>-381.44470000000001</v>
      </c>
      <c r="K2163">
        <v>1.1213340000000001</v>
      </c>
      <c r="L2163">
        <v>284.77280000000002</v>
      </c>
      <c r="M2163">
        <v>-0.99992309999999995</v>
      </c>
      <c r="N2163">
        <v>-1.241251E-2</v>
      </c>
      <c r="O2163">
        <v>2.7316900000000003E-4</v>
      </c>
      <c r="P2163">
        <v>-0.98253199999999996</v>
      </c>
      <c r="Q2163">
        <v>0.18356500000000001</v>
      </c>
      <c r="R2163">
        <v>3.057402E-2</v>
      </c>
      <c r="S2163">
        <v>-3.0737000000000001</v>
      </c>
      <c r="T2163">
        <v>-0.11756809999999999</v>
      </c>
      <c r="U2163">
        <v>5.6091309999999998E-2</v>
      </c>
      <c r="V2163">
        <v>3.0210520000000001E-2</v>
      </c>
      <c r="W2163">
        <v>0.19576180000000001</v>
      </c>
      <c r="X2163">
        <v>0.980186</v>
      </c>
      <c r="Y2163">
        <v>1.7955309999999999E-2</v>
      </c>
      <c r="Z2163">
        <v>4.4768720000000001E-4</v>
      </c>
      <c r="AA2163">
        <v>0.99983869999999997</v>
      </c>
      <c r="AB2163">
        <v>35</v>
      </c>
      <c r="AC2163">
        <v>-29.0062999999999</v>
      </c>
      <c r="AD2163">
        <v>-1.1213317746960001</v>
      </c>
      <c r="AE2163">
        <v>0.53499999999996795</v>
      </c>
      <c r="AF2163">
        <v>0.52628949914343903</v>
      </c>
      <c r="AG2163">
        <v>-1.1213317746960001</v>
      </c>
      <c r="AH2163">
        <v>28.963175557231601</v>
      </c>
      <c r="AI2163">
        <v>92.216777579244706</v>
      </c>
      <c r="AJ2163">
        <v>88.958993675088806</v>
      </c>
      <c r="AK2163">
        <v>28.989651669947101</v>
      </c>
      <c r="AL2163">
        <v>78.710770471395605</v>
      </c>
      <c r="AM2163">
        <v>88.2346335225063</v>
      </c>
      <c r="AN2163">
        <v>0.99999997622695402</v>
      </c>
    </row>
    <row r="2164" spans="1:40" x14ac:dyDescent="0.25">
      <c r="A2164" t="str">
        <f>"20190303162821456"</f>
        <v>20190303162821456</v>
      </c>
      <c r="B2164" t="str">
        <f>"1551601701443441"</f>
        <v>1551601701443441</v>
      </c>
      <c r="C2164" t="s">
        <v>40</v>
      </c>
      <c r="D2164">
        <v>4.7121649999999997</v>
      </c>
      <c r="E2164">
        <v>0.4950176</v>
      </c>
      <c r="F2164" t="s">
        <v>49</v>
      </c>
      <c r="G2164">
        <v>-411.91449999999998</v>
      </c>
      <c r="H2164" s="1">
        <v>2.4937220000000001E-6</v>
      </c>
      <c r="I2164">
        <v>285.20699999999999</v>
      </c>
      <c r="J2164">
        <v>-381.803</v>
      </c>
      <c r="K2164">
        <v>1.121324</v>
      </c>
      <c r="L2164">
        <v>284.77260000000001</v>
      </c>
      <c r="M2164">
        <v>-0.99992320000000001</v>
      </c>
      <c r="N2164">
        <v>-1.2403320000000001E-2</v>
      </c>
      <c r="O2164" s="1">
        <v>6.2804309999999998E-5</v>
      </c>
      <c r="P2164">
        <v>-0.98250099999999996</v>
      </c>
      <c r="Q2164">
        <v>0.18373349999999999</v>
      </c>
      <c r="R2164">
        <v>3.0561519999999998E-2</v>
      </c>
      <c r="S2164">
        <v>-3.0730590000000002</v>
      </c>
      <c r="T2164">
        <v>-0.113092899999999</v>
      </c>
      <c r="U2164">
        <v>4.379272E-2</v>
      </c>
      <c r="V2164">
        <v>3.0409169999999999E-2</v>
      </c>
      <c r="W2164">
        <v>0.19591980000000001</v>
      </c>
      <c r="X2164">
        <v>0.98014829999999997</v>
      </c>
      <c r="Y2164">
        <v>1.4173470000000001E-2</v>
      </c>
      <c r="Z2164">
        <v>3.4711539999999997E-4</v>
      </c>
      <c r="AA2164">
        <v>0.99989950000000005</v>
      </c>
      <c r="AB2164">
        <v>35</v>
      </c>
      <c r="AC2164">
        <v>-30.1114999999999</v>
      </c>
      <c r="AD2164">
        <v>-1.121321506278</v>
      </c>
      <c r="AE2164">
        <v>0.43439999999998202</v>
      </c>
      <c r="AF2164">
        <v>0.43190989914804001</v>
      </c>
      <c r="AG2164">
        <v>-1.121321506278</v>
      </c>
      <c r="AH2164">
        <v>30.0698368099421</v>
      </c>
      <c r="AI2164">
        <v>92.135382956726602</v>
      </c>
      <c r="AJ2164">
        <v>89.177085234010093</v>
      </c>
      <c r="AK2164">
        <v>30.093836476228301</v>
      </c>
      <c r="AL2164">
        <v>78.701539109323093</v>
      </c>
      <c r="AM2164">
        <v>88.222964426109101</v>
      </c>
      <c r="AN2164">
        <v>0.99999998782250898</v>
      </c>
    </row>
    <row r="2165" spans="1:40" x14ac:dyDescent="0.25">
      <c r="A2165" t="str">
        <f>"20190303162821481"</f>
        <v>20190303162821481</v>
      </c>
      <c r="B2165" t="str">
        <f>"1551601701473698"</f>
        <v>1551601701473698</v>
      </c>
      <c r="C2165" t="s">
        <v>40</v>
      </c>
      <c r="D2165">
        <v>4.7612809999999897</v>
      </c>
      <c r="E2165">
        <v>0.49456919999999999</v>
      </c>
      <c r="F2165" t="s">
        <v>49</v>
      </c>
      <c r="G2165">
        <v>-414.3723</v>
      </c>
      <c r="H2165" s="1">
        <v>2.9288889999999999E-6</v>
      </c>
      <c r="I2165">
        <v>285.21620000000001</v>
      </c>
      <c r="J2165">
        <v>-382.16649999999998</v>
      </c>
      <c r="K2165">
        <v>1.1213029999999999</v>
      </c>
      <c r="L2165">
        <v>284.7724</v>
      </c>
      <c r="M2165">
        <v>-0.99992329999999996</v>
      </c>
      <c r="N2165">
        <v>-1.239023E-2</v>
      </c>
      <c r="O2165">
        <v>-1.3719789999999999E-4</v>
      </c>
      <c r="P2165">
        <v>-0.98250349999999997</v>
      </c>
      <c r="Q2165">
        <v>0.18362880000000001</v>
      </c>
      <c r="R2165">
        <v>3.1107490000000002E-2</v>
      </c>
      <c r="S2165">
        <v>-3.0718990000000002</v>
      </c>
      <c r="T2165">
        <v>-0.1057616</v>
      </c>
      <c r="U2165">
        <v>4.1839599999999998E-2</v>
      </c>
      <c r="V2165">
        <v>3.1157379999999998E-2</v>
      </c>
      <c r="W2165">
        <v>0.195802</v>
      </c>
      <c r="X2165">
        <v>0.98014840000000003</v>
      </c>
      <c r="Y2165">
        <v>1.3744930000000001E-2</v>
      </c>
      <c r="Z2165">
        <v>3.2474469999999999E-4</v>
      </c>
      <c r="AA2165">
        <v>0.9999055</v>
      </c>
      <c r="AB2165">
        <v>35</v>
      </c>
      <c r="AC2165">
        <v>-32.205800000000004</v>
      </c>
      <c r="AD2165">
        <v>-1.1213000711109999</v>
      </c>
      <c r="AE2165">
        <v>0.44380000000001002</v>
      </c>
      <c r="AF2165">
        <v>0.447676331075258</v>
      </c>
      <c r="AG2165">
        <v>-1.1213000711109999</v>
      </c>
      <c r="AH2165">
        <v>32.166753557048999</v>
      </c>
      <c r="AI2165">
        <v>91.996270598347905</v>
      </c>
      <c r="AJ2165">
        <v>89.202645413592094</v>
      </c>
      <c r="AK2165">
        <v>32.189404504383198</v>
      </c>
      <c r="AL2165">
        <v>78.708422522500399</v>
      </c>
      <c r="AM2165">
        <v>88.179270173650593</v>
      </c>
      <c r="AN2165">
        <v>1.00000004577751</v>
      </c>
    </row>
    <row r="2166" spans="1:40" x14ac:dyDescent="0.25">
      <c r="A2166" t="str">
        <f>"20190303162821502"</f>
        <v>20190303162821502</v>
      </c>
      <c r="B2166" t="str">
        <f>"1551601701493220"</f>
        <v>1551601701493220</v>
      </c>
      <c r="C2166" t="s">
        <v>40</v>
      </c>
      <c r="D2166">
        <v>4.9225349999999999</v>
      </c>
      <c r="E2166">
        <v>0.49435400000000002</v>
      </c>
      <c r="F2166" t="s">
        <v>49</v>
      </c>
      <c r="G2166">
        <v>-417.62029999999999</v>
      </c>
      <c r="H2166" s="1">
        <v>3.5030059999999999E-6</v>
      </c>
      <c r="I2166">
        <v>285.23930000000001</v>
      </c>
      <c r="J2166">
        <v>-382.53039999999999</v>
      </c>
      <c r="K2166">
        <v>1.1212879999999901</v>
      </c>
      <c r="L2166">
        <v>284.7722</v>
      </c>
      <c r="M2166">
        <v>-0.99992349999999997</v>
      </c>
      <c r="N2166">
        <v>-1.237567E-2</v>
      </c>
      <c r="O2166">
        <v>-3.2611050000000001E-4</v>
      </c>
      <c r="P2166">
        <v>-0.98254459999999999</v>
      </c>
      <c r="Q2166">
        <v>0.18328079999999999</v>
      </c>
      <c r="R2166">
        <v>3.1856280000000001E-2</v>
      </c>
      <c r="S2166">
        <v>-3.0703130000000001</v>
      </c>
      <c r="T2166">
        <v>-9.7104789999999996E-2</v>
      </c>
      <c r="U2166">
        <v>4.0435789999999999E-2</v>
      </c>
      <c r="V2166">
        <v>3.209716E-2</v>
      </c>
      <c r="W2166">
        <v>0.1954391</v>
      </c>
      <c r="X2166">
        <v>0.98019049999999996</v>
      </c>
      <c r="Y2166">
        <v>1.348545E-2</v>
      </c>
      <c r="Z2166">
        <v>3.0294689999999999E-4</v>
      </c>
      <c r="AA2166">
        <v>0.99990900000000005</v>
      </c>
      <c r="AB2166">
        <v>35</v>
      </c>
      <c r="AC2166">
        <v>-35.0899</v>
      </c>
      <c r="AD2166">
        <v>-1.1212844969939999</v>
      </c>
      <c r="AE2166">
        <v>0.467100000000016</v>
      </c>
      <c r="AF2166">
        <v>0.47805597938978001</v>
      </c>
      <c r="AG2166">
        <v>-1.1212844969939999</v>
      </c>
      <c r="AH2166">
        <v>35.053958614560699</v>
      </c>
      <c r="AI2166">
        <v>91.831947267400196</v>
      </c>
      <c r="AJ2166">
        <v>89.218664791052106</v>
      </c>
      <c r="AK2166">
        <v>35.075145487851699</v>
      </c>
      <c r="AL2166">
        <v>78.7296247621166</v>
      </c>
      <c r="AM2166">
        <v>88.124471824782106</v>
      </c>
      <c r="AN2166">
        <v>1.0000000428895599</v>
      </c>
    </row>
    <row r="2167" spans="1:40" x14ac:dyDescent="0.25">
      <c r="A2167" t="str">
        <f>"20190303162821522"</f>
        <v>20190303162821522</v>
      </c>
      <c r="B2167" t="str">
        <f>"1551601701513714"</f>
        <v>1551601701513714</v>
      </c>
      <c r="C2167" t="s">
        <v>40</v>
      </c>
      <c r="D2167">
        <v>4.9236820000000003</v>
      </c>
      <c r="E2167">
        <v>0.49419220000000003</v>
      </c>
      <c r="F2167" t="s">
        <v>49</v>
      </c>
      <c r="G2167">
        <v>-419.5532</v>
      </c>
      <c r="H2167" s="1">
        <v>3.8433629999999999E-6</v>
      </c>
      <c r="I2167">
        <v>285.26799999999997</v>
      </c>
      <c r="J2167">
        <v>-382.85489999999999</v>
      </c>
      <c r="K2167">
        <v>1.1212839999999999</v>
      </c>
      <c r="L2167">
        <v>284.77190000000002</v>
      </c>
      <c r="M2167">
        <v>-0.99992349999999997</v>
      </c>
      <c r="N2167">
        <v>-1.2363229999999999E-2</v>
      </c>
      <c r="O2167">
        <v>-4.8419780000000001E-4</v>
      </c>
      <c r="P2167">
        <v>-0.98251960000000005</v>
      </c>
      <c r="Q2167">
        <v>0.1832905</v>
      </c>
      <c r="R2167">
        <v>3.2559079999999997E-2</v>
      </c>
      <c r="S2167">
        <v>-3.0693359999999998</v>
      </c>
      <c r="T2167">
        <v>-9.2958810000000003E-2</v>
      </c>
      <c r="U2167">
        <v>4.110718E-2</v>
      </c>
      <c r="V2167">
        <v>3.29594E-2</v>
      </c>
      <c r="W2167">
        <v>0.19543630000000001</v>
      </c>
      <c r="X2167">
        <v>0.98016239999999999</v>
      </c>
      <c r="Y2167">
        <v>1.386682E-2</v>
      </c>
      <c r="Z2167">
        <v>3.043589E-4</v>
      </c>
      <c r="AA2167">
        <v>0.99990380000000001</v>
      </c>
      <c r="AB2167">
        <v>35</v>
      </c>
      <c r="AC2167">
        <v>-36.698300000000003</v>
      </c>
      <c r="AD2167">
        <v>-1.1212801566370001</v>
      </c>
      <c r="AE2167">
        <v>0.49609999999995502</v>
      </c>
      <c r="AF2167">
        <v>0.51339134773205797</v>
      </c>
      <c r="AG2167">
        <v>-1.1212801566370001</v>
      </c>
      <c r="AH2167">
        <v>36.663834294661399</v>
      </c>
      <c r="AI2167">
        <v>91.751543779646596</v>
      </c>
      <c r="AJ2167">
        <v>89.197758888728401</v>
      </c>
      <c r="AK2167">
        <v>36.684568759247803</v>
      </c>
      <c r="AL2167">
        <v>78.729787853837394</v>
      </c>
      <c r="AM2167">
        <v>88.074070968202307</v>
      </c>
      <c r="AN2167">
        <v>0.99999999988990496</v>
      </c>
    </row>
    <row r="2168" spans="1:40" x14ac:dyDescent="0.25">
      <c r="A2168" t="str">
        <f>"20190303162821537"</f>
        <v>20190303162821537</v>
      </c>
      <c r="B2168" t="str">
        <f>"1551601701523474"</f>
        <v>1551601701523474</v>
      </c>
      <c r="C2168" t="s">
        <v>40</v>
      </c>
      <c r="D2168">
        <v>4.9209319999999996</v>
      </c>
      <c r="E2168">
        <v>0.4941623</v>
      </c>
      <c r="F2168" t="s">
        <v>49</v>
      </c>
      <c r="G2168">
        <v>-422.25490000000002</v>
      </c>
      <c r="H2168" s="1">
        <v>3.5044540000000001E-6</v>
      </c>
      <c r="I2168">
        <v>285.30450000000002</v>
      </c>
      <c r="J2168">
        <v>-383.08519999999999</v>
      </c>
      <c r="K2168">
        <v>1.1212759999999999</v>
      </c>
      <c r="L2168">
        <v>284.77170000000001</v>
      </c>
      <c r="M2168">
        <v>-0.99992349999999997</v>
      </c>
      <c r="N2168">
        <v>-1.235501E-2</v>
      </c>
      <c r="O2168">
        <v>-5.9098850000000004E-4</v>
      </c>
      <c r="P2168">
        <v>-0.98247640000000003</v>
      </c>
      <c r="Q2168">
        <v>0.1834884</v>
      </c>
      <c r="R2168">
        <v>3.2755260000000001E-2</v>
      </c>
      <c r="S2168">
        <v>-3.068298</v>
      </c>
      <c r="T2168">
        <v>-8.7320209999999995E-2</v>
      </c>
      <c r="U2168">
        <v>4.1473389999999999E-2</v>
      </c>
      <c r="V2168">
        <v>3.3263139999999997E-2</v>
      </c>
      <c r="W2168">
        <v>0.1956252</v>
      </c>
      <c r="X2168">
        <v>0.9801145</v>
      </c>
      <c r="Y2168">
        <v>1.409822E-2</v>
      </c>
      <c r="Z2168">
        <v>2.9719799999999998E-4</v>
      </c>
      <c r="AA2168">
        <v>0.99990060000000003</v>
      </c>
      <c r="AB2168">
        <v>35</v>
      </c>
      <c r="AC2168">
        <v>-39.169699999999999</v>
      </c>
      <c r="AD2168">
        <v>-1.1212724955459901</v>
      </c>
      <c r="AE2168">
        <v>0.53280000000000804</v>
      </c>
      <c r="AF2168">
        <v>0.55549540031065503</v>
      </c>
      <c r="AG2168">
        <v>-1.1212724955459901</v>
      </c>
      <c r="AH2168">
        <v>39.137313162617602</v>
      </c>
      <c r="AI2168">
        <v>91.640893125434204</v>
      </c>
      <c r="AJ2168">
        <v>89.186827035723397</v>
      </c>
      <c r="AK2168">
        <v>39.1573123278122</v>
      </c>
      <c r="AL2168">
        <v>78.718752162458301</v>
      </c>
      <c r="AM2168">
        <v>88.056241048219306</v>
      </c>
      <c r="AN2168">
        <v>1.00000004423397</v>
      </c>
    </row>
    <row r="2169" spans="1:40" x14ac:dyDescent="0.25">
      <c r="A2169" t="str">
        <f>"20190303162821555"</f>
        <v>20190303162821555</v>
      </c>
      <c r="B2169" t="str">
        <f>"1551601701543969"</f>
        <v>1551601701543969</v>
      </c>
      <c r="C2169" t="s">
        <v>40</v>
      </c>
      <c r="D2169">
        <v>4.9257730000000004</v>
      </c>
      <c r="E2169">
        <v>0.4940543</v>
      </c>
      <c r="F2169" t="s">
        <v>49</v>
      </c>
      <c r="G2169">
        <v>-423.21179999999998</v>
      </c>
      <c r="H2169" s="1">
        <v>3.333118E-6</v>
      </c>
      <c r="I2169">
        <v>285.3229</v>
      </c>
      <c r="J2169">
        <v>-383.37819999999999</v>
      </c>
      <c r="K2169">
        <v>1.121265</v>
      </c>
      <c r="L2169">
        <v>284.77140000000003</v>
      </c>
      <c r="M2169">
        <v>-0.99992349999999997</v>
      </c>
      <c r="N2169">
        <v>-1.234523E-2</v>
      </c>
      <c r="O2169">
        <v>-7.2232259999999995E-4</v>
      </c>
      <c r="P2169">
        <v>-0.98244520000000002</v>
      </c>
      <c r="Q2169">
        <v>0.1836624</v>
      </c>
      <c r="R2169">
        <v>3.2700960000000001E-2</v>
      </c>
      <c r="S2169">
        <v>-3.0681150000000001</v>
      </c>
      <c r="T2169">
        <v>-8.5733530000000002E-2</v>
      </c>
      <c r="U2169">
        <v>4.214478E-2</v>
      </c>
      <c r="V2169">
        <v>3.3340160000000001E-2</v>
      </c>
      <c r="W2169">
        <v>0.19578889999999999</v>
      </c>
      <c r="X2169">
        <v>0.98007920000000004</v>
      </c>
      <c r="Y2169">
        <v>1.4449170000000001E-2</v>
      </c>
      <c r="Z2169">
        <v>3.0231529999999999E-4</v>
      </c>
      <c r="AA2169">
        <v>0.9998956</v>
      </c>
      <c r="AB2169">
        <v>35</v>
      </c>
      <c r="AC2169">
        <v>-39.833599999999898</v>
      </c>
      <c r="AD2169">
        <v>-1.1212616668819999</v>
      </c>
      <c r="AE2169">
        <v>0.55149999999997501</v>
      </c>
      <c r="AF2169">
        <v>0.57981543304321903</v>
      </c>
      <c r="AG2169">
        <v>-1.1212616668819999</v>
      </c>
      <c r="AH2169">
        <v>39.8016605755912</v>
      </c>
      <c r="AI2169">
        <v>91.613494592902896</v>
      </c>
      <c r="AJ2169">
        <v>89.165395940111296</v>
      </c>
      <c r="AK2169">
        <v>39.821672469103902</v>
      </c>
      <c r="AL2169">
        <v>78.709187947782397</v>
      </c>
      <c r="AM2169">
        <v>88.051673668389398</v>
      </c>
      <c r="AN2169">
        <v>1.00000004895233</v>
      </c>
    </row>
    <row r="2170" spans="1:40" x14ac:dyDescent="0.25">
      <c r="A2170" t="str">
        <f>"20190303162821569"</f>
        <v>20190303162821569</v>
      </c>
      <c r="B2170" t="str">
        <f>"1551601701563490"</f>
        <v>1551601701563490</v>
      </c>
      <c r="C2170" t="s">
        <v>40</v>
      </c>
      <c r="D2170">
        <v>4.7337930000000004</v>
      </c>
      <c r="E2170">
        <v>0.49389149999999998</v>
      </c>
      <c r="F2170" t="s">
        <v>49</v>
      </c>
      <c r="G2170">
        <v>-425.45310000000001</v>
      </c>
      <c r="H2170" s="1">
        <v>2.934475E-6</v>
      </c>
      <c r="I2170">
        <v>285.33519999999999</v>
      </c>
      <c r="J2170">
        <v>-383.5958</v>
      </c>
      <c r="K2170">
        <v>1.121264</v>
      </c>
      <c r="L2170">
        <v>284.77109999999999</v>
      </c>
      <c r="M2170">
        <v>-0.99992349999999997</v>
      </c>
      <c r="N2170">
        <v>-1.2338409999999999E-2</v>
      </c>
      <c r="O2170">
        <v>-8.1759029999999998E-4</v>
      </c>
      <c r="P2170">
        <v>-0.98249649999999999</v>
      </c>
      <c r="Q2170">
        <v>0.1834597</v>
      </c>
      <c r="R2170">
        <v>3.229899E-2</v>
      </c>
      <c r="S2170">
        <v>-3.0675050000000001</v>
      </c>
      <c r="T2170">
        <v>-8.1746579999999999E-2</v>
      </c>
      <c r="U2170">
        <v>4.110718E-2</v>
      </c>
      <c r="V2170">
        <v>3.3033640000000003E-2</v>
      </c>
      <c r="W2170">
        <v>0.19557939999999999</v>
      </c>
      <c r="X2170">
        <v>0.98013139999999999</v>
      </c>
      <c r="Y2170">
        <v>1.420976E-2</v>
      </c>
      <c r="Z2170">
        <v>2.886869E-4</v>
      </c>
      <c r="AA2170">
        <v>0.99989899999999998</v>
      </c>
      <c r="AB2170">
        <v>35</v>
      </c>
      <c r="AC2170">
        <v>-41.857300000000002</v>
      </c>
      <c r="AD2170">
        <v>-1.1212610655249999</v>
      </c>
      <c r="AE2170">
        <v>0.56409999999999605</v>
      </c>
      <c r="AF2170">
        <v>0.59789557992098996</v>
      </c>
      <c r="AG2170">
        <v>-1.1212610655249999</v>
      </c>
      <c r="AH2170">
        <v>41.826816082864497</v>
      </c>
      <c r="AI2170">
        <v>91.535416570513405</v>
      </c>
      <c r="AJ2170">
        <v>89.181038302027602</v>
      </c>
      <c r="AK2170">
        <v>41.846113907163797</v>
      </c>
      <c r="AL2170">
        <v>78.721427973758907</v>
      </c>
      <c r="AM2170">
        <v>88.069675147335204</v>
      </c>
      <c r="AN2170">
        <v>1.00000004217098</v>
      </c>
    </row>
    <row r="2171" spans="1:40" x14ac:dyDescent="0.25">
      <c r="A2171" t="str">
        <f>"20190303162821589"</f>
        <v>20190303162821589</v>
      </c>
      <c r="B2171" t="str">
        <f>"1551601701583986"</f>
        <v>1551601701583986</v>
      </c>
      <c r="C2171" t="s">
        <v>40</v>
      </c>
      <c r="D2171">
        <v>4.8826549999999997</v>
      </c>
      <c r="E2171">
        <v>0.49357380000000001</v>
      </c>
      <c r="F2171" t="s">
        <v>49</v>
      </c>
      <c r="G2171">
        <v>-426.8809</v>
      </c>
      <c r="H2171" s="1">
        <v>2.6828450000000001E-6</v>
      </c>
      <c r="I2171">
        <v>285.31639999999999</v>
      </c>
      <c r="J2171">
        <v>-383.9221</v>
      </c>
      <c r="K2171">
        <v>1.121259</v>
      </c>
      <c r="L2171">
        <v>284.77069999999998</v>
      </c>
      <c r="M2171">
        <v>-0.99992349999999997</v>
      </c>
      <c r="N2171">
        <v>-1.232888E-2</v>
      </c>
      <c r="O2171">
        <v>-9.5836559999999996E-4</v>
      </c>
      <c r="P2171">
        <v>-0.98251770000000005</v>
      </c>
      <c r="Q2171">
        <v>0.183501</v>
      </c>
      <c r="R2171">
        <v>3.1411660000000001E-2</v>
      </c>
      <c r="S2171">
        <v>-3.0670169999999999</v>
      </c>
      <c r="T2171">
        <v>-7.944822E-2</v>
      </c>
      <c r="U2171">
        <v>3.8635250000000003E-2</v>
      </c>
      <c r="V2171">
        <v>3.2286879999999997E-2</v>
      </c>
      <c r="W2171">
        <v>0.19561120000000001</v>
      </c>
      <c r="X2171">
        <v>0.98014990000000002</v>
      </c>
      <c r="Y2171">
        <v>1.354758E-2</v>
      </c>
      <c r="Z2171">
        <v>2.719787E-4</v>
      </c>
      <c r="AA2171">
        <v>0.99990820000000002</v>
      </c>
      <c r="AB2171">
        <v>35</v>
      </c>
      <c r="AC2171">
        <v>-42.958799999999997</v>
      </c>
      <c r="AD2171">
        <v>-1.1212563171550001</v>
      </c>
      <c r="AE2171">
        <v>0.54570000000000995</v>
      </c>
      <c r="AF2171">
        <v>0.58647364654981804</v>
      </c>
      <c r="AG2171">
        <v>-1.1212563171550001</v>
      </c>
      <c r="AH2171">
        <v>42.9290166416313</v>
      </c>
      <c r="AI2171">
        <v>91.496019867556697</v>
      </c>
      <c r="AJ2171">
        <v>89.217303886031303</v>
      </c>
      <c r="AK2171">
        <v>42.947661599722899</v>
      </c>
      <c r="AL2171">
        <v>78.719569661256003</v>
      </c>
      <c r="AM2171">
        <v>88.113315843415904</v>
      </c>
      <c r="AN2171">
        <v>1.00000000532779</v>
      </c>
    </row>
    <row r="2172" spans="1:40" x14ac:dyDescent="0.25">
      <c r="A2172" t="str">
        <f>"20190303162821611"</f>
        <v>20190303162821611</v>
      </c>
      <c r="B2172" t="str">
        <f>"1551601701603506"</f>
        <v>1551601701603506</v>
      </c>
      <c r="C2172" t="s">
        <v>40</v>
      </c>
      <c r="D2172">
        <v>4.808649</v>
      </c>
      <c r="E2172">
        <v>0.45860190000000001</v>
      </c>
      <c r="F2172" t="s">
        <v>49</v>
      </c>
      <c r="G2172">
        <v>-428.08730000000003</v>
      </c>
      <c r="H2172" s="1">
        <v>2.4739120000000001E-6</v>
      </c>
      <c r="I2172">
        <v>285.25850000000003</v>
      </c>
      <c r="J2172">
        <v>-384.26249999999999</v>
      </c>
      <c r="K2172">
        <v>1.1212549999999999</v>
      </c>
      <c r="L2172">
        <v>284.77019999999999</v>
      </c>
      <c r="M2172">
        <v>-0.99992349999999997</v>
      </c>
      <c r="N2172">
        <v>-1.231994E-2</v>
      </c>
      <c r="O2172">
        <v>-1.1033359999999999E-3</v>
      </c>
      <c r="P2172">
        <v>-0.98255680000000001</v>
      </c>
      <c r="Q2172">
        <v>0.1834045</v>
      </c>
      <c r="R2172">
        <v>3.0738600000000001E-2</v>
      </c>
      <c r="S2172">
        <v>-3.0668329999999999</v>
      </c>
      <c r="T2172">
        <v>-7.7860120000000005E-2</v>
      </c>
      <c r="U2172">
        <v>3.3874509999999997E-2</v>
      </c>
      <c r="V2172">
        <v>3.175741E-2</v>
      </c>
      <c r="W2172">
        <v>0.19550600000000001</v>
      </c>
      <c r="X2172">
        <v>0.98018819999999995</v>
      </c>
      <c r="Y2172">
        <v>1.2142200000000001E-2</v>
      </c>
      <c r="Z2172">
        <v>2.4333490000000001E-4</v>
      </c>
      <c r="AA2172">
        <v>0.99992630000000005</v>
      </c>
      <c r="AB2172">
        <v>35</v>
      </c>
      <c r="AC2172">
        <v>-43.824800000000003</v>
      </c>
      <c r="AD2172">
        <v>-1.121252526088</v>
      </c>
      <c r="AE2172">
        <v>0.48830000000003698</v>
      </c>
      <c r="AF2172">
        <v>0.53630583722298397</v>
      </c>
      <c r="AG2172">
        <v>-1.121252526088</v>
      </c>
      <c r="AH2172">
        <v>43.795570094677402</v>
      </c>
      <c r="AI2172">
        <v>91.466454107285699</v>
      </c>
      <c r="AJ2172">
        <v>89.298410201818399</v>
      </c>
      <c r="AK2172">
        <v>43.813203387747102</v>
      </c>
      <c r="AL2172">
        <v>78.725715995544704</v>
      </c>
      <c r="AM2172">
        <v>88.144306075961097</v>
      </c>
      <c r="AN2172">
        <v>1.0000000182725699</v>
      </c>
    </row>
    <row r="2173" spans="1:40" x14ac:dyDescent="0.25">
      <c r="A2173" t="str">
        <f>"20190303162821624"</f>
        <v>20190303162821624</v>
      </c>
      <c r="B2173" t="str">
        <f>"1551601701613267"</f>
        <v>1551601701613267</v>
      </c>
      <c r="C2173" t="s">
        <v>40</v>
      </c>
      <c r="D2173">
        <v>4.8096829999999997</v>
      </c>
      <c r="E2173">
        <v>0.45423160000000001</v>
      </c>
      <c r="F2173" t="s">
        <v>49</v>
      </c>
      <c r="G2173">
        <v>-423.7704</v>
      </c>
      <c r="H2173" s="1">
        <v>3.5601680000000002E-6</v>
      </c>
      <c r="I2173">
        <v>281.59230000000002</v>
      </c>
      <c r="J2173">
        <v>-384.46949999999998</v>
      </c>
      <c r="K2173">
        <v>1.1212519999999999</v>
      </c>
      <c r="L2173">
        <v>284.76990000000001</v>
      </c>
      <c r="M2173">
        <v>-0.99992349999999997</v>
      </c>
      <c r="N2173">
        <v>-1.23149E-2</v>
      </c>
      <c r="O2173">
        <v>-1.1910169999999999E-3</v>
      </c>
      <c r="P2173">
        <v>-0.98261770000000004</v>
      </c>
      <c r="Q2173">
        <v>0.1831488</v>
      </c>
      <c r="R2173">
        <v>3.031615E-2</v>
      </c>
      <c r="S2173">
        <v>-3.0772400000000002</v>
      </c>
      <c r="T2173">
        <v>-8.7333320000000006E-2</v>
      </c>
      <c r="U2173">
        <v>-0.2475281</v>
      </c>
      <c r="V2173">
        <v>3.1421980000000002E-2</v>
      </c>
      <c r="W2173">
        <v>0.19524549999999999</v>
      </c>
      <c r="X2173">
        <v>0.98025090000000004</v>
      </c>
      <c r="Y2173">
        <v>-7.8946810000000006E-2</v>
      </c>
      <c r="Z2173">
        <v>-1.5861969999999999E-3</v>
      </c>
      <c r="AA2173">
        <v>0.99687760000000003</v>
      </c>
      <c r="AB2173">
        <v>35</v>
      </c>
      <c r="AC2173">
        <v>-39.300899999999999</v>
      </c>
      <c r="AD2173">
        <v>-1.121248439832</v>
      </c>
      <c r="AE2173">
        <v>-3.17759999999998</v>
      </c>
      <c r="AF2173">
        <v>-3.12825644521235</v>
      </c>
      <c r="AG2173">
        <v>-1.121248439832</v>
      </c>
      <c r="AH2173">
        <v>39.272898348962201</v>
      </c>
      <c r="AI2173">
        <v>91.6302000794946</v>
      </c>
      <c r="AJ2173">
        <v>94.554241294588394</v>
      </c>
      <c r="AK2173">
        <v>39.4132430938987</v>
      </c>
      <c r="AL2173">
        <v>78.740934474209496</v>
      </c>
      <c r="AM2173">
        <v>88.164010271500402</v>
      </c>
      <c r="AN2173">
        <v>0.99999998652408995</v>
      </c>
    </row>
    <row r="2174" spans="1:40" x14ac:dyDescent="0.25">
      <c r="A2174" t="str">
        <f>"20190303162821639"</f>
        <v>20190303162821639</v>
      </c>
      <c r="B2174" t="str">
        <f>"1551601701633762"</f>
        <v>1551601701633762</v>
      </c>
      <c r="C2174" t="s">
        <v>40</v>
      </c>
      <c r="D2174">
        <v>4.7304209999999998</v>
      </c>
      <c r="E2174">
        <v>0.45081290000000002</v>
      </c>
      <c r="F2174" t="s">
        <v>49</v>
      </c>
      <c r="G2174">
        <v>-415.69479999999999</v>
      </c>
      <c r="H2174" s="1">
        <v>3.4543149999999999E-6</v>
      </c>
      <c r="I2174">
        <v>281.88929999999999</v>
      </c>
      <c r="J2174">
        <v>-384.72030000000001</v>
      </c>
      <c r="K2174">
        <v>1.1212489999999999</v>
      </c>
      <c r="L2174">
        <v>284.76949999999999</v>
      </c>
      <c r="M2174">
        <v>-0.99992349999999997</v>
      </c>
      <c r="N2174">
        <v>-1.230937E-2</v>
      </c>
      <c r="O2174">
        <v>-1.295729E-3</v>
      </c>
      <c r="P2174">
        <v>-0.98264770000000001</v>
      </c>
      <c r="Q2174">
        <v>0.18303059999999999</v>
      </c>
      <c r="R2174">
        <v>3.006153E-2</v>
      </c>
      <c r="S2174">
        <v>-3.0824280000000002</v>
      </c>
      <c r="T2174">
        <v>-0.11068500000000001</v>
      </c>
      <c r="U2174">
        <v>-0.28436280000000003</v>
      </c>
      <c r="V2174">
        <v>3.1271399999999998E-2</v>
      </c>
      <c r="W2174">
        <v>0.19512199999999999</v>
      </c>
      <c r="X2174">
        <v>0.98028029999999999</v>
      </c>
      <c r="Y2174">
        <v>-9.0494909999999998E-2</v>
      </c>
      <c r="Z2174">
        <v>-2.1487099999999999E-3</v>
      </c>
      <c r="AA2174">
        <v>0.99589459999999996</v>
      </c>
      <c r="AB2174">
        <v>35</v>
      </c>
      <c r="AC2174">
        <v>-30.9744999999999</v>
      </c>
      <c r="AD2174">
        <v>-1.1212455456849999</v>
      </c>
      <c r="AE2174">
        <v>-2.8801999999999999</v>
      </c>
      <c r="AF2174">
        <v>-2.8363751561207899</v>
      </c>
      <c r="AG2174">
        <v>-1.1212455456849999</v>
      </c>
      <c r="AH2174">
        <v>30.938013614696501</v>
      </c>
      <c r="AI2174">
        <v>92.066926199914704</v>
      </c>
      <c r="AJ2174">
        <v>95.238193365215807</v>
      </c>
      <c r="AK2174">
        <v>31.087986458166199</v>
      </c>
      <c r="AL2174">
        <v>78.748149203944806</v>
      </c>
      <c r="AM2174">
        <v>88.172857461956994</v>
      </c>
      <c r="AN2174">
        <v>0.99999998095502396</v>
      </c>
    </row>
    <row r="2175" spans="1:40" x14ac:dyDescent="0.25">
      <c r="A2175" t="str">
        <f>"20190303162821653"</f>
        <v>20190303162821653</v>
      </c>
      <c r="B2175" t="str">
        <f>"1551601701643522"</f>
        <v>1551601701643522</v>
      </c>
      <c r="C2175" t="s">
        <v>40</v>
      </c>
      <c r="D2175">
        <v>4.7128430000000003</v>
      </c>
      <c r="E2175">
        <v>0.44994030000000002</v>
      </c>
      <c r="F2175" t="s">
        <v>49</v>
      </c>
      <c r="G2175">
        <v>-411.16559999999998</v>
      </c>
      <c r="H2175" s="1">
        <v>2.6332340000000001E-6</v>
      </c>
      <c r="I2175">
        <v>282.09160000000003</v>
      </c>
      <c r="J2175">
        <v>-384.92099999999999</v>
      </c>
      <c r="K2175">
        <v>1.1212489999999999</v>
      </c>
      <c r="L2175">
        <v>284.76920000000001</v>
      </c>
      <c r="M2175">
        <v>-0.99992329999999996</v>
      </c>
      <c r="N2175">
        <v>-1.23053E-2</v>
      </c>
      <c r="O2175">
        <v>-1.378401E-3</v>
      </c>
      <c r="P2175">
        <v>-0.98271489999999995</v>
      </c>
      <c r="Q2175">
        <v>0.18274000000000001</v>
      </c>
      <c r="R2175">
        <v>2.9622389999999998E-2</v>
      </c>
      <c r="S2175">
        <v>-3.0869140000000002</v>
      </c>
      <c r="T2175">
        <v>-0.13088130000000001</v>
      </c>
      <c r="U2175">
        <v>-0.31259160000000002</v>
      </c>
      <c r="V2175">
        <v>3.0914730000000001E-2</v>
      </c>
      <c r="W2175">
        <v>0.19482830000000001</v>
      </c>
      <c r="X2175">
        <v>0.98035000000000005</v>
      </c>
      <c r="Y2175">
        <v>-9.9263100000000007E-2</v>
      </c>
      <c r="Z2175">
        <v>-2.6693239999999998E-3</v>
      </c>
      <c r="AA2175">
        <v>0.99505759999999999</v>
      </c>
      <c r="AB2175">
        <v>35</v>
      </c>
      <c r="AC2175">
        <v>-26.244599999999899</v>
      </c>
      <c r="AD2175">
        <v>-1.121246366766</v>
      </c>
      <c r="AE2175">
        <v>-2.67759999999998</v>
      </c>
      <c r="AF2175">
        <v>-2.63665615591934</v>
      </c>
      <c r="AG2175">
        <v>-1.121246366766</v>
      </c>
      <c r="AH2175">
        <v>26.200935578483499</v>
      </c>
      <c r="AI2175">
        <v>92.438128997416001</v>
      </c>
      <c r="AJ2175">
        <v>95.746451106277803</v>
      </c>
      <c r="AK2175">
        <v>26.3571275803601</v>
      </c>
      <c r="AL2175">
        <v>78.765305951511706</v>
      </c>
      <c r="AM2175">
        <v>88.193811626190694</v>
      </c>
      <c r="AN2175">
        <v>0.99999995475592995</v>
      </c>
    </row>
    <row r="2176" spans="1:40" x14ac:dyDescent="0.25">
      <c r="A2176" t="str">
        <f>"20190303162821669"</f>
        <v>20190303162821669</v>
      </c>
      <c r="B2176" t="str">
        <f>"1551601701664019"</f>
        <v>1551601701664019</v>
      </c>
      <c r="C2176" t="s">
        <v>40</v>
      </c>
      <c r="D2176">
        <v>4.7435710000000002</v>
      </c>
      <c r="E2176">
        <v>0.44921080000000002</v>
      </c>
      <c r="F2176" t="s">
        <v>49</v>
      </c>
      <c r="G2176">
        <v>-409.99650000000003</v>
      </c>
      <c r="H2176" s="1">
        <v>2.419419E-6</v>
      </c>
      <c r="I2176">
        <v>282.16520000000003</v>
      </c>
      <c r="J2176">
        <v>-385.15879999999999</v>
      </c>
      <c r="K2176">
        <v>1.1212420000000001</v>
      </c>
      <c r="L2176">
        <v>284.76870000000002</v>
      </c>
      <c r="M2176">
        <v>-0.99992329999999996</v>
      </c>
      <c r="N2176">
        <v>-1.2300770000000001E-2</v>
      </c>
      <c r="O2176">
        <v>-1.4762029999999999E-3</v>
      </c>
      <c r="P2176">
        <v>-0.98278149999999997</v>
      </c>
      <c r="Q2176">
        <v>0.18241750000000001</v>
      </c>
      <c r="R2176">
        <v>2.9403169999999999E-2</v>
      </c>
      <c r="S2176">
        <v>-3.0880740000000002</v>
      </c>
      <c r="T2176">
        <v>-0.13808229999999999</v>
      </c>
      <c r="U2176">
        <v>-0.32067869999999998</v>
      </c>
      <c r="V2176">
        <v>3.0792960000000001E-2</v>
      </c>
      <c r="W2176">
        <v>0.19450229999999999</v>
      </c>
      <c r="X2176">
        <v>0.98041860000000003</v>
      </c>
      <c r="Y2176">
        <v>-0.10169259999999999</v>
      </c>
      <c r="Z2176">
        <v>-2.8462090000000002E-3</v>
      </c>
      <c r="AA2176">
        <v>0.99481180000000002</v>
      </c>
      <c r="AB2176">
        <v>35</v>
      </c>
      <c r="AC2176">
        <v>-24.837700000000002</v>
      </c>
      <c r="AD2176">
        <v>-1.121239580581</v>
      </c>
      <c r="AE2176">
        <v>-2.6034999999999902</v>
      </c>
      <c r="AF2176">
        <v>-2.5616653248558801</v>
      </c>
      <c r="AG2176">
        <v>-1.121239580581</v>
      </c>
      <c r="AH2176">
        <v>24.791543918323001</v>
      </c>
      <c r="AI2176">
        <v>92.575838463176297</v>
      </c>
      <c r="AJ2176">
        <v>95.899333387239693</v>
      </c>
      <c r="AK2176">
        <v>24.9487466075506</v>
      </c>
      <c r="AL2176">
        <v>78.784349082568596</v>
      </c>
      <c r="AM2176">
        <v>88.201047134238493</v>
      </c>
      <c r="AN2176">
        <v>0.99999999115840499</v>
      </c>
    </row>
    <row r="2177" spans="1:40" x14ac:dyDescent="0.25">
      <c r="A2177" t="str">
        <f>"20190303162821691"</f>
        <v>20190303162821691</v>
      </c>
      <c r="B2177" t="str">
        <f>"1551601701683538"</f>
        <v>1551601701683538</v>
      </c>
      <c r="C2177" t="s">
        <v>40</v>
      </c>
      <c r="D2177">
        <v>4.6982210000000002</v>
      </c>
      <c r="E2177">
        <v>0.44864959999999998</v>
      </c>
      <c r="F2177" t="s">
        <v>49</v>
      </c>
      <c r="G2177">
        <v>-408.67590000000001</v>
      </c>
      <c r="H2177" s="1">
        <v>5.0371660000000001E-6</v>
      </c>
      <c r="I2177">
        <v>282.28210000000001</v>
      </c>
      <c r="J2177">
        <v>-385.51780000000002</v>
      </c>
      <c r="K2177">
        <v>1.1212359999999999</v>
      </c>
      <c r="L2177">
        <v>284.76799999999997</v>
      </c>
      <c r="M2177">
        <v>-0.99992320000000001</v>
      </c>
      <c r="N2177">
        <v>-1.229469E-2</v>
      </c>
      <c r="O2177">
        <v>-1.6215369999999999E-3</v>
      </c>
      <c r="P2177">
        <v>-0.98278010000000005</v>
      </c>
      <c r="Q2177">
        <v>0.18243300000000001</v>
      </c>
      <c r="R2177">
        <v>2.9357899999999999E-2</v>
      </c>
      <c r="S2177">
        <v>-3.0896910000000002</v>
      </c>
      <c r="T2177">
        <v>-0.14730879999999999</v>
      </c>
      <c r="U2177">
        <v>-0.3266907</v>
      </c>
      <c r="V2177">
        <v>3.0892349999999999E-2</v>
      </c>
      <c r="W2177">
        <v>0.1945112</v>
      </c>
      <c r="X2177">
        <v>0.98041369999999906</v>
      </c>
      <c r="Y2177">
        <v>-0.10339130000000001</v>
      </c>
      <c r="Z2177">
        <v>-3.037133E-3</v>
      </c>
      <c r="AA2177">
        <v>0.99463610000000002</v>
      </c>
      <c r="AB2177">
        <v>35</v>
      </c>
      <c r="AC2177">
        <v>-23.158099999999902</v>
      </c>
      <c r="AD2177">
        <v>-1.121230962834</v>
      </c>
      <c r="AE2177">
        <v>-2.4858999999999498</v>
      </c>
      <c r="AF2177">
        <v>-2.44268141158084</v>
      </c>
      <c r="AG2177">
        <v>-1.121230962834</v>
      </c>
      <c r="AH2177">
        <v>23.108548146559201</v>
      </c>
      <c r="AI2177">
        <v>92.762456946857796</v>
      </c>
      <c r="AJ2177">
        <v>96.034024252219893</v>
      </c>
      <c r="AK2177">
        <v>23.264325668120001</v>
      </c>
      <c r="AL2177">
        <v>78.783829136433198</v>
      </c>
      <c r="AM2177">
        <v>88.195235499373695</v>
      </c>
      <c r="AN2177">
        <v>0.99999998368082599</v>
      </c>
    </row>
    <row r="2178" spans="1:40" x14ac:dyDescent="0.25">
      <c r="A2178" t="str">
        <f>"20190303162821711"</f>
        <v>20190303162821711</v>
      </c>
      <c r="B2178" t="str">
        <f>"1551601701703058"</f>
        <v>1551601701703058</v>
      </c>
      <c r="C2178" t="s">
        <v>40</v>
      </c>
      <c r="D2178">
        <v>4.696358</v>
      </c>
      <c r="E2178">
        <v>0.4483704</v>
      </c>
      <c r="F2178" t="s">
        <v>49</v>
      </c>
      <c r="G2178">
        <v>-409.18239999999997</v>
      </c>
      <c r="H2178" s="1">
        <v>4.82278399999999E-6</v>
      </c>
      <c r="I2178">
        <v>282.23259999999999</v>
      </c>
      <c r="J2178">
        <v>-385.85230000000001</v>
      </c>
      <c r="K2178">
        <v>1.1212340000000001</v>
      </c>
      <c r="L2178">
        <v>284.76729999999998</v>
      </c>
      <c r="M2178">
        <v>-0.99992309999999995</v>
      </c>
      <c r="N2178">
        <v>-1.2289720000000001E-2</v>
      </c>
      <c r="O2178">
        <v>-1.7541270000000001E-3</v>
      </c>
      <c r="P2178">
        <v>-0.98269890000000004</v>
      </c>
      <c r="Q2178">
        <v>0.18285360000000001</v>
      </c>
      <c r="R2178">
        <v>2.9462970000000002E-2</v>
      </c>
      <c r="S2178">
        <v>-3.0896300000000001</v>
      </c>
      <c r="T2178">
        <v>-0.14638689999999999</v>
      </c>
      <c r="U2178">
        <v>-0.33102419999999999</v>
      </c>
      <c r="V2178">
        <v>3.1129159999999999E-2</v>
      </c>
      <c r="W2178">
        <v>0.19492509999999999</v>
      </c>
      <c r="X2178">
        <v>0.98032399999999997</v>
      </c>
      <c r="Y2178">
        <v>-0.104640899999999</v>
      </c>
      <c r="Z2178">
        <v>-3.0544740000000002E-3</v>
      </c>
      <c r="AA2178">
        <v>0.99450539999999998</v>
      </c>
      <c r="AB2178">
        <v>35</v>
      </c>
      <c r="AC2178">
        <v>-23.330099999999899</v>
      </c>
      <c r="AD2178">
        <v>-1.1212291772159999</v>
      </c>
      <c r="AE2178">
        <v>-2.53469999999998</v>
      </c>
      <c r="AF2178">
        <v>-2.48808935883162</v>
      </c>
      <c r="AG2178">
        <v>-1.1212291772159999</v>
      </c>
      <c r="AH2178">
        <v>23.281364970871699</v>
      </c>
      <c r="AI2178">
        <v>92.741642951360006</v>
      </c>
      <c r="AJ2178">
        <v>96.100071038266094</v>
      </c>
      <c r="AK2178">
        <v>23.440770005106501</v>
      </c>
      <c r="AL2178">
        <v>78.759651618828798</v>
      </c>
      <c r="AM2178">
        <v>88.181243767843895</v>
      </c>
      <c r="AN2178">
        <v>0.99999998209415697</v>
      </c>
    </row>
    <row r="2179" spans="1:40" x14ac:dyDescent="0.25">
      <c r="A2179" t="str">
        <f>"20190303162821735"</f>
        <v>20190303162821735</v>
      </c>
      <c r="B2179" t="str">
        <f>"1551601701723554"</f>
        <v>1551601701723554</v>
      </c>
      <c r="C2179" t="s">
        <v>40</v>
      </c>
      <c r="D2179">
        <v>4.6623900000000003</v>
      </c>
      <c r="E2179">
        <v>0.44827709999999998</v>
      </c>
      <c r="F2179" t="s">
        <v>49</v>
      </c>
      <c r="G2179">
        <v>-410.33859999999999</v>
      </c>
      <c r="H2179" s="1">
        <v>2.48376E-6</v>
      </c>
      <c r="I2179">
        <v>282.1234</v>
      </c>
      <c r="J2179">
        <v>-386.20510000000002</v>
      </c>
      <c r="K2179">
        <v>1.121232</v>
      </c>
      <c r="L2179">
        <v>284.76650000000001</v>
      </c>
      <c r="M2179">
        <v>-0.9999228</v>
      </c>
      <c r="N2179">
        <v>-1.228511E-2</v>
      </c>
      <c r="O2179">
        <v>-1.8882669999999999E-3</v>
      </c>
      <c r="P2179">
        <v>-0.98265000000000002</v>
      </c>
      <c r="Q2179">
        <v>0.18308969999999999</v>
      </c>
      <c r="R2179">
        <v>2.9621629999999999E-2</v>
      </c>
      <c r="S2179">
        <v>-3.0891419999999998</v>
      </c>
      <c r="T2179">
        <v>-0.1414521</v>
      </c>
      <c r="U2179">
        <v>-0.3335571</v>
      </c>
      <c r="V2179">
        <v>3.1421150000000002E-2</v>
      </c>
      <c r="W2179">
        <v>0.1951562</v>
      </c>
      <c r="X2179">
        <v>0.98026869999999999</v>
      </c>
      <c r="Y2179">
        <v>-0.105337899999999</v>
      </c>
      <c r="Z2179">
        <v>-2.9898059999999998E-3</v>
      </c>
      <c r="AA2179">
        <v>0.99443199999999998</v>
      </c>
      <c r="AB2179">
        <v>35</v>
      </c>
      <c r="AC2179">
        <v>-24.133499999999898</v>
      </c>
      <c r="AD2179">
        <v>-1.1212295162399999</v>
      </c>
      <c r="AE2179">
        <v>-2.6431</v>
      </c>
      <c r="AF2179">
        <v>-2.5919929003919999</v>
      </c>
      <c r="AG2179">
        <v>-1.1212295162399999</v>
      </c>
      <c r="AH2179">
        <v>24.087072938592598</v>
      </c>
      <c r="AI2179">
        <v>92.649862024185396</v>
      </c>
      <c r="AJ2179">
        <v>96.141923782994695</v>
      </c>
      <c r="AK2179">
        <v>24.252065181605701</v>
      </c>
      <c r="AL2179">
        <v>78.746151241420193</v>
      </c>
      <c r="AM2179">
        <v>88.164092050033801</v>
      </c>
      <c r="AN2179">
        <v>0.99999997763272597</v>
      </c>
    </row>
    <row r="2180" spans="1:40" x14ac:dyDescent="0.25">
      <c r="A2180" t="str">
        <f>"20190303162821757"</f>
        <v>20190303162821757</v>
      </c>
      <c r="B2180" t="str">
        <f>"1551601701743075"</f>
        <v>1551601701743075</v>
      </c>
      <c r="C2180" t="s">
        <v>40</v>
      </c>
      <c r="D2180">
        <v>4.6609999999999996</v>
      </c>
      <c r="E2180">
        <v>0.44810850000000002</v>
      </c>
      <c r="F2180" t="s">
        <v>49</v>
      </c>
      <c r="G2180">
        <v>-409.83260000000001</v>
      </c>
      <c r="H2180" s="1">
        <v>4.5388310000000003E-6</v>
      </c>
      <c r="I2180">
        <v>282.21140000000003</v>
      </c>
      <c r="J2180">
        <v>-386.55930000000001</v>
      </c>
      <c r="K2180">
        <v>1.1212279999999999</v>
      </c>
      <c r="L2180">
        <v>284.76569999999998</v>
      </c>
      <c r="M2180">
        <v>-0.99992270000000005</v>
      </c>
      <c r="N2180">
        <v>-1.228105E-2</v>
      </c>
      <c r="O2180">
        <v>-2.0171579999999998E-3</v>
      </c>
      <c r="P2180">
        <v>-0.98258979999999996</v>
      </c>
      <c r="Q2180">
        <v>0.1833902</v>
      </c>
      <c r="R2180">
        <v>2.975949E-2</v>
      </c>
      <c r="S2180">
        <v>-3.0903320000000001</v>
      </c>
      <c r="T2180">
        <v>-0.14664969999999999</v>
      </c>
      <c r="U2180">
        <v>-0.334198</v>
      </c>
      <c r="V2180">
        <v>3.1687300000000002E-2</v>
      </c>
      <c r="W2180">
        <v>0.19545170000000001</v>
      </c>
      <c r="X2180">
        <v>0.98020130000000005</v>
      </c>
      <c r="Y2180">
        <v>-0.10536379999999999</v>
      </c>
      <c r="Z2180">
        <v>-3.0699809999999998E-3</v>
      </c>
      <c r="AA2180">
        <v>0.99442900000000001</v>
      </c>
      <c r="AB2180">
        <v>35</v>
      </c>
      <c r="AC2180">
        <v>-23.273299999999999</v>
      </c>
      <c r="AD2180">
        <v>-1.121223461169</v>
      </c>
      <c r="AE2180">
        <v>-2.5542999999999498</v>
      </c>
      <c r="AF2180">
        <v>-2.50160830858895</v>
      </c>
      <c r="AG2180">
        <v>-1.121223461169</v>
      </c>
      <c r="AH2180">
        <v>23.225142323339501</v>
      </c>
      <c r="AI2180">
        <v>92.748010966887193</v>
      </c>
      <c r="AJ2180">
        <v>96.147696571992199</v>
      </c>
      <c r="AK2180">
        <v>23.386372572907799</v>
      </c>
      <c r="AL2180">
        <v>78.728888380572698</v>
      </c>
      <c r="AM2180">
        <v>88.148424716491107</v>
      </c>
      <c r="AN2180">
        <v>1.00000002026793</v>
      </c>
    </row>
    <row r="2181" spans="1:40" x14ac:dyDescent="0.25">
      <c r="A2181" t="str">
        <f>"20190303162821771"</f>
        <v>20190303162821771</v>
      </c>
      <c r="B2181" t="str">
        <f>"1551601701763571"</f>
        <v>1551601701763571</v>
      </c>
      <c r="C2181" t="s">
        <v>40</v>
      </c>
      <c r="D2181">
        <v>4.6410640000000001</v>
      </c>
      <c r="E2181">
        <v>0.44768659999999999</v>
      </c>
      <c r="F2181" t="s">
        <v>49</v>
      </c>
      <c r="G2181">
        <v>-410.03</v>
      </c>
      <c r="H2181" s="1">
        <v>2.420454E-6</v>
      </c>
      <c r="I2181">
        <v>282.22129999999999</v>
      </c>
      <c r="J2181">
        <v>-386.78219999999999</v>
      </c>
      <c r="K2181">
        <v>1.121229</v>
      </c>
      <c r="L2181">
        <v>284.76530000000002</v>
      </c>
      <c r="M2181">
        <v>-0.99992250000000005</v>
      </c>
      <c r="N2181">
        <v>-1.227878E-2</v>
      </c>
      <c r="O2181">
        <v>-2.095057E-3</v>
      </c>
      <c r="P2181">
        <v>-0.98253140000000005</v>
      </c>
      <c r="Q2181">
        <v>0.18365989999999999</v>
      </c>
      <c r="R2181">
        <v>3.002053E-2</v>
      </c>
      <c r="S2181">
        <v>-3.0908199999999999</v>
      </c>
      <c r="T2181">
        <v>-0.14765249999999999</v>
      </c>
      <c r="U2181">
        <v>-0.33508300000000002</v>
      </c>
      <c r="V2181">
        <v>3.2026289999999999E-2</v>
      </c>
      <c r="W2181">
        <v>0.19571830000000001</v>
      </c>
      <c r="X2181">
        <v>0.98013709999999998</v>
      </c>
      <c r="Y2181">
        <v>-0.105549</v>
      </c>
      <c r="Z2181">
        <v>-3.0886139999999999E-3</v>
      </c>
      <c r="AA2181">
        <v>0.99440930000000005</v>
      </c>
      <c r="AB2181">
        <v>35</v>
      </c>
      <c r="AC2181">
        <v>-23.247799999999899</v>
      </c>
      <c r="AD2181">
        <v>-1.1212265795459999</v>
      </c>
      <c r="AE2181">
        <v>-2.54400000000004</v>
      </c>
      <c r="AF2181">
        <v>-2.4895629053458599</v>
      </c>
      <c r="AG2181">
        <v>-1.1212265795459999</v>
      </c>
      <c r="AH2181">
        <v>23.1997534825394</v>
      </c>
      <c r="AI2181">
        <v>92.7511384619784</v>
      </c>
      <c r="AJ2181">
        <v>96.124964843497906</v>
      </c>
      <c r="AK2181">
        <v>23.359872306006999</v>
      </c>
      <c r="AL2181">
        <v>78.713312679492006</v>
      </c>
      <c r="AM2181">
        <v>88.128508127369798</v>
      </c>
      <c r="AN2181">
        <v>1.00000003550123</v>
      </c>
    </row>
    <row r="2182" spans="1:40" x14ac:dyDescent="0.25">
      <c r="A2182" t="str">
        <f>"20190303162821790"</f>
        <v>20190303162821790</v>
      </c>
      <c r="B2182" t="str">
        <f>"1551601701783090"</f>
        <v>1551601701783090</v>
      </c>
      <c r="C2182" t="s">
        <v>40</v>
      </c>
      <c r="D2182">
        <v>4.6410039999999997</v>
      </c>
      <c r="E2182">
        <v>0.44739069999999997</v>
      </c>
      <c r="F2182" t="s">
        <v>49</v>
      </c>
      <c r="G2182">
        <v>-410.59840000000003</v>
      </c>
      <c r="H2182" s="1">
        <v>2.5265170000000001E-6</v>
      </c>
      <c r="I2182">
        <v>282.16140000000001</v>
      </c>
      <c r="J2182">
        <v>-387.09879999999998</v>
      </c>
      <c r="K2182">
        <v>1.1212200000000001</v>
      </c>
      <c r="L2182">
        <v>284.7645</v>
      </c>
      <c r="M2182">
        <v>-0.99992219999999998</v>
      </c>
      <c r="N2182">
        <v>-1.2275899999999999E-2</v>
      </c>
      <c r="O2182">
        <v>-2.2026150000000002E-3</v>
      </c>
      <c r="P2182">
        <v>-0.98238449999999999</v>
      </c>
      <c r="Q2182">
        <v>0.18433469999999999</v>
      </c>
      <c r="R2182">
        <v>3.068423E-2</v>
      </c>
      <c r="S2182">
        <v>-3.0908509999999998</v>
      </c>
      <c r="T2182">
        <v>-0.14551169999999999</v>
      </c>
      <c r="U2182">
        <v>-0.33792109999999997</v>
      </c>
      <c r="V2182">
        <v>3.2797140000000002E-2</v>
      </c>
      <c r="W2182">
        <v>0.19638829999999999</v>
      </c>
      <c r="X2182">
        <v>0.97997749999999995</v>
      </c>
      <c r="Y2182">
        <v>-0.1063461</v>
      </c>
      <c r="Z2182">
        <v>-3.0732730000000001E-3</v>
      </c>
      <c r="AA2182">
        <v>0.9943244</v>
      </c>
      <c r="AB2182">
        <v>35</v>
      </c>
      <c r="AC2182">
        <v>-23.499600000000001</v>
      </c>
      <c r="AD2182">
        <v>-1.121217473483</v>
      </c>
      <c r="AE2182">
        <v>-2.60309999999998</v>
      </c>
      <c r="AF2182">
        <v>-2.5456045059878898</v>
      </c>
      <c r="AG2182">
        <v>-1.121217473483</v>
      </c>
      <c r="AH2182">
        <v>23.452535602327401</v>
      </c>
      <c r="AI2182">
        <v>92.721150781516002</v>
      </c>
      <c r="AJ2182">
        <v>96.194793746143802</v>
      </c>
      <c r="AK2182">
        <v>23.616914639769998</v>
      </c>
      <c r="AL2182">
        <v>78.674163891750695</v>
      </c>
      <c r="AM2182">
        <v>88.083183957400706</v>
      </c>
      <c r="AN2182">
        <v>0.999999958637658</v>
      </c>
    </row>
    <row r="2183" spans="1:40" x14ac:dyDescent="0.25">
      <c r="A2183" t="str">
        <f>"20190303162821805"</f>
        <v>20190303162821805</v>
      </c>
      <c r="B2183" t="str">
        <f>"1551601701793827"</f>
        <v>1551601701793827</v>
      </c>
      <c r="C2183" t="s">
        <v>40</v>
      </c>
      <c r="D2183">
        <v>4.6834429999999996</v>
      </c>
      <c r="E2183">
        <v>0.44713989999999998</v>
      </c>
      <c r="F2183" t="s">
        <v>49</v>
      </c>
      <c r="G2183">
        <v>-411.45890000000003</v>
      </c>
      <c r="H2183" s="1">
        <v>2.6847739999999998E-6</v>
      </c>
      <c r="I2183">
        <v>282.09710000000001</v>
      </c>
      <c r="J2183">
        <v>-387.322</v>
      </c>
      <c r="K2183">
        <v>1.1212169999999999</v>
      </c>
      <c r="L2183">
        <v>284.76389999999998</v>
      </c>
      <c r="M2183">
        <v>-0.99992199999999998</v>
      </c>
      <c r="N2183">
        <v>-1.227406E-2</v>
      </c>
      <c r="O2183">
        <v>-2.2767080000000001E-3</v>
      </c>
      <c r="P2183">
        <v>-0.98224140000000004</v>
      </c>
      <c r="Q2183">
        <v>0.18505050000000001</v>
      </c>
      <c r="R2183">
        <v>3.0955239999999998E-2</v>
      </c>
      <c r="S2183">
        <v>-3.0910950000000001</v>
      </c>
      <c r="T2183">
        <v>-0.14227329999999999</v>
      </c>
      <c r="U2183">
        <v>-0.33847050000000001</v>
      </c>
      <c r="V2183">
        <v>3.3141759999999999E-2</v>
      </c>
      <c r="W2183">
        <v>0.19710040000000001</v>
      </c>
      <c r="X2183">
        <v>0.979823</v>
      </c>
      <c r="Y2183">
        <v>-0.10644430000000001</v>
      </c>
      <c r="Z2183">
        <v>-3.020156E-3</v>
      </c>
      <c r="AA2183">
        <v>0.99431409999999998</v>
      </c>
      <c r="AB2183">
        <v>35</v>
      </c>
      <c r="AC2183">
        <v>-24.136900000000001</v>
      </c>
      <c r="AD2183">
        <v>-1.1212143152259999</v>
      </c>
      <c r="AE2183">
        <v>-2.6667999999999599</v>
      </c>
      <c r="AF2183">
        <v>-2.6062802223931101</v>
      </c>
      <c r="AG2183">
        <v>-1.1212143152259999</v>
      </c>
      <c r="AH2183">
        <v>24.091551239901499</v>
      </c>
      <c r="AI2183">
        <v>92.649172600226393</v>
      </c>
      <c r="AJ2183">
        <v>96.174378713843595</v>
      </c>
      <c r="AK2183">
        <v>24.258043187427599</v>
      </c>
      <c r="AL2183">
        <v>78.632551012543502</v>
      </c>
      <c r="AM2183">
        <v>88.062752851100001</v>
      </c>
      <c r="AN2183">
        <v>1.00000002763252</v>
      </c>
    </row>
    <row r="2184" spans="1:40" x14ac:dyDescent="0.25">
      <c r="A2184" t="str">
        <f>"20190303162821823"</f>
        <v>20190303162821823</v>
      </c>
      <c r="B2184" t="str">
        <f>"1551601701813347"</f>
        <v>1551601701813347</v>
      </c>
      <c r="C2184" t="s">
        <v>40</v>
      </c>
      <c r="D2184">
        <v>4.660202</v>
      </c>
      <c r="E2184">
        <v>0.4468569</v>
      </c>
      <c r="F2184" t="s">
        <v>49</v>
      </c>
      <c r="G2184">
        <v>-412.13229999999999</v>
      </c>
      <c r="H2184" s="1">
        <v>2.8096589999999999E-6</v>
      </c>
      <c r="I2184">
        <v>282.03489999999999</v>
      </c>
      <c r="J2184">
        <v>-387.61200000000002</v>
      </c>
      <c r="K2184">
        <v>1.1212260000000001</v>
      </c>
      <c r="L2184">
        <v>284.76319999999998</v>
      </c>
      <c r="M2184">
        <v>-0.99992210000000004</v>
      </c>
      <c r="N2184">
        <v>-1.227193E-2</v>
      </c>
      <c r="O2184">
        <v>-2.3714209999999999E-3</v>
      </c>
      <c r="P2184">
        <v>-0.98205319999999996</v>
      </c>
      <c r="Q2184">
        <v>0.1859606</v>
      </c>
      <c r="R2184">
        <v>3.1471539999999999E-2</v>
      </c>
      <c r="S2184">
        <v>-3.091278</v>
      </c>
      <c r="T2184">
        <v>-0.1396993</v>
      </c>
      <c r="U2184">
        <v>-0.34002690000000002</v>
      </c>
      <c r="V2184">
        <v>3.3751669999999998E-2</v>
      </c>
      <c r="W2184">
        <v>0.1980053</v>
      </c>
      <c r="X2184">
        <v>0.97961969999999998</v>
      </c>
      <c r="Y2184">
        <v>-0.1068424</v>
      </c>
      <c r="Z2184">
        <v>-2.9859219999999998E-3</v>
      </c>
      <c r="AA2184">
        <v>0.99427149999999997</v>
      </c>
      <c r="AB2184">
        <v>35</v>
      </c>
      <c r="AC2184">
        <v>-24.520299999999999</v>
      </c>
      <c r="AD2184">
        <v>-1.1212231903409999</v>
      </c>
      <c r="AE2184">
        <v>-2.7282999999999902</v>
      </c>
      <c r="AF2184">
        <v>-2.6646366596932598</v>
      </c>
      <c r="AG2184">
        <v>-1.1212231903409999</v>
      </c>
      <c r="AH2184">
        <v>24.476150216031499</v>
      </c>
      <c r="AI2184">
        <v>92.607432979926202</v>
      </c>
      <c r="AJ2184">
        <v>96.213131192914105</v>
      </c>
      <c r="AK2184">
        <v>24.646284899929199</v>
      </c>
      <c r="AL2184">
        <v>78.579661589466497</v>
      </c>
      <c r="AM2184">
        <v>88.026720377302894</v>
      </c>
      <c r="AN2184">
        <v>1.0000000153419799</v>
      </c>
    </row>
    <row r="2185" spans="1:40" x14ac:dyDescent="0.25">
      <c r="A2185" t="str">
        <f>"20190303162821837"</f>
        <v>20190303162821837</v>
      </c>
      <c r="B2185" t="str">
        <f>"1551601701823941"</f>
        <v>1551601701823941</v>
      </c>
      <c r="C2185" t="s">
        <v>40</v>
      </c>
      <c r="D2185">
        <v>4.6745479999999997</v>
      </c>
      <c r="E2185">
        <v>0.44672909999999999</v>
      </c>
      <c r="F2185" t="s">
        <v>49</v>
      </c>
      <c r="G2185">
        <v>-413.34109999999998</v>
      </c>
      <c r="H2185" s="1">
        <v>3.033205E-6</v>
      </c>
      <c r="I2185">
        <v>281.93049999999999</v>
      </c>
      <c r="J2185">
        <v>-387.83210000000003</v>
      </c>
      <c r="K2185">
        <v>1.121229</v>
      </c>
      <c r="L2185">
        <v>284.76260000000002</v>
      </c>
      <c r="M2185">
        <v>-0.99992170000000002</v>
      </c>
      <c r="N2185">
        <v>-1.227047E-2</v>
      </c>
      <c r="O2185">
        <v>-2.4416009999999998E-3</v>
      </c>
      <c r="P2185">
        <v>-0.98195920000000003</v>
      </c>
      <c r="Q2185">
        <v>0.18644289999999999</v>
      </c>
      <c r="R2185">
        <v>3.154473E-2</v>
      </c>
      <c r="S2185">
        <v>-3.0912480000000002</v>
      </c>
      <c r="T2185">
        <v>-0.13471029999999901</v>
      </c>
      <c r="U2185">
        <v>-0.34033200000000002</v>
      </c>
      <c r="V2185">
        <v>3.3894239999999999E-2</v>
      </c>
      <c r="W2185">
        <v>0.1984853</v>
      </c>
      <c r="X2185">
        <v>0.97951759999999999</v>
      </c>
      <c r="Y2185">
        <v>-0.1068791</v>
      </c>
      <c r="Z2185">
        <v>-2.9026410000000001E-3</v>
      </c>
      <c r="AA2185">
        <v>0.99426780000000003</v>
      </c>
      <c r="AB2185">
        <v>35</v>
      </c>
      <c r="AC2185">
        <v>-25.508999999999901</v>
      </c>
      <c r="AD2185">
        <v>-1.121225966795</v>
      </c>
      <c r="AE2185">
        <v>-2.83210000000002</v>
      </c>
      <c r="AF2185">
        <v>-2.76452812448108</v>
      </c>
      <c r="AG2185">
        <v>-1.121225966795</v>
      </c>
      <c r="AH2185">
        <v>25.467236591946399</v>
      </c>
      <c r="AI2185">
        <v>92.506184477210994</v>
      </c>
      <c r="AJ2185">
        <v>96.195332472294993</v>
      </c>
      <c r="AK2185">
        <v>25.6413709276598</v>
      </c>
      <c r="AL2185">
        <v>78.551602319776705</v>
      </c>
      <c r="AM2185">
        <v>88.018185315112405</v>
      </c>
      <c r="AN2185">
        <v>0.99999998126551304</v>
      </c>
    </row>
    <row r="2186" spans="1:40" x14ac:dyDescent="0.25">
      <c r="A2186" t="str">
        <f>"20190303162821850"</f>
        <v>20190303162821850</v>
      </c>
      <c r="B2186" t="str">
        <f>"1551601701843460"</f>
        <v>1551601701843460</v>
      </c>
      <c r="C2186" t="s">
        <v>40</v>
      </c>
      <c r="D2186">
        <v>4.6996830000000003</v>
      </c>
      <c r="E2186">
        <v>0.44688159999999999</v>
      </c>
      <c r="F2186" t="s">
        <v>49</v>
      </c>
      <c r="G2186">
        <v>-413.98039999999997</v>
      </c>
      <c r="H2186" s="1">
        <v>3.1513300000000002E-6</v>
      </c>
      <c r="I2186">
        <v>281.87650000000002</v>
      </c>
      <c r="J2186">
        <v>-388.041</v>
      </c>
      <c r="K2186">
        <v>1.1212260000000001</v>
      </c>
      <c r="L2186">
        <v>284.762</v>
      </c>
      <c r="M2186">
        <v>-0.99992170000000002</v>
      </c>
      <c r="N2186">
        <v>-1.2269169999999999E-2</v>
      </c>
      <c r="O2186">
        <v>-2.5079690000000001E-3</v>
      </c>
      <c r="P2186">
        <v>-0.98187040000000003</v>
      </c>
      <c r="Q2186">
        <v>0.1868949</v>
      </c>
      <c r="R2186">
        <v>3.1639279999999999E-2</v>
      </c>
      <c r="S2186">
        <v>-3.0912169999999999</v>
      </c>
      <c r="T2186">
        <v>-0.1325498</v>
      </c>
      <c r="U2186">
        <v>-0.3411865</v>
      </c>
      <c r="V2186">
        <v>3.4054170000000002E-2</v>
      </c>
      <c r="W2186">
        <v>0.1989349</v>
      </c>
      <c r="X2186">
        <v>0.97942079999999998</v>
      </c>
      <c r="Y2186">
        <v>-0.10708910000000001</v>
      </c>
      <c r="Z2186">
        <v>-2.8708240000000001E-3</v>
      </c>
      <c r="AA2186">
        <v>0.9942453</v>
      </c>
      <c r="AB2186">
        <v>35</v>
      </c>
      <c r="AC2186">
        <v>-25.9393999999999</v>
      </c>
      <c r="AD2186">
        <v>-1.12122284867</v>
      </c>
      <c r="AE2186">
        <v>-2.8854999999999702</v>
      </c>
      <c r="AF2186">
        <v>-2.8152352008242398</v>
      </c>
      <c r="AG2186">
        <v>-1.12122284867</v>
      </c>
      <c r="AH2186">
        <v>25.898758565508</v>
      </c>
      <c r="AI2186">
        <v>92.464432381709699</v>
      </c>
      <c r="AJ2186">
        <v>96.203781879865502</v>
      </c>
      <c r="AK2186">
        <v>26.0754364325281</v>
      </c>
      <c r="AL2186">
        <v>78.525317528189206</v>
      </c>
      <c r="AM2186">
        <v>88.008644994905296</v>
      </c>
      <c r="AN2186">
        <v>0.99999994220251698</v>
      </c>
    </row>
    <row r="2187" spans="1:40" x14ac:dyDescent="0.25">
      <c r="A2187" t="str">
        <f>"20190303162821865"</f>
        <v>20190303162821865</v>
      </c>
      <c r="B2187" t="str">
        <f>"1551601701853220"</f>
        <v>1551601701853220</v>
      </c>
      <c r="C2187" t="s">
        <v>40</v>
      </c>
      <c r="D2187">
        <v>4.7949169999999999</v>
      </c>
      <c r="E2187">
        <v>0.44688159999999999</v>
      </c>
      <c r="F2187" t="s">
        <v>49</v>
      </c>
      <c r="G2187">
        <v>-415.24599999999998</v>
      </c>
      <c r="H2187" s="1">
        <v>3.3851180000000001E-6</v>
      </c>
      <c r="I2187">
        <v>281.77030000000002</v>
      </c>
      <c r="J2187">
        <v>-388.27730000000003</v>
      </c>
      <c r="K2187">
        <v>1.1212249999999999</v>
      </c>
      <c r="L2187">
        <v>284.76130000000001</v>
      </c>
      <c r="M2187">
        <v>-0.99992150000000002</v>
      </c>
      <c r="N2187">
        <v>-1.2267810000000001E-2</v>
      </c>
      <c r="O2187">
        <v>-2.5825610000000001E-3</v>
      </c>
      <c r="P2187">
        <v>-0.98175610000000002</v>
      </c>
      <c r="Q2187">
        <v>0.18747710000000001</v>
      </c>
      <c r="R2187">
        <v>3.1742550000000001E-2</v>
      </c>
      <c r="S2187">
        <v>-3.0906069999999999</v>
      </c>
      <c r="T2187">
        <v>-0.12737580000000001</v>
      </c>
      <c r="U2187">
        <v>-0.33987430000000002</v>
      </c>
      <c r="V2187">
        <v>3.4230980000000001E-2</v>
      </c>
      <c r="W2187">
        <v>0.19951430000000001</v>
      </c>
      <c r="X2187">
        <v>0.97929679999999997</v>
      </c>
      <c r="Y2187">
        <v>-0.10662820000000001</v>
      </c>
      <c r="Z2187">
        <v>-2.7716609999999999E-3</v>
      </c>
      <c r="AA2187">
        <v>0.99429509999999999</v>
      </c>
      <c r="AB2187">
        <v>35</v>
      </c>
      <c r="AC2187">
        <v>-26.968699999999899</v>
      </c>
      <c r="AD2187">
        <v>-1.121221614882</v>
      </c>
      <c r="AE2187">
        <v>-2.9909999999999801</v>
      </c>
      <c r="AF2187">
        <v>-2.9163568782648999</v>
      </c>
      <c r="AG2187">
        <v>-1.121221614882</v>
      </c>
      <c r="AH2187">
        <v>26.930352251371101</v>
      </c>
      <c r="AI2187">
        <v>92.370240895453406</v>
      </c>
      <c r="AJ2187">
        <v>96.180621307025206</v>
      </c>
      <c r="AK2187">
        <v>27.110996804507401</v>
      </c>
      <c r="AL2187">
        <v>78.491441577347899</v>
      </c>
      <c r="AM2187">
        <v>87.998060974778497</v>
      </c>
      <c r="AN2187">
        <v>0.99999996919324396</v>
      </c>
    </row>
    <row r="2188" spans="1:40" x14ac:dyDescent="0.25">
      <c r="A2188" t="str">
        <f>"20190303162821880"</f>
        <v>20190303162821880</v>
      </c>
      <c r="B2188" t="str">
        <f>"1551601701873715"</f>
        <v>1551601701873715</v>
      </c>
      <c r="C2188" t="s">
        <v>40</v>
      </c>
      <c r="D2188">
        <v>4.6449449999999999</v>
      </c>
      <c r="E2188">
        <v>0.48226380000000002</v>
      </c>
      <c r="F2188" t="s">
        <v>49</v>
      </c>
      <c r="G2188">
        <v>-415.96809999999999</v>
      </c>
      <c r="H2188" s="1">
        <v>3.5180239999999998E-6</v>
      </c>
      <c r="I2188">
        <v>281.71510000000001</v>
      </c>
      <c r="J2188">
        <v>-388.51179999999999</v>
      </c>
      <c r="K2188">
        <v>1.1212310000000001</v>
      </c>
      <c r="L2188">
        <v>284.76060000000001</v>
      </c>
      <c r="M2188">
        <v>-0.99992139999999996</v>
      </c>
      <c r="N2188">
        <v>-1.2266600000000001E-2</v>
      </c>
      <c r="O2188">
        <v>-2.655967E-3</v>
      </c>
      <c r="P2188">
        <v>-0.98168690000000003</v>
      </c>
      <c r="Q2188">
        <v>0.18786140000000001</v>
      </c>
      <c r="R2188">
        <v>3.1613189999999999E-2</v>
      </c>
      <c r="S2188">
        <v>-3.0906370000000001</v>
      </c>
      <c r="T2188">
        <v>-0.12514249999999999</v>
      </c>
      <c r="U2188">
        <v>-0.33999629999999997</v>
      </c>
      <c r="V2188">
        <v>3.4173969999999998E-2</v>
      </c>
      <c r="W2188">
        <v>0.19989599999999999</v>
      </c>
      <c r="X2188">
        <v>0.97922100000000001</v>
      </c>
      <c r="Y2188">
        <v>-0.1065965</v>
      </c>
      <c r="Z2188">
        <v>-2.7321559999999999E-3</v>
      </c>
      <c r="AA2188">
        <v>0.99429860000000003</v>
      </c>
      <c r="AB2188">
        <v>35</v>
      </c>
      <c r="AC2188">
        <v>-27.456299999999999</v>
      </c>
      <c r="AD2188">
        <v>-1.121227481976</v>
      </c>
      <c r="AE2188">
        <v>-3.0455000000000001</v>
      </c>
      <c r="AF2188">
        <v>-2.9676718844601999</v>
      </c>
      <c r="AG2188">
        <v>-1.121227481976</v>
      </c>
      <c r="AH2188">
        <v>27.419122903094301</v>
      </c>
      <c r="AI2188">
        <v>92.3280629462473</v>
      </c>
      <c r="AJ2188">
        <v>96.177285198316497</v>
      </c>
      <c r="AK2188">
        <v>27.602038480067801</v>
      </c>
      <c r="AL2188">
        <v>78.469122757769398</v>
      </c>
      <c r="AM2188">
        <v>88.001237815109107</v>
      </c>
      <c r="AN2188">
        <v>1.0000000189412801</v>
      </c>
    </row>
    <row r="2189" spans="1:40" x14ac:dyDescent="0.25">
      <c r="A2189" t="str">
        <f>"20190303162821902"</f>
        <v>20190303162821902</v>
      </c>
      <c r="B2189" t="str">
        <f>"1551601701893236"</f>
        <v>1551601701893236</v>
      </c>
      <c r="C2189" t="s">
        <v>40</v>
      </c>
      <c r="D2189">
        <v>4.6017159999999997</v>
      </c>
      <c r="E2189">
        <v>0.53071679999999999</v>
      </c>
      <c r="F2189" t="s">
        <v>48</v>
      </c>
      <c r="G2189">
        <v>-446.64389999999997</v>
      </c>
      <c r="H2189" s="1">
        <v>2.040264E-6</v>
      </c>
      <c r="I2189">
        <v>283.66640000000001</v>
      </c>
      <c r="J2189">
        <v>-388.85829999999999</v>
      </c>
      <c r="K2189">
        <v>1.121232</v>
      </c>
      <c r="L2189">
        <v>284.75959999999998</v>
      </c>
      <c r="M2189">
        <v>-0.99992099999999995</v>
      </c>
      <c r="N2189">
        <v>-1.226472E-2</v>
      </c>
      <c r="O2189">
        <v>-2.763934E-3</v>
      </c>
      <c r="P2189">
        <v>-0.98165729999999995</v>
      </c>
      <c r="Q2189">
        <v>0.18798770000000001</v>
      </c>
      <c r="R2189">
        <v>3.1780959999999997E-2</v>
      </c>
      <c r="S2189">
        <v>-3.0691220000000001</v>
      </c>
      <c r="T2189">
        <v>-5.9196110000000003E-2</v>
      </c>
      <c r="U2189">
        <v>-5.776978E-2</v>
      </c>
      <c r="V2189">
        <v>3.4448359999999997E-2</v>
      </c>
      <c r="W2189">
        <v>0.20002030000000001</v>
      </c>
      <c r="X2189">
        <v>0.979186</v>
      </c>
      <c r="Y2189">
        <v>-1.6051030000000001E-2</v>
      </c>
      <c r="Z2189">
        <v>-2.3381969999999999E-4</v>
      </c>
      <c r="AA2189">
        <v>0.99987110000000001</v>
      </c>
      <c r="AB2189">
        <v>35</v>
      </c>
      <c r="AC2189">
        <v>-57.785599999999903</v>
      </c>
      <c r="AD2189">
        <v>-1.121229959736</v>
      </c>
      <c r="AE2189">
        <v>-1.09319999999996</v>
      </c>
      <c r="AF2189">
        <v>-0.93311704995641798</v>
      </c>
      <c r="AG2189">
        <v>-1.121229959736</v>
      </c>
      <c r="AH2189">
        <v>57.766660381363501</v>
      </c>
      <c r="AI2189">
        <v>91.111805706301695</v>
      </c>
      <c r="AJ2189">
        <v>90.925430327887</v>
      </c>
      <c r="AK2189">
        <v>57.785075198249203</v>
      </c>
      <c r="AL2189">
        <v>78.461854066451906</v>
      </c>
      <c r="AM2189">
        <v>87.985130549332794</v>
      </c>
      <c r="AN2189">
        <v>1.0000000162573801</v>
      </c>
    </row>
    <row r="2190" spans="1:40" x14ac:dyDescent="0.25">
      <c r="A2190" t="str">
        <f>"20190303162821924"</f>
        <v>20190303162821924</v>
      </c>
      <c r="B2190" t="str">
        <f>"1551601701913732"</f>
        <v>1551601701913732</v>
      </c>
      <c r="C2190" t="s">
        <v>40</v>
      </c>
      <c r="D2190">
        <v>4.5298449999999999</v>
      </c>
      <c r="E2190">
        <v>0.53139380000000003</v>
      </c>
      <c r="F2190" t="s">
        <v>48</v>
      </c>
      <c r="G2190">
        <v>-443.95740000000001</v>
      </c>
      <c r="H2190">
        <v>8.0000909999999995E-2</v>
      </c>
      <c r="I2190">
        <v>290.70060000000001</v>
      </c>
      <c r="J2190">
        <v>-389.19490000000002</v>
      </c>
      <c r="K2190">
        <v>1.121229</v>
      </c>
      <c r="L2190">
        <v>284.7586</v>
      </c>
      <c r="M2190">
        <v>-0.99992080000000005</v>
      </c>
      <c r="N2190">
        <v>-1.226324E-2</v>
      </c>
      <c r="O2190">
        <v>-2.8696400000000001E-3</v>
      </c>
      <c r="P2190">
        <v>-0.98157950000000005</v>
      </c>
      <c r="Q2190">
        <v>0.1883193</v>
      </c>
      <c r="R2190">
        <v>3.2218429999999999E-2</v>
      </c>
      <c r="S2190">
        <v>-3.0564580000000001</v>
      </c>
      <c r="T2190">
        <v>-5.7759169999999999E-2</v>
      </c>
      <c r="U2190">
        <v>0.3295593</v>
      </c>
      <c r="V2190">
        <v>3.498979E-2</v>
      </c>
      <c r="W2190">
        <v>0.20034920000000001</v>
      </c>
      <c r="X2190">
        <v>0.97909959999999996</v>
      </c>
      <c r="Y2190">
        <v>0.1100232</v>
      </c>
      <c r="Z2190">
        <v>1.732157E-3</v>
      </c>
      <c r="AA2190">
        <v>0.99392749999999996</v>
      </c>
      <c r="AB2190">
        <v>35</v>
      </c>
      <c r="AC2190">
        <v>-54.762499999999903</v>
      </c>
      <c r="AD2190">
        <v>-1.0412280899999999</v>
      </c>
      <c r="AE2190">
        <v>5.9420000000000002</v>
      </c>
      <c r="AF2190">
        <v>6.0969575030758296</v>
      </c>
      <c r="AG2190">
        <v>-1.0412280899999999</v>
      </c>
      <c r="AH2190">
        <v>54.725667918831697</v>
      </c>
      <c r="AI2190">
        <v>91.083295716948001</v>
      </c>
      <c r="AJ2190">
        <v>83.642922734881793</v>
      </c>
      <c r="AK2190">
        <v>55.074093509489302</v>
      </c>
      <c r="AL2190">
        <v>78.442620632921205</v>
      </c>
      <c r="AM2190">
        <v>87.953308826725902</v>
      </c>
      <c r="AN2190">
        <v>1.00000005703252</v>
      </c>
    </row>
    <row r="2191" spans="1:40" x14ac:dyDescent="0.25">
      <c r="A2191" t="str">
        <f>"20190303162821946"</f>
        <v>20190303162821946</v>
      </c>
      <c r="B2191" t="str">
        <f>"1551601701933970"</f>
        <v>1551601701933970</v>
      </c>
      <c r="C2191" t="s">
        <v>40</v>
      </c>
      <c r="D2191">
        <v>4.4867730000000003</v>
      </c>
      <c r="E2191">
        <v>0.53079489999999996</v>
      </c>
      <c r="F2191" t="s">
        <v>48</v>
      </c>
      <c r="G2191">
        <v>-442.84769999999997</v>
      </c>
      <c r="H2191">
        <v>8.0000589999999996E-2</v>
      </c>
      <c r="I2191">
        <v>290.65789999999998</v>
      </c>
      <c r="J2191">
        <v>-389.55689999999998</v>
      </c>
      <c r="K2191">
        <v>1.121224</v>
      </c>
      <c r="L2191">
        <v>284.75740000000002</v>
      </c>
      <c r="M2191">
        <v>-0.99992040000000004</v>
      </c>
      <c r="N2191">
        <v>-1.226212E-2</v>
      </c>
      <c r="O2191">
        <v>-2.9832230000000001E-3</v>
      </c>
      <c r="P2191">
        <v>-0.98159390000000002</v>
      </c>
      <c r="Q2191">
        <v>0.18807260000000001</v>
      </c>
      <c r="R2191">
        <v>3.320642E-2</v>
      </c>
      <c r="S2191">
        <v>-3.0566409999999999</v>
      </c>
      <c r="T2191">
        <v>-5.9319499999999997E-2</v>
      </c>
      <c r="U2191">
        <v>0.3360901</v>
      </c>
      <c r="V2191">
        <v>3.6089879999999998E-2</v>
      </c>
      <c r="W2191">
        <v>0.20010159999999999</v>
      </c>
      <c r="X2191">
        <v>0.97911020000000004</v>
      </c>
      <c r="Y2191">
        <v>0.1122262</v>
      </c>
      <c r="Z2191">
        <v>1.7971129999999999E-3</v>
      </c>
      <c r="AA2191">
        <v>0.99368109999999998</v>
      </c>
      <c r="AB2191">
        <v>35</v>
      </c>
      <c r="AC2191">
        <v>-53.290799999999898</v>
      </c>
      <c r="AD2191">
        <v>-1.04122341</v>
      </c>
      <c r="AE2191">
        <v>5.9004999999999601</v>
      </c>
      <c r="AF2191">
        <v>6.0571796818499104</v>
      </c>
      <c r="AG2191">
        <v>-1.04122341</v>
      </c>
      <c r="AH2191">
        <v>53.252875723190499</v>
      </c>
      <c r="AI2191">
        <v>91.1129547584422</v>
      </c>
      <c r="AJ2191">
        <v>83.510854266112105</v>
      </c>
      <c r="AK2191">
        <v>53.606364777676497</v>
      </c>
      <c r="AL2191">
        <v>78.457099108601795</v>
      </c>
      <c r="AM2191">
        <v>87.889040377328897</v>
      </c>
      <c r="AN2191">
        <v>0.99999995675250597</v>
      </c>
    </row>
    <row r="2192" spans="1:40" x14ac:dyDescent="0.25">
      <c r="A2192" t="str">
        <f>"20190303162821960"</f>
        <v>20190303162821960</v>
      </c>
      <c r="B2192" t="str">
        <f>"1551601701953490"</f>
        <v>1551601701953490</v>
      </c>
      <c r="C2192" t="s">
        <v>40</v>
      </c>
      <c r="D2192">
        <v>4.4477949999999904</v>
      </c>
      <c r="E2192">
        <v>0.52995009999999998</v>
      </c>
      <c r="F2192" t="s">
        <v>49</v>
      </c>
      <c r="G2192">
        <v>-438.27910000000003</v>
      </c>
      <c r="H2192">
        <v>8.0000589999999996E-2</v>
      </c>
      <c r="I2192">
        <v>290.07709999999997</v>
      </c>
      <c r="J2192">
        <v>-389.78309999999999</v>
      </c>
      <c r="K2192">
        <v>1.1212230000000001</v>
      </c>
      <c r="L2192">
        <v>284.75670000000002</v>
      </c>
      <c r="M2192">
        <v>-0.99992029999999998</v>
      </c>
      <c r="N2192">
        <v>-1.2261569999999999E-2</v>
      </c>
      <c r="O2192">
        <v>-3.0541409999999998E-3</v>
      </c>
      <c r="P2192">
        <v>-0.98161750000000003</v>
      </c>
      <c r="Q2192">
        <v>0.18791530000000001</v>
      </c>
      <c r="R2192">
        <v>3.3392640000000001E-2</v>
      </c>
      <c r="S2192">
        <v>-3.0574949999999999</v>
      </c>
      <c r="T2192">
        <v>-6.5340519999999999E-2</v>
      </c>
      <c r="U2192">
        <v>0.33383180000000001</v>
      </c>
      <c r="V2192">
        <v>3.6345740000000001E-2</v>
      </c>
      <c r="W2192">
        <v>0.19994419999999999</v>
      </c>
      <c r="X2192">
        <v>0.97913300000000003</v>
      </c>
      <c r="Y2192">
        <v>0.1115356</v>
      </c>
      <c r="Z2192">
        <v>1.9018360000000001E-3</v>
      </c>
      <c r="AA2192">
        <v>0.99375860000000005</v>
      </c>
      <c r="AB2192">
        <v>35</v>
      </c>
      <c r="AC2192">
        <v>-48.496000000000002</v>
      </c>
      <c r="AD2192">
        <v>-1.0412224099999901</v>
      </c>
      <c r="AE2192">
        <v>5.3203999999999496</v>
      </c>
      <c r="AF2192">
        <v>5.4660102035869302</v>
      </c>
      <c r="AG2192">
        <v>-1.0412224099999901</v>
      </c>
      <c r="AH2192">
        <v>48.457451407939097</v>
      </c>
      <c r="AI2192">
        <v>91.223190382528202</v>
      </c>
      <c r="AJ2192">
        <v>83.564228620777001</v>
      </c>
      <c r="AK2192">
        <v>48.775875272572797</v>
      </c>
      <c r="AL2192">
        <v>78.466304725396</v>
      </c>
      <c r="AM2192">
        <v>87.874137824553898</v>
      </c>
      <c r="AN2192">
        <v>1.00000006380939</v>
      </c>
    </row>
    <row r="2193" spans="1:40" x14ac:dyDescent="0.25">
      <c r="A2193" t="str">
        <f>"20190303162821972"</f>
        <v>20190303162821972</v>
      </c>
      <c r="B2193" t="str">
        <f>"1551601701963251"</f>
        <v>1551601701963251</v>
      </c>
      <c r="C2193" t="s">
        <v>40</v>
      </c>
      <c r="D2193">
        <v>4.4334369999999996</v>
      </c>
      <c r="E2193">
        <v>0.52979419999999899</v>
      </c>
      <c r="F2193" t="s">
        <v>49</v>
      </c>
      <c r="G2193">
        <v>-438.66079999999999</v>
      </c>
      <c r="H2193">
        <v>8.0000650000000006E-2</v>
      </c>
      <c r="I2193">
        <v>289.99040000000002</v>
      </c>
      <c r="J2193">
        <v>-389.96449999999999</v>
      </c>
      <c r="K2193">
        <v>1.121221</v>
      </c>
      <c r="L2193">
        <v>284.7561</v>
      </c>
      <c r="M2193">
        <v>-0.99992000000000003</v>
      </c>
      <c r="N2193">
        <v>-1.22612E-2</v>
      </c>
      <c r="O2193">
        <v>-3.1109940000000002E-3</v>
      </c>
      <c r="P2193">
        <v>-0.98169030000000002</v>
      </c>
      <c r="Q2193">
        <v>0.18752369999999999</v>
      </c>
      <c r="R2193">
        <v>3.3450010000000002E-2</v>
      </c>
      <c r="S2193">
        <v>-3.0574949999999999</v>
      </c>
      <c r="T2193">
        <v>-6.5132499999999996E-2</v>
      </c>
      <c r="U2193">
        <v>0.32739259999999998</v>
      </c>
      <c r="V2193">
        <v>3.6459520000000002E-2</v>
      </c>
      <c r="W2193">
        <v>0.19955310000000001</v>
      </c>
      <c r="X2193">
        <v>0.97920850000000004</v>
      </c>
      <c r="Y2193">
        <v>0.1095241</v>
      </c>
      <c r="Z2193">
        <v>1.8646680000000001E-3</v>
      </c>
      <c r="AA2193">
        <v>0.99398240000000004</v>
      </c>
      <c r="AB2193">
        <v>35</v>
      </c>
      <c r="AC2193">
        <v>-48.696300000000001</v>
      </c>
      <c r="AD2193">
        <v>-1.0412203499999999</v>
      </c>
      <c r="AE2193">
        <v>5.2343000000000099</v>
      </c>
      <c r="AF2193">
        <v>5.3833468689789097</v>
      </c>
      <c r="AG2193">
        <v>-1.0412203499999999</v>
      </c>
      <c r="AH2193">
        <v>48.657787620551701</v>
      </c>
      <c r="AI2193">
        <v>91.218444036323504</v>
      </c>
      <c r="AJ2193">
        <v>83.686648499512103</v>
      </c>
      <c r="AK2193">
        <v>48.9657519033019</v>
      </c>
      <c r="AL2193">
        <v>78.489173372133095</v>
      </c>
      <c r="AM2193">
        <v>87.867653238983706</v>
      </c>
      <c r="AN2193">
        <v>1.0000000113952401</v>
      </c>
    </row>
    <row r="2194" spans="1:40" x14ac:dyDescent="0.25">
      <c r="A2194" t="str">
        <f>"20190303162821985"</f>
        <v>20190303162821985</v>
      </c>
      <c r="B2194" t="str">
        <f>"1551601701973986"</f>
        <v>1551601701973986</v>
      </c>
      <c r="C2194" t="s">
        <v>40</v>
      </c>
      <c r="D2194">
        <v>4.4624230000000003</v>
      </c>
      <c r="E2194">
        <v>0.52955730000000001</v>
      </c>
      <c r="F2194" t="s">
        <v>49</v>
      </c>
      <c r="G2194">
        <v>-437.93689999999998</v>
      </c>
      <c r="H2194">
        <v>8.0000550000000004E-2</v>
      </c>
      <c r="I2194">
        <v>289.87810000000002</v>
      </c>
      <c r="J2194">
        <v>-390.17399999999998</v>
      </c>
      <c r="K2194">
        <v>1.121216</v>
      </c>
      <c r="L2194">
        <v>284.75540000000001</v>
      </c>
      <c r="M2194">
        <v>-0.99991980000000003</v>
      </c>
      <c r="N2194">
        <v>-1.2260780000000001E-2</v>
      </c>
      <c r="O2194">
        <v>-3.177025E-3</v>
      </c>
      <c r="P2194">
        <v>-0.98175480000000004</v>
      </c>
      <c r="Q2194">
        <v>0.1871902</v>
      </c>
      <c r="R2194">
        <v>3.3426940000000002E-2</v>
      </c>
      <c r="S2194">
        <v>-3.0574949999999999</v>
      </c>
      <c r="T2194">
        <v>-6.6361669999999998E-2</v>
      </c>
      <c r="U2194">
        <v>0.32644649999999997</v>
      </c>
      <c r="V2194">
        <v>3.6501619999999999E-2</v>
      </c>
      <c r="W2194">
        <v>0.19922000000000001</v>
      </c>
      <c r="X2194">
        <v>0.97927470000000005</v>
      </c>
      <c r="Y2194">
        <v>0.10928450000000001</v>
      </c>
      <c r="Z2194">
        <v>1.8844070000000001E-3</v>
      </c>
      <c r="AA2194">
        <v>0.99400869999999997</v>
      </c>
      <c r="AB2194">
        <v>35</v>
      </c>
      <c r="AC2194">
        <v>-47.762899999999902</v>
      </c>
      <c r="AD2194">
        <v>-1.0412154499999999</v>
      </c>
      <c r="AE2194">
        <v>5.1227</v>
      </c>
      <c r="AF2194">
        <v>5.2719526002962498</v>
      </c>
      <c r="AG2194">
        <v>-1.0412154499999999</v>
      </c>
      <c r="AH2194">
        <v>47.723961018948501</v>
      </c>
      <c r="AI2194">
        <v>91.242295349699106</v>
      </c>
      <c r="AJ2194">
        <v>83.696230271933004</v>
      </c>
      <c r="AK2194">
        <v>48.025556417091103</v>
      </c>
      <c r="AL2194">
        <v>78.508649032825602</v>
      </c>
      <c r="AM2194">
        <v>87.865337465473402</v>
      </c>
      <c r="AN2194">
        <v>0.99999995736135605</v>
      </c>
    </row>
    <row r="2195" spans="1:40" x14ac:dyDescent="0.25">
      <c r="A2195" t="str">
        <f>"20190303162822001"</f>
        <v>20190303162822001</v>
      </c>
      <c r="B2195" t="str">
        <f>"1551601701993506"</f>
        <v>1551601701993506</v>
      </c>
      <c r="C2195" t="s">
        <v>40</v>
      </c>
      <c r="D2195">
        <v>4.4405289999999997</v>
      </c>
      <c r="E2195">
        <v>0.52926340000000005</v>
      </c>
      <c r="F2195" t="s">
        <v>49</v>
      </c>
      <c r="G2195">
        <v>-436.80279999999999</v>
      </c>
      <c r="H2195">
        <v>8.0000399999999902E-2</v>
      </c>
      <c r="I2195">
        <v>289.70179999999999</v>
      </c>
      <c r="J2195">
        <v>-390.428</v>
      </c>
      <c r="K2195">
        <v>1.1212169999999999</v>
      </c>
      <c r="L2195">
        <v>284.75450000000001</v>
      </c>
      <c r="M2195">
        <v>-0.99991969999999997</v>
      </c>
      <c r="N2195">
        <v>-1.226029E-2</v>
      </c>
      <c r="O2195">
        <v>-3.256648E-3</v>
      </c>
      <c r="P2195">
        <v>-0.9818597</v>
      </c>
      <c r="Q2195">
        <v>0.18662909999999999</v>
      </c>
      <c r="R2195">
        <v>3.3483739999999998E-2</v>
      </c>
      <c r="S2195">
        <v>-3.0577700000000001</v>
      </c>
      <c r="T2195">
        <v>-6.8279619999999999E-2</v>
      </c>
      <c r="U2195">
        <v>0.32437129999999997</v>
      </c>
      <c r="V2195">
        <v>3.6637339999999997E-2</v>
      </c>
      <c r="W2195">
        <v>0.19865959999999999</v>
      </c>
      <c r="X2195">
        <v>0.97938349999999996</v>
      </c>
      <c r="Y2195">
        <v>0.1086855</v>
      </c>
      <c r="Z2195">
        <v>1.9108949999999999E-3</v>
      </c>
      <c r="AA2195">
        <v>0.99407429999999997</v>
      </c>
      <c r="AB2195">
        <v>35</v>
      </c>
      <c r="AC2195">
        <v>-46.374799999999901</v>
      </c>
      <c r="AD2195">
        <v>-1.0412165999999901</v>
      </c>
      <c r="AE2195">
        <v>4.9472999999999798</v>
      </c>
      <c r="AF2195">
        <v>5.0957716073462</v>
      </c>
      <c r="AG2195">
        <v>-1.0412165999999901</v>
      </c>
      <c r="AH2195">
        <v>46.335346335725198</v>
      </c>
      <c r="AI2195">
        <v>91.279583159570294</v>
      </c>
      <c r="AJ2195">
        <v>83.724065599088703</v>
      </c>
      <c r="AK2195">
        <v>46.626337410673301</v>
      </c>
      <c r="AL2195">
        <v>78.541412803963595</v>
      </c>
      <c r="AM2195">
        <v>87.857645565320993</v>
      </c>
      <c r="AN2195">
        <v>0.99999998571334203</v>
      </c>
    </row>
    <row r="2196" spans="1:40" x14ac:dyDescent="0.25">
      <c r="A2196" t="str">
        <f>"20190303162822025"</f>
        <v>20190303162822025</v>
      </c>
      <c r="B2196" t="str">
        <f>"1551601702014002"</f>
        <v>1551601702014002</v>
      </c>
      <c r="C2196" t="s">
        <v>40</v>
      </c>
      <c r="D2196">
        <v>4.371461</v>
      </c>
      <c r="E2196">
        <v>0.52896790000000005</v>
      </c>
      <c r="F2196" t="s">
        <v>49</v>
      </c>
      <c r="G2196">
        <v>-436.6148</v>
      </c>
      <c r="H2196">
        <v>5.529593E-2</v>
      </c>
      <c r="I2196">
        <v>289.6216</v>
      </c>
      <c r="J2196">
        <v>-390.78559999999999</v>
      </c>
      <c r="K2196">
        <v>1.1212139999999999</v>
      </c>
      <c r="L2196">
        <v>284.75319999999999</v>
      </c>
      <c r="M2196">
        <v>-0.99991929999999996</v>
      </c>
      <c r="N2196">
        <v>-1.225964E-2</v>
      </c>
      <c r="O2196">
        <v>-3.3689319999999998E-3</v>
      </c>
      <c r="P2196">
        <v>-0.98195310000000002</v>
      </c>
      <c r="Q2196">
        <v>0.18614049999999999</v>
      </c>
      <c r="R2196">
        <v>3.346445E-2</v>
      </c>
      <c r="S2196">
        <v>-3.0578609999999999</v>
      </c>
      <c r="T2196">
        <v>-7.0570709999999995E-2</v>
      </c>
      <c r="U2196">
        <v>0.322235099999999</v>
      </c>
      <c r="V2196">
        <v>3.6728749999999998E-2</v>
      </c>
      <c r="W2196">
        <v>0.19817170000000001</v>
      </c>
      <c r="X2196">
        <v>0.97947899999999999</v>
      </c>
      <c r="Y2196">
        <v>0.10810500000000001</v>
      </c>
      <c r="Z2196">
        <v>1.944837E-3</v>
      </c>
      <c r="AA2196">
        <v>0.99413759999999995</v>
      </c>
      <c r="AB2196">
        <v>35</v>
      </c>
      <c r="AC2196">
        <v>-45.8292</v>
      </c>
      <c r="AD2196">
        <v>-1.0659180699999999</v>
      </c>
      <c r="AE2196">
        <v>4.8684000000000003</v>
      </c>
      <c r="AF2196">
        <v>5.0200940571347799</v>
      </c>
      <c r="AG2196">
        <v>-1.0659180699999999</v>
      </c>
      <c r="AH2196">
        <v>45.788044358718402</v>
      </c>
      <c r="AI2196">
        <v>91.325629690403005</v>
      </c>
      <c r="AJ2196">
        <v>83.743214648779997</v>
      </c>
      <c r="AK2196">
        <v>46.074749395633098</v>
      </c>
      <c r="AL2196">
        <v>78.569935433091104</v>
      </c>
      <c r="AM2196">
        <v>87.852514605742698</v>
      </c>
      <c r="AN2196">
        <v>1.00000006759922</v>
      </c>
    </row>
    <row r="2197" spans="1:40" x14ac:dyDescent="0.25">
      <c r="A2197" t="str">
        <f>"20190303162822039"</f>
        <v>20190303162822039</v>
      </c>
      <c r="B2197" t="str">
        <f>"1551601702033487"</f>
        <v>1551601702033487</v>
      </c>
      <c r="C2197" t="s">
        <v>40</v>
      </c>
      <c r="D2197">
        <v>4.4056680000000004</v>
      </c>
      <c r="E2197">
        <v>0.52871190000000001</v>
      </c>
      <c r="F2197" t="s">
        <v>49</v>
      </c>
      <c r="G2197">
        <v>-437.37450000000001</v>
      </c>
      <c r="H2197">
        <v>3.0743380000000001E-2</v>
      </c>
      <c r="I2197">
        <v>289.61630000000002</v>
      </c>
      <c r="J2197">
        <v>-391.02050000000003</v>
      </c>
      <c r="K2197">
        <v>1.121213</v>
      </c>
      <c r="L2197">
        <v>284.75229999999999</v>
      </c>
      <c r="M2197">
        <v>-0.99991909999999895</v>
      </c>
      <c r="N2197">
        <v>-1.2259290000000001E-2</v>
      </c>
      <c r="O2197">
        <v>-3.4427160000000002E-3</v>
      </c>
      <c r="P2197">
        <v>-0.98203309999999999</v>
      </c>
      <c r="Q2197">
        <v>0.1857847</v>
      </c>
      <c r="R2197">
        <v>3.3097979999999999E-2</v>
      </c>
      <c r="S2197">
        <v>-3.0577700000000001</v>
      </c>
      <c r="T2197">
        <v>-7.1570869999999995E-2</v>
      </c>
      <c r="U2197">
        <v>0.3191833</v>
      </c>
      <c r="V2197">
        <v>3.6435269999999999E-2</v>
      </c>
      <c r="W2197">
        <v>0.19781650000000001</v>
      </c>
      <c r="X2197">
        <v>0.97956169999999998</v>
      </c>
      <c r="Y2197">
        <v>0.1071994</v>
      </c>
      <c r="Z2197">
        <v>1.9483009999999999E-3</v>
      </c>
      <c r="AA2197">
        <v>0.9942356</v>
      </c>
      <c r="AB2197">
        <v>35</v>
      </c>
      <c r="AC2197">
        <v>-46.3539999999999</v>
      </c>
      <c r="AD2197">
        <v>-1.0904696199999999</v>
      </c>
      <c r="AE2197">
        <v>4.8640000000000301</v>
      </c>
      <c r="AF2197">
        <v>5.0208184471221404</v>
      </c>
      <c r="AG2197">
        <v>-1.0904696199999999</v>
      </c>
      <c r="AH2197">
        <v>46.311628101987502</v>
      </c>
      <c r="AI2197">
        <v>91.341002154705905</v>
      </c>
      <c r="AJ2197">
        <v>83.812514346962303</v>
      </c>
      <c r="AK2197">
        <v>46.595757739604402</v>
      </c>
      <c r="AL2197">
        <v>78.590697261221806</v>
      </c>
      <c r="AM2197">
        <v>87.869837840289094</v>
      </c>
      <c r="AN2197">
        <v>1.0000000103395501</v>
      </c>
    </row>
    <row r="2198" spans="1:40" x14ac:dyDescent="0.25">
      <c r="A2198" t="str">
        <f>"20190303162822052"</f>
        <v>20190303162822052</v>
      </c>
      <c r="B2198" t="str">
        <f>"1551601702043248"</f>
        <v>1551601702043248</v>
      </c>
      <c r="C2198" t="s">
        <v>40</v>
      </c>
      <c r="D2198">
        <v>4.359343</v>
      </c>
      <c r="E2198">
        <v>0.52860929999999995</v>
      </c>
      <c r="F2198" t="s">
        <v>49</v>
      </c>
      <c r="G2198">
        <v>-438.04109999999997</v>
      </c>
      <c r="H2198">
        <v>4.0267530000000003E-2</v>
      </c>
      <c r="I2198">
        <v>289.61630000000002</v>
      </c>
      <c r="J2198">
        <v>-391.22149999999999</v>
      </c>
      <c r="K2198">
        <v>1.1212139999999999</v>
      </c>
      <c r="L2198">
        <v>284.7516</v>
      </c>
      <c r="M2198">
        <v>-0.9999188</v>
      </c>
      <c r="N2198">
        <v>-1.2259020000000001E-2</v>
      </c>
      <c r="O2198">
        <v>-3.505537E-3</v>
      </c>
      <c r="P2198">
        <v>-0.98201870000000002</v>
      </c>
      <c r="Q2198">
        <v>0.18584049999999999</v>
      </c>
      <c r="R2198">
        <v>3.3210179999999999E-2</v>
      </c>
      <c r="S2198">
        <v>-3.0575559999999999</v>
      </c>
      <c r="T2198">
        <v>-7.0289370000000004E-2</v>
      </c>
      <c r="U2198">
        <v>0.31628420000000002</v>
      </c>
      <c r="V2198">
        <v>3.660894E-2</v>
      </c>
      <c r="W2198">
        <v>0.19787170000000001</v>
      </c>
      <c r="X2198">
        <v>0.97954410000000003</v>
      </c>
      <c r="Y2198">
        <v>0.106338</v>
      </c>
      <c r="Z2198">
        <v>1.9100759999999999E-3</v>
      </c>
      <c r="AA2198">
        <v>0.9943282</v>
      </c>
      <c r="AB2198">
        <v>35</v>
      </c>
      <c r="AC2198">
        <v>-46.819599999999902</v>
      </c>
      <c r="AD2198">
        <v>-1.08094647</v>
      </c>
      <c r="AE2198">
        <v>4.8647000000000196</v>
      </c>
      <c r="AF2198">
        <v>5.0261597766140298</v>
      </c>
      <c r="AG2198">
        <v>-1.08094647</v>
      </c>
      <c r="AH2198">
        <v>46.777589985032499</v>
      </c>
      <c r="AI2198">
        <v>91.3161941410943</v>
      </c>
      <c r="AJ2198">
        <v>83.867210460007399</v>
      </c>
      <c r="AK2198">
        <v>47.059256817111603</v>
      </c>
      <c r="AL2198">
        <v>78.587471031154493</v>
      </c>
      <c r="AM2198">
        <v>87.859655347545498</v>
      </c>
      <c r="AN2198">
        <v>1.00000003399681</v>
      </c>
    </row>
    <row r="2199" spans="1:40" x14ac:dyDescent="0.25">
      <c r="A2199" t="str">
        <f>"20190303162822070"</f>
        <v>20190303162822070</v>
      </c>
      <c r="B2199" t="str">
        <f>"1551601702063743"</f>
        <v>1551601702063743</v>
      </c>
      <c r="C2199" t="s">
        <v>40</v>
      </c>
      <c r="D2199">
        <v>4.4112010000000001</v>
      </c>
      <c r="E2199">
        <v>0.52855989999999997</v>
      </c>
      <c r="F2199" t="s">
        <v>49</v>
      </c>
      <c r="G2199">
        <v>-438.4359</v>
      </c>
      <c r="H2199">
        <v>6.1287510000000003E-2</v>
      </c>
      <c r="I2199">
        <v>289.62759999999997</v>
      </c>
      <c r="J2199">
        <v>-391.50360000000001</v>
      </c>
      <c r="K2199">
        <v>1.1212120000000001</v>
      </c>
      <c r="L2199">
        <v>284.75049999999999</v>
      </c>
      <c r="M2199">
        <v>-0.99991859999999999</v>
      </c>
      <c r="N2199">
        <v>-1.2257280000000001E-2</v>
      </c>
      <c r="O2199">
        <v>-3.593499E-3</v>
      </c>
      <c r="P2199">
        <v>-0.98215540000000001</v>
      </c>
      <c r="Q2199">
        <v>0.1851363</v>
      </c>
      <c r="R2199">
        <v>3.3097660000000001E-2</v>
      </c>
      <c r="S2199">
        <v>-3.0572509999999999</v>
      </c>
      <c r="T2199">
        <v>-6.8632840000000001E-2</v>
      </c>
      <c r="U2199">
        <v>0.31573489999999999</v>
      </c>
      <c r="V2199">
        <v>3.6583299999999999E-2</v>
      </c>
      <c r="W2199">
        <v>0.1971677</v>
      </c>
      <c r="X2199">
        <v>0.97968699999999997</v>
      </c>
      <c r="Y2199">
        <v>0.1062606</v>
      </c>
      <c r="Z2199">
        <v>1.8790549999999999E-3</v>
      </c>
      <c r="AA2199">
        <v>0.99433649999999996</v>
      </c>
      <c r="AB2199">
        <v>35</v>
      </c>
      <c r="AC2199">
        <v>-46.932299999999998</v>
      </c>
      <c r="AD2199">
        <v>-1.05992449</v>
      </c>
      <c r="AE2199">
        <v>4.87709999999998</v>
      </c>
      <c r="AF2199">
        <v>5.0431875606000203</v>
      </c>
      <c r="AG2199">
        <v>-1.05992449</v>
      </c>
      <c r="AH2199">
        <v>46.890808977630897</v>
      </c>
      <c r="AI2199">
        <v>91.287476533011798</v>
      </c>
      <c r="AJ2199">
        <v>83.861336705418694</v>
      </c>
      <c r="AK2199">
        <v>47.173140104010102</v>
      </c>
      <c r="AL2199">
        <v>78.628617838143995</v>
      </c>
      <c r="AM2199">
        <v>87.861464688260696</v>
      </c>
      <c r="AN2199">
        <v>1.0000000288655799</v>
      </c>
    </row>
    <row r="2200" spans="1:40" x14ac:dyDescent="0.25">
      <c r="A2200" t="str">
        <f>"20190303162822093"</f>
        <v>20190303162822093</v>
      </c>
      <c r="B2200" t="str">
        <f>"1551601702083263"</f>
        <v>1551601702083263</v>
      </c>
      <c r="C2200" t="s">
        <v>40</v>
      </c>
      <c r="D2200">
        <v>4.3589979999999997</v>
      </c>
      <c r="E2200">
        <v>0.52853760000000005</v>
      </c>
      <c r="F2200" t="s">
        <v>49</v>
      </c>
      <c r="G2200">
        <v>-438.72489999999999</v>
      </c>
      <c r="H2200">
        <v>2.618929E-2</v>
      </c>
      <c r="I2200">
        <v>289.61630000000002</v>
      </c>
      <c r="J2200">
        <v>-391.85449999999997</v>
      </c>
      <c r="K2200">
        <v>1.121211</v>
      </c>
      <c r="L2200">
        <v>284.7491</v>
      </c>
      <c r="M2200">
        <v>-0.99991819999999998</v>
      </c>
      <c r="N2200">
        <v>-1.2250759999999999E-2</v>
      </c>
      <c r="O2200">
        <v>-3.7024060000000001E-3</v>
      </c>
      <c r="P2200">
        <v>-0.98222880000000001</v>
      </c>
      <c r="Q2200">
        <v>0.18481020000000001</v>
      </c>
      <c r="R2200">
        <v>3.2740470000000001E-2</v>
      </c>
      <c r="S2200">
        <v>-3.0572810000000001</v>
      </c>
      <c r="T2200">
        <v>-7.0895910000000006E-2</v>
      </c>
      <c r="U2200">
        <v>0.31503300000000001</v>
      </c>
      <c r="V2200">
        <v>3.6333730000000002E-2</v>
      </c>
      <c r="W2200">
        <v>0.1968357</v>
      </c>
      <c r="X2200">
        <v>0.97976300000000005</v>
      </c>
      <c r="Y2200">
        <v>0.1061397</v>
      </c>
      <c r="Z2200">
        <v>1.9196409999999999E-3</v>
      </c>
      <c r="AA2200">
        <v>0.99434940000000005</v>
      </c>
      <c r="AB2200">
        <v>35</v>
      </c>
      <c r="AC2200">
        <v>-46.870399999999997</v>
      </c>
      <c r="AD2200">
        <v>-1.0950217099999999</v>
      </c>
      <c r="AE2200">
        <v>4.86720000000002</v>
      </c>
      <c r="AF2200">
        <v>5.0379924000335699</v>
      </c>
      <c r="AG2200">
        <v>-1.0950217099999999</v>
      </c>
      <c r="AH2200">
        <v>46.826770768113597</v>
      </c>
      <c r="AI2200">
        <v>91.331906806707707</v>
      </c>
      <c r="AJ2200">
        <v>83.859289794618803</v>
      </c>
      <c r="AK2200">
        <v>47.109732545808598</v>
      </c>
      <c r="AL2200">
        <v>78.6480197520318</v>
      </c>
      <c r="AM2200">
        <v>87.876204898425399</v>
      </c>
      <c r="AN2200">
        <v>0.99999998444960103</v>
      </c>
    </row>
    <row r="2201" spans="1:40" x14ac:dyDescent="0.25">
      <c r="A2201" t="str">
        <f>"20190303162822114"</f>
        <v>20190303162822114</v>
      </c>
      <c r="B2201" t="str">
        <f>"1551601702103760"</f>
        <v>1551601702103760</v>
      </c>
      <c r="C2201" t="s">
        <v>40</v>
      </c>
      <c r="D2201">
        <v>4.3538269999999999</v>
      </c>
      <c r="E2201">
        <v>0.5284626</v>
      </c>
      <c r="F2201" t="s">
        <v>49</v>
      </c>
      <c r="G2201">
        <v>-439.28359999999998</v>
      </c>
      <c r="H2201">
        <v>3.2795340000000002E-3</v>
      </c>
      <c r="I2201">
        <v>289.61630000000002</v>
      </c>
      <c r="J2201">
        <v>-392.19549999999998</v>
      </c>
      <c r="K2201">
        <v>1.1212089999999999</v>
      </c>
      <c r="L2201">
        <v>284.74770000000001</v>
      </c>
      <c r="M2201">
        <v>-0.99991799999999997</v>
      </c>
      <c r="N2201">
        <v>-1.2239679999999999E-2</v>
      </c>
      <c r="O2201">
        <v>-3.807707E-3</v>
      </c>
      <c r="P2201">
        <v>-0.98223450000000001</v>
      </c>
      <c r="Q2201">
        <v>0.18474399999999999</v>
      </c>
      <c r="R2201">
        <v>3.2948360000000003E-2</v>
      </c>
      <c r="S2201">
        <v>-3.057404</v>
      </c>
      <c r="T2201">
        <v>-7.2064760000000005E-2</v>
      </c>
      <c r="U2201">
        <v>0.31375120000000001</v>
      </c>
      <c r="V2201">
        <v>3.6645379999999998E-2</v>
      </c>
      <c r="W2201">
        <v>0.19675860000000001</v>
      </c>
      <c r="X2201">
        <v>0.9797669</v>
      </c>
      <c r="Y2201">
        <v>0.1058268</v>
      </c>
      <c r="Z2201">
        <v>1.936288E-3</v>
      </c>
      <c r="AA2201">
        <v>0.99438269999999995</v>
      </c>
      <c r="AB2201">
        <v>35</v>
      </c>
      <c r="AC2201">
        <v>-47.088099999999997</v>
      </c>
      <c r="AD2201">
        <v>-1.1179294659999901</v>
      </c>
      <c r="AE2201">
        <v>4.8686000000000096</v>
      </c>
      <c r="AF2201">
        <v>5.0450622400865699</v>
      </c>
      <c r="AG2201">
        <v>-1.1179294659999901</v>
      </c>
      <c r="AH2201">
        <v>47.042983869575899</v>
      </c>
      <c r="AI2201">
        <v>91.353562049358203</v>
      </c>
      <c r="AJ2201">
        <v>83.878785896186699</v>
      </c>
      <c r="AK2201">
        <v>47.325941624551703</v>
      </c>
      <c r="AL2201">
        <v>78.652525597381398</v>
      </c>
      <c r="AM2201">
        <v>87.858013611118594</v>
      </c>
      <c r="AN2201">
        <v>1.00000000444245</v>
      </c>
    </row>
    <row r="2202" spans="1:40" x14ac:dyDescent="0.25">
      <c r="A2202" t="str">
        <f>"20190303162822136"</f>
        <v>20190303162822136</v>
      </c>
      <c r="B2202" t="str">
        <f>"1551601702123788"</f>
        <v>1551601702123788</v>
      </c>
      <c r="C2202" t="s">
        <v>40</v>
      </c>
      <c r="D2202">
        <v>4.341024</v>
      </c>
      <c r="E2202">
        <v>0.52837999999999996</v>
      </c>
      <c r="F2202" t="s">
        <v>49</v>
      </c>
      <c r="G2202">
        <v>-439.63869999999997</v>
      </c>
      <c r="H2202">
        <v>1.288577E-2</v>
      </c>
      <c r="I2202">
        <v>289.61630000000002</v>
      </c>
      <c r="J2202">
        <v>-392.54579999999999</v>
      </c>
      <c r="K2202">
        <v>1.1212059999999999</v>
      </c>
      <c r="L2202">
        <v>284.74630000000002</v>
      </c>
      <c r="M2202">
        <v>-0.99991759999999996</v>
      </c>
      <c r="N2202">
        <v>-1.222352E-2</v>
      </c>
      <c r="O2202">
        <v>-3.9161880000000001E-3</v>
      </c>
      <c r="P2202">
        <v>-0.98229699999999998</v>
      </c>
      <c r="Q2202">
        <v>0.1844944</v>
      </c>
      <c r="R2202">
        <v>3.2468549999999999E-2</v>
      </c>
      <c r="S2202">
        <v>-3.0571290000000002</v>
      </c>
      <c r="T2202">
        <v>-7.1417809999999998E-2</v>
      </c>
      <c r="U2202">
        <v>0.31372070000000002</v>
      </c>
      <c r="V2202">
        <v>3.6272789999999999E-2</v>
      </c>
      <c r="W2202">
        <v>0.196494</v>
      </c>
      <c r="X2202">
        <v>0.97983379999999998</v>
      </c>
      <c r="Y2202">
        <v>0.1059346</v>
      </c>
      <c r="Z2202">
        <v>1.9267640000000001E-3</v>
      </c>
      <c r="AA2202">
        <v>0.99437120000000001</v>
      </c>
      <c r="AB2202">
        <v>35</v>
      </c>
      <c r="AC2202">
        <v>-47.092899999999901</v>
      </c>
      <c r="AD2202">
        <v>-1.1083202299999999</v>
      </c>
      <c r="AE2202">
        <v>4.87</v>
      </c>
      <c r="AF2202">
        <v>5.05163266505921</v>
      </c>
      <c r="AG2202">
        <v>-1.1083202299999999</v>
      </c>
      <c r="AH2202">
        <v>47.047682285363301</v>
      </c>
      <c r="AI2202">
        <v>91.341779379785095</v>
      </c>
      <c r="AJ2202">
        <v>83.871482013165405</v>
      </c>
      <c r="AK2202">
        <v>47.331086769050799</v>
      </c>
      <c r="AL2202">
        <v>78.667987185063495</v>
      </c>
      <c r="AM2202">
        <v>87.879916798690601</v>
      </c>
      <c r="AN2202">
        <v>0.99999994147641003</v>
      </c>
    </row>
    <row r="2203" spans="1:40" x14ac:dyDescent="0.25">
      <c r="A2203" t="str">
        <f>"20190303162822149"</f>
        <v>20190303162822149</v>
      </c>
      <c r="B2203" t="str">
        <f>"1551601702143308"</f>
        <v>1551601702143308</v>
      </c>
      <c r="C2203" t="s">
        <v>40</v>
      </c>
      <c r="D2203">
        <v>4.335928</v>
      </c>
      <c r="E2203">
        <v>0.52832900000000005</v>
      </c>
      <c r="F2203" t="s">
        <v>48</v>
      </c>
      <c r="G2203">
        <v>-440.24849999999998</v>
      </c>
      <c r="H2203">
        <v>3.452189E-2</v>
      </c>
      <c r="I2203">
        <v>289.61630000000002</v>
      </c>
      <c r="J2203">
        <v>-392.75510000000003</v>
      </c>
      <c r="K2203">
        <v>1.1212029999999999</v>
      </c>
      <c r="L2203">
        <v>284.74540000000002</v>
      </c>
      <c r="M2203">
        <v>-0.99991759999999996</v>
      </c>
      <c r="N2203">
        <v>-1.2212829999999999E-2</v>
      </c>
      <c r="O2203">
        <v>-3.9813189999999997E-3</v>
      </c>
      <c r="P2203">
        <v>-0.98225370000000001</v>
      </c>
      <c r="Q2203">
        <v>0.18475249999999999</v>
      </c>
      <c r="R2203">
        <v>3.2316930000000001E-2</v>
      </c>
      <c r="S2203">
        <v>-3.0568240000000002</v>
      </c>
      <c r="T2203">
        <v>-6.9635509999999998E-2</v>
      </c>
      <c r="U2203">
        <v>0.31207279999999998</v>
      </c>
      <c r="V2203">
        <v>3.6185259999999997E-2</v>
      </c>
      <c r="W2203">
        <v>0.19674079999999999</v>
      </c>
      <c r="X2203">
        <v>0.97978759999999998</v>
      </c>
      <c r="Y2203">
        <v>0.1054809</v>
      </c>
      <c r="Z2203">
        <v>1.886069E-3</v>
      </c>
      <c r="AA2203">
        <v>0.99441950000000001</v>
      </c>
      <c r="AB2203">
        <v>35</v>
      </c>
      <c r="AC2203">
        <v>-47.493399999999902</v>
      </c>
      <c r="AD2203">
        <v>-1.08668111</v>
      </c>
      <c r="AE2203">
        <v>4.8708999999999998</v>
      </c>
      <c r="AF2203">
        <v>5.0573417615389502</v>
      </c>
      <c r="AG2203">
        <v>-1.08668111</v>
      </c>
      <c r="AH2203">
        <v>47.449047272738703</v>
      </c>
      <c r="AI2203">
        <v>91.304575576145695</v>
      </c>
      <c r="AJ2203">
        <v>83.916116241659793</v>
      </c>
      <c r="AK2203">
        <v>47.730175660879603</v>
      </c>
      <c r="AL2203">
        <v>78.653566068145494</v>
      </c>
      <c r="AM2203">
        <v>87.884928490576598</v>
      </c>
      <c r="AN2203">
        <v>1.00000002826983</v>
      </c>
    </row>
    <row r="2204" spans="1:40" x14ac:dyDescent="0.25">
      <c r="A2204" t="str">
        <f>"20190303162822162"</f>
        <v>20190303162822162</v>
      </c>
      <c r="B2204" t="str">
        <f>"1551601702154044"</f>
        <v>1551601702154044</v>
      </c>
      <c r="C2204" t="s">
        <v>40</v>
      </c>
      <c r="D2204">
        <v>4.3555780000000004</v>
      </c>
      <c r="E2204">
        <v>0.52841309999999997</v>
      </c>
      <c r="F2204" t="s">
        <v>48</v>
      </c>
      <c r="G2204">
        <v>-440.76389999999998</v>
      </c>
      <c r="H2204">
        <v>6.7780740000000006E-2</v>
      </c>
      <c r="I2204">
        <v>289.63409999999999</v>
      </c>
      <c r="J2204">
        <v>-392.97269999999997</v>
      </c>
      <c r="K2204">
        <v>1.1212009999999999</v>
      </c>
      <c r="L2204">
        <v>284.74450000000002</v>
      </c>
      <c r="M2204">
        <v>-0.99991739999999996</v>
      </c>
      <c r="N2204">
        <v>-1.220152E-2</v>
      </c>
      <c r="O2204">
        <v>-4.0491889999999999E-3</v>
      </c>
      <c r="P2204">
        <v>-0.98227980000000004</v>
      </c>
      <c r="Q2204">
        <v>0.18459200000000001</v>
      </c>
      <c r="R2204">
        <v>3.2438990000000001E-2</v>
      </c>
      <c r="S2204">
        <v>-3.0565799999999999</v>
      </c>
      <c r="T2204">
        <v>-6.7068340000000004E-2</v>
      </c>
      <c r="U2204">
        <v>0.31124879999999999</v>
      </c>
      <c r="V2204">
        <v>3.6374259999999999E-2</v>
      </c>
      <c r="W2204">
        <v>0.19656970000000001</v>
      </c>
      <c r="X2204">
        <v>0.97981490000000004</v>
      </c>
      <c r="Y2204">
        <v>0.1052937</v>
      </c>
      <c r="Z2204">
        <v>1.835585E-3</v>
      </c>
      <c r="AA2204">
        <v>0.99443950000000003</v>
      </c>
      <c r="AB2204">
        <v>35</v>
      </c>
      <c r="AC2204">
        <v>-47.791200000000003</v>
      </c>
      <c r="AD2204">
        <v>-1.05342026</v>
      </c>
      <c r="AE2204">
        <v>4.8895999999999704</v>
      </c>
      <c r="AF2204">
        <v>5.0806470185300201</v>
      </c>
      <c r="AG2204">
        <v>-1.05342026</v>
      </c>
      <c r="AH2204">
        <v>47.748049412074998</v>
      </c>
      <c r="AI2204">
        <v>91.256765522920801</v>
      </c>
      <c r="AJ2204">
        <v>83.926277217213098</v>
      </c>
      <c r="AK2204">
        <v>48.029146265877301</v>
      </c>
      <c r="AL2204">
        <v>78.663564135010702</v>
      </c>
      <c r="AM2204">
        <v>87.873950511906898</v>
      </c>
      <c r="AN2204">
        <v>0.99999998600532303</v>
      </c>
    </row>
    <row r="2205" spans="1:40" x14ac:dyDescent="0.25">
      <c r="A2205" t="str">
        <f>"20190303162822181"</f>
        <v>20190303162822181</v>
      </c>
      <c r="B2205" t="str">
        <f>"1551601702173564"</f>
        <v>1551601702173564</v>
      </c>
      <c r="C2205" t="s">
        <v>40</v>
      </c>
      <c r="D2205">
        <v>4.2685370000000002</v>
      </c>
      <c r="E2205">
        <v>0.52840169999999997</v>
      </c>
      <c r="F2205" t="s">
        <v>48</v>
      </c>
      <c r="G2205">
        <v>-440.84039999999999</v>
      </c>
      <c r="H2205">
        <v>6.7985710000000005E-2</v>
      </c>
      <c r="I2205">
        <v>289.6343</v>
      </c>
      <c r="J2205">
        <v>-393.25850000000003</v>
      </c>
      <c r="K2205">
        <v>1.1211949999999999</v>
      </c>
      <c r="L2205">
        <v>284.74329999999998</v>
      </c>
      <c r="M2205">
        <v>-0.99991730000000001</v>
      </c>
      <c r="N2205">
        <v>-1.218371E-2</v>
      </c>
      <c r="O2205">
        <v>-4.1378819999999998E-3</v>
      </c>
      <c r="P2205">
        <v>-0.98232260000000005</v>
      </c>
      <c r="Q2205">
        <v>0.18444759999999999</v>
      </c>
      <c r="R2205">
        <v>3.1964560000000003E-2</v>
      </c>
      <c r="S2205">
        <v>-3.0564580000000001</v>
      </c>
      <c r="T2205">
        <v>-6.7250130000000005E-2</v>
      </c>
      <c r="U2205">
        <v>0.31222529999999998</v>
      </c>
      <c r="V2205">
        <v>3.5987190000000002E-2</v>
      </c>
      <c r="W2205">
        <v>0.19640840000000001</v>
      </c>
      <c r="X2205">
        <v>0.9798616</v>
      </c>
      <c r="Y2205">
        <v>0.10570010000000001</v>
      </c>
      <c r="Z2205">
        <v>1.8459290000000001E-3</v>
      </c>
      <c r="AA2205">
        <v>0.99439630000000001</v>
      </c>
      <c r="AB2205">
        <v>35</v>
      </c>
      <c r="AC2205">
        <v>-47.581899999999898</v>
      </c>
      <c r="AD2205">
        <v>-1.0532092900000001</v>
      </c>
      <c r="AE2205">
        <v>4.8910000000000204</v>
      </c>
      <c r="AF2205">
        <v>5.0853955024312798</v>
      </c>
      <c r="AG2205">
        <v>-1.0532092900000001</v>
      </c>
      <c r="AH2205">
        <v>47.538205202721997</v>
      </c>
      <c r="AI2205">
        <v>91.261982847091701</v>
      </c>
      <c r="AJ2205">
        <v>83.894009721967507</v>
      </c>
      <c r="AK2205">
        <v>47.821035655042003</v>
      </c>
      <c r="AL2205">
        <v>78.672990377837806</v>
      </c>
      <c r="AM2205">
        <v>87.896654204722395</v>
      </c>
      <c r="AN2205">
        <v>1.0000000462945999</v>
      </c>
    </row>
    <row r="2206" spans="1:40" x14ac:dyDescent="0.25">
      <c r="A2206" t="str">
        <f>"20190303162822195"</f>
        <v>20190303162822195</v>
      </c>
      <c r="B2206" t="str">
        <f>"1551601702183324"</f>
        <v>1551601702183324</v>
      </c>
      <c r="C2206" t="s">
        <v>40</v>
      </c>
      <c r="D2206">
        <v>4.2660280000000004</v>
      </c>
      <c r="E2206">
        <v>0.52837909999999999</v>
      </c>
      <c r="F2206" t="s">
        <v>48</v>
      </c>
      <c r="G2206">
        <v>-441.3861</v>
      </c>
      <c r="H2206">
        <v>7.4208049999999998E-2</v>
      </c>
      <c r="I2206">
        <v>289.64049999999997</v>
      </c>
      <c r="J2206">
        <v>-393.46870000000001</v>
      </c>
      <c r="K2206">
        <v>1.121191</v>
      </c>
      <c r="L2206">
        <v>284.7423</v>
      </c>
      <c r="M2206">
        <v>-0.99991719999999895</v>
      </c>
      <c r="N2206">
        <v>-1.216475E-2</v>
      </c>
      <c r="O2206">
        <v>-4.2032040000000003E-3</v>
      </c>
      <c r="P2206">
        <v>-0.98235079999999997</v>
      </c>
      <c r="Q2206">
        <v>0.1843455</v>
      </c>
      <c r="R2206">
        <v>3.1681939999999999E-2</v>
      </c>
      <c r="S2206">
        <v>-3.0563660000000001</v>
      </c>
      <c r="T2206">
        <v>-6.648946E-2</v>
      </c>
      <c r="U2206">
        <v>0.31100460000000002</v>
      </c>
      <c r="V2206">
        <v>3.576907E-2</v>
      </c>
      <c r="W2206">
        <v>0.1962883</v>
      </c>
      <c r="X2206">
        <v>0.97989360000000003</v>
      </c>
      <c r="Y2206">
        <v>0.10537580000000001</v>
      </c>
      <c r="Z2206">
        <v>1.826037E-3</v>
      </c>
      <c r="AA2206">
        <v>0.99443079999999995</v>
      </c>
      <c r="AB2206">
        <v>35</v>
      </c>
      <c r="AC2206">
        <v>-47.917400000000001</v>
      </c>
      <c r="AD2206">
        <v>-1.0469829500000001</v>
      </c>
      <c r="AE2206">
        <v>4.8981999999999699</v>
      </c>
      <c r="AF2206">
        <v>5.0971699491053997</v>
      </c>
      <c r="AG2206">
        <v>-1.0469829500000001</v>
      </c>
      <c r="AH2206">
        <v>47.873767876340402</v>
      </c>
      <c r="AI2206">
        <v>91.245800303957907</v>
      </c>
      <c r="AJ2206">
        <v>83.922554450657003</v>
      </c>
      <c r="AK2206">
        <v>48.1557365789931</v>
      </c>
      <c r="AL2206">
        <v>78.680007622287505</v>
      </c>
      <c r="AM2206">
        <v>87.909459544371501</v>
      </c>
      <c r="AN2206">
        <v>0.999999995203257</v>
      </c>
    </row>
    <row r="2207" spans="1:40" x14ac:dyDescent="0.25">
      <c r="A2207" t="str">
        <f>"20190303162822215"</f>
        <v>20190303162822215</v>
      </c>
      <c r="B2207" t="str">
        <f>"1551601702203821"</f>
        <v>1551601702203821</v>
      </c>
      <c r="C2207" t="s">
        <v>40</v>
      </c>
      <c r="D2207">
        <v>4.2694619999999999</v>
      </c>
      <c r="E2207">
        <v>0.52841640000000001</v>
      </c>
      <c r="F2207" t="s">
        <v>48</v>
      </c>
      <c r="G2207">
        <v>-441.91640000000001</v>
      </c>
      <c r="H2207">
        <v>8.0000360000000006E-2</v>
      </c>
      <c r="I2207">
        <v>289.65839999999997</v>
      </c>
      <c r="J2207">
        <v>-393.7817</v>
      </c>
      <c r="K2207">
        <v>1.1211819999999999</v>
      </c>
      <c r="L2207">
        <v>284.74090000000001</v>
      </c>
      <c r="M2207">
        <v>-0.99991730000000001</v>
      </c>
      <c r="N2207">
        <v>-1.213123E-2</v>
      </c>
      <c r="O2207">
        <v>-4.299906E-3</v>
      </c>
      <c r="P2207">
        <v>-0.98242450000000003</v>
      </c>
      <c r="Q2207">
        <v>0.18402950000000001</v>
      </c>
      <c r="R2207">
        <v>3.123213E-2</v>
      </c>
      <c r="S2207">
        <v>-3.0562130000000001</v>
      </c>
      <c r="T2207">
        <v>-6.5681100000000006E-2</v>
      </c>
      <c r="U2207">
        <v>0.3101196</v>
      </c>
      <c r="V2207">
        <v>3.5414840000000003E-2</v>
      </c>
      <c r="W2207">
        <v>0.1959399</v>
      </c>
      <c r="X2207">
        <v>0.97997619999999996</v>
      </c>
      <c r="Y2207">
        <v>0.1051928</v>
      </c>
      <c r="Z2207">
        <v>1.8072979999999999E-3</v>
      </c>
      <c r="AA2207">
        <v>0.99445019999999995</v>
      </c>
      <c r="AB2207">
        <v>35</v>
      </c>
      <c r="AC2207">
        <v>-48.134700000000002</v>
      </c>
      <c r="AD2207">
        <v>-1.04118163999999</v>
      </c>
      <c r="AE2207">
        <v>4.9174999999999596</v>
      </c>
      <c r="AF2207">
        <v>5.1220726502233704</v>
      </c>
      <c r="AG2207">
        <v>-1.04118163999999</v>
      </c>
      <c r="AH2207">
        <v>48.090840174406701</v>
      </c>
      <c r="AI2207">
        <v>91.233304264498003</v>
      </c>
      <c r="AJ2207">
        <v>83.920444816819398</v>
      </c>
      <c r="AK2207">
        <v>48.374048787774299</v>
      </c>
      <c r="AL2207">
        <v>78.700364886137393</v>
      </c>
      <c r="AM2207">
        <v>87.930318900429398</v>
      </c>
      <c r="AN2207">
        <v>1.0000000039353301</v>
      </c>
    </row>
    <row r="2208" spans="1:40" x14ac:dyDescent="0.25">
      <c r="A2208" t="str">
        <f>"20190303162822237"</f>
        <v>20190303162822237</v>
      </c>
      <c r="B2208" t="str">
        <f>"1551601702223849"</f>
        <v>1551601702223849</v>
      </c>
      <c r="C2208" t="s">
        <v>40</v>
      </c>
      <c r="D2208">
        <v>4.3107739999999897</v>
      </c>
      <c r="E2208">
        <v>0.52836079999999996</v>
      </c>
      <c r="F2208" t="s">
        <v>48</v>
      </c>
      <c r="G2208">
        <v>-442.46089999999998</v>
      </c>
      <c r="H2208">
        <v>8.0000520000000006E-2</v>
      </c>
      <c r="I2208">
        <v>289.66750000000002</v>
      </c>
      <c r="J2208">
        <v>-394.14</v>
      </c>
      <c r="K2208">
        <v>1.12117</v>
      </c>
      <c r="L2208">
        <v>284.73930000000001</v>
      </c>
      <c r="M2208">
        <v>-0.99991730000000001</v>
      </c>
      <c r="N2208">
        <v>-1.208615E-2</v>
      </c>
      <c r="O2208">
        <v>-4.4104829999999998E-3</v>
      </c>
      <c r="P2208">
        <v>-0.98251750000000004</v>
      </c>
      <c r="Q2208">
        <v>0.18363090000000001</v>
      </c>
      <c r="R2208">
        <v>3.064764E-2</v>
      </c>
      <c r="S2208">
        <v>-3.0561219999999998</v>
      </c>
      <c r="T2208">
        <v>-6.5366270000000004E-2</v>
      </c>
      <c r="U2208">
        <v>0.30929570000000001</v>
      </c>
      <c r="V2208">
        <v>3.4939669999999999E-2</v>
      </c>
      <c r="W2208">
        <v>0.19549800000000001</v>
      </c>
      <c r="X2208">
        <v>0.98008150000000005</v>
      </c>
      <c r="Y2208">
        <v>0.1050408</v>
      </c>
      <c r="Z2208">
        <v>1.797795E-3</v>
      </c>
      <c r="AA2208">
        <v>0.99446630000000003</v>
      </c>
      <c r="AB2208">
        <v>35</v>
      </c>
      <c r="AC2208">
        <v>-48.320900000000002</v>
      </c>
      <c r="AD2208">
        <v>-1.04116948</v>
      </c>
      <c r="AE2208">
        <v>4.9282000000000004</v>
      </c>
      <c r="AF2208">
        <v>5.1389248221504999</v>
      </c>
      <c r="AG2208">
        <v>-1.04116948</v>
      </c>
      <c r="AH2208">
        <v>48.276509912715497</v>
      </c>
      <c r="AI2208">
        <v>91.228555962455303</v>
      </c>
      <c r="AJ2208">
        <v>83.923875242687004</v>
      </c>
      <c r="AK2208">
        <v>48.560415891612003</v>
      </c>
      <c r="AL2208">
        <v>78.726183144569106</v>
      </c>
      <c r="AM2208">
        <v>87.9582838759993</v>
      </c>
      <c r="AN2208">
        <v>0.99999999759297897</v>
      </c>
    </row>
    <row r="2209" spans="1:40" x14ac:dyDescent="0.25">
      <c r="A2209" t="str">
        <f>"20190303162822259"</f>
        <v>20190303162822259</v>
      </c>
      <c r="B2209" t="str">
        <f>"1551601702254104"</f>
        <v>1551601702254104</v>
      </c>
      <c r="C2209" t="s">
        <v>40</v>
      </c>
      <c r="D2209">
        <v>4.3272469999999998</v>
      </c>
      <c r="E2209">
        <v>0.50652609999999998</v>
      </c>
      <c r="F2209" t="s">
        <v>48</v>
      </c>
      <c r="G2209">
        <v>-442.76130000000001</v>
      </c>
      <c r="H2209">
        <v>6.5870330000000005E-2</v>
      </c>
      <c r="I2209">
        <v>289.63220000000001</v>
      </c>
      <c r="J2209">
        <v>-394.49880000000002</v>
      </c>
      <c r="K2209">
        <v>1.1211580000000001</v>
      </c>
      <c r="L2209">
        <v>284.73759999999999</v>
      </c>
      <c r="M2209">
        <v>-0.99991739999999996</v>
      </c>
      <c r="N2209">
        <v>-1.203445E-2</v>
      </c>
      <c r="O2209">
        <v>-4.521382E-3</v>
      </c>
      <c r="P2209">
        <v>-0.98255859999999995</v>
      </c>
      <c r="Q2209">
        <v>0.1835552</v>
      </c>
      <c r="R2209">
        <v>2.9772400000000001E-2</v>
      </c>
      <c r="S2209">
        <v>-3.0562130000000001</v>
      </c>
      <c r="T2209">
        <v>-6.6333409999999995E-2</v>
      </c>
      <c r="U2209">
        <v>0.3075562</v>
      </c>
      <c r="V2209">
        <v>3.4173679999999998E-2</v>
      </c>
      <c r="W2209">
        <v>0.19537180000000001</v>
      </c>
      <c r="X2209">
        <v>0.9801337</v>
      </c>
      <c r="Y2209">
        <v>0.1045871</v>
      </c>
      <c r="Z2209">
        <v>1.8066670000000001E-3</v>
      </c>
      <c r="AA2209">
        <v>0.99451409999999996</v>
      </c>
      <c r="AB2209">
        <v>35</v>
      </c>
      <c r="AC2209">
        <v>-48.262499999999903</v>
      </c>
      <c r="AD2209">
        <v>-1.05528767</v>
      </c>
      <c r="AE2209">
        <v>4.89460000000002</v>
      </c>
      <c r="AF2209">
        <v>5.1103605479835403</v>
      </c>
      <c r="AG2209">
        <v>-1.05528767</v>
      </c>
      <c r="AH2209">
        <v>48.217056591865699</v>
      </c>
      <c r="AI2209">
        <v>91.246805163956495</v>
      </c>
      <c r="AJ2209">
        <v>83.950002783355004</v>
      </c>
      <c r="AK2209">
        <v>48.4985975403415</v>
      </c>
      <c r="AL2209">
        <v>78.733556361774703</v>
      </c>
      <c r="AM2209">
        <v>88.003114485839703</v>
      </c>
      <c r="AN2209">
        <v>1.00000002525783</v>
      </c>
    </row>
    <row r="2210" spans="1:40" x14ac:dyDescent="0.25">
      <c r="A2210" t="str">
        <f>"20190303162822274"</f>
        <v>20190303162822274</v>
      </c>
      <c r="B2210" t="str">
        <f>"1551601702263864"</f>
        <v>1551601702263864</v>
      </c>
      <c r="C2210" t="s">
        <v>40</v>
      </c>
      <c r="D2210">
        <v>4.3174519999999896</v>
      </c>
      <c r="E2210">
        <v>0.50630140000000001</v>
      </c>
      <c r="F2210" t="s">
        <v>48</v>
      </c>
      <c r="G2210">
        <v>-448.77050000000003</v>
      </c>
      <c r="H2210" s="1">
        <v>3.0238190000000001E-6</v>
      </c>
      <c r="I2210">
        <v>287.05549999999999</v>
      </c>
      <c r="J2210">
        <v>-394.72559999999999</v>
      </c>
      <c r="K2210">
        <v>1.121151</v>
      </c>
      <c r="L2210">
        <v>284.73649999999998</v>
      </c>
      <c r="M2210">
        <v>-0.99991759999999996</v>
      </c>
      <c r="N2210">
        <v>-1.1997509999999999E-2</v>
      </c>
      <c r="O2210">
        <v>-4.5912499999999998E-3</v>
      </c>
      <c r="P2210">
        <v>-0.9826184</v>
      </c>
      <c r="Q2210">
        <v>0.1832905</v>
      </c>
      <c r="R2210">
        <v>2.942403E-2</v>
      </c>
      <c r="S2210">
        <v>-3.061096</v>
      </c>
      <c r="T2210">
        <v>-6.3236710000000002E-2</v>
      </c>
      <c r="U2210">
        <v>0.1307373</v>
      </c>
      <c r="V2210">
        <v>3.3894319999999999E-2</v>
      </c>
      <c r="W2210">
        <v>0.19507150000000001</v>
      </c>
      <c r="X2210">
        <v>0.98020320000000005</v>
      </c>
      <c r="Y2210">
        <v>4.7241279999999997E-2</v>
      </c>
      <c r="Z2210">
        <v>8.1100039999999903E-4</v>
      </c>
      <c r="AA2210">
        <v>0.99888319999999997</v>
      </c>
      <c r="AB2210">
        <v>35</v>
      </c>
      <c r="AC2210">
        <v>-54.044899999999998</v>
      </c>
      <c r="AD2210">
        <v>-1.1211479761809999</v>
      </c>
      <c r="AE2210">
        <v>2.3190000000000102</v>
      </c>
      <c r="AF2210">
        <v>2.5660247880247198</v>
      </c>
      <c r="AG2210">
        <v>-1.1211479761809999</v>
      </c>
      <c r="AH2210">
        <v>54.010482011488598</v>
      </c>
      <c r="AI2210">
        <v>91.187833865755493</v>
      </c>
      <c r="AJ2210">
        <v>87.2799368554723</v>
      </c>
      <c r="AK2210">
        <v>54.083025276981203</v>
      </c>
      <c r="AL2210">
        <v>78.751099708949496</v>
      </c>
      <c r="AM2210">
        <v>88.019565714216</v>
      </c>
      <c r="AN2210">
        <v>1.00000001416537</v>
      </c>
    </row>
    <row r="2211" spans="1:40" x14ac:dyDescent="0.25">
      <c r="A2211" t="str">
        <f>"20190303162822293"</f>
        <v>20190303162822293</v>
      </c>
      <c r="B2211" t="str">
        <f>"1551601702283384"</f>
        <v>1551601702283384</v>
      </c>
      <c r="C2211" t="s">
        <v>40</v>
      </c>
      <c r="D2211">
        <v>4.315404</v>
      </c>
      <c r="E2211">
        <v>0.50613660000000005</v>
      </c>
      <c r="F2211" t="s">
        <v>48</v>
      </c>
      <c r="G2211">
        <v>-446.72539999999998</v>
      </c>
      <c r="H2211" s="1">
        <v>1.9418939999999998E-6</v>
      </c>
      <c r="I2211">
        <v>286.90929999999997</v>
      </c>
      <c r="J2211">
        <v>-395.02229999999997</v>
      </c>
      <c r="K2211">
        <v>1.1211359999999999</v>
      </c>
      <c r="L2211">
        <v>284.73500000000001</v>
      </c>
      <c r="M2211">
        <v>-0.99991770000000002</v>
      </c>
      <c r="N2211">
        <v>-1.1947060000000001E-2</v>
      </c>
      <c r="O2211">
        <v>-4.6827329999999997E-3</v>
      </c>
      <c r="P2211">
        <v>-0.98269669999999998</v>
      </c>
      <c r="Q2211">
        <v>0.1829433</v>
      </c>
      <c r="R2211">
        <v>2.8966370000000002E-2</v>
      </c>
      <c r="S2211">
        <v>-3.0615839999999999</v>
      </c>
      <c r="T2211">
        <v>-6.6009760000000001E-2</v>
      </c>
      <c r="U2211">
        <v>0.12792970000000001</v>
      </c>
      <c r="V2211">
        <v>3.352691E-2</v>
      </c>
      <c r="W2211">
        <v>0.1946763</v>
      </c>
      <c r="X2211">
        <v>0.98029440000000001</v>
      </c>
      <c r="Y2211">
        <v>4.641058E-2</v>
      </c>
      <c r="Z2211">
        <v>8.224517E-4</v>
      </c>
      <c r="AA2211">
        <v>0.99892210000000004</v>
      </c>
      <c r="AB2211">
        <v>35</v>
      </c>
      <c r="AC2211">
        <v>-51.703099999999999</v>
      </c>
      <c r="AD2211">
        <v>-1.1211340581060001</v>
      </c>
      <c r="AE2211">
        <v>2.1742999999999602</v>
      </c>
      <c r="AF2211">
        <v>2.4152715883437499</v>
      </c>
      <c r="AG2211">
        <v>-1.1211340581060001</v>
      </c>
      <c r="AH2211">
        <v>51.668099238349001</v>
      </c>
      <c r="AI2211">
        <v>91.241697215670897</v>
      </c>
      <c r="AJ2211">
        <v>87.323605787308296</v>
      </c>
      <c r="AK2211">
        <v>51.736669368307702</v>
      </c>
      <c r="AL2211">
        <v>78.774185584038904</v>
      </c>
      <c r="AM2211">
        <v>88.041198653622303</v>
      </c>
      <c r="AN2211">
        <v>1.00000001307359</v>
      </c>
    </row>
    <row r="2212" spans="1:40" x14ac:dyDescent="0.25">
      <c r="A2212" t="str">
        <f>"20190303162822316"</f>
        <v>20190303162822316</v>
      </c>
      <c r="B2212" t="str">
        <f>"1551601702303881"</f>
        <v>1551601702303881</v>
      </c>
      <c r="C2212" t="s">
        <v>40</v>
      </c>
      <c r="D2212">
        <v>4.302352</v>
      </c>
      <c r="E2212">
        <v>0.50615790000000005</v>
      </c>
      <c r="F2212" t="s">
        <v>48</v>
      </c>
      <c r="G2212">
        <v>-442.60379999999998</v>
      </c>
      <c r="H2212" s="1">
        <v>-2.4156979999999997E-7</v>
      </c>
      <c r="I2212">
        <v>286.68470000000002</v>
      </c>
      <c r="J2212">
        <v>-395.3793</v>
      </c>
      <c r="K2212">
        <v>1.121127</v>
      </c>
      <c r="L2212">
        <v>284.73320000000001</v>
      </c>
      <c r="M2212">
        <v>-0.99991799999999997</v>
      </c>
      <c r="N2212">
        <v>-1.188694E-2</v>
      </c>
      <c r="O2212">
        <v>-4.7922820000000001E-3</v>
      </c>
      <c r="P2212">
        <v>-0.98269019999999996</v>
      </c>
      <c r="Q2212">
        <v>0.1829992</v>
      </c>
      <c r="R2212">
        <v>2.883931E-2</v>
      </c>
      <c r="S2212">
        <v>-3.0625610000000001</v>
      </c>
      <c r="T2212">
        <v>-7.2161439999999993E-2</v>
      </c>
      <c r="U2212">
        <v>0.1254883</v>
      </c>
      <c r="V2212">
        <v>3.3507460000000003E-2</v>
      </c>
      <c r="W2212">
        <v>0.19467309999999999</v>
      </c>
      <c r="X2212">
        <v>0.98029569999999999</v>
      </c>
      <c r="Y2212">
        <v>4.5709350000000003E-2</v>
      </c>
      <c r="Z2212">
        <v>8.6598269999999997E-4</v>
      </c>
      <c r="AA2212">
        <v>0.99895440000000002</v>
      </c>
      <c r="AB2212">
        <v>35</v>
      </c>
      <c r="AC2212">
        <v>-47.2244999999999</v>
      </c>
      <c r="AD2212">
        <v>-1.1211272415697999</v>
      </c>
      <c r="AE2212">
        <v>1.95150000000001</v>
      </c>
      <c r="AF2212">
        <v>2.1765820269260501</v>
      </c>
      <c r="AG2212">
        <v>-1.1211272415697999</v>
      </c>
      <c r="AH2212">
        <v>47.188054744966699</v>
      </c>
      <c r="AI2212">
        <v>91.3595726919485</v>
      </c>
      <c r="AJ2212">
        <v>87.359063972040005</v>
      </c>
      <c r="AK2212">
        <v>47.251528506765801</v>
      </c>
      <c r="AL2212">
        <v>78.774372501250298</v>
      </c>
      <c r="AM2212">
        <v>88.0423367246499</v>
      </c>
      <c r="AN2212">
        <v>1.0000000125888699</v>
      </c>
    </row>
    <row r="2213" spans="1:40" x14ac:dyDescent="0.25">
      <c r="A2213" t="str">
        <f>"20190303162822337"</f>
        <v>20190303162822337</v>
      </c>
      <c r="B2213" t="str">
        <f>"1551601702323910"</f>
        <v>1551601702323910</v>
      </c>
      <c r="C2213" t="s">
        <v>40</v>
      </c>
      <c r="D2213">
        <v>4.2831349999999997</v>
      </c>
      <c r="E2213">
        <v>0.50638640000000001</v>
      </c>
      <c r="F2213" t="s">
        <v>48</v>
      </c>
      <c r="G2213">
        <v>-444.5163</v>
      </c>
      <c r="H2213" s="1">
        <v>7.7353679999999996E-7</v>
      </c>
      <c r="I2213">
        <v>286.74450000000002</v>
      </c>
      <c r="J2213">
        <v>-395.72739999999999</v>
      </c>
      <c r="K2213">
        <v>1.1211169999999999</v>
      </c>
      <c r="L2213">
        <v>284.73140000000001</v>
      </c>
      <c r="M2213">
        <v>-0.99991799999999997</v>
      </c>
      <c r="N2213">
        <v>-1.1832000000000001E-2</v>
      </c>
      <c r="O2213">
        <v>-4.8990049999999997E-3</v>
      </c>
      <c r="P2213">
        <v>-0.98267439999999995</v>
      </c>
      <c r="Q2213">
        <v>0.1831015</v>
      </c>
      <c r="R2213">
        <v>2.8718569999999999E-2</v>
      </c>
      <c r="S2213">
        <v>-3.062103</v>
      </c>
      <c r="T2213">
        <v>-6.9865940000000001E-2</v>
      </c>
      <c r="U2213">
        <v>0.12533569999999999</v>
      </c>
      <c r="V2213">
        <v>3.3491189999999997E-2</v>
      </c>
      <c r="W2213">
        <v>0.19472120000000001</v>
      </c>
      <c r="X2213">
        <v>0.98028669999999996</v>
      </c>
      <c r="Y2213">
        <v>4.5773389999999997E-2</v>
      </c>
      <c r="Z2213">
        <v>8.4665619999999995E-4</v>
      </c>
      <c r="AA2213">
        <v>0.99895149999999999</v>
      </c>
      <c r="AB2213">
        <v>35</v>
      </c>
      <c r="AC2213">
        <v>-48.788899999999998</v>
      </c>
      <c r="AD2213">
        <v>-1.1211162264632</v>
      </c>
      <c r="AE2213">
        <v>2.0131000000000001</v>
      </c>
      <c r="AF2213">
        <v>2.25092309963166</v>
      </c>
      <c r="AG2213">
        <v>-1.1211162264632</v>
      </c>
      <c r="AH2213">
        <v>48.752752364364703</v>
      </c>
      <c r="AI2213">
        <v>91.315937798095504</v>
      </c>
      <c r="AJ2213">
        <v>87.356521131647099</v>
      </c>
      <c r="AK2213">
        <v>48.817562613210796</v>
      </c>
      <c r="AL2213">
        <v>78.771562775337799</v>
      </c>
      <c r="AM2213">
        <v>88.043268604806102</v>
      </c>
      <c r="AN2213">
        <v>1.0000000098669699</v>
      </c>
    </row>
    <row r="2214" spans="1:40" x14ac:dyDescent="0.25">
      <c r="A2214" t="str">
        <f>"20190303162822349"</f>
        <v>20190303162822349</v>
      </c>
      <c r="B2214" t="str">
        <f>"1551601702333680"</f>
        <v>1551601702333680</v>
      </c>
      <c r="C2214" t="s">
        <v>40</v>
      </c>
      <c r="D2214">
        <v>4.3040909999999997</v>
      </c>
      <c r="E2214">
        <v>0.50651279999999999</v>
      </c>
      <c r="F2214" t="s">
        <v>48</v>
      </c>
      <c r="G2214">
        <v>-445.7765</v>
      </c>
      <c r="H2214" s="1">
        <v>1.4415070000000001E-6</v>
      </c>
      <c r="I2214">
        <v>286.80509999999998</v>
      </c>
      <c r="J2214">
        <v>-395.91699999999997</v>
      </c>
      <c r="K2214">
        <v>1.1211169999999999</v>
      </c>
      <c r="L2214">
        <v>284.73050000000001</v>
      </c>
      <c r="M2214">
        <v>-0.99991819999999998</v>
      </c>
      <c r="N2214">
        <v>-1.180402E-2</v>
      </c>
      <c r="O2214">
        <v>-4.9571329999999999E-3</v>
      </c>
      <c r="P2214">
        <v>-0.98268690000000003</v>
      </c>
      <c r="Q2214">
        <v>0.18306510000000001</v>
      </c>
      <c r="R2214">
        <v>2.8522120000000001E-2</v>
      </c>
      <c r="S2214">
        <v>-3.0619510000000001</v>
      </c>
      <c r="T2214">
        <v>-6.8588609999999994E-2</v>
      </c>
      <c r="U2214">
        <v>0.12686159999999999</v>
      </c>
      <c r="V2214">
        <v>3.3351739999999998E-2</v>
      </c>
      <c r="W2214">
        <v>0.1946571</v>
      </c>
      <c r="X2214">
        <v>0.98030419999999996</v>
      </c>
      <c r="Y2214">
        <v>4.633081E-2</v>
      </c>
      <c r="Z2214">
        <v>8.4474470000000005E-4</v>
      </c>
      <c r="AA2214">
        <v>0.99892579999999997</v>
      </c>
      <c r="AB2214">
        <v>35</v>
      </c>
      <c r="AC2214">
        <v>-49.859499999999997</v>
      </c>
      <c r="AD2214">
        <v>-1.1211155584929999</v>
      </c>
      <c r="AE2214">
        <v>2.07459999999997</v>
      </c>
      <c r="AF2214">
        <v>2.3205806093061101</v>
      </c>
      <c r="AG2214">
        <v>-1.1211155584929999</v>
      </c>
      <c r="AH2214">
        <v>49.823455447574801</v>
      </c>
      <c r="AI2214">
        <v>91.287643055529799</v>
      </c>
      <c r="AJ2214">
        <v>87.333315115144899</v>
      </c>
      <c r="AK2214">
        <v>49.890066217597401</v>
      </c>
      <c r="AL2214">
        <v>78.775307252349094</v>
      </c>
      <c r="AM2214">
        <v>88.051444471553097</v>
      </c>
      <c r="AN2214">
        <v>1.00000002483953</v>
      </c>
    </row>
    <row r="2215" spans="1:40" x14ac:dyDescent="0.25">
      <c r="A2215" t="str">
        <f>"20190303162822370"</f>
        <v>20190303162822370</v>
      </c>
      <c r="B2215" t="str">
        <f>"1551601702363926"</f>
        <v>1551601702363926</v>
      </c>
      <c r="C2215" t="s">
        <v>40</v>
      </c>
      <c r="D2215">
        <v>4.3236739999999996</v>
      </c>
      <c r="E2215">
        <v>0.50687879999999996</v>
      </c>
      <c r="F2215" t="s">
        <v>48</v>
      </c>
      <c r="G2215">
        <v>-446.59699999999998</v>
      </c>
      <c r="H2215" s="1">
        <v>1.8768030000000001E-6</v>
      </c>
      <c r="I2215">
        <v>286.83589999999998</v>
      </c>
      <c r="J2215">
        <v>-396.26150000000001</v>
      </c>
      <c r="K2215">
        <v>1.1211120000000001</v>
      </c>
      <c r="L2215">
        <v>284.7287</v>
      </c>
      <c r="M2215">
        <v>-0.99991810000000003</v>
      </c>
      <c r="N2215">
        <v>-1.1756819999999999E-2</v>
      </c>
      <c r="O2215">
        <v>-5.0624759999999998E-3</v>
      </c>
      <c r="P2215">
        <v>-0.98269119999999999</v>
      </c>
      <c r="Q2215">
        <v>0.18305840000000001</v>
      </c>
      <c r="R2215">
        <v>2.8422840000000001E-2</v>
      </c>
      <c r="S2215">
        <v>-3.0617679999999998</v>
      </c>
      <c r="T2215">
        <v>-6.7730670000000007E-2</v>
      </c>
      <c r="U2215">
        <v>0.12719730000000001</v>
      </c>
      <c r="V2215">
        <v>3.3355889999999999E-2</v>
      </c>
      <c r="W2215">
        <v>0.19460430000000001</v>
      </c>
      <c r="X2215">
        <v>0.98031449999999998</v>
      </c>
      <c r="Y2215">
        <v>4.654817E-2</v>
      </c>
      <c r="Z2215">
        <v>8.4081869999999895E-4</v>
      </c>
      <c r="AA2215">
        <v>0.99891569999999996</v>
      </c>
      <c r="AB2215">
        <v>35</v>
      </c>
      <c r="AC2215">
        <v>-50.335499999999897</v>
      </c>
      <c r="AD2215">
        <v>-1.121110123197</v>
      </c>
      <c r="AE2215">
        <v>2.10719999999997</v>
      </c>
      <c r="AF2215">
        <v>2.3608437521211401</v>
      </c>
      <c r="AG2215">
        <v>-1.121110123197</v>
      </c>
      <c r="AH2215">
        <v>50.299277918084599</v>
      </c>
      <c r="AI2215">
        <v>91.275438629421799</v>
      </c>
      <c r="AJ2215">
        <v>87.312741057999105</v>
      </c>
      <c r="AK2215">
        <v>50.367130454404197</v>
      </c>
      <c r="AL2215">
        <v>78.778390984910999</v>
      </c>
      <c r="AM2215">
        <v>88.051222657124697</v>
      </c>
      <c r="AN2215">
        <v>0.99999998394321599</v>
      </c>
    </row>
    <row r="2216" spans="1:40" x14ac:dyDescent="0.25">
      <c r="A2216" t="str">
        <f>"20190303162822385"</f>
        <v>20190303162822385</v>
      </c>
      <c r="B2216" t="str">
        <f>"1551601702373685"</f>
        <v>1551601702373685</v>
      </c>
      <c r="C2216" t="s">
        <v>40</v>
      </c>
      <c r="D2216">
        <v>4.3271569999999997</v>
      </c>
      <c r="E2216">
        <v>0.50701719999999995</v>
      </c>
      <c r="F2216" t="s">
        <v>48</v>
      </c>
      <c r="G2216">
        <v>-448.11829999999998</v>
      </c>
      <c r="H2216" s="1">
        <v>2.6819749999999998E-6</v>
      </c>
      <c r="I2216">
        <v>286.93599999999998</v>
      </c>
      <c r="J2216">
        <v>-396.48180000000002</v>
      </c>
      <c r="K2216">
        <v>1.121113</v>
      </c>
      <c r="L2216">
        <v>284.72750000000002</v>
      </c>
      <c r="M2216">
        <v>-0.99991819999999998</v>
      </c>
      <c r="N2216">
        <v>-1.17287E-2</v>
      </c>
      <c r="O2216">
        <v>-5.130023E-3</v>
      </c>
      <c r="P2216">
        <v>-0.98274709999999998</v>
      </c>
      <c r="Q2216">
        <v>0.18277160000000001</v>
      </c>
      <c r="R2216">
        <v>2.8333230000000001E-2</v>
      </c>
      <c r="S2216">
        <v>-3.0613709999999998</v>
      </c>
      <c r="T2216">
        <v>-6.6184759999999995E-2</v>
      </c>
      <c r="U2216">
        <v>0.13031010000000001</v>
      </c>
      <c r="V2216">
        <v>3.3332720000000003E-2</v>
      </c>
      <c r="W2216">
        <v>0.19429089999999999</v>
      </c>
      <c r="X2216">
        <v>0.98037739999999995</v>
      </c>
      <c r="Y2216">
        <v>4.7635179999999999E-2</v>
      </c>
      <c r="Z2216">
        <v>8.448714E-4</v>
      </c>
      <c r="AA2216">
        <v>0.99886450000000004</v>
      </c>
      <c r="AB2216">
        <v>35</v>
      </c>
      <c r="AC2216">
        <v>-51.636499999999899</v>
      </c>
      <c r="AD2216">
        <v>-1.1211103180249999</v>
      </c>
      <c r="AE2216">
        <v>2.2084999999999502</v>
      </c>
      <c r="AF2216">
        <v>2.47222229133535</v>
      </c>
      <c r="AG2216">
        <v>-1.1211103180249999</v>
      </c>
      <c r="AH2216">
        <v>51.600210443939602</v>
      </c>
      <c r="AI2216">
        <v>91.243235658646796</v>
      </c>
      <c r="AJ2216">
        <v>87.256994338412994</v>
      </c>
      <c r="AK2216">
        <v>51.671563642508502</v>
      </c>
      <c r="AL2216">
        <v>78.796696336372804</v>
      </c>
      <c r="AM2216">
        <v>88.052700142099496</v>
      </c>
      <c r="AN2216">
        <v>0.99999993523808195</v>
      </c>
    </row>
    <row r="2217" spans="1:40" x14ac:dyDescent="0.25">
      <c r="A2217" t="str">
        <f>"20190303162822403"</f>
        <v>20190303162822403</v>
      </c>
      <c r="B2217" t="str">
        <f>"1551601702393205"</f>
        <v>1551601702393205</v>
      </c>
      <c r="C2217" t="s">
        <v>40</v>
      </c>
      <c r="D2217">
        <v>4.3296010000000003</v>
      </c>
      <c r="E2217">
        <v>0.5074168</v>
      </c>
      <c r="F2217" t="s">
        <v>48</v>
      </c>
      <c r="G2217">
        <v>-447.71140000000003</v>
      </c>
      <c r="H2217" s="1">
        <v>2.466268E-6</v>
      </c>
      <c r="I2217">
        <v>286.91739999999999</v>
      </c>
      <c r="J2217">
        <v>-396.78320000000002</v>
      </c>
      <c r="K2217">
        <v>1.121113</v>
      </c>
      <c r="L2217">
        <v>284.72590000000002</v>
      </c>
      <c r="M2217">
        <v>-0.99991799999999997</v>
      </c>
      <c r="N2217">
        <v>-1.1693830000000001E-2</v>
      </c>
      <c r="O2217">
        <v>-5.2224419999999999E-3</v>
      </c>
      <c r="P2217">
        <v>-0.98264739999999995</v>
      </c>
      <c r="Q2217">
        <v>0.18327779999999999</v>
      </c>
      <c r="R2217">
        <v>2.852261E-2</v>
      </c>
      <c r="S2217">
        <v>-3.0613100000000002</v>
      </c>
      <c r="T2217">
        <v>-6.6993830000000004E-2</v>
      </c>
      <c r="U2217">
        <v>0.13085939999999999</v>
      </c>
      <c r="V2217">
        <v>3.3612169999999997E-2</v>
      </c>
      <c r="W2217">
        <v>0.19476189999999999</v>
      </c>
      <c r="X2217">
        <v>0.98027439999999999</v>
      </c>
      <c r="Y2217">
        <v>4.7906810000000001E-2</v>
      </c>
      <c r="Z2217">
        <v>8.5737659999999996E-4</v>
      </c>
      <c r="AA2217">
        <v>0.99885139999999994</v>
      </c>
      <c r="AB2217">
        <v>35</v>
      </c>
      <c r="AC2217">
        <v>-50.928199999999997</v>
      </c>
      <c r="AD2217">
        <v>-1.121110533732</v>
      </c>
      <c r="AE2217">
        <v>2.19149999999996</v>
      </c>
      <c r="AF2217">
        <v>2.45626976487562</v>
      </c>
      <c r="AG2217">
        <v>-1.121110533732</v>
      </c>
      <c r="AH2217">
        <v>50.891443400371202</v>
      </c>
      <c r="AI2217">
        <v>91.260523552915103</v>
      </c>
      <c r="AJ2217">
        <v>87.236769992567901</v>
      </c>
      <c r="AK2217">
        <v>50.963017584910297</v>
      </c>
      <c r="AL2217">
        <v>78.769184496231901</v>
      </c>
      <c r="AM2217">
        <v>88.036181220157403</v>
      </c>
      <c r="AN2217">
        <v>0.99999993747953697</v>
      </c>
    </row>
    <row r="2218" spans="1:40" x14ac:dyDescent="0.25">
      <c r="A2218" t="str">
        <f>"20190303162822426"</f>
        <v>20190303162822426</v>
      </c>
      <c r="B2218" t="str">
        <f>"1551601702413702"</f>
        <v>1551601702413702</v>
      </c>
      <c r="C2218" t="s">
        <v>40</v>
      </c>
      <c r="D2218">
        <v>4.3475349999999997</v>
      </c>
      <c r="E2218">
        <v>0.50774909999999995</v>
      </c>
      <c r="F2218" t="s">
        <v>48</v>
      </c>
      <c r="G2218">
        <v>-450.27910000000003</v>
      </c>
      <c r="H2218" s="1">
        <v>-1.496088E-6</v>
      </c>
      <c r="I2218">
        <v>287.08269999999999</v>
      </c>
      <c r="J2218">
        <v>-397.14330000000001</v>
      </c>
      <c r="K2218">
        <v>1.1211089999999999</v>
      </c>
      <c r="L2218">
        <v>284.72390000000001</v>
      </c>
      <c r="M2218">
        <v>-0.99991779999999997</v>
      </c>
      <c r="N2218">
        <v>-1.1656720000000001E-2</v>
      </c>
      <c r="O2218">
        <v>-5.3329700000000002E-3</v>
      </c>
      <c r="P2218">
        <v>-0.98262890000000003</v>
      </c>
      <c r="Q2218">
        <v>0.18343960000000001</v>
      </c>
      <c r="R2218">
        <v>2.811278E-2</v>
      </c>
      <c r="S2218">
        <v>-3.061035</v>
      </c>
      <c r="T2218">
        <v>-6.4150209999999999E-2</v>
      </c>
      <c r="U2218">
        <v>0.13485720000000001</v>
      </c>
      <c r="V2218">
        <v>3.3310600000000003E-2</v>
      </c>
      <c r="W2218">
        <v>0.1948868</v>
      </c>
      <c r="X2218">
        <v>0.98026000000000002</v>
      </c>
      <c r="Y2218">
        <v>4.9323850000000002E-2</v>
      </c>
      <c r="Z2218">
        <v>8.5377640000000002E-4</v>
      </c>
      <c r="AA2218">
        <v>0.99878250000000002</v>
      </c>
      <c r="AB2218">
        <v>35</v>
      </c>
      <c r="AC2218">
        <v>-53.135800000000003</v>
      </c>
      <c r="AD2218">
        <v>-1.1211104960879901</v>
      </c>
      <c r="AE2218">
        <v>2.3587999999999698</v>
      </c>
      <c r="AF2218">
        <v>2.6409839791677499</v>
      </c>
      <c r="AG2218">
        <v>-1.1211104960879901</v>
      </c>
      <c r="AH2218">
        <v>53.098872676297297</v>
      </c>
      <c r="AI2218">
        <v>91.208049908231004</v>
      </c>
      <c r="AJ2218">
        <v>87.152620425299602</v>
      </c>
      <c r="AK2218">
        <v>53.176328987776998</v>
      </c>
      <c r="AL2218">
        <v>78.761889890226101</v>
      </c>
      <c r="AM2218">
        <v>88.053758517331602</v>
      </c>
      <c r="AN2218">
        <v>1.00000006424329</v>
      </c>
    </row>
    <row r="2219" spans="1:40" x14ac:dyDescent="0.25">
      <c r="A2219" t="str">
        <f>"20190303162822440"</f>
        <v>20190303162822440</v>
      </c>
      <c r="B2219" t="str">
        <f>"1551601702433222"</f>
        <v>1551601702433222</v>
      </c>
      <c r="C2219" t="s">
        <v>40</v>
      </c>
      <c r="D2219">
        <v>4.3770730000000002</v>
      </c>
      <c r="E2219">
        <v>0.50783750000000005</v>
      </c>
      <c r="F2219" t="s">
        <v>48</v>
      </c>
      <c r="G2219">
        <v>-451.20209999999997</v>
      </c>
      <c r="H2219" s="1">
        <v>-1.0071859999999999E-6</v>
      </c>
      <c r="I2219">
        <v>287.13470000000001</v>
      </c>
      <c r="J2219">
        <v>-397.36</v>
      </c>
      <c r="K2219">
        <v>1.1211059999999999</v>
      </c>
      <c r="L2219">
        <v>284.72269999999997</v>
      </c>
      <c r="M2219">
        <v>-0.99991770000000002</v>
      </c>
      <c r="N2219">
        <v>-1.16366E-2</v>
      </c>
      <c r="O2219">
        <v>-5.3998450000000003E-3</v>
      </c>
      <c r="P2219">
        <v>-0.982626</v>
      </c>
      <c r="Q2219">
        <v>0.18348629999999999</v>
      </c>
      <c r="R2219">
        <v>2.790844E-2</v>
      </c>
      <c r="S2219">
        <v>-3.0609739999999999</v>
      </c>
      <c r="T2219">
        <v>-6.3480729999999999E-2</v>
      </c>
      <c r="U2219">
        <v>0.13650509999999999</v>
      </c>
      <c r="V2219">
        <v>3.3171899999999997E-2</v>
      </c>
      <c r="W2219">
        <v>0.1949139</v>
      </c>
      <c r="X2219">
        <v>0.9802592</v>
      </c>
      <c r="Y2219">
        <v>4.9928279999999998E-2</v>
      </c>
      <c r="Z2219">
        <v>8.5723169999999999E-4</v>
      </c>
      <c r="AA2219">
        <v>0.99875239999999998</v>
      </c>
      <c r="AB2219">
        <v>35</v>
      </c>
      <c r="AC2219">
        <v>-53.842099999999903</v>
      </c>
      <c r="AD2219">
        <v>-1.1211070071860001</v>
      </c>
      <c r="AE2219">
        <v>2.4120000000000301</v>
      </c>
      <c r="AF2219">
        <v>2.70155457193562</v>
      </c>
      <c r="AG2219">
        <v>-1.1211070071860001</v>
      </c>
      <c r="AH2219">
        <v>53.805008577735599</v>
      </c>
      <c r="AI2219">
        <v>91.192168280071002</v>
      </c>
      <c r="AJ2219">
        <v>87.125587383418903</v>
      </c>
      <c r="AK2219">
        <v>53.884452545023599</v>
      </c>
      <c r="AL2219">
        <v>78.760305529885798</v>
      </c>
      <c r="AM2219">
        <v>88.061854580973602</v>
      </c>
      <c r="AN2219">
        <v>0.99999995127372798</v>
      </c>
    </row>
    <row r="2220" spans="1:40" x14ac:dyDescent="0.25">
      <c r="A2220" t="str">
        <f>"20190303162822460"</f>
        <v>20190303162822460</v>
      </c>
      <c r="B2220" t="str">
        <f>"1551601702453717"</f>
        <v>1551601702453717</v>
      </c>
      <c r="C2220" t="s">
        <v>40</v>
      </c>
      <c r="D2220">
        <v>4.3756870000000001</v>
      </c>
      <c r="E2220">
        <v>0.50788959999999905</v>
      </c>
      <c r="F2220" t="s">
        <v>48</v>
      </c>
      <c r="G2220">
        <v>-451.86799999999999</v>
      </c>
      <c r="H2220" s="1">
        <v>-6.5382129999999997E-7</v>
      </c>
      <c r="I2220">
        <v>287.15789999999998</v>
      </c>
      <c r="J2220">
        <v>-397.68049999999999</v>
      </c>
      <c r="K2220">
        <v>1.121103</v>
      </c>
      <c r="L2220">
        <v>284.72089999999997</v>
      </c>
      <c r="M2220">
        <v>-0.99991759999999996</v>
      </c>
      <c r="N2220">
        <v>-1.160955E-2</v>
      </c>
      <c r="O2220">
        <v>-5.4983920000000004E-3</v>
      </c>
      <c r="P2220">
        <v>-0.98280469999999998</v>
      </c>
      <c r="Q2220">
        <v>0.1825331</v>
      </c>
      <c r="R2220">
        <v>2.7872919999999999E-2</v>
      </c>
      <c r="S2220">
        <v>-3.0609130000000002</v>
      </c>
      <c r="T2220">
        <v>-6.2956090000000006E-2</v>
      </c>
      <c r="U2220">
        <v>0.13674929999999999</v>
      </c>
      <c r="V2220">
        <v>3.3234380000000001E-2</v>
      </c>
      <c r="W2220">
        <v>0.19393630000000001</v>
      </c>
      <c r="X2220">
        <v>0.98045099999999996</v>
      </c>
      <c r="Y2220">
        <v>5.0107279999999997E-2</v>
      </c>
      <c r="Z2220">
        <v>8.552748E-4</v>
      </c>
      <c r="AA2220">
        <v>0.99874350000000001</v>
      </c>
      <c r="AB2220">
        <v>35</v>
      </c>
      <c r="AC2220">
        <v>-54.1875</v>
      </c>
      <c r="AD2220">
        <v>-1.1211036538213</v>
      </c>
      <c r="AE2220">
        <v>2.43700000000001</v>
      </c>
      <c r="AF2220">
        <v>2.7337595005402502</v>
      </c>
      <c r="AG2220">
        <v>-1.1211036538213</v>
      </c>
      <c r="AH2220">
        <v>54.150148174059801</v>
      </c>
      <c r="AI2220">
        <v>91.184551988059894</v>
      </c>
      <c r="AJ2220">
        <v>87.109887615852998</v>
      </c>
      <c r="AK2220">
        <v>54.230700361345498</v>
      </c>
      <c r="AL2220">
        <v>78.817407961467097</v>
      </c>
      <c r="AM2220">
        <v>88.058586404792905</v>
      </c>
      <c r="AN2220">
        <v>0.99999998793633704</v>
      </c>
    </row>
    <row r="2221" spans="1:40" x14ac:dyDescent="0.25">
      <c r="A2221" t="str">
        <f>"20190303162822482"</f>
        <v>20190303162822482</v>
      </c>
      <c r="B2221" t="str">
        <f>"1551601702473239"</f>
        <v>1551601702473239</v>
      </c>
      <c r="C2221" t="s">
        <v>40</v>
      </c>
      <c r="D2221">
        <v>4.446364</v>
      </c>
      <c r="E2221">
        <v>0.51291450000000005</v>
      </c>
      <c r="F2221" t="s">
        <v>48</v>
      </c>
      <c r="G2221">
        <v>-448.32249999999999</v>
      </c>
      <c r="H2221" s="1">
        <v>2.7884689999999998E-6</v>
      </c>
      <c r="I2221">
        <v>286.9862</v>
      </c>
      <c r="J2221">
        <v>-398.03339999999997</v>
      </c>
      <c r="K2221">
        <v>1.121105</v>
      </c>
      <c r="L2221">
        <v>284.71890000000002</v>
      </c>
      <c r="M2221">
        <v>-0.99991730000000001</v>
      </c>
      <c r="N2221">
        <v>-1.158327E-2</v>
      </c>
      <c r="O2221">
        <v>-5.6067189999999996E-3</v>
      </c>
      <c r="P2221">
        <v>-0.98289510000000002</v>
      </c>
      <c r="Q2221">
        <v>0.18206230000000001</v>
      </c>
      <c r="R2221">
        <v>2.776764E-2</v>
      </c>
      <c r="S2221">
        <v>-3.061188</v>
      </c>
      <c r="T2221">
        <v>-6.7767740000000007E-2</v>
      </c>
      <c r="U2221">
        <v>0.13693239999999901</v>
      </c>
      <c r="V2221">
        <v>3.3236120000000001E-2</v>
      </c>
      <c r="W2221">
        <v>0.19344049999999999</v>
      </c>
      <c r="X2221">
        <v>0.98054889999999995</v>
      </c>
      <c r="Y2221">
        <v>5.0268840000000002E-2</v>
      </c>
      <c r="Z2221">
        <v>9.0655900000000003E-4</v>
      </c>
      <c r="AA2221">
        <v>0.99873529999999999</v>
      </c>
      <c r="AB2221">
        <v>35</v>
      </c>
      <c r="AC2221">
        <v>-50.289099999999998</v>
      </c>
      <c r="AD2221">
        <v>-1.1211022115310001</v>
      </c>
      <c r="AE2221">
        <v>2.2672999999999699</v>
      </c>
      <c r="AF2221">
        <v>2.54797636231172</v>
      </c>
      <c r="AG2221">
        <v>-1.1211022115310001</v>
      </c>
      <c r="AH2221">
        <v>50.250673359833399</v>
      </c>
      <c r="AI2221">
        <v>91.276428595070797</v>
      </c>
      <c r="AJ2221">
        <v>87.097285242850603</v>
      </c>
      <c r="AK2221">
        <v>50.3277182756011</v>
      </c>
      <c r="AL2221">
        <v>78.846363742630501</v>
      </c>
      <c r="AM2221">
        <v>88.058678535549902</v>
      </c>
      <c r="AN2221">
        <v>1.00000000600205</v>
      </c>
    </row>
    <row r="2222" spans="1:40" x14ac:dyDescent="0.25">
      <c r="A2222" t="str">
        <f>"20190303162822505"</f>
        <v>20190303162822505</v>
      </c>
      <c r="B2222" t="str">
        <f>"1551601702493733"</f>
        <v>1551601702493733</v>
      </c>
      <c r="C2222" t="s">
        <v>40</v>
      </c>
      <c r="D2222">
        <v>4.4776639999999999</v>
      </c>
      <c r="E2222">
        <v>0.52260799999999996</v>
      </c>
      <c r="F2222" t="s">
        <v>44</v>
      </c>
      <c r="G2222">
        <v>-398.78379999999999</v>
      </c>
      <c r="H2222">
        <v>1.053131</v>
      </c>
      <c r="I2222">
        <v>284.76089999999999</v>
      </c>
      <c r="J2222">
        <v>-398.3879</v>
      </c>
      <c r="K2222">
        <v>1.1211100000000001</v>
      </c>
      <c r="L2222">
        <v>284.71679999999998</v>
      </c>
      <c r="M2222">
        <v>-0.9999169</v>
      </c>
      <c r="N2222">
        <v>-1.156518E-2</v>
      </c>
      <c r="O2222">
        <v>-5.7158080000000002E-3</v>
      </c>
      <c r="P2222">
        <v>-0.98280239999999996</v>
      </c>
      <c r="Q2222">
        <v>0.18247679999999999</v>
      </c>
      <c r="R2222">
        <v>2.832088E-2</v>
      </c>
      <c r="S2222">
        <v>-3.099396</v>
      </c>
      <c r="T2222">
        <v>-0.2808948</v>
      </c>
      <c r="U2222">
        <v>0.17269899999999999</v>
      </c>
      <c r="V2222">
        <v>3.3895759999999997E-2</v>
      </c>
      <c r="W2222">
        <v>0.19383619999999999</v>
      </c>
      <c r="X2222">
        <v>0.98044819999999999</v>
      </c>
      <c r="Y2222">
        <v>6.1041100000000001E-2</v>
      </c>
      <c r="Z2222">
        <v>3.5629759999999998E-3</v>
      </c>
      <c r="AA2222">
        <v>0.99812889999999999</v>
      </c>
      <c r="AB2222">
        <v>36</v>
      </c>
      <c r="AC2222">
        <v>-0.39589999999998299</v>
      </c>
      <c r="AD2222">
        <v>-6.7978999999999998E-2</v>
      </c>
      <c r="AE2222">
        <v>4.4100000000014399E-2</v>
      </c>
      <c r="AF2222">
        <v>4.50503572886417E-2</v>
      </c>
      <c r="AG2222">
        <v>-6.7978999999999998E-2</v>
      </c>
      <c r="AH2222">
        <v>0.384445579492522</v>
      </c>
      <c r="AI2222">
        <v>99.960808511077502</v>
      </c>
      <c r="AJ2222">
        <v>83.316409203166103</v>
      </c>
      <c r="AK2222">
        <v>0.393000105247028</v>
      </c>
      <c r="AL2222">
        <v>78.823254728011605</v>
      </c>
      <c r="AM2222">
        <v>88.019976151746803</v>
      </c>
      <c r="AN2222">
        <v>1.0000000339298201</v>
      </c>
    </row>
    <row r="2223" spans="1:40" x14ac:dyDescent="0.25">
      <c r="A2223" t="str">
        <f>"20190303162822530"</f>
        <v>20190303162822530</v>
      </c>
      <c r="B2223" t="str">
        <f>"1551601702523989"</f>
        <v>1551601702523989</v>
      </c>
      <c r="C2223" t="s">
        <v>40</v>
      </c>
      <c r="D2223">
        <v>4.4978540000000002</v>
      </c>
      <c r="E2223">
        <v>0.52225650000000001</v>
      </c>
      <c r="F2223" t="s">
        <v>44</v>
      </c>
      <c r="G2223">
        <v>-399.34210000000002</v>
      </c>
      <c r="H2223">
        <v>0.90652279999999996</v>
      </c>
      <c r="I2223">
        <v>284.79000000000002</v>
      </c>
      <c r="J2223">
        <v>-398.78919999999999</v>
      </c>
      <c r="K2223">
        <v>1.121102</v>
      </c>
      <c r="L2223">
        <v>284.71429999999998</v>
      </c>
      <c r="M2223">
        <v>-0.99991629999999998</v>
      </c>
      <c r="N2223">
        <v>-1.1553310000000001E-2</v>
      </c>
      <c r="O2223">
        <v>-5.8389999999999996E-3</v>
      </c>
      <c r="P2223">
        <v>-0.98272910000000002</v>
      </c>
      <c r="Q2223">
        <v>0.18275959999999999</v>
      </c>
      <c r="R2223">
        <v>2.9031990000000001E-2</v>
      </c>
      <c r="S2223">
        <v>-3.178131</v>
      </c>
      <c r="T2223">
        <v>-0.71478299999999995</v>
      </c>
      <c r="U2223">
        <v>0.24328610000000001</v>
      </c>
      <c r="V2223">
        <v>3.472737E-2</v>
      </c>
      <c r="W2223">
        <v>0.19410659999999999</v>
      </c>
      <c r="X2223">
        <v>0.98036559999999995</v>
      </c>
      <c r="Y2223">
        <v>7.9926999999999998E-2</v>
      </c>
      <c r="Z2223">
        <v>1.056175E-2</v>
      </c>
      <c r="AA2223">
        <v>0.99674479999999999</v>
      </c>
      <c r="AB2223">
        <v>36</v>
      </c>
      <c r="AC2223">
        <v>-0.55290000000002204</v>
      </c>
      <c r="AD2223">
        <v>-0.2145792</v>
      </c>
      <c r="AE2223">
        <v>7.5700000000040193E-2</v>
      </c>
      <c r="AF2223">
        <v>6.8761096509042094E-2</v>
      </c>
      <c r="AG2223">
        <v>-0.2145792</v>
      </c>
      <c r="AH2223">
        <v>0.48129054353014</v>
      </c>
      <c r="AI2223">
        <v>113.81473003316999</v>
      </c>
      <c r="AJ2223">
        <v>81.869278787289105</v>
      </c>
      <c r="AK2223">
        <v>0.53142535577191297</v>
      </c>
      <c r="AL2223">
        <v>78.807462025155104</v>
      </c>
      <c r="AM2223">
        <v>87.971266907723603</v>
      </c>
      <c r="AN2223">
        <v>1.00000003602701</v>
      </c>
    </row>
    <row r="2224" spans="1:40" x14ac:dyDescent="0.25">
      <c r="A2224" t="str">
        <f>"20190303162822550"</f>
        <v>20190303162822550</v>
      </c>
      <c r="B2224" t="str">
        <f>"1551601702543509"</f>
        <v>1551601702543509</v>
      </c>
      <c r="C2224" t="s">
        <v>40</v>
      </c>
      <c r="D2224">
        <v>4.5754590000000004</v>
      </c>
      <c r="E2224">
        <v>0.52159270000000002</v>
      </c>
      <c r="F2224" t="s">
        <v>44</v>
      </c>
      <c r="G2224">
        <v>-399.64339999999999</v>
      </c>
      <c r="H2224">
        <v>0.86596659999999903</v>
      </c>
      <c r="I2224">
        <v>284.77809999999999</v>
      </c>
      <c r="J2224">
        <v>-399.10739999999998</v>
      </c>
      <c r="K2224">
        <v>1.1210990000000001</v>
      </c>
      <c r="L2224">
        <v>284.71230000000003</v>
      </c>
      <c r="M2224">
        <v>-0.99991580000000002</v>
      </c>
      <c r="N2224">
        <v>-1.154698E-2</v>
      </c>
      <c r="O2224">
        <v>-5.9371869999999896E-3</v>
      </c>
      <c r="P2224">
        <v>-0.98279899999999998</v>
      </c>
      <c r="Q2224">
        <v>0.182336</v>
      </c>
      <c r="R2224">
        <v>2.9326439999999999E-2</v>
      </c>
      <c r="S2224">
        <v>-3.2247620000000001</v>
      </c>
      <c r="T2224">
        <v>-0.96319219999999905</v>
      </c>
      <c r="U2224">
        <v>0.23968510000000001</v>
      </c>
      <c r="V2224">
        <v>3.511885E-2</v>
      </c>
      <c r="W2224">
        <v>0.19367770000000001</v>
      </c>
      <c r="X2224">
        <v>0.98043639999999999</v>
      </c>
      <c r="Y2224">
        <v>7.6353690000000002E-2</v>
      </c>
      <c r="Z2224">
        <v>1.3262370000000001E-2</v>
      </c>
      <c r="AA2224">
        <v>0.99699260000000001</v>
      </c>
      <c r="AB2224">
        <v>36</v>
      </c>
      <c r="AC2224">
        <v>-0.53600000000000103</v>
      </c>
      <c r="AD2224">
        <v>-0.25513239999999998</v>
      </c>
      <c r="AE2224">
        <v>6.5799999999967398E-2</v>
      </c>
      <c r="AF2224">
        <v>5.6393930446409703E-2</v>
      </c>
      <c r="AG2224">
        <v>-0.25513239999999998</v>
      </c>
      <c r="AH2224">
        <v>0.43786568687243799</v>
      </c>
      <c r="AI2224">
        <v>120.023594914599</v>
      </c>
      <c r="AJ2224">
        <v>82.661118538073296</v>
      </c>
      <c r="AK2224">
        <v>0.50990114400854802</v>
      </c>
      <c r="AL2224">
        <v>78.832510690400795</v>
      </c>
      <c r="AM2224">
        <v>87.948564553683397</v>
      </c>
      <c r="AN2224">
        <v>0.99999995977378497</v>
      </c>
    </row>
    <row r="2225" spans="1:40" x14ac:dyDescent="0.25">
      <c r="A2225" t="str">
        <f>"20190303162822571"</f>
        <v>20190303162822571</v>
      </c>
      <c r="B2225" t="str">
        <f>"1551601702564006"</f>
        <v>1551601702564006</v>
      </c>
      <c r="C2225" t="s">
        <v>40</v>
      </c>
      <c r="D2225">
        <v>4.6476670000000002</v>
      </c>
      <c r="E2225">
        <v>0.52143200000000001</v>
      </c>
      <c r="F2225" t="s">
        <v>44</v>
      </c>
      <c r="G2225">
        <v>-399.95620000000002</v>
      </c>
      <c r="H2225">
        <v>0.85258919999999905</v>
      </c>
      <c r="I2225">
        <v>284.77390000000003</v>
      </c>
      <c r="J2225">
        <v>-399.45049999999998</v>
      </c>
      <c r="K2225">
        <v>1.1211</v>
      </c>
      <c r="L2225">
        <v>284.71019999999999</v>
      </c>
      <c r="M2225">
        <v>-0.9999152</v>
      </c>
      <c r="N2225">
        <v>-1.154354E-2</v>
      </c>
      <c r="O2225">
        <v>-6.0432619999999998E-3</v>
      </c>
      <c r="P2225">
        <v>-0.98287360000000001</v>
      </c>
      <c r="Q2225">
        <v>0.18186250000000001</v>
      </c>
      <c r="R2225">
        <v>2.9763270000000001E-2</v>
      </c>
      <c r="S2225">
        <v>-3.235382</v>
      </c>
      <c r="T2225">
        <v>-1.0234570000000001</v>
      </c>
      <c r="U2225">
        <v>0.234375</v>
      </c>
      <c r="V2225">
        <v>3.5660240000000003E-2</v>
      </c>
      <c r="W2225">
        <v>0.19320190000000001</v>
      </c>
      <c r="X2225">
        <v>0.98051080000000002</v>
      </c>
      <c r="Y2225">
        <v>7.4258350000000001E-2</v>
      </c>
      <c r="Z2225">
        <v>1.3686810000000001E-2</v>
      </c>
      <c r="AA2225">
        <v>0.99714510000000001</v>
      </c>
      <c r="AB2225">
        <v>36</v>
      </c>
      <c r="AC2225">
        <v>-0.505700000000047</v>
      </c>
      <c r="AD2225">
        <v>-0.26851079999999999</v>
      </c>
      <c r="AE2225">
        <v>6.3700000000039794E-2</v>
      </c>
      <c r="AF2225">
        <v>5.2253507242987302E-2</v>
      </c>
      <c r="AG2225">
        <v>-0.26851079999999999</v>
      </c>
      <c r="AH2225">
        <v>0.395535209000272</v>
      </c>
      <c r="AI2225">
        <v>123.940825546563</v>
      </c>
      <c r="AJ2225">
        <v>82.474327592395397</v>
      </c>
      <c r="AK2225">
        <v>0.48091223762212698</v>
      </c>
      <c r="AL2225">
        <v>78.860297613141398</v>
      </c>
      <c r="AM2225">
        <v>87.917125319704894</v>
      </c>
      <c r="AN2225">
        <v>1.0000000278985499</v>
      </c>
    </row>
    <row r="2226" spans="1:40" x14ac:dyDescent="0.25">
      <c r="A2226" t="str">
        <f>"20190303162822594"</f>
        <v>20190303162822594</v>
      </c>
      <c r="B2226" t="str">
        <f>"1551601702583526"</f>
        <v>1551601702583526</v>
      </c>
      <c r="C2226" t="s">
        <v>40</v>
      </c>
      <c r="D2226">
        <v>4.5928579999999997</v>
      </c>
      <c r="E2226">
        <v>0.52153969999999905</v>
      </c>
      <c r="F2226" t="s">
        <v>44</v>
      </c>
      <c r="G2226">
        <v>-400.27449999999999</v>
      </c>
      <c r="H2226">
        <v>0.85312099999999902</v>
      </c>
      <c r="I2226">
        <v>284.77</v>
      </c>
      <c r="J2226">
        <v>-399.80450000000002</v>
      </c>
      <c r="K2226">
        <v>1.121105</v>
      </c>
      <c r="L2226">
        <v>284.7079</v>
      </c>
      <c r="M2226">
        <v>-0.99991450000000004</v>
      </c>
      <c r="N2226">
        <v>-1.154584E-2</v>
      </c>
      <c r="O2226">
        <v>-6.1525879999999996E-3</v>
      </c>
      <c r="P2226">
        <v>-0.98276379999999997</v>
      </c>
      <c r="Q2226">
        <v>0.18243300000000001</v>
      </c>
      <c r="R2226">
        <v>2.9895540000000002E-2</v>
      </c>
      <c r="S2226">
        <v>-3.240173</v>
      </c>
      <c r="T2226">
        <v>-1.0537350000000001</v>
      </c>
      <c r="U2226">
        <v>0.233429</v>
      </c>
      <c r="V2226">
        <v>3.5899239999999999E-2</v>
      </c>
      <c r="W2226">
        <v>0.1937731</v>
      </c>
      <c r="X2226">
        <v>0.98038939999999997</v>
      </c>
      <c r="Y2226">
        <v>7.377177E-2</v>
      </c>
      <c r="Z2226">
        <v>1.399679E-2</v>
      </c>
      <c r="AA2226">
        <v>0.99717690000000003</v>
      </c>
      <c r="AB2226">
        <v>36</v>
      </c>
      <c r="AC2226">
        <v>-0.46999999999997</v>
      </c>
      <c r="AD2226">
        <v>-0.267984</v>
      </c>
      <c r="AE2226">
        <v>6.2099999999986701E-2</v>
      </c>
      <c r="AF2226">
        <v>4.9253105723788798E-2</v>
      </c>
      <c r="AG2226">
        <v>-0.267984</v>
      </c>
      <c r="AH2226">
        <v>0.35589230385016601</v>
      </c>
      <c r="AI2226">
        <v>126.71862712266601</v>
      </c>
      <c r="AJ2226">
        <v>82.1206976826778</v>
      </c>
      <c r="AK2226">
        <v>0.44821939339927902</v>
      </c>
      <c r="AL2226">
        <v>78.826940401577204</v>
      </c>
      <c r="AM2226">
        <v>87.902918602595093</v>
      </c>
      <c r="AN2226">
        <v>1.0000000726742699</v>
      </c>
    </row>
    <row r="2227" spans="1:40" x14ac:dyDescent="0.25">
      <c r="A2227" t="str">
        <f>"20190303162822616"</f>
        <v>20190303162822616</v>
      </c>
      <c r="B2227" t="str">
        <f>"1551601702613782"</f>
        <v>1551601702613782</v>
      </c>
      <c r="C2227" t="s">
        <v>40</v>
      </c>
      <c r="D2227">
        <v>4.6315549999999996</v>
      </c>
      <c r="E2227">
        <v>0.52202999999999999</v>
      </c>
      <c r="F2227" t="s">
        <v>44</v>
      </c>
      <c r="G2227">
        <v>-400.59629999999999</v>
      </c>
      <c r="H2227">
        <v>0.86242960000000002</v>
      </c>
      <c r="I2227">
        <v>284.76499999999999</v>
      </c>
      <c r="J2227">
        <v>-400.16109999999998</v>
      </c>
      <c r="K2227">
        <v>1.121116</v>
      </c>
      <c r="L2227">
        <v>284.7056</v>
      </c>
      <c r="M2227">
        <v>-0.99991370000000002</v>
      </c>
      <c r="N2227">
        <v>-1.1552059999999999E-2</v>
      </c>
      <c r="O2227">
        <v>-6.2625340000000002E-3</v>
      </c>
      <c r="P2227">
        <v>-0.98257050000000001</v>
      </c>
      <c r="Q2227">
        <v>0.1834567</v>
      </c>
      <c r="R2227">
        <v>2.99852E-2</v>
      </c>
      <c r="S2227">
        <v>-3.2420960000000001</v>
      </c>
      <c r="T2227">
        <v>-1.059051</v>
      </c>
      <c r="U2227">
        <v>0.23312379999999999</v>
      </c>
      <c r="V2227">
        <v>3.6095429999999998E-2</v>
      </c>
      <c r="W2227">
        <v>0.19480069999999999</v>
      </c>
      <c r="X2227">
        <v>0.98017849999999995</v>
      </c>
      <c r="Y2227">
        <v>7.3707449999999994E-2</v>
      </c>
      <c r="Z2227">
        <v>1.4077930000000001E-2</v>
      </c>
      <c r="AA2227">
        <v>0.99718050000000003</v>
      </c>
      <c r="AB2227">
        <v>36</v>
      </c>
      <c r="AC2227">
        <v>-0.43520000000000802</v>
      </c>
      <c r="AD2227">
        <v>-0.25868639999999998</v>
      </c>
      <c r="AE2227">
        <v>5.93999999999823E-2</v>
      </c>
      <c r="AF2227">
        <v>4.6125437026352301E-2</v>
      </c>
      <c r="AG2227">
        <v>-0.25868639999999998</v>
      </c>
      <c r="AH2227">
        <v>0.32283955792665903</v>
      </c>
      <c r="AI2227">
        <v>128.42248843693699</v>
      </c>
      <c r="AJ2227">
        <v>81.868941029479203</v>
      </c>
      <c r="AK2227">
        <v>0.416259041521157</v>
      </c>
      <c r="AL2227">
        <v>78.766919202191204</v>
      </c>
      <c r="AM2227">
        <v>87.891015058749105</v>
      </c>
      <c r="AN2227">
        <v>1.0000000423248101</v>
      </c>
    </row>
    <row r="2228" spans="1:40" x14ac:dyDescent="0.25">
      <c r="A2228" t="str">
        <f>"20190303162822639"</f>
        <v>20190303162822639</v>
      </c>
      <c r="B2228" t="str">
        <f>"1551601702633301"</f>
        <v>1551601702633301</v>
      </c>
      <c r="C2228" t="s">
        <v>40</v>
      </c>
      <c r="D2228">
        <v>4.7495099999999999</v>
      </c>
      <c r="E2228">
        <v>0.52195079999999905</v>
      </c>
      <c r="F2228" t="s">
        <v>44</v>
      </c>
      <c r="G2228">
        <v>-400.91930000000002</v>
      </c>
      <c r="H2228">
        <v>0.87446499999999905</v>
      </c>
      <c r="I2228">
        <v>284.76130000000001</v>
      </c>
      <c r="J2228">
        <v>-400.51990000000001</v>
      </c>
      <c r="K2228">
        <v>1.1211169999999999</v>
      </c>
      <c r="L2228">
        <v>284.70330000000001</v>
      </c>
      <c r="M2228">
        <v>-0.99991289999999999</v>
      </c>
      <c r="N2228">
        <v>-1.1559689999999999E-2</v>
      </c>
      <c r="O2228">
        <v>-6.3734409999999997E-3</v>
      </c>
      <c r="P2228">
        <v>-0.98250510000000002</v>
      </c>
      <c r="Q2228">
        <v>0.1838688</v>
      </c>
      <c r="R2228">
        <v>2.960088E-2</v>
      </c>
      <c r="S2228">
        <v>-3.2429199999999998</v>
      </c>
      <c r="T2228">
        <v>-1.054961</v>
      </c>
      <c r="U2228">
        <v>0.2368469</v>
      </c>
      <c r="V2228">
        <v>3.5819490000000002E-2</v>
      </c>
      <c r="W2228">
        <v>0.19521930000000001</v>
      </c>
      <c r="X2228">
        <v>0.98010529999999996</v>
      </c>
      <c r="Y2228">
        <v>7.4903719999999993E-2</v>
      </c>
      <c r="Z2228">
        <v>1.4254360000000001E-2</v>
      </c>
      <c r="AA2228">
        <v>0.99708889999999994</v>
      </c>
      <c r="AB2228">
        <v>36</v>
      </c>
      <c r="AC2228">
        <v>-0.39940000000001402</v>
      </c>
      <c r="AD2228">
        <v>-0.24665200000000001</v>
      </c>
      <c r="AE2228">
        <v>5.7999999999992703E-2</v>
      </c>
      <c r="AF2228">
        <v>4.4080503149863198E-2</v>
      </c>
      <c r="AG2228">
        <v>-0.24665200000000001</v>
      </c>
      <c r="AH2228">
        <v>0.29051501988324002</v>
      </c>
      <c r="AI2228">
        <v>130.01038705883099</v>
      </c>
      <c r="AJ2228">
        <v>81.372191462938503</v>
      </c>
      <c r="AK2228">
        <v>0.38363951391860601</v>
      </c>
      <c r="AL2228">
        <v>78.742465287995799</v>
      </c>
      <c r="AM2228">
        <v>87.906967128092305</v>
      </c>
      <c r="AN2228">
        <v>1.00000000502222</v>
      </c>
    </row>
    <row r="2229" spans="1:40" x14ac:dyDescent="0.25">
      <c r="A2229" t="str">
        <f>"20190303162822660"</f>
        <v>20190303162822660</v>
      </c>
      <c r="B2229" t="str">
        <f>"1551601702653798"</f>
        <v>1551601702653798</v>
      </c>
      <c r="C2229" t="s">
        <v>40</v>
      </c>
      <c r="D2229">
        <v>4.7528199999999998</v>
      </c>
      <c r="E2229">
        <v>0.52243419999999996</v>
      </c>
      <c r="F2229" t="s">
        <v>44</v>
      </c>
      <c r="G2229">
        <v>-401.2423</v>
      </c>
      <c r="H2229">
        <v>0.88618680000000005</v>
      </c>
      <c r="I2229">
        <v>284.75569999999999</v>
      </c>
      <c r="J2229">
        <v>-400.86509999999998</v>
      </c>
      <c r="K2229">
        <v>1.121122</v>
      </c>
      <c r="L2229">
        <v>284.70100000000002</v>
      </c>
      <c r="M2229">
        <v>-0.99991220000000003</v>
      </c>
      <c r="N2229">
        <v>-1.1567320000000001E-2</v>
      </c>
      <c r="O2229">
        <v>-6.4798190000000004E-3</v>
      </c>
      <c r="P2229">
        <v>-0.98258869999999998</v>
      </c>
      <c r="Q2229">
        <v>0.1834075</v>
      </c>
      <c r="R2229">
        <v>2.9691220000000001E-2</v>
      </c>
      <c r="S2229">
        <v>-3.243744</v>
      </c>
      <c r="T2229">
        <v>-1.0548519999999999</v>
      </c>
      <c r="U2229">
        <v>0.23519899999999999</v>
      </c>
      <c r="V2229">
        <v>3.6014949999999997E-2</v>
      </c>
      <c r="W2229">
        <v>0.19476660000000001</v>
      </c>
      <c r="X2229">
        <v>0.98018819999999995</v>
      </c>
      <c r="Y2229">
        <v>7.4506219999999998E-2</v>
      </c>
      <c r="Z2229">
        <v>1.421731E-2</v>
      </c>
      <c r="AA2229">
        <v>0.99711919999999998</v>
      </c>
      <c r="AB2229">
        <v>36</v>
      </c>
      <c r="AC2229">
        <v>-0.37720000000001602</v>
      </c>
      <c r="AD2229">
        <v>-0.23493519999999901</v>
      </c>
      <c r="AE2229">
        <v>5.4700000000025201E-2</v>
      </c>
      <c r="AF2229">
        <v>4.1409932400765397E-2</v>
      </c>
      <c r="AG2229">
        <v>-0.23493519999999901</v>
      </c>
      <c r="AH2229">
        <v>0.27308269897448001</v>
      </c>
      <c r="AI2229">
        <v>130.38396209072101</v>
      </c>
      <c r="AJ2229">
        <v>81.377426471469704</v>
      </c>
      <c r="AK2229">
        <v>0.36260652390664799</v>
      </c>
      <c r="AL2229">
        <v>78.768910731002507</v>
      </c>
      <c r="AM2229">
        <v>87.895733920156005</v>
      </c>
      <c r="AN2229">
        <v>1.0000000062591501</v>
      </c>
    </row>
    <row r="2230" spans="1:40" x14ac:dyDescent="0.25">
      <c r="A2230" t="str">
        <f>"20190303162822685"</f>
        <v>20190303162822685</v>
      </c>
      <c r="B2230" t="str">
        <f>"1551601702673318"</f>
        <v>1551601702673318</v>
      </c>
      <c r="C2230" t="s">
        <v>40</v>
      </c>
      <c r="D2230">
        <v>4.7318389999999999</v>
      </c>
      <c r="E2230">
        <v>0.52317349999999996</v>
      </c>
      <c r="F2230" t="s">
        <v>44</v>
      </c>
      <c r="G2230">
        <v>-401.5634</v>
      </c>
      <c r="H2230">
        <v>0.89279909999999996</v>
      </c>
      <c r="I2230">
        <v>284.7527</v>
      </c>
      <c r="J2230">
        <v>-401.2312</v>
      </c>
      <c r="K2230">
        <v>1.121122</v>
      </c>
      <c r="L2230">
        <v>284.69850000000002</v>
      </c>
      <c r="M2230">
        <v>-0.99991140000000001</v>
      </c>
      <c r="N2230">
        <v>-1.157539E-2</v>
      </c>
      <c r="O2230">
        <v>-6.5925180000000003E-3</v>
      </c>
      <c r="P2230">
        <v>-0.98242220000000002</v>
      </c>
      <c r="Q2230">
        <v>0.18421509999999999</v>
      </c>
      <c r="R2230">
        <v>3.0194809999999999E-2</v>
      </c>
      <c r="S2230">
        <v>-3.2438959999999999</v>
      </c>
      <c r="T2230">
        <v>-1.0606150000000001</v>
      </c>
      <c r="U2230">
        <v>0.2390747</v>
      </c>
      <c r="V2230">
        <v>3.662783E-2</v>
      </c>
      <c r="W2230">
        <v>0.19558030000000001</v>
      </c>
      <c r="X2230">
        <v>0.98000339999999997</v>
      </c>
      <c r="Y2230">
        <v>7.5686879999999998E-2</v>
      </c>
      <c r="Z2230">
        <v>1.451797E-2</v>
      </c>
      <c r="AA2230">
        <v>0.99702599999999997</v>
      </c>
      <c r="AB2230">
        <v>36</v>
      </c>
      <c r="AC2230">
        <v>-0.3322</v>
      </c>
      <c r="AD2230">
        <v>-0.2283229</v>
      </c>
      <c r="AE2230">
        <v>5.4199999999980202E-2</v>
      </c>
      <c r="AF2230">
        <v>3.8618895833512697E-2</v>
      </c>
      <c r="AG2230">
        <v>-0.2283229</v>
      </c>
      <c r="AH2230">
        <v>0.22726272291988101</v>
      </c>
      <c r="AI2230">
        <v>134.725570670965</v>
      </c>
      <c r="AJ2230">
        <v>80.355818149382998</v>
      </c>
      <c r="AK2230">
        <v>0.32445509860189897</v>
      </c>
      <c r="AL2230">
        <v>78.721374428532499</v>
      </c>
      <c r="AM2230">
        <v>87.859554672764801</v>
      </c>
      <c r="AN2230">
        <v>0.999999957845078</v>
      </c>
    </row>
    <row r="2231" spans="1:40" x14ac:dyDescent="0.25">
      <c r="A2231" t="str">
        <f>"20190303162822706"</f>
        <v>20190303162822706</v>
      </c>
      <c r="B2231" t="str">
        <f>"1551601702693814"</f>
        <v>1551601702693814</v>
      </c>
      <c r="C2231" t="s">
        <v>40</v>
      </c>
      <c r="D2231">
        <v>4.751379</v>
      </c>
      <c r="E2231">
        <v>0.52373219999999998</v>
      </c>
      <c r="F2231" t="s">
        <v>44</v>
      </c>
      <c r="G2231">
        <v>-402.17</v>
      </c>
      <c r="H2231">
        <v>0.81502799999999997</v>
      </c>
      <c r="I2231">
        <v>284.77</v>
      </c>
      <c r="J2231">
        <v>-401.589</v>
      </c>
      <c r="K2231">
        <v>1.1211260000000001</v>
      </c>
      <c r="L2231">
        <v>284.69600000000003</v>
      </c>
      <c r="M2231">
        <v>-0.99991039999999998</v>
      </c>
      <c r="N2231">
        <v>-1.158315E-2</v>
      </c>
      <c r="O2231">
        <v>-6.7028249999999999E-3</v>
      </c>
      <c r="P2231">
        <v>-0.9823231</v>
      </c>
      <c r="Q2231">
        <v>0.18468909999999999</v>
      </c>
      <c r="R2231">
        <v>3.0520990000000001E-2</v>
      </c>
      <c r="S2231">
        <v>-3.244507</v>
      </c>
      <c r="T2231">
        <v>-1.057971</v>
      </c>
      <c r="U2231">
        <v>0.2462463</v>
      </c>
      <c r="V2231">
        <v>3.7061709999999998E-2</v>
      </c>
      <c r="W2231">
        <v>0.19606100000000001</v>
      </c>
      <c r="X2231">
        <v>0.97989110000000001</v>
      </c>
      <c r="Y2231">
        <v>7.7875440000000004E-2</v>
      </c>
      <c r="Z2231">
        <v>1.487522E-2</v>
      </c>
      <c r="AA2231">
        <v>0.99685210000000002</v>
      </c>
      <c r="AB2231">
        <v>36</v>
      </c>
      <c r="AC2231">
        <v>-0.58100000000001695</v>
      </c>
      <c r="AD2231">
        <v>-0.30609799999999998</v>
      </c>
      <c r="AE2231">
        <v>7.4000000000012195E-2</v>
      </c>
      <c r="AF2231">
        <v>6.1181915295716101E-2</v>
      </c>
      <c r="AG2231">
        <v>-0.30609799999999998</v>
      </c>
      <c r="AH2231">
        <v>0.45595332816554601</v>
      </c>
      <c r="AI2231">
        <v>123.63871365021301</v>
      </c>
      <c r="AJ2231">
        <v>82.357439904750095</v>
      </c>
      <c r="AK2231">
        <v>0.55256913579070899</v>
      </c>
      <c r="AL2231">
        <v>78.693289388225793</v>
      </c>
      <c r="AM2231">
        <v>87.833975765660796</v>
      </c>
      <c r="AN2231">
        <v>1.00000002696416</v>
      </c>
    </row>
    <row r="2232" spans="1:40" x14ac:dyDescent="0.25">
      <c r="A2232" t="str">
        <f>"20190303162822728"</f>
        <v>20190303162822728</v>
      </c>
      <c r="B2232" t="str">
        <f>"1551601702724070"</f>
        <v>1551601702724070</v>
      </c>
      <c r="C2232" t="s">
        <v>40</v>
      </c>
      <c r="D2232">
        <v>4.766343</v>
      </c>
      <c r="E2232">
        <v>0.52441169999999904</v>
      </c>
      <c r="F2232" t="s">
        <v>44</v>
      </c>
      <c r="G2232">
        <v>-402.4932</v>
      </c>
      <c r="H2232">
        <v>0.82643679999999997</v>
      </c>
      <c r="I2232">
        <v>284.76620000000003</v>
      </c>
      <c r="J2232">
        <v>-401.95150000000001</v>
      </c>
      <c r="K2232">
        <v>1.1211260000000001</v>
      </c>
      <c r="L2232">
        <v>284.69349999999997</v>
      </c>
      <c r="M2232">
        <v>-0.99990959999999995</v>
      </c>
      <c r="N2232">
        <v>-1.159161E-2</v>
      </c>
      <c r="O2232">
        <v>-6.8148089999999998E-3</v>
      </c>
      <c r="P2232">
        <v>-0.9821995</v>
      </c>
      <c r="Q2232">
        <v>0.1854037</v>
      </c>
      <c r="R2232">
        <v>3.0161830000000001E-2</v>
      </c>
      <c r="S2232">
        <v>-3.2450260000000002</v>
      </c>
      <c r="T2232">
        <v>-1.0575859999999999</v>
      </c>
      <c r="U2232">
        <v>0.2511292</v>
      </c>
      <c r="V2232">
        <v>3.6811629999999998E-2</v>
      </c>
      <c r="W2232">
        <v>0.19678200000000001</v>
      </c>
      <c r="X2232">
        <v>0.97975590000000001</v>
      </c>
      <c r="Y2232">
        <v>7.9385159999999996E-2</v>
      </c>
      <c r="Z2232">
        <v>1.515028E-2</v>
      </c>
      <c r="AA2232">
        <v>0.99672890000000003</v>
      </c>
      <c r="AB2232">
        <v>36</v>
      </c>
      <c r="AC2232">
        <v>-0.54169999999999097</v>
      </c>
      <c r="AD2232">
        <v>-0.29468919999999998</v>
      </c>
      <c r="AE2232">
        <v>7.2700000000054305E-2</v>
      </c>
      <c r="AF2232">
        <v>5.9184648202669797E-2</v>
      </c>
      <c r="AG2232">
        <v>-0.29468919999999998</v>
      </c>
      <c r="AH2232">
        <v>0.41929828188931401</v>
      </c>
      <c r="AI2232">
        <v>124.83470252255999</v>
      </c>
      <c r="AJ2232">
        <v>81.965683100462599</v>
      </c>
      <c r="AK2232">
        <v>0.51590270049190901</v>
      </c>
      <c r="AL2232">
        <v>78.651157373272198</v>
      </c>
      <c r="AM2232">
        <v>87.848280987023401</v>
      </c>
      <c r="AN2232">
        <v>0.99999993760603101</v>
      </c>
    </row>
    <row r="2233" spans="1:40" x14ac:dyDescent="0.25">
      <c r="A2233" t="str">
        <f>"20190303162822750"</f>
        <v>20190303162822750</v>
      </c>
      <c r="B2233" t="str">
        <f>"1551601702743589"</f>
        <v>1551601702743589</v>
      </c>
      <c r="C2233" t="s">
        <v>40</v>
      </c>
      <c r="D2233">
        <v>4.7656210000000003</v>
      </c>
      <c r="E2233">
        <v>0.52472489999999905</v>
      </c>
      <c r="F2233" t="s">
        <v>44</v>
      </c>
      <c r="G2233">
        <v>-402.81689999999998</v>
      </c>
      <c r="H2233">
        <v>0.83894590000000002</v>
      </c>
      <c r="I2233">
        <v>284.76170000000002</v>
      </c>
      <c r="J2233">
        <v>-402.2987</v>
      </c>
      <c r="K2233">
        <v>1.121127</v>
      </c>
      <c r="L2233">
        <v>284.69099999999997</v>
      </c>
      <c r="M2233">
        <v>-0.99990869999999998</v>
      </c>
      <c r="N2233">
        <v>-1.1603550000000001E-2</v>
      </c>
      <c r="O2233">
        <v>-6.9224009999999999E-3</v>
      </c>
      <c r="P2233">
        <v>-0.98212379999999999</v>
      </c>
      <c r="Q2233">
        <v>0.18587619999999999</v>
      </c>
      <c r="R2233">
        <v>2.971584E-2</v>
      </c>
      <c r="S2233">
        <v>-3.2463989999999998</v>
      </c>
      <c r="T2233">
        <v>-1.0585370000000001</v>
      </c>
      <c r="U2233">
        <v>0.25497439999999999</v>
      </c>
      <c r="V2233">
        <v>3.6470420000000003E-2</v>
      </c>
      <c r="W2233">
        <v>0.19726540000000001</v>
      </c>
      <c r="X2233">
        <v>0.97967150000000003</v>
      </c>
      <c r="Y2233">
        <v>8.0561439999999998E-2</v>
      </c>
      <c r="Z2233">
        <v>1.538341E-2</v>
      </c>
      <c r="AA2233">
        <v>0.99663089999999999</v>
      </c>
      <c r="AB2233">
        <v>36</v>
      </c>
      <c r="AC2233">
        <v>-0.51819999999997801</v>
      </c>
      <c r="AD2233">
        <v>-0.28218110000000002</v>
      </c>
      <c r="AE2233">
        <v>7.0700000000044796E-2</v>
      </c>
      <c r="AF2233">
        <v>5.7536507268248799E-2</v>
      </c>
      <c r="AG2233">
        <v>-0.28218110000000002</v>
      </c>
      <c r="AH2233">
        <v>0.40097257313458801</v>
      </c>
      <c r="AI2233">
        <v>124.861323947689</v>
      </c>
      <c r="AJ2233">
        <v>81.834232562342706</v>
      </c>
      <c r="AK2233">
        <v>0.49367562961119699</v>
      </c>
      <c r="AL2233">
        <v>78.622907434543094</v>
      </c>
      <c r="AM2233">
        <v>87.868023471119898</v>
      </c>
      <c r="AN2233">
        <v>0.99999998874219298</v>
      </c>
    </row>
    <row r="2234" spans="1:40" x14ac:dyDescent="0.25">
      <c r="A2234" t="str">
        <f>"20190303162822771"</f>
        <v>20190303162822771</v>
      </c>
      <c r="B2234" t="str">
        <f>"1551601702764085"</f>
        <v>1551601702764085</v>
      </c>
      <c r="C2234" t="s">
        <v>40</v>
      </c>
      <c r="D2234">
        <v>4.7968109999999999</v>
      </c>
      <c r="E2234">
        <v>0.52498909999999999</v>
      </c>
      <c r="F2234" t="s">
        <v>44</v>
      </c>
      <c r="G2234">
        <v>-403.13900000000001</v>
      </c>
      <c r="H2234">
        <v>0.84721329999999995</v>
      </c>
      <c r="I2234">
        <v>284.7568</v>
      </c>
      <c r="J2234">
        <v>-402.64179999999999</v>
      </c>
      <c r="K2234">
        <v>1.1211329999999999</v>
      </c>
      <c r="L2234">
        <v>284.68849999999998</v>
      </c>
      <c r="M2234">
        <v>-0.99990800000000002</v>
      </c>
      <c r="N2234">
        <v>-1.1617789999999999E-2</v>
      </c>
      <c r="O2234">
        <v>-7.0283430000000003E-3</v>
      </c>
      <c r="P2234">
        <v>-0.98204349999999996</v>
      </c>
      <c r="Q2234">
        <v>0.1862714</v>
      </c>
      <c r="R2234">
        <v>2.9899160000000001E-2</v>
      </c>
      <c r="S2234">
        <v>-3.247223</v>
      </c>
      <c r="T2234">
        <v>-1.058573</v>
      </c>
      <c r="U2234">
        <v>0.25393680000000002</v>
      </c>
      <c r="V2234">
        <v>3.6757150000000002E-2</v>
      </c>
      <c r="W2234">
        <v>0.1976735</v>
      </c>
      <c r="X2234">
        <v>0.97957859999999997</v>
      </c>
      <c r="Y2234">
        <v>8.0339220000000003E-2</v>
      </c>
      <c r="Z2234">
        <v>1.537677E-2</v>
      </c>
      <c r="AA2234">
        <v>0.99664900000000001</v>
      </c>
      <c r="AB2234">
        <v>36</v>
      </c>
      <c r="AC2234">
        <v>-0.49720000000002001</v>
      </c>
      <c r="AD2234">
        <v>-0.27391969999999999</v>
      </c>
      <c r="AE2234">
        <v>6.8300000000021996E-2</v>
      </c>
      <c r="AF2234">
        <v>5.5314919749819502E-2</v>
      </c>
      <c r="AG2234">
        <v>-0.27391969999999999</v>
      </c>
      <c r="AH2234">
        <v>0.38270205202322</v>
      </c>
      <c r="AI2234">
        <v>125.31339583202799</v>
      </c>
      <c r="AJ2234">
        <v>81.775550219746606</v>
      </c>
      <c r="AK2234">
        <v>0.47386981652960602</v>
      </c>
      <c r="AL2234">
        <v>78.5990562618274</v>
      </c>
      <c r="AM2234">
        <v>87.851073961064898</v>
      </c>
      <c r="AN2234">
        <v>1.0000000671281599</v>
      </c>
    </row>
    <row r="2235" spans="1:40" x14ac:dyDescent="0.25">
      <c r="A2235" t="str">
        <f>"20190303162822794"</f>
        <v>20190303162822794</v>
      </c>
      <c r="B2235" t="str">
        <f>"1551601702783605"</f>
        <v>1551601702783605</v>
      </c>
      <c r="C2235" t="s">
        <v>40</v>
      </c>
      <c r="D2235">
        <v>4.767938</v>
      </c>
      <c r="E2235">
        <v>0.52520849999999997</v>
      </c>
      <c r="F2235" t="s">
        <v>44</v>
      </c>
      <c r="G2235">
        <v>-403.4606</v>
      </c>
      <c r="H2235">
        <v>0.85412060000000001</v>
      </c>
      <c r="I2235">
        <v>284.75330000000002</v>
      </c>
      <c r="J2235">
        <v>-402.99779999999998</v>
      </c>
      <c r="K2235">
        <v>1.1211370000000001</v>
      </c>
      <c r="L2235">
        <v>284.6859</v>
      </c>
      <c r="M2235">
        <v>-0.99990699999999999</v>
      </c>
      <c r="N2235">
        <v>-1.1632679999999999E-2</v>
      </c>
      <c r="O2235">
        <v>-7.1377469999999998E-3</v>
      </c>
      <c r="P2235">
        <v>-0.98198739999999995</v>
      </c>
      <c r="Q2235">
        <v>0.18654370000000001</v>
      </c>
      <c r="R2235">
        <v>3.004248E-2</v>
      </c>
      <c r="S2235">
        <v>-3.2478940000000001</v>
      </c>
      <c r="T2235">
        <v>-1.0591549999999901</v>
      </c>
      <c r="U2235">
        <v>0.2566833</v>
      </c>
      <c r="V2235">
        <v>3.7007289999999998E-2</v>
      </c>
      <c r="W2235">
        <v>0.19795950000000001</v>
      </c>
      <c r="X2235">
        <v>0.97951140000000003</v>
      </c>
      <c r="Y2235">
        <v>8.1214869999999995E-2</v>
      </c>
      <c r="Z2235">
        <v>1.5559440000000001E-2</v>
      </c>
      <c r="AA2235">
        <v>0.99657519999999999</v>
      </c>
      <c r="AB2235">
        <v>36</v>
      </c>
      <c r="AC2235">
        <v>-0.46280000000001498</v>
      </c>
      <c r="AD2235">
        <v>-0.26701639999999999</v>
      </c>
      <c r="AE2235">
        <v>6.7400000000020499E-2</v>
      </c>
      <c r="AF2235">
        <v>5.3320957299410103E-2</v>
      </c>
      <c r="AG2235">
        <v>-0.26701639999999999</v>
      </c>
      <c r="AH2235">
        <v>0.34865643429631499</v>
      </c>
      <c r="AI2235">
        <v>127.127253287492</v>
      </c>
      <c r="AJ2235">
        <v>81.304973707046301</v>
      </c>
      <c r="AK2235">
        <v>0.44238240418500602</v>
      </c>
      <c r="AL2235">
        <v>78.582339047917998</v>
      </c>
      <c r="AM2235">
        <v>87.836315636108395</v>
      </c>
      <c r="AN2235">
        <v>1.00000004294167</v>
      </c>
    </row>
    <row r="2236" spans="1:40" x14ac:dyDescent="0.25">
      <c r="A2236" t="str">
        <f>"20190303162822818"</f>
        <v>20190303162822818</v>
      </c>
      <c r="B2236" t="str">
        <f>"1551601702813862"</f>
        <v>1551601702813862</v>
      </c>
      <c r="C2236" t="s">
        <v>40</v>
      </c>
      <c r="D2236">
        <v>4.7699769999999999</v>
      </c>
      <c r="E2236">
        <v>0.5254915</v>
      </c>
      <c r="F2236" t="s">
        <v>44</v>
      </c>
      <c r="G2236">
        <v>-403.78370000000001</v>
      </c>
      <c r="H2236">
        <v>0.86443110000000001</v>
      </c>
      <c r="I2236">
        <v>284.74880000000002</v>
      </c>
      <c r="J2236">
        <v>-403.3716</v>
      </c>
      <c r="K2236">
        <v>1.121135</v>
      </c>
      <c r="L2236">
        <v>284.6832</v>
      </c>
      <c r="M2236">
        <v>-0.99990590000000001</v>
      </c>
      <c r="N2236">
        <v>-1.1647380000000001E-2</v>
      </c>
      <c r="O2236">
        <v>-7.2520390000000001E-3</v>
      </c>
      <c r="P2236">
        <v>-0.98204069999999999</v>
      </c>
      <c r="Q2236">
        <v>0.18616179999999999</v>
      </c>
      <c r="R2236">
        <v>3.065847E-2</v>
      </c>
      <c r="S2236">
        <v>-3.248688</v>
      </c>
      <c r="T2236">
        <v>-1.06121</v>
      </c>
      <c r="U2236">
        <v>0.25949100000000003</v>
      </c>
      <c r="V2236">
        <v>3.7735610000000003E-2</v>
      </c>
      <c r="W2236">
        <v>0.19759309999999999</v>
      </c>
      <c r="X2236">
        <v>0.97955760000000003</v>
      </c>
      <c r="Y2236">
        <v>8.2097519999999993E-2</v>
      </c>
      <c r="Z2236">
        <v>1.5764609999999998E-2</v>
      </c>
      <c r="AA2236">
        <v>0.99649960000000004</v>
      </c>
      <c r="AB2236">
        <v>36</v>
      </c>
      <c r="AC2236">
        <v>-0.41210000000000901</v>
      </c>
      <c r="AD2236">
        <v>-0.25670389999999998</v>
      </c>
      <c r="AE2236">
        <v>6.5600000000017603E-2</v>
      </c>
      <c r="AF2236">
        <v>4.9757163835731401E-2</v>
      </c>
      <c r="AG2236">
        <v>-0.25670389999999998</v>
      </c>
      <c r="AH2236">
        <v>0.29860910140541502</v>
      </c>
      <c r="AI2236">
        <v>130.29706999895001</v>
      </c>
      <c r="AJ2236">
        <v>80.539735074766497</v>
      </c>
      <c r="AK2236">
        <v>0.39691316817451999</v>
      </c>
      <c r="AL2236">
        <v>78.603755339265902</v>
      </c>
      <c r="AM2236">
        <v>87.793878986454104</v>
      </c>
      <c r="AN2236">
        <v>1.0000000505737101</v>
      </c>
    </row>
    <row r="2237" spans="1:40" x14ac:dyDescent="0.25">
      <c r="A2237" t="str">
        <f>"20190303162822840"</f>
        <v>20190303162822840</v>
      </c>
      <c r="B2237" t="str">
        <f>"1551601702833381"</f>
        <v>1551601702833381</v>
      </c>
      <c r="C2237" t="s">
        <v>40</v>
      </c>
      <c r="D2237">
        <v>4.7604850000000001</v>
      </c>
      <c r="E2237">
        <v>0.52567010000000003</v>
      </c>
      <c r="F2237" t="s">
        <v>44</v>
      </c>
      <c r="G2237">
        <v>-404.10860000000002</v>
      </c>
      <c r="H2237">
        <v>0.87942160000000003</v>
      </c>
      <c r="I2237">
        <v>284.74340000000001</v>
      </c>
      <c r="J2237">
        <v>-403.71949999999998</v>
      </c>
      <c r="K2237">
        <v>1.121132</v>
      </c>
      <c r="L2237">
        <v>284.68049999999999</v>
      </c>
      <c r="M2237">
        <v>-0.99990509999999999</v>
      </c>
      <c r="N2237">
        <v>-1.166008E-2</v>
      </c>
      <c r="O2237">
        <v>-7.35833199999999E-3</v>
      </c>
      <c r="P2237">
        <v>-0.98213010000000001</v>
      </c>
      <c r="Q2237">
        <v>0.18560409999999999</v>
      </c>
      <c r="R2237">
        <v>3.1180949999999999E-2</v>
      </c>
      <c r="S2237">
        <v>-3.248596</v>
      </c>
      <c r="T2237">
        <v>-1.0652839999999999</v>
      </c>
      <c r="U2237">
        <v>0.26345829999999998</v>
      </c>
      <c r="V2237">
        <v>3.8363229999999998E-2</v>
      </c>
      <c r="W2237">
        <v>0.1970489</v>
      </c>
      <c r="X2237">
        <v>0.97964280000000004</v>
      </c>
      <c r="Y2237">
        <v>8.3309030000000006E-2</v>
      </c>
      <c r="Z2237">
        <v>1.6054180000000001E-2</v>
      </c>
      <c r="AA2237">
        <v>0.99639449999999996</v>
      </c>
      <c r="AB2237">
        <v>36</v>
      </c>
      <c r="AC2237">
        <v>-0.38910000000004102</v>
      </c>
      <c r="AD2237">
        <v>-0.24171039999999999</v>
      </c>
      <c r="AE2237">
        <v>6.2900000000013195E-2</v>
      </c>
      <c r="AF2237">
        <v>4.7789558719109199E-2</v>
      </c>
      <c r="AG2237">
        <v>-0.24171039999999999</v>
      </c>
      <c r="AH2237">
        <v>0.28241843768619601</v>
      </c>
      <c r="AI2237">
        <v>130.159777287656</v>
      </c>
      <c r="AJ2237">
        <v>80.395649985518403</v>
      </c>
      <c r="AK2237">
        <v>0.37479051927155099</v>
      </c>
      <c r="AL2237">
        <v>78.635560579483396</v>
      </c>
      <c r="AM2237">
        <v>87.757418723299196</v>
      </c>
      <c r="AN2237">
        <v>1.0000000109995399</v>
      </c>
    </row>
    <row r="2238" spans="1:40" x14ac:dyDescent="0.25">
      <c r="A2238" t="str">
        <f>"20190303162822861"</f>
        <v>20190303162822861</v>
      </c>
      <c r="B2238" t="str">
        <f>"1551601702853877"</f>
        <v>1551601702853877</v>
      </c>
      <c r="C2238" t="s">
        <v>40</v>
      </c>
      <c r="D2238">
        <v>4.7652449999999904</v>
      </c>
      <c r="E2238">
        <v>0.5258313</v>
      </c>
      <c r="F2238" t="s">
        <v>44</v>
      </c>
      <c r="G2238">
        <v>-404.43079999999998</v>
      </c>
      <c r="H2238">
        <v>0.88707569999999902</v>
      </c>
      <c r="I2238">
        <v>284.73919999999998</v>
      </c>
      <c r="J2238">
        <v>-404.06880000000001</v>
      </c>
      <c r="K2238">
        <v>1.12112099999999</v>
      </c>
      <c r="L2238">
        <v>284.67790000000002</v>
      </c>
      <c r="M2238">
        <v>-0.99990400000000002</v>
      </c>
      <c r="N2238">
        <v>-1.1671880000000001E-2</v>
      </c>
      <c r="O2238">
        <v>-7.4653289999999997E-3</v>
      </c>
      <c r="P2238">
        <v>-0.98215589999999997</v>
      </c>
      <c r="Q2238">
        <v>0.18551300000000001</v>
      </c>
      <c r="R2238">
        <v>3.090128E-2</v>
      </c>
      <c r="S2238">
        <v>-3.248138</v>
      </c>
      <c r="T2238">
        <v>-1.068856</v>
      </c>
      <c r="U2238">
        <v>0.26678469999999999</v>
      </c>
      <c r="V2238">
        <v>3.8188640000000003E-2</v>
      </c>
      <c r="W2238">
        <v>0.19696939999999999</v>
      </c>
      <c r="X2238">
        <v>0.97966560000000003</v>
      </c>
      <c r="Y2238">
        <v>8.4346480000000001E-2</v>
      </c>
      <c r="Z2238">
        <v>1.6311349999999999E-2</v>
      </c>
      <c r="AA2238">
        <v>0.99630300000000005</v>
      </c>
      <c r="AB2238">
        <v>36</v>
      </c>
      <c r="AC2238">
        <v>-0.36199999999996602</v>
      </c>
      <c r="AD2238">
        <v>-0.23404529999999901</v>
      </c>
      <c r="AE2238">
        <v>6.1299999999960102E-2</v>
      </c>
      <c r="AF2238">
        <v>4.5508403997233403E-2</v>
      </c>
      <c r="AG2238">
        <v>-0.23404529999999901</v>
      </c>
      <c r="AH2238">
        <v>0.25707059669778098</v>
      </c>
      <c r="AI2238">
        <v>131.87600402650801</v>
      </c>
      <c r="AJ2238">
        <v>79.961112948501196</v>
      </c>
      <c r="AK2238">
        <v>0.35061875159925199</v>
      </c>
      <c r="AL2238">
        <v>78.640206548977403</v>
      </c>
      <c r="AM2238">
        <v>87.767666201707399</v>
      </c>
      <c r="AN2238">
        <v>1.0000000022923801</v>
      </c>
    </row>
    <row r="2239" spans="1:40" x14ac:dyDescent="0.25">
      <c r="A2239" t="str">
        <f>"20190303162822884"</f>
        <v>20190303162822884</v>
      </c>
      <c r="B2239" t="str">
        <f>"1551601702873397"</f>
        <v>1551601702873397</v>
      </c>
      <c r="C2239" t="s">
        <v>40</v>
      </c>
      <c r="D2239">
        <v>4.7735200000000004</v>
      </c>
      <c r="E2239">
        <v>0.52597320000000003</v>
      </c>
      <c r="F2239" t="s">
        <v>44</v>
      </c>
      <c r="G2239">
        <v>-404.7534</v>
      </c>
      <c r="H2239">
        <v>0.89554140000000004</v>
      </c>
      <c r="I2239">
        <v>284.73439999999999</v>
      </c>
      <c r="J2239">
        <v>-404.42520000000002</v>
      </c>
      <c r="K2239">
        <v>1.1211150000000001</v>
      </c>
      <c r="L2239">
        <v>284.67509999999999</v>
      </c>
      <c r="M2239">
        <v>-0.99990310000000004</v>
      </c>
      <c r="N2239">
        <v>-1.168286E-2</v>
      </c>
      <c r="O2239">
        <v>-7.5745889999999996E-3</v>
      </c>
      <c r="P2239">
        <v>-0.98224270000000002</v>
      </c>
      <c r="Q2239">
        <v>0.1851274</v>
      </c>
      <c r="R2239">
        <v>3.045513E-2</v>
      </c>
      <c r="S2239">
        <v>-3.248291</v>
      </c>
      <c r="T2239">
        <v>-1.0703480000000001</v>
      </c>
      <c r="U2239">
        <v>0.26699830000000002</v>
      </c>
      <c r="V2239">
        <v>3.7850599999999998E-2</v>
      </c>
      <c r="W2239">
        <v>0.19659589999999999</v>
      </c>
      <c r="X2239">
        <v>0.97975369999999995</v>
      </c>
      <c r="Y2239">
        <v>8.4490399999999993E-2</v>
      </c>
      <c r="Z2239">
        <v>1.6389830000000001E-2</v>
      </c>
      <c r="AA2239">
        <v>0.99628950000000005</v>
      </c>
      <c r="AB2239">
        <v>36</v>
      </c>
      <c r="AC2239">
        <v>-0.32819999999998101</v>
      </c>
      <c r="AD2239">
        <v>-0.22557359999999901</v>
      </c>
      <c r="AE2239">
        <v>5.9300000000007402E-2</v>
      </c>
      <c r="AF2239">
        <v>4.2392027146180199E-2</v>
      </c>
      <c r="AG2239">
        <v>-0.22557359999999901</v>
      </c>
      <c r="AH2239">
        <v>0.22487246952890699</v>
      </c>
      <c r="AI2239">
        <v>134.588985407227</v>
      </c>
      <c r="AJ2239">
        <v>79.324127311853005</v>
      </c>
      <c r="AK2239">
        <v>0.32132251793883299</v>
      </c>
      <c r="AL2239">
        <v>78.662032861000796</v>
      </c>
      <c r="AM2239">
        <v>87.787605511895507</v>
      </c>
      <c r="AN2239">
        <v>0.99999996424042903</v>
      </c>
    </row>
    <row r="2240" spans="1:40" x14ac:dyDescent="0.25">
      <c r="A2240" t="str">
        <f>"20190303162822907"</f>
        <v>20190303162822907</v>
      </c>
      <c r="B2240" t="str">
        <f>"1551601702903654"</f>
        <v>1551601702903654</v>
      </c>
      <c r="C2240" t="s">
        <v>40</v>
      </c>
      <c r="D2240">
        <v>4.7623340000000001</v>
      </c>
      <c r="E2240">
        <v>0.52618390000000004</v>
      </c>
      <c r="F2240" t="s">
        <v>44</v>
      </c>
      <c r="G2240">
        <v>-405.35930000000002</v>
      </c>
      <c r="H2240">
        <v>0.81254729999999997</v>
      </c>
      <c r="I2240">
        <v>284.75209999999998</v>
      </c>
      <c r="J2240">
        <v>-404.7971</v>
      </c>
      <c r="K2240">
        <v>1.121113</v>
      </c>
      <c r="L2240">
        <v>284.67219999999998</v>
      </c>
      <c r="M2240">
        <v>-0.99990219999999996</v>
      </c>
      <c r="N2240">
        <v>-1.1693169999999999E-2</v>
      </c>
      <c r="O2240">
        <v>-7.6889659999999898E-3</v>
      </c>
      <c r="P2240">
        <v>-0.98238829999999999</v>
      </c>
      <c r="Q2240">
        <v>0.18443470000000001</v>
      </c>
      <c r="R2240">
        <v>2.996062E-2</v>
      </c>
      <c r="S2240">
        <v>-3.2481990000000001</v>
      </c>
      <c r="T2240">
        <v>-1.072891</v>
      </c>
      <c r="U2240">
        <v>0.26654050000000001</v>
      </c>
      <c r="V2240">
        <v>3.7469740000000001E-2</v>
      </c>
      <c r="W2240">
        <v>0.1959147</v>
      </c>
      <c r="X2240">
        <v>0.97990480000000002</v>
      </c>
      <c r="Y2240">
        <v>8.4440979999999999E-2</v>
      </c>
      <c r="Z2240">
        <v>1.645402E-2</v>
      </c>
      <c r="AA2240">
        <v>0.99629259999999997</v>
      </c>
      <c r="AB2240">
        <v>36</v>
      </c>
      <c r="AC2240">
        <v>-0.56220000000001802</v>
      </c>
      <c r="AD2240">
        <v>-0.308565699999999</v>
      </c>
      <c r="AE2240">
        <v>7.9900000000009103E-2</v>
      </c>
      <c r="AF2240">
        <v>6.5021376477071999E-2</v>
      </c>
      <c r="AG2240">
        <v>-0.308565699999999</v>
      </c>
      <c r="AH2240">
        <v>0.43355139360513201</v>
      </c>
      <c r="AI2240">
        <v>125.13960956718201</v>
      </c>
      <c r="AJ2240">
        <v>81.470699089652697</v>
      </c>
      <c r="AK2240">
        <v>0.53610389059623098</v>
      </c>
      <c r="AL2240">
        <v>78.701837049719401</v>
      </c>
      <c r="AM2240">
        <v>87.810182650745205</v>
      </c>
      <c r="AN2240">
        <v>0.99999998407739799</v>
      </c>
    </row>
    <row r="2241" spans="1:40" x14ac:dyDescent="0.25">
      <c r="A2241" t="str">
        <f>"20190303162822930"</f>
        <v>20190303162822930</v>
      </c>
      <c r="B2241" t="str">
        <f>"1551601702923174"</f>
        <v>1551601702923174</v>
      </c>
      <c r="C2241" t="s">
        <v>40</v>
      </c>
      <c r="D2241">
        <v>4.7932730000000001</v>
      </c>
      <c r="E2241">
        <v>0.52632889999999999</v>
      </c>
      <c r="F2241" t="s">
        <v>44</v>
      </c>
      <c r="G2241">
        <v>-405.68450000000001</v>
      </c>
      <c r="H2241">
        <v>0.82712199999999902</v>
      </c>
      <c r="I2241">
        <v>284.74540000000002</v>
      </c>
      <c r="J2241">
        <v>-405.1551</v>
      </c>
      <c r="K2241">
        <v>1.12112099999999</v>
      </c>
      <c r="L2241">
        <v>284.66930000000002</v>
      </c>
      <c r="M2241">
        <v>-0.99990120000000005</v>
      </c>
      <c r="N2241">
        <v>-1.170209E-2</v>
      </c>
      <c r="O2241">
        <v>-7.7986899999999996E-3</v>
      </c>
      <c r="P2241">
        <v>-0.98242059999999998</v>
      </c>
      <c r="Q2241">
        <v>0.18437220000000001</v>
      </c>
      <c r="R2241">
        <v>2.9274809999999998E-2</v>
      </c>
      <c r="S2241">
        <v>-3.2476500000000001</v>
      </c>
      <c r="T2241">
        <v>-1.075949</v>
      </c>
      <c r="U2241">
        <v>0.2667542</v>
      </c>
      <c r="V2241">
        <v>3.689187E-2</v>
      </c>
      <c r="W2241">
        <v>0.19586139999999999</v>
      </c>
      <c r="X2241">
        <v>0.97993739999999996</v>
      </c>
      <c r="Y2241">
        <v>8.4586460000000002E-2</v>
      </c>
      <c r="Z2241">
        <v>1.6558779999999999E-2</v>
      </c>
      <c r="AA2241">
        <v>0.99627849999999996</v>
      </c>
      <c r="AB2241">
        <v>36</v>
      </c>
      <c r="AC2241">
        <v>-0.52940000000000897</v>
      </c>
      <c r="AD2241">
        <v>-0.29399899999999901</v>
      </c>
      <c r="AE2241">
        <v>7.6099999999996698E-2</v>
      </c>
      <c r="AF2241">
        <v>6.1610254409408698E-2</v>
      </c>
      <c r="AG2241">
        <v>-0.29399899999999901</v>
      </c>
      <c r="AH2241">
        <v>0.406086161053686</v>
      </c>
      <c r="AI2241">
        <v>125.59473194368501</v>
      </c>
      <c r="AJ2241">
        <v>81.373035550288606</v>
      </c>
      <c r="AK2241">
        <v>0.50511108248454795</v>
      </c>
      <c r="AL2241">
        <v>78.704951465028302</v>
      </c>
      <c r="AM2241">
        <v>87.843994232865796</v>
      </c>
      <c r="AN2241">
        <v>1.0000000030003999</v>
      </c>
    </row>
    <row r="2242" spans="1:40" x14ac:dyDescent="0.25">
      <c r="A2242" t="str">
        <f>"20190303162822951"</f>
        <v>20190303162822951</v>
      </c>
      <c r="B2242" t="str">
        <f>"1551601702943669"</f>
        <v>1551601702943669</v>
      </c>
      <c r="C2242" t="s">
        <v>40</v>
      </c>
      <c r="D2242">
        <v>4.7425350000000002</v>
      </c>
      <c r="E2242">
        <v>0.52650580000000002</v>
      </c>
      <c r="F2242" t="s">
        <v>44</v>
      </c>
      <c r="G2242">
        <v>-406.00839999999999</v>
      </c>
      <c r="H2242">
        <v>0.83832139999999999</v>
      </c>
      <c r="I2242">
        <v>284.7398</v>
      </c>
      <c r="J2242">
        <v>-405.4973</v>
      </c>
      <c r="K2242">
        <v>1.1211249999999999</v>
      </c>
      <c r="L2242">
        <v>284.66649999999998</v>
      </c>
      <c r="M2242">
        <v>-0.99990020000000002</v>
      </c>
      <c r="N2242">
        <v>-1.170975E-2</v>
      </c>
      <c r="O2242">
        <v>-7.9037550000000002E-3</v>
      </c>
      <c r="P2242">
        <v>-0.98244279999999995</v>
      </c>
      <c r="Q2242">
        <v>0.18434020000000001</v>
      </c>
      <c r="R2242">
        <v>2.8718359999999998E-2</v>
      </c>
      <c r="S2242">
        <v>-3.2477420000000001</v>
      </c>
      <c r="T2242">
        <v>-1.0763689999999999</v>
      </c>
      <c r="U2242">
        <v>0.26635740000000002</v>
      </c>
      <c r="V2242">
        <v>3.6438699999999997E-2</v>
      </c>
      <c r="W2242">
        <v>0.19583709999999999</v>
      </c>
      <c r="X2242">
        <v>0.97995920000000003</v>
      </c>
      <c r="Y2242">
        <v>8.4560499999999997E-2</v>
      </c>
      <c r="Z2242">
        <v>1.659302E-2</v>
      </c>
      <c r="AA2242">
        <v>0.99628019999999995</v>
      </c>
      <c r="AB2242">
        <v>36</v>
      </c>
      <c r="AC2242">
        <v>-0.511099999999999</v>
      </c>
      <c r="AD2242">
        <v>-0.28280359999999899</v>
      </c>
      <c r="AE2242">
        <v>7.3300000000017407E-2</v>
      </c>
      <c r="AF2242">
        <v>5.94906224309876E-2</v>
      </c>
      <c r="AG2242">
        <v>-0.28280359999999899</v>
      </c>
      <c r="AH2242">
        <v>0.39269696426574002</v>
      </c>
      <c r="AI2242">
        <v>125.45212528342699</v>
      </c>
      <c r="AJ2242">
        <v>81.385623729631604</v>
      </c>
      <c r="AK2242">
        <v>0.487573498124861</v>
      </c>
      <c r="AL2242">
        <v>78.706371112130398</v>
      </c>
      <c r="AM2242">
        <v>87.870500833899598</v>
      </c>
      <c r="AN2242">
        <v>0.99999999112936999</v>
      </c>
    </row>
    <row r="2243" spans="1:40" x14ac:dyDescent="0.25">
      <c r="A2243" t="str">
        <f>"20190303162822973"</f>
        <v>20190303162822973</v>
      </c>
      <c r="B2243" t="str">
        <f>"1551601702963189"</f>
        <v>1551601702963189</v>
      </c>
      <c r="C2243" t="s">
        <v>40</v>
      </c>
      <c r="D2243">
        <v>4.7760389999999999</v>
      </c>
      <c r="E2243">
        <v>0.52668579999999998</v>
      </c>
      <c r="F2243" t="s">
        <v>44</v>
      </c>
      <c r="G2243">
        <v>-406.33049999999997</v>
      </c>
      <c r="H2243">
        <v>0.84498600000000001</v>
      </c>
      <c r="I2243">
        <v>284.73509999999999</v>
      </c>
      <c r="J2243">
        <v>-405.8535</v>
      </c>
      <c r="K2243">
        <v>1.1211260000000001</v>
      </c>
      <c r="L2243">
        <v>284.66359999999997</v>
      </c>
      <c r="M2243">
        <v>-0.99989930000000005</v>
      </c>
      <c r="N2243">
        <v>-1.1716870000000001E-2</v>
      </c>
      <c r="O2243">
        <v>-8.0134650000000009E-3</v>
      </c>
      <c r="P2243">
        <v>-0.98243190000000002</v>
      </c>
      <c r="Q2243">
        <v>0.1845002</v>
      </c>
      <c r="R2243">
        <v>2.805817E-2</v>
      </c>
      <c r="S2243">
        <v>-3.247833</v>
      </c>
      <c r="T2243">
        <v>-1.0763860000000001</v>
      </c>
      <c r="U2243">
        <v>0.26693729999999999</v>
      </c>
      <c r="V2243">
        <v>3.5886229999999998E-2</v>
      </c>
      <c r="W2243">
        <v>0.19600400000000001</v>
      </c>
      <c r="X2243">
        <v>0.97994630000000005</v>
      </c>
      <c r="Y2243">
        <v>8.4824289999999997E-2</v>
      </c>
      <c r="Z2243">
        <v>1.6671189999999999E-2</v>
      </c>
      <c r="AA2243">
        <v>0.99625649999999999</v>
      </c>
      <c r="AB2243">
        <v>36</v>
      </c>
      <c r="AC2243">
        <v>-0.476999999999975</v>
      </c>
      <c r="AD2243">
        <v>-0.27614</v>
      </c>
      <c r="AE2243">
        <v>7.1500000000014496E-2</v>
      </c>
      <c r="AF2243">
        <v>5.6726897435824E-2</v>
      </c>
      <c r="AG2243">
        <v>-0.27614</v>
      </c>
      <c r="AH2243">
        <v>0.35880532348232003</v>
      </c>
      <c r="AI2243">
        <v>127.240928493947</v>
      </c>
      <c r="AJ2243">
        <v>81.015934036188497</v>
      </c>
      <c r="AK2243">
        <v>0.45630307981860802</v>
      </c>
      <c r="AL2243">
        <v>78.696620362698297</v>
      </c>
      <c r="AM2243">
        <v>87.902730870733095</v>
      </c>
      <c r="AN2243">
        <v>1.0000000702016401</v>
      </c>
    </row>
    <row r="2244" spans="1:40" x14ac:dyDescent="0.25">
      <c r="A2244" t="str">
        <f>"20190303162822996"</f>
        <v>20190303162822996</v>
      </c>
      <c r="B2244" t="str">
        <f>"1551601702983686"</f>
        <v>1551601702983686</v>
      </c>
      <c r="C2244" t="s">
        <v>40</v>
      </c>
      <c r="D2244">
        <v>4.7834240000000001</v>
      </c>
      <c r="E2244">
        <v>0.52668669999999995</v>
      </c>
      <c r="F2244" t="s">
        <v>44</v>
      </c>
      <c r="G2244">
        <v>-406.65440000000001</v>
      </c>
      <c r="H2244">
        <v>0.85582539999999996</v>
      </c>
      <c r="I2244">
        <v>284.72980000000001</v>
      </c>
      <c r="J2244">
        <v>-406.21</v>
      </c>
      <c r="K2244">
        <v>1.1211249999999999</v>
      </c>
      <c r="L2244">
        <v>284.66059999999999</v>
      </c>
      <c r="M2244">
        <v>-0.99989839999999997</v>
      </c>
      <c r="N2244">
        <v>-1.1723269999999999E-2</v>
      </c>
      <c r="O2244">
        <v>-8.1232879999999993E-3</v>
      </c>
      <c r="P2244">
        <v>-0.98247640000000003</v>
      </c>
      <c r="Q2244">
        <v>0.18441080000000001</v>
      </c>
      <c r="R2244">
        <v>2.7073119999999999E-2</v>
      </c>
      <c r="S2244">
        <v>-3.2480769999999999</v>
      </c>
      <c r="T2244">
        <v>-1.075914</v>
      </c>
      <c r="U2244">
        <v>0.26684570000000002</v>
      </c>
      <c r="V2244">
        <v>3.500959E-2</v>
      </c>
      <c r="W2244">
        <v>0.19592080000000001</v>
      </c>
      <c r="X2244">
        <v>0.97999460000000005</v>
      </c>
      <c r="Y2244">
        <v>8.4895250000000005E-2</v>
      </c>
      <c r="Z2244">
        <v>1.6709479999999999E-2</v>
      </c>
      <c r="AA2244">
        <v>0.99624970000000002</v>
      </c>
      <c r="AB2244">
        <v>36</v>
      </c>
      <c r="AC2244">
        <v>-0.44440000000002999</v>
      </c>
      <c r="AD2244">
        <v>-0.26529959999999903</v>
      </c>
      <c r="AE2244">
        <v>6.9200000000023396E-2</v>
      </c>
      <c r="AF2244">
        <v>5.4013728994916702E-2</v>
      </c>
      <c r="AG2244">
        <v>-0.26529959999999903</v>
      </c>
      <c r="AH2244">
        <v>0.32925721802908198</v>
      </c>
      <c r="AI2244">
        <v>128.48904747523</v>
      </c>
      <c r="AJ2244">
        <v>80.683766852936401</v>
      </c>
      <c r="AK2244">
        <v>0.42627652563136398</v>
      </c>
      <c r="AL2244">
        <v>78.701481091287206</v>
      </c>
      <c r="AM2244">
        <v>87.954020281237703</v>
      </c>
      <c r="AN2244">
        <v>1.00000002364688</v>
      </c>
    </row>
    <row r="2245" spans="1:40" x14ac:dyDescent="0.25">
      <c r="A2245" t="str">
        <f>"20190303162823010"</f>
        <v>20190303162823010</v>
      </c>
      <c r="B2245" t="str">
        <f>"1551601703004182"</f>
        <v>1551601703004182</v>
      </c>
      <c r="C2245" t="s">
        <v>40</v>
      </c>
      <c r="D2245">
        <v>4.7757420000000002</v>
      </c>
      <c r="E2245">
        <v>0.49350480000000002</v>
      </c>
      <c r="F2245" t="s">
        <v>44</v>
      </c>
      <c r="G2245">
        <v>-406.97840000000002</v>
      </c>
      <c r="H2245">
        <v>0.86681229999999998</v>
      </c>
      <c r="I2245">
        <v>284.72320000000002</v>
      </c>
      <c r="J2245">
        <v>-406.43279999999999</v>
      </c>
      <c r="K2245">
        <v>1.1211279999999999</v>
      </c>
      <c r="L2245">
        <v>284.65870000000001</v>
      </c>
      <c r="M2245">
        <v>-0.9998977</v>
      </c>
      <c r="N2245">
        <v>-1.172693E-2</v>
      </c>
      <c r="O2245">
        <v>-8.1920889999999996E-3</v>
      </c>
      <c r="P2245">
        <v>-0.98248590000000002</v>
      </c>
      <c r="Q2245">
        <v>0.18443560000000001</v>
      </c>
      <c r="R2245">
        <v>2.655484E-2</v>
      </c>
      <c r="S2245">
        <v>-3.247925</v>
      </c>
      <c r="T2245">
        <v>-1.0749930000000001</v>
      </c>
      <c r="U2245">
        <v>0.26455689999999998</v>
      </c>
      <c r="V2245">
        <v>3.4558970000000001E-2</v>
      </c>
      <c r="W2245">
        <v>0.1959497</v>
      </c>
      <c r="X2245">
        <v>0.98000480000000001</v>
      </c>
      <c r="Y2245">
        <v>8.4306690000000004E-2</v>
      </c>
      <c r="Z2245">
        <v>1.6620579999999999E-2</v>
      </c>
      <c r="AA2245">
        <v>0.9963012</v>
      </c>
      <c r="AB2245">
        <v>36</v>
      </c>
      <c r="AC2245">
        <v>-0.54560000000003495</v>
      </c>
      <c r="AD2245">
        <v>-0.25431569999999998</v>
      </c>
      <c r="AE2245">
        <v>6.4500000000009494E-2</v>
      </c>
      <c r="AF2245">
        <v>5.6797500870728997E-2</v>
      </c>
      <c r="AG2245">
        <v>-0.25431569999999998</v>
      </c>
      <c r="AH2245">
        <v>0.44887160774543799</v>
      </c>
      <c r="AI2245">
        <v>119.339680325956</v>
      </c>
      <c r="AJ2245">
        <v>82.788462912149797</v>
      </c>
      <c r="AK2245">
        <v>0.51902615696285004</v>
      </c>
      <c r="AL2245">
        <v>78.699792330513006</v>
      </c>
      <c r="AM2245">
        <v>87.980353814494705</v>
      </c>
      <c r="AN2245">
        <v>1.00000000768029</v>
      </c>
    </row>
    <row r="2246" spans="1:40" x14ac:dyDescent="0.25">
      <c r="A2246" t="str">
        <f>"20190303162823021"</f>
        <v>20190303162823021</v>
      </c>
      <c r="B2246" t="str">
        <f>"1551601703013943"</f>
        <v>1551601703013943</v>
      </c>
      <c r="C2246" t="s">
        <v>40</v>
      </c>
      <c r="D2246">
        <v>4.7689089999999998</v>
      </c>
      <c r="E2246">
        <v>0.49350480000000002</v>
      </c>
      <c r="F2246" t="s">
        <v>44</v>
      </c>
      <c r="G2246">
        <v>-407.3322</v>
      </c>
      <c r="H2246">
        <v>0.94196310000000005</v>
      </c>
      <c r="I2246">
        <v>284.661</v>
      </c>
      <c r="J2246">
        <v>-406.63830000000002</v>
      </c>
      <c r="K2246">
        <v>1.121129</v>
      </c>
      <c r="L2246">
        <v>284.65699999999998</v>
      </c>
      <c r="M2246">
        <v>-0.99989720000000004</v>
      </c>
      <c r="N2246">
        <v>-1.173012E-2</v>
      </c>
      <c r="O2246">
        <v>-8.2554050000000004E-3</v>
      </c>
      <c r="P2246">
        <v>-0.98246639999999996</v>
      </c>
      <c r="Q2246">
        <v>0.18462500000000001</v>
      </c>
      <c r="R2246">
        <v>2.5955269999999999E-2</v>
      </c>
      <c r="S2246">
        <v>-3.1719360000000001</v>
      </c>
      <c r="T2246">
        <v>-0.63195619999999997</v>
      </c>
      <c r="U2246">
        <v>6.7138669999999897E-3</v>
      </c>
      <c r="V2246">
        <v>3.4021500000000003E-2</v>
      </c>
      <c r="W2246">
        <v>0.1961415</v>
      </c>
      <c r="X2246">
        <v>0.9799852</v>
      </c>
      <c r="Y2246">
        <v>1.0020060000000001E-2</v>
      </c>
      <c r="Z2246">
        <v>2.5806119999999999E-3</v>
      </c>
      <c r="AA2246">
        <v>0.99994649999999996</v>
      </c>
      <c r="AB2246">
        <v>36</v>
      </c>
      <c r="AC2246">
        <v>-0.69389999999998497</v>
      </c>
      <c r="AD2246">
        <v>-0.17916589999999999</v>
      </c>
      <c r="AE2246">
        <v>4.0000000000190898E-3</v>
      </c>
      <c r="AF2246">
        <v>9.1206484008024401E-3</v>
      </c>
      <c r="AG2246">
        <v>-0.17916589999999999</v>
      </c>
      <c r="AH2246">
        <v>0.650478703042906</v>
      </c>
      <c r="AI2246">
        <v>105.398084586148</v>
      </c>
      <c r="AJ2246">
        <v>89.196683280811399</v>
      </c>
      <c r="AK2246">
        <v>0.67476377278455202</v>
      </c>
      <c r="AL2246">
        <v>78.688585113284603</v>
      </c>
      <c r="AM2246">
        <v>88.011698729116802</v>
      </c>
      <c r="AN2246">
        <v>0.99999997135176899</v>
      </c>
    </row>
    <row r="2247" spans="1:40" x14ac:dyDescent="0.25">
      <c r="A2247" t="str">
        <f>"20190303162823036"</f>
        <v>20190303162823036</v>
      </c>
      <c r="B2247" t="str">
        <f>"1551601703023702"</f>
        <v>1551601703023702</v>
      </c>
      <c r="C2247" t="s">
        <v>40</v>
      </c>
      <c r="D2247">
        <v>4.8152619999999997</v>
      </c>
      <c r="E2247">
        <v>0.44365480000000002</v>
      </c>
      <c r="F2247" t="s">
        <v>44</v>
      </c>
      <c r="G2247">
        <v>-407.3501</v>
      </c>
      <c r="H2247">
        <v>0.97947879999999998</v>
      </c>
      <c r="I2247">
        <v>284.65859999999998</v>
      </c>
      <c r="J2247">
        <v>-406.85570000000001</v>
      </c>
      <c r="K2247">
        <v>1.121132</v>
      </c>
      <c r="L2247">
        <v>284.6551</v>
      </c>
      <c r="M2247">
        <v>-0.99989660000000002</v>
      </c>
      <c r="N2247">
        <v>-1.1733179999999999E-2</v>
      </c>
      <c r="O2247">
        <v>-8.3224170000000004E-3</v>
      </c>
      <c r="P2247">
        <v>-0.98245939999999998</v>
      </c>
      <c r="Q2247">
        <v>0.18473429999999999</v>
      </c>
      <c r="R2247">
        <v>2.5433870000000001E-2</v>
      </c>
      <c r="S2247">
        <v>-3.1720280000000001</v>
      </c>
      <c r="T2247">
        <v>-0.63132250000000001</v>
      </c>
      <c r="U2247">
        <v>5.3710939999999999E-3</v>
      </c>
      <c r="V2247">
        <v>3.3565829999999998E-2</v>
      </c>
      <c r="W2247">
        <v>0.1962537</v>
      </c>
      <c r="X2247">
        <v>0.97997849999999997</v>
      </c>
      <c r="Y2247">
        <v>9.6705550000000008E-3</v>
      </c>
      <c r="Z2247">
        <v>2.5538639999999999E-3</v>
      </c>
      <c r="AA2247">
        <v>0.99995000000000001</v>
      </c>
      <c r="AB2247">
        <v>36</v>
      </c>
      <c r="AC2247">
        <v>-0.49439999999998402</v>
      </c>
      <c r="AD2247">
        <v>-0.14165319999999901</v>
      </c>
      <c r="AE2247">
        <v>3.4999999999740798E-3</v>
      </c>
      <c r="AF2247">
        <v>7.0371098528581102E-3</v>
      </c>
      <c r="AG2247">
        <v>-0.14165319999999901</v>
      </c>
      <c r="AH2247">
        <v>0.45685214818918601</v>
      </c>
      <c r="AI2247">
        <v>107.22483577646901</v>
      </c>
      <c r="AJ2247">
        <v>89.117515782176497</v>
      </c>
      <c r="AK2247">
        <v>0.47836077942322403</v>
      </c>
      <c r="AL2247">
        <v>78.682029665413694</v>
      </c>
      <c r="AM2247">
        <v>88.038294870748302</v>
      </c>
      <c r="AN2247">
        <v>1.0000000200847601</v>
      </c>
    </row>
    <row r="2248" spans="1:40" x14ac:dyDescent="0.25">
      <c r="A2248" t="str">
        <f>"20190303162823050"</f>
        <v>20190303162823050</v>
      </c>
      <c r="B2248" t="str">
        <f>"1551601703043221"</f>
        <v>1551601703043221</v>
      </c>
      <c r="C2248" t="s">
        <v>40</v>
      </c>
      <c r="D2248">
        <v>4.8092319999999997</v>
      </c>
      <c r="E2248">
        <v>0.43724360000000001</v>
      </c>
      <c r="F2248" t="s">
        <v>49</v>
      </c>
      <c r="G2248">
        <v>-422.6053</v>
      </c>
      <c r="H2248" s="1">
        <v>3.670331E-6</v>
      </c>
      <c r="I2248">
        <v>282.69600000000003</v>
      </c>
      <c r="J2248">
        <v>-407.08909999999997</v>
      </c>
      <c r="K2248">
        <v>1.1211340000000001</v>
      </c>
      <c r="L2248">
        <v>284.65309999999999</v>
      </c>
      <c r="M2248">
        <v>-0.99989589999999995</v>
      </c>
      <c r="N2248">
        <v>-1.173628E-2</v>
      </c>
      <c r="O2248">
        <v>-8.3944339999999992E-3</v>
      </c>
      <c r="P2248">
        <v>-0.98246739999999999</v>
      </c>
      <c r="Q2248">
        <v>0.18477209999999999</v>
      </c>
      <c r="R2248">
        <v>2.484219E-2</v>
      </c>
      <c r="S2248">
        <v>-3.1051030000000002</v>
      </c>
      <c r="T2248">
        <v>-0.22103400000000001</v>
      </c>
      <c r="U2248">
        <v>-0.38623049999999998</v>
      </c>
      <c r="V2248">
        <v>3.3045070000000003E-2</v>
      </c>
      <c r="W2248">
        <v>0.19629440000000001</v>
      </c>
      <c r="X2248">
        <v>0.97998799999999997</v>
      </c>
      <c r="Y2248">
        <v>-0.1147801</v>
      </c>
      <c r="Z2248">
        <v>-4.245258E-3</v>
      </c>
      <c r="AA2248">
        <v>0.99338190000000004</v>
      </c>
      <c r="AB2248">
        <v>36</v>
      </c>
      <c r="AC2248">
        <v>-15.5162</v>
      </c>
      <c r="AD2248">
        <v>-1.1211303296690001</v>
      </c>
      <c r="AE2248">
        <v>-1.95710000000002</v>
      </c>
      <c r="AF2248">
        <v>-1.81743239355259</v>
      </c>
      <c r="AG2248">
        <v>-1.1211303296690001</v>
      </c>
      <c r="AH2248">
        <v>15.452670399192</v>
      </c>
      <c r="AI2248">
        <v>94.121374578297505</v>
      </c>
      <c r="AJ2248">
        <v>96.707902760750898</v>
      </c>
      <c r="AK2248">
        <v>15.599519742200499</v>
      </c>
      <c r="AL2248">
        <v>78.679650942066701</v>
      </c>
      <c r="AM2248">
        <v>88.0687253945256</v>
      </c>
      <c r="AN2248">
        <v>0.99999997413333197</v>
      </c>
    </row>
    <row r="2249" spans="1:40" x14ac:dyDescent="0.25">
      <c r="A2249" t="str">
        <f>"20190303162823062"</f>
        <v>20190303162823062</v>
      </c>
      <c r="B2249" t="str">
        <f>"1551601703053958"</f>
        <v>1551601703053958</v>
      </c>
      <c r="C2249" t="s">
        <v>40</v>
      </c>
      <c r="D2249">
        <v>4.930161</v>
      </c>
      <c r="E2249">
        <v>0.43522539999999998</v>
      </c>
      <c r="F2249" t="s">
        <v>49</v>
      </c>
      <c r="G2249">
        <v>-426.04500000000002</v>
      </c>
      <c r="H2249" s="1">
        <v>3.1236629999999999E-6</v>
      </c>
      <c r="I2249">
        <v>281.97019999999998</v>
      </c>
      <c r="J2249">
        <v>-407.2894</v>
      </c>
      <c r="K2249">
        <v>1.121138</v>
      </c>
      <c r="L2249">
        <v>284.65129999999999</v>
      </c>
      <c r="M2249">
        <v>-0.99989550000000005</v>
      </c>
      <c r="N2249">
        <v>-1.1738820000000001E-2</v>
      </c>
      <c r="O2249">
        <v>-8.4563150000000007E-3</v>
      </c>
      <c r="P2249">
        <v>-0.98244889999999996</v>
      </c>
      <c r="Q2249">
        <v>0.18499789999999999</v>
      </c>
      <c r="R2249">
        <v>2.3878489999999999E-2</v>
      </c>
      <c r="S2249">
        <v>-3.099091</v>
      </c>
      <c r="T2249">
        <v>-0.1832935</v>
      </c>
      <c r="U2249">
        <v>-0.4386292</v>
      </c>
      <c r="V2249">
        <v>3.2142129999999998E-2</v>
      </c>
      <c r="W2249">
        <v>0.19652249999999999</v>
      </c>
      <c r="X2249">
        <v>0.97997239999999997</v>
      </c>
      <c r="Y2249">
        <v>-0.13149820000000001</v>
      </c>
      <c r="Z2249">
        <v>-4.2441090000000002E-3</v>
      </c>
      <c r="AA2249">
        <v>0.9913073</v>
      </c>
      <c r="AB2249">
        <v>36</v>
      </c>
      <c r="AC2249">
        <v>-18.755600000000001</v>
      </c>
      <c r="AD2249">
        <v>-1.1211348763369999</v>
      </c>
      <c r="AE2249">
        <v>-2.68110000000001</v>
      </c>
      <c r="AF2249">
        <v>-2.5135883341090399</v>
      </c>
      <c r="AG2249">
        <v>-1.1211348763369999</v>
      </c>
      <c r="AH2249">
        <v>18.712080537991799</v>
      </c>
      <c r="AI2249">
        <v>93.398328467423696</v>
      </c>
      <c r="AJ2249">
        <v>97.650726980180195</v>
      </c>
      <c r="AK2249">
        <v>18.9134086770365</v>
      </c>
      <c r="AL2249">
        <v>78.666323111848996</v>
      </c>
      <c r="AM2249">
        <v>88.121428283278803</v>
      </c>
      <c r="AN2249">
        <v>1.00000005714447</v>
      </c>
    </row>
    <row r="2250" spans="1:40" x14ac:dyDescent="0.25">
      <c r="A2250" t="str">
        <f>"20190303162823085"</f>
        <v>20190303162823085</v>
      </c>
      <c r="B2250" t="str">
        <f>"1551601703073477"</f>
        <v>1551601703073477</v>
      </c>
      <c r="C2250" t="s">
        <v>40</v>
      </c>
      <c r="D2250">
        <v>4.903124</v>
      </c>
      <c r="E2250">
        <v>0.4338245</v>
      </c>
      <c r="F2250" t="s">
        <v>49</v>
      </c>
      <c r="G2250">
        <v>-427.96030000000002</v>
      </c>
      <c r="H2250" s="1">
        <v>2.8163259999999999E-6</v>
      </c>
      <c r="I2250">
        <v>281.5994</v>
      </c>
      <c r="J2250">
        <v>-407.63810000000001</v>
      </c>
      <c r="K2250">
        <v>1.1211370000000001</v>
      </c>
      <c r="L2250">
        <v>284.64830000000001</v>
      </c>
      <c r="M2250">
        <v>-0.99989439999999996</v>
      </c>
      <c r="N2250">
        <v>-1.174278E-2</v>
      </c>
      <c r="O2250">
        <v>-8.5635039999999996E-3</v>
      </c>
      <c r="P2250">
        <v>-0.98243639999999999</v>
      </c>
      <c r="Q2250">
        <v>0.18520130000000001</v>
      </c>
      <c r="R2250">
        <v>2.2782609999999998E-2</v>
      </c>
      <c r="S2250">
        <v>-3.0962830000000001</v>
      </c>
      <c r="T2250">
        <v>-0.16793379999999999</v>
      </c>
      <c r="U2250">
        <v>-0.45715329999999899</v>
      </c>
      <c r="V2250">
        <v>3.1151310000000001E-2</v>
      </c>
      <c r="W2250">
        <v>0.19672919999999999</v>
      </c>
      <c r="X2250">
        <v>0.97996289999999997</v>
      </c>
      <c r="Y2250">
        <v>-0.13735129999999901</v>
      </c>
      <c r="Z2250">
        <v>-4.1519800000000004E-3</v>
      </c>
      <c r="AA2250">
        <v>0.99051369999999905</v>
      </c>
      <c r="AB2250">
        <v>36</v>
      </c>
      <c r="AC2250">
        <v>-20.322199999999999</v>
      </c>
      <c r="AD2250">
        <v>-1.1211341836740001</v>
      </c>
      <c r="AE2250">
        <v>-3.0489000000000002</v>
      </c>
      <c r="AF2250">
        <v>-2.8662156415861699</v>
      </c>
      <c r="AG2250">
        <v>-1.1211341836740001</v>
      </c>
      <c r="AH2250">
        <v>20.2871808721383</v>
      </c>
      <c r="AI2250">
        <v>93.1320877409959</v>
      </c>
      <c r="AJ2250">
        <v>98.041644822646305</v>
      </c>
      <c r="AK2250">
        <v>20.519304123208801</v>
      </c>
      <c r="AL2250">
        <v>78.654244010875303</v>
      </c>
      <c r="AM2250">
        <v>88.179280292650802</v>
      </c>
      <c r="AN2250">
        <v>1.00000003381188</v>
      </c>
    </row>
    <row r="2251" spans="1:40" x14ac:dyDescent="0.25">
      <c r="A2251" t="str">
        <f>"20190303162823099"</f>
        <v>20190303162823099</v>
      </c>
      <c r="B2251" t="str">
        <f>"1551601703093974"</f>
        <v>1551601703093974</v>
      </c>
      <c r="C2251" t="s">
        <v>40</v>
      </c>
      <c r="D2251">
        <v>4.875515</v>
      </c>
      <c r="E2251">
        <v>0.43322660000000002</v>
      </c>
      <c r="F2251" t="s">
        <v>49</v>
      </c>
      <c r="G2251">
        <v>-429.3331</v>
      </c>
      <c r="H2251" s="1">
        <v>2.5950000000000001E-6</v>
      </c>
      <c r="I2251">
        <v>281.34559999999999</v>
      </c>
      <c r="J2251">
        <v>-407.87610000000001</v>
      </c>
      <c r="K2251">
        <v>1.121138</v>
      </c>
      <c r="L2251">
        <v>284.64609999999999</v>
      </c>
      <c r="M2251">
        <v>-0.9998937</v>
      </c>
      <c r="N2251">
        <v>-1.1745240000000001E-2</v>
      </c>
      <c r="O2251">
        <v>-8.6368299999999999E-3</v>
      </c>
      <c r="P2251">
        <v>-0.98245890000000002</v>
      </c>
      <c r="Q2251">
        <v>0.1851283</v>
      </c>
      <c r="R2251">
        <v>2.240572E-2</v>
      </c>
      <c r="S2251">
        <v>-3.0946660000000001</v>
      </c>
      <c r="T2251">
        <v>-0.15992310000000001</v>
      </c>
      <c r="U2251">
        <v>-0.47109990000000002</v>
      </c>
      <c r="V2251">
        <v>3.0846709999999999E-2</v>
      </c>
      <c r="W2251">
        <v>0.1966591</v>
      </c>
      <c r="X2251">
        <v>0.97998660000000004</v>
      </c>
      <c r="Y2251">
        <v>-0.141730299999999</v>
      </c>
      <c r="Z2251">
        <v>-4.1339599999999999E-3</v>
      </c>
      <c r="AA2251">
        <v>0.98989669999999996</v>
      </c>
      <c r="AB2251">
        <v>36</v>
      </c>
      <c r="AC2251">
        <v>-21.456999999999901</v>
      </c>
      <c r="AD2251">
        <v>-1.121135405</v>
      </c>
      <c r="AE2251">
        <v>-3.3004999999999902</v>
      </c>
      <c r="AF2251">
        <v>-3.1067579227593001</v>
      </c>
      <c r="AG2251">
        <v>-1.121135405</v>
      </c>
      <c r="AH2251">
        <v>21.4275602068799</v>
      </c>
      <c r="AI2251">
        <v>92.964167729717303</v>
      </c>
      <c r="AJ2251">
        <v>98.249763132829401</v>
      </c>
      <c r="AK2251">
        <v>21.680618667520399</v>
      </c>
      <c r="AL2251">
        <v>78.658340410365994</v>
      </c>
      <c r="AM2251">
        <v>88.197115201015805</v>
      </c>
      <c r="AN2251">
        <v>1.0000000286550901</v>
      </c>
    </row>
    <row r="2252" spans="1:40" x14ac:dyDescent="0.25">
      <c r="A2252" t="str">
        <f>"20190303162823121"</f>
        <v>20190303162823121</v>
      </c>
      <c r="B2252" t="str">
        <f>"1551601703113494"</f>
        <v>1551601703113494</v>
      </c>
      <c r="C2252" t="s">
        <v>40</v>
      </c>
      <c r="D2252">
        <v>4.9125589999999999</v>
      </c>
      <c r="E2252">
        <v>0.43284699999999998</v>
      </c>
      <c r="F2252" t="s">
        <v>49</v>
      </c>
      <c r="G2252">
        <v>-429.07729999999998</v>
      </c>
      <c r="H2252" s="1">
        <v>2.6374579999999998E-6</v>
      </c>
      <c r="I2252">
        <v>281.37900000000002</v>
      </c>
      <c r="J2252">
        <v>-408.20870000000002</v>
      </c>
      <c r="K2252">
        <v>1.1211329999999999</v>
      </c>
      <c r="L2252">
        <v>284.6431</v>
      </c>
      <c r="M2252">
        <v>-0.99989300000000003</v>
      </c>
      <c r="N2252">
        <v>-1.1748440000000001E-2</v>
      </c>
      <c r="O2252">
        <v>-8.7398400000000005E-3</v>
      </c>
      <c r="P2252">
        <v>-0.98251379999999999</v>
      </c>
      <c r="Q2252">
        <v>0.1849645</v>
      </c>
      <c r="R2252">
        <v>2.133753E-2</v>
      </c>
      <c r="S2252">
        <v>-3.0952760000000001</v>
      </c>
      <c r="T2252">
        <v>-0.1636802</v>
      </c>
      <c r="U2252">
        <v>-0.47698970000000002</v>
      </c>
      <c r="V2252">
        <v>2.988035E-2</v>
      </c>
      <c r="W2252">
        <v>0.1964987</v>
      </c>
      <c r="X2252">
        <v>0.98004869999999999</v>
      </c>
      <c r="Y2252">
        <v>-0.14342750000000001</v>
      </c>
      <c r="Z2252">
        <v>-4.2586209999999998E-3</v>
      </c>
      <c r="AA2252">
        <v>0.98965170000000002</v>
      </c>
      <c r="AB2252">
        <v>36</v>
      </c>
      <c r="AC2252">
        <v>-20.868599999999901</v>
      </c>
      <c r="AD2252">
        <v>-1.1211303625419999</v>
      </c>
      <c r="AE2252">
        <v>-3.26409999999998</v>
      </c>
      <c r="AF2252">
        <v>-3.07291730154083</v>
      </c>
      <c r="AG2252">
        <v>-1.1211303625419999</v>
      </c>
      <c r="AH2252">
        <v>20.8376272892915</v>
      </c>
      <c r="AI2252">
        <v>93.046836100384198</v>
      </c>
      <c r="AJ2252">
        <v>98.388924294099795</v>
      </c>
      <c r="AK2252">
        <v>21.092806002980002</v>
      </c>
      <c r="AL2252">
        <v>78.667713377845004</v>
      </c>
      <c r="AM2252">
        <v>88.253670691813994</v>
      </c>
      <c r="AN2252">
        <v>1.0000000143947501</v>
      </c>
    </row>
    <row r="2253" spans="1:40" x14ac:dyDescent="0.25">
      <c r="A2253" t="str">
        <f>"20190303162823141"</f>
        <v>20190303162823141</v>
      </c>
      <c r="B2253" t="str">
        <f>"1551601703133990"</f>
        <v>1551601703133990</v>
      </c>
      <c r="C2253" t="s">
        <v>40</v>
      </c>
      <c r="D2253">
        <v>4.9261200000000001</v>
      </c>
      <c r="E2253">
        <v>0.43270969999999997</v>
      </c>
      <c r="F2253" t="s">
        <v>49</v>
      </c>
      <c r="G2253">
        <v>-428.99040000000002</v>
      </c>
      <c r="H2253" s="1">
        <v>2.651141E-6</v>
      </c>
      <c r="I2253">
        <v>281.39890000000003</v>
      </c>
      <c r="J2253">
        <v>-408.55090000000001</v>
      </c>
      <c r="K2253">
        <v>1.1211310000000001</v>
      </c>
      <c r="L2253">
        <v>284.64</v>
      </c>
      <c r="M2253">
        <v>-0.99989209999999995</v>
      </c>
      <c r="N2253">
        <v>-1.175139E-2</v>
      </c>
      <c r="O2253">
        <v>-8.8451160000000001E-3</v>
      </c>
      <c r="P2253">
        <v>-0.98257640000000002</v>
      </c>
      <c r="Q2253">
        <v>0.18472479999999999</v>
      </c>
      <c r="R2253">
        <v>2.0509019999999999E-2</v>
      </c>
      <c r="S2253">
        <v>-3.0953369999999998</v>
      </c>
      <c r="T2253">
        <v>-0.16698769999999999</v>
      </c>
      <c r="U2253">
        <v>-0.48321530000000001</v>
      </c>
      <c r="V2253">
        <v>2.9155850000000001E-2</v>
      </c>
      <c r="W2253">
        <v>0.19626260000000001</v>
      </c>
      <c r="X2253">
        <v>0.98011780000000004</v>
      </c>
      <c r="Y2253">
        <v>-0.1452523</v>
      </c>
      <c r="Z2253">
        <v>-4.3804500000000001E-3</v>
      </c>
      <c r="AA2253">
        <v>0.98938490000000001</v>
      </c>
      <c r="AB2253">
        <v>36</v>
      </c>
      <c r="AC2253">
        <v>-20.439499999999999</v>
      </c>
      <c r="AD2253">
        <v>-1.12112834885899</v>
      </c>
      <c r="AE2253">
        <v>-3.2410999999999599</v>
      </c>
      <c r="AF2253">
        <v>-3.0512161674944398</v>
      </c>
      <c r="AG2253">
        <v>-1.12112834885899</v>
      </c>
      <c r="AH2253">
        <v>20.407477436775</v>
      </c>
      <c r="AI2253">
        <v>93.110004702278005</v>
      </c>
      <c r="AJ2253">
        <v>98.5035652277341</v>
      </c>
      <c r="AK2253">
        <v>20.664752217432302</v>
      </c>
      <c r="AL2253">
        <v>78.681509237696204</v>
      </c>
      <c r="AM2253">
        <v>88.296108212822006</v>
      </c>
      <c r="AN2253">
        <v>0.99999998681241098</v>
      </c>
    </row>
    <row r="2254" spans="1:40" x14ac:dyDescent="0.25">
      <c r="A2254" t="str">
        <f>"20190303162823163"</f>
        <v>20190303162823163</v>
      </c>
      <c r="B2254" t="str">
        <f>"1551601703153510"</f>
        <v>1551601703153510</v>
      </c>
      <c r="C2254" t="s">
        <v>40</v>
      </c>
      <c r="D2254">
        <v>5.0026970000000004</v>
      </c>
      <c r="E2254">
        <v>0.43311319999999998</v>
      </c>
      <c r="F2254" t="s">
        <v>49</v>
      </c>
      <c r="G2254">
        <v>-428.97449999999998</v>
      </c>
      <c r="H2254" s="1">
        <v>2.6511069999999999E-6</v>
      </c>
      <c r="I2254">
        <v>281.4314</v>
      </c>
      <c r="J2254">
        <v>-408.88990000000001</v>
      </c>
      <c r="K2254">
        <v>1.121132</v>
      </c>
      <c r="L2254">
        <v>284.63690000000003</v>
      </c>
      <c r="M2254">
        <v>-0.99989099999999997</v>
      </c>
      <c r="N2254">
        <v>-1.175383E-2</v>
      </c>
      <c r="O2254">
        <v>-8.9497899999999991E-3</v>
      </c>
      <c r="P2254">
        <v>-0.9826279</v>
      </c>
      <c r="Q2254">
        <v>0.18450620000000001</v>
      </c>
      <c r="R2254">
        <v>2.0005040000000002E-2</v>
      </c>
      <c r="S2254">
        <v>-3.0953369999999998</v>
      </c>
      <c r="T2254">
        <v>-0.1699145</v>
      </c>
      <c r="U2254">
        <v>-0.4862976</v>
      </c>
      <c r="V2254">
        <v>2.8755309999999999E-2</v>
      </c>
      <c r="W2254">
        <v>0.196047</v>
      </c>
      <c r="X2254">
        <v>0.98017279999999996</v>
      </c>
      <c r="Y2254">
        <v>-0.14610119999999999</v>
      </c>
      <c r="Z2254">
        <v>-4.4639620000000001E-3</v>
      </c>
      <c r="AA2254">
        <v>0.98925960000000002</v>
      </c>
      <c r="AB2254">
        <v>36</v>
      </c>
      <c r="AC2254">
        <v>-20.084599999999899</v>
      </c>
      <c r="AD2254">
        <v>-1.1211293488930001</v>
      </c>
      <c r="AE2254">
        <v>-3.2055000000000202</v>
      </c>
      <c r="AF2254">
        <v>-3.0164407581405599</v>
      </c>
      <c r="AG2254">
        <v>-1.1211293488930001</v>
      </c>
      <c r="AH2254">
        <v>20.051559088814798</v>
      </c>
      <c r="AI2254">
        <v>93.164673309930706</v>
      </c>
      <c r="AJ2254">
        <v>98.5550958714866</v>
      </c>
      <c r="AK2254">
        <v>20.308147816985901</v>
      </c>
      <c r="AL2254">
        <v>78.694107163681394</v>
      </c>
      <c r="AM2254">
        <v>88.319596826190704</v>
      </c>
      <c r="AN2254">
        <v>1.0000000059610099</v>
      </c>
    </row>
    <row r="2255" spans="1:40" x14ac:dyDescent="0.25">
      <c r="A2255" t="str">
        <f>"20190303162823186"</f>
        <v>20190303162823186</v>
      </c>
      <c r="B2255" t="str">
        <f>"1551601703174006"</f>
        <v>1551601703174006</v>
      </c>
      <c r="C2255" t="s">
        <v>40</v>
      </c>
      <c r="D2255">
        <v>4.9213120000000004</v>
      </c>
      <c r="E2255">
        <v>0.43354140000000002</v>
      </c>
      <c r="F2255" t="s">
        <v>49</v>
      </c>
      <c r="G2255">
        <v>-429.88209999999998</v>
      </c>
      <c r="H2255" s="1">
        <v>2.4974890000000001E-6</v>
      </c>
      <c r="I2255">
        <v>281.34699999999998</v>
      </c>
      <c r="J2255">
        <v>-409.24979999999999</v>
      </c>
      <c r="K2255">
        <v>1.121129</v>
      </c>
      <c r="L2255">
        <v>284.6336</v>
      </c>
      <c r="M2255">
        <v>-0.9998899</v>
      </c>
      <c r="N2255">
        <v>-1.175616E-2</v>
      </c>
      <c r="O2255">
        <v>-9.0604280000000006E-3</v>
      </c>
      <c r="P2255">
        <v>-0.98265550000000002</v>
      </c>
      <c r="Q2255">
        <v>0.1843793</v>
      </c>
      <c r="R2255">
        <v>1.9817709999999999E-2</v>
      </c>
      <c r="S2255">
        <v>-3.0939329999999998</v>
      </c>
      <c r="T2255">
        <v>-0.165237299999999</v>
      </c>
      <c r="U2255">
        <v>-0.48489379999999999</v>
      </c>
      <c r="V2255">
        <v>2.867697E-2</v>
      </c>
      <c r="W2255">
        <v>0.1959226</v>
      </c>
      <c r="X2255">
        <v>0.98019990000000001</v>
      </c>
      <c r="Y2255">
        <v>-0.1456356</v>
      </c>
      <c r="Z2255">
        <v>-4.3499940000000003E-3</v>
      </c>
      <c r="AA2255">
        <v>0.98932869999999995</v>
      </c>
      <c r="AB2255">
        <v>36</v>
      </c>
      <c r="AC2255">
        <v>-20.632299999999901</v>
      </c>
      <c r="AD2255">
        <v>-1.121126502511</v>
      </c>
      <c r="AE2255">
        <v>-3.2866000000000199</v>
      </c>
      <c r="AF2255">
        <v>-3.0906149806815799</v>
      </c>
      <c r="AG2255">
        <v>-1.121126502511</v>
      </c>
      <c r="AH2255">
        <v>20.601907906386401</v>
      </c>
      <c r="AI2255">
        <v>93.080479987595496</v>
      </c>
      <c r="AJ2255">
        <v>98.531659894434597</v>
      </c>
      <c r="AK2255">
        <v>20.862584570869199</v>
      </c>
      <c r="AL2255">
        <v>78.701374950266199</v>
      </c>
      <c r="AM2255">
        <v>88.324218551929206</v>
      </c>
      <c r="AN2255">
        <v>0.99999993887957295</v>
      </c>
    </row>
    <row r="2256" spans="1:40" x14ac:dyDescent="0.25">
      <c r="A2256" t="str">
        <f>"20190303162823200"</f>
        <v>20190303162823200</v>
      </c>
      <c r="B2256" t="str">
        <f>"1551601703193526"</f>
        <v>1551601703193526</v>
      </c>
      <c r="C2256" t="s">
        <v>40</v>
      </c>
      <c r="D2256">
        <v>4.9576000000000002</v>
      </c>
      <c r="E2256">
        <v>0.43315969999999998</v>
      </c>
      <c r="F2256" t="s">
        <v>49</v>
      </c>
      <c r="G2256">
        <v>-430.70569999999998</v>
      </c>
      <c r="H2256" s="1">
        <v>2.8205930000000002E-6</v>
      </c>
      <c r="I2256">
        <v>281.2919</v>
      </c>
      <c r="J2256">
        <v>-409.4966</v>
      </c>
      <c r="K2256">
        <v>1.1211279999999999</v>
      </c>
      <c r="L2256">
        <v>284.63130000000001</v>
      </c>
      <c r="M2256">
        <v>-0.99988929999999998</v>
      </c>
      <c r="N2256">
        <v>-1.175766E-2</v>
      </c>
      <c r="O2256">
        <v>-9.1362530000000004E-3</v>
      </c>
      <c r="P2256">
        <v>-0.9826182</v>
      </c>
      <c r="Q2256">
        <v>0.18457979999999999</v>
      </c>
      <c r="R2256">
        <v>1.9802670000000001E-2</v>
      </c>
      <c r="S2256">
        <v>-3.0929570000000002</v>
      </c>
      <c r="T2256">
        <v>-0.16161439999999999</v>
      </c>
      <c r="U2256">
        <v>-0.48171999999999998</v>
      </c>
      <c r="V2256">
        <v>2.8736049999999999E-2</v>
      </c>
      <c r="W2256">
        <v>0.1961242</v>
      </c>
      <c r="X2256">
        <v>0.98015790000000003</v>
      </c>
      <c r="Y2256">
        <v>-0.14462809999999901</v>
      </c>
      <c r="Z2256">
        <v>-4.2421150000000003E-3</v>
      </c>
      <c r="AA2256">
        <v>0.98947700000000005</v>
      </c>
      <c r="AB2256">
        <v>36</v>
      </c>
      <c r="AC2256">
        <v>-21.2090999999999</v>
      </c>
      <c r="AD2256">
        <v>-1.1211251794069901</v>
      </c>
      <c r="AE2256">
        <v>-3.3394000000000101</v>
      </c>
      <c r="AF2256">
        <v>-3.1369222681775</v>
      </c>
      <c r="AG2256">
        <v>-1.1211251794069901</v>
      </c>
      <c r="AH2256">
        <v>21.1809734148442</v>
      </c>
      <c r="AI2256">
        <v>92.997250323562</v>
      </c>
      <c r="AJ2256">
        <v>98.424322783002694</v>
      </c>
      <c r="AK2256">
        <v>21.441334794849499</v>
      </c>
      <c r="AL2256">
        <v>78.689596127722496</v>
      </c>
      <c r="AM2256">
        <v>88.320696184501998</v>
      </c>
      <c r="AN2256">
        <v>0.99999998566382597</v>
      </c>
    </row>
    <row r="2257" spans="1:40" x14ac:dyDescent="0.25">
      <c r="A2257" t="str">
        <f>"20190303162823214"</f>
        <v>20190303162823214</v>
      </c>
      <c r="B2257" t="str">
        <f>"1551601703203286"</f>
        <v>1551601703203286</v>
      </c>
      <c r="C2257" t="s">
        <v>40</v>
      </c>
      <c r="D2257">
        <v>4.9295949999999999</v>
      </c>
      <c r="E2257">
        <v>0.43299280000000001</v>
      </c>
      <c r="F2257" t="s">
        <v>49</v>
      </c>
      <c r="G2257">
        <v>-430.51740000000001</v>
      </c>
      <c r="H2257" s="1">
        <v>2.7332010000000002E-6</v>
      </c>
      <c r="I2257">
        <v>281.33609999999999</v>
      </c>
      <c r="J2257">
        <v>-409.71550000000002</v>
      </c>
      <c r="K2257">
        <v>1.121129</v>
      </c>
      <c r="L2257">
        <v>284.62920000000003</v>
      </c>
      <c r="M2257">
        <v>-0.99988860000000002</v>
      </c>
      <c r="N2257">
        <v>-1.1758920000000001E-2</v>
      </c>
      <c r="O2257">
        <v>-9.2037319999999992E-3</v>
      </c>
      <c r="P2257">
        <v>-0.9826279</v>
      </c>
      <c r="Q2257">
        <v>0.18452080000000001</v>
      </c>
      <c r="R2257">
        <v>1.987148E-2</v>
      </c>
      <c r="S2257">
        <v>-3.0938720000000002</v>
      </c>
      <c r="T2257">
        <v>-0.16500870000000001</v>
      </c>
      <c r="U2257">
        <v>-0.48498540000000001</v>
      </c>
      <c r="V2257">
        <v>2.8871129999999998E-2</v>
      </c>
      <c r="W2257">
        <v>0.19606660000000001</v>
      </c>
      <c r="X2257">
        <v>0.98016550000000002</v>
      </c>
      <c r="Y2257">
        <v>-0.14552619999999999</v>
      </c>
      <c r="Z2257">
        <v>-4.3361479999999997E-3</v>
      </c>
      <c r="AA2257">
        <v>0.98934489999999997</v>
      </c>
      <c r="AB2257">
        <v>36</v>
      </c>
      <c r="AC2257">
        <v>-20.8018999999999</v>
      </c>
      <c r="AD2257">
        <v>-1.1211262667990001</v>
      </c>
      <c r="AE2257">
        <v>-3.2931000000000301</v>
      </c>
      <c r="AF2257">
        <v>-3.0927283179014702</v>
      </c>
      <c r="AG2257">
        <v>-1.1211262667990001</v>
      </c>
      <c r="AH2257">
        <v>20.7724668624484</v>
      </c>
      <c r="AI2257">
        <v>93.055737987703907</v>
      </c>
      <c r="AJ2257">
        <v>98.468329257060802</v>
      </c>
      <c r="AK2257">
        <v>21.031340235609701</v>
      </c>
      <c r="AL2257">
        <v>78.692962222653307</v>
      </c>
      <c r="AM2257">
        <v>88.312819881279694</v>
      </c>
      <c r="AN2257">
        <v>1.0000000305866401</v>
      </c>
    </row>
    <row r="2258" spans="1:40" x14ac:dyDescent="0.25">
      <c r="A2258" t="str">
        <f>"20190303162823230"</f>
        <v>20190303162823230</v>
      </c>
      <c r="B2258" t="str">
        <f>"1551601703223782"</f>
        <v>1551601703223782</v>
      </c>
      <c r="C2258" t="s">
        <v>40</v>
      </c>
      <c r="D2258">
        <v>4.9855960000000001</v>
      </c>
      <c r="E2258">
        <v>0.43261339999999998</v>
      </c>
      <c r="F2258" t="s">
        <v>49</v>
      </c>
      <c r="G2258">
        <v>-430.70400000000001</v>
      </c>
      <c r="H2258" s="1">
        <v>2.8162700000000001E-6</v>
      </c>
      <c r="I2258">
        <v>281.33249999999998</v>
      </c>
      <c r="J2258">
        <v>-409.9701</v>
      </c>
      <c r="K2258">
        <v>1.12113</v>
      </c>
      <c r="L2258">
        <v>284.62689999999998</v>
      </c>
      <c r="M2258">
        <v>-0.99988790000000005</v>
      </c>
      <c r="N2258">
        <v>-1.176031E-2</v>
      </c>
      <c r="O2258">
        <v>-9.2818220000000003E-3</v>
      </c>
      <c r="P2258">
        <v>-0.98264090000000004</v>
      </c>
      <c r="Q2258">
        <v>0.18444379999999999</v>
      </c>
      <c r="R2258">
        <v>1.9938279999999999E-2</v>
      </c>
      <c r="S2258">
        <v>-3.0938720000000002</v>
      </c>
      <c r="T2258">
        <v>-0.16526289999999999</v>
      </c>
      <c r="U2258">
        <v>-0.4859619</v>
      </c>
      <c r="V2258">
        <v>2.9014599999999901E-2</v>
      </c>
      <c r="W2258">
        <v>0.1959909</v>
      </c>
      <c r="X2258">
        <v>0.98017639999999995</v>
      </c>
      <c r="Y2258">
        <v>-0.14575270000000001</v>
      </c>
      <c r="Z2258">
        <v>-4.345504E-3</v>
      </c>
      <c r="AA2258">
        <v>0.98931150000000001</v>
      </c>
      <c r="AB2258">
        <v>36</v>
      </c>
      <c r="AC2258">
        <v>-20.733899999999998</v>
      </c>
      <c r="AD2258">
        <v>-1.1211271837300001</v>
      </c>
      <c r="AE2258">
        <v>-3.2943999999999898</v>
      </c>
      <c r="AF2258">
        <v>-3.0929758524916302</v>
      </c>
      <c r="AG2258">
        <v>-1.1211271837300001</v>
      </c>
      <c r="AH2258">
        <v>20.704541564600799</v>
      </c>
      <c r="AI2258">
        <v>93.065522965064005</v>
      </c>
      <c r="AJ2258">
        <v>98.496376536357303</v>
      </c>
      <c r="AK2258">
        <v>20.964290285780599</v>
      </c>
      <c r="AL2258">
        <v>78.697385294214101</v>
      </c>
      <c r="AM2258">
        <v>88.304459462953801</v>
      </c>
      <c r="AN2258">
        <v>1.00000002750646</v>
      </c>
    </row>
    <row r="2259" spans="1:40" x14ac:dyDescent="0.25">
      <c r="A2259" t="str">
        <f>"20190303162823253"</f>
        <v>20190303162823253</v>
      </c>
      <c r="B2259" t="str">
        <f>"1551601703243302"</f>
        <v>1551601703243302</v>
      </c>
      <c r="C2259" t="s">
        <v>40</v>
      </c>
      <c r="D2259">
        <v>4.9159259999999998</v>
      </c>
      <c r="E2259">
        <v>0.4325135</v>
      </c>
      <c r="F2259" t="s">
        <v>49</v>
      </c>
      <c r="G2259">
        <v>-430.4828</v>
      </c>
      <c r="H2259" s="1">
        <v>2.7133809999999998E-6</v>
      </c>
      <c r="I2259">
        <v>281.38709999999998</v>
      </c>
      <c r="J2259">
        <v>-410.32299999999998</v>
      </c>
      <c r="K2259">
        <v>1.121127</v>
      </c>
      <c r="L2259">
        <v>284.6234</v>
      </c>
      <c r="M2259">
        <v>-0.99988690000000002</v>
      </c>
      <c r="N2259">
        <v>-1.1762119999999999E-2</v>
      </c>
      <c r="O2259">
        <v>-9.3894819999999993E-3</v>
      </c>
      <c r="P2259">
        <v>-0.98275429999999997</v>
      </c>
      <c r="Q2259">
        <v>0.1838755</v>
      </c>
      <c r="R2259">
        <v>1.9600360000000001E-2</v>
      </c>
      <c r="S2259">
        <v>-3.0946660000000001</v>
      </c>
      <c r="T2259">
        <v>-0.16914029999999899</v>
      </c>
      <c r="U2259">
        <v>-0.48876950000000002</v>
      </c>
      <c r="V2259">
        <v>2.878356E-2</v>
      </c>
      <c r="W2259">
        <v>0.1954255</v>
      </c>
      <c r="X2259">
        <v>0.9802961</v>
      </c>
      <c r="Y2259">
        <v>-0.14647189999999999</v>
      </c>
      <c r="Z2259">
        <v>-4.4428559999999898E-3</v>
      </c>
      <c r="AA2259">
        <v>0.98920490000000005</v>
      </c>
      <c r="AB2259">
        <v>36</v>
      </c>
      <c r="AC2259">
        <v>-20.159799999999901</v>
      </c>
      <c r="AD2259">
        <v>-1.1211242866190001</v>
      </c>
      <c r="AE2259">
        <v>-3.2363000000000199</v>
      </c>
      <c r="AF2259">
        <v>-3.0376955737506202</v>
      </c>
      <c r="AG2259">
        <v>-1.1211242866190001</v>
      </c>
      <c r="AH2259">
        <v>20.128613048135801</v>
      </c>
      <c r="AI2259">
        <v>93.152346440243093</v>
      </c>
      <c r="AJ2259">
        <v>98.581991590174795</v>
      </c>
      <c r="AK2259">
        <v>20.387387701871301</v>
      </c>
      <c r="AL2259">
        <v>78.730419175971093</v>
      </c>
      <c r="AM2259">
        <v>88.318158344546603</v>
      </c>
      <c r="AN2259">
        <v>1.0000000315258599</v>
      </c>
    </row>
    <row r="2260" spans="1:40" x14ac:dyDescent="0.25">
      <c r="A2260" t="str">
        <f>"20190303162823274"</f>
        <v>20190303162823274</v>
      </c>
      <c r="B2260" t="str">
        <f>"1551601703263798"</f>
        <v>1551601703263798</v>
      </c>
      <c r="C2260" t="s">
        <v>40</v>
      </c>
      <c r="D2260">
        <v>4.9192989999999996</v>
      </c>
      <c r="E2260">
        <v>0.4324462</v>
      </c>
      <c r="F2260" t="s">
        <v>49</v>
      </c>
      <c r="G2260">
        <v>-430.56189999999998</v>
      </c>
      <c r="H2260" s="1">
        <v>2.7459269999999999E-6</v>
      </c>
      <c r="I2260">
        <v>281.4162</v>
      </c>
      <c r="J2260">
        <v>-410.67809999999997</v>
      </c>
      <c r="K2260">
        <v>1.121132</v>
      </c>
      <c r="L2260">
        <v>284.62</v>
      </c>
      <c r="M2260">
        <v>-0.99988580000000005</v>
      </c>
      <c r="N2260">
        <v>-1.176377E-2</v>
      </c>
      <c r="O2260">
        <v>-9.49821E-3</v>
      </c>
      <c r="P2260">
        <v>-0.98275440000000003</v>
      </c>
      <c r="Q2260">
        <v>0.18385580000000001</v>
      </c>
      <c r="R2260">
        <v>1.9777530000000001E-2</v>
      </c>
      <c r="S2260">
        <v>-3.0944820000000002</v>
      </c>
      <c r="T2260">
        <v>-0.1714176</v>
      </c>
      <c r="U2260">
        <v>-0.49038700000000002</v>
      </c>
      <c r="V2260">
        <v>2.9067590000000001E-2</v>
      </c>
      <c r="W2260">
        <v>0.19540779999999999</v>
      </c>
      <c r="X2260">
        <v>0.98029120000000003</v>
      </c>
      <c r="Y2260">
        <v>-0.146871</v>
      </c>
      <c r="Z2260">
        <v>-4.4983289999999997E-3</v>
      </c>
      <c r="AA2260">
        <v>0.98914550000000001</v>
      </c>
      <c r="AB2260">
        <v>36</v>
      </c>
      <c r="AC2260">
        <v>-19.883800000000001</v>
      </c>
      <c r="AD2260">
        <v>-1.121129254073</v>
      </c>
      <c r="AE2260">
        <v>-3.2038000000000002</v>
      </c>
      <c r="AF2260">
        <v>-3.0054688149766799</v>
      </c>
      <c r="AG2260">
        <v>-1.121129254073</v>
      </c>
      <c r="AH2260">
        <v>19.851820294125801</v>
      </c>
      <c r="AI2260">
        <v>93.195996418947203</v>
      </c>
      <c r="AJ2260">
        <v>98.6089253836534</v>
      </c>
      <c r="AK2260">
        <v>20.109314821554701</v>
      </c>
      <c r="AL2260">
        <v>78.731452716024705</v>
      </c>
      <c r="AM2260">
        <v>88.301563479967797</v>
      </c>
      <c r="AN2260">
        <v>0.99999998494334397</v>
      </c>
    </row>
    <row r="2261" spans="1:40" x14ac:dyDescent="0.25">
      <c r="A2261" t="str">
        <f>"20190303162823290"</f>
        <v>20190303162823290</v>
      </c>
      <c r="B2261" t="str">
        <f>"1551601703283318"</f>
        <v>1551601703283318</v>
      </c>
      <c r="C2261" t="s">
        <v>40</v>
      </c>
      <c r="D2261">
        <v>4.8315890000000001</v>
      </c>
      <c r="E2261">
        <v>0.4324345</v>
      </c>
      <c r="F2261" t="s">
        <v>49</v>
      </c>
      <c r="G2261">
        <v>-430.74009999999998</v>
      </c>
      <c r="H2261" s="1">
        <v>2.823087E-6</v>
      </c>
      <c r="I2261">
        <v>281.43759999999997</v>
      </c>
      <c r="J2261">
        <v>-410.91879999999998</v>
      </c>
      <c r="K2261">
        <v>1.1211329999999999</v>
      </c>
      <c r="L2261">
        <v>284.61770000000001</v>
      </c>
      <c r="M2261">
        <v>-0.99988500000000002</v>
      </c>
      <c r="N2261">
        <v>-1.176482E-2</v>
      </c>
      <c r="O2261">
        <v>-9.5718859999999999E-3</v>
      </c>
      <c r="P2261">
        <v>-0.98270769999999996</v>
      </c>
      <c r="Q2261">
        <v>0.1840976</v>
      </c>
      <c r="R2261">
        <v>1.9848020000000001E-2</v>
      </c>
      <c r="S2261">
        <v>-3.094849</v>
      </c>
      <c r="T2261">
        <v>-0.1729504</v>
      </c>
      <c r="U2261">
        <v>-0.49093629999999999</v>
      </c>
      <c r="V2261">
        <v>2.920992E-2</v>
      </c>
      <c r="W2261">
        <v>0.1956505</v>
      </c>
      <c r="X2261">
        <v>0.98023859999999996</v>
      </c>
      <c r="Y2261">
        <v>-0.1469471</v>
      </c>
      <c r="Z2261">
        <v>-4.5287139999999997E-3</v>
      </c>
      <c r="AA2261">
        <v>0.98913399999999996</v>
      </c>
      <c r="AB2261">
        <v>36</v>
      </c>
      <c r="AC2261">
        <v>-19.821300000000001</v>
      </c>
      <c r="AD2261">
        <v>-1.121130176913</v>
      </c>
      <c r="AE2261">
        <v>-3.1801000000000301</v>
      </c>
      <c r="AF2261">
        <v>-2.9809165730741598</v>
      </c>
      <c r="AG2261">
        <v>-1.121130176913</v>
      </c>
      <c r="AH2261">
        <v>19.789111971013799</v>
      </c>
      <c r="AI2261">
        <v>93.206465007682397</v>
      </c>
      <c r="AJ2261">
        <v>98.566298339936495</v>
      </c>
      <c r="AK2261">
        <v>20.043745884702599</v>
      </c>
      <c r="AL2261">
        <v>78.717273798946493</v>
      </c>
      <c r="AM2261">
        <v>88.293160429911495</v>
      </c>
      <c r="AN2261">
        <v>1.0000000252532999</v>
      </c>
    </row>
    <row r="2262" spans="1:40" x14ac:dyDescent="0.25">
      <c r="A2262" t="str">
        <f>"20190303162823304"</f>
        <v>20190303162823304</v>
      </c>
      <c r="B2262" t="str">
        <f>"1551601703294054"</f>
        <v>1551601703294054</v>
      </c>
      <c r="C2262" t="s">
        <v>40</v>
      </c>
      <c r="D2262">
        <v>4.8237379999999996</v>
      </c>
      <c r="E2262">
        <v>0.43241269999999998</v>
      </c>
      <c r="F2262" t="s">
        <v>49</v>
      </c>
      <c r="G2262">
        <v>-430.63060000000002</v>
      </c>
      <c r="H2262" s="1">
        <v>2.7699099999999998E-6</v>
      </c>
      <c r="I2262">
        <v>281.49029999999999</v>
      </c>
      <c r="J2262">
        <v>-411.14760000000001</v>
      </c>
      <c r="K2262">
        <v>1.121135</v>
      </c>
      <c r="L2262">
        <v>284.61540000000002</v>
      </c>
      <c r="M2262">
        <v>-0.99988440000000001</v>
      </c>
      <c r="N2262">
        <v>-1.176577E-2</v>
      </c>
      <c r="O2262">
        <v>-9.6418670000000001E-3</v>
      </c>
      <c r="P2262">
        <v>-0.9826608</v>
      </c>
      <c r="Q2262">
        <v>0.18434249999999999</v>
      </c>
      <c r="R2262">
        <v>1.9902429999999999E-2</v>
      </c>
      <c r="S2262">
        <v>-3.0957340000000002</v>
      </c>
      <c r="T2262">
        <v>-0.1760737</v>
      </c>
      <c r="U2262">
        <v>-0.49114989999999997</v>
      </c>
      <c r="V2262">
        <v>2.933258E-2</v>
      </c>
      <c r="W2262">
        <v>0.1958955</v>
      </c>
      <c r="X2262">
        <v>0.980186</v>
      </c>
      <c r="Y2262">
        <v>-0.14689240000000001</v>
      </c>
      <c r="Z2262">
        <v>-4.5867219999999997E-3</v>
      </c>
      <c r="AA2262">
        <v>0.98914179999999996</v>
      </c>
      <c r="AB2262">
        <v>36</v>
      </c>
      <c r="AC2262">
        <v>-19.483000000000001</v>
      </c>
      <c r="AD2262">
        <v>-1.12113223009</v>
      </c>
      <c r="AE2262">
        <v>-3.12510000000003</v>
      </c>
      <c r="AF2262">
        <v>-2.9276380349719799</v>
      </c>
      <c r="AG2262">
        <v>-1.12113223009</v>
      </c>
      <c r="AH2262">
        <v>19.449440110104899</v>
      </c>
      <c r="AI2262">
        <v>93.262401939551594</v>
      </c>
      <c r="AJ2262">
        <v>98.5602135792263</v>
      </c>
      <c r="AK2262">
        <v>19.700475185581599</v>
      </c>
      <c r="AL2262">
        <v>78.702959287568206</v>
      </c>
      <c r="AM2262">
        <v>88.285905311916807</v>
      </c>
      <c r="AN2262">
        <v>1.0000000208828499</v>
      </c>
    </row>
    <row r="2263" spans="1:40" x14ac:dyDescent="0.25">
      <c r="A2263" t="str">
        <f>"20190303162823320"</f>
        <v>20190303162823320</v>
      </c>
      <c r="B2263" t="str">
        <f>"1551601703313574"</f>
        <v>1551601703313574</v>
      </c>
      <c r="C2263" t="s">
        <v>40</v>
      </c>
      <c r="D2263">
        <v>4.7849690000000002</v>
      </c>
      <c r="E2263">
        <v>0.43235400000000002</v>
      </c>
      <c r="F2263" t="s">
        <v>49</v>
      </c>
      <c r="G2263">
        <v>-430.8313</v>
      </c>
      <c r="H2263" s="1">
        <v>2.8585359999999898E-6</v>
      </c>
      <c r="I2263">
        <v>281.49450000000002</v>
      </c>
      <c r="J2263">
        <v>-411.42079999999999</v>
      </c>
      <c r="K2263">
        <v>1.1211329999999999</v>
      </c>
      <c r="L2263">
        <v>284.61270000000002</v>
      </c>
      <c r="M2263">
        <v>-0.99988350000000004</v>
      </c>
      <c r="N2263">
        <v>-1.1766850000000001E-2</v>
      </c>
      <c r="O2263">
        <v>-9.7257929999999999E-3</v>
      </c>
      <c r="P2263">
        <v>-0.98264739999999995</v>
      </c>
      <c r="Q2263">
        <v>0.18442649999999999</v>
      </c>
      <c r="R2263">
        <v>1.9774400000000001E-2</v>
      </c>
      <c r="S2263">
        <v>-3.0959780000000001</v>
      </c>
      <c r="T2263">
        <v>-0.17633960000000001</v>
      </c>
      <c r="U2263">
        <v>-0.49087520000000001</v>
      </c>
      <c r="V2263">
        <v>2.9286719999999999E-2</v>
      </c>
      <c r="W2263">
        <v>0.1959806</v>
      </c>
      <c r="X2263">
        <v>0.98017030000000005</v>
      </c>
      <c r="Y2263">
        <v>-0.14671149999999999</v>
      </c>
      <c r="Z2263">
        <v>-4.5820330000000001E-3</v>
      </c>
      <c r="AA2263">
        <v>0.98916870000000001</v>
      </c>
      <c r="AB2263">
        <v>36</v>
      </c>
      <c r="AC2263">
        <v>-19.410499999999999</v>
      </c>
      <c r="AD2263">
        <v>-1.121130141464</v>
      </c>
      <c r="AE2263">
        <v>-3.1181999999999999</v>
      </c>
      <c r="AF2263">
        <v>-2.91976137372516</v>
      </c>
      <c r="AG2263">
        <v>-1.121130141464</v>
      </c>
      <c r="AH2263">
        <v>19.3768939650503</v>
      </c>
      <c r="AI2263">
        <v>93.274508020637498</v>
      </c>
      <c r="AJ2263">
        <v>98.569013027122097</v>
      </c>
      <c r="AK2263">
        <v>19.627683485485498</v>
      </c>
      <c r="AL2263">
        <v>78.697986364952797</v>
      </c>
      <c r="AM2263">
        <v>88.288556220455902</v>
      </c>
      <c r="AN2263">
        <v>0.99999996227340304</v>
      </c>
    </row>
    <row r="2264" spans="1:40" x14ac:dyDescent="0.25">
      <c r="A2264" t="str">
        <f>"20190303162823342"</f>
        <v>20190303162823342</v>
      </c>
      <c r="B2264" t="str">
        <f>"1551601703334070"</f>
        <v>1551601703334070</v>
      </c>
      <c r="C2264" t="s">
        <v>40</v>
      </c>
      <c r="D2264">
        <v>4.7655699999999896</v>
      </c>
      <c r="E2264">
        <v>0.43227339999999997</v>
      </c>
      <c r="F2264" t="s">
        <v>49</v>
      </c>
      <c r="G2264">
        <v>-430.94880000000001</v>
      </c>
      <c r="H2264" s="1">
        <v>2.9091959999999999E-6</v>
      </c>
      <c r="I2264">
        <v>281.51139999999998</v>
      </c>
      <c r="J2264">
        <v>-411.76010000000002</v>
      </c>
      <c r="K2264">
        <v>1.1211279999999999</v>
      </c>
      <c r="L2264">
        <v>284.60930000000002</v>
      </c>
      <c r="M2264">
        <v>-0.99988259999999995</v>
      </c>
      <c r="N2264">
        <v>-1.176817E-2</v>
      </c>
      <c r="O2264">
        <v>-9.8297499999999999E-3</v>
      </c>
      <c r="P2264">
        <v>-0.98271929999999996</v>
      </c>
      <c r="Q2264">
        <v>0.18401870000000001</v>
      </c>
      <c r="R2264">
        <v>2.0005760000000001E-2</v>
      </c>
      <c r="S2264">
        <v>-3.0962519999999998</v>
      </c>
      <c r="T2264">
        <v>-0.17776040000000001</v>
      </c>
      <c r="U2264">
        <v>-0.49172969999999999</v>
      </c>
      <c r="V2264">
        <v>2.962093E-2</v>
      </c>
      <c r="W2264">
        <v>0.19557469999999999</v>
      </c>
      <c r="X2264">
        <v>0.98024140000000004</v>
      </c>
      <c r="Y2264">
        <v>-0.14685719999999999</v>
      </c>
      <c r="Z2264">
        <v>-4.611034E-3</v>
      </c>
      <c r="AA2264">
        <v>0.98914690000000005</v>
      </c>
      <c r="AB2264">
        <v>36</v>
      </c>
      <c r="AC2264">
        <v>-19.188699999999901</v>
      </c>
      <c r="AD2264">
        <v>-1.121125090804</v>
      </c>
      <c r="AE2264">
        <v>-3.0979000000000299</v>
      </c>
      <c r="AF2264">
        <v>-2.89947084354514</v>
      </c>
      <c r="AG2264">
        <v>-1.121125090804</v>
      </c>
      <c r="AH2264">
        <v>19.1545009751561</v>
      </c>
      <c r="AI2264">
        <v>93.312090763384504</v>
      </c>
      <c r="AJ2264">
        <v>98.607676077175498</v>
      </c>
      <c r="AK2264">
        <v>19.4051220106717</v>
      </c>
      <c r="AL2264">
        <v>78.721702456529599</v>
      </c>
      <c r="AM2264">
        <v>88.269163101571607</v>
      </c>
      <c r="AN2264">
        <v>1.0000000325240499</v>
      </c>
    </row>
    <row r="2265" spans="1:40" x14ac:dyDescent="0.25">
      <c r="A2265" t="str">
        <f>"20190303162823365"</f>
        <v>20190303162823365</v>
      </c>
      <c r="B2265" t="str">
        <f>"1551601703353591"</f>
        <v>1551601703353591</v>
      </c>
      <c r="C2265" t="s">
        <v>40</v>
      </c>
      <c r="D2265">
        <v>4.6744070000000004</v>
      </c>
      <c r="E2265">
        <v>0.43223879999999998</v>
      </c>
      <c r="F2265" t="s">
        <v>49</v>
      </c>
      <c r="G2265">
        <v>-431.17599999999999</v>
      </c>
      <c r="H2265" s="1">
        <v>3.0085629999999999E-6</v>
      </c>
      <c r="I2265">
        <v>281.52690000000001</v>
      </c>
      <c r="J2265">
        <v>-412.11009999999999</v>
      </c>
      <c r="K2265">
        <v>1.121129</v>
      </c>
      <c r="L2265">
        <v>284.60579999999999</v>
      </c>
      <c r="M2265">
        <v>-0.99988149999999998</v>
      </c>
      <c r="N2265">
        <v>-1.1769470000000001E-2</v>
      </c>
      <c r="O2265">
        <v>-9.9375179999999994E-3</v>
      </c>
      <c r="P2265">
        <v>-0.9826087</v>
      </c>
      <c r="Q2265">
        <v>0.1845589</v>
      </c>
      <c r="R2265">
        <v>2.0456100000000001E-2</v>
      </c>
      <c r="S2265">
        <v>-3.0962830000000001</v>
      </c>
      <c r="T2265">
        <v>-0.1787878</v>
      </c>
      <c r="U2265">
        <v>-0.4915466</v>
      </c>
      <c r="V2265">
        <v>3.017593E-2</v>
      </c>
      <c r="W2265">
        <v>0.19611480000000001</v>
      </c>
      <c r="X2265">
        <v>0.98011649999999995</v>
      </c>
      <c r="Y2265">
        <v>-0.1466896</v>
      </c>
      <c r="Z2265">
        <v>-4.6213349999999999E-3</v>
      </c>
      <c r="AA2265">
        <v>0.98917180000000005</v>
      </c>
      <c r="AB2265">
        <v>36</v>
      </c>
      <c r="AC2265">
        <v>-19.065899999999999</v>
      </c>
      <c r="AD2265">
        <v>-1.121125991437</v>
      </c>
      <c r="AE2265">
        <v>-3.0788999999999702</v>
      </c>
      <c r="AF2265">
        <v>-2.8795633584951998</v>
      </c>
      <c r="AG2265">
        <v>-1.121125991437</v>
      </c>
      <c r="AH2265">
        <v>19.031423648187602</v>
      </c>
      <c r="AI2265">
        <v>93.333497787797498</v>
      </c>
      <c r="AJ2265">
        <v>98.603917864690104</v>
      </c>
      <c r="AK2265">
        <v>19.280661158296901</v>
      </c>
      <c r="AL2265">
        <v>78.690145281465803</v>
      </c>
      <c r="AM2265">
        <v>88.236528569367493</v>
      </c>
      <c r="AN2265">
        <v>0.99999997755132697</v>
      </c>
    </row>
    <row r="2266" spans="1:40" x14ac:dyDescent="0.25">
      <c r="A2266" t="str">
        <f>"20190303162823387"</f>
        <v>20190303162823387</v>
      </c>
      <c r="B2266" t="str">
        <f>"1551601703374086"</f>
        <v>1551601703374086</v>
      </c>
      <c r="C2266" t="s">
        <v>40</v>
      </c>
      <c r="D2266">
        <v>4.6816170000000001</v>
      </c>
      <c r="E2266">
        <v>0.43221700000000002</v>
      </c>
      <c r="F2266" t="s">
        <v>49</v>
      </c>
      <c r="G2266">
        <v>-431.80849999999998</v>
      </c>
      <c r="H2266" s="1">
        <v>3.2930090000000001E-6</v>
      </c>
      <c r="I2266">
        <v>281.48169999999999</v>
      </c>
      <c r="J2266">
        <v>-412.4787</v>
      </c>
      <c r="K2266">
        <v>1.1211279999999999</v>
      </c>
      <c r="L2266">
        <v>284.60199999999998</v>
      </c>
      <c r="M2266">
        <v>-0.99988030000000006</v>
      </c>
      <c r="N2266">
        <v>-1.177081E-2</v>
      </c>
      <c r="O2266">
        <v>-1.0051360000000001E-2</v>
      </c>
      <c r="P2266">
        <v>-0.98265539999999996</v>
      </c>
      <c r="Q2266">
        <v>0.1842799</v>
      </c>
      <c r="R2266">
        <v>2.072212E-2</v>
      </c>
      <c r="S2266">
        <v>-3.0964360000000002</v>
      </c>
      <c r="T2266">
        <v>-0.1762329</v>
      </c>
      <c r="U2266">
        <v>-0.49108889999999999</v>
      </c>
      <c r="V2266">
        <v>3.055455E-2</v>
      </c>
      <c r="W2266">
        <v>0.19583800000000001</v>
      </c>
      <c r="X2266">
        <v>0.98016009999999998</v>
      </c>
      <c r="Y2266">
        <v>-0.1464345</v>
      </c>
      <c r="Z2266">
        <v>-4.5555959999999899E-3</v>
      </c>
      <c r="AA2266">
        <v>0.98920989999999998</v>
      </c>
      <c r="AB2266">
        <v>36</v>
      </c>
      <c r="AC2266">
        <v>-19.329799999999899</v>
      </c>
      <c r="AD2266">
        <v>-1.121124706991</v>
      </c>
      <c r="AE2266">
        <v>-3.1203000000000398</v>
      </c>
      <c r="AF2266">
        <v>-2.91627698343973</v>
      </c>
      <c r="AG2266">
        <v>-1.121124706991</v>
      </c>
      <c r="AH2266">
        <v>19.2969229739818</v>
      </c>
      <c r="AI2266">
        <v>93.287817867062202</v>
      </c>
      <c r="AJ2266">
        <v>98.593880180339596</v>
      </c>
      <c r="AK2266">
        <v>19.5482180343006</v>
      </c>
      <c r="AL2266">
        <v>78.706318196694497</v>
      </c>
      <c r="AM2266">
        <v>88.214495751777804</v>
      </c>
      <c r="AN2266">
        <v>0.99999996220085496</v>
      </c>
    </row>
    <row r="2267" spans="1:40" x14ac:dyDescent="0.25">
      <c r="A2267" t="str">
        <f>"20190303162823400"</f>
        <v>20190303162823400</v>
      </c>
      <c r="B2267" t="str">
        <f>"1551601703393606"</f>
        <v>1551601703393606</v>
      </c>
      <c r="C2267" t="s">
        <v>40</v>
      </c>
      <c r="D2267">
        <v>4.7161850000000003</v>
      </c>
      <c r="E2267">
        <v>0.45479419999999998</v>
      </c>
      <c r="F2267" t="s">
        <v>49</v>
      </c>
      <c r="G2267">
        <v>-432.10090000000002</v>
      </c>
      <c r="H2267" s="1">
        <v>3.4222029999999999E-6</v>
      </c>
      <c r="I2267">
        <v>281.4871</v>
      </c>
      <c r="J2267">
        <v>-412.69619999999998</v>
      </c>
      <c r="K2267">
        <v>1.1211279999999999</v>
      </c>
      <c r="L2267">
        <v>284.59969999999998</v>
      </c>
      <c r="M2267">
        <v>-0.99987950000000003</v>
      </c>
      <c r="N2267">
        <v>-1.177158E-2</v>
      </c>
      <c r="O2267">
        <v>-1.011836E-2</v>
      </c>
      <c r="P2267">
        <v>-0.98271710000000001</v>
      </c>
      <c r="Q2267">
        <v>0.18391450000000001</v>
      </c>
      <c r="R2267">
        <v>2.1041850000000001E-2</v>
      </c>
      <c r="S2267">
        <v>-3.0964969999999998</v>
      </c>
      <c r="T2267">
        <v>-0.1769203</v>
      </c>
      <c r="U2267">
        <v>-0.4915466</v>
      </c>
      <c r="V2267">
        <v>3.0940769999999999E-2</v>
      </c>
      <c r="W2267">
        <v>0.1954737</v>
      </c>
      <c r="X2267">
        <v>0.98022069999999994</v>
      </c>
      <c r="Y2267">
        <v>-0.14650589999999999</v>
      </c>
      <c r="Z2267">
        <v>-4.5688980000000001E-3</v>
      </c>
      <c r="AA2267">
        <v>0.98919919999999995</v>
      </c>
      <c r="AB2267">
        <v>36</v>
      </c>
      <c r="AC2267">
        <v>-19.404699999999998</v>
      </c>
      <c r="AD2267">
        <v>-1.121124577797</v>
      </c>
      <c r="AE2267">
        <v>-3.11259999999998</v>
      </c>
      <c r="AF2267">
        <v>-2.9066241877675099</v>
      </c>
      <c r="AG2267">
        <v>-1.121124577797</v>
      </c>
      <c r="AH2267">
        <v>19.3721597736664</v>
      </c>
      <c r="AI2267">
        <v>93.275598486002494</v>
      </c>
      <c r="AJ2267">
        <v>98.533080279374104</v>
      </c>
      <c r="AK2267">
        <v>19.621059063779299</v>
      </c>
      <c r="AL2267">
        <v>78.727602389503005</v>
      </c>
      <c r="AM2267">
        <v>88.192052957233301</v>
      </c>
      <c r="AN2267">
        <v>0.99999995967418498</v>
      </c>
    </row>
    <row r="2268" spans="1:40" x14ac:dyDescent="0.25">
      <c r="A2268" t="str">
        <f>"20190303162823420"</f>
        <v>20190303162823420</v>
      </c>
      <c r="B2268" t="str">
        <f>"1551601703414101"</f>
        <v>1551601703414101</v>
      </c>
      <c r="C2268" t="s">
        <v>40</v>
      </c>
      <c r="D2268">
        <v>4.6569500000000001</v>
      </c>
      <c r="E2268">
        <v>0.47519319999999998</v>
      </c>
      <c r="F2268" t="s">
        <v>49</v>
      </c>
      <c r="G2268">
        <v>-425.86779999999999</v>
      </c>
      <c r="H2268" s="1">
        <v>3.0406939999999998E-6</v>
      </c>
      <c r="I2268">
        <v>283.27870000000001</v>
      </c>
      <c r="J2268">
        <v>-413.01650000000001</v>
      </c>
      <c r="K2268">
        <v>1.1211279999999999</v>
      </c>
      <c r="L2268">
        <v>284.59640000000002</v>
      </c>
      <c r="M2268">
        <v>-0.9998785</v>
      </c>
      <c r="N2268">
        <v>-1.1772690000000001E-2</v>
      </c>
      <c r="O2268">
        <v>-1.021742E-2</v>
      </c>
      <c r="P2268">
        <v>-0.98268299999999997</v>
      </c>
      <c r="Q2268">
        <v>0.18406710000000001</v>
      </c>
      <c r="R2268">
        <v>2.130025E-2</v>
      </c>
      <c r="S2268">
        <v>-3.1089169999999999</v>
      </c>
      <c r="T2268">
        <v>-0.264621299999999</v>
      </c>
      <c r="U2268">
        <v>-0.31179810000000002</v>
      </c>
      <c r="V2268">
        <v>3.1296350000000001E-2</v>
      </c>
      <c r="W2268">
        <v>0.19562660000000001</v>
      </c>
      <c r="X2268">
        <v>0.98017900000000002</v>
      </c>
      <c r="Y2268">
        <v>-8.9281470000000002E-2</v>
      </c>
      <c r="Z2268">
        <v>-3.5653270000000001E-3</v>
      </c>
      <c r="AA2268">
        <v>0.99600010000000005</v>
      </c>
      <c r="AB2268">
        <v>36</v>
      </c>
      <c r="AC2268">
        <v>-12.851299999999901</v>
      </c>
      <c r="AD2268">
        <v>-1.121124959306</v>
      </c>
      <c r="AE2268">
        <v>-1.3177000000000001</v>
      </c>
      <c r="AF2268">
        <v>-1.17744723018921</v>
      </c>
      <c r="AG2268">
        <v>-1.121124959306</v>
      </c>
      <c r="AH2268">
        <v>12.767933936813399</v>
      </c>
      <c r="AI2268">
        <v>94.997053851315897</v>
      </c>
      <c r="AJ2268">
        <v>95.268862185554894</v>
      </c>
      <c r="AK2268">
        <v>12.8710310453005</v>
      </c>
      <c r="AL2268">
        <v>78.718670434985398</v>
      </c>
      <c r="AM2268">
        <v>88.171211804344296</v>
      </c>
      <c r="AN2268">
        <v>1.0000000500959401</v>
      </c>
    </row>
    <row r="2269" spans="1:40" x14ac:dyDescent="0.25">
      <c r="A2269" t="str">
        <f>"20190303162823442"</f>
        <v>20190303162823442</v>
      </c>
      <c r="B2269" t="str">
        <f>"1551601703433622"</f>
        <v>1551601703433622</v>
      </c>
      <c r="C2269" t="s">
        <v>40</v>
      </c>
      <c r="D2269">
        <v>4.6100529999999997</v>
      </c>
      <c r="E2269">
        <v>0.52478780000000003</v>
      </c>
      <c r="F2269" t="s">
        <v>44</v>
      </c>
      <c r="G2269">
        <v>-413.74810000000002</v>
      </c>
      <c r="H2269">
        <v>0.95331630000000001</v>
      </c>
      <c r="I2269">
        <v>284.56110000000001</v>
      </c>
      <c r="J2269">
        <v>-413.36360000000002</v>
      </c>
      <c r="K2269">
        <v>1.121135</v>
      </c>
      <c r="L2269">
        <v>284.59269999999998</v>
      </c>
      <c r="M2269">
        <v>-0.99987740000000003</v>
      </c>
      <c r="N2269">
        <v>-1.1773850000000001E-2</v>
      </c>
      <c r="O2269">
        <v>-1.032448E-2</v>
      </c>
      <c r="P2269">
        <v>-0.9825583</v>
      </c>
      <c r="Q2269">
        <v>0.18467710000000001</v>
      </c>
      <c r="R2269">
        <v>2.1765739999999999E-2</v>
      </c>
      <c r="S2269">
        <v>-3.1934809999999998</v>
      </c>
      <c r="T2269">
        <v>-0.7326338</v>
      </c>
      <c r="U2269">
        <v>-0.1557617</v>
      </c>
      <c r="V2269">
        <v>3.1865530000000003E-2</v>
      </c>
      <c r="W2269">
        <v>0.19623679999999999</v>
      </c>
      <c r="X2269">
        <v>0.98003859999999998</v>
      </c>
      <c r="Y2269">
        <v>-3.761598E-2</v>
      </c>
      <c r="Z2269">
        <v>-2.2649599999999999E-3</v>
      </c>
      <c r="AA2269">
        <v>0.99928969999999995</v>
      </c>
      <c r="AB2269">
        <v>36</v>
      </c>
      <c r="AC2269">
        <v>-0.38450000000000201</v>
      </c>
      <c r="AD2269">
        <v>-0.16781869999999999</v>
      </c>
      <c r="AE2269">
        <v>-3.1599999999968903E-2</v>
      </c>
      <c r="AF2269">
        <v>-2.3232289550161999E-2</v>
      </c>
      <c r="AG2269">
        <v>-0.16781869999999999</v>
      </c>
      <c r="AH2269">
        <v>0.32357859395549898</v>
      </c>
      <c r="AI2269">
        <v>117.35261072438099</v>
      </c>
      <c r="AJ2269">
        <v>94.106674362338595</v>
      </c>
      <c r="AK2269">
        <v>0.36524780877323598</v>
      </c>
      <c r="AL2269">
        <v>78.683016655896907</v>
      </c>
      <c r="AM2269">
        <v>88.137708665134895</v>
      </c>
      <c r="AN2269">
        <v>0.99999997558318998</v>
      </c>
    </row>
    <row r="2270" spans="1:40" x14ac:dyDescent="0.25">
      <c r="A2270" t="str">
        <f>"20190303162823456"</f>
        <v>20190303162823456</v>
      </c>
      <c r="B2270" t="str">
        <f>"1551601703443382"</f>
        <v>1551601703443382</v>
      </c>
      <c r="C2270" t="s">
        <v>40</v>
      </c>
      <c r="D2270">
        <v>4.5992889999999997</v>
      </c>
      <c r="E2270">
        <v>0.52491429999999994</v>
      </c>
      <c r="F2270" t="s">
        <v>44</v>
      </c>
      <c r="G2270">
        <v>-414.0342</v>
      </c>
      <c r="H2270">
        <v>0.88022710000000004</v>
      </c>
      <c r="I2270">
        <v>284.64120000000003</v>
      </c>
      <c r="J2270">
        <v>-413.58859999999999</v>
      </c>
      <c r="K2270">
        <v>1.1211370000000001</v>
      </c>
      <c r="L2270">
        <v>284.59030000000001</v>
      </c>
      <c r="M2270">
        <v>-0.99987669999999995</v>
      </c>
      <c r="N2270">
        <v>-1.177458E-2</v>
      </c>
      <c r="O2270">
        <v>-1.039386E-2</v>
      </c>
      <c r="P2270">
        <v>-0.98251759999999999</v>
      </c>
      <c r="Q2270">
        <v>0.18484819999999999</v>
      </c>
      <c r="R2270">
        <v>2.215143E-2</v>
      </c>
      <c r="S2270">
        <v>-3.2687680000000001</v>
      </c>
      <c r="T2270">
        <v>-1.174088</v>
      </c>
      <c r="U2270">
        <v>0.23419190000000001</v>
      </c>
      <c r="V2270">
        <v>3.2318920000000001E-2</v>
      </c>
      <c r="W2270">
        <v>0.19640840000000001</v>
      </c>
      <c r="X2270">
        <v>0.97998940000000001</v>
      </c>
      <c r="Y2270">
        <v>7.630468E-2</v>
      </c>
      <c r="Z2270">
        <v>1.723392E-2</v>
      </c>
      <c r="AA2270">
        <v>0.99693560000000003</v>
      </c>
      <c r="AB2270">
        <v>36</v>
      </c>
      <c r="AC2270">
        <v>-0.44560000000001299</v>
      </c>
      <c r="AD2270">
        <v>-0.24090990000000001</v>
      </c>
      <c r="AE2270">
        <v>5.0900000000012803E-2</v>
      </c>
      <c r="AF2270">
        <v>4.3094949065557303E-2</v>
      </c>
      <c r="AG2270">
        <v>-0.24090990000000001</v>
      </c>
      <c r="AH2270">
        <v>0.34539150871020302</v>
      </c>
      <c r="AI2270">
        <v>124.688322386652</v>
      </c>
      <c r="AJ2270">
        <v>82.8878857183918</v>
      </c>
      <c r="AK2270">
        <v>0.42330845590666299</v>
      </c>
      <c r="AL2270">
        <v>78.672989825245295</v>
      </c>
      <c r="AM2270">
        <v>88.111135862440804</v>
      </c>
      <c r="AN2270">
        <v>0.99999999814644303</v>
      </c>
    </row>
    <row r="2271" spans="1:40" x14ac:dyDescent="0.25">
      <c r="A2271" t="str">
        <f>"20190303162823469"</f>
        <v>20190303162823469</v>
      </c>
      <c r="B2271" t="str">
        <f>"1551601703463878"</f>
        <v>1551601703463878</v>
      </c>
      <c r="C2271" t="s">
        <v>40</v>
      </c>
      <c r="D2271">
        <v>4.5817769999999998</v>
      </c>
      <c r="E2271">
        <v>0.52495809999999998</v>
      </c>
      <c r="F2271" t="s">
        <v>44</v>
      </c>
      <c r="G2271">
        <v>-414.34140000000002</v>
      </c>
      <c r="H2271">
        <v>0.84447039999999995</v>
      </c>
      <c r="I2271">
        <v>284.6447</v>
      </c>
      <c r="J2271">
        <v>-413.80509999999998</v>
      </c>
      <c r="K2271">
        <v>1.1211390000000001</v>
      </c>
      <c r="L2271">
        <v>284.58800000000002</v>
      </c>
      <c r="M2271">
        <v>-0.99987599999999999</v>
      </c>
      <c r="N2271">
        <v>-1.1775269999999999E-2</v>
      </c>
      <c r="O2271">
        <v>-1.046062E-2</v>
      </c>
      <c r="P2271">
        <v>-0.98249359999999997</v>
      </c>
      <c r="Q2271">
        <v>0.1849702</v>
      </c>
      <c r="R2271">
        <v>2.218871E-2</v>
      </c>
      <c r="S2271">
        <v>-3.2744450000000001</v>
      </c>
      <c r="T2271">
        <v>-1.2034499999999999</v>
      </c>
      <c r="U2271">
        <v>0.23568729999999999</v>
      </c>
      <c r="V2271">
        <v>3.2421270000000002E-2</v>
      </c>
      <c r="W2271">
        <v>0.1965305</v>
      </c>
      <c r="X2271">
        <v>0.97996159999999999</v>
      </c>
      <c r="Y2271">
        <v>7.6438939999999997E-2</v>
      </c>
      <c r="Z2271">
        <v>1.7650760000000001E-2</v>
      </c>
      <c r="AA2271">
        <v>0.99691799999999997</v>
      </c>
      <c r="AB2271">
        <v>36</v>
      </c>
      <c r="AC2271">
        <v>-0.53630000000003897</v>
      </c>
      <c r="AD2271">
        <v>-0.27666859999999899</v>
      </c>
      <c r="AE2271">
        <v>5.6700000000034799E-2</v>
      </c>
      <c r="AF2271">
        <v>4.9325199019047201E-2</v>
      </c>
      <c r="AG2271">
        <v>-0.27666859999999899</v>
      </c>
      <c r="AH2271">
        <v>0.424065752082398</v>
      </c>
      <c r="AI2271">
        <v>122.94525684872001</v>
      </c>
      <c r="AJ2271">
        <v>83.365455396896607</v>
      </c>
      <c r="AK2271">
        <v>0.50873396935278303</v>
      </c>
      <c r="AL2271">
        <v>78.665855625379706</v>
      </c>
      <c r="AM2271">
        <v>88.105104703818</v>
      </c>
      <c r="AN2271">
        <v>1.0000000568266001</v>
      </c>
    </row>
    <row r="2272" spans="1:40" x14ac:dyDescent="0.25">
      <c r="A2272" t="str">
        <f>"20190303162823482"</f>
        <v>20190303162823482</v>
      </c>
      <c r="B2272" t="str">
        <f>"1551601703473638"</f>
        <v>1551601703473638</v>
      </c>
      <c r="C2272" t="s">
        <v>40</v>
      </c>
      <c r="D2272">
        <v>4.5722809999999896</v>
      </c>
      <c r="E2272">
        <v>0.52504510000000004</v>
      </c>
      <c r="F2272" t="s">
        <v>44</v>
      </c>
      <c r="G2272">
        <v>-414.64819999999997</v>
      </c>
      <c r="H2272">
        <v>0.80744530000000003</v>
      </c>
      <c r="I2272">
        <v>284.64890000000003</v>
      </c>
      <c r="J2272">
        <v>-414.02069999999998</v>
      </c>
      <c r="K2272">
        <v>1.121135</v>
      </c>
      <c r="L2272">
        <v>284.58569999999997</v>
      </c>
      <c r="M2272">
        <v>-0.99987519999999996</v>
      </c>
      <c r="N2272">
        <v>-1.177594E-2</v>
      </c>
      <c r="O2272">
        <v>-1.052702E-2</v>
      </c>
      <c r="P2272">
        <v>-0.9824581</v>
      </c>
      <c r="Q2272">
        <v>0.1851824</v>
      </c>
      <c r="R2272">
        <v>2.1988379999999998E-2</v>
      </c>
      <c r="S2272">
        <v>-3.277771</v>
      </c>
      <c r="T2272">
        <v>-1.2195560000000001</v>
      </c>
      <c r="U2272">
        <v>0.23587040000000001</v>
      </c>
      <c r="V2272">
        <v>3.2285889999999998E-2</v>
      </c>
      <c r="W2272">
        <v>0.19674320000000001</v>
      </c>
      <c r="X2272">
        <v>0.97992330000000005</v>
      </c>
      <c r="Y2272">
        <v>7.6351950000000002E-2</v>
      </c>
      <c r="Z2272">
        <v>1.785867E-2</v>
      </c>
      <c r="AA2272">
        <v>0.99692099999999995</v>
      </c>
      <c r="AB2272">
        <v>36</v>
      </c>
      <c r="AC2272">
        <v>-0.62749999999999695</v>
      </c>
      <c r="AD2272">
        <v>-0.31368970000000002</v>
      </c>
      <c r="AE2272">
        <v>6.3200000000051604E-2</v>
      </c>
      <c r="AF2272">
        <v>5.5958775530714301E-2</v>
      </c>
      <c r="AG2272">
        <v>-0.31368970000000002</v>
      </c>
      <c r="AH2272">
        <v>0.50248733786219801</v>
      </c>
      <c r="AI2272">
        <v>121.817053441742</v>
      </c>
      <c r="AJ2272">
        <v>83.645521155876693</v>
      </c>
      <c r="AK2272">
        <v>0.59500095559320398</v>
      </c>
      <c r="AL2272">
        <v>78.653425143273495</v>
      </c>
      <c r="AM2272">
        <v>88.112937699296893</v>
      </c>
      <c r="AN2272">
        <v>0.99999996966111004</v>
      </c>
    </row>
    <row r="2273" spans="1:40" x14ac:dyDescent="0.25">
      <c r="A2273" t="str">
        <f>"20190303162823496"</f>
        <v>20190303162823496</v>
      </c>
      <c r="B2273" t="str">
        <f>"1551601703483399"</f>
        <v>1551601703483399</v>
      </c>
      <c r="C2273" t="s">
        <v>40</v>
      </c>
      <c r="D2273">
        <v>4.5870689999999996</v>
      </c>
      <c r="E2273">
        <v>0.52496960000000004</v>
      </c>
      <c r="F2273" t="s">
        <v>44</v>
      </c>
      <c r="G2273">
        <v>-414.67590000000001</v>
      </c>
      <c r="H2273">
        <v>0.87793180000000004</v>
      </c>
      <c r="I2273">
        <v>284.63310000000001</v>
      </c>
      <c r="J2273">
        <v>-414.22250000000003</v>
      </c>
      <c r="K2273">
        <v>1.1211370000000001</v>
      </c>
      <c r="L2273">
        <v>284.58350000000002</v>
      </c>
      <c r="M2273">
        <v>-0.99987470000000001</v>
      </c>
      <c r="N2273">
        <v>-1.1776470000000001E-2</v>
      </c>
      <c r="O2273">
        <v>-1.058925E-2</v>
      </c>
      <c r="P2273">
        <v>-0.98244290000000001</v>
      </c>
      <c r="Q2273">
        <v>0.18528210000000001</v>
      </c>
      <c r="R2273">
        <v>2.1837410000000002E-2</v>
      </c>
      <c r="S2273">
        <v>-3.2776179999999999</v>
      </c>
      <c r="T2273">
        <v>-1.2166239999999999</v>
      </c>
      <c r="U2273">
        <v>0.23623659999999999</v>
      </c>
      <c r="V2273">
        <v>3.2195870000000001E-2</v>
      </c>
      <c r="W2273">
        <v>0.19684280000000001</v>
      </c>
      <c r="X2273">
        <v>0.97990630000000001</v>
      </c>
      <c r="Y2273">
        <v>7.6538259999999997E-2</v>
      </c>
      <c r="Z2273">
        <v>1.7876010000000001E-2</v>
      </c>
      <c r="AA2273">
        <v>0.99690639999999997</v>
      </c>
      <c r="AB2273">
        <v>36</v>
      </c>
      <c r="AC2273">
        <v>-0.45339999999998698</v>
      </c>
      <c r="AD2273">
        <v>-0.24320519999999901</v>
      </c>
      <c r="AE2273">
        <v>4.9599999999998E-2</v>
      </c>
      <c r="AF2273">
        <v>4.2355857249779999E-2</v>
      </c>
      <c r="AG2273">
        <v>-0.24320519999999901</v>
      </c>
      <c r="AH2273">
        <v>0.352596933887316</v>
      </c>
      <c r="AI2273">
        <v>124.404542875652</v>
      </c>
      <c r="AJ2273">
        <v>83.1501422692304</v>
      </c>
      <c r="AK2273">
        <v>0.430426980726278</v>
      </c>
      <c r="AL2273">
        <v>78.647605121097598</v>
      </c>
      <c r="AM2273">
        <v>88.118162823111504</v>
      </c>
      <c r="AN2273">
        <v>1.0000000093682899</v>
      </c>
    </row>
    <row r="2274" spans="1:40" x14ac:dyDescent="0.25">
      <c r="A2274" t="str">
        <f>"20190303162823510"</f>
        <v>20190303162823510</v>
      </c>
      <c r="B2274" t="str">
        <f>"1551601703503894"</f>
        <v>1551601703503894</v>
      </c>
      <c r="C2274" t="s">
        <v>40</v>
      </c>
      <c r="D2274">
        <v>4.6250879999999999</v>
      </c>
      <c r="E2274">
        <v>0.52473069999999999</v>
      </c>
      <c r="F2274" t="s">
        <v>44</v>
      </c>
      <c r="G2274">
        <v>-414.9819</v>
      </c>
      <c r="H2274">
        <v>0.83884780000000003</v>
      </c>
      <c r="I2274">
        <v>284.63850000000002</v>
      </c>
      <c r="J2274">
        <v>-414.45679999999999</v>
      </c>
      <c r="K2274">
        <v>1.121143</v>
      </c>
      <c r="L2274">
        <v>284.58100000000002</v>
      </c>
      <c r="M2274">
        <v>-0.99987389999999998</v>
      </c>
      <c r="N2274">
        <v>-1.177714E-2</v>
      </c>
      <c r="O2274">
        <v>-1.066113E-2</v>
      </c>
      <c r="P2274">
        <v>-0.98231820000000003</v>
      </c>
      <c r="Q2274">
        <v>0.1860425</v>
      </c>
      <c r="R2274">
        <v>2.0957969999999999E-2</v>
      </c>
      <c r="S2274">
        <v>-3.2781980000000002</v>
      </c>
      <c r="T2274">
        <v>-1.2184969999999999</v>
      </c>
      <c r="U2274">
        <v>0.23504639999999999</v>
      </c>
      <c r="V2274">
        <v>3.1385429999999999E-2</v>
      </c>
      <c r="W2274">
        <v>0.19760240000000001</v>
      </c>
      <c r="X2274">
        <v>0.97977970000000003</v>
      </c>
      <c r="Y2274">
        <v>7.6237730000000004E-2</v>
      </c>
      <c r="Z2274">
        <v>1.7867859999999999E-2</v>
      </c>
      <c r="AA2274">
        <v>0.99692959999999997</v>
      </c>
      <c r="AB2274">
        <v>36</v>
      </c>
      <c r="AC2274">
        <v>-0.525100000000008</v>
      </c>
      <c r="AD2274">
        <v>-0.28229519999999902</v>
      </c>
      <c r="AE2274">
        <v>5.7500000000061301E-2</v>
      </c>
      <c r="AF2274">
        <v>4.9078766020977799E-2</v>
      </c>
      <c r="AG2274">
        <v>-0.28229519999999902</v>
      </c>
      <c r="AH2274">
        <v>0.40794981129612801</v>
      </c>
      <c r="AI2274">
        <v>124.490276094691</v>
      </c>
      <c r="AJ2274">
        <v>83.1399496775161</v>
      </c>
      <c r="AK2274">
        <v>0.49852016383866399</v>
      </c>
      <c r="AL2274">
        <v>78.603211269210306</v>
      </c>
      <c r="AM2274">
        <v>88.165263089598298</v>
      </c>
      <c r="AN2274">
        <v>1.0000000071170601</v>
      </c>
    </row>
    <row r="2275" spans="1:40" x14ac:dyDescent="0.25">
      <c r="A2275" t="str">
        <f>"20190303162823544"</f>
        <v>20190303162823544</v>
      </c>
      <c r="B2275" t="str">
        <f>"1551601703534151"</f>
        <v>1551601703534151</v>
      </c>
      <c r="C2275" t="s">
        <v>40</v>
      </c>
      <c r="D2275">
        <v>4.6005379999999896</v>
      </c>
      <c r="E2275">
        <v>0.52507619999999999</v>
      </c>
      <c r="F2275" t="s">
        <v>44</v>
      </c>
      <c r="G2275">
        <v>-415.29230000000001</v>
      </c>
      <c r="H2275">
        <v>0.81055519999999903</v>
      </c>
      <c r="I2275">
        <v>284.6397</v>
      </c>
      <c r="J2275">
        <v>-414.9957</v>
      </c>
      <c r="K2275">
        <v>1.1211439999999999</v>
      </c>
      <c r="L2275">
        <v>284.57510000000002</v>
      </c>
      <c r="M2275">
        <v>-0.99987210000000004</v>
      </c>
      <c r="N2275">
        <v>-1.1778810000000001E-2</v>
      </c>
      <c r="O2275">
        <v>-1.082731E-2</v>
      </c>
      <c r="P2275">
        <v>-0.98227600000000004</v>
      </c>
      <c r="Q2275">
        <v>0.18638660000000001</v>
      </c>
      <c r="R2275">
        <v>1.9855000000000001E-2</v>
      </c>
      <c r="S2275">
        <v>-3.2799680000000002</v>
      </c>
      <c r="T2275">
        <v>-1.2192240000000001</v>
      </c>
      <c r="U2275">
        <v>0.2306213</v>
      </c>
      <c r="V2275">
        <v>3.0445369999999999E-2</v>
      </c>
      <c r="W2275">
        <v>0.1979474</v>
      </c>
      <c r="X2275">
        <v>0.97973969999999999</v>
      </c>
      <c r="Y2275">
        <v>7.5093720000000003E-2</v>
      </c>
      <c r="Z2275">
        <v>1.771493E-2</v>
      </c>
      <c r="AA2275">
        <v>0.99701910000000005</v>
      </c>
      <c r="AB2275">
        <v>36</v>
      </c>
      <c r="AC2275">
        <v>-0.29660000000001202</v>
      </c>
      <c r="AD2275">
        <v>-0.3105888</v>
      </c>
      <c r="AE2275">
        <v>6.4599999999984406E-2</v>
      </c>
      <c r="AF2275">
        <v>3.31272366515648E-2</v>
      </c>
      <c r="AG2275">
        <v>-0.3105888</v>
      </c>
      <c r="AH2275">
        <v>0.14455251273459799</v>
      </c>
      <c r="AI2275">
        <v>154.476472756085</v>
      </c>
      <c r="AJ2275">
        <v>77.092358163867601</v>
      </c>
      <c r="AK2275">
        <v>0.34417763644881799</v>
      </c>
      <c r="AL2275">
        <v>78.583045672485895</v>
      </c>
      <c r="AM2275">
        <v>88.220108831349904</v>
      </c>
      <c r="AN2275">
        <v>0.99999998673864299</v>
      </c>
    </row>
    <row r="2276" spans="1:40" x14ac:dyDescent="0.25">
      <c r="A2276" t="str">
        <f>"20190303162823565"</f>
        <v>20190303162823565</v>
      </c>
      <c r="B2276" t="str">
        <f>"1551601703553670"</f>
        <v>1551601703553670</v>
      </c>
      <c r="C2276" t="s">
        <v>40</v>
      </c>
      <c r="D2276">
        <v>4.6685210000000001</v>
      </c>
      <c r="E2276">
        <v>0.52524269999999995</v>
      </c>
      <c r="F2276" t="s">
        <v>44</v>
      </c>
      <c r="G2276">
        <v>-415.92309999999998</v>
      </c>
      <c r="H2276">
        <v>0.779223</v>
      </c>
      <c r="I2276">
        <v>284.64069999999998</v>
      </c>
      <c r="J2276">
        <v>-415.33870000000002</v>
      </c>
      <c r="K2276">
        <v>1.121143</v>
      </c>
      <c r="L2276">
        <v>284.57130000000001</v>
      </c>
      <c r="M2276">
        <v>-0.99987090000000001</v>
      </c>
      <c r="N2276">
        <v>-1.1779889999999999E-2</v>
      </c>
      <c r="O2276">
        <v>-1.0932580000000001E-2</v>
      </c>
      <c r="P2276">
        <v>-0.98229840000000002</v>
      </c>
      <c r="Q2276">
        <v>0.1862926</v>
      </c>
      <c r="R2276">
        <v>1.9624289999999999E-2</v>
      </c>
      <c r="S2276">
        <v>-3.2788699999999902</v>
      </c>
      <c r="T2276">
        <v>-1.2088589999999999</v>
      </c>
      <c r="U2276">
        <v>0.23123170000000001</v>
      </c>
      <c r="V2276">
        <v>3.0318230000000002E-2</v>
      </c>
      <c r="W2276">
        <v>0.1978548</v>
      </c>
      <c r="X2276">
        <v>0.97976240000000003</v>
      </c>
      <c r="Y2276">
        <v>7.546638E-2</v>
      </c>
      <c r="Z2276">
        <v>1.768639E-2</v>
      </c>
      <c r="AA2276">
        <v>0.99699150000000003</v>
      </c>
      <c r="AB2276">
        <v>36</v>
      </c>
      <c r="AC2276">
        <v>-0.58439999999995895</v>
      </c>
      <c r="AD2276">
        <v>-0.34192</v>
      </c>
      <c r="AE2276">
        <v>6.9399999999973205E-2</v>
      </c>
      <c r="AF2276">
        <v>5.6659501417002801E-2</v>
      </c>
      <c r="AG2276">
        <v>-0.34192</v>
      </c>
      <c r="AH2276">
        <v>0.436322665494429</v>
      </c>
      <c r="AI2276">
        <v>127.851331537145</v>
      </c>
      <c r="AJ2276">
        <v>82.601151730050304</v>
      </c>
      <c r="AK2276">
        <v>0.55722262510148202</v>
      </c>
      <c r="AL2276">
        <v>78.588458913955904</v>
      </c>
      <c r="AM2276">
        <v>88.227577953410105</v>
      </c>
      <c r="AN2276">
        <v>1.0000000387035599</v>
      </c>
    </row>
    <row r="2277" spans="1:40" x14ac:dyDescent="0.25">
      <c r="A2277" t="str">
        <f>"20190303162823588"</f>
        <v>20190303162823588</v>
      </c>
      <c r="B2277" t="str">
        <f>"1551601703583926"</f>
        <v>1551601703583926</v>
      </c>
      <c r="C2277" t="s">
        <v>40</v>
      </c>
      <c r="D2277">
        <v>4.6480399999999999</v>
      </c>
      <c r="E2277">
        <v>0.52604600000000001</v>
      </c>
      <c r="F2277" t="s">
        <v>44</v>
      </c>
      <c r="G2277">
        <v>-416.24799999999999</v>
      </c>
      <c r="H2277">
        <v>0.78733409999999904</v>
      </c>
      <c r="I2277">
        <v>284.63569999999999</v>
      </c>
      <c r="J2277">
        <v>-415.71420000000001</v>
      </c>
      <c r="K2277">
        <v>1.1211390000000001</v>
      </c>
      <c r="L2277">
        <v>284.56700000000001</v>
      </c>
      <c r="M2277">
        <v>-0.99986969999999997</v>
      </c>
      <c r="N2277">
        <v>-1.178101E-2</v>
      </c>
      <c r="O2277">
        <v>-1.10481E-2</v>
      </c>
      <c r="P2277">
        <v>-0.98221899999999995</v>
      </c>
      <c r="Q2277">
        <v>0.1867007</v>
      </c>
      <c r="R2277">
        <v>1.9727229999999998E-2</v>
      </c>
      <c r="S2277">
        <v>-3.2775880000000002</v>
      </c>
      <c r="T2277">
        <v>-1.2031969999999901</v>
      </c>
      <c r="U2277">
        <v>0.2312012</v>
      </c>
      <c r="V2277">
        <v>3.05337E-2</v>
      </c>
      <c r="W2277">
        <v>0.19826289999999999</v>
      </c>
      <c r="X2277">
        <v>0.97967320000000002</v>
      </c>
      <c r="Y2277">
        <v>7.562924E-2</v>
      </c>
      <c r="Z2277">
        <v>1.7685920000000001E-2</v>
      </c>
      <c r="AA2277">
        <v>0.99697919999999995</v>
      </c>
      <c r="AB2277">
        <v>36</v>
      </c>
      <c r="AC2277">
        <v>-0.53380000000004202</v>
      </c>
      <c r="AD2277">
        <v>-0.33380490000000002</v>
      </c>
      <c r="AE2277">
        <v>6.8699999999978403E-2</v>
      </c>
      <c r="AF2277">
        <v>5.3870910905768503E-2</v>
      </c>
      <c r="AG2277">
        <v>-0.33380490000000002</v>
      </c>
      <c r="AH2277">
        <v>0.38493397414609398</v>
      </c>
      <c r="AI2277">
        <v>130.656152970645</v>
      </c>
      <c r="AJ2277">
        <v>82.033286756652799</v>
      </c>
      <c r="AK2277">
        <v>0.51234944203905697</v>
      </c>
      <c r="AL2277">
        <v>78.564603860616202</v>
      </c>
      <c r="AM2277">
        <v>88.214827145985794</v>
      </c>
      <c r="AN2277">
        <v>1.00000003157516</v>
      </c>
    </row>
    <row r="2278" spans="1:40" x14ac:dyDescent="0.25">
      <c r="A2278" t="str">
        <f>"20190303162823610"</f>
        <v>20190303162823610</v>
      </c>
      <c r="B2278" t="str">
        <f>"1551601703603445"</f>
        <v>1551601703603445</v>
      </c>
      <c r="C2278" t="s">
        <v>40</v>
      </c>
      <c r="D2278">
        <v>4.6508260000000003</v>
      </c>
      <c r="E2278">
        <v>0.52660890000000005</v>
      </c>
      <c r="F2278" t="s">
        <v>44</v>
      </c>
      <c r="G2278">
        <v>-416.57819999999998</v>
      </c>
      <c r="H2278">
        <v>0.80877279999999996</v>
      </c>
      <c r="I2278">
        <v>284.63049999999998</v>
      </c>
      <c r="J2278">
        <v>-416.0641</v>
      </c>
      <c r="K2278">
        <v>1.1211450000000001</v>
      </c>
      <c r="L2278">
        <v>284.56299999999999</v>
      </c>
      <c r="M2278">
        <v>-0.99986850000000005</v>
      </c>
      <c r="N2278">
        <v>-1.1782030000000001E-2</v>
      </c>
      <c r="O2278">
        <v>-1.115504E-2</v>
      </c>
      <c r="P2278">
        <v>-0.98218360000000005</v>
      </c>
      <c r="Q2278">
        <v>0.1869179</v>
      </c>
      <c r="R2278">
        <v>1.9439140000000001E-2</v>
      </c>
      <c r="S2278">
        <v>-3.2745669999999998</v>
      </c>
      <c r="T2278">
        <v>-1.1838740000000001</v>
      </c>
      <c r="U2278">
        <v>0.2390137</v>
      </c>
      <c r="V2278">
        <v>3.035007E-2</v>
      </c>
      <c r="W2278">
        <v>0.19848060000000001</v>
      </c>
      <c r="X2278">
        <v>0.97963480000000003</v>
      </c>
      <c r="Y2278">
        <v>7.8162419999999996E-2</v>
      </c>
      <c r="Z2278">
        <v>1.7931880000000001E-2</v>
      </c>
      <c r="AA2278">
        <v>0.99677939999999998</v>
      </c>
      <c r="AB2278">
        <v>36</v>
      </c>
      <c r="AC2278">
        <v>-0.51409999999998401</v>
      </c>
      <c r="AD2278">
        <v>-0.31237219999999999</v>
      </c>
      <c r="AE2278">
        <v>6.7499999999995397E-2</v>
      </c>
      <c r="AF2278">
        <v>5.3730447073233802E-2</v>
      </c>
      <c r="AG2278">
        <v>-0.31237219999999999</v>
      </c>
      <c r="AH2278">
        <v>0.37662523852373903</v>
      </c>
      <c r="AI2278">
        <v>129.38888376075499</v>
      </c>
      <c r="AJ2278">
        <v>81.880804900967703</v>
      </c>
      <c r="AK2278">
        <v>0.49224985786548803</v>
      </c>
      <c r="AL2278">
        <v>78.551877390648997</v>
      </c>
      <c r="AM2278">
        <v>88.225486799748694</v>
      </c>
      <c r="AN2278">
        <v>1.0000000083481999</v>
      </c>
    </row>
    <row r="2279" spans="1:40" x14ac:dyDescent="0.25">
      <c r="A2279" t="str">
        <f>"20190303162823631"</f>
        <v>20190303162823631</v>
      </c>
      <c r="B2279" t="str">
        <f>"1551601703623943"</f>
        <v>1551601703623943</v>
      </c>
      <c r="C2279" t="s">
        <v>40</v>
      </c>
      <c r="D2279">
        <v>4.6309279999999999</v>
      </c>
      <c r="E2279">
        <v>0.5270629</v>
      </c>
      <c r="F2279" t="s">
        <v>44</v>
      </c>
      <c r="G2279">
        <v>-416.90449999999998</v>
      </c>
      <c r="H2279">
        <v>0.82026259999999995</v>
      </c>
      <c r="I2279">
        <v>284.62610000000001</v>
      </c>
      <c r="J2279">
        <v>-416.41750000000002</v>
      </c>
      <c r="K2279">
        <v>1.1211519999999999</v>
      </c>
      <c r="L2279">
        <v>284.55900000000003</v>
      </c>
      <c r="M2279">
        <v>-0.99986730000000001</v>
      </c>
      <c r="N2279">
        <v>-1.178478E-2</v>
      </c>
      <c r="O2279">
        <v>-1.126306E-2</v>
      </c>
      <c r="P2279">
        <v>-0.98204409999999998</v>
      </c>
      <c r="Q2279">
        <v>0.1876834</v>
      </c>
      <c r="R2279">
        <v>1.9099560000000002E-2</v>
      </c>
      <c r="S2279">
        <v>-3.2725520000000001</v>
      </c>
      <c r="T2279">
        <v>-1.171648</v>
      </c>
      <c r="U2279">
        <v>0.24459839999999999</v>
      </c>
      <c r="V2279">
        <v>3.0114559999999999E-2</v>
      </c>
      <c r="W2279">
        <v>0.19924700000000001</v>
      </c>
      <c r="X2279">
        <v>0.97948650000000004</v>
      </c>
      <c r="Y2279">
        <v>7.9990839999999994E-2</v>
      </c>
      <c r="Z2279">
        <v>1.813418E-2</v>
      </c>
      <c r="AA2279">
        <v>0.99663060000000003</v>
      </c>
      <c r="AB2279">
        <v>36</v>
      </c>
      <c r="AC2279">
        <v>-0.48699999999996602</v>
      </c>
      <c r="AD2279">
        <v>-0.30088939999999997</v>
      </c>
      <c r="AE2279">
        <v>6.7099999999982105E-2</v>
      </c>
      <c r="AF2279">
        <v>5.28010253041701E-2</v>
      </c>
      <c r="AG2279">
        <v>-0.30088939999999997</v>
      </c>
      <c r="AH2279">
        <v>0.35370797144703497</v>
      </c>
      <c r="AI2279">
        <v>130.07554940545799</v>
      </c>
      <c r="AJ2279">
        <v>81.509663173843705</v>
      </c>
      <c r="AK2279">
        <v>0.46736678141552601</v>
      </c>
      <c r="AL2279">
        <v>78.507071229473098</v>
      </c>
      <c r="AM2279">
        <v>88.238981517658601</v>
      </c>
      <c r="AN2279">
        <v>1.0000000287076201</v>
      </c>
    </row>
    <row r="2280" spans="1:40" x14ac:dyDescent="0.25">
      <c r="A2280" t="str">
        <f>"20190303162823654"</f>
        <v>20190303162823654</v>
      </c>
      <c r="B2280" t="str">
        <f>"1551601703643462"</f>
        <v>1551601703643462</v>
      </c>
      <c r="C2280" t="s">
        <v>40</v>
      </c>
      <c r="D2280">
        <v>4.6429419999999997</v>
      </c>
      <c r="E2280">
        <v>0.52741459999999996</v>
      </c>
      <c r="F2280" t="s">
        <v>44</v>
      </c>
      <c r="G2280">
        <v>-417.23110000000003</v>
      </c>
      <c r="H2280">
        <v>0.83241609999999999</v>
      </c>
      <c r="I2280">
        <v>284.6198</v>
      </c>
      <c r="J2280">
        <v>-416.7756</v>
      </c>
      <c r="K2280">
        <v>1.1211549999999999</v>
      </c>
      <c r="L2280">
        <v>284.55489999999998</v>
      </c>
      <c r="M2280">
        <v>-0.99986589999999997</v>
      </c>
      <c r="N2280">
        <v>-1.1791980000000001E-2</v>
      </c>
      <c r="O2280">
        <v>-1.1372770000000001E-2</v>
      </c>
      <c r="P2280">
        <v>-0.98190310000000003</v>
      </c>
      <c r="Q2280">
        <v>0.18841459999999999</v>
      </c>
      <c r="R2280">
        <v>1.913099E-2</v>
      </c>
      <c r="S2280">
        <v>-3.2720030000000002</v>
      </c>
      <c r="T2280">
        <v>-1.161189</v>
      </c>
      <c r="U2280">
        <v>0.24472050000000001</v>
      </c>
      <c r="V2280">
        <v>3.0251670000000001E-2</v>
      </c>
      <c r="W2280">
        <v>0.19998389999999999</v>
      </c>
      <c r="X2280">
        <v>0.97933210000000004</v>
      </c>
      <c r="Y2280">
        <v>8.0225379999999999E-2</v>
      </c>
      <c r="Z2280">
        <v>1.806555E-2</v>
      </c>
      <c r="AA2280">
        <v>0.99661299999999997</v>
      </c>
      <c r="AB2280">
        <v>36</v>
      </c>
      <c r="AC2280">
        <v>-0.45550000000002899</v>
      </c>
      <c r="AD2280">
        <v>-0.28873889999999902</v>
      </c>
      <c r="AE2280">
        <v>6.4900000000022801E-2</v>
      </c>
      <c r="AF2280">
        <v>5.0276291628104403E-2</v>
      </c>
      <c r="AG2280">
        <v>-0.28873889999999902</v>
      </c>
      <c r="AH2280">
        <v>0.32624734326454902</v>
      </c>
      <c r="AI2280">
        <v>131.17635788457</v>
      </c>
      <c r="AJ2280">
        <v>81.239359888019706</v>
      </c>
      <c r="AK2280">
        <v>0.43856035714626601</v>
      </c>
      <c r="AL2280">
        <v>78.463982951697005</v>
      </c>
      <c r="AM2280">
        <v>88.230690051133294</v>
      </c>
      <c r="AN2280">
        <v>1.0000000429436999</v>
      </c>
    </row>
    <row r="2281" spans="1:40" x14ac:dyDescent="0.25">
      <c r="A2281" t="str">
        <f>"20190303162823677"</f>
        <v>20190303162823677</v>
      </c>
      <c r="B2281" t="str">
        <f>"1551601703673718"</f>
        <v>1551601703673718</v>
      </c>
      <c r="C2281" t="s">
        <v>40</v>
      </c>
      <c r="D2281">
        <v>4.6230229999999999</v>
      </c>
      <c r="E2281">
        <v>0.52778019999999903</v>
      </c>
      <c r="F2281" t="s">
        <v>44</v>
      </c>
      <c r="G2281">
        <v>-417.5582</v>
      </c>
      <c r="H2281">
        <v>0.845555099999999</v>
      </c>
      <c r="I2281">
        <v>284.61439999999999</v>
      </c>
      <c r="J2281">
        <v>-417.149</v>
      </c>
      <c r="K2281">
        <v>1.1211629999999999</v>
      </c>
      <c r="L2281">
        <v>284.5505</v>
      </c>
      <c r="M2281">
        <v>-0.99986439999999999</v>
      </c>
      <c r="N2281">
        <v>-1.1802170000000001E-2</v>
      </c>
      <c r="O2281">
        <v>-1.1487270000000001E-2</v>
      </c>
      <c r="P2281">
        <v>-0.98189720000000003</v>
      </c>
      <c r="Q2281">
        <v>0.18843979999999999</v>
      </c>
      <c r="R2281">
        <v>1.9197639999999998E-2</v>
      </c>
      <c r="S2281">
        <v>-3.2715450000000001</v>
      </c>
      <c r="T2281">
        <v>-1.1522209999999999</v>
      </c>
      <c r="U2281">
        <v>0.24783330000000001</v>
      </c>
      <c r="V2281">
        <v>3.0430809999999999E-2</v>
      </c>
      <c r="W2281">
        <v>0.2000189</v>
      </c>
      <c r="X2281">
        <v>0.9793193</v>
      </c>
      <c r="Y2281">
        <v>8.1302620000000006E-2</v>
      </c>
      <c r="Z2281">
        <v>1.816663E-2</v>
      </c>
      <c r="AA2281">
        <v>0.99652390000000002</v>
      </c>
      <c r="AB2281">
        <v>36</v>
      </c>
      <c r="AC2281">
        <v>-0.40919999999999801</v>
      </c>
      <c r="AD2281">
        <v>-0.27560790000000002</v>
      </c>
      <c r="AE2281">
        <v>6.3899999999989604E-2</v>
      </c>
      <c r="AF2281">
        <v>4.7542771392138299E-2</v>
      </c>
      <c r="AG2281">
        <v>-0.27560790000000002</v>
      </c>
      <c r="AH2281">
        <v>0.28307946738074002</v>
      </c>
      <c r="AI2281">
        <v>133.83559592872399</v>
      </c>
      <c r="AJ2281">
        <v>80.466234108233195</v>
      </c>
      <c r="AK2281">
        <v>0.397937199199344</v>
      </c>
      <c r="AL2281">
        <v>78.461935077542194</v>
      </c>
      <c r="AM2281">
        <v>88.220196276596695</v>
      </c>
      <c r="AN2281">
        <v>0.99999994295347605</v>
      </c>
    </row>
    <row r="2282" spans="1:40" x14ac:dyDescent="0.25">
      <c r="A2282" t="str">
        <f>"20190303162823700"</f>
        <v>20190303162823700</v>
      </c>
      <c r="B2282" t="str">
        <f>"1551601703693238"</f>
        <v>1551601703693238</v>
      </c>
      <c r="C2282" t="s">
        <v>40</v>
      </c>
      <c r="D2282">
        <v>4.6069909999999998</v>
      </c>
      <c r="E2282">
        <v>0.52799110000000005</v>
      </c>
      <c r="F2282" t="s">
        <v>44</v>
      </c>
      <c r="G2282">
        <v>-417.88679999999999</v>
      </c>
      <c r="H2282">
        <v>0.86247649999999998</v>
      </c>
      <c r="I2282">
        <v>284.60719999999998</v>
      </c>
      <c r="J2282">
        <v>-417.51569999999998</v>
      </c>
      <c r="K2282">
        <v>1.121164</v>
      </c>
      <c r="L2282">
        <v>284.54610000000002</v>
      </c>
      <c r="M2282">
        <v>-0.99986280000000005</v>
      </c>
      <c r="N2282">
        <v>-1.181581E-2</v>
      </c>
      <c r="O2282">
        <v>-1.1600589999999999E-2</v>
      </c>
      <c r="P2282">
        <v>-0.98188609999999998</v>
      </c>
      <c r="Q2282">
        <v>0.1884624</v>
      </c>
      <c r="R2282">
        <v>1.9536970000000001E-2</v>
      </c>
      <c r="S2282">
        <v>-3.270508</v>
      </c>
      <c r="T2282">
        <v>-1.146682</v>
      </c>
      <c r="U2282">
        <v>0.250946</v>
      </c>
      <c r="V2282">
        <v>3.0881240000000001E-2</v>
      </c>
      <c r="W2282">
        <v>0.20005490000000001</v>
      </c>
      <c r="X2282">
        <v>0.97929790000000005</v>
      </c>
      <c r="Y2282">
        <v>8.2360299999999997E-2</v>
      </c>
      <c r="Z2282">
        <v>1.831435E-2</v>
      </c>
      <c r="AA2282">
        <v>0.9964343</v>
      </c>
      <c r="AB2282">
        <v>36</v>
      </c>
      <c r="AC2282">
        <v>-0.37110000000001198</v>
      </c>
      <c r="AD2282">
        <v>-0.25868750000000001</v>
      </c>
      <c r="AE2282">
        <v>6.1099999999953497E-2</v>
      </c>
      <c r="AF2282">
        <v>4.4396969502198097E-2</v>
      </c>
      <c r="AG2282">
        <v>-0.25868750000000001</v>
      </c>
      <c r="AH2282">
        <v>0.25141960768517002</v>
      </c>
      <c r="AI2282">
        <v>135.37655050693499</v>
      </c>
      <c r="AJ2282">
        <v>79.985654575614802</v>
      </c>
      <c r="AK2282">
        <v>0.36345857079699501</v>
      </c>
      <c r="AL2282">
        <v>78.459830494262306</v>
      </c>
      <c r="AM2282">
        <v>88.193829901879397</v>
      </c>
      <c r="AN2282">
        <v>0.99999999547117802</v>
      </c>
    </row>
    <row r="2283" spans="1:40" x14ac:dyDescent="0.25">
      <c r="A2283" t="str">
        <f>"20190303162823722"</f>
        <v>20190303162823722</v>
      </c>
      <c r="B2283" t="str">
        <f>"1551601703713735"</f>
        <v>1551601703713735</v>
      </c>
      <c r="C2283" t="s">
        <v>40</v>
      </c>
      <c r="D2283">
        <v>4.6103940000000003</v>
      </c>
      <c r="E2283">
        <v>0.52821770000000001</v>
      </c>
      <c r="F2283" t="s">
        <v>44</v>
      </c>
      <c r="G2283">
        <v>-418.21440000000001</v>
      </c>
      <c r="H2283">
        <v>0.87685079999999904</v>
      </c>
      <c r="I2283">
        <v>284.601</v>
      </c>
      <c r="J2283">
        <v>-417.87220000000002</v>
      </c>
      <c r="K2283">
        <v>1.1211629999999999</v>
      </c>
      <c r="L2283">
        <v>284.5419</v>
      </c>
      <c r="M2283">
        <v>-0.99986140000000001</v>
      </c>
      <c r="N2283">
        <v>-1.1836630000000001E-2</v>
      </c>
      <c r="O2283">
        <v>-1.1710989999999999E-2</v>
      </c>
      <c r="P2283">
        <v>-0.98191470000000003</v>
      </c>
      <c r="Q2283">
        <v>0.18827350000000001</v>
      </c>
      <c r="R2283">
        <v>1.992381E-2</v>
      </c>
      <c r="S2283">
        <v>-3.2697449999999999</v>
      </c>
      <c r="T2283">
        <v>-1.1432290000000001</v>
      </c>
      <c r="U2283">
        <v>0.25448609999999999</v>
      </c>
      <c r="V2283">
        <v>3.1376639999999997E-2</v>
      </c>
      <c r="W2283">
        <v>0.1998867</v>
      </c>
      <c r="X2283">
        <v>0.97931650000000003</v>
      </c>
      <c r="Y2283">
        <v>8.3514469999999993E-2</v>
      </c>
      <c r="Z2283">
        <v>1.8506060000000001E-2</v>
      </c>
      <c r="AA2283">
        <v>0.99633470000000002</v>
      </c>
      <c r="AB2283">
        <v>36</v>
      </c>
      <c r="AC2283">
        <v>-0.34219999999999101</v>
      </c>
      <c r="AD2283">
        <v>-0.24431220000000001</v>
      </c>
      <c r="AE2283">
        <v>5.9100000000000798E-2</v>
      </c>
      <c r="AF2283">
        <v>4.22111171430406E-2</v>
      </c>
      <c r="AG2283">
        <v>-0.24431220000000001</v>
      </c>
      <c r="AH2283">
        <v>0.22842448247182201</v>
      </c>
      <c r="AI2283">
        <v>136.44473582726999</v>
      </c>
      <c r="AJ2283">
        <v>79.530281129077693</v>
      </c>
      <c r="AK2283">
        <v>0.33711715125727898</v>
      </c>
      <c r="AL2283">
        <v>78.469666324861095</v>
      </c>
      <c r="AM2283">
        <v>88.164909623101593</v>
      </c>
      <c r="AN2283">
        <v>0.999999996773414</v>
      </c>
    </row>
    <row r="2284" spans="1:40" x14ac:dyDescent="0.25">
      <c r="A2284" t="str">
        <f>"20190303162823745"</f>
        <v>20190303162823745</v>
      </c>
      <c r="B2284" t="str">
        <f>"1551601703733255"</f>
        <v>1551601703733255</v>
      </c>
      <c r="C2284" t="s">
        <v>40</v>
      </c>
      <c r="D2284">
        <v>4.5880749999999999</v>
      </c>
      <c r="E2284">
        <v>0.5284103</v>
      </c>
      <c r="F2284" t="s">
        <v>44</v>
      </c>
      <c r="G2284">
        <v>-418.54079999999999</v>
      </c>
      <c r="H2284">
        <v>0.88810669999999903</v>
      </c>
      <c r="I2284">
        <v>284.59429999999998</v>
      </c>
      <c r="J2284">
        <v>-418.2312</v>
      </c>
      <c r="K2284">
        <v>1.121167</v>
      </c>
      <c r="L2284">
        <v>284.5376</v>
      </c>
      <c r="M2284">
        <v>-0.99985979999999997</v>
      </c>
      <c r="N2284">
        <v>-1.186742E-2</v>
      </c>
      <c r="O2284">
        <v>-1.1822879999999999E-2</v>
      </c>
      <c r="P2284">
        <v>-0.98190529999999998</v>
      </c>
      <c r="Q2284">
        <v>0.1882914</v>
      </c>
      <c r="R2284">
        <v>2.021593E-2</v>
      </c>
      <c r="S2284">
        <v>-3.2685550000000001</v>
      </c>
      <c r="T2284">
        <v>-1.1395059999999999</v>
      </c>
      <c r="U2284">
        <v>0.25646970000000002</v>
      </c>
      <c r="V2284">
        <v>3.1778229999999998E-2</v>
      </c>
      <c r="W2284">
        <v>0.1999348</v>
      </c>
      <c r="X2284">
        <v>0.97929370000000004</v>
      </c>
      <c r="Y2284">
        <v>8.4236870000000005E-2</v>
      </c>
      <c r="Z2284">
        <v>1.8620100000000001E-2</v>
      </c>
      <c r="AA2284">
        <v>0.99627180000000004</v>
      </c>
      <c r="AB2284">
        <v>36</v>
      </c>
      <c r="AC2284">
        <v>-0.309599999999989</v>
      </c>
      <c r="AD2284">
        <v>-0.2330603</v>
      </c>
      <c r="AE2284">
        <v>5.66999999999779E-2</v>
      </c>
      <c r="AF2284">
        <v>3.89828797498495E-2</v>
      </c>
      <c r="AG2284">
        <v>-0.2330603</v>
      </c>
      <c r="AH2284">
        <v>0.19951604526518599</v>
      </c>
      <c r="AI2284">
        <v>138.90316978886699</v>
      </c>
      <c r="AJ2284">
        <v>78.944420773401404</v>
      </c>
      <c r="AK2284">
        <v>0.309262704941836</v>
      </c>
      <c r="AL2284">
        <v>78.466853255368903</v>
      </c>
      <c r="AM2284">
        <v>88.141395406577601</v>
      </c>
      <c r="AN2284">
        <v>0.99999996550632997</v>
      </c>
    </row>
    <row r="2285" spans="1:40" x14ac:dyDescent="0.25">
      <c r="A2285" t="str">
        <f>"20190303162823767"</f>
        <v>20190303162823767</v>
      </c>
      <c r="B2285" t="str">
        <f>"1551601703763510"</f>
        <v>1551601703763510</v>
      </c>
      <c r="C2285" t="s">
        <v>40</v>
      </c>
      <c r="D2285">
        <v>4.5131040000000002</v>
      </c>
      <c r="E2285">
        <v>0.52865989999999996</v>
      </c>
      <c r="F2285" t="s">
        <v>44</v>
      </c>
      <c r="G2285">
        <v>-419.15089999999998</v>
      </c>
      <c r="H2285">
        <v>0.80145379999999999</v>
      </c>
      <c r="I2285">
        <v>284.61020000000002</v>
      </c>
      <c r="J2285">
        <v>-418.58699999999999</v>
      </c>
      <c r="K2285">
        <v>1.121176</v>
      </c>
      <c r="L2285">
        <v>284.5333</v>
      </c>
      <c r="M2285">
        <v>-0.99985800000000002</v>
      </c>
      <c r="N2285">
        <v>-1.190214E-2</v>
      </c>
      <c r="O2285">
        <v>-1.193337E-2</v>
      </c>
      <c r="P2285">
        <v>-0.98192449999999998</v>
      </c>
      <c r="Q2285">
        <v>0.1881882</v>
      </c>
      <c r="R2285">
        <v>2.0232839999999998E-2</v>
      </c>
      <c r="S2285">
        <v>-3.2678219999999998</v>
      </c>
      <c r="T2285">
        <v>-1.136042</v>
      </c>
      <c r="U2285">
        <v>0.2578125</v>
      </c>
      <c r="V2285">
        <v>3.1903140000000003E-2</v>
      </c>
      <c r="W2285">
        <v>0.19986570000000001</v>
      </c>
      <c r="X2285">
        <v>0.97930379999999995</v>
      </c>
      <c r="Y2285">
        <v>8.4764329999999999E-2</v>
      </c>
      <c r="Z2285">
        <v>1.8700479999999998E-2</v>
      </c>
      <c r="AA2285">
        <v>0.99622549999999999</v>
      </c>
      <c r="AB2285">
        <v>36</v>
      </c>
      <c r="AC2285">
        <v>-0.56389999999998897</v>
      </c>
      <c r="AD2285">
        <v>-0.31972220000000001</v>
      </c>
      <c r="AE2285">
        <v>7.69000000000232E-2</v>
      </c>
      <c r="AF2285">
        <v>6.3563498944068195E-2</v>
      </c>
      <c r="AG2285">
        <v>-0.31972220000000001</v>
      </c>
      <c r="AH2285">
        <v>0.42789716304728997</v>
      </c>
      <c r="AI2285">
        <v>126.46751204503499</v>
      </c>
      <c r="AJ2285">
        <v>81.550584193297993</v>
      </c>
      <c r="AK2285">
        <v>0.537920612836849</v>
      </c>
      <c r="AL2285">
        <v>78.470894593389801</v>
      </c>
      <c r="AM2285">
        <v>88.134114214217306</v>
      </c>
      <c r="AN2285">
        <v>1.0000000205363899</v>
      </c>
    </row>
    <row r="2286" spans="1:40" x14ac:dyDescent="0.25">
      <c r="A2286" t="str">
        <f>"20190303162823789"</f>
        <v>20190303162823789</v>
      </c>
      <c r="B2286" t="str">
        <f>"1551601703783757"</f>
        <v>1551601703783757</v>
      </c>
      <c r="C2286" t="s">
        <v>40</v>
      </c>
      <c r="D2286">
        <v>4.5469330000000001</v>
      </c>
      <c r="E2286">
        <v>0.52878549999999902</v>
      </c>
      <c r="F2286" t="s">
        <v>44</v>
      </c>
      <c r="G2286">
        <v>-419.47739999999999</v>
      </c>
      <c r="H2286">
        <v>0.81294049999999995</v>
      </c>
      <c r="I2286">
        <v>284.60489999999999</v>
      </c>
      <c r="J2286">
        <v>-418.95209999999997</v>
      </c>
      <c r="K2286">
        <v>1.1211739999999999</v>
      </c>
      <c r="L2286">
        <v>284.52870000000001</v>
      </c>
      <c r="M2286">
        <v>-0.99985619999999997</v>
      </c>
      <c r="N2286">
        <v>-1.193843E-2</v>
      </c>
      <c r="O2286">
        <v>-1.2046370000000001E-2</v>
      </c>
      <c r="P2286">
        <v>-0.98198669999999999</v>
      </c>
      <c r="Q2286">
        <v>0.18793860000000001</v>
      </c>
      <c r="R2286">
        <v>1.952715E-2</v>
      </c>
      <c r="S2286">
        <v>-3.2665410000000001</v>
      </c>
      <c r="T2286">
        <v>-1.1308389999999999</v>
      </c>
      <c r="U2286">
        <v>0.26095580000000002</v>
      </c>
      <c r="V2286">
        <v>3.1308839999999998E-2</v>
      </c>
      <c r="W2286">
        <v>0.19965260000000001</v>
      </c>
      <c r="X2286">
        <v>0.97936639999999997</v>
      </c>
      <c r="Y2286">
        <v>8.5836270000000006E-2</v>
      </c>
      <c r="Z2286">
        <v>1.8851639999999999E-2</v>
      </c>
      <c r="AA2286">
        <v>0.99613090000000004</v>
      </c>
      <c r="AB2286">
        <v>36</v>
      </c>
      <c r="AC2286">
        <v>-0.52530000000001498</v>
      </c>
      <c r="AD2286">
        <v>-0.30823349999999899</v>
      </c>
      <c r="AE2286">
        <v>7.6199999999971596E-2</v>
      </c>
      <c r="AF2286">
        <v>6.17127061112593E-2</v>
      </c>
      <c r="AG2286">
        <v>-0.30823349999999899</v>
      </c>
      <c r="AH2286">
        <v>0.39211767839095102</v>
      </c>
      <c r="AI2286">
        <v>127.82990603669199</v>
      </c>
      <c r="AJ2286">
        <v>81.055975738678498</v>
      </c>
      <c r="AK2286">
        <v>0.50256603777467301</v>
      </c>
      <c r="AL2286">
        <v>78.483354938465695</v>
      </c>
      <c r="AM2286">
        <v>88.168965498076702</v>
      </c>
      <c r="AN2286">
        <v>0.99999997479893199</v>
      </c>
    </row>
    <row r="2287" spans="1:40" x14ac:dyDescent="0.25">
      <c r="A2287" t="str">
        <f>"20190303162823811"</f>
        <v>20190303162823811</v>
      </c>
      <c r="B2287" t="str">
        <f>"1551601703803264"</f>
        <v>1551601703803264</v>
      </c>
      <c r="C2287" t="s">
        <v>40</v>
      </c>
      <c r="D2287">
        <v>4.5371439999999996</v>
      </c>
      <c r="E2287">
        <v>0.52889240000000004</v>
      </c>
      <c r="F2287" t="s">
        <v>44</v>
      </c>
      <c r="G2287">
        <v>-419.80470000000003</v>
      </c>
      <c r="H2287">
        <v>0.82654179999999999</v>
      </c>
      <c r="I2287">
        <v>284.5967</v>
      </c>
      <c r="J2287">
        <v>-419.29480000000001</v>
      </c>
      <c r="K2287">
        <v>1.121184</v>
      </c>
      <c r="L2287">
        <v>284.52449999999999</v>
      </c>
      <c r="M2287">
        <v>-0.99985460000000004</v>
      </c>
      <c r="N2287">
        <v>-1.1974790000000001E-2</v>
      </c>
      <c r="O2287">
        <v>-1.215305E-2</v>
      </c>
      <c r="P2287">
        <v>-0.98214349999999995</v>
      </c>
      <c r="Q2287">
        <v>0.18713170000000001</v>
      </c>
      <c r="R2287">
        <v>1.9393669999999998E-2</v>
      </c>
      <c r="S2287">
        <v>-3.2658079999999998</v>
      </c>
      <c r="T2287">
        <v>-1.1285339999999999</v>
      </c>
      <c r="U2287">
        <v>0.26065060000000001</v>
      </c>
      <c r="V2287">
        <v>3.1281799999999998E-2</v>
      </c>
      <c r="W2287">
        <v>0.198883</v>
      </c>
      <c r="X2287">
        <v>0.97952379999999994</v>
      </c>
      <c r="Y2287">
        <v>8.5879259999999999E-2</v>
      </c>
      <c r="Z2287">
        <v>1.886314E-2</v>
      </c>
      <c r="AA2287">
        <v>0.99612690000000004</v>
      </c>
      <c r="AB2287">
        <v>36</v>
      </c>
      <c r="AC2287">
        <v>-0.50990000000001601</v>
      </c>
      <c r="AD2287">
        <v>-0.29464220000000002</v>
      </c>
      <c r="AE2287">
        <v>7.2200000000009298E-2</v>
      </c>
      <c r="AF2287">
        <v>5.90594509402875E-2</v>
      </c>
      <c r="AG2287">
        <v>-0.29464220000000002</v>
      </c>
      <c r="AH2287">
        <v>0.38346238366664098</v>
      </c>
      <c r="AI2287">
        <v>127.21372160491001</v>
      </c>
      <c r="AJ2287">
        <v>81.244315687555002</v>
      </c>
      <c r="AK2287">
        <v>0.48718112078929199</v>
      </c>
      <c r="AL2287">
        <v>78.528351746838993</v>
      </c>
      <c r="AM2287">
        <v>88.170839578851798</v>
      </c>
      <c r="AN2287">
        <v>0.99999993673333798</v>
      </c>
    </row>
    <row r="2288" spans="1:40" x14ac:dyDescent="0.25">
      <c r="A2288" t="str">
        <f>"20190303162823833"</f>
        <v>20190303162823833</v>
      </c>
      <c r="B2288" t="str">
        <f>"1551601703823761"</f>
        <v>1551601703823761</v>
      </c>
      <c r="C2288" t="s">
        <v>40</v>
      </c>
      <c r="D2288">
        <v>4.5016619999999996</v>
      </c>
      <c r="E2288">
        <v>0.52898829999999997</v>
      </c>
      <c r="F2288" t="s">
        <v>44</v>
      </c>
      <c r="G2288">
        <v>-420.12920000000003</v>
      </c>
      <c r="H2288">
        <v>0.83277509999999999</v>
      </c>
      <c r="I2288">
        <v>284.59190000000001</v>
      </c>
      <c r="J2288">
        <v>-419.65359999999998</v>
      </c>
      <c r="K2288">
        <v>1.1211880000000001</v>
      </c>
      <c r="L2288">
        <v>284.52010000000001</v>
      </c>
      <c r="M2288">
        <v>-0.99985279999999999</v>
      </c>
      <c r="N2288">
        <v>-1.2013360000000001E-2</v>
      </c>
      <c r="O2288">
        <v>-1.226558E-2</v>
      </c>
      <c r="P2288">
        <v>-0.98221579999999997</v>
      </c>
      <c r="Q2288">
        <v>0.1868097</v>
      </c>
      <c r="R2288">
        <v>1.8832660000000001E-2</v>
      </c>
      <c r="S2288">
        <v>-3.2643740000000001</v>
      </c>
      <c r="T2288">
        <v>-1.1284069999999999</v>
      </c>
      <c r="U2288">
        <v>0.26144410000000001</v>
      </c>
      <c r="V2288">
        <v>3.083197E-2</v>
      </c>
      <c r="W2288">
        <v>0.19859979999999999</v>
      </c>
      <c r="X2288">
        <v>0.97959560000000001</v>
      </c>
      <c r="Y2288">
        <v>8.6235309999999996E-2</v>
      </c>
      <c r="Z2288">
        <v>1.89683E-2</v>
      </c>
      <c r="AA2288">
        <v>0.99609420000000004</v>
      </c>
      <c r="AB2288">
        <v>36</v>
      </c>
      <c r="AC2288">
        <v>-0.47560000000004199</v>
      </c>
      <c r="AD2288">
        <v>-0.28841289999999897</v>
      </c>
      <c r="AE2288">
        <v>7.1799999999996006E-2</v>
      </c>
      <c r="AF2288">
        <v>5.7098712272194201E-2</v>
      </c>
      <c r="AG2288">
        <v>-0.28841289999999897</v>
      </c>
      <c r="AH2288">
        <v>0.34914762074439398</v>
      </c>
      <c r="AI2288">
        <v>129.187580048846</v>
      </c>
      <c r="AJ2288">
        <v>80.712210913389001</v>
      </c>
      <c r="AK2288">
        <v>0.45644969591514001</v>
      </c>
      <c r="AL2288">
        <v>78.544909092482996</v>
      </c>
      <c r="AM2288">
        <v>88.197257342465804</v>
      </c>
      <c r="AN2288">
        <v>1.0000000152367401</v>
      </c>
    </row>
    <row r="2289" spans="1:40" x14ac:dyDescent="0.25">
      <c r="A2289" t="str">
        <f>"20190303162823855"</f>
        <v>20190303162823855</v>
      </c>
      <c r="B2289" t="str">
        <f>"1551601703844075"</f>
        <v>1551601703844075</v>
      </c>
      <c r="C2289" t="s">
        <v>40</v>
      </c>
      <c r="D2289">
        <v>4.5132700000000003</v>
      </c>
      <c r="E2289">
        <v>0.52904960000000001</v>
      </c>
      <c r="F2289" t="s">
        <v>44</v>
      </c>
      <c r="G2289">
        <v>-420.4556</v>
      </c>
      <c r="H2289">
        <v>0.84427240000000003</v>
      </c>
      <c r="I2289">
        <v>284.58409999999998</v>
      </c>
      <c r="J2289">
        <v>-420.01929999999999</v>
      </c>
      <c r="K2289">
        <v>1.1211960000000001</v>
      </c>
      <c r="L2289">
        <v>284.5154</v>
      </c>
      <c r="M2289">
        <v>-0.99985080000000004</v>
      </c>
      <c r="N2289">
        <v>-1.2050709999999999E-2</v>
      </c>
      <c r="O2289">
        <v>-1.238073E-2</v>
      </c>
      <c r="P2289">
        <v>-0.98214760000000001</v>
      </c>
      <c r="Q2289">
        <v>0.1872094</v>
      </c>
      <c r="R2289">
        <v>1.840669E-2</v>
      </c>
      <c r="S2289">
        <v>-3.2636409999999998</v>
      </c>
      <c r="T2289">
        <v>-1.1268640000000001</v>
      </c>
      <c r="U2289">
        <v>0.2605286</v>
      </c>
      <c r="V2289">
        <v>3.0518010000000002E-2</v>
      </c>
      <c r="W2289">
        <v>0.19903489999999999</v>
      </c>
      <c r="X2289">
        <v>0.97951710000000003</v>
      </c>
      <c r="Y2289">
        <v>8.6104040000000007E-2</v>
      </c>
      <c r="Z2289">
        <v>1.896399E-2</v>
      </c>
      <c r="AA2289">
        <v>0.99610569999999998</v>
      </c>
      <c r="AB2289">
        <v>36</v>
      </c>
      <c r="AC2289">
        <v>-0.43630000000001701</v>
      </c>
      <c r="AD2289">
        <v>-0.27692359999999899</v>
      </c>
      <c r="AE2289">
        <v>6.8699999999978403E-2</v>
      </c>
      <c r="AF2289">
        <v>5.3188111226125802E-2</v>
      </c>
      <c r="AG2289">
        <v>-0.27692359999999899</v>
      </c>
      <c r="AH2289">
        <v>0.312549791205114</v>
      </c>
      <c r="AI2289">
        <v>131.135821323676</v>
      </c>
      <c r="AJ2289">
        <v>80.342218655952493</v>
      </c>
      <c r="AK2289">
        <v>0.42095489947870002</v>
      </c>
      <c r="AL2289">
        <v>78.519471646707899</v>
      </c>
      <c r="AM2289">
        <v>88.215459716272903</v>
      </c>
      <c r="AN2289">
        <v>0.99999999477238999</v>
      </c>
    </row>
    <row r="2290" spans="1:40" x14ac:dyDescent="0.25">
      <c r="A2290" t="str">
        <f>"20190303162823879"</f>
        <v>20190303162823879</v>
      </c>
      <c r="B2290" t="str">
        <f>"1551601703873353"</f>
        <v>1551601703873353</v>
      </c>
      <c r="C2290" t="s">
        <v>40</v>
      </c>
      <c r="D2290">
        <v>4.5255890000000001</v>
      </c>
      <c r="E2290">
        <v>0.52912239999999999</v>
      </c>
      <c r="F2290" t="s">
        <v>44</v>
      </c>
      <c r="G2290">
        <v>-420.78309999999999</v>
      </c>
      <c r="H2290">
        <v>0.85843159999999896</v>
      </c>
      <c r="I2290">
        <v>284.57659999999998</v>
      </c>
      <c r="J2290">
        <v>-420.38670000000002</v>
      </c>
      <c r="K2290">
        <v>1.1211990000000001</v>
      </c>
      <c r="L2290">
        <v>284.51069999999999</v>
      </c>
      <c r="M2290">
        <v>-0.99984899999999999</v>
      </c>
      <c r="N2290">
        <v>-1.208506E-2</v>
      </c>
      <c r="O2290">
        <v>-1.249668E-2</v>
      </c>
      <c r="P2290">
        <v>-0.98221990000000003</v>
      </c>
      <c r="Q2290">
        <v>0.1868697</v>
      </c>
      <c r="R2290">
        <v>1.7999069999999999E-2</v>
      </c>
      <c r="S2290">
        <v>-3.2636409999999998</v>
      </c>
      <c r="T2290">
        <v>-1.122663</v>
      </c>
      <c r="U2290">
        <v>0.25976559999999999</v>
      </c>
      <c r="V2290">
        <v>3.0225490000000001E-2</v>
      </c>
      <c r="W2290">
        <v>0.19872970000000001</v>
      </c>
      <c r="X2290">
        <v>0.97958820000000002</v>
      </c>
      <c r="Y2290">
        <v>8.6027580000000006E-2</v>
      </c>
      <c r="Z2290">
        <v>1.8923760000000001E-2</v>
      </c>
      <c r="AA2290">
        <v>0.99611300000000003</v>
      </c>
      <c r="AB2290">
        <v>36</v>
      </c>
      <c r="AC2290">
        <v>-0.396399999999971</v>
      </c>
      <c r="AD2290">
        <v>-0.26276739999999998</v>
      </c>
      <c r="AE2290">
        <v>6.5899999999999098E-2</v>
      </c>
      <c r="AF2290">
        <v>4.9628047599624803E-2</v>
      </c>
      <c r="AG2290">
        <v>-0.26276739999999998</v>
      </c>
      <c r="AH2290">
        <v>0.277070623192954</v>
      </c>
      <c r="AI2290">
        <v>133.03078717455199</v>
      </c>
      <c r="AJ2290">
        <v>79.845040488624804</v>
      </c>
      <c r="AK2290">
        <v>0.38506853915613798</v>
      </c>
      <c r="AL2290">
        <v>78.537315495518001</v>
      </c>
      <c r="AM2290">
        <v>88.2326821207986</v>
      </c>
      <c r="AN2290">
        <v>1.00000005774353</v>
      </c>
    </row>
    <row r="2291" spans="1:40" x14ac:dyDescent="0.25">
      <c r="A2291" t="str">
        <f>"20190303162823900"</f>
        <v>20190303162823900</v>
      </c>
      <c r="B2291" t="str">
        <f>"1551601703893850"</f>
        <v>1551601703893850</v>
      </c>
      <c r="C2291" t="s">
        <v>40</v>
      </c>
      <c r="D2291">
        <v>4.5566829999999996</v>
      </c>
      <c r="E2291">
        <v>0.52918619999999905</v>
      </c>
      <c r="F2291" t="s">
        <v>44</v>
      </c>
      <c r="G2291">
        <v>-421.11059999999998</v>
      </c>
      <c r="H2291">
        <v>0.87258119999999995</v>
      </c>
      <c r="I2291">
        <v>284.56819999999999</v>
      </c>
      <c r="J2291">
        <v>-420.7405</v>
      </c>
      <c r="K2291">
        <v>1.121202</v>
      </c>
      <c r="L2291">
        <v>284.50619999999998</v>
      </c>
      <c r="M2291">
        <v>-0.99984720000000005</v>
      </c>
      <c r="N2291">
        <v>-1.211832E-2</v>
      </c>
      <c r="O2291">
        <v>-1.2610359999999999E-2</v>
      </c>
      <c r="P2291">
        <v>-0.98224310000000004</v>
      </c>
      <c r="Q2291">
        <v>0.18680620000000001</v>
      </c>
      <c r="R2291">
        <v>1.7382419999999999E-2</v>
      </c>
      <c r="S2291">
        <v>-3.262756</v>
      </c>
      <c r="T2291">
        <v>-1.1206309999999999</v>
      </c>
      <c r="U2291">
        <v>0.25885010000000003</v>
      </c>
      <c r="V2291">
        <v>2.9720739999999999E-2</v>
      </c>
      <c r="W2291">
        <v>0.1986994</v>
      </c>
      <c r="X2291">
        <v>0.97960970000000003</v>
      </c>
      <c r="Y2291">
        <v>8.5902370000000006E-2</v>
      </c>
      <c r="Z2291">
        <v>1.891286E-2</v>
      </c>
      <c r="AA2291">
        <v>0.99612400000000001</v>
      </c>
      <c r="AB2291">
        <v>36</v>
      </c>
      <c r="AC2291">
        <v>-0.370099999999979</v>
      </c>
      <c r="AD2291">
        <v>-0.2486208</v>
      </c>
      <c r="AE2291">
        <v>6.2000000000011803E-2</v>
      </c>
      <c r="AF2291">
        <v>4.6327132854189497E-2</v>
      </c>
      <c r="AG2291">
        <v>-0.2486208</v>
      </c>
      <c r="AH2291">
        <v>0.25663729569731097</v>
      </c>
      <c r="AI2291">
        <v>133.63206428976201</v>
      </c>
      <c r="AJ2291">
        <v>79.767393194240796</v>
      </c>
      <c r="AK2291">
        <v>0.36030710092080998</v>
      </c>
      <c r="AL2291">
        <v>78.539085854360295</v>
      </c>
      <c r="AM2291">
        <v>88.262215279132405</v>
      </c>
      <c r="AN2291">
        <v>0.99999996914029798</v>
      </c>
    </row>
    <row r="2292" spans="1:40" x14ac:dyDescent="0.25">
      <c r="A2292" t="str">
        <f>"20190303162823923"</f>
        <v>20190303162823923</v>
      </c>
      <c r="B2292" t="str">
        <f>"1551601703913370"</f>
        <v>1551601703913370</v>
      </c>
      <c r="C2292" t="s">
        <v>40</v>
      </c>
      <c r="D2292">
        <v>4.5710470000000001</v>
      </c>
      <c r="E2292">
        <v>0.52922919999999996</v>
      </c>
      <c r="F2292" t="s">
        <v>44</v>
      </c>
      <c r="G2292">
        <v>-421.43650000000002</v>
      </c>
      <c r="H2292">
        <v>0.88263150000000001</v>
      </c>
      <c r="I2292">
        <v>284.56150000000002</v>
      </c>
      <c r="J2292">
        <v>-421.09679999999997</v>
      </c>
      <c r="K2292">
        <v>1.12121</v>
      </c>
      <c r="L2292">
        <v>284.50150000000002</v>
      </c>
      <c r="M2292">
        <v>-0.99984510000000004</v>
      </c>
      <c r="N2292">
        <v>-1.2152949999999999E-2</v>
      </c>
      <c r="O2292">
        <v>-1.2727169999999999E-2</v>
      </c>
      <c r="P2292">
        <v>-0.98225949999999995</v>
      </c>
      <c r="Q2292">
        <v>0.18680540000000001</v>
      </c>
      <c r="R2292">
        <v>1.6436860000000001E-2</v>
      </c>
      <c r="S2292">
        <v>-3.2623600000000001</v>
      </c>
      <c r="T2292">
        <v>-1.118398</v>
      </c>
      <c r="U2292">
        <v>0.25817869999999998</v>
      </c>
      <c r="V2292">
        <v>2.8889829999999998E-2</v>
      </c>
      <c r="W2292">
        <v>0.19873209999999999</v>
      </c>
      <c r="X2292">
        <v>0.97962800000000005</v>
      </c>
      <c r="Y2292">
        <v>8.5842130000000003E-2</v>
      </c>
      <c r="Z2292">
        <v>1.8908339999999999E-2</v>
      </c>
      <c r="AA2292">
        <v>0.9961293</v>
      </c>
      <c r="AB2292">
        <v>36</v>
      </c>
      <c r="AC2292">
        <v>-0.33970000000005002</v>
      </c>
      <c r="AD2292">
        <v>-0.2385785</v>
      </c>
      <c r="AE2292">
        <v>6.0000000000002197E-2</v>
      </c>
      <c r="AF2292">
        <v>4.3507720742939598E-2</v>
      </c>
      <c r="AG2292">
        <v>-0.2385785</v>
      </c>
      <c r="AH2292">
        <v>0.22925071937595401</v>
      </c>
      <c r="AI2292">
        <v>135.63565088053099</v>
      </c>
      <c r="AJ2292">
        <v>79.254074030016</v>
      </c>
      <c r="AK2292">
        <v>0.333719215450486</v>
      </c>
      <c r="AL2292">
        <v>78.537175028747498</v>
      </c>
      <c r="AM2292">
        <v>88.310801936297295</v>
      </c>
      <c r="AN2292">
        <v>1.00000004411591</v>
      </c>
    </row>
    <row r="2293" spans="1:40" x14ac:dyDescent="0.25">
      <c r="A2293" t="str">
        <f>"20190303162823946"</f>
        <v>20190303162823946</v>
      </c>
      <c r="B2293" t="str">
        <f>"1551601703933865"</f>
        <v>1551601703933865</v>
      </c>
      <c r="C2293" t="s">
        <v>40</v>
      </c>
      <c r="D2293">
        <v>4.5906529999999997</v>
      </c>
      <c r="E2293">
        <v>0.52927469999999999</v>
      </c>
      <c r="F2293" t="s">
        <v>44</v>
      </c>
      <c r="G2293">
        <v>-421.76260000000002</v>
      </c>
      <c r="H2293">
        <v>0.89338220000000002</v>
      </c>
      <c r="I2293">
        <v>284.5539</v>
      </c>
      <c r="J2293">
        <v>-421.46140000000003</v>
      </c>
      <c r="K2293">
        <v>1.1212150000000001</v>
      </c>
      <c r="L2293">
        <v>284.49680000000001</v>
      </c>
      <c r="M2293">
        <v>-0.99984340000000005</v>
      </c>
      <c r="N2293">
        <v>-1.2186789999999999E-2</v>
      </c>
      <c r="O2293">
        <v>-1.2846369999999999E-2</v>
      </c>
      <c r="P2293">
        <v>-0.98222259999999995</v>
      </c>
      <c r="Q2293">
        <v>0.18705469999999999</v>
      </c>
      <c r="R2293">
        <v>1.579821E-2</v>
      </c>
      <c r="S2293">
        <v>-3.262146</v>
      </c>
      <c r="T2293">
        <v>-1.116198</v>
      </c>
      <c r="U2293">
        <v>0.25677489999999997</v>
      </c>
      <c r="V2293">
        <v>2.836694E-2</v>
      </c>
      <c r="W2293">
        <v>0.19901479999999999</v>
      </c>
      <c r="X2293">
        <v>0.97958579999999995</v>
      </c>
      <c r="Y2293">
        <v>8.5570030000000005E-2</v>
      </c>
      <c r="Z2293">
        <v>1.886757E-2</v>
      </c>
      <c r="AA2293">
        <v>0.99615350000000003</v>
      </c>
      <c r="AB2293">
        <v>36</v>
      </c>
      <c r="AC2293">
        <v>-0.30119999999999397</v>
      </c>
      <c r="AD2293">
        <v>-0.2278328</v>
      </c>
      <c r="AE2293">
        <v>5.7099999999991199E-2</v>
      </c>
      <c r="AF2293">
        <v>3.9273483499886401E-2</v>
      </c>
      <c r="AG2293">
        <v>-0.2278328</v>
      </c>
      <c r="AH2293">
        <v>0.19354393241384299</v>
      </c>
      <c r="AI2293">
        <v>139.08083672287299</v>
      </c>
      <c r="AJ2293">
        <v>78.529417619179696</v>
      </c>
      <c r="AK2293">
        <v>0.30151193183068198</v>
      </c>
      <c r="AL2293">
        <v>78.520646358900393</v>
      </c>
      <c r="AM2293">
        <v>88.341286841351902</v>
      </c>
      <c r="AN2293">
        <v>0.99999995673282005</v>
      </c>
    </row>
    <row r="2294" spans="1:40" x14ac:dyDescent="0.25">
      <c r="A2294" t="str">
        <f>"20190303162823968"</f>
        <v>20190303162823968</v>
      </c>
      <c r="B2294" t="str">
        <f>"1551601703965098"</f>
        <v>1551601703965098</v>
      </c>
      <c r="C2294" t="s">
        <v>40</v>
      </c>
      <c r="D2294">
        <v>4.6443310000000002</v>
      </c>
      <c r="E2294">
        <v>0.52932809999999997</v>
      </c>
      <c r="F2294" t="s">
        <v>44</v>
      </c>
      <c r="G2294">
        <v>-422.37349999999998</v>
      </c>
      <c r="H2294">
        <v>0.80992869999999995</v>
      </c>
      <c r="I2294">
        <v>284.56790000000001</v>
      </c>
      <c r="J2294">
        <v>-421.8245</v>
      </c>
      <c r="K2294">
        <v>1.1212230000000001</v>
      </c>
      <c r="L2294">
        <v>284.49189999999999</v>
      </c>
      <c r="M2294">
        <v>-0.99984130000000004</v>
      </c>
      <c r="N2294">
        <v>-1.221731E-2</v>
      </c>
      <c r="O2294">
        <v>-1.2964109999999999E-2</v>
      </c>
      <c r="P2294">
        <v>-0.98214299999999999</v>
      </c>
      <c r="Q2294">
        <v>0.18758710000000001</v>
      </c>
      <c r="R2294">
        <v>1.4350160000000001E-2</v>
      </c>
      <c r="S2294">
        <v>-3.262238</v>
      </c>
      <c r="T2294">
        <v>-1.1134059999999999</v>
      </c>
      <c r="U2294">
        <v>0.25466919999999998</v>
      </c>
      <c r="V2294">
        <v>2.7033069999999999E-2</v>
      </c>
      <c r="W2294">
        <v>0.19957549999999999</v>
      </c>
      <c r="X2294">
        <v>0.97950950000000003</v>
      </c>
      <c r="Y2294">
        <v>8.5094749999999997E-2</v>
      </c>
      <c r="Z2294">
        <v>1.878049E-2</v>
      </c>
      <c r="AA2294">
        <v>0.99619590000000002</v>
      </c>
      <c r="AB2294">
        <v>36</v>
      </c>
      <c r="AC2294">
        <v>-0.54899999999997795</v>
      </c>
      <c r="AD2294">
        <v>-0.31129429999999902</v>
      </c>
      <c r="AE2294">
        <v>7.60000000000218E-2</v>
      </c>
      <c r="AF2294">
        <v>6.3180188806476106E-2</v>
      </c>
      <c r="AG2294">
        <v>-0.31129429999999902</v>
      </c>
      <c r="AH2294">
        <v>0.41655822555323202</v>
      </c>
      <c r="AI2294">
        <v>126.45886918612899</v>
      </c>
      <c r="AJ2294">
        <v>81.375571026062005</v>
      </c>
      <c r="AK2294">
        <v>0.52384790993776897</v>
      </c>
      <c r="AL2294">
        <v>78.487863628713399</v>
      </c>
      <c r="AM2294">
        <v>88.419119215697407</v>
      </c>
      <c r="AN2294">
        <v>1.0000000138320599</v>
      </c>
    </row>
    <row r="2295" spans="1:40" x14ac:dyDescent="0.25">
      <c r="A2295" t="str">
        <f>"20190303162823989"</f>
        <v>20190303162823989</v>
      </c>
      <c r="B2295" t="str">
        <f>"1551601703983641"</f>
        <v>1551601703983641</v>
      </c>
      <c r="C2295" t="s">
        <v>40</v>
      </c>
      <c r="D2295">
        <v>4.654261</v>
      </c>
      <c r="E2295">
        <v>0.52935299999999996</v>
      </c>
      <c r="F2295" t="s">
        <v>44</v>
      </c>
      <c r="G2295">
        <v>-422.70060000000001</v>
      </c>
      <c r="H2295">
        <v>0.82354649999999996</v>
      </c>
      <c r="I2295">
        <v>284.5598</v>
      </c>
      <c r="J2295">
        <v>-422.17759999999998</v>
      </c>
      <c r="K2295">
        <v>1.1212310000000001</v>
      </c>
      <c r="L2295">
        <v>284.4873</v>
      </c>
      <c r="M2295">
        <v>-0.99983949999999999</v>
      </c>
      <c r="N2295">
        <v>-1.224517E-2</v>
      </c>
      <c r="O2295">
        <v>-1.308015E-2</v>
      </c>
      <c r="P2295">
        <v>-0.98207</v>
      </c>
      <c r="Q2295">
        <v>0.1880617</v>
      </c>
      <c r="R2295">
        <v>1.310043E-2</v>
      </c>
      <c r="S2295">
        <v>-3.2626339999999998</v>
      </c>
      <c r="T2295">
        <v>-1.1085499999999999</v>
      </c>
      <c r="U2295">
        <v>0.25109860000000001</v>
      </c>
      <c r="V2295">
        <v>2.5896309999999999E-2</v>
      </c>
      <c r="W2295">
        <v>0.2000768</v>
      </c>
      <c r="X2295">
        <v>0.97943789999999997</v>
      </c>
      <c r="Y2295">
        <v>8.4210339999999995E-2</v>
      </c>
      <c r="Z2295">
        <v>1.8589189999999998E-2</v>
      </c>
      <c r="AA2295">
        <v>0.99627460000000001</v>
      </c>
      <c r="AB2295">
        <v>36</v>
      </c>
      <c r="AC2295">
        <v>-0.523000000000024</v>
      </c>
      <c r="AD2295">
        <v>-0.29768449999999902</v>
      </c>
      <c r="AE2295">
        <v>7.2499999999990905E-2</v>
      </c>
      <c r="AF2295">
        <v>6.0199816021184703E-2</v>
      </c>
      <c r="AG2295">
        <v>-0.29768449999999902</v>
      </c>
      <c r="AH2295">
        <v>0.39610042476877599</v>
      </c>
      <c r="AI2295">
        <v>126.612565054705</v>
      </c>
      <c r="AJ2295">
        <v>81.358250521233202</v>
      </c>
      <c r="AK2295">
        <v>0.49913487745422003</v>
      </c>
      <c r="AL2295">
        <v>78.458549554320797</v>
      </c>
      <c r="AM2295">
        <v>88.4854540919019</v>
      </c>
      <c r="AN2295">
        <v>0.99999997236313198</v>
      </c>
    </row>
    <row r="2296" spans="1:40" x14ac:dyDescent="0.25">
      <c r="A2296" t="str">
        <f>"20190303162824011"</f>
        <v>20190303162824011</v>
      </c>
      <c r="B2296" t="str">
        <f>"1551601704003162"</f>
        <v>1551601704003162</v>
      </c>
      <c r="C2296" t="s">
        <v>40</v>
      </c>
      <c r="D2296">
        <v>4.7671260000000002</v>
      </c>
      <c r="E2296">
        <v>0.52343459999999997</v>
      </c>
      <c r="F2296" t="s">
        <v>44</v>
      </c>
      <c r="G2296">
        <v>-423.02629999999999</v>
      </c>
      <c r="H2296">
        <v>0.83363390000000004</v>
      </c>
      <c r="I2296">
        <v>284.55200000000002</v>
      </c>
      <c r="J2296">
        <v>-422.53230000000002</v>
      </c>
      <c r="K2296">
        <v>1.1212329999999999</v>
      </c>
      <c r="L2296">
        <v>284.48250000000002</v>
      </c>
      <c r="M2296">
        <v>-0.99983759999999999</v>
      </c>
      <c r="N2296">
        <v>-1.2274800000000001E-2</v>
      </c>
      <c r="O2296">
        <v>-1.3200760000000001E-2</v>
      </c>
      <c r="P2296">
        <v>-0.98200209999999999</v>
      </c>
      <c r="Q2296">
        <v>0.18848480000000001</v>
      </c>
      <c r="R2296">
        <v>1.2064490000000001E-2</v>
      </c>
      <c r="S2296">
        <v>-3.263245</v>
      </c>
      <c r="T2296">
        <v>-1.1057539999999999</v>
      </c>
      <c r="U2296">
        <v>0.24746699999999999</v>
      </c>
      <c r="V2296">
        <v>2.4976749999999999E-2</v>
      </c>
      <c r="W2296">
        <v>0.2005277</v>
      </c>
      <c r="X2296">
        <v>0.97936959999999995</v>
      </c>
      <c r="Y2296">
        <v>8.3288940000000006E-2</v>
      </c>
      <c r="Z2296">
        <v>1.842473E-2</v>
      </c>
      <c r="AA2296">
        <v>0.99635510000000005</v>
      </c>
      <c r="AB2296">
        <v>36</v>
      </c>
      <c r="AC2296">
        <v>-0.49399999999997102</v>
      </c>
      <c r="AD2296">
        <v>-0.287599099999999</v>
      </c>
      <c r="AE2296">
        <v>6.9500000000005002E-2</v>
      </c>
      <c r="AF2296">
        <v>5.7053346564362499E-2</v>
      </c>
      <c r="AG2296">
        <v>-0.287599099999999</v>
      </c>
      <c r="AH2296">
        <v>0.37004964503176102</v>
      </c>
      <c r="AI2296">
        <v>127.528402610705</v>
      </c>
      <c r="AJ2296">
        <v>81.235290244669102</v>
      </c>
      <c r="AK2296">
        <v>0.472128230953345</v>
      </c>
      <c r="AL2296">
        <v>78.4321808772266</v>
      </c>
      <c r="AM2296">
        <v>88.539109005405507</v>
      </c>
      <c r="AN2296">
        <v>1.0000000049560001</v>
      </c>
    </row>
    <row r="2297" spans="1:40" x14ac:dyDescent="0.25">
      <c r="A2297" t="str">
        <f>"20190303162824035"</f>
        <v>20190303162824035</v>
      </c>
      <c r="B2297" t="str">
        <f>"1551601704023658"</f>
        <v>1551601704023658</v>
      </c>
      <c r="C2297" t="s">
        <v>40</v>
      </c>
      <c r="D2297">
        <v>4.6774950000000004</v>
      </c>
      <c r="E2297">
        <v>0.48099310000000001</v>
      </c>
      <c r="F2297" t="s">
        <v>44</v>
      </c>
      <c r="G2297">
        <v>-423.36540000000002</v>
      </c>
      <c r="H2297">
        <v>0.87804169999999904</v>
      </c>
      <c r="I2297">
        <v>284.53440000000001</v>
      </c>
      <c r="J2297">
        <v>-422.89609999999999</v>
      </c>
      <c r="K2297">
        <v>1.1212390000000001</v>
      </c>
      <c r="L2297">
        <v>284.47750000000002</v>
      </c>
      <c r="M2297">
        <v>-0.99983560000000005</v>
      </c>
      <c r="N2297">
        <v>-1.2307729999999999E-2</v>
      </c>
      <c r="O2297">
        <v>-1.3323049999999999E-2</v>
      </c>
      <c r="P2297">
        <v>-0.9820797</v>
      </c>
      <c r="Q2297">
        <v>0.18810370000000001</v>
      </c>
      <c r="R2297">
        <v>1.1697539999999999E-2</v>
      </c>
      <c r="S2297">
        <v>-3.2337950000000002</v>
      </c>
      <c r="T2297">
        <v>-0.94399549999999999</v>
      </c>
      <c r="U2297">
        <v>0.19958500000000001</v>
      </c>
      <c r="V2297">
        <v>2.4730640000000002E-2</v>
      </c>
      <c r="W2297">
        <v>0.2001801</v>
      </c>
      <c r="X2297">
        <v>0.97944690000000001</v>
      </c>
      <c r="Y2297">
        <v>7.1290599999999996E-2</v>
      </c>
      <c r="Z2297">
        <v>1.427807E-2</v>
      </c>
      <c r="AA2297">
        <v>0.99735339999999995</v>
      </c>
      <c r="AB2297">
        <v>36</v>
      </c>
      <c r="AC2297">
        <v>-0.46930000000003202</v>
      </c>
      <c r="AD2297">
        <v>-0.24319729999999901</v>
      </c>
      <c r="AE2297">
        <v>5.6899999999984602E-2</v>
      </c>
      <c r="AF2297">
        <v>4.9932964999691097E-2</v>
      </c>
      <c r="AG2297">
        <v>-0.24319729999999901</v>
      </c>
      <c r="AH2297">
        <v>0.37045718542440398</v>
      </c>
      <c r="AI2297">
        <v>123.047848215114</v>
      </c>
      <c r="AJ2297">
        <v>82.323514990489997</v>
      </c>
      <c r="AK2297">
        <v>0.44595600001964503</v>
      </c>
      <c r="AL2297">
        <v>78.452508470121998</v>
      </c>
      <c r="AM2297">
        <v>88.553611954259694</v>
      </c>
      <c r="AN2297">
        <v>0.99999995345521298</v>
      </c>
    </row>
    <row r="2298" spans="1:40" x14ac:dyDescent="0.25">
      <c r="A2298" t="str">
        <f>"20190303162824057"</f>
        <v>20190303162824057</v>
      </c>
      <c r="B2298" t="str">
        <f>"1551601704053915"</f>
        <v>1551601704053915</v>
      </c>
      <c r="C2298" t="s">
        <v>40</v>
      </c>
      <c r="D2298">
        <v>4.719125</v>
      </c>
      <c r="E2298">
        <v>0.451075</v>
      </c>
      <c r="F2298" t="s">
        <v>44</v>
      </c>
      <c r="G2298">
        <v>-423.73469999999998</v>
      </c>
      <c r="H2298">
        <v>0.97902520000000004</v>
      </c>
      <c r="I2298">
        <v>284.44209999999998</v>
      </c>
      <c r="J2298">
        <v>-423.27109999999999</v>
      </c>
      <c r="K2298">
        <v>1.1212470000000001</v>
      </c>
      <c r="L2298">
        <v>284.47239999999999</v>
      </c>
      <c r="M2298">
        <v>-0.99983350000000004</v>
      </c>
      <c r="N2298">
        <v>-1.2344249999999999E-2</v>
      </c>
      <c r="O2298">
        <v>-1.3443790000000001E-2</v>
      </c>
      <c r="P2298">
        <v>-0.98209069999999998</v>
      </c>
      <c r="Q2298">
        <v>0.18805759999999999</v>
      </c>
      <c r="R2298">
        <v>1.1512349999999999E-2</v>
      </c>
      <c r="S2298">
        <v>-3.1589659999999999</v>
      </c>
      <c r="T2298">
        <v>-0.53565289999999999</v>
      </c>
      <c r="U2298">
        <v>-0.13366700000000001</v>
      </c>
      <c r="V2298">
        <v>2.4664180000000001E-2</v>
      </c>
      <c r="W2298">
        <v>0.20016980000000001</v>
      </c>
      <c r="X2298">
        <v>0.97945070000000001</v>
      </c>
      <c r="Y2298">
        <v>-2.8566620000000001E-2</v>
      </c>
      <c r="Z2298">
        <v>-4.8404980000000002E-4</v>
      </c>
      <c r="AA2298">
        <v>0.99959180000000003</v>
      </c>
      <c r="AB2298">
        <v>36</v>
      </c>
      <c r="AC2298">
        <v>-0.46359999999998502</v>
      </c>
      <c r="AD2298">
        <v>-0.14222179999999901</v>
      </c>
      <c r="AE2298">
        <v>-3.0300000000010999E-2</v>
      </c>
      <c r="AF2298">
        <v>-2.2002364646615102E-2</v>
      </c>
      <c r="AG2298">
        <v>-0.14222179999999901</v>
      </c>
      <c r="AH2298">
        <v>0.424211822302619</v>
      </c>
      <c r="AI2298">
        <v>108.511125197387</v>
      </c>
      <c r="AJ2298">
        <v>92.969068653478203</v>
      </c>
      <c r="AK2298">
        <v>0.44795849654470399</v>
      </c>
      <c r="AL2298">
        <v>78.453111026951504</v>
      </c>
      <c r="AM2298">
        <v>88.557502861519396</v>
      </c>
      <c r="AN2298">
        <v>0.99999997216879999</v>
      </c>
    </row>
    <row r="2299" spans="1:40" x14ac:dyDescent="0.25">
      <c r="A2299" t="str">
        <f>"20190303162824071"</f>
        <v>20190303162824071</v>
      </c>
      <c r="B2299" t="str">
        <f>"1551601704063674"</f>
        <v>1551601704063674</v>
      </c>
      <c r="C2299" t="s">
        <v>40</v>
      </c>
      <c r="D2299">
        <v>4.7805350000000004</v>
      </c>
      <c r="E2299">
        <v>0.4443242</v>
      </c>
      <c r="F2299" t="s">
        <v>49</v>
      </c>
      <c r="G2299">
        <v>-434.16770000000002</v>
      </c>
      <c r="H2299" s="1">
        <v>4.1904569999999998E-6</v>
      </c>
      <c r="I2299">
        <v>283.1832</v>
      </c>
      <c r="J2299">
        <v>-423.49200000000002</v>
      </c>
      <c r="K2299">
        <v>1.1212470000000001</v>
      </c>
      <c r="L2299">
        <v>284.46929999999998</v>
      </c>
      <c r="M2299">
        <v>-0.99983230000000001</v>
      </c>
      <c r="N2299">
        <v>-1.2365569999999999E-2</v>
      </c>
      <c r="O2299">
        <v>-1.351281E-2</v>
      </c>
      <c r="P2299">
        <v>-0.98210039999999998</v>
      </c>
      <c r="Q2299">
        <v>0.18800739999999999</v>
      </c>
      <c r="R2299">
        <v>1.1499000000000001E-2</v>
      </c>
      <c r="S2299">
        <v>-3.1205440000000002</v>
      </c>
      <c r="T2299">
        <v>-0.3211</v>
      </c>
      <c r="U2299">
        <v>-0.36920170000000002</v>
      </c>
      <c r="V2299">
        <v>2.4718960000000002E-2</v>
      </c>
      <c r="W2299">
        <v>0.2001404</v>
      </c>
      <c r="X2299">
        <v>0.97945539999999998</v>
      </c>
      <c r="Y2299">
        <v>-0.1035126</v>
      </c>
      <c r="Z2299">
        <v>-4.7218989999999999E-3</v>
      </c>
      <c r="AA2299">
        <v>0.99461690000000003</v>
      </c>
      <c r="AB2299">
        <v>36</v>
      </c>
      <c r="AC2299">
        <v>-10.675700000000001</v>
      </c>
      <c r="AD2299">
        <v>-1.12124280954299</v>
      </c>
      <c r="AE2299">
        <v>-1.28609999999997</v>
      </c>
      <c r="AF2299">
        <v>-1.1294325225973101</v>
      </c>
      <c r="AG2299">
        <v>-1.12124280954299</v>
      </c>
      <c r="AH2299">
        <v>10.5771005746154</v>
      </c>
      <c r="AI2299">
        <v>96.017179681253396</v>
      </c>
      <c r="AJ2299">
        <v>96.095000625076693</v>
      </c>
      <c r="AK2299">
        <v>10.6961609854462</v>
      </c>
      <c r="AL2299">
        <v>78.454831150552394</v>
      </c>
      <c r="AM2299">
        <v>88.554307317834599</v>
      </c>
      <c r="AN2299">
        <v>1.0000000436423899</v>
      </c>
    </row>
    <row r="2300" spans="1:40" x14ac:dyDescent="0.25">
      <c r="A2300" t="str">
        <f>"20190303162824085"</f>
        <v>20190303162824085</v>
      </c>
      <c r="B2300" t="str">
        <f>"1551601704073435"</f>
        <v>1551601704073435</v>
      </c>
      <c r="C2300" t="s">
        <v>40</v>
      </c>
      <c r="D2300">
        <v>4.7928940000000004</v>
      </c>
      <c r="E2300">
        <v>0.44028650000000003</v>
      </c>
      <c r="F2300" t="s">
        <v>49</v>
      </c>
      <c r="G2300">
        <v>-435.72519999999997</v>
      </c>
      <c r="H2300" s="1">
        <v>4.9138749999999996E-6</v>
      </c>
      <c r="I2300">
        <v>282.80880000000002</v>
      </c>
      <c r="J2300">
        <v>-423.71010000000001</v>
      </c>
      <c r="K2300">
        <v>1.121248</v>
      </c>
      <c r="L2300">
        <v>284.46629999999999</v>
      </c>
      <c r="M2300">
        <v>-0.99983100000000003</v>
      </c>
      <c r="N2300">
        <v>-1.238644E-2</v>
      </c>
      <c r="O2300">
        <v>-1.358004E-2</v>
      </c>
      <c r="P2300">
        <v>-0.98212719999999998</v>
      </c>
      <c r="Q2300">
        <v>0.18789210000000001</v>
      </c>
      <c r="R2300">
        <v>1.1082089999999999E-2</v>
      </c>
      <c r="S2300">
        <v>-3.1142270000000001</v>
      </c>
      <c r="T2300">
        <v>-0.28543780000000002</v>
      </c>
      <c r="U2300">
        <v>-0.42272949999999998</v>
      </c>
      <c r="V2300">
        <v>2.4368890000000001E-2</v>
      </c>
      <c r="W2300">
        <v>0.200046</v>
      </c>
      <c r="X2300">
        <v>0.9794834</v>
      </c>
      <c r="Y2300">
        <v>-0.12051539999999999</v>
      </c>
      <c r="Z2300">
        <v>-5.1690390000000003E-3</v>
      </c>
      <c r="AA2300">
        <v>0.99269799999999997</v>
      </c>
      <c r="AB2300">
        <v>36</v>
      </c>
      <c r="AC2300">
        <v>-12.015099999999901</v>
      </c>
      <c r="AD2300">
        <v>-1.121243086125</v>
      </c>
      <c r="AE2300">
        <v>-1.65749999999997</v>
      </c>
      <c r="AF2300">
        <v>-1.4815082520535701</v>
      </c>
      <c r="AG2300">
        <v>-1.121243086125</v>
      </c>
      <c r="AH2300">
        <v>11.934511443940799</v>
      </c>
      <c r="AI2300">
        <v>95.3265181403018</v>
      </c>
      <c r="AJ2300">
        <v>97.076296352659497</v>
      </c>
      <c r="AK2300">
        <v>12.0782704127967</v>
      </c>
      <c r="AL2300">
        <v>78.460350858730493</v>
      </c>
      <c r="AM2300">
        <v>88.574813443020503</v>
      </c>
      <c r="AN2300">
        <v>0.999999987895696</v>
      </c>
    </row>
    <row r="2301" spans="1:40" x14ac:dyDescent="0.25">
      <c r="A2301" t="str">
        <f>"20190303162824100"</f>
        <v>20190303162824100</v>
      </c>
      <c r="B2301" t="str">
        <f>"1551601704093930"</f>
        <v>1551601704093930</v>
      </c>
      <c r="C2301" t="s">
        <v>40</v>
      </c>
      <c r="D2301">
        <v>4.7503289999999998</v>
      </c>
      <c r="E2301">
        <v>0.4343554</v>
      </c>
      <c r="F2301" t="s">
        <v>49</v>
      </c>
      <c r="G2301">
        <v>-436.70670000000001</v>
      </c>
      <c r="H2301" s="1">
        <v>5.3705789999999999E-6</v>
      </c>
      <c r="I2301">
        <v>282.5634</v>
      </c>
      <c r="J2301">
        <v>-423.96730000000002</v>
      </c>
      <c r="K2301">
        <v>1.1212470000000001</v>
      </c>
      <c r="L2301">
        <v>284.46269999999998</v>
      </c>
      <c r="M2301">
        <v>-0.99982969999999904</v>
      </c>
      <c r="N2301">
        <v>-1.241215E-2</v>
      </c>
      <c r="O2301">
        <v>-1.365766E-2</v>
      </c>
      <c r="P2301">
        <v>-0.98214729999999995</v>
      </c>
      <c r="Q2301">
        <v>0.18779019999999999</v>
      </c>
      <c r="R2301">
        <v>1.1025109999999999E-2</v>
      </c>
      <c r="S2301">
        <v>-3.111084</v>
      </c>
      <c r="T2301">
        <v>-0.26840000000000003</v>
      </c>
      <c r="U2301">
        <v>-0.4555054</v>
      </c>
      <c r="V2301">
        <v>2.4389190000000002E-2</v>
      </c>
      <c r="W2301">
        <v>0.19996939999999999</v>
      </c>
      <c r="X2301">
        <v>0.9794986</v>
      </c>
      <c r="Y2301">
        <v>-0.130832</v>
      </c>
      <c r="Z2301">
        <v>-5.4202319999999997E-3</v>
      </c>
      <c r="AA2301">
        <v>0.99138979999999999</v>
      </c>
      <c r="AB2301">
        <v>36</v>
      </c>
      <c r="AC2301">
        <v>-12.7393999999999</v>
      </c>
      <c r="AD2301">
        <v>-1.1212416294209999</v>
      </c>
      <c r="AE2301">
        <v>-1.89929999999998</v>
      </c>
      <c r="AF2301">
        <v>-1.71214444729175</v>
      </c>
      <c r="AG2301">
        <v>-1.1212416294209999</v>
      </c>
      <c r="AH2301">
        <v>12.66815469104</v>
      </c>
      <c r="AI2301">
        <v>95.012654294413494</v>
      </c>
      <c r="AJ2301">
        <v>97.697080646399399</v>
      </c>
      <c r="AK2301">
        <v>12.8324107117898</v>
      </c>
      <c r="AL2301">
        <v>78.464830955740297</v>
      </c>
      <c r="AM2301">
        <v>88.573648836606793</v>
      </c>
      <c r="AN2301">
        <v>1.00000005046358</v>
      </c>
    </row>
    <row r="2302" spans="1:40" x14ac:dyDescent="0.25">
      <c r="A2302" t="str">
        <f>"20190303162824115"</f>
        <v>20190303162824115</v>
      </c>
      <c r="B2302" t="str">
        <f>"1551601704103690"</f>
        <v>1551601704103690</v>
      </c>
      <c r="C2302" t="s">
        <v>40</v>
      </c>
      <c r="D2302">
        <v>4.7793239999999999</v>
      </c>
      <c r="E2302">
        <v>0.4328302</v>
      </c>
      <c r="F2302" t="s">
        <v>49</v>
      </c>
      <c r="G2302">
        <v>-437.6062</v>
      </c>
      <c r="H2302" s="1">
        <v>5.7961310000000001E-6</v>
      </c>
      <c r="I2302">
        <v>282.25869999999998</v>
      </c>
      <c r="J2302">
        <v>-424.17720000000003</v>
      </c>
      <c r="K2302">
        <v>1.1212519999999999</v>
      </c>
      <c r="L2302">
        <v>284.4597</v>
      </c>
      <c r="M2302">
        <v>-0.99982879999999996</v>
      </c>
      <c r="N2302">
        <v>-1.243358E-2</v>
      </c>
      <c r="O2302">
        <v>-1.371989E-2</v>
      </c>
      <c r="P2302">
        <v>-0.98216409999999998</v>
      </c>
      <c r="Q2302">
        <v>0.18770999999999999</v>
      </c>
      <c r="R2302">
        <v>1.0902719999999999E-2</v>
      </c>
      <c r="S2302">
        <v>-3.1090390000000001</v>
      </c>
      <c r="T2302">
        <v>-0.25559159999999997</v>
      </c>
      <c r="U2302">
        <v>-0.50241089999999999</v>
      </c>
      <c r="V2302">
        <v>2.432875E-2</v>
      </c>
      <c r="W2302">
        <v>0.19991010000000001</v>
      </c>
      <c r="X2302">
        <v>0.97951220000000006</v>
      </c>
      <c r="Y2302">
        <v>-0.14544760000000001</v>
      </c>
      <c r="Z2302">
        <v>-5.8928799999999996E-3</v>
      </c>
      <c r="AA2302">
        <v>0.98934840000000002</v>
      </c>
      <c r="AB2302">
        <v>36</v>
      </c>
      <c r="AC2302">
        <v>-13.428999999999901</v>
      </c>
      <c r="AD2302">
        <v>-1.1212462038689901</v>
      </c>
      <c r="AE2302">
        <v>-2.2010000000000201</v>
      </c>
      <c r="AF2302">
        <v>-2.0029363805511902</v>
      </c>
      <c r="AG2302">
        <v>-1.1212462038689901</v>
      </c>
      <c r="AH2302">
        <v>13.367186576397399</v>
      </c>
      <c r="AI2302">
        <v>94.742080479836702</v>
      </c>
      <c r="AJ2302">
        <v>98.521787827731202</v>
      </c>
      <c r="AK2302">
        <v>13.5628398266161</v>
      </c>
      <c r="AL2302">
        <v>78.468298526941197</v>
      </c>
      <c r="AM2302">
        <v>88.577201836727596</v>
      </c>
      <c r="AN2302">
        <v>1.0000000430536999</v>
      </c>
    </row>
    <row r="2303" spans="1:40" x14ac:dyDescent="0.25">
      <c r="A2303" t="str">
        <f>"20190303162824135"</f>
        <v>20190303162824135</v>
      </c>
      <c r="B2303" t="str">
        <f>"1551601704123210"</f>
        <v>1551601704123210</v>
      </c>
      <c r="C2303" t="s">
        <v>40</v>
      </c>
      <c r="D2303">
        <v>4.7825220000000002</v>
      </c>
      <c r="E2303">
        <v>0.43064520000000001</v>
      </c>
      <c r="F2303" t="s">
        <v>49</v>
      </c>
      <c r="G2303">
        <v>-438.01209999999998</v>
      </c>
      <c r="H2303" s="1">
        <v>5.9839819999999997E-6</v>
      </c>
      <c r="I2303">
        <v>282.1687</v>
      </c>
      <c r="J2303">
        <v>-424.51260000000002</v>
      </c>
      <c r="K2303">
        <v>1.1212530000000001</v>
      </c>
      <c r="L2303">
        <v>284.45499999999998</v>
      </c>
      <c r="M2303">
        <v>-0.99982680000000002</v>
      </c>
      <c r="N2303">
        <v>-1.2467249999999999E-2</v>
      </c>
      <c r="O2303">
        <v>-1.381723E-2</v>
      </c>
      <c r="P2303">
        <v>-0.98220529999999995</v>
      </c>
      <c r="Q2303">
        <v>0.18751380000000001</v>
      </c>
      <c r="R2303">
        <v>1.0564230000000001E-2</v>
      </c>
      <c r="S2303">
        <v>-3.108368</v>
      </c>
      <c r="T2303">
        <v>-0.25191740000000001</v>
      </c>
      <c r="U2303">
        <v>-0.51473999999999998</v>
      </c>
      <c r="V2303">
        <v>2.4087239999999999E-2</v>
      </c>
      <c r="W2303">
        <v>0.19974749999999999</v>
      </c>
      <c r="X2303">
        <v>0.97955130000000001</v>
      </c>
      <c r="Y2303">
        <v>-0.14920559999999999</v>
      </c>
      <c r="Z2303">
        <v>-5.9945939999999998E-3</v>
      </c>
      <c r="AA2303">
        <v>0.988788</v>
      </c>
      <c r="AB2303">
        <v>36</v>
      </c>
      <c r="AC2303">
        <v>-13.4994999999999</v>
      </c>
      <c r="AD2303">
        <v>-1.1212470160179999</v>
      </c>
      <c r="AE2303">
        <v>-2.2862999999999798</v>
      </c>
      <c r="AF2303">
        <v>-2.0855550750944798</v>
      </c>
      <c r="AG2303">
        <v>-1.1212470160179999</v>
      </c>
      <c r="AH2303">
        <v>13.4396728926971</v>
      </c>
      <c r="AI2303">
        <v>94.712888436777504</v>
      </c>
      <c r="AJ2303">
        <v>98.820748354232606</v>
      </c>
      <c r="AK2303">
        <v>13.646667809574501</v>
      </c>
      <c r="AL2303">
        <v>78.477806135175896</v>
      </c>
      <c r="AM2303">
        <v>88.591376353253196</v>
      </c>
      <c r="AN2303">
        <v>1.00000000410937</v>
      </c>
    </row>
    <row r="2304" spans="1:40" x14ac:dyDescent="0.25">
      <c r="A2304" t="str">
        <f>"20190303162824158"</f>
        <v>20190303162824158</v>
      </c>
      <c r="B2304" t="str">
        <f>"1551601704143705"</f>
        <v>1551601704143705</v>
      </c>
      <c r="C2304" t="s">
        <v>40</v>
      </c>
      <c r="D2304">
        <v>4.818352</v>
      </c>
      <c r="E2304">
        <v>0.42909249999999999</v>
      </c>
      <c r="F2304" t="s">
        <v>49</v>
      </c>
      <c r="G2304">
        <v>-438.78980000000001</v>
      </c>
      <c r="H2304" s="1">
        <v>6.3432690000000001E-6</v>
      </c>
      <c r="I2304">
        <v>282.00389999999999</v>
      </c>
      <c r="J2304">
        <v>-424.8766</v>
      </c>
      <c r="K2304">
        <v>1.121248</v>
      </c>
      <c r="L2304">
        <v>284.44979999999998</v>
      </c>
      <c r="M2304">
        <v>-0.99982499999999996</v>
      </c>
      <c r="N2304">
        <v>-1.250414E-2</v>
      </c>
      <c r="O2304">
        <v>-1.3919829999999999E-2</v>
      </c>
      <c r="P2304">
        <v>-0.98223919999999998</v>
      </c>
      <c r="Q2304">
        <v>0.18734619999999999</v>
      </c>
      <c r="R2304">
        <v>1.0382870000000001E-2</v>
      </c>
      <c r="S2304">
        <v>-3.1066590000000001</v>
      </c>
      <c r="T2304">
        <v>-0.2439789</v>
      </c>
      <c r="U2304">
        <v>-0.53335569999999999</v>
      </c>
      <c r="V2304">
        <v>2.4007819999999999E-2</v>
      </c>
      <c r="W2304">
        <v>0.19961670000000001</v>
      </c>
      <c r="X2304">
        <v>0.97957989999999995</v>
      </c>
      <c r="Y2304">
        <v>-0.15495980000000001</v>
      </c>
      <c r="Z2304">
        <v>-6.098493E-3</v>
      </c>
      <c r="AA2304">
        <v>0.98790199999999995</v>
      </c>
      <c r="AB2304">
        <v>36</v>
      </c>
      <c r="AC2304">
        <v>-13.9132</v>
      </c>
      <c r="AD2304">
        <v>-1.121241656731</v>
      </c>
      <c r="AE2304">
        <v>-2.4458999999999902</v>
      </c>
      <c r="AF2304">
        <v>-2.23788031311306</v>
      </c>
      <c r="AG2304">
        <v>-1.121241656731</v>
      </c>
      <c r="AH2304">
        <v>13.858594769544901</v>
      </c>
      <c r="AI2304">
        <v>94.566589738156097</v>
      </c>
      <c r="AJ2304">
        <v>99.172916450765996</v>
      </c>
      <c r="AK2304">
        <v>14.082824295398501</v>
      </c>
      <c r="AL2304">
        <v>78.485454306442307</v>
      </c>
      <c r="AM2304">
        <v>88.596059953407902</v>
      </c>
      <c r="AN2304">
        <v>0.999999991412026</v>
      </c>
    </row>
    <row r="2305" spans="1:40" x14ac:dyDescent="0.25">
      <c r="A2305" t="str">
        <f>"20190303162824180"</f>
        <v>20190303162824180</v>
      </c>
      <c r="B2305" t="str">
        <f>"1551601704173962"</f>
        <v>1551601704173962</v>
      </c>
      <c r="C2305" t="s">
        <v>40</v>
      </c>
      <c r="D2305">
        <v>4.8542560000000003</v>
      </c>
      <c r="E2305">
        <v>0.42720390000000003</v>
      </c>
      <c r="F2305" t="s">
        <v>49</v>
      </c>
      <c r="G2305">
        <v>-439.39830000000001</v>
      </c>
      <c r="H2305" s="1">
        <v>6.622441E-6</v>
      </c>
      <c r="I2305">
        <v>281.89749999999998</v>
      </c>
      <c r="J2305">
        <v>-425.24119999999999</v>
      </c>
      <c r="K2305">
        <v>1.121256</v>
      </c>
      <c r="L2305">
        <v>284.44459999999998</v>
      </c>
      <c r="M2305">
        <v>-0.99982320000000002</v>
      </c>
      <c r="N2305">
        <v>-1.254241E-2</v>
      </c>
      <c r="O2305">
        <v>-1.4018279999999999E-2</v>
      </c>
      <c r="P2305">
        <v>-0.98230499999999998</v>
      </c>
      <c r="Q2305">
        <v>0.18701319999999999</v>
      </c>
      <c r="R2305">
        <v>1.0168180000000001E-2</v>
      </c>
      <c r="S2305">
        <v>-3.105804</v>
      </c>
      <c r="T2305">
        <v>-0.23980299999999999</v>
      </c>
      <c r="U2305">
        <v>-0.54586789999999996</v>
      </c>
      <c r="V2305">
        <v>2.389142E-2</v>
      </c>
      <c r="W2305">
        <v>0.19932130000000001</v>
      </c>
      <c r="X2305">
        <v>0.97964289999999998</v>
      </c>
      <c r="Y2305">
        <v>-0.158773</v>
      </c>
      <c r="Z2305">
        <v>-6.181176E-3</v>
      </c>
      <c r="AA2305">
        <v>0.9872957</v>
      </c>
      <c r="AB2305">
        <v>36</v>
      </c>
      <c r="AC2305">
        <v>-14.1571</v>
      </c>
      <c r="AD2305">
        <v>-1.121249377559</v>
      </c>
      <c r="AE2305">
        <v>-2.5470999999999999</v>
      </c>
      <c r="AF2305">
        <v>-2.3341932567544701</v>
      </c>
      <c r="AG2305">
        <v>-1.121249377559</v>
      </c>
      <c r="AH2305">
        <v>14.1057106328467</v>
      </c>
      <c r="AI2305">
        <v>94.484104240505403</v>
      </c>
      <c r="AJ2305">
        <v>99.396078067983893</v>
      </c>
      <c r="AK2305">
        <v>14.3414340560544</v>
      </c>
      <c r="AL2305">
        <v>78.502726635271301</v>
      </c>
      <c r="AM2305">
        <v>88.602953953186201</v>
      </c>
      <c r="AN2305">
        <v>0.99999999605185796</v>
      </c>
    </row>
    <row r="2306" spans="1:40" x14ac:dyDescent="0.25">
      <c r="A2306" t="str">
        <f>"20190303162824196"</f>
        <v>20190303162824196</v>
      </c>
      <c r="B2306" t="str">
        <f>"1551601704183723"</f>
        <v>1551601704183723</v>
      </c>
      <c r="C2306" t="s">
        <v>40</v>
      </c>
      <c r="D2306">
        <v>4.8436240000000002</v>
      </c>
      <c r="E2306">
        <v>0.42677369999999998</v>
      </c>
      <c r="F2306" t="s">
        <v>49</v>
      </c>
      <c r="G2306">
        <v>-439.70490000000001</v>
      </c>
      <c r="H2306" s="1">
        <v>6.7641859999999996E-6</v>
      </c>
      <c r="I2306">
        <v>281.8313</v>
      </c>
      <c r="J2306">
        <v>-425.4864</v>
      </c>
      <c r="K2306">
        <v>1.121256</v>
      </c>
      <c r="L2306">
        <v>284.44110000000001</v>
      </c>
      <c r="M2306">
        <v>-0.99982190000000004</v>
      </c>
      <c r="N2306">
        <v>-1.256988E-2</v>
      </c>
      <c r="O2306">
        <v>-1.4086130000000001E-2</v>
      </c>
      <c r="P2306">
        <v>-0.98232169999999996</v>
      </c>
      <c r="Q2306">
        <v>0.1869518</v>
      </c>
      <c r="R2306">
        <v>9.6658449999999993E-3</v>
      </c>
      <c r="S2306">
        <v>-3.1056819999999998</v>
      </c>
      <c r="T2306">
        <v>-0.24075730000000001</v>
      </c>
      <c r="U2306">
        <v>-0.56112669999999998</v>
      </c>
      <c r="V2306">
        <v>2.345711E-2</v>
      </c>
      <c r="W2306">
        <v>0.1992872</v>
      </c>
      <c r="X2306">
        <v>0.97966030000000004</v>
      </c>
      <c r="Y2306">
        <v>-0.16339329999999999</v>
      </c>
      <c r="Z2306">
        <v>-6.4043850000000003E-3</v>
      </c>
      <c r="AA2306">
        <v>0.98654019999999998</v>
      </c>
      <c r="AB2306">
        <v>36</v>
      </c>
      <c r="AC2306">
        <v>-14.218500000000001</v>
      </c>
      <c r="AD2306">
        <v>-1.121249235814</v>
      </c>
      <c r="AE2306">
        <v>-2.6097999999999999</v>
      </c>
      <c r="AF2306">
        <v>-2.39483431980302</v>
      </c>
      <c r="AG2306">
        <v>-1.121249235814</v>
      </c>
      <c r="AH2306">
        <v>14.168615895352399</v>
      </c>
      <c r="AI2306">
        <v>94.461712067506497</v>
      </c>
      <c r="AJ2306">
        <v>99.593679470756797</v>
      </c>
      <c r="AK2306">
        <v>14.413261520493901</v>
      </c>
      <c r="AL2306">
        <v>78.504720044933293</v>
      </c>
      <c r="AM2306">
        <v>88.628364705336494</v>
      </c>
      <c r="AN2306">
        <v>0.99999996374473998</v>
      </c>
    </row>
    <row r="2307" spans="1:40" x14ac:dyDescent="0.25">
      <c r="A2307" t="str">
        <f>"20190303162824213"</f>
        <v>20190303162824213</v>
      </c>
      <c r="B2307" t="str">
        <f>"1551601704203242"</f>
        <v>1551601704203242</v>
      </c>
      <c r="C2307" t="s">
        <v>40</v>
      </c>
      <c r="D2307">
        <v>4.8282189999999998</v>
      </c>
      <c r="E2307">
        <v>0.42582759999999997</v>
      </c>
      <c r="F2307" t="s">
        <v>48</v>
      </c>
      <c r="G2307">
        <v>-440.00670000000002</v>
      </c>
      <c r="H2307" s="1">
        <v>-1.409861E-6</v>
      </c>
      <c r="I2307">
        <v>281.79390000000001</v>
      </c>
      <c r="J2307">
        <v>-425.76389999999998</v>
      </c>
      <c r="K2307">
        <v>1.121256</v>
      </c>
      <c r="L2307">
        <v>284.43709999999999</v>
      </c>
      <c r="M2307">
        <v>-0.99982040000000005</v>
      </c>
      <c r="N2307">
        <v>-1.2601859999999999E-2</v>
      </c>
      <c r="O2307">
        <v>-1.4167320000000001E-2</v>
      </c>
      <c r="P2307">
        <v>-0.98233499999999996</v>
      </c>
      <c r="Q2307">
        <v>0.1868998</v>
      </c>
      <c r="R2307">
        <v>9.3223009999999999E-3</v>
      </c>
      <c r="S2307">
        <v>-3.105194</v>
      </c>
      <c r="T2307">
        <v>-0.23978260000000001</v>
      </c>
      <c r="U2307">
        <v>-0.56610109999999902</v>
      </c>
      <c r="V2307">
        <v>2.3195710000000001E-2</v>
      </c>
      <c r="W2307">
        <v>0.1992662</v>
      </c>
      <c r="X2307">
        <v>0.97967079999999995</v>
      </c>
      <c r="Y2307">
        <v>-0.16486899999999999</v>
      </c>
      <c r="Z2307">
        <v>-6.4473209999999998E-3</v>
      </c>
      <c r="AA2307">
        <v>0.98629440000000002</v>
      </c>
      <c r="AB2307">
        <v>36</v>
      </c>
      <c r="AC2307">
        <v>-14.242800000000001</v>
      </c>
      <c r="AD2307">
        <v>-1.121257409861</v>
      </c>
      <c r="AE2307">
        <v>-2.6431999999999798</v>
      </c>
      <c r="AF2307">
        <v>-2.4265981346191299</v>
      </c>
      <c r="AG2307">
        <v>-1.121257409861</v>
      </c>
      <c r="AH2307">
        <v>14.193782470297201</v>
      </c>
      <c r="AI2307">
        <v>94.452445069693596</v>
      </c>
      <c r="AJ2307">
        <v>99.701609873096203</v>
      </c>
      <c r="AK2307">
        <v>14.443304936898</v>
      </c>
      <c r="AL2307">
        <v>78.505947931167498</v>
      </c>
      <c r="AM2307">
        <v>88.643658645975705</v>
      </c>
      <c r="AN2307">
        <v>0.99999996789874102</v>
      </c>
    </row>
    <row r="2308" spans="1:40" x14ac:dyDescent="0.25">
      <c r="A2308" t="str">
        <f>"20190303162824235"</f>
        <v>20190303162824235</v>
      </c>
      <c r="B2308" t="str">
        <f>"1551601704223738"</f>
        <v>1551601704223738</v>
      </c>
      <c r="C2308" t="s">
        <v>40</v>
      </c>
      <c r="D2308">
        <v>4.8885880000000004</v>
      </c>
      <c r="E2308">
        <v>0.4249368</v>
      </c>
      <c r="F2308" t="s">
        <v>48</v>
      </c>
      <c r="G2308">
        <v>-440.28300000000002</v>
      </c>
      <c r="H2308" s="1">
        <v>-1.260934E-6</v>
      </c>
      <c r="I2308">
        <v>281.75119999999998</v>
      </c>
      <c r="J2308">
        <v>-426.11989999999997</v>
      </c>
      <c r="K2308">
        <v>1.1212569999999999</v>
      </c>
      <c r="L2308">
        <v>284.43189999999998</v>
      </c>
      <c r="M2308">
        <v>-0.99981830000000005</v>
      </c>
      <c r="N2308">
        <v>-1.264229E-2</v>
      </c>
      <c r="O2308">
        <v>-1.427644E-2</v>
      </c>
      <c r="P2308">
        <v>-0.9823828</v>
      </c>
      <c r="Q2308">
        <v>0.1866747</v>
      </c>
      <c r="R2308">
        <v>8.7619389999999998E-3</v>
      </c>
      <c r="S2308">
        <v>-3.1050420000000001</v>
      </c>
      <c r="T2308">
        <v>-0.2397898</v>
      </c>
      <c r="U2308">
        <v>-0.57440190000000002</v>
      </c>
      <c r="V2308">
        <v>2.2745959999999999E-2</v>
      </c>
      <c r="W2308">
        <v>0.1990816</v>
      </c>
      <c r="X2308">
        <v>0.97971889999999995</v>
      </c>
      <c r="Y2308">
        <v>-0.16731199999999999</v>
      </c>
      <c r="Z2308">
        <v>-6.5526600000000001E-3</v>
      </c>
      <c r="AA2308">
        <v>0.98588220000000004</v>
      </c>
      <c r="AB2308">
        <v>36</v>
      </c>
      <c r="AC2308">
        <v>-14.1631</v>
      </c>
      <c r="AD2308">
        <v>-1.1212582609340001</v>
      </c>
      <c r="AE2308">
        <v>-2.6806999999999999</v>
      </c>
      <c r="AF2308">
        <v>-2.46330714558133</v>
      </c>
      <c r="AG2308">
        <v>-1.1212582609340001</v>
      </c>
      <c r="AH2308">
        <v>14.114526929199799</v>
      </c>
      <c r="AI2308">
        <v>94.474685797878806</v>
      </c>
      <c r="AJ2308">
        <v>99.899715783765004</v>
      </c>
      <c r="AK2308">
        <v>14.3716725754621</v>
      </c>
      <c r="AL2308">
        <v>78.516741267574602</v>
      </c>
      <c r="AM2308">
        <v>88.670012974662299</v>
      </c>
      <c r="AN2308">
        <v>0.99999999258604499</v>
      </c>
    </row>
    <row r="2309" spans="1:40" x14ac:dyDescent="0.25">
      <c r="A2309" t="str">
        <f>"20190303162824251"</f>
        <v>20190303162824251</v>
      </c>
      <c r="B2309" t="str">
        <f>"1551601704243258"</f>
        <v>1551601704243258</v>
      </c>
      <c r="C2309" t="s">
        <v>40</v>
      </c>
      <c r="D2309">
        <v>4.8084419999999897</v>
      </c>
      <c r="E2309">
        <v>0.42416900000000002</v>
      </c>
      <c r="F2309" t="s">
        <v>48</v>
      </c>
      <c r="G2309">
        <v>-440.52800000000002</v>
      </c>
      <c r="H2309" s="1">
        <v>-1.129326E-6</v>
      </c>
      <c r="I2309">
        <v>281.72199999999998</v>
      </c>
      <c r="J2309">
        <v>-426.36610000000002</v>
      </c>
      <c r="K2309">
        <v>1.1212580000000001</v>
      </c>
      <c r="L2309">
        <v>284.42829999999998</v>
      </c>
      <c r="M2309">
        <v>-0.99981679999999995</v>
      </c>
      <c r="N2309">
        <v>-1.266859E-2</v>
      </c>
      <c r="O2309">
        <v>-1.4351549999999999E-2</v>
      </c>
      <c r="P2309">
        <v>-0.98241040000000002</v>
      </c>
      <c r="Q2309">
        <v>0.18654119999999999</v>
      </c>
      <c r="R2309">
        <v>8.5114739999999998E-3</v>
      </c>
      <c r="S2309">
        <v>-3.1049190000000002</v>
      </c>
      <c r="T2309">
        <v>-0.2416306</v>
      </c>
      <c r="U2309">
        <v>-0.58398439999999996</v>
      </c>
      <c r="V2309">
        <v>2.257079E-2</v>
      </c>
      <c r="W2309">
        <v>0.19897409999999999</v>
      </c>
      <c r="X2309">
        <v>0.97974479999999997</v>
      </c>
      <c r="Y2309">
        <v>-0.1701675</v>
      </c>
      <c r="Z2309">
        <v>-6.7182680000000003E-3</v>
      </c>
      <c r="AA2309">
        <v>0.9853923</v>
      </c>
      <c r="AB2309">
        <v>36</v>
      </c>
      <c r="AC2309">
        <v>-14.161899999999999</v>
      </c>
      <c r="AD2309">
        <v>-1.1212591293259999</v>
      </c>
      <c r="AE2309">
        <v>-2.7062999999999899</v>
      </c>
      <c r="AF2309">
        <v>-2.4877147045499699</v>
      </c>
      <c r="AG2309">
        <v>-1.1212591293259999</v>
      </c>
      <c r="AH2309">
        <v>14.1139268180891</v>
      </c>
      <c r="AI2309">
        <v>94.473561888748705</v>
      </c>
      <c r="AJ2309">
        <v>99.996254200091499</v>
      </c>
      <c r="AK2309">
        <v>14.3752870132288</v>
      </c>
      <c r="AL2309">
        <v>78.523026425463001</v>
      </c>
      <c r="AM2309">
        <v>88.6802866406356</v>
      </c>
      <c r="AN2309">
        <v>1.00000000307953</v>
      </c>
    </row>
    <row r="2310" spans="1:40" x14ac:dyDescent="0.25">
      <c r="A2310" t="str">
        <f>"20190303162824265"</f>
        <v>20190303162824265</v>
      </c>
      <c r="B2310" t="str">
        <f>"1551601704253994"</f>
        <v>1551601704253994</v>
      </c>
      <c r="C2310" t="s">
        <v>40</v>
      </c>
      <c r="D2310">
        <v>4.8048739999999999</v>
      </c>
      <c r="E2310">
        <v>0.42380220000000002</v>
      </c>
      <c r="F2310" t="s">
        <v>48</v>
      </c>
      <c r="G2310">
        <v>-440.83780000000002</v>
      </c>
      <c r="H2310" s="1">
        <v>-9.6222909999999997E-7</v>
      </c>
      <c r="I2310">
        <v>281.67169999999999</v>
      </c>
      <c r="J2310">
        <v>-426.59460000000001</v>
      </c>
      <c r="K2310">
        <v>1.1212580000000001</v>
      </c>
      <c r="L2310">
        <v>284.42489999999998</v>
      </c>
      <c r="M2310">
        <v>-0.99981560000000003</v>
      </c>
      <c r="N2310">
        <v>-1.269173E-2</v>
      </c>
      <c r="O2310">
        <v>-1.4420000000000001E-2</v>
      </c>
      <c r="P2310">
        <v>-0.98245689999999997</v>
      </c>
      <c r="Q2310">
        <v>0.18630340000000001</v>
      </c>
      <c r="R2310">
        <v>8.3522909999999995E-3</v>
      </c>
      <c r="S2310">
        <v>-3.104492</v>
      </c>
      <c r="T2310">
        <v>-0.2405332</v>
      </c>
      <c r="U2310">
        <v>-0.59133910000000001</v>
      </c>
      <c r="V2310">
        <v>2.2479829999999999E-2</v>
      </c>
      <c r="W2310">
        <v>0.1987592</v>
      </c>
      <c r="X2310">
        <v>0.97979050000000001</v>
      </c>
      <c r="Y2310">
        <v>-0.1723751</v>
      </c>
      <c r="Z2310">
        <v>-6.7900640000000002E-3</v>
      </c>
      <c r="AA2310">
        <v>0.98500799999999999</v>
      </c>
      <c r="AB2310">
        <v>36</v>
      </c>
      <c r="AC2310">
        <v>-14.2432</v>
      </c>
      <c r="AD2310">
        <v>-1.1212589622291</v>
      </c>
      <c r="AE2310">
        <v>-2.7531999999999899</v>
      </c>
      <c r="AF2310">
        <v>-2.5323817806139601</v>
      </c>
      <c r="AG2310">
        <v>-1.1212589622291</v>
      </c>
      <c r="AH2310">
        <v>14.196612605224299</v>
      </c>
      <c r="AI2310">
        <v>94.445996604024998</v>
      </c>
      <c r="AJ2310">
        <v>100.114003172713</v>
      </c>
      <c r="AK2310">
        <v>14.4642313520621</v>
      </c>
      <c r="AL2310">
        <v>78.535590115123597</v>
      </c>
      <c r="AM2310">
        <v>88.685664484771095</v>
      </c>
      <c r="AN2310">
        <v>0.99999999311585896</v>
      </c>
    </row>
    <row r="2311" spans="1:40" x14ac:dyDescent="0.25">
      <c r="A2311" t="str">
        <f>"20190303162824280"</f>
        <v>20190303162824280</v>
      </c>
      <c r="B2311" t="str">
        <f>"1551601704273514"</f>
        <v>1551601704273514</v>
      </c>
      <c r="C2311" t="s">
        <v>40</v>
      </c>
      <c r="D2311">
        <v>4.7428710000000001</v>
      </c>
      <c r="E2311">
        <v>0.42335600000000001</v>
      </c>
      <c r="F2311" t="s">
        <v>48</v>
      </c>
      <c r="G2311">
        <v>-441.02929999999998</v>
      </c>
      <c r="H2311" s="1">
        <v>-8.5991209999999997E-7</v>
      </c>
      <c r="I2311">
        <v>281.66250000000002</v>
      </c>
      <c r="J2311">
        <v>-426.83609999999999</v>
      </c>
      <c r="K2311">
        <v>1.1212610000000001</v>
      </c>
      <c r="L2311">
        <v>284.42140000000001</v>
      </c>
      <c r="M2311">
        <v>-0.99981430000000004</v>
      </c>
      <c r="N2311">
        <v>-1.271417E-2</v>
      </c>
      <c r="O2311">
        <v>-1.448787E-2</v>
      </c>
      <c r="P2311">
        <v>-0.98249160000000002</v>
      </c>
      <c r="Q2311">
        <v>0.18612970000000001</v>
      </c>
      <c r="R2311">
        <v>8.14349199999999E-3</v>
      </c>
      <c r="S2311">
        <v>-3.1043400000000001</v>
      </c>
      <c r="T2311">
        <v>-0.2411383</v>
      </c>
      <c r="U2311">
        <v>-0.59408570000000005</v>
      </c>
      <c r="V2311">
        <v>2.2337860000000001E-2</v>
      </c>
      <c r="W2311">
        <v>0.1986078</v>
      </c>
      <c r="X2311">
        <v>0.97982449999999999</v>
      </c>
      <c r="Y2311">
        <v>-0.17315269999999999</v>
      </c>
      <c r="Z2311">
        <v>-6.836572E-3</v>
      </c>
      <c r="AA2311">
        <v>0.98487130000000001</v>
      </c>
      <c r="AB2311">
        <v>36</v>
      </c>
      <c r="AC2311">
        <v>-14.1931999999999</v>
      </c>
      <c r="AD2311">
        <v>-1.1212618599121</v>
      </c>
      <c r="AE2311">
        <v>-2.7588999999999801</v>
      </c>
      <c r="AF2311">
        <v>-2.5377034053304901</v>
      </c>
      <c r="AG2311">
        <v>-1.1212618599121</v>
      </c>
      <c r="AH2311">
        <v>14.146609560735101</v>
      </c>
      <c r="AI2311">
        <v>94.460884381401698</v>
      </c>
      <c r="AJ2311">
        <v>100.169893350365</v>
      </c>
      <c r="AK2311">
        <v>14.416092702108999</v>
      </c>
      <c r="AL2311">
        <v>78.544441749779594</v>
      </c>
      <c r="AM2311">
        <v>88.694007510622001</v>
      </c>
      <c r="AN2311">
        <v>1.0000000445052299</v>
      </c>
    </row>
    <row r="2312" spans="1:40" x14ac:dyDescent="0.25">
      <c r="A2312" t="str">
        <f>"20190303162824293"</f>
        <v>20190303162824293</v>
      </c>
      <c r="B2312" t="str">
        <f>"1551601704283274"</f>
        <v>1551601704283274</v>
      </c>
      <c r="C2312" t="s">
        <v>40</v>
      </c>
      <c r="D2312">
        <v>4.6991440000000004</v>
      </c>
      <c r="E2312">
        <v>0.42318040000000001</v>
      </c>
      <c r="F2312" t="s">
        <v>48</v>
      </c>
      <c r="G2312">
        <v>-441.38279999999997</v>
      </c>
      <c r="H2312" s="1">
        <v>-6.6981979999999996E-7</v>
      </c>
      <c r="I2312">
        <v>281.61709999999999</v>
      </c>
      <c r="J2312">
        <v>-427.04820000000001</v>
      </c>
      <c r="K2312">
        <v>1.1212690000000001</v>
      </c>
      <c r="L2312">
        <v>284.41820000000001</v>
      </c>
      <c r="M2312">
        <v>-0.99981330000000002</v>
      </c>
      <c r="N2312">
        <v>-1.2732459999999999E-2</v>
      </c>
      <c r="O2312">
        <v>-1.454474E-2</v>
      </c>
      <c r="P2312">
        <v>-0.98251520000000003</v>
      </c>
      <c r="Q2312">
        <v>0.1860222</v>
      </c>
      <c r="R2312">
        <v>7.72959699999999E-3</v>
      </c>
      <c r="S2312">
        <v>-3.1036990000000002</v>
      </c>
      <c r="T2312">
        <v>-0.23923359999999999</v>
      </c>
      <c r="U2312">
        <v>-0.59832759999999996</v>
      </c>
      <c r="V2312">
        <v>2.197961E-2</v>
      </c>
      <c r="W2312">
        <v>0.19851849999999999</v>
      </c>
      <c r="X2312">
        <v>0.97985060000000002</v>
      </c>
      <c r="Y2312">
        <v>-0.1744359</v>
      </c>
      <c r="Z2312">
        <v>-6.8488719999999998E-3</v>
      </c>
      <c r="AA2312">
        <v>0.98464470000000004</v>
      </c>
      <c r="AB2312">
        <v>36</v>
      </c>
      <c r="AC2312">
        <v>-14.334599999999901</v>
      </c>
      <c r="AD2312">
        <v>-1.1212696698197999</v>
      </c>
      <c r="AE2312">
        <v>-2.8011000000000101</v>
      </c>
      <c r="AF2312">
        <v>-2.5771055364931401</v>
      </c>
      <c r="AG2312">
        <v>-1.1212696698197999</v>
      </c>
      <c r="AH2312">
        <v>14.289611942803299</v>
      </c>
      <c r="AI2312">
        <v>94.415713103236101</v>
      </c>
      <c r="AJ2312">
        <v>100.223295837073</v>
      </c>
      <c r="AK2312">
        <v>14.5633693936049</v>
      </c>
      <c r="AL2312">
        <v>78.549661094458997</v>
      </c>
      <c r="AM2312">
        <v>88.714979886832097</v>
      </c>
      <c r="AN2312">
        <v>0.99999994820917903</v>
      </c>
    </row>
    <row r="2313" spans="1:40" x14ac:dyDescent="0.25">
      <c r="A2313" t="str">
        <f>"20190303162824308"</f>
        <v>20190303162824308</v>
      </c>
      <c r="B2313" t="str">
        <f>"1551601704294010"</f>
        <v>1551601704294010</v>
      </c>
      <c r="C2313" t="s">
        <v>40</v>
      </c>
      <c r="D2313">
        <v>4.7095779999999996</v>
      </c>
      <c r="E2313">
        <v>0.4230256</v>
      </c>
      <c r="F2313" t="s">
        <v>48</v>
      </c>
      <c r="G2313">
        <v>-441.69</v>
      </c>
      <c r="H2313" s="1">
        <v>-5.0488690000000005E-7</v>
      </c>
      <c r="I2313">
        <v>281.58350000000002</v>
      </c>
      <c r="J2313">
        <v>-427.2901</v>
      </c>
      <c r="K2313">
        <v>1.12127</v>
      </c>
      <c r="L2313">
        <v>284.41460000000001</v>
      </c>
      <c r="M2313">
        <v>-0.99981220000000004</v>
      </c>
      <c r="N2313">
        <v>-1.2752060000000001E-2</v>
      </c>
      <c r="O2313">
        <v>-1.4607200000000001E-2</v>
      </c>
      <c r="P2313">
        <v>-0.98252019999999995</v>
      </c>
      <c r="Q2313">
        <v>0.18600829999999999</v>
      </c>
      <c r="R2313">
        <v>7.4468709999999999E-3</v>
      </c>
      <c r="S2313">
        <v>-3.1031490000000002</v>
      </c>
      <c r="T2313">
        <v>-0.2376394</v>
      </c>
      <c r="U2313">
        <v>-0.600769</v>
      </c>
      <c r="V2313">
        <v>2.175848E-2</v>
      </c>
      <c r="W2313">
        <v>0.19852410000000001</v>
      </c>
      <c r="X2313">
        <v>0.97985449999999996</v>
      </c>
      <c r="Y2313">
        <v>-0.1751578</v>
      </c>
      <c r="Z2313">
        <v>-6.8427130000000003E-3</v>
      </c>
      <c r="AA2313">
        <v>0.98451659999999996</v>
      </c>
      <c r="AB2313">
        <v>36</v>
      </c>
      <c r="AC2313">
        <v>-14.399900000000001</v>
      </c>
      <c r="AD2313">
        <v>-1.1212705048868901</v>
      </c>
      <c r="AE2313">
        <v>-2.83109999999999</v>
      </c>
      <c r="AF2313">
        <v>-2.6052304405615101</v>
      </c>
      <c r="AG2313">
        <v>-1.1212705048868901</v>
      </c>
      <c r="AH2313">
        <v>14.355917738292099</v>
      </c>
      <c r="AI2313">
        <v>94.394537960690798</v>
      </c>
      <c r="AJ2313">
        <v>100.28577406277</v>
      </c>
      <c r="AK2313">
        <v>14.6334154353031</v>
      </c>
      <c r="AL2313">
        <v>78.549334850802097</v>
      </c>
      <c r="AM2313">
        <v>88.727908865150596</v>
      </c>
      <c r="AN2313">
        <v>1.0000000454514799</v>
      </c>
    </row>
    <row r="2314" spans="1:40" x14ac:dyDescent="0.25">
      <c r="A2314" t="str">
        <f>"20190303162824325"</f>
        <v>20190303162824325</v>
      </c>
      <c r="B2314" t="str">
        <f>"1551601704313530"</f>
        <v>1551601704313530</v>
      </c>
      <c r="C2314" t="s">
        <v>40</v>
      </c>
      <c r="D2314">
        <v>4.6580750000000002</v>
      </c>
      <c r="E2314">
        <v>0.4227361</v>
      </c>
      <c r="F2314" t="s">
        <v>48</v>
      </c>
      <c r="G2314">
        <v>-441.95359999999999</v>
      </c>
      <c r="H2314" s="1">
        <v>-3.638705E-7</v>
      </c>
      <c r="I2314">
        <v>281.56720000000001</v>
      </c>
      <c r="J2314">
        <v>-427.55220000000003</v>
      </c>
      <c r="K2314">
        <v>1.121259</v>
      </c>
      <c r="L2314">
        <v>284.41070000000002</v>
      </c>
      <c r="M2314">
        <v>-0.99981070000000005</v>
      </c>
      <c r="N2314">
        <v>-1.2771579999999999E-2</v>
      </c>
      <c r="O2314">
        <v>-1.467166E-2</v>
      </c>
      <c r="P2314">
        <v>-0.9825429</v>
      </c>
      <c r="Q2314">
        <v>0.1859026</v>
      </c>
      <c r="R2314">
        <v>7.0296990000000004E-3</v>
      </c>
      <c r="S2314">
        <v>-3.1029049999999998</v>
      </c>
      <c r="T2314">
        <v>-0.2372677</v>
      </c>
      <c r="U2314">
        <v>-0.60253909999999999</v>
      </c>
      <c r="V2314">
        <v>2.1406020000000001E-2</v>
      </c>
      <c r="W2314">
        <v>0.19843759999999999</v>
      </c>
      <c r="X2314">
        <v>0.97987970000000002</v>
      </c>
      <c r="Y2314">
        <v>-0.1756499</v>
      </c>
      <c r="Z2314">
        <v>-6.8540110000000001E-3</v>
      </c>
      <c r="AA2314">
        <v>0.98442879999999999</v>
      </c>
      <c r="AB2314">
        <v>36</v>
      </c>
      <c r="AC2314">
        <v>-14.401399999999899</v>
      </c>
      <c r="AD2314">
        <v>-1.1212593638705</v>
      </c>
      <c r="AE2314">
        <v>-2.8435000000000001</v>
      </c>
      <c r="AF2314">
        <v>-2.6166178920509902</v>
      </c>
      <c r="AG2314">
        <v>-1.1212593638705</v>
      </c>
      <c r="AH2314">
        <v>14.357803287144099</v>
      </c>
      <c r="AI2314">
        <v>94.3933269497591</v>
      </c>
      <c r="AJ2314">
        <v>100.328439891306</v>
      </c>
      <c r="AK2314">
        <v>14.6372957538746</v>
      </c>
      <c r="AL2314">
        <v>78.554390578735294</v>
      </c>
      <c r="AM2314">
        <v>88.748540708458194</v>
      </c>
      <c r="AN2314">
        <v>0.999999962629044</v>
      </c>
    </row>
    <row r="2315" spans="1:40" x14ac:dyDescent="0.25">
      <c r="A2315" t="str">
        <f>"20190303162824348"</f>
        <v>20190303162824348</v>
      </c>
      <c r="B2315" t="str">
        <f>"1551601704334027"</f>
        <v>1551601704334027</v>
      </c>
      <c r="C2315" t="s">
        <v>40</v>
      </c>
      <c r="D2315">
        <v>4.5955440000000003</v>
      </c>
      <c r="E2315">
        <v>0.42248669999999999</v>
      </c>
      <c r="F2315" t="s">
        <v>48</v>
      </c>
      <c r="G2315">
        <v>-442.28879999999998</v>
      </c>
      <c r="H2315" s="1">
        <v>-1.8393659999999999E-7</v>
      </c>
      <c r="I2315">
        <v>281.53089999999997</v>
      </c>
      <c r="J2315">
        <v>-427.92829999999998</v>
      </c>
      <c r="K2315">
        <v>1.1212599999999999</v>
      </c>
      <c r="L2315">
        <v>284.4051</v>
      </c>
      <c r="M2315">
        <v>-0.99980930000000001</v>
      </c>
      <c r="N2315">
        <v>-1.279652E-2</v>
      </c>
      <c r="O2315">
        <v>-1.475693E-2</v>
      </c>
      <c r="P2315">
        <v>-0.98259989999999997</v>
      </c>
      <c r="Q2315">
        <v>0.18564030000000001</v>
      </c>
      <c r="R2315">
        <v>5.962172E-3</v>
      </c>
      <c r="S2315">
        <v>-3.1022639999999999</v>
      </c>
      <c r="T2315">
        <v>-0.23604040000000001</v>
      </c>
      <c r="U2315">
        <v>-0.60623169999999904</v>
      </c>
      <c r="V2315">
        <v>2.042714E-2</v>
      </c>
      <c r="W2315">
        <v>0.19820019999999999</v>
      </c>
      <c r="X2315">
        <v>0.97994870000000001</v>
      </c>
      <c r="Y2315">
        <v>-0.17673429999999901</v>
      </c>
      <c r="Z2315">
        <v>-6.8711229999999998E-3</v>
      </c>
      <c r="AA2315">
        <v>0.98423459999999996</v>
      </c>
      <c r="AB2315">
        <v>36</v>
      </c>
      <c r="AC2315">
        <v>-14.3605</v>
      </c>
      <c r="AD2315">
        <v>-1.1212601839366001</v>
      </c>
      <c r="AE2315">
        <v>-2.8742000000000298</v>
      </c>
      <c r="AF2315">
        <v>-2.6464403838113699</v>
      </c>
      <c r="AG2315">
        <v>-1.1212601839366001</v>
      </c>
      <c r="AH2315">
        <v>14.317430875795001</v>
      </c>
      <c r="AI2315">
        <v>94.403646817340601</v>
      </c>
      <c r="AJ2315">
        <v>100.47237893518</v>
      </c>
      <c r="AK2315">
        <v>14.6030715258235</v>
      </c>
      <c r="AL2315">
        <v>78.568268917816596</v>
      </c>
      <c r="AM2315">
        <v>88.805836024792896</v>
      </c>
      <c r="AN2315">
        <v>1.0000000209801501</v>
      </c>
    </row>
    <row r="2316" spans="1:40" x14ac:dyDescent="0.25">
      <c r="A2316" t="str">
        <f>"20190303162824370"</f>
        <v>20190303162824370</v>
      </c>
      <c r="B2316" t="str">
        <f>"1551601704363306"</f>
        <v>1551601704363306</v>
      </c>
      <c r="C2316" t="s">
        <v>40</v>
      </c>
      <c r="D2316">
        <v>4.4904630000000001</v>
      </c>
      <c r="E2316">
        <v>0.42227140000000002</v>
      </c>
      <c r="F2316" t="s">
        <v>48</v>
      </c>
      <c r="G2316">
        <v>-442.78280000000001</v>
      </c>
      <c r="H2316" s="1">
        <v>8.1390850000000003E-8</v>
      </c>
      <c r="I2316">
        <v>281.47559999999999</v>
      </c>
      <c r="J2316">
        <v>-428.28059999999999</v>
      </c>
      <c r="K2316">
        <v>1.1212489999999999</v>
      </c>
      <c r="L2316">
        <v>284.3997</v>
      </c>
      <c r="M2316">
        <v>-0.99980800000000003</v>
      </c>
      <c r="N2316">
        <v>-1.2816849999999999E-2</v>
      </c>
      <c r="O2316">
        <v>-1.4826880000000001E-2</v>
      </c>
      <c r="P2316">
        <v>-0.98269249999999997</v>
      </c>
      <c r="Q2316">
        <v>0.18517520000000001</v>
      </c>
      <c r="R2316">
        <v>5.09246E-3</v>
      </c>
      <c r="S2316">
        <v>-3.1010740000000001</v>
      </c>
      <c r="T2316">
        <v>-0.23407639999999999</v>
      </c>
      <c r="U2316">
        <v>-0.61157229999999996</v>
      </c>
      <c r="V2316">
        <v>1.9632279999999998E-2</v>
      </c>
      <c r="W2316">
        <v>0.19775619999999999</v>
      </c>
      <c r="X2316">
        <v>0.9800546</v>
      </c>
      <c r="Y2316">
        <v>-0.17837130000000001</v>
      </c>
      <c r="Z2316">
        <v>-6.8959499999999996E-3</v>
      </c>
      <c r="AA2316">
        <v>0.98393909999999996</v>
      </c>
      <c r="AB2316">
        <v>36</v>
      </c>
      <c r="AC2316">
        <v>-14.5022</v>
      </c>
      <c r="AD2316">
        <v>-1.1212489186091501</v>
      </c>
      <c r="AE2316">
        <v>-2.9241000000000001</v>
      </c>
      <c r="AF2316">
        <v>-2.6932678269349202</v>
      </c>
      <c r="AG2316">
        <v>-1.1212489186091501</v>
      </c>
      <c r="AH2316">
        <v>14.4608981686607</v>
      </c>
      <c r="AI2316">
        <v>94.358989740646194</v>
      </c>
      <c r="AJ2316">
        <v>100.55016716767101</v>
      </c>
      <c r="AK2316">
        <v>14.752235985417901</v>
      </c>
      <c r="AL2316">
        <v>78.594221473412802</v>
      </c>
      <c r="AM2316">
        <v>88.852414584650106</v>
      </c>
      <c r="AN2316">
        <v>0.99999998001879897</v>
      </c>
    </row>
    <row r="2317" spans="1:40" x14ac:dyDescent="0.25">
      <c r="A2317" t="str">
        <f>"20190303162824392"</f>
        <v>20190303162824392</v>
      </c>
      <c r="B2317" t="str">
        <f>"1551601704383803"</f>
        <v>1551601704383803</v>
      </c>
      <c r="C2317" t="s">
        <v>40</v>
      </c>
      <c r="D2317">
        <v>4.5086079999999997</v>
      </c>
      <c r="E2317">
        <v>0.42218270000000002</v>
      </c>
      <c r="F2317" t="s">
        <v>48</v>
      </c>
      <c r="G2317">
        <v>-443.32420000000002</v>
      </c>
      <c r="H2317" s="1">
        <v>3.7214640000000002E-7</v>
      </c>
      <c r="I2317">
        <v>281.41370000000001</v>
      </c>
      <c r="J2317">
        <v>-428.62849999999997</v>
      </c>
      <c r="K2317">
        <v>1.121237</v>
      </c>
      <c r="L2317">
        <v>284.39449999999999</v>
      </c>
      <c r="M2317">
        <v>-0.9998068</v>
      </c>
      <c r="N2317">
        <v>-1.2834369999999999E-2</v>
      </c>
      <c r="O2317">
        <v>-1.488081E-2</v>
      </c>
      <c r="P2317">
        <v>-0.98274689999999998</v>
      </c>
      <c r="Q2317">
        <v>0.18491469999999999</v>
      </c>
      <c r="R2317">
        <v>3.8546930000000002E-3</v>
      </c>
      <c r="S2317">
        <v>-3.0995180000000002</v>
      </c>
      <c r="T2317">
        <v>-0.23101849999999999</v>
      </c>
      <c r="U2317">
        <v>-0.61523439999999996</v>
      </c>
      <c r="V2317">
        <v>1.8454169999999999E-2</v>
      </c>
      <c r="W2317">
        <v>0.19751270000000001</v>
      </c>
      <c r="X2317">
        <v>0.98012659999999996</v>
      </c>
      <c r="Y2317">
        <v>-0.17953939999999999</v>
      </c>
      <c r="Z2317">
        <v>-6.8749600000000003E-3</v>
      </c>
      <c r="AA2317">
        <v>0.98372669999999995</v>
      </c>
      <c r="AB2317">
        <v>36</v>
      </c>
      <c r="AC2317">
        <v>-14.6957</v>
      </c>
      <c r="AD2317">
        <v>-1.1212366278535999</v>
      </c>
      <c r="AE2317">
        <v>-2.9807999999999799</v>
      </c>
      <c r="AF2317">
        <v>-2.7464122351887501</v>
      </c>
      <c r="AG2317">
        <v>-1.1212366278535999</v>
      </c>
      <c r="AH2317">
        <v>14.656485763857599</v>
      </c>
      <c r="AI2317">
        <v>94.300110611574297</v>
      </c>
      <c r="AJ2317">
        <v>100.613315022658</v>
      </c>
      <c r="AK2317">
        <v>14.953679369553001</v>
      </c>
      <c r="AL2317">
        <v>78.608453802615003</v>
      </c>
      <c r="AM2317">
        <v>88.921342266908397</v>
      </c>
      <c r="AN2317">
        <v>0.99999998753961905</v>
      </c>
    </row>
    <row r="2318" spans="1:40" x14ac:dyDescent="0.25">
      <c r="A2318" t="str">
        <f>"20190303162824414"</f>
        <v>20190303162824414</v>
      </c>
      <c r="B2318" t="str">
        <f>"1551601704403322"</f>
        <v>1551601704403322</v>
      </c>
      <c r="C2318" t="s">
        <v>40</v>
      </c>
      <c r="D2318">
        <v>4.4647639999999997</v>
      </c>
      <c r="E2318">
        <v>0.42222029999999999</v>
      </c>
      <c r="F2318" t="s">
        <v>48</v>
      </c>
      <c r="G2318">
        <v>-443.71210000000002</v>
      </c>
      <c r="H2318" s="1">
        <v>5.8008580000000001E-7</v>
      </c>
      <c r="I2318">
        <v>281.37990000000002</v>
      </c>
      <c r="J2318">
        <v>-428.98090000000002</v>
      </c>
      <c r="K2318">
        <v>1.121218</v>
      </c>
      <c r="L2318">
        <v>284.38920000000002</v>
      </c>
      <c r="M2318">
        <v>-0.99980630000000004</v>
      </c>
      <c r="N2318">
        <v>-1.284977E-2</v>
      </c>
      <c r="O2318">
        <v>-1.491645E-2</v>
      </c>
      <c r="P2318">
        <v>-0.98272349999999997</v>
      </c>
      <c r="Q2318">
        <v>0.1850637</v>
      </c>
      <c r="R2318">
        <v>2.5551789999999999E-3</v>
      </c>
      <c r="S2318">
        <v>-3.0983890000000001</v>
      </c>
      <c r="T2318">
        <v>-0.2303183</v>
      </c>
      <c r="U2318">
        <v>-0.61923219999999901</v>
      </c>
      <c r="V2318">
        <v>1.719644E-2</v>
      </c>
      <c r="W2318">
        <v>0.1976763</v>
      </c>
      <c r="X2318">
        <v>0.98011649999999995</v>
      </c>
      <c r="Y2318">
        <v>-0.18079229999999999</v>
      </c>
      <c r="Z2318">
        <v>-6.9133179999999999E-3</v>
      </c>
      <c r="AA2318">
        <v>0.98349699999999995</v>
      </c>
      <c r="AB2318">
        <v>36</v>
      </c>
      <c r="AC2318">
        <v>-14.731199999999999</v>
      </c>
      <c r="AD2318">
        <v>-1.1212174199142</v>
      </c>
      <c r="AE2318">
        <v>-3.0092999999999899</v>
      </c>
      <c r="AF2318">
        <v>-2.7737849729267601</v>
      </c>
      <c r="AG2318">
        <v>-1.1212174199142</v>
      </c>
      <c r="AH2318">
        <v>14.6927471174948</v>
      </c>
      <c r="AI2318">
        <v>94.288377364347298</v>
      </c>
      <c r="AJ2318">
        <v>100.69081867407</v>
      </c>
      <c r="AK2318">
        <v>14.9942598829487</v>
      </c>
      <c r="AL2318">
        <v>78.598891774995394</v>
      </c>
      <c r="AM2318">
        <v>88.9948313788381</v>
      </c>
      <c r="AN2318">
        <v>0.99999999535130601</v>
      </c>
    </row>
    <row r="2319" spans="1:40" x14ac:dyDescent="0.25">
      <c r="A2319" t="str">
        <f>"20190303162824436"</f>
        <v>20190303162824436</v>
      </c>
      <c r="B2319" t="str">
        <f>"1551601704423818"</f>
        <v>1551601704423818</v>
      </c>
      <c r="C2319" t="s">
        <v>40</v>
      </c>
      <c r="D2319">
        <v>4.4125110000000003</v>
      </c>
      <c r="E2319">
        <v>0.42227979999999998</v>
      </c>
      <c r="F2319" t="s">
        <v>48</v>
      </c>
      <c r="G2319">
        <v>-444.19990000000001</v>
      </c>
      <c r="H2319" s="1">
        <v>8.4191959999999999E-7</v>
      </c>
      <c r="I2319">
        <v>281.32799999999997</v>
      </c>
      <c r="J2319">
        <v>-429.34379999999999</v>
      </c>
      <c r="K2319">
        <v>1.1212040000000001</v>
      </c>
      <c r="L2319">
        <v>284.38369999999998</v>
      </c>
      <c r="M2319">
        <v>-0.99980570000000002</v>
      </c>
      <c r="N2319">
        <v>-1.286344E-2</v>
      </c>
      <c r="O2319">
        <v>-1.493762E-2</v>
      </c>
      <c r="P2319">
        <v>-0.98273719999999998</v>
      </c>
      <c r="Q2319">
        <v>0.18500269999999999</v>
      </c>
      <c r="R2319">
        <v>1.237347E-3</v>
      </c>
      <c r="S2319">
        <v>-3.0973820000000001</v>
      </c>
      <c r="T2319">
        <v>-0.228191</v>
      </c>
      <c r="U2319">
        <v>-0.62301640000000003</v>
      </c>
      <c r="V2319">
        <v>1.5907279999999999E-2</v>
      </c>
      <c r="W2319">
        <v>0.1976281</v>
      </c>
      <c r="X2319">
        <v>0.98014800000000002</v>
      </c>
      <c r="Y2319">
        <v>-0.18199290000000001</v>
      </c>
      <c r="Z2319">
        <v>-6.915119E-3</v>
      </c>
      <c r="AA2319">
        <v>0.98327549999999997</v>
      </c>
      <c r="AB2319">
        <v>36</v>
      </c>
      <c r="AC2319">
        <v>-14.8561</v>
      </c>
      <c r="AD2319">
        <v>-1.1212031580803901</v>
      </c>
      <c r="AE2319">
        <v>-3.0556999999999999</v>
      </c>
      <c r="AF2319">
        <v>-2.8180263139350501</v>
      </c>
      <c r="AG2319">
        <v>-1.1212031580803901</v>
      </c>
      <c r="AH2319">
        <v>14.8191094211027</v>
      </c>
      <c r="AI2319">
        <v>94.250825444370193</v>
      </c>
      <c r="AJ2319">
        <v>100.766906038004</v>
      </c>
      <c r="AK2319">
        <v>15.1262808668335</v>
      </c>
      <c r="AL2319">
        <v>78.601709117204706</v>
      </c>
      <c r="AM2319">
        <v>89.070201644207401</v>
      </c>
      <c r="AN2319">
        <v>1.0000000046852999</v>
      </c>
    </row>
    <row r="2320" spans="1:40" x14ac:dyDescent="0.25">
      <c r="A2320" t="str">
        <f>"20190303162824451"</f>
        <v>20190303162824451</v>
      </c>
      <c r="B2320" t="str">
        <f>"1551601704443340"</f>
        <v>1551601704443340</v>
      </c>
      <c r="C2320" t="s">
        <v>40</v>
      </c>
      <c r="D2320">
        <v>4.4049430000000003</v>
      </c>
      <c r="E2320">
        <v>0.42229820000000001</v>
      </c>
      <c r="F2320" t="s">
        <v>48</v>
      </c>
      <c r="G2320">
        <v>-444.66860000000003</v>
      </c>
      <c r="H2320" s="1">
        <v>1.0932299999999999E-6</v>
      </c>
      <c r="I2320">
        <v>281.28449999999998</v>
      </c>
      <c r="J2320">
        <v>-429.56659999999999</v>
      </c>
      <c r="K2320">
        <v>1.121197</v>
      </c>
      <c r="L2320">
        <v>284.38040000000001</v>
      </c>
      <c r="M2320">
        <v>-0.99980550000000001</v>
      </c>
      <c r="N2320">
        <v>-1.28708E-2</v>
      </c>
      <c r="O2320">
        <v>-1.4945379999999999E-2</v>
      </c>
      <c r="P2320">
        <v>-0.98274819999999996</v>
      </c>
      <c r="Q2320">
        <v>0.18494820000000001</v>
      </c>
      <c r="R2320">
        <v>5.1299760000000005E-4</v>
      </c>
      <c r="S2320">
        <v>-3.09613</v>
      </c>
      <c r="T2320">
        <v>-0.22652169999999999</v>
      </c>
      <c r="U2320">
        <v>-0.62615969999999999</v>
      </c>
      <c r="V2320">
        <v>1.519566E-2</v>
      </c>
      <c r="W2320">
        <v>0.19758039999999999</v>
      </c>
      <c r="X2320">
        <v>0.98016890000000001</v>
      </c>
      <c r="Y2320">
        <v>-0.18302489999999999</v>
      </c>
      <c r="Z2320">
        <v>-6.9207720000000004E-3</v>
      </c>
      <c r="AA2320">
        <v>0.98308390000000001</v>
      </c>
      <c r="AB2320">
        <v>36</v>
      </c>
      <c r="AC2320">
        <v>-15.102</v>
      </c>
      <c r="AD2320">
        <v>-1.1211959067699999</v>
      </c>
      <c r="AE2320">
        <v>-3.0959000000000199</v>
      </c>
      <c r="AF2320">
        <v>-2.8547302022350198</v>
      </c>
      <c r="AG2320">
        <v>-1.1211959067699999</v>
      </c>
      <c r="AH2320">
        <v>15.0668896604589</v>
      </c>
      <c r="AI2320">
        <v>94.181669833618898</v>
      </c>
      <c r="AJ2320">
        <v>100.72867981921399</v>
      </c>
      <c r="AK2320">
        <v>15.3758814000809</v>
      </c>
      <c r="AL2320">
        <v>78.604497017103796</v>
      </c>
      <c r="AM2320">
        <v>89.111808747737996</v>
      </c>
      <c r="AN2320">
        <v>0.999999997537102</v>
      </c>
    </row>
    <row r="2321" spans="1:40" x14ac:dyDescent="0.25">
      <c r="A2321" t="str">
        <f>"20190303162824470"</f>
        <v>20190303162824470</v>
      </c>
      <c r="B2321" t="str">
        <f>"1551601704463835"</f>
        <v>1551601704463835</v>
      </c>
      <c r="C2321" t="s">
        <v>40</v>
      </c>
      <c r="D2321">
        <v>4.4034279999999999</v>
      </c>
      <c r="E2321">
        <v>0.42239589999999999</v>
      </c>
      <c r="F2321" t="s">
        <v>48</v>
      </c>
      <c r="G2321">
        <v>-445.00979999999998</v>
      </c>
      <c r="H2321" s="1">
        <v>1.2764109999999899E-6</v>
      </c>
      <c r="I2321">
        <v>281.24759999999998</v>
      </c>
      <c r="J2321">
        <v>-429.88659999999999</v>
      </c>
      <c r="K2321">
        <v>1.1211880000000001</v>
      </c>
      <c r="L2321">
        <v>284.37549999999999</v>
      </c>
      <c r="M2321">
        <v>-0.99980539999999996</v>
      </c>
      <c r="N2321">
        <v>-1.288015E-2</v>
      </c>
      <c r="O2321">
        <v>-1.495086E-2</v>
      </c>
      <c r="P2321">
        <v>-0.98264119999999999</v>
      </c>
      <c r="Q2321">
        <v>0.1855115</v>
      </c>
      <c r="R2321">
        <v>-1.4107569999999999E-3</v>
      </c>
      <c r="S2321">
        <v>-3.095215</v>
      </c>
      <c r="T2321">
        <v>-0.22471740000000001</v>
      </c>
      <c r="U2321">
        <v>-0.62789919999999899</v>
      </c>
      <c r="V2321">
        <v>1.328146E-2</v>
      </c>
      <c r="W2321">
        <v>0.19815160000000001</v>
      </c>
      <c r="X2321">
        <v>0.98008139999999999</v>
      </c>
      <c r="Y2321">
        <v>-0.1836122</v>
      </c>
      <c r="Z2321">
        <v>-6.9036770000000004E-3</v>
      </c>
      <c r="AA2321">
        <v>0.98297449999999997</v>
      </c>
      <c r="AB2321">
        <v>36</v>
      </c>
      <c r="AC2321">
        <v>-15.123199999999899</v>
      </c>
      <c r="AD2321">
        <v>-1.1211867235889901</v>
      </c>
      <c r="AE2321">
        <v>-3.1279000000000101</v>
      </c>
      <c r="AF2321">
        <v>-2.8862140979881299</v>
      </c>
      <c r="AG2321">
        <v>-1.1211867235889901</v>
      </c>
      <c r="AH2321">
        <v>15.0887482534061</v>
      </c>
      <c r="AI2321">
        <v>94.1742143678171</v>
      </c>
      <c r="AJ2321">
        <v>100.828874180355</v>
      </c>
      <c r="AK2321">
        <v>15.4031690032682</v>
      </c>
      <c r="AL2321">
        <v>78.571109620515799</v>
      </c>
      <c r="AM2321">
        <v>89.223610378394099</v>
      </c>
      <c r="AN2321">
        <v>1.00000000219412</v>
      </c>
    </row>
    <row r="2322" spans="1:40" x14ac:dyDescent="0.25">
      <c r="A2322" t="str">
        <f>"20190303162824493"</f>
        <v>20190303162824493</v>
      </c>
      <c r="B2322" t="str">
        <f>"1551601704483355"</f>
        <v>1551601704483355</v>
      </c>
      <c r="C2322" t="s">
        <v>40</v>
      </c>
      <c r="D2322">
        <v>4.4213389999999997</v>
      </c>
      <c r="E2322">
        <v>0.4481811</v>
      </c>
      <c r="F2322" t="s">
        <v>48</v>
      </c>
      <c r="G2322">
        <v>-445.49630000000002</v>
      </c>
      <c r="H2322" s="1">
        <v>1.5381999999999999E-6</v>
      </c>
      <c r="I2322">
        <v>281.18209999999999</v>
      </c>
      <c r="J2322">
        <v>-430.23399999999998</v>
      </c>
      <c r="K2322">
        <v>1.121184</v>
      </c>
      <c r="L2322">
        <v>284.37029999999999</v>
      </c>
      <c r="M2322">
        <v>-0.99980519999999995</v>
      </c>
      <c r="N2322">
        <v>-1.288885E-2</v>
      </c>
      <c r="O2322">
        <v>-1.495173E-2</v>
      </c>
      <c r="P2322">
        <v>-0.98252169999999905</v>
      </c>
      <c r="Q2322">
        <v>0.1861111</v>
      </c>
      <c r="R2322">
        <v>-3.7272249999999998E-3</v>
      </c>
      <c r="S2322">
        <v>-3.0940249999999998</v>
      </c>
      <c r="T2322">
        <v>-0.2222317</v>
      </c>
      <c r="U2322">
        <v>-0.63296509999999995</v>
      </c>
      <c r="V2322">
        <v>1.096839E-2</v>
      </c>
      <c r="W2322">
        <v>0.1987582</v>
      </c>
      <c r="X2322">
        <v>0.97998719999999995</v>
      </c>
      <c r="Y2322">
        <v>-0.1852356</v>
      </c>
      <c r="Z2322">
        <v>-6.913219E-3</v>
      </c>
      <c r="AA2322">
        <v>0.98266980000000004</v>
      </c>
      <c r="AB2322">
        <v>36</v>
      </c>
      <c r="AC2322">
        <v>-15.2622999999999</v>
      </c>
      <c r="AD2322">
        <v>-1.1211824617999999</v>
      </c>
      <c r="AE2322">
        <v>-3.1881999999999899</v>
      </c>
      <c r="AF2322">
        <v>-2.9444017130816</v>
      </c>
      <c r="AG2322">
        <v>-1.1211824617999999</v>
      </c>
      <c r="AH2322">
        <v>15.2295169126009</v>
      </c>
      <c r="AI2322">
        <v>94.134181744676695</v>
      </c>
      <c r="AJ2322">
        <v>100.942288561467</v>
      </c>
      <c r="AK2322">
        <v>15.5520010594085</v>
      </c>
      <c r="AL2322">
        <v>78.535648888601401</v>
      </c>
      <c r="AM2322">
        <v>89.358750588281694</v>
      </c>
      <c r="AN2322">
        <v>1.00000001990513</v>
      </c>
    </row>
    <row r="2323" spans="1:40" x14ac:dyDescent="0.25">
      <c r="A2323" t="str">
        <f>"20190303162824515"</f>
        <v>20190303162824515</v>
      </c>
      <c r="B2323" t="str">
        <f>"1551601704503851"</f>
        <v>1551601704503851</v>
      </c>
      <c r="C2323" t="s">
        <v>40</v>
      </c>
      <c r="D2323">
        <v>4.3800850000000002</v>
      </c>
      <c r="E2323">
        <v>0.45205269999999997</v>
      </c>
      <c r="F2323" t="s">
        <v>48</v>
      </c>
      <c r="G2323">
        <v>-454.02249999999998</v>
      </c>
      <c r="H2323" s="1">
        <v>7.6116830000000001E-7</v>
      </c>
      <c r="I2323">
        <v>281.01560000000001</v>
      </c>
      <c r="J2323">
        <v>-430.59199999999998</v>
      </c>
      <c r="K2323">
        <v>1.121186</v>
      </c>
      <c r="L2323">
        <v>284.36489999999998</v>
      </c>
      <c r="M2323">
        <v>-0.9998051</v>
      </c>
      <c r="N2323">
        <v>-1.289648E-2</v>
      </c>
      <c r="O2323">
        <v>-1.4950720000000001E-2</v>
      </c>
      <c r="P2323">
        <v>-0.98233349999999997</v>
      </c>
      <c r="Q2323">
        <v>0.1870549</v>
      </c>
      <c r="R2323">
        <v>-5.5630080000000004E-3</v>
      </c>
      <c r="S2323">
        <v>-3.079224</v>
      </c>
      <c r="T2323">
        <v>-0.14512800000000001</v>
      </c>
      <c r="U2323">
        <v>-0.43423460000000003</v>
      </c>
      <c r="V2323">
        <v>9.1321149999999997E-3</v>
      </c>
      <c r="W2323">
        <v>0.1997073</v>
      </c>
      <c r="X2323">
        <v>0.97981300000000005</v>
      </c>
      <c r="Y2323">
        <v>-0.12465329999999999</v>
      </c>
      <c r="Z2323">
        <v>-3.221083E-3</v>
      </c>
      <c r="AA2323">
        <v>0.9921951</v>
      </c>
      <c r="AB2323">
        <v>36</v>
      </c>
      <c r="AC2323">
        <v>-23.430499999999899</v>
      </c>
      <c r="AD2323">
        <v>-1.1211852388316901</v>
      </c>
      <c r="AE2323">
        <v>-3.3492999999999702</v>
      </c>
      <c r="AF2323">
        <v>-2.9918800949311399</v>
      </c>
      <c r="AG2323">
        <v>-1.1211852388316901</v>
      </c>
      <c r="AH2323">
        <v>23.425394735262898</v>
      </c>
      <c r="AI2323">
        <v>92.718150622800593</v>
      </c>
      <c r="AJ2323">
        <v>97.278384297981702</v>
      </c>
      <c r="AK2323">
        <v>23.6422824901722</v>
      </c>
      <c r="AL2323">
        <v>78.480156250144105</v>
      </c>
      <c r="AM2323">
        <v>89.466003719339</v>
      </c>
      <c r="AN2323">
        <v>0.99999995808332998</v>
      </c>
    </row>
    <row r="2324" spans="1:40" x14ac:dyDescent="0.25">
      <c r="A2324" t="str">
        <f>"20190303162824538"</f>
        <v>20190303162824538</v>
      </c>
      <c r="B2324" t="str">
        <f>"1551601704523371"</f>
        <v>1551601704523371</v>
      </c>
      <c r="C2324" t="s">
        <v>40</v>
      </c>
      <c r="D2324">
        <v>4.4171100000000001</v>
      </c>
      <c r="E2324">
        <v>0.45283230000000002</v>
      </c>
      <c r="F2324" t="s">
        <v>48</v>
      </c>
      <c r="G2324">
        <v>-456.42140000000001</v>
      </c>
      <c r="H2324" s="1">
        <v>2.0413479999999999E-6</v>
      </c>
      <c r="I2324">
        <v>280.93360000000001</v>
      </c>
      <c r="J2324">
        <v>-430.9547</v>
      </c>
      <c r="K2324">
        <v>1.121189</v>
      </c>
      <c r="L2324">
        <v>284.35950000000003</v>
      </c>
      <c r="M2324">
        <v>-0.99980500000000005</v>
      </c>
      <c r="N2324">
        <v>-1.290298E-2</v>
      </c>
      <c r="O2324">
        <v>-1.4947240000000001E-2</v>
      </c>
      <c r="P2324">
        <v>-0.98226089999999999</v>
      </c>
      <c r="Q2324">
        <v>0.18737090000000001</v>
      </c>
      <c r="R2324">
        <v>-7.4423919999999999E-3</v>
      </c>
      <c r="S2324">
        <v>-3.0770870000000001</v>
      </c>
      <c r="T2324">
        <v>-0.13356779999999999</v>
      </c>
      <c r="U2324">
        <v>-0.40878300000000001</v>
      </c>
      <c r="V2324">
        <v>7.2503439999999997E-3</v>
      </c>
      <c r="W2324">
        <v>0.20002919999999999</v>
      </c>
      <c r="X2324">
        <v>0.9797631</v>
      </c>
      <c r="Y2324">
        <v>-0.1167236</v>
      </c>
      <c r="Z2324">
        <v>-2.8244099999999999E-3</v>
      </c>
      <c r="AA2324">
        <v>0.99316040000000005</v>
      </c>
      <c r="AB2324">
        <v>36</v>
      </c>
      <c r="AC2324">
        <v>-25.466699999999999</v>
      </c>
      <c r="AD2324">
        <v>-1.121186958652</v>
      </c>
      <c r="AE2324">
        <v>-3.4259000000000102</v>
      </c>
      <c r="AF2324">
        <v>-3.0390428952556698</v>
      </c>
      <c r="AG2324">
        <v>-1.121186958652</v>
      </c>
      <c r="AH2324">
        <v>25.466583182386401</v>
      </c>
      <c r="AI2324">
        <v>92.503127899985799</v>
      </c>
      <c r="AJ2324">
        <v>96.805183450447501</v>
      </c>
      <c r="AK2324">
        <v>25.671768558103999</v>
      </c>
      <c r="AL2324">
        <v>78.4613333117276</v>
      </c>
      <c r="AM2324">
        <v>89.576013294875196</v>
      </c>
      <c r="AN2324">
        <v>0.99999999023118402</v>
      </c>
    </row>
    <row r="2325" spans="1:40" x14ac:dyDescent="0.25">
      <c r="A2325" t="str">
        <f>"20190303162824560"</f>
        <v>20190303162824560</v>
      </c>
      <c r="B2325" t="str">
        <f>"1551601704553626"</f>
        <v>1551601704553626</v>
      </c>
      <c r="C2325" t="s">
        <v>40</v>
      </c>
      <c r="D2325">
        <v>4.3783450000000004</v>
      </c>
      <c r="E2325">
        <v>0.45330110000000001</v>
      </c>
      <c r="F2325" t="s">
        <v>48</v>
      </c>
      <c r="G2325">
        <v>-457.02539999999999</v>
      </c>
      <c r="H2325" s="1">
        <v>2.3643820000000001E-6</v>
      </c>
      <c r="I2325">
        <v>280.89600000000002</v>
      </c>
      <c r="J2325">
        <v>-431.32010000000002</v>
      </c>
      <c r="K2325">
        <v>1.1211949999999999</v>
      </c>
      <c r="L2325">
        <v>284.35399999999998</v>
      </c>
      <c r="M2325">
        <v>-0.99980519999999995</v>
      </c>
      <c r="N2325">
        <v>-1.290846E-2</v>
      </c>
      <c r="O2325">
        <v>-1.4940200000000001E-2</v>
      </c>
      <c r="P2325">
        <v>-0.98224429999999996</v>
      </c>
      <c r="Q2325">
        <v>0.1873436</v>
      </c>
      <c r="R2325">
        <v>-9.9388089999999998E-3</v>
      </c>
      <c r="S2325">
        <v>-3.076355</v>
      </c>
      <c r="T2325">
        <v>-0.132301</v>
      </c>
      <c r="U2325">
        <v>-0.40869139999999998</v>
      </c>
      <c r="V2325">
        <v>4.7486250000000002E-3</v>
      </c>
      <c r="W2325">
        <v>0.2000072</v>
      </c>
      <c r="X2325">
        <v>0.97978290000000001</v>
      </c>
      <c r="Y2325">
        <v>-0.1167345</v>
      </c>
      <c r="Z2325">
        <v>-2.8079899999999998E-3</v>
      </c>
      <c r="AA2325">
        <v>0.99315920000000002</v>
      </c>
      <c r="AB2325">
        <v>36</v>
      </c>
      <c r="AC2325">
        <v>-25.705299999999902</v>
      </c>
      <c r="AD2325">
        <v>-1.121192635618</v>
      </c>
      <c r="AE2325">
        <v>-3.4580000000000801</v>
      </c>
      <c r="AF2325">
        <v>-3.0678070829248099</v>
      </c>
      <c r="AG2325">
        <v>-1.121192635618</v>
      </c>
      <c r="AH2325">
        <v>25.706062621075901</v>
      </c>
      <c r="AI2325">
        <v>92.479848268930496</v>
      </c>
      <c r="AJ2325">
        <v>96.805592244961403</v>
      </c>
      <c r="AK2325">
        <v>25.912741435496201</v>
      </c>
      <c r="AL2325">
        <v>78.462619700325206</v>
      </c>
      <c r="AM2325">
        <v>89.722311911446695</v>
      </c>
      <c r="AN2325">
        <v>0.99999998031182002</v>
      </c>
    </row>
    <row r="2326" spans="1:40" x14ac:dyDescent="0.25">
      <c r="A2326" t="str">
        <f>"20190303162824582"</f>
        <v>20190303162824582</v>
      </c>
      <c r="B2326" t="str">
        <f>"1551601704574123"</f>
        <v>1551601704574123</v>
      </c>
      <c r="C2326" t="s">
        <v>40</v>
      </c>
      <c r="D2326">
        <v>4.4104910000000004</v>
      </c>
      <c r="E2326">
        <v>0.45334459999999999</v>
      </c>
      <c r="F2326" t="s">
        <v>48</v>
      </c>
      <c r="G2326">
        <v>-457.13909999999998</v>
      </c>
      <c r="H2326" s="1">
        <v>2.425449E-6</v>
      </c>
      <c r="I2326">
        <v>280.88330000000002</v>
      </c>
      <c r="J2326">
        <v>-431.66559999999998</v>
      </c>
      <c r="K2326">
        <v>1.121197</v>
      </c>
      <c r="L2326">
        <v>284.34879999999998</v>
      </c>
      <c r="M2326">
        <v>-0.99980519999999995</v>
      </c>
      <c r="N2326">
        <v>-1.291279E-2</v>
      </c>
      <c r="O2326">
        <v>-1.493005E-2</v>
      </c>
      <c r="P2326">
        <v>-0.98213969999999995</v>
      </c>
      <c r="Q2326">
        <v>0.1876949</v>
      </c>
      <c r="R2326">
        <v>-1.312688E-2</v>
      </c>
      <c r="S2326">
        <v>-3.0755309999999998</v>
      </c>
      <c r="T2326">
        <v>-0.13355539999999999</v>
      </c>
      <c r="U2326">
        <v>-0.4134216</v>
      </c>
      <c r="V2326">
        <v>1.55091E-3</v>
      </c>
      <c r="W2326">
        <v>0.20036280000000001</v>
      </c>
      <c r="X2326">
        <v>0.97972049999999999</v>
      </c>
      <c r="Y2326">
        <v>-0.1182758</v>
      </c>
      <c r="Z2326">
        <v>-2.8699020000000001E-3</v>
      </c>
      <c r="AA2326">
        <v>0.99297659999999999</v>
      </c>
      <c r="AB2326">
        <v>36</v>
      </c>
      <c r="AC2326">
        <v>-25.473500000000001</v>
      </c>
      <c r="AD2326">
        <v>-1.1211945745509999</v>
      </c>
      <c r="AE2326">
        <v>-3.4654999999999601</v>
      </c>
      <c r="AF2326">
        <v>-3.0789051384796702</v>
      </c>
      <c r="AG2326">
        <v>-1.1211945745509999</v>
      </c>
      <c r="AH2326">
        <v>25.473952107947898</v>
      </c>
      <c r="AI2326">
        <v>92.501968949321096</v>
      </c>
      <c r="AJ2326">
        <v>96.891616654678998</v>
      </c>
      <c r="AK2326">
        <v>25.6838270147536</v>
      </c>
      <c r="AL2326">
        <v>78.441824117296505</v>
      </c>
      <c r="AM2326">
        <v>89.909300128783002</v>
      </c>
      <c r="AN2326">
        <v>0.99999995753295801</v>
      </c>
    </row>
    <row r="2327" spans="1:40" x14ac:dyDescent="0.25">
      <c r="A2327" t="str">
        <f>"20190303162824604"</f>
        <v>20190303162824604</v>
      </c>
      <c r="B2327" t="str">
        <f>"1551601704593642"</f>
        <v>1551601704593642</v>
      </c>
      <c r="C2327" t="s">
        <v>40</v>
      </c>
      <c r="D2327">
        <v>4.3975200000000001</v>
      </c>
      <c r="E2327">
        <v>0.45326620000000001</v>
      </c>
      <c r="F2327" t="s">
        <v>48</v>
      </c>
      <c r="G2327">
        <v>-457.40940000000001</v>
      </c>
      <c r="H2327" s="1">
        <v>2.5725829999999999E-6</v>
      </c>
      <c r="I2327">
        <v>280.80869999999999</v>
      </c>
      <c r="J2327">
        <v>-432.01260000000002</v>
      </c>
      <c r="K2327">
        <v>1.1211990000000001</v>
      </c>
      <c r="L2327">
        <v>284.34370000000001</v>
      </c>
      <c r="M2327">
        <v>-0.99980539999999996</v>
      </c>
      <c r="N2327">
        <v>-1.2916399999999899E-2</v>
      </c>
      <c r="O2327">
        <v>-1.4917740000000001E-2</v>
      </c>
      <c r="P2327">
        <v>-0.98187619999999998</v>
      </c>
      <c r="Q2327">
        <v>0.1888174</v>
      </c>
      <c r="R2327">
        <v>-1.635466E-2</v>
      </c>
      <c r="S2327">
        <v>-3.0744929999999999</v>
      </c>
      <c r="T2327">
        <v>-0.13389999999999999</v>
      </c>
      <c r="U2327">
        <v>-0.42279050000000001</v>
      </c>
      <c r="V2327">
        <v>-1.691045E-3</v>
      </c>
      <c r="W2327">
        <v>0.20148569999999999</v>
      </c>
      <c r="X2327">
        <v>0.97948999999999997</v>
      </c>
      <c r="Y2327">
        <v>-0.1212984</v>
      </c>
      <c r="Z2327">
        <v>-2.9609469999999998E-3</v>
      </c>
      <c r="AA2327">
        <v>0.99261160000000004</v>
      </c>
      <c r="AB2327">
        <v>36</v>
      </c>
      <c r="AC2327">
        <v>-25.396799999999899</v>
      </c>
      <c r="AD2327">
        <v>-1.1211964274169901</v>
      </c>
      <c r="AE2327">
        <v>-3.5350000000000201</v>
      </c>
      <c r="AF2327">
        <v>-3.1496901631516998</v>
      </c>
      <c r="AG2327">
        <v>-1.1211964274169901</v>
      </c>
      <c r="AH2327">
        <v>25.398152615374201</v>
      </c>
      <c r="AI2327">
        <v>92.508479099177904</v>
      </c>
      <c r="AJ2327">
        <v>97.069304382240304</v>
      </c>
      <c r="AK2327">
        <v>25.617255626365299</v>
      </c>
      <c r="AL2327">
        <v>78.376147860324906</v>
      </c>
      <c r="AM2327">
        <v>90.098918462875801</v>
      </c>
      <c r="AN2327">
        <v>1.0000000035188401</v>
      </c>
    </row>
    <row r="2328" spans="1:40" x14ac:dyDescent="0.25">
      <c r="A2328" t="str">
        <f>"20190303162824626"</f>
        <v>20190303162824626</v>
      </c>
      <c r="B2328" t="str">
        <f>"1551601704614139"</f>
        <v>1551601704614139</v>
      </c>
      <c r="C2328" t="s">
        <v>40</v>
      </c>
      <c r="D2328">
        <v>4.427454</v>
      </c>
      <c r="E2328">
        <v>0.45333479999999998</v>
      </c>
      <c r="F2328" t="s">
        <v>48</v>
      </c>
      <c r="G2328">
        <v>-457.72969999999998</v>
      </c>
      <c r="H2328" s="1">
        <v>2.7469419999999998E-6</v>
      </c>
      <c r="I2328">
        <v>280.71870000000001</v>
      </c>
      <c r="J2328">
        <v>-432.36880000000002</v>
      </c>
      <c r="K2328">
        <v>1.1212029999999999</v>
      </c>
      <c r="L2328">
        <v>284.3383</v>
      </c>
      <c r="M2328">
        <v>-0.99980550000000001</v>
      </c>
      <c r="N2328">
        <v>-1.2919419999999999E-2</v>
      </c>
      <c r="O2328">
        <v>-1.4902469999999999E-2</v>
      </c>
      <c r="P2328">
        <v>-0.98155029999999999</v>
      </c>
      <c r="Q2328">
        <v>0.19018769999999999</v>
      </c>
      <c r="R2328">
        <v>-1.9699540000000001E-2</v>
      </c>
      <c r="S2328">
        <v>-3.073944</v>
      </c>
      <c r="T2328">
        <v>-0.13401579999999999</v>
      </c>
      <c r="U2328">
        <v>-0.43328860000000002</v>
      </c>
      <c r="V2328">
        <v>-5.0537809999999898E-3</v>
      </c>
      <c r="W2328">
        <v>0.2028558</v>
      </c>
      <c r="X2328">
        <v>0.97919560000000005</v>
      </c>
      <c r="Y2328">
        <v>-0.124658</v>
      </c>
      <c r="Z2328">
        <v>-3.0580469999999999E-3</v>
      </c>
      <c r="AA2328">
        <v>0.9921951</v>
      </c>
      <c r="AB2328">
        <v>36</v>
      </c>
      <c r="AC2328">
        <v>-25.360899999999901</v>
      </c>
      <c r="AD2328">
        <v>-1.1212002530580001</v>
      </c>
      <c r="AE2328">
        <v>-3.6195999999999899</v>
      </c>
      <c r="AF2328">
        <v>-3.23502973378976</v>
      </c>
      <c r="AG2328">
        <v>-1.1212002530580001</v>
      </c>
      <c r="AH2328">
        <v>25.3634453691181</v>
      </c>
      <c r="AI2328">
        <v>92.510818224479493</v>
      </c>
      <c r="AJ2328">
        <v>97.268654627557694</v>
      </c>
      <c r="AK2328">
        <v>25.593492695960801</v>
      </c>
      <c r="AL2328">
        <v>78.295991896196398</v>
      </c>
      <c r="AM2328">
        <v>90.295709816166806</v>
      </c>
      <c r="AN2328">
        <v>1.0000000196776899</v>
      </c>
    </row>
    <row r="2329" spans="1:40" x14ac:dyDescent="0.25">
      <c r="A2329" t="str">
        <f>"20190303162824649"</f>
        <v>20190303162824649</v>
      </c>
      <c r="B2329" t="str">
        <f>"1551601704643418"</f>
        <v>1551601704643418</v>
      </c>
      <c r="C2329" t="s">
        <v>40</v>
      </c>
      <c r="D2329">
        <v>4.4673119999999997</v>
      </c>
      <c r="E2329">
        <v>0.45323940000000001</v>
      </c>
      <c r="F2329" t="s">
        <v>48</v>
      </c>
      <c r="G2329">
        <v>-458.66489999999999</v>
      </c>
      <c r="H2329" s="1">
        <v>3.251993E-6</v>
      </c>
      <c r="I2329">
        <v>280.55020000000002</v>
      </c>
      <c r="J2329">
        <v>-432.73509999999999</v>
      </c>
      <c r="K2329">
        <v>1.1212059999999999</v>
      </c>
      <c r="L2329">
        <v>284.3329</v>
      </c>
      <c r="M2329">
        <v>-0.99980570000000002</v>
      </c>
      <c r="N2329">
        <v>-1.292191E-2</v>
      </c>
      <c r="O2329">
        <v>-1.488565E-2</v>
      </c>
      <c r="P2329">
        <v>-0.98135790000000001</v>
      </c>
      <c r="Q2329">
        <v>0.1908309</v>
      </c>
      <c r="R2329">
        <v>-2.2806710000000001E-2</v>
      </c>
      <c r="S2329">
        <v>-3.0729679999999999</v>
      </c>
      <c r="T2329">
        <v>-0.13102339999999901</v>
      </c>
      <c r="U2329">
        <v>-0.44268800000000003</v>
      </c>
      <c r="V2329">
        <v>-8.1795770000000004E-3</v>
      </c>
      <c r="W2329">
        <v>0.20349919999999999</v>
      </c>
      <c r="X2329">
        <v>0.97904089999999999</v>
      </c>
      <c r="Y2329">
        <v>-0.127694</v>
      </c>
      <c r="Z2329">
        <v>-3.0972700000000001E-3</v>
      </c>
      <c r="AA2329">
        <v>0.99180880000000005</v>
      </c>
      <c r="AB2329">
        <v>36</v>
      </c>
      <c r="AC2329">
        <v>-25.9298</v>
      </c>
      <c r="AD2329">
        <v>-1.1212027480069999</v>
      </c>
      <c r="AE2329">
        <v>-3.78269999999997</v>
      </c>
      <c r="AF2329">
        <v>-3.3900603723427198</v>
      </c>
      <c r="AG2329">
        <v>-1.1212027480069999</v>
      </c>
      <c r="AH2329">
        <v>25.9357578295533</v>
      </c>
      <c r="AI2329">
        <v>92.454502150730406</v>
      </c>
      <c r="AJ2329">
        <v>97.446906925275201</v>
      </c>
      <c r="AK2329">
        <v>26.180396084160002</v>
      </c>
      <c r="AL2329">
        <v>78.258341749686593</v>
      </c>
      <c r="AM2329">
        <v>90.478676975188904</v>
      </c>
      <c r="AN2329">
        <v>0.99999995687667298</v>
      </c>
    </row>
    <row r="2330" spans="1:40" x14ac:dyDescent="0.25">
      <c r="A2330" t="str">
        <f>"20190303162824671"</f>
        <v>20190303162824671</v>
      </c>
      <c r="B2330" t="str">
        <f>"1551601704663914"</f>
        <v>1551601704663914</v>
      </c>
      <c r="C2330" t="s">
        <v>40</v>
      </c>
      <c r="D2330">
        <v>4.4705190000000004</v>
      </c>
      <c r="E2330">
        <v>0.45346750000000002</v>
      </c>
      <c r="F2330" t="s">
        <v>48</v>
      </c>
      <c r="G2330">
        <v>-458.81490000000002</v>
      </c>
      <c r="H2330" s="1">
        <v>3.3345209999999902E-6</v>
      </c>
      <c r="I2330">
        <v>280.48860000000002</v>
      </c>
      <c r="J2330">
        <v>-433.08519999999999</v>
      </c>
      <c r="K2330">
        <v>1.1212040000000001</v>
      </c>
      <c r="L2330">
        <v>284.32769999999999</v>
      </c>
      <c r="M2330">
        <v>-0.99980599999999997</v>
      </c>
      <c r="N2330">
        <v>-1.2923830000000001E-2</v>
      </c>
      <c r="O2330">
        <v>-1.4868360000000001E-2</v>
      </c>
      <c r="P2330">
        <v>-0.98130079999999997</v>
      </c>
      <c r="Q2330">
        <v>0.19071109999999999</v>
      </c>
      <c r="R2330">
        <v>-2.6046969999999999E-2</v>
      </c>
      <c r="S2330">
        <v>-3.072174</v>
      </c>
      <c r="T2330">
        <v>-0.13207629999999901</v>
      </c>
      <c r="U2330">
        <v>-0.45285029999999998</v>
      </c>
      <c r="V2330">
        <v>-1.143651E-2</v>
      </c>
      <c r="W2330">
        <v>0.20338200000000001</v>
      </c>
      <c r="X2330">
        <v>0.97903260000000003</v>
      </c>
      <c r="Y2330">
        <v>-0.13095329999999999</v>
      </c>
      <c r="Z2330">
        <v>-3.205645E-3</v>
      </c>
      <c r="AA2330">
        <v>0.99138340000000003</v>
      </c>
      <c r="AB2330">
        <v>36</v>
      </c>
      <c r="AC2330">
        <v>-25.729700000000001</v>
      </c>
      <c r="AD2330">
        <v>-1.1212006654790001</v>
      </c>
      <c r="AE2330">
        <v>-3.83909999999997</v>
      </c>
      <c r="AF2330">
        <v>-3.4496773255511899</v>
      </c>
      <c r="AG2330">
        <v>-1.1212006654790001</v>
      </c>
      <c r="AH2330">
        <v>25.736135749290199</v>
      </c>
      <c r="AI2330">
        <v>92.472442221430995</v>
      </c>
      <c r="AJ2330">
        <v>97.634433908782796</v>
      </c>
      <c r="AK2330">
        <v>25.990499185059701</v>
      </c>
      <c r="AL2330">
        <v>78.265199946308698</v>
      </c>
      <c r="AM2330">
        <v>90.669266736268995</v>
      </c>
      <c r="AN2330">
        <v>0.99999993177386703</v>
      </c>
    </row>
    <row r="2331" spans="1:40" x14ac:dyDescent="0.25">
      <c r="A2331" t="str">
        <f>"20190303162824693"</f>
        <v>20190303162824693</v>
      </c>
      <c r="B2331" t="str">
        <f>"1551601704683435"</f>
        <v>1551601704683435</v>
      </c>
      <c r="C2331" t="s">
        <v>40</v>
      </c>
      <c r="D2331">
        <v>4.4590420000000002</v>
      </c>
      <c r="E2331">
        <v>0.45373269999999999</v>
      </c>
      <c r="F2331" t="s">
        <v>48</v>
      </c>
      <c r="G2331">
        <v>-458.7552</v>
      </c>
      <c r="H2331" s="1">
        <v>3.3032150000000002E-6</v>
      </c>
      <c r="I2331">
        <v>280.47710000000001</v>
      </c>
      <c r="J2331">
        <v>-433.43740000000003</v>
      </c>
      <c r="K2331">
        <v>1.1212089999999999</v>
      </c>
      <c r="L2331">
        <v>284.32240000000002</v>
      </c>
      <c r="M2331">
        <v>-0.99980630000000004</v>
      </c>
      <c r="N2331">
        <v>-1.292534E-2</v>
      </c>
      <c r="O2331">
        <v>-1.4850479999999999E-2</v>
      </c>
      <c r="P2331">
        <v>-0.98121360000000002</v>
      </c>
      <c r="Q2331">
        <v>0.19074769999999999</v>
      </c>
      <c r="R2331">
        <v>-2.8906189999999998E-2</v>
      </c>
      <c r="S2331">
        <v>-3.0710139999999999</v>
      </c>
      <c r="T2331">
        <v>-0.13413429999999901</v>
      </c>
      <c r="U2331">
        <v>-0.46066279999999998</v>
      </c>
      <c r="V2331">
        <v>-1.4313940000000001E-2</v>
      </c>
      <c r="W2331">
        <v>0.20341989999999999</v>
      </c>
      <c r="X2331">
        <v>0.97898700000000005</v>
      </c>
      <c r="Y2331">
        <v>-0.13348499999999999</v>
      </c>
      <c r="Z2331">
        <v>-3.3119579999999998E-3</v>
      </c>
      <c r="AA2331">
        <v>0.99104530000000002</v>
      </c>
      <c r="AB2331">
        <v>36</v>
      </c>
      <c r="AC2331">
        <v>-25.317799999999899</v>
      </c>
      <c r="AD2331">
        <v>-1.1212056967849999</v>
      </c>
      <c r="AE2331">
        <v>-3.8452999999999999</v>
      </c>
      <c r="AF2331">
        <v>-3.4622260763552899</v>
      </c>
      <c r="AG2331">
        <v>-1.1212056967849999</v>
      </c>
      <c r="AH2331">
        <v>25.323572538767099</v>
      </c>
      <c r="AI2331">
        <v>92.511788786281201</v>
      </c>
      <c r="AJ2331">
        <v>97.785182105955997</v>
      </c>
      <c r="AK2331">
        <v>25.5837338507204</v>
      </c>
      <c r="AL2331">
        <v>78.262983425019698</v>
      </c>
      <c r="AM2331">
        <v>90.837671915657396</v>
      </c>
      <c r="AN2331">
        <v>1.00000004538166</v>
      </c>
    </row>
    <row r="2332" spans="1:40" x14ac:dyDescent="0.25">
      <c r="A2332" t="str">
        <f>"20190303162824716"</f>
        <v>20190303162824716</v>
      </c>
      <c r="B2332" t="str">
        <f>"1551601704703931"</f>
        <v>1551601704703931</v>
      </c>
      <c r="C2332" t="s">
        <v>40</v>
      </c>
      <c r="D2332">
        <v>4.4915079999999996</v>
      </c>
      <c r="E2332">
        <v>0.45400420000000002</v>
      </c>
      <c r="F2332" t="s">
        <v>48</v>
      </c>
      <c r="G2332">
        <v>-459.14</v>
      </c>
      <c r="H2332" s="1">
        <v>3.5107729999999998E-6</v>
      </c>
      <c r="I2332">
        <v>280.41300000000001</v>
      </c>
      <c r="J2332">
        <v>-433.7962</v>
      </c>
      <c r="K2332">
        <v>1.121208</v>
      </c>
      <c r="L2332">
        <v>284.31709999999998</v>
      </c>
      <c r="M2332">
        <v>-0.99980650000000004</v>
      </c>
      <c r="N2332">
        <v>-1.292651E-2</v>
      </c>
      <c r="O2332">
        <v>-1.483201E-2</v>
      </c>
      <c r="P2332">
        <v>-0.98110629999999999</v>
      </c>
      <c r="Q2332">
        <v>0.19092909999999999</v>
      </c>
      <c r="R2332">
        <v>-3.1252380000000003E-2</v>
      </c>
      <c r="S2332">
        <v>-3.0697019999999999</v>
      </c>
      <c r="T2332">
        <v>-0.13390779999999999</v>
      </c>
      <c r="U2332">
        <v>-0.46691890000000003</v>
      </c>
      <c r="V2332">
        <v>-1.6679550000000001E-2</v>
      </c>
      <c r="W2332">
        <v>0.203601</v>
      </c>
      <c r="X2332">
        <v>0.97891189999999995</v>
      </c>
      <c r="Y2332">
        <v>-0.13553770000000001</v>
      </c>
      <c r="Z2332">
        <v>-3.3673800000000001E-3</v>
      </c>
      <c r="AA2332">
        <v>0.99076649999999999</v>
      </c>
      <c r="AB2332">
        <v>36</v>
      </c>
      <c r="AC2332">
        <v>-25.343799999999899</v>
      </c>
      <c r="AD2332">
        <v>-1.1212044892269999</v>
      </c>
      <c r="AE2332">
        <v>-3.9040999999999699</v>
      </c>
      <c r="AF2332">
        <v>-3.5210081575141201</v>
      </c>
      <c r="AG2332">
        <v>-1.1212044892269999</v>
      </c>
      <c r="AH2332">
        <v>25.350457380424999</v>
      </c>
      <c r="AI2332">
        <v>92.508389096757</v>
      </c>
      <c r="AJ2332">
        <v>97.907409494627103</v>
      </c>
      <c r="AK2332">
        <v>25.618358404641999</v>
      </c>
      <c r="AL2332">
        <v>78.252385323046497</v>
      </c>
      <c r="AM2332">
        <v>90.976160726177795</v>
      </c>
      <c r="AN2332">
        <v>1.0000000412754</v>
      </c>
    </row>
    <row r="2333" spans="1:40" x14ac:dyDescent="0.25">
      <c r="A2333" t="str">
        <f>"20190303162824739"</f>
        <v>20190303162824739</v>
      </c>
      <c r="B2333" t="str">
        <f>"1551601704734188"</f>
        <v>1551601704734188</v>
      </c>
      <c r="C2333" t="s">
        <v>40</v>
      </c>
      <c r="D2333">
        <v>4.5906469999999997</v>
      </c>
      <c r="E2333">
        <v>0.45425409999999999</v>
      </c>
      <c r="F2333" t="s">
        <v>48</v>
      </c>
      <c r="G2333">
        <v>-459.4742</v>
      </c>
      <c r="H2333" s="1">
        <v>3.6904790000000001E-6</v>
      </c>
      <c r="I2333">
        <v>280.37169999999998</v>
      </c>
      <c r="J2333">
        <v>-434.1592</v>
      </c>
      <c r="K2333">
        <v>1.1212120000000001</v>
      </c>
      <c r="L2333">
        <v>284.31169999999997</v>
      </c>
      <c r="M2333">
        <v>-0.9998068</v>
      </c>
      <c r="N2333">
        <v>-1.2927350000000001E-2</v>
      </c>
      <c r="O2333">
        <v>-1.481413E-2</v>
      </c>
      <c r="P2333">
        <v>-0.98093710000000001</v>
      </c>
      <c r="Q2333">
        <v>0.19144240000000001</v>
      </c>
      <c r="R2333">
        <v>-3.3353239999999999E-2</v>
      </c>
      <c r="S2333">
        <v>-3.068848</v>
      </c>
      <c r="T2333">
        <v>-0.1339979</v>
      </c>
      <c r="U2333">
        <v>-0.47152709999999998</v>
      </c>
      <c r="V2333">
        <v>-1.8800379999999998E-2</v>
      </c>
      <c r="W2333">
        <v>0.20411360000000001</v>
      </c>
      <c r="X2333">
        <v>0.97876669999999999</v>
      </c>
      <c r="Y2333">
        <v>-0.137048</v>
      </c>
      <c r="Z2333">
        <v>-3.4125819999999999E-3</v>
      </c>
      <c r="AA2333">
        <v>0.99055859999999996</v>
      </c>
      <c r="AB2333">
        <v>36</v>
      </c>
      <c r="AC2333">
        <v>-25.315000000000001</v>
      </c>
      <c r="AD2333">
        <v>-1.1212083095209999</v>
      </c>
      <c r="AE2333">
        <v>-3.9399999999999902</v>
      </c>
      <c r="AF2333">
        <v>-3.5577027338345899</v>
      </c>
      <c r="AG2333">
        <v>-1.1212083095209999</v>
      </c>
      <c r="AH2333">
        <v>25.322096372170702</v>
      </c>
      <c r="AI2333">
        <v>92.5106520855567</v>
      </c>
      <c r="AJ2333">
        <v>97.997590695905402</v>
      </c>
      <c r="AK2333">
        <v>25.595369141646898</v>
      </c>
      <c r="AL2333">
        <v>78.222385449296993</v>
      </c>
      <c r="AM2333">
        <v>91.100415429772895</v>
      </c>
      <c r="AN2333">
        <v>1.0000000345109901</v>
      </c>
    </row>
    <row r="2334" spans="1:40" x14ac:dyDescent="0.25">
      <c r="A2334" t="str">
        <f>"20190303162824761"</f>
        <v>20190303162824761</v>
      </c>
      <c r="B2334" t="str">
        <f>"1551601704753707"</f>
        <v>1551601704753707</v>
      </c>
      <c r="C2334" t="s">
        <v>40</v>
      </c>
      <c r="D2334">
        <v>4.5561259999999999</v>
      </c>
      <c r="E2334">
        <v>0.45454040000000001</v>
      </c>
      <c r="F2334" t="s">
        <v>48</v>
      </c>
      <c r="G2334">
        <v>-459.99450000000002</v>
      </c>
      <c r="H2334" s="1">
        <v>-1.351097E-6</v>
      </c>
      <c r="I2334">
        <v>280.30130000000003</v>
      </c>
      <c r="J2334">
        <v>-434.5206</v>
      </c>
      <c r="K2334">
        <v>1.121213</v>
      </c>
      <c r="L2334">
        <v>284.30630000000002</v>
      </c>
      <c r="M2334">
        <v>-0.999807</v>
      </c>
      <c r="N2334">
        <v>-1.2927849999999999E-2</v>
      </c>
      <c r="O2334">
        <v>-1.4796129999999999E-2</v>
      </c>
      <c r="P2334">
        <v>-0.98084990000000005</v>
      </c>
      <c r="Q2334">
        <v>0.1915105</v>
      </c>
      <c r="R2334">
        <v>-3.5460770000000003E-2</v>
      </c>
      <c r="S2334">
        <v>-3.0680540000000001</v>
      </c>
      <c r="T2334">
        <v>-0.13314879999999901</v>
      </c>
      <c r="U2334">
        <v>-0.47625729999999999</v>
      </c>
      <c r="V2334">
        <v>-2.092637E-2</v>
      </c>
      <c r="W2334">
        <v>0.20418220000000001</v>
      </c>
      <c r="X2334">
        <v>0.97870919999999895</v>
      </c>
      <c r="Y2334">
        <v>-0.13859560000000001</v>
      </c>
      <c r="Z2334">
        <v>-3.4422490000000001E-3</v>
      </c>
      <c r="AA2334">
        <v>0.99034310000000003</v>
      </c>
      <c r="AB2334">
        <v>36</v>
      </c>
      <c r="AC2334">
        <v>-25.4739</v>
      </c>
      <c r="AD2334">
        <v>-1.1212143510969901</v>
      </c>
      <c r="AE2334">
        <v>-4.0049999999999901</v>
      </c>
      <c r="AF2334">
        <v>-3.6207697356166202</v>
      </c>
      <c r="AG2334">
        <v>-1.1212143510969901</v>
      </c>
      <c r="AH2334">
        <v>25.4821996972926</v>
      </c>
      <c r="AI2334">
        <v>92.494361676933096</v>
      </c>
      <c r="AJ2334">
        <v>98.087031541655804</v>
      </c>
      <c r="AK2334">
        <v>25.762561916707</v>
      </c>
      <c r="AL2334">
        <v>78.218369881860696</v>
      </c>
      <c r="AM2334">
        <v>91.224888880156897</v>
      </c>
      <c r="AN2334">
        <v>0.999999990961428</v>
      </c>
    </row>
    <row r="2335" spans="1:40" x14ac:dyDescent="0.25">
      <c r="A2335" t="str">
        <f>"20190303162824783"</f>
        <v>20190303162824783</v>
      </c>
      <c r="B2335" t="str">
        <f>"1551601704774204"</f>
        <v>1551601704774204</v>
      </c>
      <c r="C2335" t="s">
        <v>40</v>
      </c>
      <c r="D2335">
        <v>4.6342540000000003</v>
      </c>
      <c r="E2335">
        <v>0.45469910000000002</v>
      </c>
      <c r="F2335" t="s">
        <v>48</v>
      </c>
      <c r="G2335">
        <v>-460.1653</v>
      </c>
      <c r="H2335" s="1">
        <v>-1.259738E-6</v>
      </c>
      <c r="I2335">
        <v>280.29039999999998</v>
      </c>
      <c r="J2335">
        <v>-434.8689</v>
      </c>
      <c r="K2335">
        <v>1.1212029999999999</v>
      </c>
      <c r="L2335">
        <v>284.30119999999999</v>
      </c>
      <c r="M2335">
        <v>-0.99980720000000001</v>
      </c>
      <c r="N2335">
        <v>-1.292807E-2</v>
      </c>
      <c r="O2335">
        <v>-1.47774E-2</v>
      </c>
      <c r="P2335">
        <v>-0.98087340000000001</v>
      </c>
      <c r="Q2335">
        <v>0.19106860000000001</v>
      </c>
      <c r="R2335">
        <v>-3.7153720000000001E-2</v>
      </c>
      <c r="S2335">
        <v>-3.067383</v>
      </c>
      <c r="T2335">
        <v>-0.13410910000000001</v>
      </c>
      <c r="U2335">
        <v>-0.48034670000000002</v>
      </c>
      <c r="V2335">
        <v>-2.2636529999999998E-2</v>
      </c>
      <c r="W2335">
        <v>0.20374110000000001</v>
      </c>
      <c r="X2335">
        <v>0.9787631</v>
      </c>
      <c r="Y2335">
        <v>-0.1399321</v>
      </c>
      <c r="Z2335">
        <v>-3.497853E-3</v>
      </c>
      <c r="AA2335">
        <v>0.99015489999999995</v>
      </c>
      <c r="AB2335">
        <v>36</v>
      </c>
      <c r="AC2335">
        <v>-25.296399999999998</v>
      </c>
      <c r="AD2335">
        <v>-1.1212042597380001</v>
      </c>
      <c r="AE2335">
        <v>-4.0108000000000104</v>
      </c>
      <c r="AF2335">
        <v>-3.62956028562754</v>
      </c>
      <c r="AG2335">
        <v>-1.1212042597380001</v>
      </c>
      <c r="AH2335">
        <v>25.304420016298199</v>
      </c>
      <c r="AI2335">
        <v>92.511368947159099</v>
      </c>
      <c r="AJ2335">
        <v>98.162592474400995</v>
      </c>
      <c r="AK2335">
        <v>25.587975285674599</v>
      </c>
      <c r="AL2335">
        <v>78.244186159875298</v>
      </c>
      <c r="AM2335">
        <v>91.3248828640874</v>
      </c>
      <c r="AN2335">
        <v>1.00000002712063</v>
      </c>
    </row>
    <row r="2336" spans="1:40" x14ac:dyDescent="0.25">
      <c r="A2336" t="str">
        <f>"20190303162824805"</f>
        <v>20190303162824805</v>
      </c>
      <c r="B2336" t="str">
        <f>"1551601704793723"</f>
        <v>1551601704793723</v>
      </c>
      <c r="C2336" t="s">
        <v>40</v>
      </c>
      <c r="D2336">
        <v>4.632422</v>
      </c>
      <c r="E2336">
        <v>0.4548721</v>
      </c>
      <c r="F2336" t="s">
        <v>48</v>
      </c>
      <c r="G2336">
        <v>-459.83229999999998</v>
      </c>
      <c r="H2336" s="1">
        <v>3.8814809999999997E-6</v>
      </c>
      <c r="I2336">
        <v>280.3614</v>
      </c>
      <c r="J2336">
        <v>-435.21640000000002</v>
      </c>
      <c r="K2336">
        <v>1.1211930000000001</v>
      </c>
      <c r="L2336">
        <v>284.29610000000002</v>
      </c>
      <c r="M2336">
        <v>-0.99980769999999997</v>
      </c>
      <c r="N2336">
        <v>-1.292808E-2</v>
      </c>
      <c r="O2336">
        <v>-1.4751719999999999E-2</v>
      </c>
      <c r="P2336">
        <v>-0.98081090000000004</v>
      </c>
      <c r="Q2336">
        <v>0.19098950000000001</v>
      </c>
      <c r="R2336">
        <v>-3.9158810000000002E-2</v>
      </c>
      <c r="S2336">
        <v>-3.0669559999999998</v>
      </c>
      <c r="T2336">
        <v>-0.13774800000000001</v>
      </c>
      <c r="U2336">
        <v>-0.48403930000000001</v>
      </c>
      <c r="V2336">
        <v>-2.466614E-2</v>
      </c>
      <c r="W2336">
        <v>0.20366219999999999</v>
      </c>
      <c r="X2336">
        <v>0.9787304</v>
      </c>
      <c r="Y2336">
        <v>-0.1411327</v>
      </c>
      <c r="Z2336">
        <v>-3.5984509999999999E-3</v>
      </c>
      <c r="AA2336">
        <v>0.98998419999999998</v>
      </c>
      <c r="AB2336">
        <v>36</v>
      </c>
      <c r="AC2336">
        <v>-24.6158999999999</v>
      </c>
      <c r="AD2336">
        <v>-1.1211891185189999</v>
      </c>
      <c r="AE2336">
        <v>-3.9347000000000198</v>
      </c>
      <c r="AF2336">
        <v>-3.5639052621548299</v>
      </c>
      <c r="AG2336">
        <v>-1.1211891185189999</v>
      </c>
      <c r="AH2336">
        <v>24.62146328395</v>
      </c>
      <c r="AI2336">
        <v>92.580424904588398</v>
      </c>
      <c r="AJ2336">
        <v>98.236240251325498</v>
      </c>
      <c r="AK2336">
        <v>24.903311827947601</v>
      </c>
      <c r="AL2336">
        <v>78.248802727694795</v>
      </c>
      <c r="AM2336">
        <v>91.443672967548196</v>
      </c>
      <c r="AN2336">
        <v>0.99999995302774802</v>
      </c>
    </row>
    <row r="2337" spans="1:40" x14ac:dyDescent="0.25">
      <c r="A2337" t="str">
        <f>"20190303162824828"</f>
        <v>20190303162824828</v>
      </c>
      <c r="B2337" t="str">
        <f>"1551601704814219"</f>
        <v>1551601704814219</v>
      </c>
      <c r="C2337" t="s">
        <v>40</v>
      </c>
      <c r="D2337">
        <v>4.7386299999999997</v>
      </c>
      <c r="E2337">
        <v>0.45497700000000002</v>
      </c>
      <c r="F2337" t="s">
        <v>48</v>
      </c>
      <c r="G2337">
        <v>-459.64229999999998</v>
      </c>
      <c r="H2337" s="1">
        <v>3.778341E-6</v>
      </c>
      <c r="I2337">
        <v>280.40710000000001</v>
      </c>
      <c r="J2337">
        <v>-435.58319999999998</v>
      </c>
      <c r="K2337">
        <v>1.1211960000000001</v>
      </c>
      <c r="L2337">
        <v>284.29070000000002</v>
      </c>
      <c r="M2337">
        <v>-0.99980809999999998</v>
      </c>
      <c r="N2337">
        <v>-1.2927930000000001E-2</v>
      </c>
      <c r="O2337">
        <v>-1.4716689999999999E-2</v>
      </c>
      <c r="P2337">
        <v>-0.98083279999999995</v>
      </c>
      <c r="Q2337">
        <v>0.19059419999999999</v>
      </c>
      <c r="R2337">
        <v>-4.050542E-2</v>
      </c>
      <c r="S2337">
        <v>-3.0666199999999999</v>
      </c>
      <c r="T2337">
        <v>-0.1407629</v>
      </c>
      <c r="U2337">
        <v>-0.48825069999999998</v>
      </c>
      <c r="V2337">
        <v>-2.6043190000000001E-2</v>
      </c>
      <c r="W2337">
        <v>0.20326810000000001</v>
      </c>
      <c r="X2337">
        <v>0.97877670000000006</v>
      </c>
      <c r="Y2337">
        <v>-0.14250179999999901</v>
      </c>
      <c r="Z2337">
        <v>-3.6942580000000002E-3</v>
      </c>
      <c r="AA2337">
        <v>0.98978759999999999</v>
      </c>
      <c r="AB2337">
        <v>36</v>
      </c>
      <c r="AC2337">
        <v>-24.059100000000001</v>
      </c>
      <c r="AD2337">
        <v>-1.12119222165899</v>
      </c>
      <c r="AE2337">
        <v>-3.8835999999999999</v>
      </c>
      <c r="AF2337">
        <v>-3.5216257060448499</v>
      </c>
      <c r="AG2337">
        <v>-1.12119222165899</v>
      </c>
      <c r="AH2337">
        <v>24.062722408187302</v>
      </c>
      <c r="AI2337">
        <v>92.639663621590401</v>
      </c>
      <c r="AJ2337">
        <v>98.326237075407903</v>
      </c>
      <c r="AK2337">
        <v>24.3448871286121</v>
      </c>
      <c r="AL2337">
        <v>78.271865955661099</v>
      </c>
      <c r="AM2337">
        <v>91.524160598126002</v>
      </c>
      <c r="AN2337">
        <v>0.99999999834293796</v>
      </c>
    </row>
    <row r="2338" spans="1:40" x14ac:dyDescent="0.25">
      <c r="A2338" t="str">
        <f>"20190303162824850"</f>
        <v>20190303162824850</v>
      </c>
      <c r="B2338" t="str">
        <f>"1551601704843499"</f>
        <v>1551601704843499</v>
      </c>
      <c r="C2338" t="s">
        <v>40</v>
      </c>
      <c r="D2338">
        <v>4.6486090000000004</v>
      </c>
      <c r="E2338">
        <v>0.4561962</v>
      </c>
      <c r="F2338" t="s">
        <v>48</v>
      </c>
      <c r="G2338">
        <v>-459.58240000000001</v>
      </c>
      <c r="H2338" s="1">
        <v>3.7446320000000001E-6</v>
      </c>
      <c r="I2338">
        <v>280.44889999999998</v>
      </c>
      <c r="J2338">
        <v>-435.92939999999999</v>
      </c>
      <c r="K2338">
        <v>1.1211789999999999</v>
      </c>
      <c r="L2338">
        <v>284.28559999999999</v>
      </c>
      <c r="M2338">
        <v>-0.99980880000000005</v>
      </c>
      <c r="N2338">
        <v>-1.2927620000000001E-2</v>
      </c>
      <c r="O2338">
        <v>-1.4670280000000001E-2</v>
      </c>
      <c r="P2338">
        <v>-0.98078480000000001</v>
      </c>
      <c r="Q2338">
        <v>0.19045300000000001</v>
      </c>
      <c r="R2338">
        <v>-4.2295329999999999E-2</v>
      </c>
      <c r="S2338">
        <v>-3.0662229999999999</v>
      </c>
      <c r="T2338">
        <v>-0.14324770000000001</v>
      </c>
      <c r="U2338">
        <v>-0.49084470000000002</v>
      </c>
      <c r="V2338">
        <v>-2.787444E-2</v>
      </c>
      <c r="W2338">
        <v>0.20312669999999999</v>
      </c>
      <c r="X2338">
        <v>0.97875570000000001</v>
      </c>
      <c r="Y2338">
        <v>-0.14337720000000001</v>
      </c>
      <c r="Z2338">
        <v>-3.7674779999999999E-3</v>
      </c>
      <c r="AA2338">
        <v>0.98966089999999995</v>
      </c>
      <c r="AB2338">
        <v>36</v>
      </c>
      <c r="AC2338">
        <v>-23.652999999999999</v>
      </c>
      <c r="AD2338">
        <v>-1.1211752553679999</v>
      </c>
      <c r="AE2338">
        <v>-3.8367</v>
      </c>
      <c r="AF2338">
        <v>-3.4816397302645501</v>
      </c>
      <c r="AG2338">
        <v>-1.1211752553679999</v>
      </c>
      <c r="AH2338">
        <v>23.654957717669401</v>
      </c>
      <c r="AI2338">
        <v>92.684738959730396</v>
      </c>
      <c r="AJ2338">
        <v>98.372926252857397</v>
      </c>
      <c r="AK2338">
        <v>23.9360789142527</v>
      </c>
      <c r="AL2338">
        <v>78.280141174038604</v>
      </c>
      <c r="AM2338">
        <v>91.631312277055301</v>
      </c>
      <c r="AN2338">
        <v>1.0000000804703399</v>
      </c>
    </row>
    <row r="2339" spans="1:40" x14ac:dyDescent="0.25">
      <c r="A2339" t="str">
        <f>"20190303162824871"</f>
        <v>20190303162824871</v>
      </c>
      <c r="B2339" t="str">
        <f>"1551601704863995"</f>
        <v>1551601704863995</v>
      </c>
      <c r="C2339" t="s">
        <v>40</v>
      </c>
      <c r="D2339">
        <v>4.686426</v>
      </c>
      <c r="E2339">
        <v>0.45701049999999899</v>
      </c>
      <c r="F2339" t="s">
        <v>48</v>
      </c>
      <c r="G2339">
        <v>-459.79410000000001</v>
      </c>
      <c r="H2339" s="1">
        <v>3.8548669999999999E-6</v>
      </c>
      <c r="I2339">
        <v>280.50450000000001</v>
      </c>
      <c r="J2339">
        <v>-436.27789999999999</v>
      </c>
      <c r="K2339">
        <v>1.121162</v>
      </c>
      <c r="L2339">
        <v>284.28059999999999</v>
      </c>
      <c r="M2339">
        <v>-0.99980990000000003</v>
      </c>
      <c r="N2339">
        <v>-1.292722E-2</v>
      </c>
      <c r="O2339">
        <v>-1.4600760000000001E-2</v>
      </c>
      <c r="P2339">
        <v>-0.980846</v>
      </c>
      <c r="Q2339">
        <v>0.18990660000000001</v>
      </c>
      <c r="R2339">
        <v>-4.3318950000000002E-2</v>
      </c>
      <c r="S2339">
        <v>-3.0657649999999999</v>
      </c>
      <c r="T2339">
        <v>-0.1440312</v>
      </c>
      <c r="U2339">
        <v>-0.48574830000000002</v>
      </c>
      <c r="V2339">
        <v>-2.895679E-2</v>
      </c>
      <c r="W2339">
        <v>0.20258219999999999</v>
      </c>
      <c r="X2339">
        <v>0.97883699999999996</v>
      </c>
      <c r="Y2339">
        <v>-0.14186460000000001</v>
      </c>
      <c r="Z2339">
        <v>-3.739755E-3</v>
      </c>
      <c r="AA2339">
        <v>0.98987899999999995</v>
      </c>
      <c r="AB2339">
        <v>36</v>
      </c>
      <c r="AC2339">
        <v>-23.516200000000001</v>
      </c>
      <c r="AD2339">
        <v>-1.1211581451329999</v>
      </c>
      <c r="AE2339">
        <v>-3.77609999999998</v>
      </c>
      <c r="AF2339">
        <v>-3.42472561698838</v>
      </c>
      <c r="AG2339">
        <v>-1.1211581451329999</v>
      </c>
      <c r="AH2339">
        <v>23.516721461699401</v>
      </c>
      <c r="AI2339">
        <v>92.701057034515898</v>
      </c>
      <c r="AJ2339">
        <v>98.285702440821098</v>
      </c>
      <c r="AK2339">
        <v>23.7912153839439</v>
      </c>
      <c r="AL2339">
        <v>78.311999675706801</v>
      </c>
      <c r="AM2339">
        <v>91.694478369998905</v>
      </c>
      <c r="AN2339">
        <v>0.99999995800647101</v>
      </c>
    </row>
    <row r="2340" spans="1:40" x14ac:dyDescent="0.25">
      <c r="A2340" t="str">
        <f>"20190303162824894"</f>
        <v>20190303162824894</v>
      </c>
      <c r="B2340" t="str">
        <f>"1551601704883514"</f>
        <v>1551601704883514</v>
      </c>
      <c r="C2340" t="s">
        <v>40</v>
      </c>
      <c r="D2340">
        <v>4.6726779999999897</v>
      </c>
      <c r="E2340">
        <v>0.45783410000000002</v>
      </c>
      <c r="F2340" t="s">
        <v>48</v>
      </c>
      <c r="G2340">
        <v>-460.0378</v>
      </c>
      <c r="H2340" s="1">
        <v>-1.3388490000000001E-6</v>
      </c>
      <c r="I2340">
        <v>280.54880000000003</v>
      </c>
      <c r="J2340">
        <v>-436.63130000000001</v>
      </c>
      <c r="K2340">
        <v>1.1211409999999999</v>
      </c>
      <c r="L2340">
        <v>284.27550000000002</v>
      </c>
      <c r="M2340">
        <v>-0.99981149999999996</v>
      </c>
      <c r="N2340">
        <v>-1.2926730000000001E-2</v>
      </c>
      <c r="O2340">
        <v>-1.4494780000000001E-2</v>
      </c>
      <c r="P2340">
        <v>-0.98090310000000003</v>
      </c>
      <c r="Q2340">
        <v>0.1893591</v>
      </c>
      <c r="R2340">
        <v>-4.4411829999999999E-2</v>
      </c>
      <c r="S2340">
        <v>-3.0653380000000001</v>
      </c>
      <c r="T2340">
        <v>-0.14464449999999901</v>
      </c>
      <c r="U2340">
        <v>-0.48144530000000002</v>
      </c>
      <c r="V2340">
        <v>-3.0141560000000001E-2</v>
      </c>
      <c r="W2340">
        <v>0.20203679999999999</v>
      </c>
      <c r="X2340">
        <v>0.97891399999999995</v>
      </c>
      <c r="Y2340">
        <v>-0.14063519999999999</v>
      </c>
      <c r="Z2340">
        <v>-3.718257E-3</v>
      </c>
      <c r="AA2340">
        <v>0.99005449999999995</v>
      </c>
      <c r="AB2340">
        <v>36</v>
      </c>
      <c r="AC2340">
        <v>-23.406499999999902</v>
      </c>
      <c r="AD2340">
        <v>-1.1211423388490001</v>
      </c>
      <c r="AE2340">
        <v>-3.7266999999999899</v>
      </c>
      <c r="AF2340">
        <v>-3.3794463039059801</v>
      </c>
      <c r="AG2340">
        <v>-1.1211423388490001</v>
      </c>
      <c r="AH2340">
        <v>23.405690975360599</v>
      </c>
      <c r="AI2340">
        <v>92.7142915069292</v>
      </c>
      <c r="AJ2340">
        <v>98.215910352266903</v>
      </c>
      <c r="AK2340">
        <v>23.674965417060701</v>
      </c>
      <c r="AL2340">
        <v>78.343909126200302</v>
      </c>
      <c r="AM2340">
        <v>91.763626545763302</v>
      </c>
      <c r="AN2340">
        <v>1.0000000007947301</v>
      </c>
    </row>
    <row r="2341" spans="1:40" x14ac:dyDescent="0.25">
      <c r="A2341" t="str">
        <f>"20190303162824917"</f>
        <v>20190303162824917</v>
      </c>
      <c r="B2341" t="str">
        <f>"1551601704904011"</f>
        <v>1551601704904011</v>
      </c>
      <c r="C2341" t="s">
        <v>40</v>
      </c>
      <c r="D2341">
        <v>4.7082480000000002</v>
      </c>
      <c r="E2341">
        <v>0.45850879999999999</v>
      </c>
      <c r="F2341" t="s">
        <v>48</v>
      </c>
      <c r="G2341">
        <v>-459.90679999999998</v>
      </c>
      <c r="H2341" s="1">
        <v>3.9084660000000003E-6</v>
      </c>
      <c r="I2341">
        <v>280.65010000000001</v>
      </c>
      <c r="J2341">
        <v>-436.99079999999998</v>
      </c>
      <c r="K2341">
        <v>1.1211059999999999</v>
      </c>
      <c r="L2341">
        <v>284.2704</v>
      </c>
      <c r="M2341">
        <v>-0.99981370000000003</v>
      </c>
      <c r="N2341">
        <v>-1.2926160000000001E-2</v>
      </c>
      <c r="O2341">
        <v>-1.4341090000000001E-2</v>
      </c>
      <c r="P2341">
        <v>-0.98100759999999998</v>
      </c>
      <c r="Q2341">
        <v>0.1886466</v>
      </c>
      <c r="R2341">
        <v>-4.5130549999999998E-2</v>
      </c>
      <c r="S2341">
        <v>-3.065277</v>
      </c>
      <c r="T2341">
        <v>-0.1476488</v>
      </c>
      <c r="U2341">
        <v>-0.47744750000000002</v>
      </c>
      <c r="V2341">
        <v>-3.0993380000000001E-2</v>
      </c>
      <c r="W2341">
        <v>0.2013278</v>
      </c>
      <c r="X2341">
        <v>0.9790335</v>
      </c>
      <c r="Y2341">
        <v>-0.1395245</v>
      </c>
      <c r="Z2341">
        <v>-3.7443400000000001E-3</v>
      </c>
      <c r="AA2341">
        <v>0.99021150000000002</v>
      </c>
      <c r="AB2341">
        <v>36</v>
      </c>
      <c r="AC2341">
        <v>-22.916</v>
      </c>
      <c r="AD2341">
        <v>-1.121102091534</v>
      </c>
      <c r="AE2341">
        <v>-3.6202999999999799</v>
      </c>
      <c r="AF2341">
        <v>-3.2835922484371798</v>
      </c>
      <c r="AG2341">
        <v>-1.121102091534</v>
      </c>
      <c r="AH2341">
        <v>22.9120642386527</v>
      </c>
      <c r="AI2341">
        <v>92.772998217463297</v>
      </c>
      <c r="AJ2341">
        <v>98.155686220171901</v>
      </c>
      <c r="AK2341">
        <v>23.173293586147601</v>
      </c>
      <c r="AL2341">
        <v>78.385384488260101</v>
      </c>
      <c r="AM2341">
        <v>91.813213753120706</v>
      </c>
      <c r="AN2341">
        <v>1.0000000333894501</v>
      </c>
    </row>
    <row r="2342" spans="1:40" x14ac:dyDescent="0.25">
      <c r="A2342" t="str">
        <f>"20190303162824940"</f>
        <v>20190303162824940</v>
      </c>
      <c r="B2342" t="str">
        <f>"1551601704933290"</f>
        <v>1551601704933290</v>
      </c>
      <c r="C2342" t="s">
        <v>40</v>
      </c>
      <c r="D2342">
        <v>4.7097949999999997</v>
      </c>
      <c r="E2342">
        <v>0.45934979999999997</v>
      </c>
      <c r="F2342" t="s">
        <v>48</v>
      </c>
      <c r="G2342">
        <v>-459.75189999999998</v>
      </c>
      <c r="H2342" s="1">
        <v>3.8216220000000002E-6</v>
      </c>
      <c r="I2342">
        <v>280.75170000000003</v>
      </c>
      <c r="J2342">
        <v>-437.35359999999997</v>
      </c>
      <c r="K2342">
        <v>1.1210610000000001</v>
      </c>
      <c r="L2342">
        <v>284.2654</v>
      </c>
      <c r="M2342">
        <v>-0.9998167</v>
      </c>
      <c r="N2342">
        <v>-1.2925519999999999E-2</v>
      </c>
      <c r="O2342">
        <v>-1.413183E-2</v>
      </c>
      <c r="P2342">
        <v>-0.98097710000000005</v>
      </c>
      <c r="Q2342">
        <v>0.18862760000000001</v>
      </c>
      <c r="R2342">
        <v>-4.5865019999999999E-2</v>
      </c>
      <c r="S2342">
        <v>-3.0653079999999999</v>
      </c>
      <c r="T2342">
        <v>-0.15098249999999999</v>
      </c>
      <c r="U2342">
        <v>-0.47387699999999999</v>
      </c>
      <c r="V2342">
        <v>-3.1913150000000001E-2</v>
      </c>
      <c r="W2342">
        <v>0.20131189999999999</v>
      </c>
      <c r="X2342">
        <v>0.97900719999999997</v>
      </c>
      <c r="Y2342">
        <v>-0.13859749999999901</v>
      </c>
      <c r="Z2342">
        <v>-3.7831010000000001E-3</v>
      </c>
      <c r="AA2342">
        <v>0.99034149999999999</v>
      </c>
      <c r="AB2342">
        <v>35</v>
      </c>
      <c r="AC2342">
        <v>-22.398299999999999</v>
      </c>
      <c r="AD2342">
        <v>-1.1210571783779999</v>
      </c>
      <c r="AE2342">
        <v>-3.5136999999999698</v>
      </c>
      <c r="AF2342">
        <v>-3.1889968006298401</v>
      </c>
      <c r="AG2342">
        <v>-1.1210571783779999</v>
      </c>
      <c r="AH2342">
        <v>22.390977642461099</v>
      </c>
      <c r="AI2342">
        <v>92.837666954660705</v>
      </c>
      <c r="AJ2342">
        <v>98.105740343957507</v>
      </c>
      <c r="AK2342">
        <v>22.6446980456091</v>
      </c>
      <c r="AL2342">
        <v>78.386314304229302</v>
      </c>
      <c r="AM2342">
        <v>91.867035882030507</v>
      </c>
      <c r="AN2342">
        <v>1.0000000139381799</v>
      </c>
    </row>
    <row r="2343" spans="1:40" x14ac:dyDescent="0.25">
      <c r="A2343" t="str">
        <f>"20190303162824962"</f>
        <v>20190303162824962</v>
      </c>
      <c r="B2343" t="str">
        <f>"1551601704953787"</f>
        <v>1551601704953787</v>
      </c>
      <c r="C2343" t="s">
        <v>40</v>
      </c>
      <c r="D2343">
        <v>4.7081109999999997</v>
      </c>
      <c r="E2343">
        <v>0.45988440000000003</v>
      </c>
      <c r="F2343" t="s">
        <v>48</v>
      </c>
      <c r="G2343">
        <v>-459.92090000000002</v>
      </c>
      <c r="H2343" s="1">
        <v>3.9088730000000003E-6</v>
      </c>
      <c r="I2343">
        <v>280.81330000000003</v>
      </c>
      <c r="J2343">
        <v>-437.70589999999999</v>
      </c>
      <c r="K2343">
        <v>1.12101299999999</v>
      </c>
      <c r="L2343">
        <v>284.26069999999999</v>
      </c>
      <c r="M2343">
        <v>-0.99982020000000005</v>
      </c>
      <c r="N2343">
        <v>-1.292487E-2</v>
      </c>
      <c r="O2343">
        <v>-1.3869319999999999E-2</v>
      </c>
      <c r="P2343">
        <v>-0.98089349999999997</v>
      </c>
      <c r="Q2343">
        <v>0.18882699999999999</v>
      </c>
      <c r="R2343">
        <v>-4.6820630000000002E-2</v>
      </c>
      <c r="S2343">
        <v>-3.0655209999999999</v>
      </c>
      <c r="T2343">
        <v>-0.152283</v>
      </c>
      <c r="U2343">
        <v>-0.46893309999999999</v>
      </c>
      <c r="V2343">
        <v>-3.3104000000000001E-2</v>
      </c>
      <c r="W2343">
        <v>0.20151369999999999</v>
      </c>
      <c r="X2343">
        <v>0.97892610000000002</v>
      </c>
      <c r="Y2343">
        <v>-0.1372855</v>
      </c>
      <c r="Z2343">
        <v>-3.7749979999999999E-3</v>
      </c>
      <c r="AA2343">
        <v>0.99052439999999997</v>
      </c>
      <c r="AB2343">
        <v>35</v>
      </c>
      <c r="AC2343">
        <v>-22.215</v>
      </c>
      <c r="AD2343">
        <v>-1.1210090911270001</v>
      </c>
      <c r="AE2343">
        <v>-3.4473999999999498</v>
      </c>
      <c r="AF2343">
        <v>-3.1311500058281601</v>
      </c>
      <c r="AG2343">
        <v>-1.1210090911270001</v>
      </c>
      <c r="AH2343">
        <v>22.205465808515601</v>
      </c>
      <c r="AI2343">
        <v>92.861773664176198</v>
      </c>
      <c r="AJ2343">
        <v>98.026250720019107</v>
      </c>
      <c r="AK2343">
        <v>22.453139502406898</v>
      </c>
      <c r="AL2343">
        <v>78.374509678763204</v>
      </c>
      <c r="AM2343">
        <v>91.936813180158495</v>
      </c>
      <c r="AN2343">
        <v>0.99999997768244897</v>
      </c>
    </row>
    <row r="2344" spans="1:40" x14ac:dyDescent="0.25">
      <c r="A2344" t="str">
        <f>"20190303162824985"</f>
        <v>20190303162824985</v>
      </c>
      <c r="B2344" t="str">
        <f>"1551601704974283"</f>
        <v>1551601704974283</v>
      </c>
      <c r="C2344" t="s">
        <v>40</v>
      </c>
      <c r="D2344">
        <v>4.6897129999999896</v>
      </c>
      <c r="E2344">
        <v>0.46048699999999998</v>
      </c>
      <c r="F2344" t="s">
        <v>48</v>
      </c>
      <c r="G2344">
        <v>-460.2244</v>
      </c>
      <c r="H2344" s="1">
        <v>-1.25183E-6</v>
      </c>
      <c r="I2344">
        <v>280.8295</v>
      </c>
      <c r="J2344">
        <v>-438.06709999999998</v>
      </c>
      <c r="K2344">
        <v>1.120962</v>
      </c>
      <c r="L2344">
        <v>284.25599999999997</v>
      </c>
      <c r="M2344">
        <v>-0.99982510000000002</v>
      </c>
      <c r="N2344">
        <v>-1.291963E-2</v>
      </c>
      <c r="O2344">
        <v>-1.3528719999999999E-2</v>
      </c>
      <c r="P2344">
        <v>-0.98077939999999997</v>
      </c>
      <c r="Q2344">
        <v>0.1893136</v>
      </c>
      <c r="R2344">
        <v>-4.7250559999999997E-2</v>
      </c>
      <c r="S2344">
        <v>-3.0655209999999999</v>
      </c>
      <c r="T2344">
        <v>-0.1526071</v>
      </c>
      <c r="U2344">
        <v>-0.46710210000000002</v>
      </c>
      <c r="V2344">
        <v>-3.3841789999999997E-2</v>
      </c>
      <c r="W2344">
        <v>0.20199890000000001</v>
      </c>
      <c r="X2344">
        <v>0.97880089999999997</v>
      </c>
      <c r="Y2344">
        <v>-0.1370442</v>
      </c>
      <c r="Z2344">
        <v>-3.7853259999999999E-3</v>
      </c>
      <c r="AA2344">
        <v>0.99055769999999999</v>
      </c>
      <c r="AB2344">
        <v>35</v>
      </c>
      <c r="AC2344">
        <v>-22.157299999999999</v>
      </c>
      <c r="AD2344">
        <v>-1.1209632518299999</v>
      </c>
      <c r="AE2344">
        <v>-3.4264999999999701</v>
      </c>
      <c r="AF2344">
        <v>-3.1186059298678899</v>
      </c>
      <c r="AG2344">
        <v>-1.1209632518299999</v>
      </c>
      <c r="AH2344">
        <v>22.146273209347399</v>
      </c>
      <c r="AI2344">
        <v>92.869367730261104</v>
      </c>
      <c r="AJ2344">
        <v>98.015602732565597</v>
      </c>
      <c r="AK2344">
        <v>22.392848827713198</v>
      </c>
      <c r="AL2344">
        <v>78.346126484898093</v>
      </c>
      <c r="AM2344">
        <v>91.980198077016098</v>
      </c>
      <c r="AN2344">
        <v>1.00000001209621</v>
      </c>
    </row>
    <row r="2345" spans="1:40" x14ac:dyDescent="0.25">
      <c r="A2345" t="str">
        <f>"20190303162825006"</f>
        <v>20190303162825006</v>
      </c>
      <c r="B2345" t="str">
        <f>"1551601704993803"</f>
        <v>1551601704993803</v>
      </c>
      <c r="C2345" t="s">
        <v>40</v>
      </c>
      <c r="D2345">
        <v>4.7099279999999997</v>
      </c>
      <c r="E2345">
        <v>0.46104830000000002</v>
      </c>
      <c r="F2345" t="s">
        <v>48</v>
      </c>
      <c r="G2345">
        <v>-460.73480000000001</v>
      </c>
      <c r="H2345" s="1">
        <v>-9.8019309999999991E-7</v>
      </c>
      <c r="I2345">
        <v>280.82819999999998</v>
      </c>
      <c r="J2345">
        <v>-438.4049</v>
      </c>
      <c r="K2345">
        <v>1.1209089999999999</v>
      </c>
      <c r="L2345">
        <v>284.2518</v>
      </c>
      <c r="M2345">
        <v>-0.9998302</v>
      </c>
      <c r="N2345">
        <v>-1.291112E-2</v>
      </c>
      <c r="O2345">
        <v>-1.314485E-2</v>
      </c>
      <c r="P2345">
        <v>-0.98078050000000006</v>
      </c>
      <c r="Q2345">
        <v>0.1893657</v>
      </c>
      <c r="R2345">
        <v>-4.7015769999999998E-2</v>
      </c>
      <c r="S2345">
        <v>-3.0657350000000001</v>
      </c>
      <c r="T2345">
        <v>-0.15160699999999999</v>
      </c>
      <c r="U2345">
        <v>-0.46359250000000002</v>
      </c>
      <c r="V2345">
        <v>-3.3956729999999997E-2</v>
      </c>
      <c r="W2345">
        <v>0.20204710000000001</v>
      </c>
      <c r="X2345">
        <v>0.97878690000000002</v>
      </c>
      <c r="Y2345">
        <v>-0.13630889999999901</v>
      </c>
      <c r="Z2345">
        <v>-3.7578759999999998E-3</v>
      </c>
      <c r="AA2345">
        <v>0.99065919999999996</v>
      </c>
      <c r="AB2345">
        <v>35</v>
      </c>
      <c r="AC2345">
        <v>-22.329899999999999</v>
      </c>
      <c r="AD2345">
        <v>-1.1209099801931</v>
      </c>
      <c r="AE2345">
        <v>-3.42360000000002</v>
      </c>
      <c r="AF2345">
        <v>-3.12207014955152</v>
      </c>
      <c r="AG2345">
        <v>-1.1209099801931</v>
      </c>
      <c r="AH2345">
        <v>22.3180312761605</v>
      </c>
      <c r="AI2345">
        <v>92.847549959958599</v>
      </c>
      <c r="AJ2345">
        <v>97.963430819672197</v>
      </c>
      <c r="AK2345">
        <v>22.563206360047701</v>
      </c>
      <c r="AL2345">
        <v>78.343305868049697</v>
      </c>
      <c r="AM2345">
        <v>91.986946622164893</v>
      </c>
      <c r="AN2345">
        <v>0.99999994287115401</v>
      </c>
    </row>
    <row r="2346" spans="1:40" x14ac:dyDescent="0.25">
      <c r="A2346" t="str">
        <f>"20190303162825028"</f>
        <v>20190303162825028</v>
      </c>
      <c r="B2346" t="str">
        <f>"1551601705024059"</f>
        <v>1551601705024059</v>
      </c>
      <c r="C2346" t="s">
        <v>40</v>
      </c>
      <c r="D2346">
        <v>4.7225799999999998</v>
      </c>
      <c r="E2346">
        <v>0.4618159</v>
      </c>
      <c r="F2346" t="s">
        <v>48</v>
      </c>
      <c r="G2346">
        <v>-461.03039999999999</v>
      </c>
      <c r="H2346" s="1">
        <v>-8.2460639999999898E-7</v>
      </c>
      <c r="I2346">
        <v>280.8673</v>
      </c>
      <c r="J2346">
        <v>-438.76690000000002</v>
      </c>
      <c r="K2346">
        <v>1.1208549999999999</v>
      </c>
      <c r="L2346">
        <v>284.2475</v>
      </c>
      <c r="M2346">
        <v>-0.99983659999999996</v>
      </c>
      <c r="N2346">
        <v>-1.2900679999999999E-2</v>
      </c>
      <c r="O2346">
        <v>-1.2675270000000001E-2</v>
      </c>
      <c r="P2346">
        <v>-0.98066850000000005</v>
      </c>
      <c r="Q2346">
        <v>0.18984809999999999</v>
      </c>
      <c r="R2346">
        <v>-4.7405860000000001E-2</v>
      </c>
      <c r="S2346">
        <v>-3.0661010000000002</v>
      </c>
      <c r="T2346">
        <v>-0.15190090000000001</v>
      </c>
      <c r="U2346">
        <v>-0.45864870000000002</v>
      </c>
      <c r="V2346">
        <v>-3.4781659999999999E-2</v>
      </c>
      <c r="W2346">
        <v>0.20252290000000001</v>
      </c>
      <c r="X2346">
        <v>0.97865959999999996</v>
      </c>
      <c r="Y2346">
        <v>-0.13519529999999999</v>
      </c>
      <c r="Z2346">
        <v>-3.744612E-3</v>
      </c>
      <c r="AA2346">
        <v>0.99081189999999997</v>
      </c>
      <c r="AB2346">
        <v>35</v>
      </c>
      <c r="AC2346">
        <v>-22.263499999999901</v>
      </c>
      <c r="AD2346">
        <v>-1.12085582460639</v>
      </c>
      <c r="AE2346">
        <v>-3.3801999999999999</v>
      </c>
      <c r="AF2346">
        <v>-3.09005346007037</v>
      </c>
      <c r="AG2346">
        <v>-1.12085582460639</v>
      </c>
      <c r="AH2346">
        <v>22.249436514409201</v>
      </c>
      <c r="AI2346">
        <v>92.856569547538001</v>
      </c>
      <c r="AJ2346">
        <v>97.906793704072498</v>
      </c>
      <c r="AK2346">
        <v>22.490935360148299</v>
      </c>
      <c r="AL2346">
        <v>78.315469149124795</v>
      </c>
      <c r="AM2346">
        <v>92.035441031369899</v>
      </c>
      <c r="AN2346">
        <v>0.99999995078446102</v>
      </c>
    </row>
    <row r="2347" spans="1:40" x14ac:dyDescent="0.25">
      <c r="A2347" t="str">
        <f>"20190303162825051"</f>
        <v>20190303162825051</v>
      </c>
      <c r="B2347" t="str">
        <f>"1551601705043579"</f>
        <v>1551601705043579</v>
      </c>
      <c r="C2347" t="s">
        <v>40</v>
      </c>
      <c r="D2347">
        <v>4.7322499999999996</v>
      </c>
      <c r="E2347">
        <v>0.46232879999999899</v>
      </c>
      <c r="F2347" t="s">
        <v>48</v>
      </c>
      <c r="G2347">
        <v>-461.41800000000001</v>
      </c>
      <c r="H2347" s="1">
        <v>-6.1962439999999996E-7</v>
      </c>
      <c r="I2347">
        <v>280.89670000000001</v>
      </c>
      <c r="J2347">
        <v>-439.11919999999998</v>
      </c>
      <c r="K2347">
        <v>1.120798</v>
      </c>
      <c r="L2347">
        <v>284.24349999999998</v>
      </c>
      <c r="M2347">
        <v>-0.99984300000000004</v>
      </c>
      <c r="N2347">
        <v>-1.289059E-2</v>
      </c>
      <c r="O2347">
        <v>-1.216309E-2</v>
      </c>
      <c r="P2347">
        <v>-0.98058100000000004</v>
      </c>
      <c r="Q2347">
        <v>0.19018489999999999</v>
      </c>
      <c r="R2347">
        <v>-4.7865150000000002E-2</v>
      </c>
      <c r="S2347">
        <v>-3.066589</v>
      </c>
      <c r="T2347">
        <v>-0.15174560000000001</v>
      </c>
      <c r="U2347">
        <v>-0.45364379999999999</v>
      </c>
      <c r="V2347">
        <v>-3.5719000000000001E-2</v>
      </c>
      <c r="W2347">
        <v>0.20285400000000001</v>
      </c>
      <c r="X2347">
        <v>0.97855729999999996</v>
      </c>
      <c r="Y2347">
        <v>-0.13409939999999901</v>
      </c>
      <c r="Z2347">
        <v>-3.7253970000000001E-3</v>
      </c>
      <c r="AA2347">
        <v>0.99096090000000003</v>
      </c>
      <c r="AB2347">
        <v>35</v>
      </c>
      <c r="AC2347">
        <v>-22.2988</v>
      </c>
      <c r="AD2347">
        <v>-1.12079861962439</v>
      </c>
      <c r="AE2347">
        <v>-3.3467999999999698</v>
      </c>
      <c r="AF2347">
        <v>-3.06772816237239</v>
      </c>
      <c r="AG2347">
        <v>-1.12079861962439</v>
      </c>
      <c r="AH2347">
        <v>22.282807203805401</v>
      </c>
      <c r="AI2347">
        <v>92.852620773554193</v>
      </c>
      <c r="AJ2347">
        <v>97.8387723442424</v>
      </c>
      <c r="AK2347">
        <v>22.520893465977899</v>
      </c>
      <c r="AL2347">
        <v>78.296096875966199</v>
      </c>
      <c r="AM2347">
        <v>92.090464965219894</v>
      </c>
      <c r="AN2347">
        <v>0.99999999083014401</v>
      </c>
    </row>
    <row r="2348" spans="1:40" x14ac:dyDescent="0.25">
      <c r="A2348" t="str">
        <f>"20190303162825072"</f>
        <v>20190303162825072</v>
      </c>
      <c r="B2348" t="str">
        <f>"1551601705064075"</f>
        <v>1551601705064075</v>
      </c>
      <c r="C2348" t="s">
        <v>40</v>
      </c>
      <c r="D2348">
        <v>4.8161149999999999</v>
      </c>
      <c r="E2348">
        <v>0.46268150000000002</v>
      </c>
      <c r="F2348" t="s">
        <v>48</v>
      </c>
      <c r="G2348">
        <v>-461.81220000000002</v>
      </c>
      <c r="H2348" s="1">
        <v>-4.1037780000000001E-7</v>
      </c>
      <c r="I2348">
        <v>280.90859999999998</v>
      </c>
      <c r="J2348">
        <v>-439.46969999999999</v>
      </c>
      <c r="K2348">
        <v>1.1207499999999999</v>
      </c>
      <c r="L2348">
        <v>284.2398</v>
      </c>
      <c r="M2348">
        <v>-0.99984989999999996</v>
      </c>
      <c r="N2348">
        <v>-1.2881510000000001E-2</v>
      </c>
      <c r="O2348">
        <v>-1.159754E-2</v>
      </c>
      <c r="P2348">
        <v>-0.98053400000000002</v>
      </c>
      <c r="Q2348">
        <v>0.19036739999999999</v>
      </c>
      <c r="R2348">
        <v>-4.8098040000000002E-2</v>
      </c>
      <c r="S2348">
        <v>-3.0667420000000001</v>
      </c>
      <c r="T2348">
        <v>-0.151465299999999</v>
      </c>
      <c r="U2348">
        <v>-0.45068359999999902</v>
      </c>
      <c r="V2348">
        <v>-3.6482390000000003E-2</v>
      </c>
      <c r="W2348">
        <v>0.2030323</v>
      </c>
      <c r="X2348">
        <v>0.97849209999999998</v>
      </c>
      <c r="Y2348">
        <v>-0.13371739999999999</v>
      </c>
      <c r="Z2348">
        <v>-3.7283529999999998E-3</v>
      </c>
      <c r="AA2348">
        <v>0.99101249999999996</v>
      </c>
      <c r="AB2348">
        <v>35</v>
      </c>
      <c r="AC2348">
        <v>-22.342500000000001</v>
      </c>
      <c r="AD2348">
        <v>-1.1207504103778001</v>
      </c>
      <c r="AE2348">
        <v>-3.3312000000000199</v>
      </c>
      <c r="AF2348">
        <v>-3.0642935622689502</v>
      </c>
      <c r="AG2348">
        <v>-1.1207504103778001</v>
      </c>
      <c r="AH2348">
        <v>22.3246811175093</v>
      </c>
      <c r="AI2348">
        <v>92.847314753761907</v>
      </c>
      <c r="AJ2348">
        <v>97.815599970825701</v>
      </c>
      <c r="AK2348">
        <v>22.561856384539801</v>
      </c>
      <c r="AL2348">
        <v>78.285663267363006</v>
      </c>
      <c r="AM2348">
        <v>92.135243808520201</v>
      </c>
      <c r="AN2348">
        <v>0.99999993469290305</v>
      </c>
    </row>
    <row r="2349" spans="1:40" x14ac:dyDescent="0.25">
      <c r="A2349" t="str">
        <f>"20190303162825095"</f>
        <v>20190303162825095</v>
      </c>
      <c r="B2349" t="str">
        <f>"1551601705083595"</f>
        <v>1551601705083595</v>
      </c>
      <c r="C2349" t="s">
        <v>40</v>
      </c>
      <c r="D2349">
        <v>4.7116669999999896</v>
      </c>
      <c r="E2349">
        <v>0.46311930000000001</v>
      </c>
      <c r="F2349" t="s">
        <v>48</v>
      </c>
      <c r="G2349">
        <v>-462.06290000000001</v>
      </c>
      <c r="H2349" s="1">
        <v>-2.7832849999999999E-7</v>
      </c>
      <c r="I2349">
        <v>280.94040000000001</v>
      </c>
      <c r="J2349">
        <v>-439.8202</v>
      </c>
      <c r="K2349">
        <v>1.120709</v>
      </c>
      <c r="L2349">
        <v>284.23630000000003</v>
      </c>
      <c r="M2349">
        <v>-0.999857</v>
      </c>
      <c r="N2349">
        <v>-1.2873229999999999E-2</v>
      </c>
      <c r="O2349">
        <v>-1.09756E-2</v>
      </c>
      <c r="P2349">
        <v>-0.980352</v>
      </c>
      <c r="Q2349">
        <v>0.1912169</v>
      </c>
      <c r="R2349">
        <v>-4.8435140000000002E-2</v>
      </c>
      <c r="S2349">
        <v>-3.0671390000000001</v>
      </c>
      <c r="T2349">
        <v>-0.15214710000000001</v>
      </c>
      <c r="U2349">
        <v>-0.44790649999999999</v>
      </c>
      <c r="V2349">
        <v>-3.7405569999999999E-2</v>
      </c>
      <c r="W2349">
        <v>0.20387640000000001</v>
      </c>
      <c r="X2349">
        <v>0.97828179999999998</v>
      </c>
      <c r="Y2349">
        <v>-0.13343550000000001</v>
      </c>
      <c r="Z2349">
        <v>-3.7535979999999999E-3</v>
      </c>
      <c r="AA2349">
        <v>0.9910504</v>
      </c>
      <c r="AB2349">
        <v>35</v>
      </c>
      <c r="AC2349">
        <v>-22.242699999999999</v>
      </c>
      <c r="AD2349">
        <v>-1.1207092783285</v>
      </c>
      <c r="AE2349">
        <v>-3.2959000000000098</v>
      </c>
      <c r="AF2349">
        <v>-3.04399251630648</v>
      </c>
      <c r="AG2349">
        <v>-1.1207092783285</v>
      </c>
      <c r="AH2349">
        <v>22.222333819572501</v>
      </c>
      <c r="AI2349">
        <v>92.860409971213898</v>
      </c>
      <c r="AJ2349">
        <v>97.799775864917606</v>
      </c>
      <c r="AK2349">
        <v>22.4578271458834</v>
      </c>
      <c r="AL2349">
        <v>78.2362677763834</v>
      </c>
      <c r="AM2349">
        <v>92.189693981294695</v>
      </c>
      <c r="AN2349">
        <v>1.0000000216776099</v>
      </c>
    </row>
    <row r="2350" spans="1:40" x14ac:dyDescent="0.25">
      <c r="A2350" t="str">
        <f>"20190303162825118"</f>
        <v>20190303162825118</v>
      </c>
      <c r="B2350" t="str">
        <f>"1551601705113851"</f>
        <v>1551601705113851</v>
      </c>
      <c r="C2350" t="s">
        <v>40</v>
      </c>
      <c r="D2350">
        <v>4.7364360000000003</v>
      </c>
      <c r="E2350">
        <v>0.46371119999999999</v>
      </c>
      <c r="F2350" t="s">
        <v>48</v>
      </c>
      <c r="G2350">
        <v>-462.63619999999997</v>
      </c>
      <c r="H2350" s="1">
        <v>2.7367160000000001E-8</v>
      </c>
      <c r="I2350">
        <v>280.92590000000001</v>
      </c>
      <c r="J2350">
        <v>-440.18189999999998</v>
      </c>
      <c r="K2350">
        <v>1.1206529999999999</v>
      </c>
      <c r="L2350">
        <v>284.233</v>
      </c>
      <c r="M2350">
        <v>-0.99986450000000004</v>
      </c>
      <c r="N2350">
        <v>-1.286545E-2</v>
      </c>
      <c r="O2350">
        <v>-1.027399E-2</v>
      </c>
      <c r="P2350">
        <v>-0.98013320000000004</v>
      </c>
      <c r="Q2350">
        <v>0.19220209999999999</v>
      </c>
      <c r="R2350">
        <v>-4.8966030000000001E-2</v>
      </c>
      <c r="S2350">
        <v>-3.0675050000000001</v>
      </c>
      <c r="T2350">
        <v>-0.15067420000000001</v>
      </c>
      <c r="U2350">
        <v>-0.44506839999999998</v>
      </c>
      <c r="V2350">
        <v>-3.859866E-2</v>
      </c>
      <c r="W2350">
        <v>0.2048576</v>
      </c>
      <c r="X2350">
        <v>0.97803039999999997</v>
      </c>
      <c r="Y2350">
        <v>-0.13321929999999901</v>
      </c>
      <c r="Z2350">
        <v>-3.7448020000000002E-3</v>
      </c>
      <c r="AA2350">
        <v>0.9910795</v>
      </c>
      <c r="AB2350">
        <v>35</v>
      </c>
      <c r="AC2350">
        <v>-22.4542999999999</v>
      </c>
      <c r="AD2350">
        <v>-1.12065297263284</v>
      </c>
      <c r="AE2350">
        <v>-3.3070999999999899</v>
      </c>
      <c r="AF2350">
        <v>-3.0687297040300399</v>
      </c>
      <c r="AG2350">
        <v>-1.12065297263284</v>
      </c>
      <c r="AH2350">
        <v>22.4324057142912</v>
      </c>
      <c r="AI2350">
        <v>92.833593358705997</v>
      </c>
      <c r="AJ2350">
        <v>97.789651292184004</v>
      </c>
      <c r="AK2350">
        <v>22.669049190736501</v>
      </c>
      <c r="AL2350">
        <v>78.178836519768097</v>
      </c>
      <c r="AM2350">
        <v>92.260045491178701</v>
      </c>
      <c r="AN2350">
        <v>0.99999997807785701</v>
      </c>
    </row>
    <row r="2351" spans="1:40" x14ac:dyDescent="0.25">
      <c r="A2351" t="str">
        <f>"20190303162825141"</f>
        <v>20190303162825141</v>
      </c>
      <c r="B2351" t="str">
        <f>"1551601705133371"</f>
        <v>1551601705133371</v>
      </c>
      <c r="C2351" t="s">
        <v>40</v>
      </c>
      <c r="D2351">
        <v>4.8022479999999996</v>
      </c>
      <c r="E2351">
        <v>0.48303010000000002</v>
      </c>
      <c r="F2351" t="s">
        <v>48</v>
      </c>
      <c r="G2351">
        <v>-463.31099999999998</v>
      </c>
      <c r="H2351" s="1">
        <v>3.876879E-7</v>
      </c>
      <c r="I2351">
        <v>280.89850000000001</v>
      </c>
      <c r="J2351">
        <v>-440.54180000000002</v>
      </c>
      <c r="K2351">
        <v>1.1206</v>
      </c>
      <c r="L2351">
        <v>284.23</v>
      </c>
      <c r="M2351">
        <v>-0.99987210000000004</v>
      </c>
      <c r="N2351">
        <v>-1.285858E-2</v>
      </c>
      <c r="O2351">
        <v>-9.513601E-3</v>
      </c>
      <c r="P2351">
        <v>-0.98003830000000003</v>
      </c>
      <c r="Q2351">
        <v>0.1925644</v>
      </c>
      <c r="R2351">
        <v>-4.9436069999999999E-2</v>
      </c>
      <c r="S2351">
        <v>-3.067841</v>
      </c>
      <c r="T2351">
        <v>-0.14864289999999999</v>
      </c>
      <c r="U2351">
        <v>-0.4422913</v>
      </c>
      <c r="V2351">
        <v>-3.9787099999999999E-2</v>
      </c>
      <c r="W2351">
        <v>0.20521880000000001</v>
      </c>
      <c r="X2351">
        <v>0.97790710000000003</v>
      </c>
      <c r="Y2351">
        <v>-0.13308310000000001</v>
      </c>
      <c r="Z2351">
        <v>-3.7297710000000002E-3</v>
      </c>
      <c r="AA2351">
        <v>0.99109789999999998</v>
      </c>
      <c r="AB2351">
        <v>35</v>
      </c>
      <c r="AC2351">
        <v>-22.769199999999898</v>
      </c>
      <c r="AD2351">
        <v>-1.1205996123121</v>
      </c>
      <c r="AE2351">
        <v>-3.3315000000000001</v>
      </c>
      <c r="AF2351">
        <v>-3.1073454415939401</v>
      </c>
      <c r="AG2351">
        <v>-1.1205996123121</v>
      </c>
      <c r="AH2351">
        <v>22.745926749308602</v>
      </c>
      <c r="AI2351">
        <v>92.794536045894105</v>
      </c>
      <c r="AJ2351">
        <v>97.779083776848907</v>
      </c>
      <c r="AK2351">
        <v>22.984527901817302</v>
      </c>
      <c r="AL2351">
        <v>78.157692703945102</v>
      </c>
      <c r="AM2351">
        <v>92.329849425164099</v>
      </c>
      <c r="AN2351">
        <v>1.0000000327151199</v>
      </c>
    </row>
    <row r="2352" spans="1:40" x14ac:dyDescent="0.25">
      <c r="A2352" t="str">
        <f>"20190303162825163"</f>
        <v>20190303162825163</v>
      </c>
      <c r="B2352" t="str">
        <f>"1551601705153868"</f>
        <v>1551601705153868</v>
      </c>
      <c r="C2352" t="s">
        <v>40</v>
      </c>
      <c r="D2352">
        <v>4.8263879999999997</v>
      </c>
      <c r="E2352">
        <v>0.49300490000000002</v>
      </c>
      <c r="F2352" t="s">
        <v>48</v>
      </c>
      <c r="G2352">
        <v>-459.21600000000001</v>
      </c>
      <c r="H2352" s="1">
        <v>3.4611179999999999E-6</v>
      </c>
      <c r="I2352">
        <v>282.47460000000001</v>
      </c>
      <c r="J2352">
        <v>-440.88600000000002</v>
      </c>
      <c r="K2352">
        <v>1.1205449999999999</v>
      </c>
      <c r="L2352">
        <v>284.22750000000002</v>
      </c>
      <c r="M2352">
        <v>-0.99987939999999997</v>
      </c>
      <c r="N2352">
        <v>-1.2852590000000001E-2</v>
      </c>
      <c r="O2352">
        <v>-8.7250950000000004E-3</v>
      </c>
      <c r="P2352">
        <v>-0.97998799999999997</v>
      </c>
      <c r="Q2352">
        <v>0.19279789999999999</v>
      </c>
      <c r="R2352">
        <v>-4.9520979999999999E-2</v>
      </c>
      <c r="S2352">
        <v>-3.0827939999999998</v>
      </c>
      <c r="T2352">
        <v>-0.18499170000000001</v>
      </c>
      <c r="U2352">
        <v>-0.28979490000000002</v>
      </c>
      <c r="V2352">
        <v>-4.0616470000000002E-2</v>
      </c>
      <c r="W2352">
        <v>0.20545260000000001</v>
      </c>
      <c r="X2352">
        <v>0.97782389999999997</v>
      </c>
      <c r="Y2352">
        <v>-8.4726209999999996E-2</v>
      </c>
      <c r="Z2352">
        <v>-2.6704820000000001E-3</v>
      </c>
      <c r="AA2352">
        <v>0.99640070000000003</v>
      </c>
      <c r="AB2352">
        <v>35</v>
      </c>
      <c r="AC2352">
        <v>-18.329999999999998</v>
      </c>
      <c r="AD2352">
        <v>-1.1205415388819999</v>
      </c>
      <c r="AE2352">
        <v>-1.7529000000000099</v>
      </c>
      <c r="AF2352">
        <v>-1.587012048296</v>
      </c>
      <c r="AG2352">
        <v>-1.1205415388819999</v>
      </c>
      <c r="AH2352">
        <v>18.2769145453276</v>
      </c>
      <c r="AI2352">
        <v>93.495243409567493</v>
      </c>
      <c r="AJ2352">
        <v>94.962631635956697</v>
      </c>
      <c r="AK2352">
        <v>18.379875567560401</v>
      </c>
      <c r="AL2352">
        <v>78.144005188865094</v>
      </c>
      <c r="AM2352">
        <v>92.378562532027004</v>
      </c>
      <c r="AN2352">
        <v>1.00000002394661</v>
      </c>
    </row>
    <row r="2353" spans="1:40" x14ac:dyDescent="0.25">
      <c r="A2353" t="str">
        <f>"20190303162825186"</f>
        <v>20190303162825186</v>
      </c>
      <c r="B2353" t="str">
        <f>"1551601705173388"</f>
        <v>1551601705173388</v>
      </c>
      <c r="C2353" t="s">
        <v>40</v>
      </c>
      <c r="D2353">
        <v>4.7403149999999998</v>
      </c>
      <c r="E2353">
        <v>0.49820910000000002</v>
      </c>
      <c r="F2353" t="s">
        <v>48</v>
      </c>
      <c r="G2353">
        <v>-459.14069999999998</v>
      </c>
      <c r="H2353" s="1">
        <v>3.3986040000000001E-6</v>
      </c>
      <c r="I2353">
        <v>282.98849999999999</v>
      </c>
      <c r="J2353">
        <v>-441.24470000000002</v>
      </c>
      <c r="K2353">
        <v>1.1204829999999999</v>
      </c>
      <c r="L2353">
        <v>284.2253</v>
      </c>
      <c r="M2353">
        <v>-0.99988690000000002</v>
      </c>
      <c r="N2353">
        <v>-1.284706E-2</v>
      </c>
      <c r="O2353">
        <v>-7.83153199999999E-3</v>
      </c>
      <c r="P2353">
        <v>-0.97994910000000002</v>
      </c>
      <c r="Q2353">
        <v>0.19285459999999999</v>
      </c>
      <c r="R2353">
        <v>-5.007147E-2</v>
      </c>
      <c r="S2353">
        <v>-3.0879819999999998</v>
      </c>
      <c r="T2353">
        <v>-0.18955150000000001</v>
      </c>
      <c r="U2353">
        <v>-0.20959469999999999</v>
      </c>
      <c r="V2353">
        <v>-4.2012809999999998E-2</v>
      </c>
      <c r="W2353">
        <v>0.20551140000000001</v>
      </c>
      <c r="X2353">
        <v>0.97775250000000002</v>
      </c>
      <c r="Y2353">
        <v>-5.9775870000000002E-2</v>
      </c>
      <c r="Z2353">
        <v>-1.8364119999999999E-3</v>
      </c>
      <c r="AA2353">
        <v>0.99821009999999999</v>
      </c>
      <c r="AB2353">
        <v>35</v>
      </c>
      <c r="AC2353">
        <v>-17.895999999999901</v>
      </c>
      <c r="AD2353">
        <v>-1.1204796013959999</v>
      </c>
      <c r="AE2353">
        <v>-1.2368000000000099</v>
      </c>
      <c r="AF2353">
        <v>-1.0923357157032201</v>
      </c>
      <c r="AG2353">
        <v>-1.1204796013959999</v>
      </c>
      <c r="AH2353">
        <v>17.8355533223178</v>
      </c>
      <c r="AI2353">
        <v>93.588052405306996</v>
      </c>
      <c r="AJ2353">
        <v>93.5046936096428</v>
      </c>
      <c r="AK2353">
        <v>17.9040675313233</v>
      </c>
      <c r="AL2353">
        <v>78.140562227534105</v>
      </c>
      <c r="AM2353">
        <v>92.460414963568795</v>
      </c>
      <c r="AN2353">
        <v>0.99999998149515201</v>
      </c>
    </row>
    <row r="2354" spans="1:40" x14ac:dyDescent="0.25">
      <c r="A2354" t="str">
        <f>"20190303162825209"</f>
        <v>20190303162825209</v>
      </c>
      <c r="B2354" t="str">
        <f>"1551601705203643"</f>
        <v>1551601705203643</v>
      </c>
      <c r="C2354" t="s">
        <v>40</v>
      </c>
      <c r="D2354">
        <v>4.7062369999999998</v>
      </c>
      <c r="E2354">
        <v>0.50143530000000003</v>
      </c>
      <c r="F2354" t="s">
        <v>48</v>
      </c>
      <c r="G2354">
        <v>-459.9785</v>
      </c>
      <c r="H2354" s="1">
        <v>-1.486353E-6</v>
      </c>
      <c r="I2354">
        <v>283.2013</v>
      </c>
      <c r="J2354">
        <v>-441.59309999999999</v>
      </c>
      <c r="K2354">
        <v>1.1204229999999999</v>
      </c>
      <c r="L2354">
        <v>284.2235</v>
      </c>
      <c r="M2354">
        <v>-0.99989399999999995</v>
      </c>
      <c r="N2354">
        <v>-1.28421E-2</v>
      </c>
      <c r="O2354">
        <v>-6.89925E-3</v>
      </c>
      <c r="P2354">
        <v>-0.97990750000000004</v>
      </c>
      <c r="Q2354">
        <v>0.19304669999999999</v>
      </c>
      <c r="R2354">
        <v>-5.0149140000000002E-2</v>
      </c>
      <c r="S2354">
        <v>-3.0891109999999999</v>
      </c>
      <c r="T2354">
        <v>-0.1847615</v>
      </c>
      <c r="U2354">
        <v>-0.168853799999999</v>
      </c>
      <c r="V2354">
        <v>-4.2974699999999998E-2</v>
      </c>
      <c r="W2354">
        <v>0.20570559999999999</v>
      </c>
      <c r="X2354">
        <v>0.97766989999999998</v>
      </c>
      <c r="Y2354">
        <v>-4.7593150000000001E-2</v>
      </c>
      <c r="Z2354">
        <v>-1.4036579999999999E-3</v>
      </c>
      <c r="AA2354">
        <v>0.99886580000000003</v>
      </c>
      <c r="AB2354">
        <v>35</v>
      </c>
      <c r="AC2354">
        <v>-18.385400000000001</v>
      </c>
      <c r="AD2354">
        <v>-1.120424486353</v>
      </c>
      <c r="AE2354">
        <v>-1.02219999999999</v>
      </c>
      <c r="AF2354">
        <v>-0.89201720081574698</v>
      </c>
      <c r="AG2354">
        <v>-1.120424486353</v>
      </c>
      <c r="AH2354">
        <v>18.324172669551</v>
      </c>
      <c r="AI2354">
        <v>93.494844053183598</v>
      </c>
      <c r="AJ2354">
        <v>92.786947483203207</v>
      </c>
      <c r="AK2354">
        <v>18.380053039632202</v>
      </c>
      <c r="AL2354">
        <v>78.129193000732002</v>
      </c>
      <c r="AM2354">
        <v>92.516887290944894</v>
      </c>
      <c r="AN2354">
        <v>1.0000000260387201</v>
      </c>
    </row>
    <row r="2355" spans="1:40" x14ac:dyDescent="0.25">
      <c r="A2355" t="str">
        <f>"20190303162825229"</f>
        <v>20190303162825229</v>
      </c>
      <c r="B2355" t="str">
        <f>"1551601705224139"</f>
        <v>1551601705224139</v>
      </c>
      <c r="C2355" t="s">
        <v>40</v>
      </c>
      <c r="D2355">
        <v>4.7611410000000003</v>
      </c>
      <c r="E2355">
        <v>0.5019865</v>
      </c>
      <c r="F2355" t="s">
        <v>48</v>
      </c>
      <c r="G2355">
        <v>-460.89150000000001</v>
      </c>
      <c r="H2355" s="1">
        <v>-1.0062819999999999E-6</v>
      </c>
      <c r="I2355">
        <v>283.33330000000001</v>
      </c>
      <c r="J2355">
        <v>-441.95170000000002</v>
      </c>
      <c r="K2355">
        <v>1.120366</v>
      </c>
      <c r="L2355">
        <v>284.22199999999998</v>
      </c>
      <c r="M2355">
        <v>-0.99990029999999996</v>
      </c>
      <c r="N2355">
        <v>-1.2837660000000001E-2</v>
      </c>
      <c r="O2355">
        <v>-5.8817840000000001E-3</v>
      </c>
      <c r="P2355">
        <v>-0.97998260000000004</v>
      </c>
      <c r="Q2355">
        <v>0.19257650000000001</v>
      </c>
      <c r="R2355">
        <v>-5.0482069999999997E-2</v>
      </c>
      <c r="S2355">
        <v>-3.089569</v>
      </c>
      <c r="T2355">
        <v>-0.1793737</v>
      </c>
      <c r="U2355">
        <v>-0.14251710000000001</v>
      </c>
      <c r="V2355">
        <v>-4.4276959999999997E-2</v>
      </c>
      <c r="W2355">
        <v>0.20524029999999999</v>
      </c>
      <c r="X2355">
        <v>0.97770950000000001</v>
      </c>
      <c r="Y2355">
        <v>-4.0126259999999997E-2</v>
      </c>
      <c r="Z2355">
        <v>-1.1556229999999999E-3</v>
      </c>
      <c r="AA2355">
        <v>0.99919400000000003</v>
      </c>
      <c r="AB2355">
        <v>35</v>
      </c>
      <c r="AC2355">
        <v>-18.939799999999899</v>
      </c>
      <c r="AD2355">
        <v>-1.1203670062819999</v>
      </c>
      <c r="AE2355">
        <v>-0.88869999999997096</v>
      </c>
      <c r="AF2355">
        <v>-0.77457120018124503</v>
      </c>
      <c r="AG2355">
        <v>-1.1203670062819999</v>
      </c>
      <c r="AH2355">
        <v>18.878784221761599</v>
      </c>
      <c r="AI2355">
        <v>93.393403328170507</v>
      </c>
      <c r="AJ2355">
        <v>92.349451274140094</v>
      </c>
      <c r="AK2355">
        <v>18.927854512985601</v>
      </c>
      <c r="AL2355">
        <v>78.156433036974704</v>
      </c>
      <c r="AM2355">
        <v>92.5929489332473</v>
      </c>
      <c r="AN2355">
        <v>0.99999994816058901</v>
      </c>
    </row>
    <row r="2356" spans="1:40" x14ac:dyDescent="0.25">
      <c r="A2356" t="str">
        <f>"20190303162825251"</f>
        <v>20190303162825251</v>
      </c>
      <c r="B2356" t="str">
        <f>"1551601705243659"</f>
        <v>1551601705243659</v>
      </c>
      <c r="C2356" t="s">
        <v>40</v>
      </c>
      <c r="D2356">
        <v>4.7120980000000001</v>
      </c>
      <c r="E2356">
        <v>0.50259009999999904</v>
      </c>
      <c r="F2356" t="s">
        <v>48</v>
      </c>
      <c r="G2356">
        <v>-461.2491</v>
      </c>
      <c r="H2356" s="1">
        <v>-8.1691669999999998E-7</v>
      </c>
      <c r="I2356">
        <v>283.35390000000001</v>
      </c>
      <c r="J2356">
        <v>-442.29259999999999</v>
      </c>
      <c r="K2356">
        <v>1.1203110000000001</v>
      </c>
      <c r="L2356">
        <v>284.221</v>
      </c>
      <c r="M2356">
        <v>-0.99990590000000001</v>
      </c>
      <c r="N2356">
        <v>-1.283403E-2</v>
      </c>
      <c r="O2356">
        <v>-4.8586690000000004E-3</v>
      </c>
      <c r="P2356">
        <v>-0.9800179</v>
      </c>
      <c r="Q2356">
        <v>0.19230410000000001</v>
      </c>
      <c r="R2356">
        <v>-5.0838330000000001E-2</v>
      </c>
      <c r="S2356">
        <v>-3.0893549999999999</v>
      </c>
      <c r="T2356">
        <v>-0.17936179999999999</v>
      </c>
      <c r="U2356">
        <v>-0.13897709999999999</v>
      </c>
      <c r="V2356">
        <v>-4.561055E-2</v>
      </c>
      <c r="W2356">
        <v>0.20497290000000001</v>
      </c>
      <c r="X2356">
        <v>0.97770429999999997</v>
      </c>
      <c r="Y2356">
        <v>-4.0008450000000001E-2</v>
      </c>
      <c r="Z2356">
        <v>-1.1975740000000001E-3</v>
      </c>
      <c r="AA2356">
        <v>0.99919860000000005</v>
      </c>
      <c r="AB2356">
        <v>35</v>
      </c>
      <c r="AC2356">
        <v>-18.956499999999998</v>
      </c>
      <c r="AD2356">
        <v>-1.1203118169166999</v>
      </c>
      <c r="AE2356">
        <v>-0.86709999999999299</v>
      </c>
      <c r="AF2356">
        <v>-0.77228708765917398</v>
      </c>
      <c r="AG2356">
        <v>-1.1203118169166999</v>
      </c>
      <c r="AH2356">
        <v>18.894633975115799</v>
      </c>
      <c r="AI2356">
        <v>93.390418263605198</v>
      </c>
      <c r="AJ2356">
        <v>92.340567924602695</v>
      </c>
      <c r="AK2356">
        <v>18.943566690739299</v>
      </c>
      <c r="AL2356">
        <v>78.172086816034096</v>
      </c>
      <c r="AM2356">
        <v>92.670949419629096</v>
      </c>
      <c r="AN2356">
        <v>0.99999995512210005</v>
      </c>
    </row>
    <row r="2357" spans="1:40" x14ac:dyDescent="0.25">
      <c r="A2357" t="str">
        <f>"20190303162825273"</f>
        <v>20190303162825273</v>
      </c>
      <c r="B2357" t="str">
        <f>"1551601705264157"</f>
        <v>1551601705264157</v>
      </c>
      <c r="C2357" t="s">
        <v>40</v>
      </c>
      <c r="D2357">
        <v>4.7602690000000001</v>
      </c>
      <c r="E2357">
        <v>0.5028511</v>
      </c>
      <c r="F2357" t="s">
        <v>48</v>
      </c>
      <c r="G2357">
        <v>-461.28680000000003</v>
      </c>
      <c r="H2357" s="1">
        <v>-7.9837509999999899E-7</v>
      </c>
      <c r="I2357">
        <v>283.38940000000002</v>
      </c>
      <c r="J2357">
        <v>-442.64429999999999</v>
      </c>
      <c r="K2357">
        <v>1.120255</v>
      </c>
      <c r="L2357">
        <v>284.22039999999998</v>
      </c>
      <c r="M2357">
        <v>-0.99991070000000004</v>
      </c>
      <c r="N2357">
        <v>-1.2830660000000001E-2</v>
      </c>
      <c r="O2357">
        <v>-3.7425539999999999E-3</v>
      </c>
      <c r="P2357">
        <v>-0.97998070000000004</v>
      </c>
      <c r="Q2357">
        <v>0.19224050000000001</v>
      </c>
      <c r="R2357">
        <v>-5.1783290000000003E-2</v>
      </c>
      <c r="S2357">
        <v>-3.0899049999999999</v>
      </c>
      <c r="T2357">
        <v>-0.18224789999999999</v>
      </c>
      <c r="U2357">
        <v>-0.1352844</v>
      </c>
      <c r="V2357">
        <v>-4.7622709999999999E-2</v>
      </c>
      <c r="W2357">
        <v>0.20491590000000001</v>
      </c>
      <c r="X2357">
        <v>0.97762039999999994</v>
      </c>
      <c r="Y2357">
        <v>-3.9920839999999999E-2</v>
      </c>
      <c r="Z2357">
        <v>-1.2597520000000001E-3</v>
      </c>
      <c r="AA2357">
        <v>0.99920209999999998</v>
      </c>
      <c r="AB2357">
        <v>35</v>
      </c>
      <c r="AC2357">
        <v>-18.642499999999998</v>
      </c>
      <c r="AD2357">
        <v>-1.1202557983751</v>
      </c>
      <c r="AE2357">
        <v>-0.83099999999995999</v>
      </c>
      <c r="AF2357">
        <v>-0.75848442678975603</v>
      </c>
      <c r="AG2357">
        <v>-1.1202557983751</v>
      </c>
      <c r="AH2357">
        <v>18.578525930032502</v>
      </c>
      <c r="AI2357">
        <v>93.447801870249293</v>
      </c>
      <c r="AJ2357">
        <v>92.337851572582395</v>
      </c>
      <c r="AK2357">
        <v>18.627718524080301</v>
      </c>
      <c r="AL2357">
        <v>78.175424609948195</v>
      </c>
      <c r="AM2357">
        <v>92.788838185563506</v>
      </c>
      <c r="AN2357">
        <v>1.0000000475383499</v>
      </c>
    </row>
    <row r="2358" spans="1:40" x14ac:dyDescent="0.25">
      <c r="A2358" t="str">
        <f>"20190303162825297"</f>
        <v>20190303162825297</v>
      </c>
      <c r="B2358" t="str">
        <f>"1551601705283675"</f>
        <v>1551601705283675</v>
      </c>
      <c r="C2358" t="s">
        <v>40</v>
      </c>
      <c r="D2358">
        <v>4.8726349999999998</v>
      </c>
      <c r="E2358">
        <v>0.50324550000000001</v>
      </c>
      <c r="F2358" t="s">
        <v>48</v>
      </c>
      <c r="G2358">
        <v>-461.66129999999998</v>
      </c>
      <c r="H2358" s="1">
        <v>-5.9894680000000004E-7</v>
      </c>
      <c r="I2358">
        <v>283.38549999999998</v>
      </c>
      <c r="J2358">
        <v>-443.00990000000002</v>
      </c>
      <c r="K2358">
        <v>1.1202000000000001</v>
      </c>
      <c r="L2358">
        <v>284.22019999999998</v>
      </c>
      <c r="M2358">
        <v>-0.99991470000000005</v>
      </c>
      <c r="N2358">
        <v>-1.282761E-2</v>
      </c>
      <c r="O2358">
        <v>-2.5176869999999998E-3</v>
      </c>
      <c r="P2358">
        <v>-0.97985350000000004</v>
      </c>
      <c r="Q2358">
        <v>0.19263859999999999</v>
      </c>
      <c r="R2358">
        <v>-5.2707469999999999E-2</v>
      </c>
      <c r="S2358">
        <v>-3.0898439999999998</v>
      </c>
      <c r="T2358">
        <v>-0.1820174</v>
      </c>
      <c r="U2358">
        <v>-0.13565060000000001</v>
      </c>
      <c r="V2358">
        <v>-4.971743E-2</v>
      </c>
      <c r="W2358">
        <v>0.20532059999999999</v>
      </c>
      <c r="X2358">
        <v>0.9774311</v>
      </c>
      <c r="Y2358">
        <v>-4.1259919999999999E-2</v>
      </c>
      <c r="Z2358">
        <v>-1.3628399999999999E-3</v>
      </c>
      <c r="AA2358">
        <v>0.99914749999999997</v>
      </c>
      <c r="AB2358">
        <v>35</v>
      </c>
      <c r="AC2358">
        <v>-18.651399999999899</v>
      </c>
      <c r="AD2358">
        <v>-1.1202005989468</v>
      </c>
      <c r="AE2358">
        <v>-0.834699999999997</v>
      </c>
      <c r="AF2358">
        <v>-0.78490945333270201</v>
      </c>
      <c r="AG2358">
        <v>-1.1202005989468</v>
      </c>
      <c r="AH2358">
        <v>18.586531466791101</v>
      </c>
      <c r="AI2358">
        <v>93.445950904399197</v>
      </c>
      <c r="AJ2358">
        <v>92.4181646619802</v>
      </c>
      <c r="AK2358">
        <v>18.6367938282804</v>
      </c>
      <c r="AL2358">
        <v>78.151732253680393</v>
      </c>
      <c r="AM2358">
        <v>92.911863554590099</v>
      </c>
      <c r="AN2358">
        <v>0.99999996343868602</v>
      </c>
    </row>
    <row r="2359" spans="1:40" x14ac:dyDescent="0.25">
      <c r="A2359" t="str">
        <f>"20190303162825319"</f>
        <v>20190303162825319</v>
      </c>
      <c r="B2359" t="str">
        <f>"1551601705313932"</f>
        <v>1551601705313932</v>
      </c>
      <c r="C2359" t="s">
        <v>40</v>
      </c>
      <c r="D2359">
        <v>4.8073899999999998</v>
      </c>
      <c r="E2359">
        <v>0.50376149999999997</v>
      </c>
      <c r="F2359" t="s">
        <v>48</v>
      </c>
      <c r="G2359">
        <v>-462.12920000000003</v>
      </c>
      <c r="H2359" s="1">
        <v>-3.498923E-7</v>
      </c>
      <c r="I2359">
        <v>283.38499999999999</v>
      </c>
      <c r="J2359">
        <v>-443.36489999999998</v>
      </c>
      <c r="K2359">
        <v>1.1201460000000001</v>
      </c>
      <c r="L2359">
        <v>284.22050000000002</v>
      </c>
      <c r="M2359">
        <v>-0.99991699999999994</v>
      </c>
      <c r="N2359">
        <v>-1.2825110000000001E-2</v>
      </c>
      <c r="O2359">
        <v>-1.267937E-3</v>
      </c>
      <c r="P2359">
        <v>-0.9797207</v>
      </c>
      <c r="Q2359">
        <v>0.19316639999999999</v>
      </c>
      <c r="R2359">
        <v>-5.3241459999999997E-2</v>
      </c>
      <c r="S2359">
        <v>-3.0900569999999998</v>
      </c>
      <c r="T2359">
        <v>-0.1810467</v>
      </c>
      <c r="U2359">
        <v>-0.13497919999999999</v>
      </c>
      <c r="V2359">
        <v>-5.1446190000000003E-2</v>
      </c>
      <c r="W2359">
        <v>0.20585529999999999</v>
      </c>
      <c r="X2359">
        <v>0.97722920000000002</v>
      </c>
      <c r="Y2359">
        <v>-4.2286360000000002E-2</v>
      </c>
      <c r="Z2359">
        <v>-1.4507729999999901E-3</v>
      </c>
      <c r="AA2359">
        <v>0.99910449999999995</v>
      </c>
      <c r="AB2359">
        <v>35</v>
      </c>
      <c r="AC2359">
        <v>-18.764299999999999</v>
      </c>
      <c r="AD2359">
        <v>-1.1201463498923001</v>
      </c>
      <c r="AE2359">
        <v>-0.835500000000024</v>
      </c>
      <c r="AF2359">
        <v>-0.80882881054315003</v>
      </c>
      <c r="AG2359">
        <v>-1.1201463498923001</v>
      </c>
      <c r="AH2359">
        <v>18.6988416533645</v>
      </c>
      <c r="AI2359">
        <v>93.424988048482106</v>
      </c>
      <c r="AJ2359">
        <v>92.476816881461502</v>
      </c>
      <c r="AK2359">
        <v>18.7498162942344</v>
      </c>
      <c r="AL2359">
        <v>78.120428073810899</v>
      </c>
      <c r="AM2359">
        <v>93.013551938187206</v>
      </c>
      <c r="AN2359">
        <v>1.0000000121681201</v>
      </c>
    </row>
    <row r="2360" spans="1:40" x14ac:dyDescent="0.25">
      <c r="A2360" t="str">
        <f>"20190303162825341"</f>
        <v>20190303162825341</v>
      </c>
      <c r="B2360" t="str">
        <f>"1551601705333450"</f>
        <v>1551601705333450</v>
      </c>
      <c r="C2360" t="s">
        <v>40</v>
      </c>
      <c r="D2360">
        <v>4.7791739999999896</v>
      </c>
      <c r="E2360">
        <v>0.50382990000000005</v>
      </c>
      <c r="F2360" t="s">
        <v>48</v>
      </c>
      <c r="G2360">
        <v>-462.48469999999998</v>
      </c>
      <c r="H2360" s="1">
        <v>-1.61327299999999E-7</v>
      </c>
      <c r="I2360">
        <v>283.39890000000003</v>
      </c>
      <c r="J2360">
        <v>-443.70690000000002</v>
      </c>
      <c r="K2360">
        <v>1.1200939999999999</v>
      </c>
      <c r="L2360">
        <v>284.22129999999999</v>
      </c>
      <c r="M2360">
        <v>-0.99991799999999997</v>
      </c>
      <c r="N2360">
        <v>-1.282295E-2</v>
      </c>
      <c r="O2360" s="1">
        <v>-1.270537E-5</v>
      </c>
      <c r="P2360">
        <v>-0.97965840000000004</v>
      </c>
      <c r="Q2360">
        <v>0.1933831</v>
      </c>
      <c r="R2360">
        <v>-5.3601240000000001E-2</v>
      </c>
      <c r="S2360">
        <v>-3.090576</v>
      </c>
      <c r="T2360">
        <v>-0.18106320000000001</v>
      </c>
      <c r="U2360">
        <v>-0.1328125</v>
      </c>
      <c r="V2360">
        <v>-5.300879E-2</v>
      </c>
      <c r="W2360">
        <v>0.20607980000000001</v>
      </c>
      <c r="X2360">
        <v>0.97709829999999998</v>
      </c>
      <c r="Y2360">
        <v>-4.2831670000000002E-2</v>
      </c>
      <c r="Z2360">
        <v>-1.5274659999999999E-3</v>
      </c>
      <c r="AA2360">
        <v>0.99908110000000006</v>
      </c>
      <c r="AB2360">
        <v>35</v>
      </c>
      <c r="AC2360">
        <v>-18.7777999999999</v>
      </c>
      <c r="AD2360">
        <v>-1.1200941613273001</v>
      </c>
      <c r="AE2360">
        <v>-0.82239999999995905</v>
      </c>
      <c r="AF2360">
        <v>-0.81925199151098405</v>
      </c>
      <c r="AG2360">
        <v>-1.1200941613273001</v>
      </c>
      <c r="AH2360">
        <v>18.711360784386201</v>
      </c>
      <c r="AI2360">
        <v>93.4224645437357</v>
      </c>
      <c r="AJ2360">
        <v>92.507018161823595</v>
      </c>
      <c r="AK2360">
        <v>18.762750522226199</v>
      </c>
      <c r="AL2360">
        <v>78.107282604567899</v>
      </c>
      <c r="AM2360">
        <v>93.105322691073198</v>
      </c>
      <c r="AN2360">
        <v>0.99999995182409496</v>
      </c>
    </row>
    <row r="2361" spans="1:40" x14ac:dyDescent="0.25">
      <c r="A2361" t="str">
        <f>"20190303162825363"</f>
        <v>20190303162825363</v>
      </c>
      <c r="B2361" t="str">
        <f>"1551601705354230"</f>
        <v>1551601705354230</v>
      </c>
      <c r="C2361" t="s">
        <v>40</v>
      </c>
      <c r="D2361">
        <v>4.8550219999999999</v>
      </c>
      <c r="E2361">
        <v>0.50401070000000003</v>
      </c>
      <c r="F2361" t="s">
        <v>48</v>
      </c>
      <c r="G2361">
        <v>-462.59780000000001</v>
      </c>
      <c r="H2361" s="1">
        <v>-1.01519E-7</v>
      </c>
      <c r="I2361">
        <v>283.40780000000001</v>
      </c>
      <c r="J2361">
        <v>-444.05520000000001</v>
      </c>
      <c r="K2361">
        <v>1.120047</v>
      </c>
      <c r="L2361">
        <v>284.22250000000003</v>
      </c>
      <c r="M2361">
        <v>-0.99991699999999994</v>
      </c>
      <c r="N2361">
        <v>-1.2820929999999999E-2</v>
      </c>
      <c r="O2361">
        <v>1.309097E-3</v>
      </c>
      <c r="P2361">
        <v>-0.97957620000000001</v>
      </c>
      <c r="Q2361">
        <v>0.19386690000000001</v>
      </c>
      <c r="R2361">
        <v>-5.3350109999999999E-2</v>
      </c>
      <c r="S2361">
        <v>-3.0911870000000001</v>
      </c>
      <c r="T2361">
        <v>-0.183285</v>
      </c>
      <c r="U2361">
        <v>-0.13311770000000001</v>
      </c>
      <c r="V2361">
        <v>-5.4027150000000003E-2</v>
      </c>
      <c r="W2361">
        <v>0.20656830000000001</v>
      </c>
      <c r="X2361">
        <v>0.97693940000000001</v>
      </c>
      <c r="Y2361">
        <v>-4.4235910000000003E-2</v>
      </c>
      <c r="Z2361">
        <v>-1.654448E-3</v>
      </c>
      <c r="AA2361">
        <v>0.99901969999999995</v>
      </c>
      <c r="AB2361">
        <v>35</v>
      </c>
      <c r="AC2361">
        <v>-18.5426</v>
      </c>
      <c r="AD2361">
        <v>-1.1200471015189899</v>
      </c>
      <c r="AE2361">
        <v>-0.81470000000001597</v>
      </c>
      <c r="AF2361">
        <v>-0.83593122025030997</v>
      </c>
      <c r="AG2361">
        <v>-1.1200471015189899</v>
      </c>
      <c r="AH2361">
        <v>18.474241468893101</v>
      </c>
      <c r="AI2361">
        <v>93.465915603998695</v>
      </c>
      <c r="AJ2361">
        <v>92.590779367327997</v>
      </c>
      <c r="AK2361">
        <v>18.5270311805637</v>
      </c>
      <c r="AL2361">
        <v>78.078678655856706</v>
      </c>
      <c r="AM2361">
        <v>93.165373107524701</v>
      </c>
      <c r="AN2361">
        <v>0.99999999338718604</v>
      </c>
    </row>
    <row r="2362" spans="1:40" x14ac:dyDescent="0.25">
      <c r="A2362" t="str">
        <f>"20190303162825387"</f>
        <v>20190303162825387</v>
      </c>
      <c r="B2362" t="str">
        <f>"1551601705373750"</f>
        <v>1551601705373750</v>
      </c>
      <c r="C2362" t="s">
        <v>40</v>
      </c>
      <c r="D2362">
        <v>5.0581649999999998</v>
      </c>
      <c r="E2362">
        <v>0.50376449999999995</v>
      </c>
      <c r="F2362" t="s">
        <v>48</v>
      </c>
      <c r="G2362">
        <v>-462.95580000000001</v>
      </c>
      <c r="H2362" s="1">
        <v>8.8247450000000001E-8</v>
      </c>
      <c r="I2362">
        <v>283.4248</v>
      </c>
      <c r="J2362">
        <v>-444.41590000000002</v>
      </c>
      <c r="K2362">
        <v>1.1200049999999999</v>
      </c>
      <c r="L2362">
        <v>284.22449999999998</v>
      </c>
      <c r="M2362">
        <v>-0.99991419999999998</v>
      </c>
      <c r="N2362">
        <v>-1.2818970000000001E-2</v>
      </c>
      <c r="O2362">
        <v>2.7154850000000001E-3</v>
      </c>
      <c r="P2362">
        <v>-0.97955700000000001</v>
      </c>
      <c r="Q2362">
        <v>0.19407189999999999</v>
      </c>
      <c r="R2362">
        <v>-5.2953960000000001E-2</v>
      </c>
      <c r="S2362">
        <v>-3.0917050000000001</v>
      </c>
      <c r="T2362">
        <v>-0.18321390000000001</v>
      </c>
      <c r="U2362">
        <v>-0.1304932</v>
      </c>
      <c r="V2362">
        <v>-5.498799E-2</v>
      </c>
      <c r="W2362">
        <v>0.2067782</v>
      </c>
      <c r="X2362">
        <v>0.97684139999999997</v>
      </c>
      <c r="Y2362">
        <v>-4.478472E-2</v>
      </c>
      <c r="Z2362">
        <v>-1.7386459999999999E-3</v>
      </c>
      <c r="AA2362">
        <v>0.99899510000000002</v>
      </c>
      <c r="AB2362">
        <v>35</v>
      </c>
      <c r="AC2362">
        <v>-18.5398999999999</v>
      </c>
      <c r="AD2362">
        <v>-1.1200049117525499</v>
      </c>
      <c r="AE2362">
        <v>-0.79969999999997299</v>
      </c>
      <c r="AF2362">
        <v>-0.84696082130114503</v>
      </c>
      <c r="AG2362">
        <v>-1.1200049117525499</v>
      </c>
      <c r="AH2362">
        <v>18.470378700442598</v>
      </c>
      <c r="AI2362">
        <v>93.466413056985701</v>
      </c>
      <c r="AJ2362">
        <v>92.625463804149803</v>
      </c>
      <c r="AK2362">
        <v>18.5236779008093</v>
      </c>
      <c r="AL2362">
        <v>78.0663871168464</v>
      </c>
      <c r="AM2362">
        <v>93.221872319092896</v>
      </c>
      <c r="AN2362">
        <v>1.0000000118967201</v>
      </c>
    </row>
    <row r="2363" spans="1:40" x14ac:dyDescent="0.25">
      <c r="A2363" t="str">
        <f>"20190303162825408"</f>
        <v>20190303162825408</v>
      </c>
      <c r="B2363" t="str">
        <f>"1551601705394247"</f>
        <v>1551601705394247</v>
      </c>
      <c r="C2363" t="s">
        <v>40</v>
      </c>
      <c r="D2363">
        <v>5.0800400000000003</v>
      </c>
      <c r="E2363">
        <v>0.4636728</v>
      </c>
      <c r="F2363" t="s">
        <v>48</v>
      </c>
      <c r="G2363">
        <v>-463.15710000000001</v>
      </c>
      <c r="H2363" s="1">
        <v>1.954662E-7</v>
      </c>
      <c r="I2363">
        <v>283.42219999999998</v>
      </c>
      <c r="J2363">
        <v>-444.77140000000003</v>
      </c>
      <c r="K2363">
        <v>1.1199709999999901</v>
      </c>
      <c r="L2363">
        <v>284.22680000000003</v>
      </c>
      <c r="M2363">
        <v>-0.99990950000000001</v>
      </c>
      <c r="N2363">
        <v>-1.281704E-2</v>
      </c>
      <c r="O2363">
        <v>4.1247849999999997E-3</v>
      </c>
      <c r="P2363">
        <v>-0.97957629999999996</v>
      </c>
      <c r="Q2363">
        <v>0.1941116</v>
      </c>
      <c r="R2363">
        <v>-5.2450469999999999E-2</v>
      </c>
      <c r="S2363">
        <v>-3.0920719999999999</v>
      </c>
      <c r="T2363">
        <v>-0.1847867</v>
      </c>
      <c r="U2363">
        <v>-0.13235469999999999</v>
      </c>
      <c r="V2363">
        <v>-5.5850089999999998E-2</v>
      </c>
      <c r="W2363">
        <v>0.20682210000000001</v>
      </c>
      <c r="X2363">
        <v>0.97678319999999996</v>
      </c>
      <c r="Y2363">
        <v>-4.6780599999999999E-2</v>
      </c>
      <c r="Z2363">
        <v>-1.8895920000000001E-3</v>
      </c>
      <c r="AA2363">
        <v>0.9989034</v>
      </c>
      <c r="AB2363">
        <v>35</v>
      </c>
      <c r="AC2363">
        <v>-18.3856999999999</v>
      </c>
      <c r="AD2363">
        <v>-1.1199708045337999</v>
      </c>
      <c r="AE2363">
        <v>-0.80460000000005005</v>
      </c>
      <c r="AF2363">
        <v>-0.87718769455133305</v>
      </c>
      <c r="AG2363">
        <v>-1.1199708045337999</v>
      </c>
      <c r="AH2363">
        <v>18.3143956025744</v>
      </c>
      <c r="AI2363">
        <v>93.495424406405505</v>
      </c>
      <c r="AJ2363">
        <v>92.742147465283793</v>
      </c>
      <c r="AK2363">
        <v>18.369563934456298</v>
      </c>
      <c r="AL2363">
        <v>78.063816316639503</v>
      </c>
      <c r="AM2363">
        <v>93.272470358354198</v>
      </c>
      <c r="AN2363">
        <v>1.0000000167018199</v>
      </c>
    </row>
    <row r="2364" spans="1:40" x14ac:dyDescent="0.25">
      <c r="A2364" t="str">
        <f>"20190303162825431"</f>
        <v>20190303162825431</v>
      </c>
      <c r="B2364" t="str">
        <f>"1551601705423527"</f>
        <v>1551601705423527</v>
      </c>
      <c r="C2364" t="s">
        <v>40</v>
      </c>
      <c r="D2364">
        <v>4.9140879999999996</v>
      </c>
      <c r="E2364">
        <v>0.4584492</v>
      </c>
      <c r="F2364" t="s">
        <v>48</v>
      </c>
      <c r="G2364">
        <v>-466.5489</v>
      </c>
      <c r="H2364" s="1">
        <v>2.1049119999999999E-6</v>
      </c>
      <c r="I2364">
        <v>281.03160000000003</v>
      </c>
      <c r="J2364">
        <v>-445.1216</v>
      </c>
      <c r="K2364">
        <v>1.1199490000000001</v>
      </c>
      <c r="L2364">
        <v>284.2296</v>
      </c>
      <c r="M2364">
        <v>-0.99990270000000003</v>
      </c>
      <c r="N2364">
        <v>-1.2815200000000001E-2</v>
      </c>
      <c r="O2364">
        <v>5.5277850000000003E-3</v>
      </c>
      <c r="P2364">
        <v>-0.97960320000000001</v>
      </c>
      <c r="Q2364">
        <v>0.19418189999999999</v>
      </c>
      <c r="R2364">
        <v>-5.1684180000000003E-2</v>
      </c>
      <c r="S2364">
        <v>-3.0696720000000002</v>
      </c>
      <c r="T2364">
        <v>-0.15786620000000001</v>
      </c>
      <c r="U2364">
        <v>-0.45037840000000001</v>
      </c>
      <c r="V2364">
        <v>-5.6446759999999999E-2</v>
      </c>
      <c r="W2364">
        <v>0.2068953</v>
      </c>
      <c r="X2364">
        <v>0.97673339999999997</v>
      </c>
      <c r="Y2364">
        <v>-0.15038409999999999</v>
      </c>
      <c r="Z2364">
        <v>-5.025608E-3</v>
      </c>
      <c r="AA2364">
        <v>0.98861489999999996</v>
      </c>
      <c r="AB2364">
        <v>35</v>
      </c>
      <c r="AC2364">
        <v>-21.427299999999999</v>
      </c>
      <c r="AD2364">
        <v>-1.119946895088</v>
      </c>
      <c r="AE2364">
        <v>-3.1979999999999702</v>
      </c>
      <c r="AF2364">
        <v>-3.3075674021055099</v>
      </c>
      <c r="AG2364">
        <v>-1.119946895088</v>
      </c>
      <c r="AH2364">
        <v>21.3522327865414</v>
      </c>
      <c r="AI2364">
        <v>92.967148288038999</v>
      </c>
      <c r="AJ2364">
        <v>98.8054169424544</v>
      </c>
      <c r="AK2364">
        <v>21.6358990600793</v>
      </c>
      <c r="AL2364">
        <v>78.059529565436307</v>
      </c>
      <c r="AM2364">
        <v>93.307522588849395</v>
      </c>
      <c r="AN2364">
        <v>1.00000001827607</v>
      </c>
    </row>
    <row r="2365" spans="1:40" x14ac:dyDescent="0.25">
      <c r="A2365" t="str">
        <f>"20190303162825452"</f>
        <v>20190303162825452</v>
      </c>
      <c r="B2365" t="str">
        <f>"1551601705444023"</f>
        <v>1551601705444023</v>
      </c>
      <c r="C2365" t="s">
        <v>40</v>
      </c>
      <c r="D2365">
        <v>4.9175149999999999</v>
      </c>
      <c r="E2365">
        <v>0.45812629999999999</v>
      </c>
      <c r="F2365" t="s">
        <v>48</v>
      </c>
      <c r="G2365">
        <v>-466.37729999999999</v>
      </c>
      <c r="H2365" s="1">
        <v>2.0217259999999999E-6</v>
      </c>
      <c r="I2365">
        <v>280.84500000000003</v>
      </c>
      <c r="J2365">
        <v>-445.47019999999998</v>
      </c>
      <c r="K2365">
        <v>1.1199319999999999</v>
      </c>
      <c r="L2365">
        <v>284.233</v>
      </c>
      <c r="M2365">
        <v>-0.99989399999999995</v>
      </c>
      <c r="N2365">
        <v>-1.281353E-2</v>
      </c>
      <c r="O2365">
        <v>6.9311939999999999E-3</v>
      </c>
      <c r="P2365">
        <v>-0.97972510000000002</v>
      </c>
      <c r="Q2365">
        <v>0.19375600000000001</v>
      </c>
      <c r="R2365">
        <v>-5.0964719999999998E-2</v>
      </c>
      <c r="S2365">
        <v>-3.068756</v>
      </c>
      <c r="T2365">
        <v>-0.161691</v>
      </c>
      <c r="U2365">
        <v>-0.48864750000000001</v>
      </c>
      <c r="V2365">
        <v>-5.709608E-2</v>
      </c>
      <c r="W2365">
        <v>0.20647270000000001</v>
      </c>
      <c r="X2365">
        <v>0.97678509999999996</v>
      </c>
      <c r="Y2365">
        <v>-0.1638116</v>
      </c>
      <c r="Z2365">
        <v>-5.6171509999999999E-3</v>
      </c>
      <c r="AA2365">
        <v>0.98647560000000001</v>
      </c>
      <c r="AB2365">
        <v>35</v>
      </c>
      <c r="AC2365">
        <v>-20.9071</v>
      </c>
      <c r="AD2365">
        <v>-1.119929978274</v>
      </c>
      <c r="AE2365">
        <v>-3.3879999999999701</v>
      </c>
      <c r="AF2365">
        <v>-3.5229913781817399</v>
      </c>
      <c r="AG2365">
        <v>-1.119929978274</v>
      </c>
      <c r="AH2365">
        <v>20.8248865865176</v>
      </c>
      <c r="AI2365">
        <v>93.035267735698099</v>
      </c>
      <c r="AJ2365">
        <v>99.601940445682899</v>
      </c>
      <c r="AK2365">
        <v>21.1504518331949</v>
      </c>
      <c r="AL2365">
        <v>78.084277317805999</v>
      </c>
      <c r="AM2365">
        <v>93.345307179075704</v>
      </c>
      <c r="AN2365">
        <v>1.0000000348893301</v>
      </c>
    </row>
    <row r="2366" spans="1:40" x14ac:dyDescent="0.25">
      <c r="A2366" t="str">
        <f>"20190303162825475"</f>
        <v>20190303162825475</v>
      </c>
      <c r="B2366" t="str">
        <f>"1551601705463544"</f>
        <v>1551601705463544</v>
      </c>
      <c r="C2366" t="s">
        <v>40</v>
      </c>
      <c r="D2366">
        <v>4.8955159999999998</v>
      </c>
      <c r="E2366">
        <v>0.45822010000000002</v>
      </c>
      <c r="F2366" t="s">
        <v>48</v>
      </c>
      <c r="G2366">
        <v>-466.40789999999998</v>
      </c>
      <c r="H2366" s="1">
        <v>2.035232E-6</v>
      </c>
      <c r="I2366">
        <v>280.90949999999998</v>
      </c>
      <c r="J2366">
        <v>-445.81790000000001</v>
      </c>
      <c r="K2366">
        <v>1.119923</v>
      </c>
      <c r="L2366">
        <v>284.23669999999998</v>
      </c>
      <c r="M2366">
        <v>-0.99988319999999997</v>
      </c>
      <c r="N2366">
        <v>-1.2811950000000001E-2</v>
      </c>
      <c r="O2366">
        <v>8.3344360000000006E-3</v>
      </c>
      <c r="P2366">
        <v>-0.97980460000000003</v>
      </c>
      <c r="Q2366">
        <v>0.19371830000000001</v>
      </c>
      <c r="R2366">
        <v>-4.9561340000000002E-2</v>
      </c>
      <c r="S2366">
        <v>-3.0691830000000002</v>
      </c>
      <c r="T2366">
        <v>-0.164165899999999</v>
      </c>
      <c r="U2366">
        <v>-0.48718260000000002</v>
      </c>
      <c r="V2366">
        <v>-5.7062090000000003E-2</v>
      </c>
      <c r="W2366">
        <v>0.20643439999999999</v>
      </c>
      <c r="X2366">
        <v>0.97679510000000003</v>
      </c>
      <c r="Y2366">
        <v>-0.16470479999999901</v>
      </c>
      <c r="Z2366">
        <v>-5.7737839999999997E-3</v>
      </c>
      <c r="AA2366">
        <v>0.98632600000000004</v>
      </c>
      <c r="AB2366">
        <v>35</v>
      </c>
      <c r="AC2366">
        <v>-20.5899999999999</v>
      </c>
      <c r="AD2366">
        <v>-1.119920964768</v>
      </c>
      <c r="AE2366">
        <v>-3.3271999999999999</v>
      </c>
      <c r="AF2366">
        <v>-3.4886462532328202</v>
      </c>
      <c r="AG2366">
        <v>-1.119920964768</v>
      </c>
      <c r="AH2366">
        <v>20.502440537865802</v>
      </c>
      <c r="AI2366">
        <v>93.082387861908799</v>
      </c>
      <c r="AJ2366">
        <v>99.656821751842102</v>
      </c>
      <c r="AK2366">
        <v>20.827264430458602</v>
      </c>
      <c r="AL2366">
        <v>78.086519103220198</v>
      </c>
      <c r="AM2366">
        <v>93.343286045590503</v>
      </c>
      <c r="AN2366">
        <v>0.99999995550126797</v>
      </c>
    </row>
    <row r="2367" spans="1:40" x14ac:dyDescent="0.25">
      <c r="A2367" t="str">
        <f>"20190303162825498"</f>
        <v>20190303162825498</v>
      </c>
      <c r="B2367" t="str">
        <f>"1551601705484039"</f>
        <v>1551601705484039</v>
      </c>
      <c r="C2367" t="s">
        <v>40</v>
      </c>
      <c r="D2367">
        <v>4.9546700000000001</v>
      </c>
      <c r="E2367">
        <v>0.45826689999999998</v>
      </c>
      <c r="F2367" t="s">
        <v>48</v>
      </c>
      <c r="G2367">
        <v>-466.60329999999999</v>
      </c>
      <c r="H2367" s="1">
        <v>2.1362859999999998E-6</v>
      </c>
      <c r="I2367">
        <v>280.97609999999997</v>
      </c>
      <c r="J2367">
        <v>-446.18130000000002</v>
      </c>
      <c r="K2367">
        <v>1.1199110000000001</v>
      </c>
      <c r="L2367">
        <v>284.24119999999999</v>
      </c>
      <c r="M2367">
        <v>-0.99986989999999998</v>
      </c>
      <c r="N2367">
        <v>-1.281031E-2</v>
      </c>
      <c r="O2367">
        <v>9.8000610000000005E-3</v>
      </c>
      <c r="P2367">
        <v>-0.97987639999999998</v>
      </c>
      <c r="Q2367">
        <v>0.1937999</v>
      </c>
      <c r="R2367">
        <v>-4.7790350000000002E-2</v>
      </c>
      <c r="S2367">
        <v>-3.0702210000000001</v>
      </c>
      <c r="T2367">
        <v>-0.16542409999999999</v>
      </c>
      <c r="U2367">
        <v>-0.48162840000000001</v>
      </c>
      <c r="V2367">
        <v>-5.6722019999999998E-2</v>
      </c>
      <c r="W2367">
        <v>0.20651459999999999</v>
      </c>
      <c r="X2367">
        <v>0.97679800000000006</v>
      </c>
      <c r="Y2367">
        <v>-0.16435339999999901</v>
      </c>
      <c r="Z2367">
        <v>-5.8575779999999996E-3</v>
      </c>
      <c r="AA2367">
        <v>0.98638419999999905</v>
      </c>
      <c r="AB2367">
        <v>35</v>
      </c>
      <c r="AC2367">
        <v>-20.421999999999901</v>
      </c>
      <c r="AD2367">
        <v>-1.119908863714</v>
      </c>
      <c r="AE2367">
        <v>-3.2651000000000101</v>
      </c>
      <c r="AF2367">
        <v>-3.4549654922497601</v>
      </c>
      <c r="AG2367">
        <v>-1.119908863714</v>
      </c>
      <c r="AH2367">
        <v>20.329406625609899</v>
      </c>
      <c r="AI2367">
        <v>93.108645757139101</v>
      </c>
      <c r="AJ2367">
        <v>99.6452139551306</v>
      </c>
      <c r="AK2367">
        <v>20.651289455262901</v>
      </c>
      <c r="AL2367">
        <v>78.081823325506207</v>
      </c>
      <c r="AM2367">
        <v>93.323396185965805</v>
      </c>
      <c r="AN2367">
        <v>1.00000000018502</v>
      </c>
    </row>
    <row r="2368" spans="1:40" x14ac:dyDescent="0.25">
      <c r="A2368" t="str">
        <f>"20190303162825520"</f>
        <v>20190303162825520</v>
      </c>
      <c r="B2368" t="str">
        <f>"1551601705513319"</f>
        <v>1551601705513319</v>
      </c>
      <c r="C2368" t="s">
        <v>40</v>
      </c>
      <c r="D2368">
        <v>4.934914</v>
      </c>
      <c r="E2368">
        <v>0.45827410000000002</v>
      </c>
      <c r="F2368" t="s">
        <v>48</v>
      </c>
      <c r="G2368">
        <v>-466.1277</v>
      </c>
      <c r="H2368" s="1">
        <v>1.8756080000000001E-6</v>
      </c>
      <c r="I2368">
        <v>281.14980000000003</v>
      </c>
      <c r="J2368">
        <v>-446.53300000000002</v>
      </c>
      <c r="K2368">
        <v>1.1199030000000001</v>
      </c>
      <c r="L2368">
        <v>284.24599999999998</v>
      </c>
      <c r="M2368">
        <v>-0.99985520000000006</v>
      </c>
      <c r="N2368">
        <v>-1.280883E-2</v>
      </c>
      <c r="O2368">
        <v>1.121631E-2</v>
      </c>
      <c r="P2368">
        <v>-0.97999230000000004</v>
      </c>
      <c r="Q2368">
        <v>0.19346730000000001</v>
      </c>
      <c r="R2368">
        <v>-4.6755030000000003E-2</v>
      </c>
      <c r="S2368">
        <v>-3.07254</v>
      </c>
      <c r="T2368">
        <v>-0.17251040000000001</v>
      </c>
      <c r="U2368">
        <v>-0.47619630000000002</v>
      </c>
      <c r="V2368">
        <v>-5.7072619999999998E-2</v>
      </c>
      <c r="W2368">
        <v>0.2061839</v>
      </c>
      <c r="X2368">
        <v>0.97684749999999998</v>
      </c>
      <c r="Y2368">
        <v>-0.1639101</v>
      </c>
      <c r="Z2368">
        <v>-6.1105580000000003E-3</v>
      </c>
      <c r="AA2368">
        <v>0.98645629999999995</v>
      </c>
      <c r="AB2368">
        <v>35</v>
      </c>
      <c r="AC2368">
        <v>-19.5946999999999</v>
      </c>
      <c r="AD2368">
        <v>-1.1199011243920001</v>
      </c>
      <c r="AE2368">
        <v>-3.0961999999999499</v>
      </c>
      <c r="AF2368">
        <v>-3.3052697831153099</v>
      </c>
      <c r="AG2368">
        <v>-1.1199011243920001</v>
      </c>
      <c r="AH2368">
        <v>19.496602198946999</v>
      </c>
      <c r="AI2368">
        <v>93.241356389703995</v>
      </c>
      <c r="AJ2368">
        <v>99.621901544962796</v>
      </c>
      <c r="AK2368">
        <v>19.8064758140255</v>
      </c>
      <c r="AL2368">
        <v>78.101188533378107</v>
      </c>
      <c r="AM2368">
        <v>93.343722635390606</v>
      </c>
      <c r="AN2368">
        <v>1.0000000614145601</v>
      </c>
    </row>
    <row r="2369" spans="1:40" x14ac:dyDescent="0.25">
      <c r="A2369" t="str">
        <f>"20190303162825553"</f>
        <v>20190303162825553</v>
      </c>
      <c r="B2369" t="str">
        <f>"1551601705543575"</f>
        <v>1551601705543575</v>
      </c>
      <c r="C2369" t="s">
        <v>40</v>
      </c>
      <c r="D2369">
        <v>4.8993779999999996</v>
      </c>
      <c r="E2369">
        <v>0.45826440000000002</v>
      </c>
      <c r="F2369" t="s">
        <v>48</v>
      </c>
      <c r="G2369">
        <v>-465.27190000000002</v>
      </c>
      <c r="H2369" s="1">
        <v>1.410721E-6</v>
      </c>
      <c r="I2369">
        <v>281.36590000000001</v>
      </c>
      <c r="J2369">
        <v>-447.04730000000001</v>
      </c>
      <c r="K2369">
        <v>1.1198920000000001</v>
      </c>
      <c r="L2369">
        <v>284.25409999999999</v>
      </c>
      <c r="M2369">
        <v>-0.99982969999999904</v>
      </c>
      <c r="N2369">
        <v>-1.280681E-2</v>
      </c>
      <c r="O2369">
        <v>1.328676E-2</v>
      </c>
      <c r="P2369">
        <v>-0.98021100000000005</v>
      </c>
      <c r="Q2369">
        <v>0.19275010000000001</v>
      </c>
      <c r="R2369">
        <v>-4.5101229999999999E-2</v>
      </c>
      <c r="S2369">
        <v>-3.0750120000000001</v>
      </c>
      <c r="T2369">
        <v>-0.1837732</v>
      </c>
      <c r="U2369">
        <v>-0.47262569999999998</v>
      </c>
      <c r="V2369">
        <v>-5.7448029999999997E-2</v>
      </c>
      <c r="W2369">
        <v>0.2054685</v>
      </c>
      <c r="X2369">
        <v>0.97697619999999996</v>
      </c>
      <c r="Y2369">
        <v>-0.16467089999999901</v>
      </c>
      <c r="Z2369">
        <v>-6.5693100000000001E-3</v>
      </c>
      <c r="AA2369">
        <v>0.9863267</v>
      </c>
      <c r="AB2369">
        <v>35</v>
      </c>
      <c r="AC2369">
        <v>-18.224599999999999</v>
      </c>
      <c r="AD2369">
        <v>-1.1198905892790001</v>
      </c>
      <c r="AE2369">
        <v>-2.8881999999999799</v>
      </c>
      <c r="AF2369">
        <v>-3.1186232610542</v>
      </c>
      <c r="AG2369">
        <v>-1.1198905892790001</v>
      </c>
      <c r="AH2369">
        <v>18.1178755606972</v>
      </c>
      <c r="AI2369">
        <v>93.485895284991201</v>
      </c>
      <c r="AJ2369">
        <v>99.766595085523605</v>
      </c>
      <c r="AK2369">
        <v>18.418397889318499</v>
      </c>
      <c r="AL2369">
        <v>78.143074495521901</v>
      </c>
      <c r="AM2369">
        <v>93.365224094053502</v>
      </c>
      <c r="AN2369">
        <v>1.00000003800478</v>
      </c>
    </row>
    <row r="2370" spans="1:40" x14ac:dyDescent="0.25">
      <c r="A2370" t="str">
        <f>"20190303162825575"</f>
        <v>20190303162825575</v>
      </c>
      <c r="B2370" t="str">
        <f>"1551601705564071"</f>
        <v>1551601705564071</v>
      </c>
      <c r="C2370" t="s">
        <v>40</v>
      </c>
      <c r="D2370">
        <v>4.9177970000000002</v>
      </c>
      <c r="E2370">
        <v>0.45815210000000001</v>
      </c>
      <c r="F2370" t="s">
        <v>48</v>
      </c>
      <c r="G2370">
        <v>-465.33539999999999</v>
      </c>
      <c r="H2370" s="1">
        <v>1.4397120000000001E-6</v>
      </c>
      <c r="I2370">
        <v>281.476</v>
      </c>
      <c r="J2370">
        <v>-447.40679999999998</v>
      </c>
      <c r="K2370">
        <v>1.1198859999999999</v>
      </c>
      <c r="L2370">
        <v>284.26029999999997</v>
      </c>
      <c r="M2370">
        <v>-0.99980950000000002</v>
      </c>
      <c r="N2370">
        <v>-1.280539E-2</v>
      </c>
      <c r="O2370">
        <v>1.473324E-2</v>
      </c>
      <c r="P2370">
        <v>-0.98038349999999996</v>
      </c>
      <c r="Q2370">
        <v>0.1922335</v>
      </c>
      <c r="R2370">
        <v>-4.352876E-2</v>
      </c>
      <c r="S2370">
        <v>-3.076111</v>
      </c>
      <c r="T2370">
        <v>-0.18836890000000001</v>
      </c>
      <c r="U2370">
        <v>-0.46728520000000001</v>
      </c>
      <c r="V2370">
        <v>-5.7295510000000001E-2</v>
      </c>
      <c r="W2370">
        <v>0.20495189999999999</v>
      </c>
      <c r="X2370">
        <v>0.97709360000000001</v>
      </c>
      <c r="Y2370">
        <v>-0.16435369999999999</v>
      </c>
      <c r="Z2370">
        <v>-6.7674500000000004E-3</v>
      </c>
      <c r="AA2370">
        <v>0.98637830000000004</v>
      </c>
      <c r="AB2370">
        <v>35</v>
      </c>
      <c r="AC2370">
        <v>-17.928599999999999</v>
      </c>
      <c r="AD2370">
        <v>-1.1198845602879901</v>
      </c>
      <c r="AE2370">
        <v>-2.7842999999999698</v>
      </c>
      <c r="AF2370">
        <v>-3.0365968876427498</v>
      </c>
      <c r="AG2370">
        <v>-1.1198845602879901</v>
      </c>
      <c r="AH2370">
        <v>17.817746282970599</v>
      </c>
      <c r="AI2370">
        <v>93.545448306390995</v>
      </c>
      <c r="AJ2370">
        <v>99.671733756550495</v>
      </c>
      <c r="AK2370">
        <v>18.1093109943677</v>
      </c>
      <c r="AL2370">
        <v>78.173316424014601</v>
      </c>
      <c r="AM2370">
        <v>93.355907794102507</v>
      </c>
      <c r="AN2370">
        <v>0.99999997997036405</v>
      </c>
    </row>
    <row r="2371" spans="1:40" x14ac:dyDescent="0.25">
      <c r="A2371" t="str">
        <f>"20190303162825599"</f>
        <v>20190303162825599</v>
      </c>
      <c r="B2371" t="str">
        <f>"1551601705593352"</f>
        <v>1551601705593352</v>
      </c>
      <c r="C2371" t="s">
        <v>40</v>
      </c>
      <c r="D2371">
        <v>4.8782019999999999</v>
      </c>
      <c r="E2371">
        <v>0.45797149999999998</v>
      </c>
      <c r="F2371" t="s">
        <v>48</v>
      </c>
      <c r="G2371">
        <v>-465.25119999999998</v>
      </c>
      <c r="H2371" s="1">
        <v>1.3907070000000001E-6</v>
      </c>
      <c r="I2371">
        <v>281.57240000000002</v>
      </c>
      <c r="J2371">
        <v>-447.76749999999998</v>
      </c>
      <c r="K2371">
        <v>1.1198809999999999</v>
      </c>
      <c r="L2371">
        <v>284.26710000000003</v>
      </c>
      <c r="M2371">
        <v>-0.99978710000000004</v>
      </c>
      <c r="N2371">
        <v>-1.280392E-2</v>
      </c>
      <c r="O2371">
        <v>1.6184529999999999E-2</v>
      </c>
      <c r="P2371">
        <v>-0.98050099999999996</v>
      </c>
      <c r="Q2371">
        <v>0.19199769999999999</v>
      </c>
      <c r="R2371">
        <v>-4.1891589999999999E-2</v>
      </c>
      <c r="S2371">
        <v>-3.0773320000000002</v>
      </c>
      <c r="T2371">
        <v>-0.19312779999999999</v>
      </c>
      <c r="U2371">
        <v>-0.46353149999999999</v>
      </c>
      <c r="V2371">
        <v>-5.7081750000000001E-2</v>
      </c>
      <c r="W2371">
        <v>0.20471520000000001</v>
      </c>
      <c r="X2371">
        <v>0.97715569999999896</v>
      </c>
      <c r="Y2371">
        <v>-0.16453099999999901</v>
      </c>
      <c r="Z2371">
        <v>-6.9928639999999997E-3</v>
      </c>
      <c r="AA2371">
        <v>0.98634710000000003</v>
      </c>
      <c r="AB2371">
        <v>35</v>
      </c>
      <c r="AC2371">
        <v>-17.483699999999999</v>
      </c>
      <c r="AD2371">
        <v>-1.1198796092929999</v>
      </c>
      <c r="AE2371">
        <v>-2.6947000000000099</v>
      </c>
      <c r="AF2371">
        <v>-2.9654514199423998</v>
      </c>
      <c r="AG2371">
        <v>-1.1198796092929999</v>
      </c>
      <c r="AH2371">
        <v>17.368189566459002</v>
      </c>
      <c r="AI2371">
        <v>93.636769757458893</v>
      </c>
      <c r="AJ2371">
        <v>99.689269821301195</v>
      </c>
      <c r="AK2371">
        <v>17.655085422614199</v>
      </c>
      <c r="AL2371">
        <v>78.187171769022001</v>
      </c>
      <c r="AM2371">
        <v>93.343203919244502</v>
      </c>
      <c r="AN2371">
        <v>0.99999995066829495</v>
      </c>
    </row>
    <row r="2372" spans="1:40" x14ac:dyDescent="0.25">
      <c r="A2372" t="str">
        <f>"20190303162825621"</f>
        <v>20190303162825621</v>
      </c>
      <c r="B2372" t="str">
        <f>"1551601705613846"</f>
        <v>1551601705613846</v>
      </c>
      <c r="C2372" t="s">
        <v>40</v>
      </c>
      <c r="D2372">
        <v>5.0035660000000002</v>
      </c>
      <c r="E2372">
        <v>0.45768389999999998</v>
      </c>
      <c r="F2372" t="s">
        <v>48</v>
      </c>
      <c r="G2372">
        <v>-465.16770000000002</v>
      </c>
      <c r="H2372" s="1">
        <v>1.342115E-6</v>
      </c>
      <c r="I2372">
        <v>281.66750000000002</v>
      </c>
      <c r="J2372">
        <v>-448.12290000000002</v>
      </c>
      <c r="K2372">
        <v>1.1198779999999999</v>
      </c>
      <c r="L2372">
        <v>284.27429999999998</v>
      </c>
      <c r="M2372">
        <v>-0.99976299999999996</v>
      </c>
      <c r="N2372">
        <v>-1.2809829999999999E-2</v>
      </c>
      <c r="O2372">
        <v>1.7613779999999999E-2</v>
      </c>
      <c r="P2372">
        <v>-0.98064609999999997</v>
      </c>
      <c r="Q2372">
        <v>0.19160430000000001</v>
      </c>
      <c r="R2372">
        <v>-4.0264800000000003E-2</v>
      </c>
      <c r="S2372">
        <v>-3.078735</v>
      </c>
      <c r="T2372">
        <v>-0.19814709999999999</v>
      </c>
      <c r="U2372">
        <v>-0.45996090000000001</v>
      </c>
      <c r="V2372">
        <v>-5.6859079999999999E-2</v>
      </c>
      <c r="W2372">
        <v>0.20432790000000001</v>
      </c>
      <c r="X2372">
        <v>0.97724979999999995</v>
      </c>
      <c r="Y2372">
        <v>-0.1647342</v>
      </c>
      <c r="Z2372">
        <v>-7.2311800000000002E-3</v>
      </c>
      <c r="AA2372">
        <v>0.98631150000000001</v>
      </c>
      <c r="AB2372">
        <v>35</v>
      </c>
      <c r="AC2372">
        <v>-17.044799999999999</v>
      </c>
      <c r="AD2372">
        <v>-1.1198766578849999</v>
      </c>
      <c r="AE2372">
        <v>-2.6067999999999598</v>
      </c>
      <c r="AF2372">
        <v>-2.8944344904156001</v>
      </c>
      <c r="AG2372">
        <v>-1.1198766578849999</v>
      </c>
      <c r="AH2372">
        <v>16.9248455242383</v>
      </c>
      <c r="AI2372">
        <v>93.731588044217503</v>
      </c>
      <c r="AJ2372">
        <v>99.704662918838196</v>
      </c>
      <c r="AK2372">
        <v>17.207041313587599</v>
      </c>
      <c r="AL2372">
        <v>78.209842313050302</v>
      </c>
      <c r="AM2372">
        <v>93.329871891177405</v>
      </c>
      <c r="AN2372">
        <v>1.00000000864844</v>
      </c>
    </row>
    <row r="2373" spans="1:40" x14ac:dyDescent="0.25">
      <c r="A2373" t="str">
        <f>"20190303162825642"</f>
        <v>20190303162825642</v>
      </c>
      <c r="B2373" t="str">
        <f>"1551601705633367"</f>
        <v>1551601705633367</v>
      </c>
      <c r="C2373" t="s">
        <v>40</v>
      </c>
      <c r="D2373">
        <v>4.94543</v>
      </c>
      <c r="E2373">
        <v>0.45734160000000001</v>
      </c>
      <c r="F2373" t="s">
        <v>48</v>
      </c>
      <c r="G2373">
        <v>-465.73809999999997</v>
      </c>
      <c r="H2373" s="1">
        <v>1.646014E-6</v>
      </c>
      <c r="I2373">
        <v>281.65949999999998</v>
      </c>
      <c r="J2373">
        <v>-448.4545</v>
      </c>
      <c r="K2373">
        <v>1.1198809999999999</v>
      </c>
      <c r="L2373">
        <v>284.28140000000002</v>
      </c>
      <c r="M2373">
        <v>-0.99973829999999997</v>
      </c>
      <c r="N2373">
        <v>-1.28276E-2</v>
      </c>
      <c r="O2373">
        <v>1.894676E-2</v>
      </c>
      <c r="P2373">
        <v>-0.98077950000000003</v>
      </c>
      <c r="Q2373">
        <v>0.19117809999999999</v>
      </c>
      <c r="R2373">
        <v>-3.902129E-2</v>
      </c>
      <c r="S2373">
        <v>-3.0786739999999999</v>
      </c>
      <c r="T2373">
        <v>-0.19572439999999999</v>
      </c>
      <c r="U2373">
        <v>-0.45700069999999998</v>
      </c>
      <c r="V2373">
        <v>-5.6925980000000001E-2</v>
      </c>
      <c r="W2373">
        <v>0.20392080000000001</v>
      </c>
      <c r="X2373">
        <v>0.9773309</v>
      </c>
      <c r="Y2373">
        <v>-0.1651311</v>
      </c>
      <c r="Z2373">
        <v>-7.2371309999999999E-3</v>
      </c>
      <c r="AA2373">
        <v>0.98624509999999999</v>
      </c>
      <c r="AB2373">
        <v>35</v>
      </c>
      <c r="AC2373">
        <v>-17.2835999999999</v>
      </c>
      <c r="AD2373">
        <v>-1.1198793539859999</v>
      </c>
      <c r="AE2373">
        <v>-2.6219000000000299</v>
      </c>
      <c r="AF2373">
        <v>-2.9368718830992901</v>
      </c>
      <c r="AG2373">
        <v>-1.1198793539859999</v>
      </c>
      <c r="AH2373">
        <v>17.160392444858498</v>
      </c>
      <c r="AI2373">
        <v>93.680441524080194</v>
      </c>
      <c r="AJ2373">
        <v>99.711653157307694</v>
      </c>
      <c r="AK2373">
        <v>17.445871003959098</v>
      </c>
      <c r="AL2373">
        <v>78.233668684894695</v>
      </c>
      <c r="AM2373">
        <v>93.333504946776898</v>
      </c>
      <c r="AN2373">
        <v>0.99999997398320395</v>
      </c>
    </row>
    <row r="2374" spans="1:40" x14ac:dyDescent="0.25">
      <c r="A2374" t="str">
        <f>"20190303162825665"</f>
        <v>20190303162825665</v>
      </c>
      <c r="B2374" t="str">
        <f>"1551601705653863"</f>
        <v>1551601705653863</v>
      </c>
      <c r="C2374" t="s">
        <v>40</v>
      </c>
      <c r="D2374">
        <v>4.9428919999999996</v>
      </c>
      <c r="E2374">
        <v>0.4570591</v>
      </c>
      <c r="F2374" t="s">
        <v>48</v>
      </c>
      <c r="G2374">
        <v>-465.9348</v>
      </c>
      <c r="H2374" s="1">
        <v>1.7490600000000001E-6</v>
      </c>
      <c r="I2374">
        <v>281.69690000000003</v>
      </c>
      <c r="J2374">
        <v>-448.80610000000001</v>
      </c>
      <c r="K2374">
        <v>1.1198889999999999</v>
      </c>
      <c r="L2374">
        <v>284.2894</v>
      </c>
      <c r="M2374">
        <v>-0.99970999999999999</v>
      </c>
      <c r="N2374">
        <v>-1.2867770000000001E-2</v>
      </c>
      <c r="O2374">
        <v>2.0357150000000001E-2</v>
      </c>
      <c r="P2374">
        <v>-0.98084610000000005</v>
      </c>
      <c r="Q2374">
        <v>0.19104570000000001</v>
      </c>
      <c r="R2374">
        <v>-3.7980899999999998E-2</v>
      </c>
      <c r="S2374">
        <v>-3.079132</v>
      </c>
      <c r="T2374">
        <v>-0.19726489999999999</v>
      </c>
      <c r="U2374">
        <v>-0.45526119999999998</v>
      </c>
      <c r="V2374">
        <v>-5.727057E-2</v>
      </c>
      <c r="W2374">
        <v>0.20382839999999999</v>
      </c>
      <c r="X2374">
        <v>0.97733009999999998</v>
      </c>
      <c r="Y2374">
        <v>-0.16594579999999901</v>
      </c>
      <c r="Z2374">
        <v>-7.392376E-3</v>
      </c>
      <c r="AA2374">
        <v>0.98610719999999996</v>
      </c>
      <c r="AB2374">
        <v>35</v>
      </c>
      <c r="AC2374">
        <v>-17.128699999999899</v>
      </c>
      <c r="AD2374">
        <v>-1.11988725094</v>
      </c>
      <c r="AE2374">
        <v>-2.5924999999999701</v>
      </c>
      <c r="AF2374">
        <v>-2.9284453310503</v>
      </c>
      <c r="AG2374">
        <v>-1.11988725094</v>
      </c>
      <c r="AH2374">
        <v>17.001322558454198</v>
      </c>
      <c r="AI2374">
        <v>93.714124065106105</v>
      </c>
      <c r="AJ2374">
        <v>99.773186743064997</v>
      </c>
      <c r="AK2374">
        <v>17.2879989659987</v>
      </c>
      <c r="AL2374">
        <v>78.239077056557207</v>
      </c>
      <c r="AM2374">
        <v>93.353640470615005</v>
      </c>
      <c r="AN2374">
        <v>1.00000002960034</v>
      </c>
    </row>
    <row r="2375" spans="1:40" x14ac:dyDescent="0.25">
      <c r="A2375" t="str">
        <f>"20190303162825688"</f>
        <v>20190303162825688</v>
      </c>
      <c r="B2375" t="str">
        <f>"1551601705684119"</f>
        <v>1551601705684119</v>
      </c>
      <c r="C2375" t="s">
        <v>40</v>
      </c>
      <c r="D2375">
        <v>4.8847160000000001</v>
      </c>
      <c r="E2375">
        <v>0.45688960000000001</v>
      </c>
      <c r="F2375" t="s">
        <v>48</v>
      </c>
      <c r="G2375">
        <v>-466.04599999999999</v>
      </c>
      <c r="H2375" s="1">
        <v>1.8060350000000001E-6</v>
      </c>
      <c r="I2375">
        <v>281.74590000000001</v>
      </c>
      <c r="J2375">
        <v>-449.16840000000002</v>
      </c>
      <c r="K2375">
        <v>1.1199110000000001</v>
      </c>
      <c r="L2375">
        <v>284.29829999999998</v>
      </c>
      <c r="M2375">
        <v>-0.99967859999999997</v>
      </c>
      <c r="N2375">
        <v>-1.293236E-2</v>
      </c>
      <c r="O2375">
        <v>2.1807710000000001E-2</v>
      </c>
      <c r="P2375">
        <v>-0.98095399999999999</v>
      </c>
      <c r="Q2375">
        <v>0.19056909999999999</v>
      </c>
      <c r="R2375">
        <v>-3.7590779999999997E-2</v>
      </c>
      <c r="S2375">
        <v>-3.0799560000000001</v>
      </c>
      <c r="T2375">
        <v>-0.20007130000000001</v>
      </c>
      <c r="U2375">
        <v>-0.4544067</v>
      </c>
      <c r="V2375">
        <v>-5.8306940000000002E-2</v>
      </c>
      <c r="W2375">
        <v>0.2034184</v>
      </c>
      <c r="X2375">
        <v>0.97735419999999995</v>
      </c>
      <c r="Y2375">
        <v>-0.16705429999999999</v>
      </c>
      <c r="Z2375">
        <v>-7.6062739999999997E-3</v>
      </c>
      <c r="AA2375">
        <v>0.98591830000000003</v>
      </c>
      <c r="AB2375">
        <v>35</v>
      </c>
      <c r="AC2375">
        <v>-16.877599999999902</v>
      </c>
      <c r="AD2375">
        <v>-1.1199091939650001</v>
      </c>
      <c r="AE2375">
        <v>-2.5523999999999698</v>
      </c>
      <c r="AF2375">
        <v>-2.9073706595420901</v>
      </c>
      <c r="AG2375">
        <v>-1.1199091939650001</v>
      </c>
      <c r="AH2375">
        <v>16.745836312506</v>
      </c>
      <c r="AI2375">
        <v>93.769836326517506</v>
      </c>
      <c r="AJ2375">
        <v>99.849371263473898</v>
      </c>
      <c r="AK2375">
        <v>17.033203884176899</v>
      </c>
      <c r="AL2375">
        <v>78.263070526687599</v>
      </c>
      <c r="AM2375">
        <v>93.414101775200393</v>
      </c>
      <c r="AN2375">
        <v>0.99999998848418103</v>
      </c>
    </row>
    <row r="2376" spans="1:40" x14ac:dyDescent="0.25">
      <c r="A2376" t="str">
        <f>"20190303162825710"</f>
        <v>20190303162825710</v>
      </c>
      <c r="B2376" t="str">
        <f>"1551601705703640"</f>
        <v>1551601705703640</v>
      </c>
      <c r="C2376" t="s">
        <v>40</v>
      </c>
      <c r="D2376">
        <v>4.8636520000000001</v>
      </c>
      <c r="E2376">
        <v>0.45675500000000002</v>
      </c>
      <c r="F2376" t="s">
        <v>48</v>
      </c>
      <c r="G2376">
        <v>-466.50659999999999</v>
      </c>
      <c r="H2376" s="1">
        <v>2.0514169999999998E-6</v>
      </c>
      <c r="I2376">
        <v>281.7396</v>
      </c>
      <c r="J2376">
        <v>-449.52319999999997</v>
      </c>
      <c r="K2376">
        <v>1.119928</v>
      </c>
      <c r="L2376">
        <v>284.3075</v>
      </c>
      <c r="M2376">
        <v>-0.99964569999999997</v>
      </c>
      <c r="N2376">
        <v>-1.3005340000000001E-2</v>
      </c>
      <c r="O2376">
        <v>2.3228349999999998E-2</v>
      </c>
      <c r="P2376">
        <v>-0.98099210000000003</v>
      </c>
      <c r="Q2376">
        <v>0.19039929999999999</v>
      </c>
      <c r="R2376">
        <v>-3.7453529999999999E-2</v>
      </c>
      <c r="S2376">
        <v>-3.0794980000000001</v>
      </c>
      <c r="T2376">
        <v>-0.1989118</v>
      </c>
      <c r="U2376">
        <v>-0.45446779999999998</v>
      </c>
      <c r="V2376">
        <v>-5.9564520000000003E-2</v>
      </c>
      <c r="W2376">
        <v>0.20332320000000001</v>
      </c>
      <c r="X2376">
        <v>0.97729820000000001</v>
      </c>
      <c r="Y2376">
        <v>-0.16849449999999999</v>
      </c>
      <c r="Z2376">
        <v>-7.7009979999999997E-3</v>
      </c>
      <c r="AA2376">
        <v>0.98567249999999995</v>
      </c>
      <c r="AB2376">
        <v>35</v>
      </c>
      <c r="AC2376">
        <v>-16.9834</v>
      </c>
      <c r="AD2376">
        <v>-1.119925948583</v>
      </c>
      <c r="AE2376">
        <v>-2.5678999999999998</v>
      </c>
      <c r="AF2376">
        <v>-2.94919904712367</v>
      </c>
      <c r="AG2376">
        <v>-1.119925948583</v>
      </c>
      <c r="AH2376">
        <v>16.847541320129501</v>
      </c>
      <c r="AI2376">
        <v>93.746292686828795</v>
      </c>
      <c r="AJ2376">
        <v>99.929147033580307</v>
      </c>
      <c r="AK2376">
        <v>17.140351737445101</v>
      </c>
      <c r="AL2376">
        <v>78.268641808670694</v>
      </c>
      <c r="AM2376">
        <v>93.487757561443601</v>
      </c>
      <c r="AN2376">
        <v>1.0000000137121501</v>
      </c>
    </row>
    <row r="2377" spans="1:40" x14ac:dyDescent="0.25">
      <c r="A2377" t="str">
        <f>"20190303162825731"</f>
        <v>20190303162825731</v>
      </c>
      <c r="B2377" t="str">
        <f>"1551601705724136"</f>
        <v>1551601705724136</v>
      </c>
      <c r="C2377" t="s">
        <v>40</v>
      </c>
      <c r="D2377">
        <v>4.8749019999999996</v>
      </c>
      <c r="E2377">
        <v>0.4566016</v>
      </c>
      <c r="F2377" t="s">
        <v>48</v>
      </c>
      <c r="G2377">
        <v>-466.9237</v>
      </c>
      <c r="H2377" s="1">
        <v>2.2733899999999998E-6</v>
      </c>
      <c r="I2377">
        <v>281.7396</v>
      </c>
      <c r="J2377">
        <v>-449.86219999999997</v>
      </c>
      <c r="K2377">
        <v>1.1199410000000001</v>
      </c>
      <c r="L2377">
        <v>284.31670000000003</v>
      </c>
      <c r="M2377">
        <v>-0.99961219999999995</v>
      </c>
      <c r="N2377">
        <v>-1.307855E-2</v>
      </c>
      <c r="O2377">
        <v>2.4584680000000001E-2</v>
      </c>
      <c r="P2377">
        <v>-0.9810373</v>
      </c>
      <c r="Q2377">
        <v>0.19014259999999999</v>
      </c>
      <c r="R2377">
        <v>-3.7574629999999998E-2</v>
      </c>
      <c r="S2377">
        <v>-3.079285</v>
      </c>
      <c r="T2377">
        <v>-0.19818820000000001</v>
      </c>
      <c r="U2377">
        <v>-0.45443729999999899</v>
      </c>
      <c r="V2377">
        <v>-6.1017969999999998E-2</v>
      </c>
      <c r="W2377">
        <v>0.20314209999999999</v>
      </c>
      <c r="X2377">
        <v>0.97724619999999995</v>
      </c>
      <c r="Y2377">
        <v>-0.1698296</v>
      </c>
      <c r="Z2377">
        <v>-7.8015979999999999E-3</v>
      </c>
      <c r="AA2377">
        <v>0.98544259999999995</v>
      </c>
      <c r="AB2377">
        <v>35</v>
      </c>
      <c r="AC2377">
        <v>-17.061499999999999</v>
      </c>
      <c r="AD2377">
        <v>-1.11993872661</v>
      </c>
      <c r="AE2377">
        <v>-2.5771000000000299</v>
      </c>
      <c r="AF2377">
        <v>-2.9832409431953399</v>
      </c>
      <c r="AG2377">
        <v>-1.11993872661</v>
      </c>
      <c r="AH2377">
        <v>16.921694283575299</v>
      </c>
      <c r="AI2377">
        <v>93.729176025094901</v>
      </c>
      <c r="AJ2377">
        <v>99.998324188805796</v>
      </c>
      <c r="AK2377">
        <v>17.219109346981401</v>
      </c>
      <c r="AL2377">
        <v>78.279239317412305</v>
      </c>
      <c r="AM2377">
        <v>93.572835077825204</v>
      </c>
      <c r="AN2377">
        <v>1.00000002043488</v>
      </c>
    </row>
    <row r="2378" spans="1:40" x14ac:dyDescent="0.25">
      <c r="A2378" t="str">
        <f>"20190303162825754"</f>
        <v>20190303162825754</v>
      </c>
      <c r="B2378" t="str">
        <f>"1551601705743656"</f>
        <v>1551601705743656</v>
      </c>
      <c r="C2378" t="s">
        <v>40</v>
      </c>
      <c r="D2378">
        <v>4.8508820000000004</v>
      </c>
      <c r="E2378">
        <v>0.45643319999999998</v>
      </c>
      <c r="F2378" t="s">
        <v>48</v>
      </c>
      <c r="G2378">
        <v>-467.37270000000001</v>
      </c>
      <c r="H2378" s="1">
        <v>2.5128349999999998E-6</v>
      </c>
      <c r="I2378">
        <v>281.72789999999998</v>
      </c>
      <c r="J2378">
        <v>-450.21080000000001</v>
      </c>
      <c r="K2378">
        <v>1.1199509999999999</v>
      </c>
      <c r="L2378">
        <v>284.32659999999998</v>
      </c>
      <c r="M2378">
        <v>-0.99957600000000002</v>
      </c>
      <c r="N2378">
        <v>-1.315699E-2</v>
      </c>
      <c r="O2378">
        <v>2.5975129999999999E-2</v>
      </c>
      <c r="P2378">
        <v>-0.98096779999999995</v>
      </c>
      <c r="Q2378">
        <v>0.19012209999999999</v>
      </c>
      <c r="R2378">
        <v>-3.9447570000000001E-2</v>
      </c>
      <c r="S2378">
        <v>-3.078735</v>
      </c>
      <c r="T2378">
        <v>-0.19691030000000001</v>
      </c>
      <c r="U2378">
        <v>-0.45516970000000001</v>
      </c>
      <c r="V2378">
        <v>-6.4252569999999995E-2</v>
      </c>
      <c r="W2378">
        <v>0.203206</v>
      </c>
      <c r="X2378">
        <v>0.97702560000000005</v>
      </c>
      <c r="Y2378">
        <v>-0.1714542</v>
      </c>
      <c r="Z2378">
        <v>-7.89506699999999E-3</v>
      </c>
      <c r="AA2378">
        <v>0.98516049999999999</v>
      </c>
      <c r="AB2378">
        <v>35</v>
      </c>
      <c r="AC2378">
        <v>-17.161899999999999</v>
      </c>
      <c r="AD2378">
        <v>-1.1199484871649901</v>
      </c>
      <c r="AE2378">
        <v>-2.5987</v>
      </c>
      <c r="AF2378">
        <v>-3.0310256400034401</v>
      </c>
      <c r="AG2378">
        <v>-1.1199484871649901</v>
      </c>
      <c r="AH2378">
        <v>17.0177538584175</v>
      </c>
      <c r="AI2378">
        <v>93.707065654184504</v>
      </c>
      <c r="AJ2378">
        <v>100.099027484335</v>
      </c>
      <c r="AK2378">
        <v>17.321817093767802</v>
      </c>
      <c r="AL2378">
        <v>78.275500444870403</v>
      </c>
      <c r="AM2378">
        <v>93.762549996013902</v>
      </c>
      <c r="AN2378">
        <v>1.0000000471214801</v>
      </c>
    </row>
    <row r="2379" spans="1:40" x14ac:dyDescent="0.25">
      <c r="A2379" t="str">
        <f>"20190303162825776"</f>
        <v>20190303162825776</v>
      </c>
      <c r="B2379" t="str">
        <f>"1551601705764151"</f>
        <v>1551601705764151</v>
      </c>
      <c r="C2379" t="s">
        <v>40</v>
      </c>
      <c r="D2379">
        <v>4.9456519999999999</v>
      </c>
      <c r="E2379">
        <v>0.45628930000000001</v>
      </c>
      <c r="F2379" t="s">
        <v>48</v>
      </c>
      <c r="G2379">
        <v>-467.89710000000002</v>
      </c>
      <c r="H2379" s="1">
        <v>2.7946479999999999E-6</v>
      </c>
      <c r="I2379">
        <v>281.6653</v>
      </c>
      <c r="J2379">
        <v>-450.56509999999997</v>
      </c>
      <c r="K2379">
        <v>1.1199699999999999</v>
      </c>
      <c r="L2379">
        <v>284.33730000000003</v>
      </c>
      <c r="M2379">
        <v>-0.99953729999999996</v>
      </c>
      <c r="N2379">
        <v>-1.324992E-2</v>
      </c>
      <c r="O2379">
        <v>2.7383959999999999E-2</v>
      </c>
      <c r="P2379">
        <v>-0.98086549999999995</v>
      </c>
      <c r="Q2379">
        <v>0.189692</v>
      </c>
      <c r="R2379">
        <v>-4.381935E-2</v>
      </c>
      <c r="S2379">
        <v>-3.0773929999999998</v>
      </c>
      <c r="T2379">
        <v>-0.19486890000000001</v>
      </c>
      <c r="U2379">
        <v>-0.46307369999999998</v>
      </c>
      <c r="V2379">
        <v>-7.0003380000000004E-2</v>
      </c>
      <c r="W2379">
        <v>0.20288059999999999</v>
      </c>
      <c r="X2379">
        <v>0.97669799999999996</v>
      </c>
      <c r="Y2379">
        <v>-0.1753757</v>
      </c>
      <c r="Z2379">
        <v>-8.0488720000000003E-3</v>
      </c>
      <c r="AA2379">
        <v>0.98446869999999997</v>
      </c>
      <c r="AB2379">
        <v>35</v>
      </c>
      <c r="AC2379">
        <v>-17.332000000000001</v>
      </c>
      <c r="AD2379">
        <v>-1.119967205352</v>
      </c>
      <c r="AE2379">
        <v>-2.6720000000000201</v>
      </c>
      <c r="AF2379">
        <v>-3.13288040173867</v>
      </c>
      <c r="AG2379">
        <v>-1.119967205352</v>
      </c>
      <c r="AH2379">
        <v>17.1822431594356</v>
      </c>
      <c r="AI2379">
        <v>93.669037822721293</v>
      </c>
      <c r="AJ2379">
        <v>100.33336609819899</v>
      </c>
      <c r="AK2379">
        <v>17.501392691515498</v>
      </c>
      <c r="AL2379">
        <v>78.294540519001302</v>
      </c>
      <c r="AM2379">
        <v>94.099579602498807</v>
      </c>
      <c r="AN2379">
        <v>0.99999999713589205</v>
      </c>
    </row>
    <row r="2380" spans="1:40" x14ac:dyDescent="0.25">
      <c r="A2380" t="str">
        <f>"20190303162825800"</f>
        <v>20190303162825800</v>
      </c>
      <c r="B2380" t="str">
        <f>"1551601705793432"</f>
        <v>1551601705793432</v>
      </c>
      <c r="C2380" t="s">
        <v>40</v>
      </c>
      <c r="D2380">
        <v>4.8750629999999999</v>
      </c>
      <c r="E2380">
        <v>0.45592529999999998</v>
      </c>
      <c r="F2380" t="s">
        <v>48</v>
      </c>
      <c r="G2380">
        <v>-468.35019999999997</v>
      </c>
      <c r="H2380" s="1">
        <v>3.039913E-6</v>
      </c>
      <c r="I2380">
        <v>281.57049999999998</v>
      </c>
      <c r="J2380">
        <v>-450.92</v>
      </c>
      <c r="K2380">
        <v>1.1199950000000001</v>
      </c>
      <c r="L2380">
        <v>284.34840000000003</v>
      </c>
      <c r="M2380">
        <v>-0.99949619999999995</v>
      </c>
      <c r="N2380">
        <v>-1.3362499999999999E-2</v>
      </c>
      <c r="O2380">
        <v>2.8791649999999998E-2</v>
      </c>
      <c r="P2380">
        <v>-0.98030930000000005</v>
      </c>
      <c r="Q2380">
        <v>0.19011810000000001</v>
      </c>
      <c r="R2380">
        <v>-5.337459E-2</v>
      </c>
      <c r="S2380">
        <v>-3.0745849999999999</v>
      </c>
      <c r="T2380">
        <v>-0.19361349999999999</v>
      </c>
      <c r="U2380">
        <v>-0.478302</v>
      </c>
      <c r="V2380">
        <v>-8.0918379999999998E-2</v>
      </c>
      <c r="W2380">
        <v>0.20343900000000001</v>
      </c>
      <c r="X2380">
        <v>0.97573799999999999</v>
      </c>
      <c r="Y2380">
        <v>-0.18164330000000001</v>
      </c>
      <c r="Z2380">
        <v>-8.3211899999999991E-3</v>
      </c>
      <c r="AA2380">
        <v>0.98332929999999996</v>
      </c>
      <c r="AB2380">
        <v>35</v>
      </c>
      <c r="AC2380">
        <v>-17.4301999999999</v>
      </c>
      <c r="AD2380">
        <v>-1.1199919600870001</v>
      </c>
      <c r="AE2380">
        <v>-2.7779000000000398</v>
      </c>
      <c r="AF2380">
        <v>-3.26548854185243</v>
      </c>
      <c r="AG2380">
        <v>-1.1199919600870001</v>
      </c>
      <c r="AH2380">
        <v>17.273433143504501</v>
      </c>
      <c r="AI2380">
        <v>93.645416828113298</v>
      </c>
      <c r="AJ2380">
        <v>100.705250536888</v>
      </c>
      <c r="AK2380">
        <v>17.6150302290614</v>
      </c>
      <c r="AL2380">
        <v>78.261864303783497</v>
      </c>
      <c r="AM2380">
        <v>94.740715943466697</v>
      </c>
      <c r="AN2380">
        <v>0.99999992779340896</v>
      </c>
    </row>
    <row r="2381" spans="1:40" x14ac:dyDescent="0.25">
      <c r="A2381" t="str">
        <f>"20190303162825822"</f>
        <v>20190303162825822</v>
      </c>
      <c r="B2381" t="str">
        <f>"1551601705813928"</f>
        <v>1551601705813928</v>
      </c>
      <c r="C2381" t="s">
        <v>40</v>
      </c>
      <c r="D2381">
        <v>4.8623510000000003</v>
      </c>
      <c r="E2381">
        <v>0.44246350000000001</v>
      </c>
      <c r="F2381" t="s">
        <v>48</v>
      </c>
      <c r="G2381">
        <v>-468.83539999999999</v>
      </c>
      <c r="H2381" s="1">
        <v>3.3069040000000002E-6</v>
      </c>
      <c r="I2381">
        <v>281.36970000000002</v>
      </c>
      <c r="J2381">
        <v>-451.27409999999998</v>
      </c>
      <c r="K2381">
        <v>1.120028</v>
      </c>
      <c r="L2381">
        <v>284.35989999999998</v>
      </c>
      <c r="M2381">
        <v>-0.99945309999999998</v>
      </c>
      <c r="N2381">
        <v>-1.348835E-2</v>
      </c>
      <c r="O2381">
        <v>3.0195739999999999E-2</v>
      </c>
      <c r="P2381">
        <v>-0.97880180000000006</v>
      </c>
      <c r="Q2381">
        <v>0.1910819</v>
      </c>
      <c r="R2381">
        <v>-7.3724170000000006E-2</v>
      </c>
      <c r="S2381">
        <v>-3.0696720000000002</v>
      </c>
      <c r="T2381">
        <v>-0.19190189999999999</v>
      </c>
      <c r="U2381">
        <v>-0.51037600000000005</v>
      </c>
      <c r="V2381">
        <v>-0.102586999999999</v>
      </c>
      <c r="W2381">
        <v>0.204564</v>
      </c>
      <c r="X2381">
        <v>0.97346259999999996</v>
      </c>
      <c r="Y2381">
        <v>-0.19324330000000001</v>
      </c>
      <c r="Z2381">
        <v>-8.777132E-3</v>
      </c>
      <c r="AA2381">
        <v>0.98111159999999997</v>
      </c>
      <c r="AB2381">
        <v>35</v>
      </c>
      <c r="AC2381">
        <v>-17.561299999999999</v>
      </c>
      <c r="AD2381">
        <v>-1.1200246930960001</v>
      </c>
      <c r="AE2381">
        <v>-2.99019999999995</v>
      </c>
      <c r="AF2381">
        <v>-3.5053043133055</v>
      </c>
      <c r="AG2381">
        <v>-1.1200246930960001</v>
      </c>
      <c r="AH2381">
        <v>17.394231326263899</v>
      </c>
      <c r="AI2381">
        <v>93.611811167051599</v>
      </c>
      <c r="AJ2381">
        <v>101.39370749082801</v>
      </c>
      <c r="AK2381">
        <v>17.7792265600505</v>
      </c>
      <c r="AL2381">
        <v>78.196022518187803</v>
      </c>
      <c r="AM2381">
        <v>96.015831463446503</v>
      </c>
      <c r="AN2381">
        <v>0.99999997813187902</v>
      </c>
    </row>
    <row r="2382" spans="1:40" x14ac:dyDescent="0.25">
      <c r="A2382" t="str">
        <f>"20190303162825844"</f>
        <v>20190303162825844</v>
      </c>
      <c r="B2382" t="str">
        <f>"1551601705833447"</f>
        <v>1551601705833447</v>
      </c>
      <c r="C2382" t="s">
        <v>40</v>
      </c>
      <c r="D2382">
        <v>4.8821329999999996</v>
      </c>
      <c r="E2382">
        <v>0.44166420000000001</v>
      </c>
      <c r="F2382" t="s">
        <v>47</v>
      </c>
      <c r="G2382">
        <v>-471.47329999999999</v>
      </c>
      <c r="H2382" s="1">
        <v>5.5431670000000003E-6</v>
      </c>
      <c r="I2382">
        <v>279.83969999999999</v>
      </c>
      <c r="J2382">
        <v>-451.61</v>
      </c>
      <c r="K2382">
        <v>1.120053</v>
      </c>
      <c r="L2382">
        <v>284.37130000000002</v>
      </c>
      <c r="M2382">
        <v>-0.99941049999999998</v>
      </c>
      <c r="N2382">
        <v>-1.3607879999999999E-2</v>
      </c>
      <c r="O2382">
        <v>3.152684E-2</v>
      </c>
      <c r="P2382">
        <v>-0.97654240000000003</v>
      </c>
      <c r="Q2382">
        <v>0.19132779999999999</v>
      </c>
      <c r="R2382">
        <v>-9.8787479999999997E-2</v>
      </c>
      <c r="S2382">
        <v>-3.04657</v>
      </c>
      <c r="T2382">
        <v>-0.168929</v>
      </c>
      <c r="U2382">
        <v>-0.68176269999999894</v>
      </c>
      <c r="V2382">
        <v>-0.1288678</v>
      </c>
      <c r="W2382">
        <v>0.2049668</v>
      </c>
      <c r="X2382">
        <v>0.97024829999999995</v>
      </c>
      <c r="Y2382">
        <v>-0.248556</v>
      </c>
      <c r="Z2382">
        <v>-9.818874E-3</v>
      </c>
      <c r="AA2382">
        <v>0.96856779999999998</v>
      </c>
      <c r="AB2382">
        <v>35</v>
      </c>
      <c r="AC2382">
        <v>-19.863299999999899</v>
      </c>
      <c r="AD2382">
        <v>-1.1200474568330001</v>
      </c>
      <c r="AE2382">
        <v>-4.5316000000000196</v>
      </c>
      <c r="AF2382">
        <v>-5.1400970636311403</v>
      </c>
      <c r="AG2382">
        <v>-1.1200474568330001</v>
      </c>
      <c r="AH2382">
        <v>19.6511527336101</v>
      </c>
      <c r="AI2382">
        <v>93.156174157473302</v>
      </c>
      <c r="AJ2382">
        <v>104.658292458619</v>
      </c>
      <c r="AK2382">
        <v>20.343129255077201</v>
      </c>
      <c r="AL2382">
        <v>78.172444816059098</v>
      </c>
      <c r="AM2382">
        <v>97.565709727132401</v>
      </c>
      <c r="AN2382">
        <v>1.00000003131598</v>
      </c>
    </row>
    <row r="2383" spans="1:40" x14ac:dyDescent="0.25">
      <c r="A2383" t="str">
        <f>"20190303162825866"</f>
        <v>20190303162825866</v>
      </c>
      <c r="B2383" t="str">
        <f>"1551601705853943"</f>
        <v>1551601705853943</v>
      </c>
      <c r="C2383" t="s">
        <v>40</v>
      </c>
      <c r="D2383">
        <v>4.8626360000000002</v>
      </c>
      <c r="E2383">
        <v>0.44016159999999999</v>
      </c>
      <c r="F2383" t="s">
        <v>47</v>
      </c>
      <c r="G2383">
        <v>-470.36669999999998</v>
      </c>
      <c r="H2383">
        <v>6.8941450000000001E-2</v>
      </c>
      <c r="I2383">
        <v>279.59739999999999</v>
      </c>
      <c r="J2383">
        <v>-451.95179999999999</v>
      </c>
      <c r="K2383">
        <v>1.120063</v>
      </c>
      <c r="L2383">
        <v>284.38339999999999</v>
      </c>
      <c r="M2383">
        <v>-0.99936519999999995</v>
      </c>
      <c r="N2383">
        <v>-1.372164E-2</v>
      </c>
      <c r="O2383">
        <v>3.2881769999999998E-2</v>
      </c>
      <c r="P2383">
        <v>-0.97426999999999997</v>
      </c>
      <c r="Q2383">
        <v>0.1883166</v>
      </c>
      <c r="R2383">
        <v>-0.1238358</v>
      </c>
      <c r="S2383">
        <v>-3.0273439999999998</v>
      </c>
      <c r="T2383">
        <v>-0.1696502</v>
      </c>
      <c r="U2383">
        <v>-0.77050779999999996</v>
      </c>
      <c r="V2383">
        <v>-0.15515789999999999</v>
      </c>
      <c r="W2383">
        <v>0.20210500000000001</v>
      </c>
      <c r="X2383">
        <v>0.96699520000000005</v>
      </c>
      <c r="Y2383">
        <v>-0.27784449999999999</v>
      </c>
      <c r="Z2383">
        <v>-1.096579E-2</v>
      </c>
      <c r="AA2383">
        <v>0.96056350000000001</v>
      </c>
      <c r="AB2383">
        <v>35</v>
      </c>
      <c r="AC2383">
        <v>-18.4148999999999</v>
      </c>
      <c r="AD2383">
        <v>-1.05112155</v>
      </c>
      <c r="AE2383">
        <v>-4.7859999999999996</v>
      </c>
      <c r="AF2383">
        <v>-5.3725859392957398</v>
      </c>
      <c r="AG2383">
        <v>-1.05112155</v>
      </c>
      <c r="AH2383">
        <v>18.192031779437102</v>
      </c>
      <c r="AI2383">
        <v>93.171700663624407</v>
      </c>
      <c r="AJ2383">
        <v>106.45325804269601</v>
      </c>
      <c r="AK2383">
        <v>18.997882946582301</v>
      </c>
      <c r="AL2383">
        <v>78.339919956947895</v>
      </c>
      <c r="AM2383">
        <v>99.115618022645506</v>
      </c>
      <c r="AN2383">
        <v>1.00000006089022</v>
      </c>
    </row>
    <row r="2384" spans="1:40" x14ac:dyDescent="0.25">
      <c r="A2384" t="str">
        <f>"20190303162825889"</f>
        <v>20190303162825889</v>
      </c>
      <c r="B2384" t="str">
        <f>"1551601705884199"</f>
        <v>1551601705884199</v>
      </c>
      <c r="C2384" t="s">
        <v>40</v>
      </c>
      <c r="D2384">
        <v>4.8881860000000001</v>
      </c>
      <c r="E2384">
        <v>0.45221820000000001</v>
      </c>
      <c r="F2384" t="s">
        <v>48</v>
      </c>
      <c r="G2384">
        <v>-466.44560000000001</v>
      </c>
      <c r="H2384" s="1">
        <v>2.0850189999999998E-6</v>
      </c>
      <c r="I2384">
        <v>280.22829999999999</v>
      </c>
      <c r="J2384">
        <v>-452.31330000000003</v>
      </c>
      <c r="K2384">
        <v>1.1200730000000001</v>
      </c>
      <c r="L2384">
        <v>284.39659999999998</v>
      </c>
      <c r="M2384">
        <v>-0.99931559999999997</v>
      </c>
      <c r="N2384">
        <v>-1.383147E-2</v>
      </c>
      <c r="O2384">
        <v>3.4311769999999998E-2</v>
      </c>
      <c r="P2384">
        <v>-0.97196780000000005</v>
      </c>
      <c r="Q2384">
        <v>0.18601200000000001</v>
      </c>
      <c r="R2384">
        <v>-0.14379919999999999</v>
      </c>
      <c r="S2384">
        <v>-3.0143740000000001</v>
      </c>
      <c r="T2384">
        <v>-0.23294770000000001</v>
      </c>
      <c r="U2384">
        <v>-0.86416630000000005</v>
      </c>
      <c r="V2384">
        <v>-0.17642579999999999</v>
      </c>
      <c r="W2384">
        <v>0.1999301</v>
      </c>
      <c r="X2384">
        <v>0.96379550000000003</v>
      </c>
      <c r="Y2384">
        <v>-0.3073303</v>
      </c>
      <c r="Z2384">
        <v>-1.5929410000000001E-2</v>
      </c>
      <c r="AA2384">
        <v>0.95146949999999997</v>
      </c>
      <c r="AB2384">
        <v>35</v>
      </c>
      <c r="AC2384">
        <v>-14.132299999999899</v>
      </c>
      <c r="AD2384">
        <v>-1.120070914981</v>
      </c>
      <c r="AE2384">
        <v>-4.1682999999999799</v>
      </c>
      <c r="AF2384">
        <v>-4.6240740764217998</v>
      </c>
      <c r="AG2384">
        <v>-1.120070914981</v>
      </c>
      <c r="AH2384">
        <v>13.900612669086501</v>
      </c>
      <c r="AI2384">
        <v>94.372199437969499</v>
      </c>
      <c r="AJ2384">
        <v>108.399835597872</v>
      </c>
      <c r="AK2384">
        <v>14.6922990881207</v>
      </c>
      <c r="AL2384">
        <v>78.467127759092307</v>
      </c>
      <c r="AM2384">
        <v>100.373325617343</v>
      </c>
      <c r="AN2384">
        <v>0.99999993680594801</v>
      </c>
    </row>
    <row r="2385" spans="1:40" x14ac:dyDescent="0.25">
      <c r="A2385" t="str">
        <f>"20190303162825911"</f>
        <v>20190303162825911</v>
      </c>
      <c r="B2385" t="str">
        <f>"1551601705903720"</f>
        <v>1551601705903720</v>
      </c>
      <c r="C2385" t="s">
        <v>40</v>
      </c>
      <c r="D2385">
        <v>4.8514080000000002</v>
      </c>
      <c r="E2385">
        <v>0.45475870000000002</v>
      </c>
      <c r="F2385" t="s">
        <v>48</v>
      </c>
      <c r="G2385">
        <v>-468.30630000000002</v>
      </c>
      <c r="H2385" s="1">
        <v>3.085695E-6</v>
      </c>
      <c r="I2385">
        <v>279.98829999999998</v>
      </c>
      <c r="J2385">
        <v>-452.65109999999999</v>
      </c>
      <c r="K2385">
        <v>1.1200779999999999</v>
      </c>
      <c r="L2385">
        <v>284.40949999999998</v>
      </c>
      <c r="M2385">
        <v>-0.99926749999999998</v>
      </c>
      <c r="N2385">
        <v>-1.3924519999999999E-2</v>
      </c>
      <c r="O2385">
        <v>3.5647499999999999E-2</v>
      </c>
      <c r="P2385">
        <v>-0.96947499999999998</v>
      </c>
      <c r="Q2385">
        <v>0.18547040000000001</v>
      </c>
      <c r="R2385">
        <v>-0.16037170000000001</v>
      </c>
      <c r="S2385">
        <v>-3.0042719999999998</v>
      </c>
      <c r="T2385">
        <v>-0.21040490000000001</v>
      </c>
      <c r="U2385">
        <v>-0.82809449999999996</v>
      </c>
      <c r="V2385">
        <v>-0.19419310000000001</v>
      </c>
      <c r="W2385">
        <v>0.1994881</v>
      </c>
      <c r="X2385">
        <v>0.96046529999999997</v>
      </c>
      <c r="Y2385">
        <v>-0.29905080000000001</v>
      </c>
      <c r="Z2385">
        <v>-1.435588E-2</v>
      </c>
      <c r="AA2385">
        <v>0.95412920000000001</v>
      </c>
      <c r="AB2385">
        <v>35</v>
      </c>
      <c r="AC2385">
        <v>-15.655200000000001</v>
      </c>
      <c r="AD2385">
        <v>-1.1200749143049999</v>
      </c>
      <c r="AE2385">
        <v>-4.42119999999999</v>
      </c>
      <c r="AF2385">
        <v>-4.9530309484771902</v>
      </c>
      <c r="AG2385">
        <v>-1.1200749143049999</v>
      </c>
      <c r="AH2385">
        <v>15.4145507915631</v>
      </c>
      <c r="AI2385">
        <v>93.957408901760999</v>
      </c>
      <c r="AJ2385">
        <v>107.813343177888</v>
      </c>
      <c r="AK2385">
        <v>16.229462698928401</v>
      </c>
      <c r="AL2385">
        <v>78.492974200591107</v>
      </c>
      <c r="AM2385">
        <v>101.43033953865</v>
      </c>
      <c r="AN2385">
        <v>1.0000000273166501</v>
      </c>
    </row>
    <row r="2386" spans="1:40" x14ac:dyDescent="0.25">
      <c r="A2386" t="str">
        <f>"20190303162825933"</f>
        <v>20190303162825933</v>
      </c>
      <c r="B2386" t="str">
        <f>"1551601705924215"</f>
        <v>1551601705924215</v>
      </c>
      <c r="C2386" t="s">
        <v>40</v>
      </c>
      <c r="D2386">
        <v>4.8693479999999996</v>
      </c>
      <c r="E2386">
        <v>0.45674520000000002</v>
      </c>
      <c r="F2386" t="s">
        <v>48</v>
      </c>
      <c r="G2386">
        <v>-468.51389999999998</v>
      </c>
      <c r="H2386" s="1">
        <v>3.2012669999999999E-6</v>
      </c>
      <c r="I2386">
        <v>279.87150000000003</v>
      </c>
      <c r="J2386">
        <v>-452.99310000000003</v>
      </c>
      <c r="K2386">
        <v>1.1200889999999999</v>
      </c>
      <c r="L2386">
        <v>284.423</v>
      </c>
      <c r="M2386">
        <v>-0.99921720000000003</v>
      </c>
      <c r="N2386">
        <v>-1.4008929999999999E-2</v>
      </c>
      <c r="O2386">
        <v>3.6998690000000001E-2</v>
      </c>
      <c r="P2386">
        <v>-0.96691890000000003</v>
      </c>
      <c r="Q2386">
        <v>0.18561440000000001</v>
      </c>
      <c r="R2386">
        <v>-0.17497309999999999</v>
      </c>
      <c r="S2386">
        <v>-2.9932249999999998</v>
      </c>
      <c r="T2386">
        <v>-0.21135290000000001</v>
      </c>
      <c r="U2386">
        <v>-0.85629270000000002</v>
      </c>
      <c r="V2386">
        <v>-0.20999319999999999</v>
      </c>
      <c r="W2386">
        <v>0.19971520000000001</v>
      </c>
      <c r="X2386">
        <v>0.95708760000000004</v>
      </c>
      <c r="Y2386">
        <v>-0.30951040000000002</v>
      </c>
      <c r="Z2386">
        <v>-1.496756E-2</v>
      </c>
      <c r="AA2386">
        <v>0.95077820000000002</v>
      </c>
      <c r="AB2386">
        <v>35</v>
      </c>
      <c r="AC2386">
        <v>-15.5207999999999</v>
      </c>
      <c r="AD2386">
        <v>-1.120085798733</v>
      </c>
      <c r="AE2386">
        <v>-4.5514999999999697</v>
      </c>
      <c r="AF2386">
        <v>-5.0982393323278199</v>
      </c>
      <c r="AG2386">
        <v>-1.120085798733</v>
      </c>
      <c r="AH2386">
        <v>15.268532711872499</v>
      </c>
      <c r="AI2386">
        <v>93.980374130633706</v>
      </c>
      <c r="AJ2386">
        <v>108.46442216451</v>
      </c>
      <c r="AK2386">
        <v>16.136131124273199</v>
      </c>
      <c r="AL2386">
        <v>78.479694675773302</v>
      </c>
      <c r="AM2386">
        <v>102.375091225218</v>
      </c>
      <c r="AN2386">
        <v>0.99999998961551995</v>
      </c>
    </row>
    <row r="2387" spans="1:40" x14ac:dyDescent="0.25">
      <c r="A2387" t="str">
        <f>"20190303162825955"</f>
        <v>20190303162825955</v>
      </c>
      <c r="B2387" t="str">
        <f>"1551601705943736"</f>
        <v>1551601705943736</v>
      </c>
      <c r="C2387" t="s">
        <v>40</v>
      </c>
      <c r="D2387">
        <v>4.882155</v>
      </c>
      <c r="E2387">
        <v>0.45925240000000001</v>
      </c>
      <c r="F2387" t="s">
        <v>48</v>
      </c>
      <c r="G2387">
        <v>-468.37619999999998</v>
      </c>
      <c r="H2387" s="1">
        <v>3.127878E-6</v>
      </c>
      <c r="I2387">
        <v>279.87479999999999</v>
      </c>
      <c r="J2387">
        <v>-453.33760000000001</v>
      </c>
      <c r="K2387">
        <v>1.1200969999999999</v>
      </c>
      <c r="L2387">
        <v>284.43709999999999</v>
      </c>
      <c r="M2387">
        <v>-0.99916490000000002</v>
      </c>
      <c r="N2387">
        <v>-1.408454E-2</v>
      </c>
      <c r="O2387">
        <v>3.8358829999999997E-2</v>
      </c>
      <c r="P2387">
        <v>-0.96460230000000002</v>
      </c>
      <c r="Q2387">
        <v>0.18566479999999999</v>
      </c>
      <c r="R2387">
        <v>-0.1872731</v>
      </c>
      <c r="S2387">
        <v>-2.9846499999999998</v>
      </c>
      <c r="T2387">
        <v>-0.21731980000000001</v>
      </c>
      <c r="U2387">
        <v>-0.88244630000000002</v>
      </c>
      <c r="V2387">
        <v>-0.2235036</v>
      </c>
      <c r="W2387">
        <v>0.19983529999999999</v>
      </c>
      <c r="X2387">
        <v>0.95399789999999995</v>
      </c>
      <c r="Y2387">
        <v>-0.31910739999999999</v>
      </c>
      <c r="Z2387">
        <v>-1.5864369999999999E-2</v>
      </c>
      <c r="AA2387">
        <v>0.94758580000000003</v>
      </c>
      <c r="AB2387">
        <v>35</v>
      </c>
      <c r="AC2387">
        <v>-15.038599999999899</v>
      </c>
      <c r="AD2387">
        <v>-1.120093872122</v>
      </c>
      <c r="AE2387">
        <v>-4.5622999999999898</v>
      </c>
      <c r="AF2387">
        <v>-5.1099039240113298</v>
      </c>
      <c r="AG2387">
        <v>-1.120093872122</v>
      </c>
      <c r="AH2387">
        <v>14.7774396927278</v>
      </c>
      <c r="AI2387">
        <v>94.0974223718692</v>
      </c>
      <c r="AJ2387">
        <v>109.07491890189</v>
      </c>
      <c r="AK2387">
        <v>15.676047086788101</v>
      </c>
      <c r="AL2387">
        <v>78.472672004069906</v>
      </c>
      <c r="AM2387">
        <v>103.18550627223399</v>
      </c>
      <c r="AN2387">
        <v>0.99999999977172904</v>
      </c>
    </row>
    <row r="2388" spans="1:40" x14ac:dyDescent="0.25">
      <c r="A2388" t="str">
        <f>"20190303162825978"</f>
        <v>20190303162825978</v>
      </c>
      <c r="B2388" t="str">
        <f>"1551601705964231"</f>
        <v>1551601705964231</v>
      </c>
      <c r="C2388" t="s">
        <v>40</v>
      </c>
      <c r="D2388">
        <v>4.9519510000000002</v>
      </c>
      <c r="E2388">
        <v>0.46140700000000001</v>
      </c>
      <c r="F2388" t="s">
        <v>48</v>
      </c>
      <c r="G2388">
        <v>-468.11529999999999</v>
      </c>
      <c r="H2388" s="1">
        <v>2.984109E-6</v>
      </c>
      <c r="I2388">
        <v>279.98680000000002</v>
      </c>
      <c r="J2388">
        <v>-453.68610000000001</v>
      </c>
      <c r="K2388">
        <v>1.120104</v>
      </c>
      <c r="L2388">
        <v>284.45179999999999</v>
      </c>
      <c r="M2388">
        <v>-0.9991101</v>
      </c>
      <c r="N2388">
        <v>-1.4151749999999999E-2</v>
      </c>
      <c r="O2388">
        <v>3.97326E-2</v>
      </c>
      <c r="P2388">
        <v>-0.96270999999999995</v>
      </c>
      <c r="Q2388">
        <v>0.1842279</v>
      </c>
      <c r="R2388">
        <v>-0.1981146</v>
      </c>
      <c r="S2388">
        <v>-2.9794010000000002</v>
      </c>
      <c r="T2388">
        <v>-0.2258288</v>
      </c>
      <c r="U2388">
        <v>-0.89724729999999997</v>
      </c>
      <c r="V2388">
        <v>-0.2355844</v>
      </c>
      <c r="W2388">
        <v>0.19845960000000001</v>
      </c>
      <c r="X2388">
        <v>0.95137470000000002</v>
      </c>
      <c r="Y2388">
        <v>-0.3250808</v>
      </c>
      <c r="Z2388">
        <v>-1.6787650000000001E-2</v>
      </c>
      <c r="AA2388">
        <v>0.94553730000000002</v>
      </c>
      <c r="AB2388">
        <v>35</v>
      </c>
      <c r="AC2388">
        <v>-14.4291999999999</v>
      </c>
      <c r="AD2388">
        <v>-1.1201010158910001</v>
      </c>
      <c r="AE2388">
        <v>-4.4649999999999697</v>
      </c>
      <c r="AF2388">
        <v>-5.0073033141008496</v>
      </c>
      <c r="AG2388">
        <v>-1.1201010158910001</v>
      </c>
      <c r="AH2388">
        <v>14.162494377355999</v>
      </c>
      <c r="AI2388">
        <v>94.264418571604594</v>
      </c>
      <c r="AJ2388">
        <v>109.47159968911301</v>
      </c>
      <c r="AK2388">
        <v>15.0633316286221</v>
      </c>
      <c r="AL2388">
        <v>78.553105171060906</v>
      </c>
      <c r="AM2388">
        <v>103.908112766267</v>
      </c>
      <c r="AN2388">
        <v>1.0000000210777999</v>
      </c>
    </row>
    <row r="2389" spans="1:40" x14ac:dyDescent="0.25">
      <c r="A2389" t="str">
        <f>"20190303162826001"</f>
        <v>20190303162826001</v>
      </c>
      <c r="B2389" t="str">
        <f>"1551601705993688"</f>
        <v>1551601705993688</v>
      </c>
      <c r="C2389" t="s">
        <v>40</v>
      </c>
      <c r="D2389">
        <v>5.0496749999999997</v>
      </c>
      <c r="E2389">
        <v>0.47662650000000001</v>
      </c>
      <c r="F2389" t="s">
        <v>48</v>
      </c>
      <c r="G2389">
        <v>-468.10250000000002</v>
      </c>
      <c r="H2389" s="1">
        <v>2.9752700000000001E-6</v>
      </c>
      <c r="I2389">
        <v>280.0335</v>
      </c>
      <c r="J2389">
        <v>-454.04469999999998</v>
      </c>
      <c r="K2389">
        <v>1.1201129999999999</v>
      </c>
      <c r="L2389">
        <v>284.4674</v>
      </c>
      <c r="M2389">
        <v>-0.9990523</v>
      </c>
      <c r="N2389">
        <v>-1.421214E-2</v>
      </c>
      <c r="O2389">
        <v>4.1143699999999998E-2</v>
      </c>
      <c r="P2389">
        <v>-0.96129779999999998</v>
      </c>
      <c r="Q2389">
        <v>0.18282999999999999</v>
      </c>
      <c r="R2389">
        <v>-0.20610729999999999</v>
      </c>
      <c r="S2389">
        <v>-2.9729000000000001</v>
      </c>
      <c r="T2389">
        <v>-0.2309841</v>
      </c>
      <c r="U2389">
        <v>-0.91113279999999996</v>
      </c>
      <c r="V2389">
        <v>-0.24486769999999999</v>
      </c>
      <c r="W2389">
        <v>0.19711529999999999</v>
      </c>
      <c r="X2389">
        <v>0.94930780000000003</v>
      </c>
      <c r="Y2389">
        <v>-0.33094950000000001</v>
      </c>
      <c r="Z2389">
        <v>-1.75137E-2</v>
      </c>
      <c r="AA2389">
        <v>0.94348589999999999</v>
      </c>
      <c r="AB2389">
        <v>35</v>
      </c>
      <c r="AC2389">
        <v>-14.0578</v>
      </c>
      <c r="AD2389">
        <v>-1.12011002473</v>
      </c>
      <c r="AE2389">
        <v>-4.4338999999999897</v>
      </c>
      <c r="AF2389">
        <v>-4.9798379667772501</v>
      </c>
      <c r="AG2389">
        <v>-1.12011002473</v>
      </c>
      <c r="AH2389">
        <v>13.7838564601774</v>
      </c>
      <c r="AI2389">
        <v>94.370481639832605</v>
      </c>
      <c r="AJ2389">
        <v>109.863797430655</v>
      </c>
      <c r="AK2389">
        <v>14.6985758343328</v>
      </c>
      <c r="AL2389">
        <v>78.631679507158495</v>
      </c>
      <c r="AM2389">
        <v>104.46378880093199</v>
      </c>
      <c r="AN2389">
        <v>0.99999996556910897</v>
      </c>
    </row>
    <row r="2390" spans="1:40" x14ac:dyDescent="0.25">
      <c r="A2390" t="str">
        <f>"20190303162826022"</f>
        <v>20190303162826022</v>
      </c>
      <c r="B2390" t="str">
        <f>"1551601706014186"</f>
        <v>1551601706014186</v>
      </c>
      <c r="C2390" t="s">
        <v>40</v>
      </c>
      <c r="D2390">
        <v>4.9368550000000004</v>
      </c>
      <c r="E2390">
        <v>0.47844589999999998</v>
      </c>
      <c r="F2390" t="s">
        <v>47</v>
      </c>
      <c r="G2390">
        <v>-471.81950000000001</v>
      </c>
      <c r="H2390">
        <v>3.8349220000000002E-3</v>
      </c>
      <c r="I2390">
        <v>279.61630000000002</v>
      </c>
      <c r="J2390">
        <v>-454.3818</v>
      </c>
      <c r="K2390">
        <v>1.1201209999999999</v>
      </c>
      <c r="L2390">
        <v>284.48259999999999</v>
      </c>
      <c r="M2390">
        <v>-0.99899610000000005</v>
      </c>
      <c r="N2390">
        <v>-1.426118E-2</v>
      </c>
      <c r="O2390">
        <v>4.2467919999999999E-2</v>
      </c>
      <c r="P2390">
        <v>-0.96019169999999998</v>
      </c>
      <c r="Q2390">
        <v>0.18201890000000001</v>
      </c>
      <c r="R2390">
        <v>-0.211899</v>
      </c>
      <c r="S2390">
        <v>-2.9818730000000002</v>
      </c>
      <c r="T2390">
        <v>-0.18726490000000001</v>
      </c>
      <c r="U2390">
        <v>-0.81381230000000004</v>
      </c>
      <c r="V2390">
        <v>-0.25187359999999998</v>
      </c>
      <c r="W2390">
        <v>0.19634480000000001</v>
      </c>
      <c r="X2390">
        <v>0.94763299999999995</v>
      </c>
      <c r="Y2390">
        <v>-0.3032881</v>
      </c>
      <c r="Z2390">
        <v>-1.357391E-2</v>
      </c>
      <c r="AA2390">
        <v>0.95280220000000004</v>
      </c>
      <c r="AB2390">
        <v>35</v>
      </c>
      <c r="AC2390">
        <v>-17.4377</v>
      </c>
      <c r="AD2390">
        <v>-1.1162860779999999</v>
      </c>
      <c r="AE2390">
        <v>-4.8662999999999599</v>
      </c>
      <c r="AF2390">
        <v>-5.5813073366583303</v>
      </c>
      <c r="AG2390">
        <v>-1.1162860779999999</v>
      </c>
      <c r="AH2390">
        <v>17.150079216082901</v>
      </c>
      <c r="AI2390">
        <v>93.541753507599594</v>
      </c>
      <c r="AJ2390">
        <v>108.026916735951</v>
      </c>
      <c r="AK2390">
        <v>18.069928149057201</v>
      </c>
      <c r="AL2390">
        <v>78.676705610678198</v>
      </c>
      <c r="AM2390">
        <v>104.884638023924</v>
      </c>
      <c r="AN2390">
        <v>0.99999994677649795</v>
      </c>
    </row>
    <row r="2391" spans="1:40" x14ac:dyDescent="0.25">
      <c r="A2391" t="str">
        <f>"20190303162826045"</f>
        <v>20190303162826045</v>
      </c>
      <c r="B2391" t="str">
        <f>"1551601706033704"</f>
        <v>1551601706033704</v>
      </c>
      <c r="C2391" t="s">
        <v>40</v>
      </c>
      <c r="D2391">
        <v>4.9311230000000004</v>
      </c>
      <c r="E2391">
        <v>0.47918189999999999</v>
      </c>
      <c r="F2391" t="s">
        <v>47</v>
      </c>
      <c r="G2391">
        <v>-472.13959999999997</v>
      </c>
      <c r="H2391">
        <v>2.2230610000000001E-2</v>
      </c>
      <c r="I2391">
        <v>279.61630000000002</v>
      </c>
      <c r="J2391">
        <v>-454.71600000000001</v>
      </c>
      <c r="K2391">
        <v>1.1201289999999999</v>
      </c>
      <c r="L2391">
        <v>284.49810000000002</v>
      </c>
      <c r="M2391">
        <v>-0.99893889999999996</v>
      </c>
      <c r="N2391">
        <v>-1.4303130000000001E-2</v>
      </c>
      <c r="O2391">
        <v>4.3778060000000001E-2</v>
      </c>
      <c r="P2391">
        <v>-0.96029810000000004</v>
      </c>
      <c r="Q2391">
        <v>0.1821035</v>
      </c>
      <c r="R2391">
        <v>-0.21134359999999999</v>
      </c>
      <c r="S2391">
        <v>-2.979095</v>
      </c>
      <c r="T2391">
        <v>-0.18418570000000001</v>
      </c>
      <c r="U2391">
        <v>-0.81637569999999904</v>
      </c>
      <c r="V2391">
        <v>-0.25257230000000003</v>
      </c>
      <c r="W2391">
        <v>0.19646549999999999</v>
      </c>
      <c r="X2391">
        <v>0.94742210000000004</v>
      </c>
      <c r="Y2391">
        <v>-0.30553950000000002</v>
      </c>
      <c r="Z2391">
        <v>-1.3537850000000001E-2</v>
      </c>
      <c r="AA2391">
        <v>0.95208309999999996</v>
      </c>
      <c r="AB2391">
        <v>35</v>
      </c>
      <c r="AC2391">
        <v>-17.423599999999901</v>
      </c>
      <c r="AD2391">
        <v>-1.0978983899999999</v>
      </c>
      <c r="AE2391">
        <v>-4.8817999999999904</v>
      </c>
      <c r="AF2391">
        <v>-5.6192807000749596</v>
      </c>
      <c r="AG2391">
        <v>-1.0978983899999999</v>
      </c>
      <c r="AH2391">
        <v>17.1300898631725</v>
      </c>
      <c r="AI2391">
        <v>93.4849470844389</v>
      </c>
      <c r="AJ2391">
        <v>108.161336258982</v>
      </c>
      <c r="AK2391">
        <v>18.061607768450902</v>
      </c>
      <c r="AL2391">
        <v>78.669653794003494</v>
      </c>
      <c r="AM2391">
        <v>104.927261982568</v>
      </c>
      <c r="AN2391">
        <v>1.00000004749297</v>
      </c>
    </row>
    <row r="2392" spans="1:40" x14ac:dyDescent="0.25">
      <c r="A2392" t="str">
        <f>"20190303162826067"</f>
        <v>20190303162826067</v>
      </c>
      <c r="B2392" t="str">
        <f>"1551601706054199"</f>
        <v>1551601706054199</v>
      </c>
      <c r="C2392" t="s">
        <v>40</v>
      </c>
      <c r="D2392">
        <v>5.0334940000000001</v>
      </c>
      <c r="E2392">
        <v>0.48097770000000001</v>
      </c>
      <c r="F2392" t="s">
        <v>47</v>
      </c>
      <c r="G2392">
        <v>-472.71179999999998</v>
      </c>
      <c r="H2392">
        <v>5.0190679999999998E-3</v>
      </c>
      <c r="I2392">
        <v>279.61630000000002</v>
      </c>
      <c r="J2392">
        <v>-455.06639999999999</v>
      </c>
      <c r="K2392">
        <v>1.120133</v>
      </c>
      <c r="L2392">
        <v>284.51490000000001</v>
      </c>
      <c r="M2392">
        <v>-0.99887749999999997</v>
      </c>
      <c r="N2392">
        <v>-1.4340769999999999E-2</v>
      </c>
      <c r="O2392">
        <v>4.5148599999999997E-2</v>
      </c>
      <c r="P2392">
        <v>-0.95957139999999996</v>
      </c>
      <c r="Q2392">
        <v>0.181782</v>
      </c>
      <c r="R2392">
        <v>-0.21489169999999999</v>
      </c>
      <c r="S2392">
        <v>-2.9810789999999998</v>
      </c>
      <c r="T2392">
        <v>-0.18472279999999999</v>
      </c>
      <c r="U2392">
        <v>-0.80868530000000005</v>
      </c>
      <c r="V2392">
        <v>-0.25739069999999997</v>
      </c>
      <c r="W2392">
        <v>0.19617380000000001</v>
      </c>
      <c r="X2392">
        <v>0.9461849</v>
      </c>
      <c r="Y2392">
        <v>-0.30439500000000003</v>
      </c>
      <c r="Z2392">
        <v>-1.359321E-2</v>
      </c>
      <c r="AA2392">
        <v>0.95244890000000004</v>
      </c>
      <c r="AB2392">
        <v>34</v>
      </c>
      <c r="AC2392">
        <v>-17.645399999999899</v>
      </c>
      <c r="AD2392">
        <v>-1.1151139320000001</v>
      </c>
      <c r="AE2392">
        <v>-4.8985999999999796</v>
      </c>
      <c r="AF2392">
        <v>-5.6693292056496301</v>
      </c>
      <c r="AG2392">
        <v>-1.1151139320000001</v>
      </c>
      <c r="AH2392">
        <v>17.341912681600299</v>
      </c>
      <c r="AI2392">
        <v>93.497486311845094</v>
      </c>
      <c r="AJ2392">
        <v>108.103338441655</v>
      </c>
      <c r="AK2392">
        <v>18.279133135343798</v>
      </c>
      <c r="AL2392">
        <v>78.686698105974003</v>
      </c>
      <c r="AM2392">
        <v>105.217928385318</v>
      </c>
      <c r="AN2392">
        <v>0.99999999862046995</v>
      </c>
    </row>
    <row r="2393" spans="1:40" x14ac:dyDescent="0.25">
      <c r="A2393" t="str">
        <f>"20190303162826090"</f>
        <v>20190303162826090</v>
      </c>
      <c r="B2393" t="str">
        <f>"1551601706083480"</f>
        <v>1551601706083480</v>
      </c>
      <c r="C2393" t="s">
        <v>40</v>
      </c>
      <c r="D2393">
        <v>4.978567</v>
      </c>
      <c r="E2393">
        <v>0.48304370000000002</v>
      </c>
      <c r="F2393" t="s">
        <v>47</v>
      </c>
      <c r="G2393">
        <v>-473.21100000000001</v>
      </c>
      <c r="H2393">
        <v>9.8475260000000005E-3</v>
      </c>
      <c r="I2393">
        <v>279.61630000000002</v>
      </c>
      <c r="J2393">
        <v>-455.4196</v>
      </c>
      <c r="K2393">
        <v>1.1201270000000001</v>
      </c>
      <c r="L2393">
        <v>284.53219999999999</v>
      </c>
      <c r="M2393">
        <v>-0.99881370000000003</v>
      </c>
      <c r="N2393">
        <v>-1.437335E-2</v>
      </c>
      <c r="O2393">
        <v>4.6526919999999999E-2</v>
      </c>
      <c r="P2393">
        <v>-0.95907430000000005</v>
      </c>
      <c r="Q2393">
        <v>0.18082519999999999</v>
      </c>
      <c r="R2393">
        <v>-0.21789710000000001</v>
      </c>
      <c r="S2393">
        <v>-2.9807429999999999</v>
      </c>
      <c r="T2393">
        <v>-0.18239530000000001</v>
      </c>
      <c r="U2393">
        <v>-0.80471800000000004</v>
      </c>
      <c r="V2393">
        <v>-0.26168449999999999</v>
      </c>
      <c r="W2393">
        <v>0.19524359999999999</v>
      </c>
      <c r="X2393">
        <v>0.94519900000000001</v>
      </c>
      <c r="Y2393">
        <v>-0.30456949999999999</v>
      </c>
      <c r="Z2393">
        <v>-1.351868E-2</v>
      </c>
      <c r="AA2393">
        <v>0.95239419999999997</v>
      </c>
      <c r="AB2393">
        <v>34</v>
      </c>
      <c r="AC2393">
        <v>-17.791399999999999</v>
      </c>
      <c r="AD2393">
        <v>-1.1102794739999999</v>
      </c>
      <c r="AE2393">
        <v>-4.9158999999999597</v>
      </c>
      <c r="AF2393">
        <v>-5.7177516939343302</v>
      </c>
      <c r="AG2393">
        <v>-1.1102794739999999</v>
      </c>
      <c r="AH2393">
        <v>17.480136662524099</v>
      </c>
      <c r="AI2393">
        <v>93.4547025400895</v>
      </c>
      <c r="AJ2393">
        <v>108.112917706085</v>
      </c>
      <c r="AK2393">
        <v>18.4249988516796</v>
      </c>
      <c r="AL2393">
        <v>78.741045571825296</v>
      </c>
      <c r="AM2393">
        <v>105.475095954267</v>
      </c>
      <c r="AN2393">
        <v>0.99999999524110394</v>
      </c>
    </row>
    <row r="2394" spans="1:40" x14ac:dyDescent="0.25">
      <c r="A2394" t="str">
        <f>"20190303162826110"</f>
        <v>20190303162826110</v>
      </c>
      <c r="B2394" t="str">
        <f>"1551601706103976"</f>
        <v>1551601706103976</v>
      </c>
      <c r="C2394" t="s">
        <v>40</v>
      </c>
      <c r="D2394">
        <v>5.0227430000000002</v>
      </c>
      <c r="E2394">
        <v>0.493147</v>
      </c>
      <c r="F2394" t="s">
        <v>47</v>
      </c>
      <c r="G2394">
        <v>-473.73219999999998</v>
      </c>
      <c r="H2394" s="1">
        <v>4.5236469999999996E-6</v>
      </c>
      <c r="I2394">
        <v>279.6361</v>
      </c>
      <c r="J2394">
        <v>-455.74349999999998</v>
      </c>
      <c r="K2394">
        <v>1.1201289999999999</v>
      </c>
      <c r="L2394">
        <v>284.54849999999999</v>
      </c>
      <c r="M2394">
        <v>-0.99875369999999997</v>
      </c>
      <c r="N2394">
        <v>-1.4398940000000001E-2</v>
      </c>
      <c r="O2394">
        <v>4.7787969999999999E-2</v>
      </c>
      <c r="P2394">
        <v>-0.95865540000000005</v>
      </c>
      <c r="Q2394">
        <v>0.1799782</v>
      </c>
      <c r="R2394">
        <v>-0.2204266</v>
      </c>
      <c r="S2394">
        <v>-2.9813230000000002</v>
      </c>
      <c r="T2394">
        <v>-0.18235799999999999</v>
      </c>
      <c r="U2394">
        <v>-0.79708859999999904</v>
      </c>
      <c r="V2394">
        <v>-0.26539299999999999</v>
      </c>
      <c r="W2394">
        <v>0.1944158</v>
      </c>
      <c r="X2394">
        <v>0.94433520000000004</v>
      </c>
      <c r="Y2394">
        <v>-0.30345290000000003</v>
      </c>
      <c r="Z2394">
        <v>-1.3536100000000001E-2</v>
      </c>
      <c r="AA2394">
        <v>0.95275030000000005</v>
      </c>
      <c r="AB2394">
        <v>34</v>
      </c>
      <c r="AC2394">
        <v>-17.988699999999898</v>
      </c>
      <c r="AD2394">
        <v>-1.1201244763530001</v>
      </c>
      <c r="AE2394">
        <v>-4.9123999999999901</v>
      </c>
      <c r="AF2394">
        <v>-5.7457867889427998</v>
      </c>
      <c r="AG2394">
        <v>-1.1201244763530001</v>
      </c>
      <c r="AH2394">
        <v>17.669609347105801</v>
      </c>
      <c r="AI2394">
        <v>93.449926848073304</v>
      </c>
      <c r="AJ2394">
        <v>108.013439881906</v>
      </c>
      <c r="AK2394">
        <v>18.6140763710114</v>
      </c>
      <c r="AL2394">
        <v>78.789401250307805</v>
      </c>
      <c r="AM2394">
        <v>105.69732039193499</v>
      </c>
      <c r="AN2394">
        <v>0.99999995884883897</v>
      </c>
    </row>
    <row r="2395" spans="1:40" x14ac:dyDescent="0.25">
      <c r="A2395" t="str">
        <f>"20190303162826134"</f>
        <v>20190303162826134</v>
      </c>
      <c r="B2395" t="str">
        <f>"1551601706123496"</f>
        <v>1551601706123496</v>
      </c>
      <c r="C2395" t="s">
        <v>40</v>
      </c>
      <c r="D2395">
        <v>5.2164429999999999</v>
      </c>
      <c r="E2395">
        <v>0.49320190000000003</v>
      </c>
      <c r="F2395" t="s">
        <v>47</v>
      </c>
      <c r="G2395">
        <v>-473.97890000000001</v>
      </c>
      <c r="H2395" s="1">
        <v>4.4577300000000001E-6</v>
      </c>
      <c r="I2395">
        <v>280.13339999999999</v>
      </c>
      <c r="J2395">
        <v>-456.08730000000003</v>
      </c>
      <c r="K2395">
        <v>1.1201319999999999</v>
      </c>
      <c r="L2395">
        <v>284.56630000000001</v>
      </c>
      <c r="M2395">
        <v>-0.99868880000000004</v>
      </c>
      <c r="N2395">
        <v>-1.442191E-2</v>
      </c>
      <c r="O2395">
        <v>4.9120230000000001E-2</v>
      </c>
      <c r="P2395">
        <v>-0.95803369999999999</v>
      </c>
      <c r="Q2395">
        <v>0.17932149999999999</v>
      </c>
      <c r="R2395">
        <v>-0.2236418</v>
      </c>
      <c r="S2395">
        <v>-2.9970699999999999</v>
      </c>
      <c r="T2395">
        <v>-0.18409739999999999</v>
      </c>
      <c r="U2395">
        <v>-0.72564700000000004</v>
      </c>
      <c r="V2395">
        <v>-0.26984249999999999</v>
      </c>
      <c r="W2395">
        <v>0.19377259999999999</v>
      </c>
      <c r="X2395">
        <v>0.94320579999999998</v>
      </c>
      <c r="Y2395">
        <v>-0.28210249999999998</v>
      </c>
      <c r="Z2395">
        <v>-1.287668E-2</v>
      </c>
      <c r="AA2395">
        <v>0.95929779999999998</v>
      </c>
      <c r="AB2395">
        <v>34</v>
      </c>
      <c r="AC2395">
        <v>-17.891599999999901</v>
      </c>
      <c r="AD2395">
        <v>-1.1201275422700001</v>
      </c>
      <c r="AE2395">
        <v>-4.4329000000000098</v>
      </c>
      <c r="AF2395">
        <v>-5.2869547026447803</v>
      </c>
      <c r="AG2395">
        <v>-1.1201275422700001</v>
      </c>
      <c r="AH2395">
        <v>17.5872830058156</v>
      </c>
      <c r="AI2395">
        <v>93.490335410382798</v>
      </c>
      <c r="AJ2395">
        <v>106.731427626461</v>
      </c>
      <c r="AK2395">
        <v>18.398888533425598</v>
      </c>
      <c r="AL2395">
        <v>78.826968647352501</v>
      </c>
      <c r="AM2395">
        <v>105.965338363505</v>
      </c>
      <c r="AN2395">
        <v>0.99999998823532499</v>
      </c>
    </row>
    <row r="2396" spans="1:40" x14ac:dyDescent="0.25">
      <c r="A2396" t="str">
        <f>"20190303162826156"</f>
        <v>20190303162826156</v>
      </c>
      <c r="B2396" t="str">
        <f>"1551601706143992"</f>
        <v>1551601706143992</v>
      </c>
      <c r="C2396" t="s">
        <v>40</v>
      </c>
      <c r="D2396">
        <v>5.2198760000000002</v>
      </c>
      <c r="E2396">
        <v>0.49364720000000001</v>
      </c>
      <c r="F2396" t="s">
        <v>47</v>
      </c>
      <c r="G2396">
        <v>-474.7396</v>
      </c>
      <c r="H2396" s="1">
        <v>4.1072500000000004E-6</v>
      </c>
      <c r="I2396">
        <v>279.983</v>
      </c>
      <c r="J2396">
        <v>-456.435</v>
      </c>
      <c r="K2396">
        <v>1.1201449999999999</v>
      </c>
      <c r="L2396">
        <v>284.58479999999997</v>
      </c>
      <c r="M2396">
        <v>-0.99862189999999995</v>
      </c>
      <c r="N2396">
        <v>-1.4441280000000001E-2</v>
      </c>
      <c r="O2396">
        <v>5.045376E-2</v>
      </c>
      <c r="P2396">
        <v>-0.95686260000000001</v>
      </c>
      <c r="Q2396">
        <v>0.17896010000000001</v>
      </c>
      <c r="R2396">
        <v>-0.22888230000000001</v>
      </c>
      <c r="S2396">
        <v>-2.9933169999999998</v>
      </c>
      <c r="T2396">
        <v>-0.17975849999999999</v>
      </c>
      <c r="U2396">
        <v>-0.73553469999999999</v>
      </c>
      <c r="V2396">
        <v>-0.27628760000000002</v>
      </c>
      <c r="W2396">
        <v>0.19341520000000001</v>
      </c>
      <c r="X2396">
        <v>0.94141160000000002</v>
      </c>
      <c r="Y2396">
        <v>-0.28666320000000001</v>
      </c>
      <c r="Z2396">
        <v>-1.284656E-2</v>
      </c>
      <c r="AA2396">
        <v>0.9579453</v>
      </c>
      <c r="AB2396">
        <v>34</v>
      </c>
      <c r="AC2396">
        <v>-18.304599999999901</v>
      </c>
      <c r="AD2396">
        <v>-1.1201408927500001</v>
      </c>
      <c r="AE2396">
        <v>-4.6017999999999599</v>
      </c>
      <c r="AF2396">
        <v>-5.5001976412360802</v>
      </c>
      <c r="AG2396">
        <v>-1.1201408927500001</v>
      </c>
      <c r="AH2396">
        <v>17.985731427929402</v>
      </c>
      <c r="AI2396">
        <v>93.408327323741204</v>
      </c>
      <c r="AJ2396">
        <v>107.00410102548599</v>
      </c>
      <c r="AK2396">
        <v>18.8412691905264</v>
      </c>
      <c r="AL2396">
        <v>78.847841602297905</v>
      </c>
      <c r="AM2396">
        <v>106.356027842137</v>
      </c>
      <c r="AN2396">
        <v>1.0000000390596699</v>
      </c>
    </row>
    <row r="2397" spans="1:40" x14ac:dyDescent="0.25">
      <c r="A2397" t="str">
        <f>"20190303162826180"</f>
        <v>20190303162826180</v>
      </c>
      <c r="B2397" t="str">
        <f>"1551601706174248"</f>
        <v>1551601706174248</v>
      </c>
      <c r="C2397" t="s">
        <v>40</v>
      </c>
      <c r="D2397">
        <v>5.0573259999999998</v>
      </c>
      <c r="E2397">
        <v>0.49320819999999999</v>
      </c>
      <c r="F2397" t="s">
        <v>47</v>
      </c>
      <c r="G2397">
        <v>-474.9744</v>
      </c>
      <c r="H2397" s="1">
        <v>3.9985669999999999E-6</v>
      </c>
      <c r="I2397">
        <v>279.93079999999998</v>
      </c>
      <c r="J2397">
        <v>-456.7867</v>
      </c>
      <c r="K2397">
        <v>1.1201570000000001</v>
      </c>
      <c r="L2397">
        <v>284.60390000000001</v>
      </c>
      <c r="M2397">
        <v>-0.99855380000000005</v>
      </c>
      <c r="N2397">
        <v>-1.4454099999999999E-2</v>
      </c>
      <c r="O2397">
        <v>5.1784160000000003E-2</v>
      </c>
      <c r="P2397">
        <v>-0.95572230000000002</v>
      </c>
      <c r="Q2397">
        <v>0.17763470000000001</v>
      </c>
      <c r="R2397">
        <v>-0.23460819999999999</v>
      </c>
      <c r="S2397">
        <v>-2.9895019999999999</v>
      </c>
      <c r="T2397">
        <v>-0.18062420000000001</v>
      </c>
      <c r="U2397">
        <v>-0.75045779999999995</v>
      </c>
      <c r="V2397">
        <v>-0.28321619999999997</v>
      </c>
      <c r="W2397">
        <v>0.19208449999999999</v>
      </c>
      <c r="X2397">
        <v>0.9396234</v>
      </c>
      <c r="Y2397">
        <v>-0.2926993</v>
      </c>
      <c r="Z2397">
        <v>-1.3196319999999999E-2</v>
      </c>
      <c r="AA2397">
        <v>0.95611349999999995</v>
      </c>
      <c r="AB2397">
        <v>34</v>
      </c>
      <c r="AC2397">
        <v>-18.1877</v>
      </c>
      <c r="AD2397">
        <v>-1.1201530014329999</v>
      </c>
      <c r="AE2397">
        <v>-4.67310000000003</v>
      </c>
      <c r="AF2397">
        <v>-5.5888753083095803</v>
      </c>
      <c r="AG2397">
        <v>-1.1201530014329999</v>
      </c>
      <c r="AH2397">
        <v>17.857732581525902</v>
      </c>
      <c r="AI2397">
        <v>93.425821838410002</v>
      </c>
      <c r="AJ2397">
        <v>107.37838138428501</v>
      </c>
      <c r="AK2397">
        <v>18.745369639240099</v>
      </c>
      <c r="AL2397">
        <v>78.925541735241296</v>
      </c>
      <c r="AM2397">
        <v>106.773572980929</v>
      </c>
      <c r="AN2397">
        <v>1.0000000024551201</v>
      </c>
    </row>
    <row r="2398" spans="1:40" x14ac:dyDescent="0.25">
      <c r="A2398" t="str">
        <f>"20190303162826202"</f>
        <v>20190303162826202</v>
      </c>
      <c r="B2398" t="str">
        <f>"1551601706193770"</f>
        <v>1551601706193770</v>
      </c>
      <c r="C2398" t="s">
        <v>40</v>
      </c>
      <c r="D2398">
        <v>4.985398</v>
      </c>
      <c r="E2398">
        <v>0.49306729999999999</v>
      </c>
      <c r="F2398" t="s">
        <v>47</v>
      </c>
      <c r="G2398">
        <v>-474.88170000000002</v>
      </c>
      <c r="H2398" s="1">
        <v>4.0381859999999998E-6</v>
      </c>
      <c r="I2398">
        <v>279.91419999999999</v>
      </c>
      <c r="J2398">
        <v>-457.1277</v>
      </c>
      <c r="K2398">
        <v>1.1201730000000001</v>
      </c>
      <c r="L2398">
        <v>284.62279999999998</v>
      </c>
      <c r="M2398">
        <v>-0.99848749999999997</v>
      </c>
      <c r="N2398">
        <v>-1.4459130000000001E-2</v>
      </c>
      <c r="O2398">
        <v>5.3045929999999998E-2</v>
      </c>
      <c r="P2398">
        <v>-0.95489159999999995</v>
      </c>
      <c r="Q2398">
        <v>0.17539080000000001</v>
      </c>
      <c r="R2398">
        <v>-0.2396247</v>
      </c>
      <c r="S2398">
        <v>-2.9835210000000001</v>
      </c>
      <c r="T2398">
        <v>-0.18469189999999999</v>
      </c>
      <c r="U2398">
        <v>-0.77325440000000001</v>
      </c>
      <c r="V2398">
        <v>-0.28938920000000001</v>
      </c>
      <c r="W2398">
        <v>0.189827</v>
      </c>
      <c r="X2398">
        <v>0.93820020000000004</v>
      </c>
      <c r="Y2398">
        <v>-0.30115599999999998</v>
      </c>
      <c r="Z2398">
        <v>-1.385549E-2</v>
      </c>
      <c r="AA2398">
        <v>0.95347420000000005</v>
      </c>
      <c r="AB2398">
        <v>34</v>
      </c>
      <c r="AC2398">
        <v>-17.754000000000001</v>
      </c>
      <c r="AD2398">
        <v>-1.1201689618139901</v>
      </c>
      <c r="AE2398">
        <v>-4.7085999999999899</v>
      </c>
      <c r="AF2398">
        <v>-5.6229320438710797</v>
      </c>
      <c r="AG2398">
        <v>-1.1201689618139901</v>
      </c>
      <c r="AH2398">
        <v>17.4144319323287</v>
      </c>
      <c r="AI2398">
        <v>93.502838710607406</v>
      </c>
      <c r="AJ2398">
        <v>107.894707939459</v>
      </c>
      <c r="AK2398">
        <v>18.333973459092601</v>
      </c>
      <c r="AL2398">
        <v>79.057311787271004</v>
      </c>
      <c r="AM2398">
        <v>107.14245367672299</v>
      </c>
      <c r="AN2398">
        <v>1.0000000071428401</v>
      </c>
    </row>
    <row r="2399" spans="1:40" x14ac:dyDescent="0.25">
      <c r="A2399" t="str">
        <f>"20190303162826225"</f>
        <v>20190303162826225</v>
      </c>
      <c r="B2399" t="str">
        <f>"1551601706214265"</f>
        <v>1551601706214265</v>
      </c>
      <c r="C2399" t="s">
        <v>40</v>
      </c>
      <c r="D2399">
        <v>5.0649620000000004</v>
      </c>
      <c r="E2399">
        <v>0.49296390000000001</v>
      </c>
      <c r="F2399" t="s">
        <v>47</v>
      </c>
      <c r="G2399">
        <v>-474.48579999999998</v>
      </c>
      <c r="H2399" s="1">
        <v>4.2223579999999997E-6</v>
      </c>
      <c r="I2399">
        <v>280.01240000000001</v>
      </c>
      <c r="J2399">
        <v>-457.46190000000001</v>
      </c>
      <c r="K2399">
        <v>1.1202019999999999</v>
      </c>
      <c r="L2399">
        <v>284.64179999999999</v>
      </c>
      <c r="M2399">
        <v>-0.99842299999999995</v>
      </c>
      <c r="N2399">
        <v>-1.4460020000000001E-2</v>
      </c>
      <c r="O2399">
        <v>5.4245399999999999E-2</v>
      </c>
      <c r="P2399">
        <v>-0.95400070000000003</v>
      </c>
      <c r="Q2399">
        <v>0.17439839999999901</v>
      </c>
      <c r="R2399">
        <v>-0.24386099999999999</v>
      </c>
      <c r="S2399">
        <v>-2.978485</v>
      </c>
      <c r="T2399">
        <v>-0.19221079999999999</v>
      </c>
      <c r="U2399">
        <v>-0.79110719999999901</v>
      </c>
      <c r="V2399">
        <v>-0.29471760000000002</v>
      </c>
      <c r="W2399">
        <v>0.1888087</v>
      </c>
      <c r="X2399">
        <v>0.93674590000000002</v>
      </c>
      <c r="Y2399">
        <v>-0.307955599999999</v>
      </c>
      <c r="Z2399">
        <v>-1.4697999999999999E-2</v>
      </c>
      <c r="AA2399">
        <v>0.9512872</v>
      </c>
      <c r="AB2399">
        <v>34</v>
      </c>
      <c r="AC2399">
        <v>-17.023899999999902</v>
      </c>
      <c r="AD2399">
        <v>-1.120197777642</v>
      </c>
      <c r="AE2399">
        <v>-4.6293999999999702</v>
      </c>
      <c r="AF2399">
        <v>-5.5238765768668001</v>
      </c>
      <c r="AG2399">
        <v>-1.120197777642</v>
      </c>
      <c r="AH2399">
        <v>16.680429049268501</v>
      </c>
      <c r="AI2399">
        <v>93.647762703325697</v>
      </c>
      <c r="AJ2399">
        <v>108.32276101694499</v>
      </c>
      <c r="AK2399">
        <v>17.606952284968902</v>
      </c>
      <c r="AL2399">
        <v>79.116730928154197</v>
      </c>
      <c r="AM2399">
        <v>107.464540481653</v>
      </c>
      <c r="AN2399">
        <v>1.00000003505612</v>
      </c>
    </row>
    <row r="2400" spans="1:40" x14ac:dyDescent="0.25">
      <c r="A2400" t="str">
        <f>"20190303162826246"</f>
        <v>20190303162826246</v>
      </c>
      <c r="B2400" t="str">
        <f>"1551601706233784"</f>
        <v>1551601706233784</v>
      </c>
      <c r="C2400" t="s">
        <v>40</v>
      </c>
      <c r="D2400">
        <v>5.2155290000000001</v>
      </c>
      <c r="E2400">
        <v>0.49287579999999998</v>
      </c>
      <c r="F2400" t="s">
        <v>47</v>
      </c>
      <c r="G2400">
        <v>-474.53390000000002</v>
      </c>
      <c r="H2400" s="1">
        <v>4.2013830000000003E-6</v>
      </c>
      <c r="I2400">
        <v>280.01659999999998</v>
      </c>
      <c r="J2400">
        <v>-457.80200000000002</v>
      </c>
      <c r="K2400">
        <v>1.1202369999999999</v>
      </c>
      <c r="L2400">
        <v>284.66149999999999</v>
      </c>
      <c r="M2400">
        <v>-0.99835870000000004</v>
      </c>
      <c r="N2400">
        <v>-1.4459E-2</v>
      </c>
      <c r="O2400">
        <v>5.5415850000000003E-2</v>
      </c>
      <c r="P2400">
        <v>-0.95304480000000003</v>
      </c>
      <c r="Q2400">
        <v>0.174784299999999</v>
      </c>
      <c r="R2400">
        <v>-0.2472974</v>
      </c>
      <c r="S2400">
        <v>-2.974335</v>
      </c>
      <c r="T2400">
        <v>-0.19516439999999999</v>
      </c>
      <c r="U2400">
        <v>-0.80581669999999905</v>
      </c>
      <c r="V2400">
        <v>-0.29921360000000002</v>
      </c>
      <c r="W2400">
        <v>0.18915709999999999</v>
      </c>
      <c r="X2400">
        <v>0.93524910000000006</v>
      </c>
      <c r="Y2400">
        <v>-0.31374229999999997</v>
      </c>
      <c r="Z2400">
        <v>-1.5200099999999999E-2</v>
      </c>
      <c r="AA2400">
        <v>0.94938650000000002</v>
      </c>
      <c r="AB2400">
        <v>34</v>
      </c>
      <c r="AC2400">
        <v>-16.7319</v>
      </c>
      <c r="AD2400">
        <v>-1.120232798617</v>
      </c>
      <c r="AE2400">
        <v>-4.6448999999999998</v>
      </c>
      <c r="AF2400">
        <v>-5.5420054830345196</v>
      </c>
      <c r="AG2400">
        <v>-1.120232798617</v>
      </c>
      <c r="AH2400">
        <v>16.380582639052001</v>
      </c>
      <c r="AI2400">
        <v>93.7064813291626</v>
      </c>
      <c r="AJ2400">
        <v>108.692104306357</v>
      </c>
      <c r="AK2400">
        <v>17.328942088076101</v>
      </c>
      <c r="AL2400">
        <v>79.096402750590698</v>
      </c>
      <c r="AM2400">
        <v>107.74099757274701</v>
      </c>
      <c r="AN2400">
        <v>1.00000003297808</v>
      </c>
    </row>
    <row r="2401" spans="1:40" x14ac:dyDescent="0.25">
      <c r="A2401" t="str">
        <f>"20190303162826268"</f>
        <v>20190303162826268</v>
      </c>
      <c r="B2401" t="str">
        <f>"1551601706264040"</f>
        <v>1551601706264040</v>
      </c>
      <c r="C2401" t="s">
        <v>40</v>
      </c>
      <c r="D2401">
        <v>5.2163110000000001</v>
      </c>
      <c r="E2401">
        <v>0.4931239</v>
      </c>
      <c r="F2401" t="s">
        <v>47</v>
      </c>
      <c r="G2401">
        <v>-475.22140000000002</v>
      </c>
      <c r="H2401" s="1">
        <v>3.8838739999999999E-6</v>
      </c>
      <c r="I2401">
        <v>279.87209999999999</v>
      </c>
      <c r="J2401">
        <v>-458.1429</v>
      </c>
      <c r="K2401">
        <v>1.120282</v>
      </c>
      <c r="L2401">
        <v>284.68150000000003</v>
      </c>
      <c r="M2401">
        <v>-0.99829540000000005</v>
      </c>
      <c r="N2401">
        <v>-1.4456760000000001E-2</v>
      </c>
      <c r="O2401">
        <v>5.6545089999999999E-2</v>
      </c>
      <c r="P2401">
        <v>-0.95192949999999998</v>
      </c>
      <c r="Q2401">
        <v>0.17588809999999999</v>
      </c>
      <c r="R2401">
        <v>-0.25078650000000002</v>
      </c>
      <c r="S2401">
        <v>-2.9708860000000001</v>
      </c>
      <c r="T2401">
        <v>-0.191056</v>
      </c>
      <c r="U2401">
        <v>-0.81683349999999999</v>
      </c>
      <c r="V2401">
        <v>-0.30371019999999999</v>
      </c>
      <c r="W2401">
        <v>0.190217</v>
      </c>
      <c r="X2401">
        <v>0.93358319999999995</v>
      </c>
      <c r="Y2401">
        <v>-0.31838610000000001</v>
      </c>
      <c r="Z2401">
        <v>-1.515881E-2</v>
      </c>
      <c r="AA2401">
        <v>0.94783989999999996</v>
      </c>
      <c r="AB2401">
        <v>34</v>
      </c>
      <c r="AC2401">
        <v>-17.078499999999998</v>
      </c>
      <c r="AD2401">
        <v>-1.120278116126</v>
      </c>
      <c r="AE2401">
        <v>-4.8094000000000303</v>
      </c>
      <c r="AF2401">
        <v>-5.7446079902857896</v>
      </c>
      <c r="AG2401">
        <v>-1.120278116126</v>
      </c>
      <c r="AH2401">
        <v>16.712565757532801</v>
      </c>
      <c r="AI2401">
        <v>93.627225451113006</v>
      </c>
      <c r="AJ2401">
        <v>108.96937612290699</v>
      </c>
      <c r="AK2401">
        <v>17.7077779017974</v>
      </c>
      <c r="AL2401">
        <v>79.034551573283693</v>
      </c>
      <c r="AM2401">
        <v>108.020571806411</v>
      </c>
      <c r="AN2401">
        <v>0.999999991997639</v>
      </c>
    </row>
    <row r="2402" spans="1:40" x14ac:dyDescent="0.25">
      <c r="A2402" t="str">
        <f>"20190303162826290"</f>
        <v>20190303162826290</v>
      </c>
      <c r="B2402" t="str">
        <f>"1551601706283561"</f>
        <v>1551601706283561</v>
      </c>
      <c r="C2402" t="s">
        <v>40</v>
      </c>
      <c r="D2402">
        <v>5.1542149999999998</v>
      </c>
      <c r="E2402">
        <v>0.4933574</v>
      </c>
      <c r="F2402" t="s">
        <v>47</v>
      </c>
      <c r="G2402">
        <v>-476.42309999999998</v>
      </c>
      <c r="H2402">
        <v>3.9598680000000001E-3</v>
      </c>
      <c r="I2402">
        <v>279.59719999999999</v>
      </c>
      <c r="J2402">
        <v>-458.47949999999997</v>
      </c>
      <c r="K2402">
        <v>1.1203299999999901</v>
      </c>
      <c r="L2402">
        <v>284.70170000000002</v>
      </c>
      <c r="M2402">
        <v>-0.99823490000000004</v>
      </c>
      <c r="N2402">
        <v>-1.445367E-2</v>
      </c>
      <c r="O2402">
        <v>5.7606020000000001E-2</v>
      </c>
      <c r="P2402">
        <v>-0.95122720000000005</v>
      </c>
      <c r="Q2402">
        <v>0.17559949999999999</v>
      </c>
      <c r="R2402">
        <v>-0.25363730000000001</v>
      </c>
      <c r="S2402">
        <v>-2.9675600000000002</v>
      </c>
      <c r="T2402">
        <v>-0.18122160000000001</v>
      </c>
      <c r="U2402">
        <v>-0.82537839999999996</v>
      </c>
      <c r="V2402">
        <v>-0.30753219999999998</v>
      </c>
      <c r="W2402">
        <v>0.1898851</v>
      </c>
      <c r="X2402">
        <v>0.93239890000000003</v>
      </c>
      <c r="Y2402">
        <v>-0.3222643</v>
      </c>
      <c r="Z2402">
        <v>-1.466252E-2</v>
      </c>
      <c r="AA2402">
        <v>0.94653620000000005</v>
      </c>
      <c r="AB2402">
        <v>34</v>
      </c>
      <c r="AC2402">
        <v>-17.9436</v>
      </c>
      <c r="AD2402">
        <v>-1.1163701319999999</v>
      </c>
      <c r="AE2402">
        <v>-5.10450000000003</v>
      </c>
      <c r="AF2402">
        <v>-6.1079165924952497</v>
      </c>
      <c r="AG2402">
        <v>-1.1163701319999999</v>
      </c>
      <c r="AH2402">
        <v>17.5568452930364</v>
      </c>
      <c r="AI2402">
        <v>93.436801317114998</v>
      </c>
      <c r="AJ2402">
        <v>109.18246590227901</v>
      </c>
      <c r="AK2402">
        <v>18.6224526852967</v>
      </c>
      <c r="AL2402">
        <v>79.053921787183796</v>
      </c>
      <c r="AM2402">
        <v>108.25405426771</v>
      </c>
      <c r="AN2402">
        <v>1.00000005698002</v>
      </c>
    </row>
    <row r="2403" spans="1:40" x14ac:dyDescent="0.25">
      <c r="A2403" t="str">
        <f>"20190303162826312"</f>
        <v>20190303162826312</v>
      </c>
      <c r="B2403" t="str">
        <f>"1551601706304057"</f>
        <v>1551601706304057</v>
      </c>
      <c r="C2403" t="s">
        <v>40</v>
      </c>
      <c r="D2403">
        <v>4.9222939999999999</v>
      </c>
      <c r="E2403">
        <v>0.49341760000000001</v>
      </c>
      <c r="F2403" t="s">
        <v>47</v>
      </c>
      <c r="G2403">
        <v>-476.75720000000001</v>
      </c>
      <c r="H2403">
        <v>1.516908E-2</v>
      </c>
      <c r="I2403">
        <v>279.572</v>
      </c>
      <c r="J2403">
        <v>-458.81439999999998</v>
      </c>
      <c r="K2403">
        <v>1.120382</v>
      </c>
      <c r="L2403">
        <v>284.72210000000001</v>
      </c>
      <c r="M2403">
        <v>-0.99817750000000005</v>
      </c>
      <c r="N2403">
        <v>-1.4449729999999999E-2</v>
      </c>
      <c r="O2403">
        <v>5.859197E-2</v>
      </c>
      <c r="P2403">
        <v>-0.95101369999999996</v>
      </c>
      <c r="Q2403">
        <v>0.17444879999999999</v>
      </c>
      <c r="R2403">
        <v>-0.2552275</v>
      </c>
      <c r="S2403">
        <v>-2.9650569999999998</v>
      </c>
      <c r="T2403">
        <v>-0.17928239999999901</v>
      </c>
      <c r="U2403">
        <v>-0.83215329999999998</v>
      </c>
      <c r="V2403">
        <v>-0.31005769999999999</v>
      </c>
      <c r="W2403">
        <v>0.18868789999999999</v>
      </c>
      <c r="X2403">
        <v>0.93180529999999995</v>
      </c>
      <c r="Y2403">
        <v>-0.32541619999999999</v>
      </c>
      <c r="Z2403">
        <v>-1.469109E-2</v>
      </c>
      <c r="AA2403">
        <v>0.94545670000000004</v>
      </c>
      <c r="AB2403">
        <v>34</v>
      </c>
      <c r="AC2403">
        <v>-17.942799999999998</v>
      </c>
      <c r="AD2403">
        <v>-1.10521292</v>
      </c>
      <c r="AE2403">
        <v>-5.1501000000000001</v>
      </c>
      <c r="AF2403">
        <v>-6.1710325201885796</v>
      </c>
      <c r="AG2403">
        <v>-1.10521292</v>
      </c>
      <c r="AH2403">
        <v>17.5486681479459</v>
      </c>
      <c r="AI2403">
        <v>93.400140278267997</v>
      </c>
      <c r="AJ2403">
        <v>109.37434982538601</v>
      </c>
      <c r="AK2403">
        <v>18.6348837326797</v>
      </c>
      <c r="AL2403">
        <v>79.123778656016</v>
      </c>
      <c r="AM2403">
        <v>108.40483484523099</v>
      </c>
      <c r="AN2403">
        <v>1.0000000090218899</v>
      </c>
    </row>
    <row r="2404" spans="1:40" x14ac:dyDescent="0.25">
      <c r="A2404" t="str">
        <f>"20190303162826335"</f>
        <v>20190303162826335</v>
      </c>
      <c r="B2404" t="str">
        <f>"1551601706323576"</f>
        <v>1551601706323576</v>
      </c>
      <c r="C2404" t="s">
        <v>40</v>
      </c>
      <c r="D2404">
        <v>4.9502329999999999</v>
      </c>
      <c r="E2404">
        <v>0.49339159999999999</v>
      </c>
      <c r="F2404" t="s">
        <v>47</v>
      </c>
      <c r="G2404">
        <v>-477.11660000000001</v>
      </c>
      <c r="H2404" s="1">
        <v>3.014029E-6</v>
      </c>
      <c r="I2404">
        <v>279.56299999999999</v>
      </c>
      <c r="J2404">
        <v>-459.14690000000002</v>
      </c>
      <c r="K2404">
        <v>1.1204480000000001</v>
      </c>
      <c r="L2404">
        <v>284.74250000000001</v>
      </c>
      <c r="M2404">
        <v>-0.99812480000000003</v>
      </c>
      <c r="N2404">
        <v>-1.444523E-2</v>
      </c>
      <c r="O2404">
        <v>5.9483830000000001E-2</v>
      </c>
      <c r="P2404">
        <v>-0.95056839999999998</v>
      </c>
      <c r="Q2404">
        <v>0.174294899999999</v>
      </c>
      <c r="R2404">
        <v>-0.25698539999999997</v>
      </c>
      <c r="S2404">
        <v>-2.9636230000000001</v>
      </c>
      <c r="T2404">
        <v>-0.18141940000000001</v>
      </c>
      <c r="U2404">
        <v>-0.83538819999999903</v>
      </c>
      <c r="V2404">
        <v>-0.31265199999999999</v>
      </c>
      <c r="W2404">
        <v>0.18847340000000001</v>
      </c>
      <c r="X2404">
        <v>0.93098150000000002</v>
      </c>
      <c r="Y2404">
        <v>-0.32731320000000003</v>
      </c>
      <c r="Z2404">
        <v>-1.4963550000000001E-2</v>
      </c>
      <c r="AA2404">
        <v>0.94479740000000001</v>
      </c>
      <c r="AB2404">
        <v>34</v>
      </c>
      <c r="AC2404">
        <v>-17.9696999999999</v>
      </c>
      <c r="AD2404">
        <v>-1.120444985971</v>
      </c>
      <c r="AE2404">
        <v>-5.1795000000000098</v>
      </c>
      <c r="AF2404">
        <v>-6.21702836060782</v>
      </c>
      <c r="AG2404">
        <v>-1.120444985971</v>
      </c>
      <c r="AH2404">
        <v>17.566688853013101</v>
      </c>
      <c r="AI2404">
        <v>93.440929211793701</v>
      </c>
      <c r="AJ2404">
        <v>109.4893849395</v>
      </c>
      <c r="AK2404">
        <v>18.668031386886099</v>
      </c>
      <c r="AL2404">
        <v>79.136293309106307</v>
      </c>
      <c r="AM2404">
        <v>108.56362257123401</v>
      </c>
      <c r="AN2404">
        <v>1.0000000244769001</v>
      </c>
    </row>
    <row r="2405" spans="1:40" x14ac:dyDescent="0.25">
      <c r="A2405" t="str">
        <f>"20190303162826357"</f>
        <v>20190303162826357</v>
      </c>
      <c r="B2405" t="str">
        <f>"1551601706344072"</f>
        <v>1551601706344072</v>
      </c>
      <c r="C2405" t="s">
        <v>40</v>
      </c>
      <c r="D2405">
        <v>5.1482900000000003</v>
      </c>
      <c r="E2405">
        <v>0.49339640000000001</v>
      </c>
      <c r="F2405" t="s">
        <v>47</v>
      </c>
      <c r="G2405">
        <v>-477.41899999999998</v>
      </c>
      <c r="H2405" s="1">
        <v>2.8803819999999999E-6</v>
      </c>
      <c r="I2405">
        <v>279.56639999999999</v>
      </c>
      <c r="J2405">
        <v>-459.4914</v>
      </c>
      <c r="K2405">
        <v>1.120549</v>
      </c>
      <c r="L2405">
        <v>284.76389999999998</v>
      </c>
      <c r="M2405">
        <v>-0.99807639999999997</v>
      </c>
      <c r="N2405">
        <v>-1.44405E-2</v>
      </c>
      <c r="O2405">
        <v>6.029027E-2</v>
      </c>
      <c r="P2405">
        <v>-0.94996849999999999</v>
      </c>
      <c r="Q2405">
        <v>0.17528440000000001</v>
      </c>
      <c r="R2405">
        <v>-0.25852520000000001</v>
      </c>
      <c r="S2405">
        <v>-2.9624630000000001</v>
      </c>
      <c r="T2405">
        <v>-0.18165870000000001</v>
      </c>
      <c r="U2405">
        <v>-0.83920289999999997</v>
      </c>
      <c r="V2405">
        <v>-0.31494699999999998</v>
      </c>
      <c r="W2405">
        <v>0.18937989999999999</v>
      </c>
      <c r="X2405">
        <v>0.93002339999999994</v>
      </c>
      <c r="Y2405">
        <v>-0.32929160000000002</v>
      </c>
      <c r="Z2405">
        <v>-1.5095280000000001E-2</v>
      </c>
      <c r="AA2405">
        <v>0.94410760000000005</v>
      </c>
      <c r="AB2405">
        <v>34</v>
      </c>
      <c r="AC2405">
        <v>-17.927600000000002</v>
      </c>
      <c r="AD2405">
        <v>-1.120546119618</v>
      </c>
      <c r="AE2405">
        <v>-5.19749999999999</v>
      </c>
      <c r="AF2405">
        <v>-6.2465043804902098</v>
      </c>
      <c r="AG2405">
        <v>-1.120546119618</v>
      </c>
      <c r="AH2405">
        <v>17.518455813172402</v>
      </c>
      <c r="AI2405">
        <v>93.447807022112002</v>
      </c>
      <c r="AJ2405">
        <v>109.624560239109</v>
      </c>
      <c r="AK2405">
        <v>18.632518205002501</v>
      </c>
      <c r="AL2405">
        <v>79.083401266481502</v>
      </c>
      <c r="AM2405">
        <v>108.708370657054</v>
      </c>
      <c r="AN2405">
        <v>0.99999994194028297</v>
      </c>
    </row>
    <row r="2406" spans="1:40" x14ac:dyDescent="0.25">
      <c r="A2406" t="str">
        <f>"20190303162826380"</f>
        <v>20190303162826380</v>
      </c>
      <c r="B2406" t="str">
        <f>"1551601706373353"</f>
        <v>1551601706373353</v>
      </c>
      <c r="C2406" t="s">
        <v>40</v>
      </c>
      <c r="D2406">
        <v>4.8712030000000004</v>
      </c>
      <c r="E2406">
        <v>0.49389850000000002</v>
      </c>
      <c r="F2406" t="s">
        <v>47</v>
      </c>
      <c r="G2406">
        <v>-478.13400000000001</v>
      </c>
      <c r="H2406" s="1">
        <v>2.54906E-6</v>
      </c>
      <c r="I2406">
        <v>279.45859999999999</v>
      </c>
      <c r="J2406">
        <v>-459.83249999999998</v>
      </c>
      <c r="K2406">
        <v>1.1206739999999999</v>
      </c>
      <c r="L2406">
        <v>284.78519999999997</v>
      </c>
      <c r="M2406">
        <v>-0.99803719999999996</v>
      </c>
      <c r="N2406">
        <v>-1.4435659999999999E-2</v>
      </c>
      <c r="O2406">
        <v>6.0938939999999997E-2</v>
      </c>
      <c r="P2406">
        <v>-0.94993870000000002</v>
      </c>
      <c r="Q2406">
        <v>0.175402799999999</v>
      </c>
      <c r="R2406">
        <v>-0.25855359999999999</v>
      </c>
      <c r="S2406">
        <v>-2.961487</v>
      </c>
      <c r="T2406">
        <v>-0.17800579999999999</v>
      </c>
      <c r="U2406">
        <v>-0.84277340000000001</v>
      </c>
      <c r="V2406">
        <v>-0.31563380000000002</v>
      </c>
      <c r="W2406">
        <v>0.1894024</v>
      </c>
      <c r="X2406">
        <v>0.929786</v>
      </c>
      <c r="Y2406">
        <v>-0.33106380000000002</v>
      </c>
      <c r="Z2406">
        <v>-1.4920269999999999E-2</v>
      </c>
      <c r="AA2406">
        <v>0.94349039999999995</v>
      </c>
      <c r="AB2406">
        <v>34</v>
      </c>
      <c r="AC2406">
        <v>-18.301500000000001</v>
      </c>
      <c r="AD2406">
        <v>-1.12067145094</v>
      </c>
      <c r="AE2406">
        <v>-5.3265999999999796</v>
      </c>
      <c r="AF2406">
        <v>-6.4099309095144097</v>
      </c>
      <c r="AG2406">
        <v>-1.12067145094</v>
      </c>
      <c r="AH2406">
        <v>17.8810377462883</v>
      </c>
      <c r="AI2406">
        <v>93.376395255578601</v>
      </c>
      <c r="AJ2406">
        <v>109.72156100847999</v>
      </c>
      <c r="AK2406">
        <v>19.028258713027</v>
      </c>
      <c r="AL2406">
        <v>79.082088829180293</v>
      </c>
      <c r="AM2406">
        <v>108.750772604726</v>
      </c>
      <c r="AN2406">
        <v>0.99999998531209899</v>
      </c>
    </row>
    <row r="2407" spans="1:40" x14ac:dyDescent="0.25">
      <c r="A2407" t="str">
        <f>"20190303162826402"</f>
        <v>20190303162826402</v>
      </c>
      <c r="B2407" t="str">
        <f>"1551601706393848"</f>
        <v>1551601706393848</v>
      </c>
      <c r="C2407" t="s">
        <v>40</v>
      </c>
      <c r="D2407">
        <v>4.875121</v>
      </c>
      <c r="E2407">
        <v>0.49421510000000002</v>
      </c>
      <c r="F2407" t="s">
        <v>47</v>
      </c>
      <c r="G2407">
        <v>-478.6438</v>
      </c>
      <c r="H2407" s="1">
        <v>2.3228320000000001E-6</v>
      </c>
      <c r="I2407">
        <v>279.45760000000001</v>
      </c>
      <c r="J2407">
        <v>-460.17169999999999</v>
      </c>
      <c r="K2407">
        <v>1.1208199999999999</v>
      </c>
      <c r="L2407">
        <v>284.80650000000003</v>
      </c>
      <c r="M2407">
        <v>-0.99800889999999998</v>
      </c>
      <c r="N2407">
        <v>-1.443093E-2</v>
      </c>
      <c r="O2407">
        <v>6.1401730000000002E-2</v>
      </c>
      <c r="P2407">
        <v>-0.94985209999999998</v>
      </c>
      <c r="Q2407">
        <v>0.1756588</v>
      </c>
      <c r="R2407">
        <v>-0.25869940000000002</v>
      </c>
      <c r="S2407">
        <v>-2.9623110000000001</v>
      </c>
      <c r="T2407">
        <v>-0.1764772</v>
      </c>
      <c r="U2407">
        <v>-0.83895869999999995</v>
      </c>
      <c r="V2407">
        <v>-0.316272</v>
      </c>
      <c r="W2407">
        <v>0.18954099999999999</v>
      </c>
      <c r="X2407">
        <v>0.9295409</v>
      </c>
      <c r="Y2407">
        <v>-0.33032099999999998</v>
      </c>
      <c r="Z2407">
        <v>-1.479684E-2</v>
      </c>
      <c r="AA2407">
        <v>0.94375260000000005</v>
      </c>
      <c r="AB2407">
        <v>34</v>
      </c>
      <c r="AC2407">
        <v>-18.472100000000001</v>
      </c>
      <c r="AD2407">
        <v>-1.1208176771680001</v>
      </c>
      <c r="AE2407">
        <v>-5.3489000000000102</v>
      </c>
      <c r="AF2407">
        <v>-6.4512286770200298</v>
      </c>
      <c r="AG2407">
        <v>-1.1208176771680001</v>
      </c>
      <c r="AH2407">
        <v>18.047469002194301</v>
      </c>
      <c r="AI2407">
        <v>93.346843131074195</v>
      </c>
      <c r="AJ2407">
        <v>109.66988269567599</v>
      </c>
      <c r="AK2407">
        <v>19.198586434782701</v>
      </c>
      <c r="AL2407">
        <v>79.0740015929686</v>
      </c>
      <c r="AM2407">
        <v>108.790634860452</v>
      </c>
      <c r="AN2407">
        <v>1.0000000267189</v>
      </c>
    </row>
    <row r="2408" spans="1:40" x14ac:dyDescent="0.25">
      <c r="A2408" t="str">
        <f>"20190303162826425"</f>
        <v>20190303162826425</v>
      </c>
      <c r="B2408" t="str">
        <f>"1551601706413368"</f>
        <v>1551601706413368</v>
      </c>
      <c r="C2408" t="s">
        <v>40</v>
      </c>
      <c r="D2408">
        <v>4.875165</v>
      </c>
      <c r="E2408">
        <v>0.49453180000000002</v>
      </c>
      <c r="F2408" t="s">
        <v>47</v>
      </c>
      <c r="G2408">
        <v>-479.21190000000001</v>
      </c>
      <c r="H2408" s="1">
        <v>2.066298E-6</v>
      </c>
      <c r="I2408">
        <v>279.42270000000002</v>
      </c>
      <c r="J2408">
        <v>-460.49970000000002</v>
      </c>
      <c r="K2408">
        <v>1.120986</v>
      </c>
      <c r="L2408">
        <v>284.827</v>
      </c>
      <c r="M2408">
        <v>-0.9979941</v>
      </c>
      <c r="N2408">
        <v>-1.442679E-2</v>
      </c>
      <c r="O2408">
        <v>6.1642990000000002E-2</v>
      </c>
      <c r="P2408">
        <v>-0.9497913</v>
      </c>
      <c r="Q2408">
        <v>0.17517369999999999</v>
      </c>
      <c r="R2408">
        <v>-0.25925100000000001</v>
      </c>
      <c r="S2408">
        <v>-2.9625240000000002</v>
      </c>
      <c r="T2408">
        <v>-0.1743914</v>
      </c>
      <c r="U2408">
        <v>-0.837677</v>
      </c>
      <c r="V2408">
        <v>-0.31711909999999999</v>
      </c>
      <c r="W2408">
        <v>0.1889257</v>
      </c>
      <c r="X2408">
        <v>0.92937749999999997</v>
      </c>
      <c r="Y2408">
        <v>-0.33016960000000001</v>
      </c>
      <c r="Z2408">
        <v>-1.4644910000000001E-2</v>
      </c>
      <c r="AA2408">
        <v>0.94380799999999998</v>
      </c>
      <c r="AB2408">
        <v>34</v>
      </c>
      <c r="AC2408">
        <v>-18.712199999999999</v>
      </c>
      <c r="AD2408">
        <v>-1.120983933702</v>
      </c>
      <c r="AE2408">
        <v>-5.4042999999999699</v>
      </c>
      <c r="AF2408">
        <v>-6.5259988455475897</v>
      </c>
      <c r="AG2408">
        <v>-1.120983933702</v>
      </c>
      <c r="AH2408">
        <v>18.282873106012801</v>
      </c>
      <c r="AI2408">
        <v>93.304871104895199</v>
      </c>
      <c r="AJ2408">
        <v>109.643821437962</v>
      </c>
      <c r="AK2408">
        <v>19.445017740343499</v>
      </c>
      <c r="AL2408">
        <v>79.109903973856802</v>
      </c>
      <c r="AM2408">
        <v>108.840496876822</v>
      </c>
      <c r="AN2408">
        <v>0.99999999060577405</v>
      </c>
    </row>
    <row r="2409" spans="1:40" x14ac:dyDescent="0.25">
      <c r="A2409" t="str">
        <f>"20190303162826448"</f>
        <v>20190303162826448</v>
      </c>
      <c r="B2409" t="str">
        <f>"1551601706433864"</f>
        <v>1551601706433864</v>
      </c>
      <c r="C2409" t="s">
        <v>40</v>
      </c>
      <c r="D2409">
        <v>4.8534560000000004</v>
      </c>
      <c r="E2409">
        <v>0.49452190000000001</v>
      </c>
      <c r="F2409" t="s">
        <v>47</v>
      </c>
      <c r="G2409">
        <v>-479.49020000000002</v>
      </c>
      <c r="H2409" s="1">
        <v>1.947746E-6</v>
      </c>
      <c r="I2409">
        <v>279.45960000000002</v>
      </c>
      <c r="J2409">
        <v>-460.8374</v>
      </c>
      <c r="K2409">
        <v>1.1211719999999901</v>
      </c>
      <c r="L2409">
        <v>284.84800000000001</v>
      </c>
      <c r="M2409">
        <v>-0.99799320000000002</v>
      </c>
      <c r="N2409">
        <v>-1.4423139999999999E-2</v>
      </c>
      <c r="O2409">
        <v>6.1656089999999997E-2</v>
      </c>
      <c r="P2409">
        <v>-0.94962539999999995</v>
      </c>
      <c r="Q2409">
        <v>0.17412659999999999</v>
      </c>
      <c r="R2409">
        <v>-0.26055990000000001</v>
      </c>
      <c r="S2409">
        <v>-2.9623110000000001</v>
      </c>
      <c r="T2409">
        <v>-0.17486070000000001</v>
      </c>
      <c r="U2409">
        <v>-0.83724979999999904</v>
      </c>
      <c r="V2409">
        <v>-0.31851279999999998</v>
      </c>
      <c r="W2409">
        <v>0.18773010000000001</v>
      </c>
      <c r="X2409">
        <v>0.9291431</v>
      </c>
      <c r="Y2409">
        <v>-0.33007019999999998</v>
      </c>
      <c r="Z2409">
        <v>-1.467776E-2</v>
      </c>
      <c r="AA2409">
        <v>0.94384219999999996</v>
      </c>
      <c r="AB2409">
        <v>34</v>
      </c>
      <c r="AC2409">
        <v>-18.652799999999999</v>
      </c>
      <c r="AD2409">
        <v>-1.12117005225399</v>
      </c>
      <c r="AE2409">
        <v>-5.3883999999999901</v>
      </c>
      <c r="AF2409">
        <v>-6.50662748547352</v>
      </c>
      <c r="AG2409">
        <v>-1.12117005225399</v>
      </c>
      <c r="AH2409">
        <v>18.224271616962199</v>
      </c>
      <c r="AI2409">
        <v>93.315934853817396</v>
      </c>
      <c r="AJ2409">
        <v>109.648133120233</v>
      </c>
      <c r="AK2409">
        <v>19.383428476139201</v>
      </c>
      <c r="AL2409">
        <v>79.179654447378397</v>
      </c>
      <c r="AM2409">
        <v>108.921855157317</v>
      </c>
      <c r="AN2409">
        <v>0.99999994724372798</v>
      </c>
    </row>
    <row r="2410" spans="1:40" x14ac:dyDescent="0.25">
      <c r="A2410" t="str">
        <f>"20190303162826469"</f>
        <v>20190303162826469</v>
      </c>
      <c r="B2410" t="str">
        <f>"1551601706464121"</f>
        <v>1551601706464121</v>
      </c>
      <c r="C2410" t="s">
        <v>40</v>
      </c>
      <c r="D2410">
        <v>4.8455879999999896</v>
      </c>
      <c r="E2410">
        <v>0.47575119999999999</v>
      </c>
      <c r="F2410" t="s">
        <v>47</v>
      </c>
      <c r="G2410">
        <v>-479.4452</v>
      </c>
      <c r="H2410" s="1">
        <v>1.9806140000000001E-6</v>
      </c>
      <c r="I2410">
        <v>279.55720000000002</v>
      </c>
      <c r="J2410">
        <v>-461.17959999999999</v>
      </c>
      <c r="K2410">
        <v>1.121354</v>
      </c>
      <c r="L2410">
        <v>284.86900000000003</v>
      </c>
      <c r="M2410">
        <v>-0.99800580000000005</v>
      </c>
      <c r="N2410">
        <v>-1.441973E-2</v>
      </c>
      <c r="O2410">
        <v>6.1456030000000002E-2</v>
      </c>
      <c r="P2410">
        <v>-0.94939510000000005</v>
      </c>
      <c r="Q2410">
        <v>0.1727223</v>
      </c>
      <c r="R2410">
        <v>-0.26232820000000001</v>
      </c>
      <c r="S2410">
        <v>-2.9608460000000001</v>
      </c>
      <c r="T2410">
        <v>-0.17839839999999901</v>
      </c>
      <c r="U2410">
        <v>-0.84185789999999905</v>
      </c>
      <c r="V2410">
        <v>-0.32016129999999998</v>
      </c>
      <c r="W2410">
        <v>0.18617549999999999</v>
      </c>
      <c r="X2410">
        <v>0.92888939999999998</v>
      </c>
      <c r="Y2410">
        <v>-0.33133200000000002</v>
      </c>
      <c r="Z2410">
        <v>-1.498435E-2</v>
      </c>
      <c r="AA2410">
        <v>0.94339530000000005</v>
      </c>
      <c r="AB2410">
        <v>34</v>
      </c>
      <c r="AC2410">
        <v>-18.265599999999999</v>
      </c>
      <c r="AD2410">
        <v>-1.121352019386</v>
      </c>
      <c r="AE2410">
        <v>-5.3117999999999999</v>
      </c>
      <c r="AF2410">
        <v>-6.4021576040090897</v>
      </c>
      <c r="AG2410">
        <v>-1.121352019386</v>
      </c>
      <c r="AH2410">
        <v>17.842587487777301</v>
      </c>
      <c r="AI2410">
        <v>93.385342926919506</v>
      </c>
      <c r="AJ2410">
        <v>109.73866132273101</v>
      </c>
      <c r="AK2410">
        <v>18.989549246807801</v>
      </c>
      <c r="AL2410">
        <v>79.270326178595894</v>
      </c>
      <c r="AM2410">
        <v>109.017590743677</v>
      </c>
      <c r="AN2410">
        <v>1.0000000461251399</v>
      </c>
    </row>
    <row r="2411" spans="1:40" x14ac:dyDescent="0.25">
      <c r="A2411" t="str">
        <f>"20190303162826491"</f>
        <v>20190303162826491</v>
      </c>
      <c r="B2411" t="str">
        <f>"1551601706483641"</f>
        <v>1551601706483641</v>
      </c>
      <c r="C2411" t="s">
        <v>40</v>
      </c>
      <c r="D2411">
        <v>4.8646039999999999</v>
      </c>
      <c r="E2411">
        <v>0.4737883</v>
      </c>
      <c r="F2411" t="s">
        <v>47</v>
      </c>
      <c r="G2411">
        <v>-477.04059999999998</v>
      </c>
      <c r="H2411">
        <v>8.0000340000000003E-2</v>
      </c>
      <c r="I2411">
        <v>279.48070000000001</v>
      </c>
      <c r="J2411">
        <v>-461.50029999999998</v>
      </c>
      <c r="K2411">
        <v>1.1215269999999999</v>
      </c>
      <c r="L2411">
        <v>284.88839999999999</v>
      </c>
      <c r="M2411">
        <v>-0.9980308</v>
      </c>
      <c r="N2411">
        <v>-1.441656E-2</v>
      </c>
      <c r="O2411">
        <v>6.104731E-2</v>
      </c>
      <c r="P2411">
        <v>-0.94908519999999996</v>
      </c>
      <c r="Q2411">
        <v>0.17192270000000001</v>
      </c>
      <c r="R2411">
        <v>-0.26396999999999998</v>
      </c>
      <c r="S2411">
        <v>-2.9205930000000002</v>
      </c>
      <c r="T2411">
        <v>-0.19175139999999999</v>
      </c>
      <c r="U2411">
        <v>-0.9921875</v>
      </c>
      <c r="V2411">
        <v>-0.3214805</v>
      </c>
      <c r="W2411">
        <v>0.18522939999999999</v>
      </c>
      <c r="X2411">
        <v>0.92862279999999997</v>
      </c>
      <c r="Y2411">
        <v>-0.37789440000000002</v>
      </c>
      <c r="Z2411">
        <v>-1.7905689999999998E-2</v>
      </c>
      <c r="AA2411">
        <v>0.92567549999999998</v>
      </c>
      <c r="AB2411">
        <v>34</v>
      </c>
      <c r="AC2411">
        <v>-15.5403</v>
      </c>
      <c r="AD2411">
        <v>-1.0415266599999999</v>
      </c>
      <c r="AE2411">
        <v>-5.40769999999997</v>
      </c>
      <c r="AF2411">
        <v>-6.3210775667597696</v>
      </c>
      <c r="AG2411">
        <v>-1.0415266599999999</v>
      </c>
      <c r="AH2411">
        <v>15.1205666521523</v>
      </c>
      <c r="AI2411">
        <v>93.636356214236102</v>
      </c>
      <c r="AJ2411">
        <v>112.687123243317</v>
      </c>
      <c r="AK2411">
        <v>16.4217031781318</v>
      </c>
      <c r="AL2411">
        <v>79.325492507361702</v>
      </c>
      <c r="AM2411">
        <v>109.095373356398</v>
      </c>
      <c r="AN2411">
        <v>0.99999997359222403</v>
      </c>
    </row>
    <row r="2412" spans="1:40" x14ac:dyDescent="0.25">
      <c r="A2412" t="str">
        <f>"20190303162826513"</f>
        <v>20190303162826513</v>
      </c>
      <c r="B2412" t="str">
        <f>"1551601706504137"</f>
        <v>1551601706504137</v>
      </c>
      <c r="C2412" t="s">
        <v>40</v>
      </c>
      <c r="D2412">
        <v>4.7295749999999996</v>
      </c>
      <c r="E2412">
        <v>0.47322379999999997</v>
      </c>
      <c r="F2412" t="s">
        <v>47</v>
      </c>
      <c r="G2412">
        <v>-477.40609999999998</v>
      </c>
      <c r="H2412">
        <v>8.0000269999999998E-2</v>
      </c>
      <c r="I2412">
        <v>279.36090000000002</v>
      </c>
      <c r="J2412">
        <v>-461.834</v>
      </c>
      <c r="K2412">
        <v>1.121732</v>
      </c>
      <c r="L2412">
        <v>284.9083</v>
      </c>
      <c r="M2412">
        <v>-0.99807349999999995</v>
      </c>
      <c r="N2412">
        <v>-1.441368E-2</v>
      </c>
      <c r="O2412">
        <v>6.0345570000000001E-2</v>
      </c>
      <c r="P2412">
        <v>-0.94844220000000001</v>
      </c>
      <c r="Q2412">
        <v>0.1717042</v>
      </c>
      <c r="R2412">
        <v>-0.26641160000000003</v>
      </c>
      <c r="S2412">
        <v>-2.9138489999999999</v>
      </c>
      <c r="T2412">
        <v>-0.19080140000000001</v>
      </c>
      <c r="U2412">
        <v>-1.0126040000000001</v>
      </c>
      <c r="V2412">
        <v>-0.32331890000000002</v>
      </c>
      <c r="W2412">
        <v>0.18483350000000001</v>
      </c>
      <c r="X2412">
        <v>0.92806330000000004</v>
      </c>
      <c r="Y2412">
        <v>-0.38368239999999998</v>
      </c>
      <c r="Z2412">
        <v>-1.8039989999999999E-2</v>
      </c>
      <c r="AA2412">
        <v>0.92328889999999997</v>
      </c>
      <c r="AB2412">
        <v>34</v>
      </c>
      <c r="AC2412">
        <v>-15.572099999999899</v>
      </c>
      <c r="AD2412">
        <v>-1.04173173</v>
      </c>
      <c r="AE2412">
        <v>-5.5473999999999801</v>
      </c>
      <c r="AF2412">
        <v>-6.4514723274169103</v>
      </c>
      <c r="AG2412">
        <v>-1.04173173</v>
      </c>
      <c r="AH2412">
        <v>15.1487590511704</v>
      </c>
      <c r="AI2412">
        <v>93.6201800460274</v>
      </c>
      <c r="AJ2412">
        <v>113.067925019829</v>
      </c>
      <c r="AK2412">
        <v>16.4982302377901</v>
      </c>
      <c r="AL2412">
        <v>79.348574879273102</v>
      </c>
      <c r="AM2412">
        <v>109.207326236264</v>
      </c>
      <c r="AN2412">
        <v>1.00000001131317</v>
      </c>
    </row>
    <row r="2413" spans="1:40" x14ac:dyDescent="0.25">
      <c r="A2413" t="str">
        <f>"20190303162826536"</f>
        <v>20190303162826536</v>
      </c>
      <c r="B2413" t="str">
        <f>"1551601706523658"</f>
        <v>1551601706523658</v>
      </c>
      <c r="C2413" t="s">
        <v>40</v>
      </c>
      <c r="D2413">
        <v>4.7942140000000002</v>
      </c>
      <c r="E2413">
        <v>0.47246729999999998</v>
      </c>
      <c r="F2413" t="s">
        <v>47</v>
      </c>
      <c r="G2413">
        <v>-478.10219999999998</v>
      </c>
      <c r="H2413">
        <v>8.0000080000000001E-2</v>
      </c>
      <c r="I2413">
        <v>279.18079999999998</v>
      </c>
      <c r="J2413">
        <v>-462.1721</v>
      </c>
      <c r="K2413">
        <v>1.1219809999999999</v>
      </c>
      <c r="L2413">
        <v>284.92779999999999</v>
      </c>
      <c r="M2413">
        <v>-0.99813490000000005</v>
      </c>
      <c r="N2413">
        <v>-1.441214E-2</v>
      </c>
      <c r="O2413">
        <v>5.9321850000000002E-2</v>
      </c>
      <c r="P2413">
        <v>-0.94745939999999995</v>
      </c>
      <c r="Q2413">
        <v>0.1709707</v>
      </c>
      <c r="R2413">
        <v>-0.27035110000000001</v>
      </c>
      <c r="S2413">
        <v>-2.9091490000000002</v>
      </c>
      <c r="T2413">
        <v>-0.18628690000000001</v>
      </c>
      <c r="U2413">
        <v>-1.0242</v>
      </c>
      <c r="V2413">
        <v>-0.32635170000000002</v>
      </c>
      <c r="W2413">
        <v>0.18388119999999999</v>
      </c>
      <c r="X2413">
        <v>0.92719050000000003</v>
      </c>
      <c r="Y2413">
        <v>-0.38651099999999999</v>
      </c>
      <c r="Z2413">
        <v>-1.7736760000000001E-2</v>
      </c>
      <c r="AA2413">
        <v>0.92211430000000005</v>
      </c>
      <c r="AB2413">
        <v>34</v>
      </c>
      <c r="AC2413">
        <v>-15.9300999999999</v>
      </c>
      <c r="AD2413">
        <v>-1.0419809200000001</v>
      </c>
      <c r="AE2413">
        <v>-5.7470000000000097</v>
      </c>
      <c r="AF2413">
        <v>-6.65677746184714</v>
      </c>
      <c r="AG2413">
        <v>-1.0419809200000001</v>
      </c>
      <c r="AH2413">
        <v>15.5023943019357</v>
      </c>
      <c r="AI2413">
        <v>93.534154276896501</v>
      </c>
      <c r="AJ2413">
        <v>113.238839518856</v>
      </c>
      <c r="AK2413">
        <v>16.9033322012817</v>
      </c>
      <c r="AL2413">
        <v>79.404088823943795</v>
      </c>
      <c r="AM2413">
        <v>109.391004262652</v>
      </c>
      <c r="AN2413">
        <v>0.99999997554828901</v>
      </c>
    </row>
    <row r="2414" spans="1:40" x14ac:dyDescent="0.25">
      <c r="A2414" t="str">
        <f>"20190303162826559"</f>
        <v>20190303162826559</v>
      </c>
      <c r="B2414" t="str">
        <f>"1551601706553913"</f>
        <v>1551601706553913</v>
      </c>
      <c r="C2414" t="s">
        <v>40</v>
      </c>
      <c r="D2414">
        <v>4.7036930000000003</v>
      </c>
      <c r="E2414">
        <v>0.4717826</v>
      </c>
      <c r="F2414" t="s">
        <v>47</v>
      </c>
      <c r="G2414">
        <v>-479.52780000000001</v>
      </c>
      <c r="H2414" s="1">
        <v>1.8090570000000001E-6</v>
      </c>
      <c r="I2414">
        <v>278.6986</v>
      </c>
      <c r="J2414">
        <v>-462.51749999999998</v>
      </c>
      <c r="K2414">
        <v>1.122271</v>
      </c>
      <c r="L2414">
        <v>284.94709999999998</v>
      </c>
      <c r="M2414">
        <v>-0.99821700000000002</v>
      </c>
      <c r="N2414">
        <v>-1.4412619999999999E-2</v>
      </c>
      <c r="O2414">
        <v>5.7924009999999998E-2</v>
      </c>
      <c r="P2414">
        <v>-0.9459959</v>
      </c>
      <c r="Q2414">
        <v>0.16945450000000001</v>
      </c>
      <c r="R2414">
        <v>-0.27636460000000002</v>
      </c>
      <c r="S2414">
        <v>-2.9029539999999998</v>
      </c>
      <c r="T2414">
        <v>-0.18766430000000001</v>
      </c>
      <c r="U2414">
        <v>-1.041901</v>
      </c>
      <c r="V2414">
        <v>-0.33110060000000002</v>
      </c>
      <c r="W2414">
        <v>0.1820946</v>
      </c>
      <c r="X2414">
        <v>0.92585850000000003</v>
      </c>
      <c r="Y2414">
        <v>-0.39079940000000002</v>
      </c>
      <c r="Z2414">
        <v>-1.7970690000000001E-2</v>
      </c>
      <c r="AA2414">
        <v>0.92030040000000002</v>
      </c>
      <c r="AB2414">
        <v>34</v>
      </c>
      <c r="AC2414">
        <v>-17.010300000000001</v>
      </c>
      <c r="AD2414">
        <v>-1.122269190943</v>
      </c>
      <c r="AE2414">
        <v>-6.2484999999999697</v>
      </c>
      <c r="AF2414">
        <v>-7.1958155728192601</v>
      </c>
      <c r="AG2414">
        <v>-1.122269190943</v>
      </c>
      <c r="AH2414">
        <v>16.556259785417499</v>
      </c>
      <c r="AI2414">
        <v>93.557344630909697</v>
      </c>
      <c r="AJ2414">
        <v>113.491119514917</v>
      </c>
      <c r="AK2414">
        <v>18.0872603778792</v>
      </c>
      <c r="AL2414">
        <v>79.508211904010594</v>
      </c>
      <c r="AM2414">
        <v>109.67779633170299</v>
      </c>
      <c r="AN2414">
        <v>1.00000000634588</v>
      </c>
    </row>
    <row r="2415" spans="1:40" x14ac:dyDescent="0.25">
      <c r="A2415" t="str">
        <f>"20190303162826592"</f>
        <v>20190303162826592</v>
      </c>
      <c r="B2415" t="str">
        <f>"1551601706584168"</f>
        <v>1551601706584168</v>
      </c>
      <c r="C2415" t="s">
        <v>40</v>
      </c>
      <c r="D2415">
        <v>4.6958719999999996</v>
      </c>
      <c r="E2415">
        <v>0.4710628</v>
      </c>
      <c r="F2415" t="s">
        <v>47</v>
      </c>
      <c r="G2415">
        <v>-479.56470000000002</v>
      </c>
      <c r="H2415" s="1">
        <v>1.7862679999999999E-6</v>
      </c>
      <c r="I2415">
        <v>278.67140000000001</v>
      </c>
      <c r="J2415">
        <v>-463.00420000000003</v>
      </c>
      <c r="K2415">
        <v>1.122763</v>
      </c>
      <c r="L2415">
        <v>284.9726</v>
      </c>
      <c r="M2415">
        <v>-0.9983708</v>
      </c>
      <c r="N2415">
        <v>-1.441775E-2</v>
      </c>
      <c r="O2415">
        <v>5.5208500000000001E-2</v>
      </c>
      <c r="P2415">
        <v>-0.94390090000000004</v>
      </c>
      <c r="Q2415">
        <v>0.1701415</v>
      </c>
      <c r="R2415">
        <v>-0.28302529999999998</v>
      </c>
      <c r="S2415">
        <v>-2.8941349999999999</v>
      </c>
      <c r="T2415">
        <v>-0.19052959999999999</v>
      </c>
      <c r="U2415">
        <v>-1.0654300000000001</v>
      </c>
      <c r="V2415">
        <v>-0.33532709999999999</v>
      </c>
      <c r="W2415">
        <v>0.18235770000000001</v>
      </c>
      <c r="X2415">
        <v>0.92428429999999995</v>
      </c>
      <c r="Y2415">
        <v>-0.39574989999999999</v>
      </c>
      <c r="Z2415">
        <v>-1.8302160000000001E-2</v>
      </c>
      <c r="AA2415">
        <v>0.91817590000000004</v>
      </c>
      <c r="AB2415">
        <v>34</v>
      </c>
      <c r="AC2415">
        <v>-16.560499999999902</v>
      </c>
      <c r="AD2415">
        <v>-1.122761213732</v>
      </c>
      <c r="AE2415">
        <v>-6.3011999999999899</v>
      </c>
      <c r="AF2415">
        <v>-7.1771454068917997</v>
      </c>
      <c r="AG2415">
        <v>-1.122761213732</v>
      </c>
      <c r="AH2415">
        <v>16.1225861360994</v>
      </c>
      <c r="AI2415">
        <v>93.640252530990395</v>
      </c>
      <c r="AJ2415">
        <v>113.996759964822</v>
      </c>
      <c r="AK2415">
        <v>17.683602366335698</v>
      </c>
      <c r="AL2415">
        <v>79.4928809503173</v>
      </c>
      <c r="AM2415">
        <v>109.940593854339</v>
      </c>
      <c r="AN2415">
        <v>1.00000003098509</v>
      </c>
    </row>
    <row r="2416" spans="1:40" x14ac:dyDescent="0.25">
      <c r="A2416" t="str">
        <f>"20190303162826615"</f>
        <v>20190303162826615</v>
      </c>
      <c r="B2416" t="str">
        <f>"1551601706603688"</f>
        <v>1551601706603688</v>
      </c>
      <c r="C2416" t="s">
        <v>40</v>
      </c>
      <c r="D2416">
        <v>4.7759280000000004</v>
      </c>
      <c r="E2416">
        <v>0.47074539999999998</v>
      </c>
      <c r="F2416" t="s">
        <v>47</v>
      </c>
      <c r="G2416">
        <v>-480.32819999999998</v>
      </c>
      <c r="H2416" s="1">
        <v>1.5849099999999999E-6</v>
      </c>
      <c r="I2416">
        <v>278.42910000000001</v>
      </c>
      <c r="J2416">
        <v>-463.34289999999999</v>
      </c>
      <c r="K2416">
        <v>1.1231169999999999</v>
      </c>
      <c r="L2416">
        <v>284.98899999999998</v>
      </c>
      <c r="M2416">
        <v>-0.99850019999999995</v>
      </c>
      <c r="N2416">
        <v>-1.442424E-2</v>
      </c>
      <c r="O2416">
        <v>5.2815929999999997E-2</v>
      </c>
      <c r="P2416">
        <v>-0.94209140000000002</v>
      </c>
      <c r="Q2416">
        <v>0.1706627</v>
      </c>
      <c r="R2416">
        <v>-0.2886842</v>
      </c>
      <c r="S2416">
        <v>-2.8852229999999999</v>
      </c>
      <c r="T2416">
        <v>-0.18699099999999999</v>
      </c>
      <c r="U2416">
        <v>-1.0897829999999999</v>
      </c>
      <c r="V2416">
        <v>-0.33881630000000001</v>
      </c>
      <c r="W2416">
        <v>0.1825686</v>
      </c>
      <c r="X2416">
        <v>0.92296920000000005</v>
      </c>
      <c r="Y2416">
        <v>-0.401285</v>
      </c>
      <c r="Z2416">
        <v>-1.8130670000000002E-2</v>
      </c>
      <c r="AA2416">
        <v>0.91577379999999997</v>
      </c>
      <c r="AB2416">
        <v>33</v>
      </c>
      <c r="AC2416">
        <v>-16.985299999999899</v>
      </c>
      <c r="AD2416">
        <v>-1.12311541509</v>
      </c>
      <c r="AE2416">
        <v>-6.5599000000000203</v>
      </c>
      <c r="AF2416">
        <v>-7.4197000013020196</v>
      </c>
      <c r="AG2416">
        <v>-1.12311541509</v>
      </c>
      <c r="AH2416">
        <v>16.552108763043201</v>
      </c>
      <c r="AI2416">
        <v>93.543063991978201</v>
      </c>
      <c r="AJ2416">
        <v>114.144934294294</v>
      </c>
      <c r="AK2416">
        <v>18.1737624296277</v>
      </c>
      <c r="AL2416">
        <v>79.480590215581998</v>
      </c>
      <c r="AM2416">
        <v>110.157874659341</v>
      </c>
      <c r="AN2416">
        <v>0.99999996150014403</v>
      </c>
    </row>
    <row r="2417" spans="1:40" x14ac:dyDescent="0.25">
      <c r="A2417" t="str">
        <f>"20190303162826636"</f>
        <v>20190303162826636</v>
      </c>
      <c r="B2417" t="str">
        <f>"1551601706624185"</f>
        <v>1551601706624185</v>
      </c>
      <c r="C2417" t="s">
        <v>40</v>
      </c>
      <c r="D2417">
        <v>4.8232589999999904</v>
      </c>
      <c r="E2417">
        <v>0.47043620000000003</v>
      </c>
      <c r="F2417" t="s">
        <v>47</v>
      </c>
      <c r="G2417">
        <v>-480.88099999999997</v>
      </c>
      <c r="H2417" s="1">
        <v>1.5973510000000001E-6</v>
      </c>
      <c r="I2417">
        <v>278.22129999999999</v>
      </c>
      <c r="J2417">
        <v>-463.6721</v>
      </c>
      <c r="K2417">
        <v>1.1234440000000001</v>
      </c>
      <c r="L2417">
        <v>285.00380000000001</v>
      </c>
      <c r="M2417">
        <v>-0.99864039999999998</v>
      </c>
      <c r="N2417">
        <v>-1.443144E-2</v>
      </c>
      <c r="O2417">
        <v>5.0091169999999997E-2</v>
      </c>
      <c r="P2417">
        <v>-0.9404325</v>
      </c>
      <c r="Q2417">
        <v>0.16939029999999899</v>
      </c>
      <c r="R2417">
        <v>-0.29477769999999998</v>
      </c>
      <c r="S2417">
        <v>-2.8775330000000001</v>
      </c>
      <c r="T2417">
        <v>-0.1842723</v>
      </c>
      <c r="U2417">
        <v>-1.110382</v>
      </c>
      <c r="V2417">
        <v>-0.34243230000000002</v>
      </c>
      <c r="W2417">
        <v>0.18099779999999999</v>
      </c>
      <c r="X2417">
        <v>0.92194350000000003</v>
      </c>
      <c r="Y2417">
        <v>-0.40532950000000001</v>
      </c>
      <c r="Z2417">
        <v>-1.7950259999999999E-2</v>
      </c>
      <c r="AA2417">
        <v>0.91399439999999998</v>
      </c>
      <c r="AB2417">
        <v>33</v>
      </c>
      <c r="AC2417">
        <v>-17.2088999999999</v>
      </c>
      <c r="AD2417">
        <v>-1.123442402649</v>
      </c>
      <c r="AE2417">
        <v>-6.7825000000000202</v>
      </c>
      <c r="AF2417">
        <v>-7.6080229141750602</v>
      </c>
      <c r="AG2417">
        <v>-1.123442402649</v>
      </c>
      <c r="AH2417">
        <v>16.785594596751402</v>
      </c>
      <c r="AI2417">
        <v>93.488414525782702</v>
      </c>
      <c r="AJ2417">
        <v>114.382274835961</v>
      </c>
      <c r="AK2417">
        <v>18.463486167600401</v>
      </c>
      <c r="AL2417">
        <v>79.572115257763997</v>
      </c>
      <c r="AM2417">
        <v>110.37622456553601</v>
      </c>
      <c r="AN2417">
        <v>0.99999995044018797</v>
      </c>
    </row>
    <row r="2418" spans="1:40" x14ac:dyDescent="0.25">
      <c r="A2418" t="str">
        <f>"20190303162826660"</f>
        <v>20190303162826660</v>
      </c>
      <c r="B2418" t="str">
        <f>"1551601706653464"</f>
        <v>1551601706653464</v>
      </c>
      <c r="C2418" t="s">
        <v>40</v>
      </c>
      <c r="D2418">
        <v>4.7307620000000004</v>
      </c>
      <c r="E2418">
        <v>0.46996450000000001</v>
      </c>
      <c r="F2418" t="s">
        <v>47</v>
      </c>
      <c r="G2418">
        <v>-480.78719999999998</v>
      </c>
      <c r="H2418" s="1">
        <v>1.5953950000000001E-6</v>
      </c>
      <c r="I2418">
        <v>278.25749999999999</v>
      </c>
      <c r="J2418">
        <v>-464.0102</v>
      </c>
      <c r="K2418">
        <v>1.123794</v>
      </c>
      <c r="L2418">
        <v>285.01760000000002</v>
      </c>
      <c r="M2418">
        <v>-0.99879859999999998</v>
      </c>
      <c r="N2418">
        <v>-1.444002E-2</v>
      </c>
      <c r="O2418">
        <v>4.6826899999999998E-2</v>
      </c>
      <c r="P2418">
        <v>-0.93858490000000006</v>
      </c>
      <c r="Q2418">
        <v>0.16761499999999999</v>
      </c>
      <c r="R2418">
        <v>-0.30160209999999998</v>
      </c>
      <c r="S2418">
        <v>-2.869415</v>
      </c>
      <c r="T2418">
        <v>-0.1883494</v>
      </c>
      <c r="U2418">
        <v>-1.1310420000000001</v>
      </c>
      <c r="V2418">
        <v>-0.34628569999999997</v>
      </c>
      <c r="W2418">
        <v>0.17889739999999901</v>
      </c>
      <c r="X2418">
        <v>0.9209136</v>
      </c>
      <c r="Y2418">
        <v>-0.4088715</v>
      </c>
      <c r="Z2418">
        <v>-1.8300449999999999E-2</v>
      </c>
      <c r="AA2418">
        <v>0.91240840000000001</v>
      </c>
      <c r="AB2418">
        <v>33</v>
      </c>
      <c r="AC2418">
        <v>-16.776999999999902</v>
      </c>
      <c r="AD2418">
        <v>-1.1237924046050001</v>
      </c>
      <c r="AE2418">
        <v>-6.76010000000002</v>
      </c>
      <c r="AF2418">
        <v>-7.5093922942768598</v>
      </c>
      <c r="AG2418">
        <v>-1.1237924046050001</v>
      </c>
      <c r="AH2418">
        <v>16.378780166880102</v>
      </c>
      <c r="AI2418">
        <v>93.568906852022494</v>
      </c>
      <c r="AJ2418">
        <v>114.630651054447</v>
      </c>
      <c r="AK2418">
        <v>18.053208073718601</v>
      </c>
      <c r="AL2418">
        <v>79.694456539917198</v>
      </c>
      <c r="AM2418">
        <v>110.607469981637</v>
      </c>
      <c r="AN2418">
        <v>0.99999996220810405</v>
      </c>
    </row>
    <row r="2419" spans="1:40" x14ac:dyDescent="0.25">
      <c r="A2419" t="str">
        <f>"20190303162826681"</f>
        <v>20190303162826681</v>
      </c>
      <c r="B2419" t="str">
        <f>"1551601706673961"</f>
        <v>1551601706673961</v>
      </c>
      <c r="C2419" t="s">
        <v>40</v>
      </c>
      <c r="D2419">
        <v>4.8163589999999896</v>
      </c>
      <c r="E2419">
        <v>0.46975549999999999</v>
      </c>
      <c r="F2419" t="s">
        <v>47</v>
      </c>
      <c r="G2419">
        <v>-480.76100000000002</v>
      </c>
      <c r="H2419" s="1">
        <v>1.5930170000000001E-6</v>
      </c>
      <c r="I2419">
        <v>278.25720000000001</v>
      </c>
      <c r="J2419">
        <v>-464.33019999999999</v>
      </c>
      <c r="K2419">
        <v>1.1241509999999999</v>
      </c>
      <c r="L2419">
        <v>285.0292</v>
      </c>
      <c r="M2419">
        <v>-0.99895900000000004</v>
      </c>
      <c r="N2419">
        <v>-1.445191E-2</v>
      </c>
      <c r="O2419">
        <v>4.3268580000000001E-2</v>
      </c>
      <c r="P2419">
        <v>-0.93643980000000004</v>
      </c>
      <c r="Q2419">
        <v>0.16760059999999999</v>
      </c>
      <c r="R2419">
        <v>-0.30820550000000002</v>
      </c>
      <c r="S2419">
        <v>-2.8597109999999999</v>
      </c>
      <c r="T2419">
        <v>-0.19185550000000001</v>
      </c>
      <c r="U2419">
        <v>-1.1541440000000001</v>
      </c>
      <c r="V2419">
        <v>-0.349657</v>
      </c>
      <c r="W2419">
        <v>0.1785465</v>
      </c>
      <c r="X2419">
        <v>0.9197071</v>
      </c>
      <c r="Y2419">
        <v>-0.41298659999999998</v>
      </c>
      <c r="Z2419">
        <v>-1.8613970000000001E-2</v>
      </c>
      <c r="AA2419">
        <v>0.91054679999999999</v>
      </c>
      <c r="AB2419">
        <v>33</v>
      </c>
      <c r="AC2419">
        <v>-16.430799999999898</v>
      </c>
      <c r="AD2419">
        <v>-1.124149406983</v>
      </c>
      <c r="AE2419">
        <v>-6.7719999999999896</v>
      </c>
      <c r="AF2419">
        <v>-7.4468715207086698</v>
      </c>
      <c r="AG2419">
        <v>-1.124149406983</v>
      </c>
      <c r="AH2419">
        <v>16.058111410803399</v>
      </c>
      <c r="AI2419">
        <v>93.633879746862306</v>
      </c>
      <c r="AJ2419">
        <v>114.879284608768</v>
      </c>
      <c r="AK2419">
        <v>17.736475112516999</v>
      </c>
      <c r="AL2419">
        <v>79.714891123805003</v>
      </c>
      <c r="AM2419">
        <v>110.815952334305</v>
      </c>
      <c r="AN2419">
        <v>1.0000000100508299</v>
      </c>
    </row>
    <row r="2420" spans="1:40" x14ac:dyDescent="0.25">
      <c r="A2420" t="str">
        <f>"20190303162826705"</f>
        <v>20190303162826705</v>
      </c>
      <c r="B2420" t="str">
        <f>"1551601706694457"</f>
        <v>1551601706694457</v>
      </c>
      <c r="C2420" t="s">
        <v>40</v>
      </c>
      <c r="D2420">
        <v>4.6895220000000002</v>
      </c>
      <c r="E2420">
        <v>0.46804279999999998</v>
      </c>
      <c r="F2420" t="s">
        <v>47</v>
      </c>
      <c r="G2420">
        <v>-481.13659999999999</v>
      </c>
      <c r="H2420" s="1">
        <v>1.5990010000000001E-6</v>
      </c>
      <c r="I2420">
        <v>278.10199999999998</v>
      </c>
      <c r="J2420">
        <v>-464.67059999999998</v>
      </c>
      <c r="K2420">
        <v>1.1245799999999999</v>
      </c>
      <c r="L2420">
        <v>285.03980000000001</v>
      </c>
      <c r="M2420">
        <v>-0.99913640000000004</v>
      </c>
      <c r="N2420">
        <v>-1.4469869999999999E-2</v>
      </c>
      <c r="O2420">
        <v>3.894835E-2</v>
      </c>
      <c r="P2420">
        <v>-0.93346549999999995</v>
      </c>
      <c r="Q2420">
        <v>0.16964889999999999</v>
      </c>
      <c r="R2420">
        <v>-0.31600919999999999</v>
      </c>
      <c r="S2420">
        <v>-2.8509829999999998</v>
      </c>
      <c r="T2420">
        <v>-0.19069720000000001</v>
      </c>
      <c r="U2420">
        <v>-1.1751100000000001</v>
      </c>
      <c r="V2420">
        <v>-0.35354930000000001</v>
      </c>
      <c r="W2420">
        <v>0.18019109999999999</v>
      </c>
      <c r="X2420">
        <v>0.9178965</v>
      </c>
      <c r="Y2420">
        <v>-0.4157613</v>
      </c>
      <c r="Z2420">
        <v>-1.84409E-2</v>
      </c>
      <c r="AA2420">
        <v>0.90928679999999995</v>
      </c>
      <c r="AB2420">
        <v>33</v>
      </c>
      <c r="AC2420">
        <v>-16.466000000000001</v>
      </c>
      <c r="AD2420">
        <v>-1.1245784009990001</v>
      </c>
      <c r="AE2420">
        <v>-6.9377999999999798</v>
      </c>
      <c r="AF2420">
        <v>-7.5440415691680203</v>
      </c>
      <c r="AG2420">
        <v>-1.1245784009990001</v>
      </c>
      <c r="AH2420">
        <v>16.119406272713501</v>
      </c>
      <c r="AI2420">
        <v>93.615584768515404</v>
      </c>
      <c r="AJ2420">
        <v>115.080058899992</v>
      </c>
      <c r="AK2420">
        <v>17.8329049333563</v>
      </c>
      <c r="AL2420">
        <v>79.619108570811306</v>
      </c>
      <c r="AM2420">
        <v>111.065356793459</v>
      </c>
      <c r="AN2420">
        <v>0.99999996238097399</v>
      </c>
    </row>
    <row r="2421" spans="1:40" x14ac:dyDescent="0.25">
      <c r="A2421" t="str">
        <f>"20190303162826726"</f>
        <v>20190303162826726</v>
      </c>
      <c r="B2421" t="str">
        <f>"1551601706713977"</f>
        <v>1551601706713977</v>
      </c>
      <c r="C2421" t="s">
        <v>40</v>
      </c>
      <c r="D2421">
        <v>4.7099699999999904</v>
      </c>
      <c r="E2421">
        <v>0.46813440000000001</v>
      </c>
      <c r="F2421" t="s">
        <v>44</v>
      </c>
      <c r="G2421">
        <v>-465.68549999999999</v>
      </c>
      <c r="H2421">
        <v>1.0387839999999999</v>
      </c>
      <c r="I2421">
        <v>284.60739999999998</v>
      </c>
      <c r="J2421">
        <v>-464.9896</v>
      </c>
      <c r="K2421">
        <v>1.1250070000000001</v>
      </c>
      <c r="L2421">
        <v>285.0478</v>
      </c>
      <c r="M2421">
        <v>-0.99930430000000003</v>
      </c>
      <c r="N2421">
        <v>-1.449274E-2</v>
      </c>
      <c r="O2421">
        <v>3.4364390000000002E-2</v>
      </c>
      <c r="P2421">
        <v>-0.93092859999999999</v>
      </c>
      <c r="Q2421">
        <v>0.1692776</v>
      </c>
      <c r="R2421">
        <v>-0.32360139999999998</v>
      </c>
      <c r="S2421">
        <v>-2.8467099999999999</v>
      </c>
      <c r="T2421">
        <v>-0.24063989999999999</v>
      </c>
      <c r="U2421">
        <v>-1.2135309999999999</v>
      </c>
      <c r="V2421">
        <v>-0.35700910000000002</v>
      </c>
      <c r="W2421">
        <v>0.17942379999999999</v>
      </c>
      <c r="X2421">
        <v>0.91670689999999999</v>
      </c>
      <c r="Y2421">
        <v>-0.42193130000000001</v>
      </c>
      <c r="Z2421">
        <v>-2.2561370000000001E-2</v>
      </c>
      <c r="AA2421">
        <v>0.90634700000000001</v>
      </c>
      <c r="AB2421">
        <v>33</v>
      </c>
      <c r="AC2421">
        <v>-0.69589999999999397</v>
      </c>
      <c r="AD2421">
        <v>-8.6222999999999897E-2</v>
      </c>
      <c r="AE2421">
        <v>-0.44040000000001001</v>
      </c>
      <c r="AF2421">
        <v>-0.45902492139122603</v>
      </c>
      <c r="AG2421">
        <v>-8.6222999999999897E-2</v>
      </c>
      <c r="AH2421">
        <v>0.67297639778581297</v>
      </c>
      <c r="AI2421">
        <v>96.041965084095807</v>
      </c>
      <c r="AJ2421">
        <v>124.297184802384</v>
      </c>
      <c r="AK2421">
        <v>0.81916757514197902</v>
      </c>
      <c r="AL2421">
        <v>79.663800083476005</v>
      </c>
      <c r="AM2421">
        <v>111.278295776028</v>
      </c>
      <c r="AN2421">
        <v>0.99999996899842902</v>
      </c>
    </row>
    <row r="2422" spans="1:40" x14ac:dyDescent="0.25">
      <c r="A2422" t="str">
        <f>"20190303162826749"</f>
        <v>20190303162826749</v>
      </c>
      <c r="B2422" t="str">
        <f>"1551601706744233"</f>
        <v>1551601706744233</v>
      </c>
      <c r="C2422" t="s">
        <v>40</v>
      </c>
      <c r="D2422">
        <v>4.780081</v>
      </c>
      <c r="E2422">
        <v>0.46261649999999999</v>
      </c>
      <c r="F2422" t="s">
        <v>44</v>
      </c>
      <c r="G2422">
        <v>-465.97890000000001</v>
      </c>
      <c r="H2422">
        <v>1.0434349999999999</v>
      </c>
      <c r="I2422">
        <v>284.61680000000001</v>
      </c>
      <c r="J2422">
        <v>-465.3245</v>
      </c>
      <c r="K2422">
        <v>1.125421</v>
      </c>
      <c r="L2422">
        <v>285.05410000000001</v>
      </c>
      <c r="M2422">
        <v>-0.99947169999999996</v>
      </c>
      <c r="N2422">
        <v>-1.452004E-2</v>
      </c>
      <c r="O2422">
        <v>2.908113E-2</v>
      </c>
      <c r="P2422">
        <v>-0.92918140000000005</v>
      </c>
      <c r="Q2422">
        <v>0.16573740000000001</v>
      </c>
      <c r="R2422">
        <v>-0.33038329999999999</v>
      </c>
      <c r="S2422">
        <v>-2.835388</v>
      </c>
      <c r="T2422">
        <v>-0.23372999999999999</v>
      </c>
      <c r="U2422">
        <v>-1.2360530000000001</v>
      </c>
      <c r="V2422">
        <v>-0.35902679999999998</v>
      </c>
      <c r="W2422">
        <v>0.1755138</v>
      </c>
      <c r="X2422">
        <v>0.91667589999999999</v>
      </c>
      <c r="Y2422">
        <v>-0.42459239999999998</v>
      </c>
      <c r="Z2422">
        <v>-2.1826720000000001E-2</v>
      </c>
      <c r="AA2422">
        <v>0.90512150000000002</v>
      </c>
      <c r="AB2422">
        <v>33</v>
      </c>
      <c r="AC2422">
        <v>-0.65440000000000897</v>
      </c>
      <c r="AD2422">
        <v>-8.1985999999999795E-2</v>
      </c>
      <c r="AE2422">
        <v>-0.43729999999999303</v>
      </c>
      <c r="AF2422">
        <v>-0.45125130007606801</v>
      </c>
      <c r="AG2422">
        <v>-8.1985999999999795E-2</v>
      </c>
      <c r="AH2422">
        <v>0.63451965187092196</v>
      </c>
      <c r="AI2422">
        <v>96.010928640955896</v>
      </c>
      <c r="AJ2422">
        <v>125.419293676514</v>
      </c>
      <c r="AK2422">
        <v>0.78292057619322897</v>
      </c>
      <c r="AL2422">
        <v>79.891440747398903</v>
      </c>
      <c r="AM2422">
        <v>111.388373865677</v>
      </c>
      <c r="AN2422">
        <v>1.00000002137474</v>
      </c>
    </row>
    <row r="2423" spans="1:40" x14ac:dyDescent="0.25">
      <c r="A2423" t="str">
        <f>"20190303162826770"</f>
        <v>20190303162826770</v>
      </c>
      <c r="B2423" t="str">
        <f>"1551601706763753"</f>
        <v>1551601706763753</v>
      </c>
      <c r="C2423" t="s">
        <v>40</v>
      </c>
      <c r="D2423">
        <v>4.7469190000000001</v>
      </c>
      <c r="E2423">
        <v>0.45994410000000002</v>
      </c>
      <c r="F2423" t="s">
        <v>44</v>
      </c>
      <c r="G2423">
        <v>-466.27030000000002</v>
      </c>
      <c r="H2423">
        <v>1.0374159999999999</v>
      </c>
      <c r="I2423">
        <v>284.61709999999999</v>
      </c>
      <c r="J2423">
        <v>-465.6474</v>
      </c>
      <c r="K2423">
        <v>1.1258170000000001</v>
      </c>
      <c r="L2423">
        <v>285.05810000000002</v>
      </c>
      <c r="M2423">
        <v>-0.99961789999999995</v>
      </c>
      <c r="N2423">
        <v>-1.454572E-2</v>
      </c>
      <c r="O2423">
        <v>2.3506610000000001E-2</v>
      </c>
      <c r="P2423">
        <v>-0.92777390000000004</v>
      </c>
      <c r="Q2423">
        <v>0.1628087</v>
      </c>
      <c r="R2423">
        <v>-0.3357522</v>
      </c>
      <c r="S2423">
        <v>-2.8131710000000001</v>
      </c>
      <c r="T2423">
        <v>-0.26173400000000002</v>
      </c>
      <c r="U2423">
        <v>-1.299866</v>
      </c>
      <c r="V2423">
        <v>-0.35937010000000003</v>
      </c>
      <c r="W2423">
        <v>0.17225969999999999</v>
      </c>
      <c r="X2423">
        <v>0.91715849999999999</v>
      </c>
      <c r="Y2423">
        <v>-0.43876520000000002</v>
      </c>
      <c r="Z2423">
        <v>-2.4495980000000001E-2</v>
      </c>
      <c r="AA2423">
        <v>0.89826779999999995</v>
      </c>
      <c r="AB2423">
        <v>33</v>
      </c>
      <c r="AC2423">
        <v>-0.622900000000015</v>
      </c>
      <c r="AD2423">
        <v>-8.8401000000000104E-2</v>
      </c>
      <c r="AE2423">
        <v>-0.44100000000002998</v>
      </c>
      <c r="AF2423">
        <v>-0.44949146933386402</v>
      </c>
      <c r="AG2423">
        <v>-8.8401000000000104E-2</v>
      </c>
      <c r="AH2423">
        <v>0.60425355098746902</v>
      </c>
      <c r="AI2423">
        <v>96.694871993691194</v>
      </c>
      <c r="AJ2423">
        <v>126.644781086565</v>
      </c>
      <c r="AK2423">
        <v>0.75827414019329598</v>
      </c>
      <c r="AL2423">
        <v>80.080771081164997</v>
      </c>
      <c r="AM2423">
        <v>111.39672980046601</v>
      </c>
      <c r="AN2423">
        <v>0.99999999357017499</v>
      </c>
    </row>
    <row r="2424" spans="1:40" x14ac:dyDescent="0.25">
      <c r="A2424" t="str">
        <f>"20190303162826793"</f>
        <v>20190303162826793</v>
      </c>
      <c r="B2424" t="str">
        <f>"1551601706784249"</f>
        <v>1551601706784249</v>
      </c>
      <c r="C2424" t="s">
        <v>40</v>
      </c>
      <c r="D2424">
        <v>4.8148650000000002</v>
      </c>
      <c r="E2424">
        <v>0.45794410000000002</v>
      </c>
      <c r="F2424" t="s">
        <v>44</v>
      </c>
      <c r="G2424">
        <v>-466.56220000000002</v>
      </c>
      <c r="H2424">
        <v>1.0383340000000001</v>
      </c>
      <c r="I2424">
        <v>284.62119999999999</v>
      </c>
      <c r="J2424">
        <v>-465.96609999999998</v>
      </c>
      <c r="K2424">
        <v>1.126234</v>
      </c>
      <c r="L2424">
        <v>285.0598</v>
      </c>
      <c r="M2424">
        <v>-0.99974079999999999</v>
      </c>
      <c r="N2424">
        <v>-1.457289E-2</v>
      </c>
      <c r="O2424">
        <v>1.7493910000000001E-2</v>
      </c>
      <c r="P2424">
        <v>-0.92589999999999995</v>
      </c>
      <c r="Q2424">
        <v>0.1626281</v>
      </c>
      <c r="R2424">
        <v>-0.34097159999999999</v>
      </c>
      <c r="S2424">
        <v>-2.7966920000000002</v>
      </c>
      <c r="T2424">
        <v>-0.26737270000000002</v>
      </c>
      <c r="U2424">
        <v>-1.3368230000000001</v>
      </c>
      <c r="V2424">
        <v>-0.35918670000000003</v>
      </c>
      <c r="W2424">
        <v>0.17175470000000001</v>
      </c>
      <c r="X2424">
        <v>0.9173251</v>
      </c>
      <c r="Y2424">
        <v>-0.4449844</v>
      </c>
      <c r="Z2424">
        <v>-2.4898380000000001E-2</v>
      </c>
      <c r="AA2424">
        <v>0.89519210000000005</v>
      </c>
      <c r="AB2424">
        <v>33</v>
      </c>
      <c r="AC2424">
        <v>-0.59610000000003505</v>
      </c>
      <c r="AD2424">
        <v>-8.7899999999999798E-2</v>
      </c>
      <c r="AE2424">
        <v>-0.43860000000000798</v>
      </c>
      <c r="AF2424">
        <v>-0.442716742508314</v>
      </c>
      <c r="AG2424">
        <v>-8.7899999999999798E-2</v>
      </c>
      <c r="AH2424">
        <v>0.58015099652800395</v>
      </c>
      <c r="AI2424">
        <v>96.868069778289396</v>
      </c>
      <c r="AJ2424">
        <v>127.347472253333</v>
      </c>
      <c r="AK2424">
        <v>0.73505081652196702</v>
      </c>
      <c r="AL2424">
        <v>80.110143793054803</v>
      </c>
      <c r="AM2424">
        <v>111.383263476294</v>
      </c>
      <c r="AN2424">
        <v>1.0000000507594899</v>
      </c>
    </row>
    <row r="2425" spans="1:40" x14ac:dyDescent="0.25">
      <c r="A2425" t="str">
        <f>"20190303162826816"</f>
        <v>20190303162826816</v>
      </c>
      <c r="B2425" t="str">
        <f>"1551601706803769"</f>
        <v>1551601706803769</v>
      </c>
      <c r="C2425" t="s">
        <v>40</v>
      </c>
      <c r="D2425">
        <v>4.7762849999999997</v>
      </c>
      <c r="E2425">
        <v>0.4562117</v>
      </c>
      <c r="F2425" t="s">
        <v>44</v>
      </c>
      <c r="G2425">
        <v>-466.85359999999997</v>
      </c>
      <c r="H2425">
        <v>1.0422979999999999</v>
      </c>
      <c r="I2425">
        <v>284.62380000000002</v>
      </c>
      <c r="J2425">
        <v>-466.30799999999999</v>
      </c>
      <c r="K2425">
        <v>1.126706</v>
      </c>
      <c r="L2425">
        <v>285.05900000000003</v>
      </c>
      <c r="M2425">
        <v>-0.99983869999999997</v>
      </c>
      <c r="N2425">
        <v>-1.460874E-2</v>
      </c>
      <c r="O2425">
        <v>1.0453580000000001E-2</v>
      </c>
      <c r="P2425">
        <v>-0.92276309999999995</v>
      </c>
      <c r="Q2425">
        <v>0.16323859999999901</v>
      </c>
      <c r="R2425">
        <v>-0.3490875</v>
      </c>
      <c r="S2425">
        <v>-2.7828979999999999</v>
      </c>
      <c r="T2425">
        <v>-0.26320389999999999</v>
      </c>
      <c r="U2425">
        <v>-1.3669739999999999</v>
      </c>
      <c r="V2425">
        <v>-0.36098449999999999</v>
      </c>
      <c r="W2425">
        <v>0.17196330000000001</v>
      </c>
      <c r="X2425">
        <v>0.91657999999999995</v>
      </c>
      <c r="Y2425">
        <v>-0.44830940000000002</v>
      </c>
      <c r="Z2425">
        <v>-2.426644E-2</v>
      </c>
      <c r="AA2425">
        <v>0.89354899999999904</v>
      </c>
      <c r="AB2425">
        <v>33</v>
      </c>
      <c r="AC2425">
        <v>-0.54559999999992204</v>
      </c>
      <c r="AD2425">
        <v>-8.4407999999999997E-2</v>
      </c>
      <c r="AE2425">
        <v>-0.43520000000000802</v>
      </c>
      <c r="AF2425">
        <v>-0.43452431839401201</v>
      </c>
      <c r="AG2425">
        <v>-8.4407999999999997E-2</v>
      </c>
      <c r="AH2425">
        <v>0.53322064526370105</v>
      </c>
      <c r="AI2425">
        <v>96.995963989737206</v>
      </c>
      <c r="AJ2425">
        <v>129.17677287014499</v>
      </c>
      <c r="AK2425">
        <v>0.69300818918337304</v>
      </c>
      <c r="AL2425">
        <v>80.098011286009395</v>
      </c>
      <c r="AM2425">
        <v>111.496430363587</v>
      </c>
      <c r="AN2425">
        <v>1.0000000410935601</v>
      </c>
    </row>
    <row r="2426" spans="1:40" x14ac:dyDescent="0.25">
      <c r="A2426" t="str">
        <f>"20190303162826838"</f>
        <v>20190303162826838</v>
      </c>
      <c r="B2426" t="str">
        <f>"1551601706834025"</f>
        <v>1551601706834025</v>
      </c>
      <c r="C2426" t="s">
        <v>40</v>
      </c>
      <c r="D2426">
        <v>4.8233389999999998</v>
      </c>
      <c r="E2426">
        <v>0.45485609999999999</v>
      </c>
      <c r="F2426" t="s">
        <v>44</v>
      </c>
      <c r="G2426">
        <v>-467.14640000000003</v>
      </c>
      <c r="H2426">
        <v>1.047547</v>
      </c>
      <c r="I2426">
        <v>284.63369999999998</v>
      </c>
      <c r="J2426">
        <v>-466.62869999999998</v>
      </c>
      <c r="K2426">
        <v>1.1271690000000001</v>
      </c>
      <c r="L2426">
        <v>285.05549999999999</v>
      </c>
      <c r="M2426">
        <v>-0.99988739999999998</v>
      </c>
      <c r="N2426">
        <v>-1.465052E-2</v>
      </c>
      <c r="O2426">
        <v>3.2685169999999999E-3</v>
      </c>
      <c r="P2426">
        <v>-0.91960070000000005</v>
      </c>
      <c r="Q2426">
        <v>0.1636254</v>
      </c>
      <c r="R2426">
        <v>-0.35715780000000003</v>
      </c>
      <c r="S2426">
        <v>-2.7662659999999999</v>
      </c>
      <c r="T2426">
        <v>-0.26114399999999999</v>
      </c>
      <c r="U2426">
        <v>-1.4037170000000001</v>
      </c>
      <c r="V2426">
        <v>-0.36263010000000001</v>
      </c>
      <c r="W2426">
        <v>0.17195199999999999</v>
      </c>
      <c r="X2426">
        <v>0.91593230000000003</v>
      </c>
      <c r="Y2426">
        <v>-0.45351469999999999</v>
      </c>
      <c r="Z2426">
        <v>-2.3908820000000001E-2</v>
      </c>
      <c r="AA2426">
        <v>0.89092800000000005</v>
      </c>
      <c r="AB2426">
        <v>33</v>
      </c>
      <c r="AC2426">
        <v>-0.51770000000004701</v>
      </c>
      <c r="AD2426">
        <v>-7.9621999999999998E-2</v>
      </c>
      <c r="AE2426">
        <v>-0.42180000000001799</v>
      </c>
      <c r="AF2426">
        <v>-0.41755377365677199</v>
      </c>
      <c r="AG2426">
        <v>-7.9621999999999998E-2</v>
      </c>
      <c r="AH2426">
        <v>0.50908093959309497</v>
      </c>
      <c r="AI2426">
        <v>96.895252047054598</v>
      </c>
      <c r="AJ2426">
        <v>129.35897978999799</v>
      </c>
      <c r="AK2426">
        <v>0.66321506303460798</v>
      </c>
      <c r="AL2426">
        <v>80.098668396813295</v>
      </c>
      <c r="AM2426">
        <v>111.599288784067</v>
      </c>
      <c r="AN2426">
        <v>1.00000002895664</v>
      </c>
    </row>
    <row r="2427" spans="1:40" x14ac:dyDescent="0.25">
      <c r="A2427" t="str">
        <f>"20190303162826860"</f>
        <v>20190303162826860</v>
      </c>
      <c r="B2427" t="str">
        <f>"1551601706853545"</f>
        <v>1551601706853545</v>
      </c>
      <c r="C2427" t="s">
        <v>40</v>
      </c>
      <c r="D2427">
        <v>4.8117010000000002</v>
      </c>
      <c r="E2427">
        <v>0.45401530000000001</v>
      </c>
      <c r="F2427" t="s">
        <v>44</v>
      </c>
      <c r="G2427">
        <v>-467.43759999999997</v>
      </c>
      <c r="H2427">
        <v>1.0514779999999999</v>
      </c>
      <c r="I2427">
        <v>284.63229999999999</v>
      </c>
      <c r="J2427">
        <v>-466.95319999999998</v>
      </c>
      <c r="K2427">
        <v>1.127659</v>
      </c>
      <c r="L2427">
        <v>285.04899999999998</v>
      </c>
      <c r="M2427">
        <v>-0.99988140000000003</v>
      </c>
      <c r="N2427">
        <v>-1.470022E-2</v>
      </c>
      <c r="O2427">
        <v>-4.5898780000000004E-3</v>
      </c>
      <c r="P2427">
        <v>-0.91631969999999996</v>
      </c>
      <c r="Q2427">
        <v>0.16355999999999901</v>
      </c>
      <c r="R2427">
        <v>-0.36552220000000002</v>
      </c>
      <c r="S2427">
        <v>-2.7493590000000001</v>
      </c>
      <c r="T2427">
        <v>-0.25724279999999999</v>
      </c>
      <c r="U2427">
        <v>-1.4386289999999999</v>
      </c>
      <c r="V2427">
        <v>-0.36398520000000001</v>
      </c>
      <c r="W2427">
        <v>0.17147379999999901</v>
      </c>
      <c r="X2427">
        <v>0.91548430000000003</v>
      </c>
      <c r="Y2427">
        <v>-0.45769539999999997</v>
      </c>
      <c r="Z2427">
        <v>-2.331681E-2</v>
      </c>
      <c r="AA2427">
        <v>0.88880329999999996</v>
      </c>
      <c r="AB2427">
        <v>33</v>
      </c>
      <c r="AC2427">
        <v>-0.484399999999993</v>
      </c>
      <c r="AD2427">
        <v>-7.6180999999999804E-2</v>
      </c>
      <c r="AE2427">
        <v>-0.41670000000004798</v>
      </c>
      <c r="AF2427">
        <v>-0.40866307452128497</v>
      </c>
      <c r="AG2427">
        <v>-7.6180999999999804E-2</v>
      </c>
      <c r="AH2427">
        <v>0.47949194739790302</v>
      </c>
      <c r="AI2427">
        <v>96.894701924363901</v>
      </c>
      <c r="AJ2427">
        <v>130.44040739899799</v>
      </c>
      <c r="AK2427">
        <v>0.63460348317482695</v>
      </c>
      <c r="AL2427">
        <v>80.126480006278896</v>
      </c>
      <c r="AM2427">
        <v>111.682154684232</v>
      </c>
      <c r="AN2427">
        <v>0.99999999672598505</v>
      </c>
    </row>
    <row r="2428" spans="1:40" x14ac:dyDescent="0.25">
      <c r="A2428" t="str">
        <f>"20190303162826882"</f>
        <v>20190303162826882</v>
      </c>
      <c r="B2428" t="str">
        <f>"1551601706874041"</f>
        <v>1551601706874041</v>
      </c>
      <c r="C2428" t="s">
        <v>40</v>
      </c>
      <c r="D2428">
        <v>4.8433299999999999</v>
      </c>
      <c r="E2428">
        <v>0.45331369999999999</v>
      </c>
      <c r="F2428" t="s">
        <v>44</v>
      </c>
      <c r="G2428">
        <v>-467.75729999999999</v>
      </c>
      <c r="H2428">
        <v>1.0519609999999999</v>
      </c>
      <c r="I2428">
        <v>284.61649999999997</v>
      </c>
      <c r="J2428">
        <v>-467.27859999999998</v>
      </c>
      <c r="K2428">
        <v>1.128161</v>
      </c>
      <c r="L2428">
        <v>285.03949999999998</v>
      </c>
      <c r="M2428">
        <v>-0.99980570000000002</v>
      </c>
      <c r="N2428">
        <v>-1.475665E-2</v>
      </c>
      <c r="O2428">
        <v>-1.3078569999999999E-2</v>
      </c>
      <c r="P2428">
        <v>-0.91263850000000002</v>
      </c>
      <c r="Q2428">
        <v>0.1630286</v>
      </c>
      <c r="R2428">
        <v>-0.37485109999999999</v>
      </c>
      <c r="S2428">
        <v>-2.733215</v>
      </c>
      <c r="T2428">
        <v>-0.25728600000000001</v>
      </c>
      <c r="U2428">
        <v>-1.470764</v>
      </c>
      <c r="V2428">
        <v>-0.36575780000000002</v>
      </c>
      <c r="W2428">
        <v>0.1705112</v>
      </c>
      <c r="X2428">
        <v>0.91495749999999998</v>
      </c>
      <c r="Y2428">
        <v>-0.46045160000000002</v>
      </c>
      <c r="Z2428">
        <v>-2.2909970000000002E-2</v>
      </c>
      <c r="AA2428">
        <v>0.88738909999999904</v>
      </c>
      <c r="AB2428">
        <v>33</v>
      </c>
      <c r="AC2428">
        <v>-0.47870000000000301</v>
      </c>
      <c r="AD2428">
        <v>-7.6199999999999796E-2</v>
      </c>
      <c r="AE2428">
        <v>-0.42300000000000099</v>
      </c>
      <c r="AF2428">
        <v>-0.410856513664561</v>
      </c>
      <c r="AG2428">
        <v>-7.6199999999999796E-2</v>
      </c>
      <c r="AH2428">
        <v>0.477399170082632</v>
      </c>
      <c r="AI2428">
        <v>96.898169342972096</v>
      </c>
      <c r="AJ2428">
        <v>130.71575490844799</v>
      </c>
      <c r="AK2428">
        <v>0.63444423113161297</v>
      </c>
      <c r="AL2428">
        <v>80.182457693602899</v>
      </c>
      <c r="AM2428">
        <v>111.789251295319</v>
      </c>
      <c r="AN2428">
        <v>1.0000000321962601</v>
      </c>
    </row>
    <row r="2429" spans="1:40" x14ac:dyDescent="0.25">
      <c r="A2429" t="str">
        <f>"20190303162826905"</f>
        <v>20190303162826905</v>
      </c>
      <c r="B2429" t="str">
        <f>"1551601706893561"</f>
        <v>1551601706893561</v>
      </c>
      <c r="C2429" t="s">
        <v>40</v>
      </c>
      <c r="D2429">
        <v>4.8295690000000002</v>
      </c>
      <c r="E2429">
        <v>0.45278849999999998</v>
      </c>
      <c r="F2429" t="s">
        <v>44</v>
      </c>
      <c r="G2429">
        <v>-468.08699999999999</v>
      </c>
      <c r="H2429">
        <v>1.051126</v>
      </c>
      <c r="I2429">
        <v>284.59199999999998</v>
      </c>
      <c r="J2429">
        <v>-467.59140000000002</v>
      </c>
      <c r="K2429">
        <v>1.1286419999999999</v>
      </c>
      <c r="L2429">
        <v>285.02699999999999</v>
      </c>
      <c r="M2429">
        <v>-0.99965139999999997</v>
      </c>
      <c r="N2429">
        <v>-1.481736E-2</v>
      </c>
      <c r="O2429">
        <v>-2.1850700000000001E-2</v>
      </c>
      <c r="P2429">
        <v>-0.90827800000000003</v>
      </c>
      <c r="Q2429">
        <v>0.16072129999999901</v>
      </c>
      <c r="R2429">
        <v>-0.3862642</v>
      </c>
      <c r="S2429">
        <v>-2.7157290000000001</v>
      </c>
      <c r="T2429">
        <v>-0.25876529999999998</v>
      </c>
      <c r="U2429">
        <v>-1.5038450000000001</v>
      </c>
      <c r="V2429">
        <v>-0.36935960000000001</v>
      </c>
      <c r="W2429">
        <v>0.1677525</v>
      </c>
      <c r="X2429">
        <v>0.91402000000000005</v>
      </c>
      <c r="Y2429">
        <v>-0.46334720000000001</v>
      </c>
      <c r="Z2429">
        <v>-2.2597849999999999E-2</v>
      </c>
      <c r="AA2429">
        <v>0.88588860000000003</v>
      </c>
      <c r="AB2429">
        <v>33</v>
      </c>
      <c r="AC2429">
        <v>-0.49559999999996701</v>
      </c>
      <c r="AD2429">
        <v>-7.7515999999999904E-2</v>
      </c>
      <c r="AE2429">
        <v>-0.435000000000002</v>
      </c>
      <c r="AF2429">
        <v>-0.41828580029629098</v>
      </c>
      <c r="AG2429">
        <v>-7.7515999999999904E-2</v>
      </c>
      <c r="AH2429">
        <v>0.49810487400783998</v>
      </c>
      <c r="AI2429">
        <v>96.796160334105494</v>
      </c>
      <c r="AJ2429">
        <v>130.02201064125299</v>
      </c>
      <c r="AK2429">
        <v>0.65504214100764202</v>
      </c>
      <c r="AL2429">
        <v>80.342829594012599</v>
      </c>
      <c r="AM2429">
        <v>112.00385558952399</v>
      </c>
      <c r="AN2429">
        <v>0.99999998788420497</v>
      </c>
    </row>
    <row r="2430" spans="1:40" x14ac:dyDescent="0.25">
      <c r="A2430" t="str">
        <f>"20190303162826927"</f>
        <v>20190303162826927</v>
      </c>
      <c r="B2430" t="str">
        <f>"1551601706914057"</f>
        <v>1551601706914057</v>
      </c>
      <c r="C2430" t="s">
        <v>40</v>
      </c>
      <c r="D2430">
        <v>4.8104149999999999</v>
      </c>
      <c r="E2430">
        <v>0.45246930000000002</v>
      </c>
      <c r="F2430" t="s">
        <v>44</v>
      </c>
      <c r="G2430">
        <v>-468.55889999999999</v>
      </c>
      <c r="H2430">
        <v>1.033485</v>
      </c>
      <c r="I2430">
        <v>284.47399999999999</v>
      </c>
      <c r="J2430">
        <v>-467.92270000000002</v>
      </c>
      <c r="K2430">
        <v>1.1291230000000001</v>
      </c>
      <c r="L2430">
        <v>285.01</v>
      </c>
      <c r="M2430">
        <v>-0.99938459999999996</v>
      </c>
      <c r="N2430">
        <v>-1.4886750000000001E-2</v>
      </c>
      <c r="O2430">
        <v>-3.1761409999999997E-2</v>
      </c>
      <c r="P2430">
        <v>-0.9029528</v>
      </c>
      <c r="Q2430">
        <v>0.15919510000000001</v>
      </c>
      <c r="R2430">
        <v>-0.39916580000000002</v>
      </c>
      <c r="S2430">
        <v>-2.6948240000000001</v>
      </c>
      <c r="T2430">
        <v>-0.26506540000000001</v>
      </c>
      <c r="U2430">
        <v>-1.540314</v>
      </c>
      <c r="V2430">
        <v>-0.37349179999999998</v>
      </c>
      <c r="W2430">
        <v>0.16575010000000001</v>
      </c>
      <c r="X2430">
        <v>0.91270519999999999</v>
      </c>
      <c r="Y2430">
        <v>-0.46648230000000002</v>
      </c>
      <c r="Z2430">
        <v>-2.2554939999999999E-2</v>
      </c>
      <c r="AA2430">
        <v>0.884243</v>
      </c>
      <c r="AB2430">
        <v>33</v>
      </c>
      <c r="AC2430">
        <v>-0.63619999999997301</v>
      </c>
      <c r="AD2430">
        <v>-9.5637999999999806E-2</v>
      </c>
      <c r="AE2430">
        <v>-0.53600000000000103</v>
      </c>
      <c r="AF2430">
        <v>-0.50879602201965501</v>
      </c>
      <c r="AG2430">
        <v>-9.5637999999999806E-2</v>
      </c>
      <c r="AH2430">
        <v>0.64438821660905299</v>
      </c>
      <c r="AI2430">
        <v>96.6440836469028</v>
      </c>
      <c r="AJ2430">
        <v>128.293914151672</v>
      </c>
      <c r="AK2430">
        <v>0.82659312407714902</v>
      </c>
      <c r="AL2430">
        <v>80.459187947017298</v>
      </c>
      <c r="AM2430">
        <v>112.255067826065</v>
      </c>
      <c r="AN2430">
        <v>1.0000000012121399</v>
      </c>
    </row>
    <row r="2431" spans="1:40" x14ac:dyDescent="0.25">
      <c r="A2431" t="str">
        <f>"20190303162826949"</f>
        <v>20190303162826949</v>
      </c>
      <c r="B2431" t="str">
        <f>"1551601706944329"</f>
        <v>1551601706944329</v>
      </c>
      <c r="C2431" t="s">
        <v>40</v>
      </c>
      <c r="D2431">
        <v>4.861021</v>
      </c>
      <c r="E2431">
        <v>0.45205689999999998</v>
      </c>
      <c r="F2431" t="s">
        <v>44</v>
      </c>
      <c r="G2431">
        <v>-468.84539999999998</v>
      </c>
      <c r="H2431">
        <v>1.03616</v>
      </c>
      <c r="I2431">
        <v>284.46379999999999</v>
      </c>
      <c r="J2431">
        <v>-468.2432</v>
      </c>
      <c r="K2431">
        <v>1.1295500000000001</v>
      </c>
      <c r="L2431">
        <v>284.99</v>
      </c>
      <c r="M2431">
        <v>-0.99901189999999995</v>
      </c>
      <c r="N2431">
        <v>-1.4954230000000001E-2</v>
      </c>
      <c r="O2431">
        <v>-4.1851909999999999E-2</v>
      </c>
      <c r="P2431">
        <v>-0.89817559999999996</v>
      </c>
      <c r="Q2431">
        <v>0.1576273</v>
      </c>
      <c r="R2431">
        <v>-0.41040749999999998</v>
      </c>
      <c r="S2431">
        <v>-2.6709290000000001</v>
      </c>
      <c r="T2431">
        <v>-0.2690804</v>
      </c>
      <c r="U2431">
        <v>-1.5812379999999999</v>
      </c>
      <c r="V2431">
        <v>-0.37580720000000001</v>
      </c>
      <c r="W2431">
        <v>0.16379679999999999</v>
      </c>
      <c r="X2431">
        <v>0.91210720000000001</v>
      </c>
      <c r="Y2431">
        <v>-0.47099659999999899</v>
      </c>
      <c r="Z2431">
        <v>-2.2395579999999998E-2</v>
      </c>
      <c r="AA2431">
        <v>0.88185069999999999</v>
      </c>
      <c r="AB2431">
        <v>33</v>
      </c>
      <c r="AC2431">
        <v>-0.60219999999998197</v>
      </c>
      <c r="AD2431">
        <v>-9.3390000000000001E-2</v>
      </c>
      <c r="AE2431">
        <v>-0.52620000000001699</v>
      </c>
      <c r="AF2431">
        <v>-0.49379857152384898</v>
      </c>
      <c r="AG2431">
        <v>-9.3390000000000001E-2</v>
      </c>
      <c r="AH2431">
        <v>0.61530587243062995</v>
      </c>
      <c r="AI2431">
        <v>96.750851969662804</v>
      </c>
      <c r="AJ2431">
        <v>128.747927017107</v>
      </c>
      <c r="AK2431">
        <v>0.79445581248211194</v>
      </c>
      <c r="AL2431">
        <v>80.572654669723804</v>
      </c>
      <c r="AM2431">
        <v>112.39268318273901</v>
      </c>
      <c r="AN2431">
        <v>0.99999999377696003</v>
      </c>
    </row>
    <row r="2432" spans="1:40" x14ac:dyDescent="0.25">
      <c r="A2432" t="str">
        <f>"20190303162826971"</f>
        <v>20190303162826971</v>
      </c>
      <c r="B2432" t="str">
        <f>"1551601706963837"</f>
        <v>1551601706963837</v>
      </c>
      <c r="C2432" t="s">
        <v>40</v>
      </c>
      <c r="D2432">
        <v>4.8975359999999997</v>
      </c>
      <c r="E2432">
        <v>0.45172859999999998</v>
      </c>
      <c r="F2432" t="s">
        <v>44</v>
      </c>
      <c r="G2432">
        <v>-469.13060000000002</v>
      </c>
      <c r="H2432">
        <v>1.0395669999999999</v>
      </c>
      <c r="I2432">
        <v>284.44799999999998</v>
      </c>
      <c r="J2432">
        <v>-468.55520000000001</v>
      </c>
      <c r="K2432">
        <v>1.1299110000000001</v>
      </c>
      <c r="L2432">
        <v>284.96699999999998</v>
      </c>
      <c r="M2432">
        <v>-0.99852830000000004</v>
      </c>
      <c r="N2432">
        <v>-1.5016140000000001E-2</v>
      </c>
      <c r="O2432">
        <v>-5.2115549999999997E-2</v>
      </c>
      <c r="P2432">
        <v>-0.8937794</v>
      </c>
      <c r="Q2432">
        <v>0.15458139999999901</v>
      </c>
      <c r="R2432">
        <v>-0.42102689999999998</v>
      </c>
      <c r="S2432">
        <v>-2.647888</v>
      </c>
      <c r="T2432">
        <v>-0.26845819999999998</v>
      </c>
      <c r="U2432">
        <v>-1.6180110000000001</v>
      </c>
      <c r="V2432">
        <v>-0.3773128</v>
      </c>
      <c r="W2432">
        <v>0.16042779999999901</v>
      </c>
      <c r="X2432">
        <v>0.91208440000000002</v>
      </c>
      <c r="Y2432">
        <v>-0.47427770000000002</v>
      </c>
      <c r="Z2432">
        <v>-2.1832210000000001E-2</v>
      </c>
      <c r="AA2432">
        <v>0.88010449999999996</v>
      </c>
      <c r="AB2432">
        <v>33</v>
      </c>
      <c r="AC2432">
        <v>-0.57540000000000102</v>
      </c>
      <c r="AD2432">
        <v>-9.0344000000000202E-2</v>
      </c>
      <c r="AE2432">
        <v>-0.51900000000000501</v>
      </c>
      <c r="AF2432">
        <v>-0.48175524876238002</v>
      </c>
      <c r="AG2432">
        <v>-9.0344000000000202E-2</v>
      </c>
      <c r="AH2432">
        <v>0.593599931499178</v>
      </c>
      <c r="AI2432">
        <v>96.739676896298306</v>
      </c>
      <c r="AJ2432">
        <v>129.06217570988699</v>
      </c>
      <c r="AK2432">
        <v>0.769812338639705</v>
      </c>
      <c r="AL2432">
        <v>80.768271783869906</v>
      </c>
      <c r="AM2432">
        <v>112.47399375633</v>
      </c>
      <c r="AN2432">
        <v>0.99999999039001997</v>
      </c>
    </row>
    <row r="2433" spans="1:40" x14ac:dyDescent="0.25">
      <c r="A2433" t="str">
        <f>"20190303162826994"</f>
        <v>20190303162826994</v>
      </c>
      <c r="B2433" t="str">
        <f>"1551601706984333"</f>
        <v>1551601706984333</v>
      </c>
      <c r="C2433" t="s">
        <v>40</v>
      </c>
      <c r="D2433">
        <v>4.9184869999999998</v>
      </c>
      <c r="E2433">
        <v>0.45148310000000003</v>
      </c>
      <c r="F2433" t="s">
        <v>44</v>
      </c>
      <c r="G2433">
        <v>-469.41430000000003</v>
      </c>
      <c r="H2433">
        <v>1.0405040000000001</v>
      </c>
      <c r="I2433">
        <v>284.42669999999998</v>
      </c>
      <c r="J2433">
        <v>-468.875</v>
      </c>
      <c r="K2433">
        <v>1.1302209999999999</v>
      </c>
      <c r="L2433">
        <v>284.93979999999999</v>
      </c>
      <c r="M2433">
        <v>-0.99789609999999995</v>
      </c>
      <c r="N2433">
        <v>-1.507645E-2</v>
      </c>
      <c r="O2433">
        <v>-6.3057420000000003E-2</v>
      </c>
      <c r="P2433">
        <v>-0.88799110000000003</v>
      </c>
      <c r="Q2433">
        <v>0.1499847</v>
      </c>
      <c r="R2433">
        <v>-0.4347143</v>
      </c>
      <c r="S2433">
        <v>-2.625702</v>
      </c>
      <c r="T2433">
        <v>-0.27324140000000002</v>
      </c>
      <c r="U2433">
        <v>-1.6518550000000001</v>
      </c>
      <c r="V2433">
        <v>-0.38133</v>
      </c>
      <c r="W2433">
        <v>0.1554613</v>
      </c>
      <c r="X2433">
        <v>0.91127340000000001</v>
      </c>
      <c r="Y2433">
        <v>-0.47606229999999999</v>
      </c>
      <c r="Z2433">
        <v>-2.1460090000000001E-2</v>
      </c>
      <c r="AA2433">
        <v>0.87914969999999903</v>
      </c>
      <c r="AB2433">
        <v>33</v>
      </c>
      <c r="AC2433">
        <v>-0.53930000000002498</v>
      </c>
      <c r="AD2433">
        <v>-8.9716999999999797E-2</v>
      </c>
      <c r="AE2433">
        <v>-0.51310000000000799</v>
      </c>
      <c r="AF2433">
        <v>-0.47122289252411498</v>
      </c>
      <c r="AG2433">
        <v>-8.9716999999999797E-2</v>
      </c>
      <c r="AH2433">
        <v>0.56241523850883501</v>
      </c>
      <c r="AI2433">
        <v>96.971234678935801</v>
      </c>
      <c r="AJ2433">
        <v>129.95815498245</v>
      </c>
      <c r="AK2433">
        <v>0.73919622228116399</v>
      </c>
      <c r="AL2433">
        <v>81.056448862120106</v>
      </c>
      <c r="AM2433">
        <v>112.707281346277</v>
      </c>
      <c r="AN2433">
        <v>0.999999997122624</v>
      </c>
    </row>
    <row r="2434" spans="1:40" x14ac:dyDescent="0.25">
      <c r="A2434" t="str">
        <f>"20190303162827016"</f>
        <v>20190303162827016</v>
      </c>
      <c r="B2434" t="str">
        <f>"1551601707003853"</f>
        <v>1551601707003853</v>
      </c>
      <c r="C2434" t="s">
        <v>40</v>
      </c>
      <c r="D2434">
        <v>4.9278040000000001</v>
      </c>
      <c r="E2434">
        <v>0.4513527</v>
      </c>
      <c r="F2434" t="s">
        <v>44</v>
      </c>
      <c r="G2434">
        <v>-469.6979</v>
      </c>
      <c r="H2434">
        <v>1.03969</v>
      </c>
      <c r="I2434">
        <v>284.40499999999997</v>
      </c>
      <c r="J2434">
        <v>-469.20460000000003</v>
      </c>
      <c r="K2434">
        <v>1.130511</v>
      </c>
      <c r="L2434">
        <v>284.90769999999998</v>
      </c>
      <c r="M2434">
        <v>-0.99708969999999997</v>
      </c>
      <c r="N2434">
        <v>-1.5136729999999999E-2</v>
      </c>
      <c r="O2434">
        <v>-7.4719880000000002E-2</v>
      </c>
      <c r="P2434">
        <v>-0.88064699999999996</v>
      </c>
      <c r="Q2434">
        <v>0.1455369</v>
      </c>
      <c r="R2434">
        <v>-0.45086579999999898</v>
      </c>
      <c r="S2434">
        <v>-2.599548</v>
      </c>
      <c r="T2434">
        <v>-0.285966</v>
      </c>
      <c r="U2434">
        <v>-1.6896359999999999</v>
      </c>
      <c r="V2434">
        <v>-0.38730049999999999</v>
      </c>
      <c r="W2434">
        <v>0.15060399999999999</v>
      </c>
      <c r="X2434">
        <v>0.90956959999999998</v>
      </c>
      <c r="Y2434">
        <v>-0.47864849999999998</v>
      </c>
      <c r="Z2434">
        <v>-2.151198E-2</v>
      </c>
      <c r="AA2434">
        <v>0.8777431</v>
      </c>
      <c r="AB2434">
        <v>33</v>
      </c>
      <c r="AC2434">
        <v>-0.49329999999997598</v>
      </c>
      <c r="AD2434">
        <v>-9.0820999999999999E-2</v>
      </c>
      <c r="AE2434">
        <v>-0.50270000000000403</v>
      </c>
      <c r="AF2434">
        <v>-0.45683453666103502</v>
      </c>
      <c r="AG2434">
        <v>-9.0820999999999999E-2</v>
      </c>
      <c r="AH2434">
        <v>0.52082627817400196</v>
      </c>
      <c r="AI2434">
        <v>97.4685762503034</v>
      </c>
      <c r="AJ2434">
        <v>131.25510799878799</v>
      </c>
      <c r="AK2434">
        <v>0.69871758240642901</v>
      </c>
      <c r="AL2434">
        <v>81.3380695793455</v>
      </c>
      <c r="AM2434">
        <v>113.064612234949</v>
      </c>
      <c r="AN2434">
        <v>1.0000000496802</v>
      </c>
    </row>
    <row r="2435" spans="1:40" x14ac:dyDescent="0.25">
      <c r="A2435" t="str">
        <f>"20190303162827039"</f>
        <v>20190303162827039</v>
      </c>
      <c r="B2435" t="str">
        <f>"1551601707034109"</f>
        <v>1551601707034109</v>
      </c>
      <c r="C2435" t="s">
        <v>40</v>
      </c>
      <c r="D2435">
        <v>4.8999519999999999</v>
      </c>
      <c r="E2435">
        <v>0.45116339999999999</v>
      </c>
      <c r="F2435" t="s">
        <v>44</v>
      </c>
      <c r="G2435">
        <v>-469.9821</v>
      </c>
      <c r="H2435">
        <v>1.0398499999999999</v>
      </c>
      <c r="I2435">
        <v>284.38459999999998</v>
      </c>
      <c r="J2435">
        <v>-469.53160000000003</v>
      </c>
      <c r="K2435">
        <v>1.1307579999999999</v>
      </c>
      <c r="L2435">
        <v>284.87180000000001</v>
      </c>
      <c r="M2435">
        <v>-0.99612690000000004</v>
      </c>
      <c r="N2435">
        <v>-1.519335E-2</v>
      </c>
      <c r="O2435">
        <v>-8.6605290000000001E-2</v>
      </c>
      <c r="P2435">
        <v>-0.87225739999999996</v>
      </c>
      <c r="Q2435">
        <v>0.14188779999999901</v>
      </c>
      <c r="R2435">
        <v>-0.46801219999999999</v>
      </c>
      <c r="S2435">
        <v>-2.5704349999999998</v>
      </c>
      <c r="T2435">
        <v>-0.29965930000000002</v>
      </c>
      <c r="U2435">
        <v>-1.7299800000000001</v>
      </c>
      <c r="V2435">
        <v>-0.39422390000000002</v>
      </c>
      <c r="W2435">
        <v>0.14654389999999901</v>
      </c>
      <c r="X2435">
        <v>0.90725540000000005</v>
      </c>
      <c r="Y2435">
        <v>-0.48208479999999998</v>
      </c>
      <c r="Z2435">
        <v>-2.1569000000000001E-2</v>
      </c>
      <c r="AA2435">
        <v>0.8758591</v>
      </c>
      <c r="AB2435">
        <v>33</v>
      </c>
      <c r="AC2435">
        <v>-0.45049999999997598</v>
      </c>
      <c r="AD2435">
        <v>-9.0908000000000003E-2</v>
      </c>
      <c r="AE2435">
        <v>-0.487200000000029</v>
      </c>
      <c r="AF2435">
        <v>-0.43812564740255</v>
      </c>
      <c r="AG2435">
        <v>-9.0908000000000003E-2</v>
      </c>
      <c r="AH2435">
        <v>0.48195999481304302</v>
      </c>
      <c r="AI2435">
        <v>97.945526010389301</v>
      </c>
      <c r="AJ2435">
        <v>132.27240006802299</v>
      </c>
      <c r="AK2435">
        <v>0.65765019879575204</v>
      </c>
      <c r="AL2435">
        <v>81.573306571183906</v>
      </c>
      <c r="AM2435">
        <v>113.486084634254</v>
      </c>
      <c r="AN2435">
        <v>0.99999997939378904</v>
      </c>
    </row>
    <row r="2436" spans="1:40" x14ac:dyDescent="0.25">
      <c r="A2436" t="str">
        <f>"20190303162827061"</f>
        <v>20190303162827061</v>
      </c>
      <c r="B2436" t="str">
        <f>"1551601707053629"</f>
        <v>1551601707053629</v>
      </c>
      <c r="C2436" t="s">
        <v>40</v>
      </c>
      <c r="D2436">
        <v>4.9215879999999999</v>
      </c>
      <c r="E2436">
        <v>0.45112360000000001</v>
      </c>
      <c r="F2436" t="s">
        <v>44</v>
      </c>
      <c r="G2436">
        <v>-470.26519999999999</v>
      </c>
      <c r="H2436">
        <v>1.040529</v>
      </c>
      <c r="I2436">
        <v>284.35919999999999</v>
      </c>
      <c r="J2436">
        <v>-469.83510000000001</v>
      </c>
      <c r="K2436">
        <v>1.1309499999999999</v>
      </c>
      <c r="L2436">
        <v>284.8347</v>
      </c>
      <c r="M2436">
        <v>-0.99508269999999999</v>
      </c>
      <c r="N2436">
        <v>-1.524031E-2</v>
      </c>
      <c r="O2436">
        <v>-9.7867819999999994E-2</v>
      </c>
      <c r="P2436">
        <v>-0.86492880000000005</v>
      </c>
      <c r="Q2436">
        <v>0.13762269999999999</v>
      </c>
      <c r="R2436">
        <v>-0.48265789999999997</v>
      </c>
      <c r="S2436">
        <v>-2.5381469999999999</v>
      </c>
      <c r="T2436">
        <v>-0.31218459999999998</v>
      </c>
      <c r="U2436">
        <v>-1.77429199999999</v>
      </c>
      <c r="V2436">
        <v>-0.3991788</v>
      </c>
      <c r="W2436">
        <v>0.14197119999999999</v>
      </c>
      <c r="X2436">
        <v>0.90581480000000003</v>
      </c>
      <c r="Y2436">
        <v>-0.4874925</v>
      </c>
      <c r="Z2436">
        <v>-2.166295E-2</v>
      </c>
      <c r="AA2436">
        <v>0.87285840000000003</v>
      </c>
      <c r="AB2436">
        <v>32</v>
      </c>
      <c r="AC2436">
        <v>-0.430099999999981</v>
      </c>
      <c r="AD2436">
        <v>-9.0420999999999793E-2</v>
      </c>
      <c r="AE2436">
        <v>-0.47550000000001003</v>
      </c>
      <c r="AF2436">
        <v>-0.422711780656023</v>
      </c>
      <c r="AG2436">
        <v>-9.0420999999999793E-2</v>
      </c>
      <c r="AH2436">
        <v>0.46532171716669402</v>
      </c>
      <c r="AI2436">
        <v>98.184834285708305</v>
      </c>
      <c r="AJ2436">
        <v>132.25292061178999</v>
      </c>
      <c r="AK2436">
        <v>0.63512637105803305</v>
      </c>
      <c r="AL2436">
        <v>81.838072761850896</v>
      </c>
      <c r="AM2436">
        <v>113.782357562342</v>
      </c>
      <c r="AN2436">
        <v>0.999999993948959</v>
      </c>
    </row>
    <row r="2437" spans="1:40" x14ac:dyDescent="0.25">
      <c r="A2437" t="str">
        <f>"20190303162827082"</f>
        <v>20190303162827082</v>
      </c>
      <c r="B2437" t="str">
        <f>"1551601707074125"</f>
        <v>1551601707074125</v>
      </c>
      <c r="C2437" t="s">
        <v>40</v>
      </c>
      <c r="D2437">
        <v>4.9682510000000004</v>
      </c>
      <c r="E2437">
        <v>0.4510439</v>
      </c>
      <c r="F2437" t="s">
        <v>44</v>
      </c>
      <c r="G2437">
        <v>-470.54469999999998</v>
      </c>
      <c r="H2437">
        <v>1.039234</v>
      </c>
      <c r="I2437">
        <v>284.3218</v>
      </c>
      <c r="J2437">
        <v>-470.1447</v>
      </c>
      <c r="K2437">
        <v>1.1311070000000001</v>
      </c>
      <c r="L2437">
        <v>284.79329999999999</v>
      </c>
      <c r="M2437">
        <v>-0.9938671</v>
      </c>
      <c r="N2437">
        <v>-1.528125E-2</v>
      </c>
      <c r="O2437">
        <v>-0.1095199</v>
      </c>
      <c r="P2437">
        <v>-0.85829249999999901</v>
      </c>
      <c r="Q2437">
        <v>0.13471569999999999</v>
      </c>
      <c r="R2437">
        <v>-0.4951624</v>
      </c>
      <c r="S2437">
        <v>-2.5079349999999998</v>
      </c>
      <c r="T2437">
        <v>-0.32413599999999998</v>
      </c>
      <c r="U2437">
        <v>-1.813812</v>
      </c>
      <c r="V2437">
        <v>-0.40166089999999999</v>
      </c>
      <c r="W2437">
        <v>0.1388567</v>
      </c>
      <c r="X2437">
        <v>0.90520009999999995</v>
      </c>
      <c r="Y2437">
        <v>-0.49112679999999997</v>
      </c>
      <c r="Z2437">
        <v>-2.1492890000000001E-2</v>
      </c>
      <c r="AA2437">
        <v>0.87082289999999996</v>
      </c>
      <c r="AB2437">
        <v>32</v>
      </c>
      <c r="AC2437">
        <v>-0.39999999999997699</v>
      </c>
      <c r="AD2437">
        <v>-9.1872999999999802E-2</v>
      </c>
      <c r="AE2437">
        <v>-0.47149999999999098</v>
      </c>
      <c r="AF2437">
        <v>-0.415672819435562</v>
      </c>
      <c r="AG2437">
        <v>-9.1872999999999802E-2</v>
      </c>
      <c r="AH2437">
        <v>0.43953395941395601</v>
      </c>
      <c r="AI2437">
        <v>98.635341861039095</v>
      </c>
      <c r="AJ2437">
        <v>133.40180403598799</v>
      </c>
      <c r="AK2437">
        <v>0.61189430657967303</v>
      </c>
      <c r="AL2437">
        <v>82.018305716586298</v>
      </c>
      <c r="AM2437">
        <v>113.92811014049499</v>
      </c>
      <c r="AN2437">
        <v>0.999999941381853</v>
      </c>
    </row>
    <row r="2438" spans="1:40" x14ac:dyDescent="0.25">
      <c r="A2438" t="str">
        <f>"20190303162827106"</f>
        <v>20190303162827106</v>
      </c>
      <c r="B2438" t="str">
        <f>"1551601707093645"</f>
        <v>1551601707093645</v>
      </c>
      <c r="C2438" t="s">
        <v>40</v>
      </c>
      <c r="D2438">
        <v>4.9487940000000004</v>
      </c>
      <c r="E2438">
        <v>0.45099539999999999</v>
      </c>
      <c r="F2438" t="s">
        <v>44</v>
      </c>
      <c r="G2438">
        <v>-470.82479999999998</v>
      </c>
      <c r="H2438">
        <v>1.0406219999999999</v>
      </c>
      <c r="I2438">
        <v>284.28590000000003</v>
      </c>
      <c r="J2438">
        <v>-470.46409999999997</v>
      </c>
      <c r="K2438">
        <v>1.1312180000000001</v>
      </c>
      <c r="L2438">
        <v>284.74619999999999</v>
      </c>
      <c r="M2438">
        <v>-0.99244940000000004</v>
      </c>
      <c r="N2438">
        <v>-1.5316349999999999E-2</v>
      </c>
      <c r="O2438">
        <v>-0.1216945</v>
      </c>
      <c r="P2438">
        <v>-0.84984930000000003</v>
      </c>
      <c r="Q2438">
        <v>0.13058819999999999</v>
      </c>
      <c r="R2438">
        <v>-0.51059069999999995</v>
      </c>
      <c r="S2438">
        <v>-2.4797060000000002</v>
      </c>
      <c r="T2438">
        <v>-0.32988990000000001</v>
      </c>
      <c r="U2438">
        <v>-1.850128</v>
      </c>
      <c r="V2438">
        <v>-0.40679470000000001</v>
      </c>
      <c r="W2438">
        <v>0.134470799999999</v>
      </c>
      <c r="X2438">
        <v>0.90356829999999999</v>
      </c>
      <c r="Y2438">
        <v>-0.49334280000000003</v>
      </c>
      <c r="Z2438">
        <v>-2.0802080000000001E-2</v>
      </c>
      <c r="AA2438">
        <v>0.86958619999999898</v>
      </c>
      <c r="AB2438">
        <v>32</v>
      </c>
      <c r="AC2438">
        <v>-0.36070000000000801</v>
      </c>
      <c r="AD2438">
        <v>-9.0596000000000093E-2</v>
      </c>
      <c r="AE2438">
        <v>-0.46029999999996102</v>
      </c>
      <c r="AF2438">
        <v>-0.40329842382936398</v>
      </c>
      <c r="AG2438">
        <v>-9.0596000000000093E-2</v>
      </c>
      <c r="AH2438">
        <v>0.40433685030431199</v>
      </c>
      <c r="AI2438">
        <v>99.014195444237401</v>
      </c>
      <c r="AJ2438">
        <v>134.92633132372001</v>
      </c>
      <c r="AK2438">
        <v>0.57822620348204701</v>
      </c>
      <c r="AL2438">
        <v>82.271980047900001</v>
      </c>
      <c r="AM2438">
        <v>114.237709093635</v>
      </c>
      <c r="AN2438">
        <v>0.99999999838280995</v>
      </c>
    </row>
    <row r="2439" spans="1:40" x14ac:dyDescent="0.25">
      <c r="A2439" t="str">
        <f>"20190303162827120"</f>
        <v>20190303162827120</v>
      </c>
      <c r="B2439" t="str">
        <f>"1551601707114141"</f>
        <v>1551601707114141</v>
      </c>
      <c r="C2439" t="s">
        <v>40</v>
      </c>
      <c r="D2439">
        <v>5.0019090000000004</v>
      </c>
      <c r="E2439">
        <v>0.4509204</v>
      </c>
      <c r="F2439" t="s">
        <v>44</v>
      </c>
      <c r="G2439">
        <v>-471.33550000000002</v>
      </c>
      <c r="H2439">
        <v>1.0094069999999999</v>
      </c>
      <c r="I2439">
        <v>284.07240000000002</v>
      </c>
      <c r="J2439">
        <v>-470.68680000000001</v>
      </c>
      <c r="K2439">
        <v>1.1312869999999999</v>
      </c>
      <c r="L2439">
        <v>284.71109999999999</v>
      </c>
      <c r="M2439">
        <v>-0.99136460000000004</v>
      </c>
      <c r="N2439">
        <v>-1.5337450000000001E-2</v>
      </c>
      <c r="O2439">
        <v>-0.1302353</v>
      </c>
      <c r="P2439">
        <v>-0.84403719999999904</v>
      </c>
      <c r="Q2439">
        <v>0.12942870000000001</v>
      </c>
      <c r="R2439">
        <v>-0.52043220000000001</v>
      </c>
      <c r="S2439">
        <v>-2.4462890000000002</v>
      </c>
      <c r="T2439">
        <v>-0.341949</v>
      </c>
      <c r="U2439">
        <v>-1.891235</v>
      </c>
      <c r="V2439">
        <v>-0.40949210000000003</v>
      </c>
      <c r="W2439">
        <v>0.13316989999999901</v>
      </c>
      <c r="X2439">
        <v>0.90254199999999996</v>
      </c>
      <c r="Y2439">
        <v>-0.50052799999999997</v>
      </c>
      <c r="Z2439">
        <v>-2.1067559999999999E-2</v>
      </c>
      <c r="AA2439">
        <v>0.86546399999999901</v>
      </c>
      <c r="AB2439">
        <v>32</v>
      </c>
      <c r="AC2439">
        <v>-0.64870000000001904</v>
      </c>
      <c r="AD2439">
        <v>-0.12188</v>
      </c>
      <c r="AE2439">
        <v>-0.63869999999997096</v>
      </c>
      <c r="AF2439">
        <v>-0.53910239244342995</v>
      </c>
      <c r="AG2439">
        <v>-0.12188</v>
      </c>
      <c r="AH2439">
        <v>0.71357454511984098</v>
      </c>
      <c r="AI2439">
        <v>97.760535308966197</v>
      </c>
      <c r="AJ2439">
        <v>127.070884558001</v>
      </c>
      <c r="AK2439">
        <v>0.90259334995401896</v>
      </c>
      <c r="AL2439">
        <v>82.347192883456202</v>
      </c>
      <c r="AM2439">
        <v>114.404258704809</v>
      </c>
      <c r="AN2439">
        <v>1.0000000319961999</v>
      </c>
    </row>
    <row r="2440" spans="1:40" x14ac:dyDescent="0.25">
      <c r="A2440" t="str">
        <f>"20190303162827139"</f>
        <v>20190303162827139</v>
      </c>
      <c r="B2440" t="str">
        <f>"1551601707133661"</f>
        <v>1551601707133661</v>
      </c>
      <c r="C2440" t="s">
        <v>40</v>
      </c>
      <c r="D2440">
        <v>4.9738939999999996</v>
      </c>
      <c r="E2440">
        <v>0.45092359999999998</v>
      </c>
      <c r="F2440" t="s">
        <v>44</v>
      </c>
      <c r="G2440">
        <v>-471.37049999999999</v>
      </c>
      <c r="H2440">
        <v>1.034411</v>
      </c>
      <c r="I2440">
        <v>284.17</v>
      </c>
      <c r="J2440">
        <v>-470.93560000000002</v>
      </c>
      <c r="K2440">
        <v>1.131354</v>
      </c>
      <c r="L2440">
        <v>284.66930000000002</v>
      </c>
      <c r="M2440">
        <v>-0.99005670000000001</v>
      </c>
      <c r="N2440">
        <v>-1.535802E-2</v>
      </c>
      <c r="O2440">
        <v>-0.13982849999999999</v>
      </c>
      <c r="P2440">
        <v>-0.83621800000000002</v>
      </c>
      <c r="Q2440">
        <v>0.13014519999999999</v>
      </c>
      <c r="R2440">
        <v>-0.53273099999999995</v>
      </c>
      <c r="S2440">
        <v>-2.424255</v>
      </c>
      <c r="T2440">
        <v>-0.34350059999999999</v>
      </c>
      <c r="U2440">
        <v>-1.9182429999999999</v>
      </c>
      <c r="V2440">
        <v>-0.41402420000000001</v>
      </c>
      <c r="W2440">
        <v>0.13368969999999999</v>
      </c>
      <c r="X2440">
        <v>0.9003949</v>
      </c>
      <c r="Y2440">
        <v>-0.50191490000000005</v>
      </c>
      <c r="Z2440">
        <v>-2.029336E-2</v>
      </c>
      <c r="AA2440">
        <v>0.86467890000000003</v>
      </c>
      <c r="AB2440">
        <v>32</v>
      </c>
      <c r="AC2440">
        <v>-0.43489999999996998</v>
      </c>
      <c r="AD2440">
        <v>-9.6943000000000196E-2</v>
      </c>
      <c r="AE2440">
        <v>-0.49930000000000502</v>
      </c>
      <c r="AF2440">
        <v>-0.424476334399147</v>
      </c>
      <c r="AG2440">
        <v>-9.6943000000000196E-2</v>
      </c>
      <c r="AH2440">
        <v>0.48994894239486297</v>
      </c>
      <c r="AI2440">
        <v>98.505286652746904</v>
      </c>
      <c r="AJ2440">
        <v>130.90462613886001</v>
      </c>
      <c r="AK2440">
        <v>0.65546019701258895</v>
      </c>
      <c r="AL2440">
        <v>82.317141388903096</v>
      </c>
      <c r="AM2440">
        <v>114.694160087586</v>
      </c>
      <c r="AN2440">
        <v>0.99999997500886895</v>
      </c>
    </row>
    <row r="2441" spans="1:40" x14ac:dyDescent="0.25">
      <c r="A2441" t="str">
        <f>"20190303162827160"</f>
        <v>20190303162827160</v>
      </c>
      <c r="B2441" t="str">
        <f>"1551601707154157"</f>
        <v>1551601707154157</v>
      </c>
      <c r="C2441" t="s">
        <v>40</v>
      </c>
      <c r="D2441">
        <v>4.9351099999999999</v>
      </c>
      <c r="E2441">
        <v>0.45099440000000002</v>
      </c>
      <c r="F2441" t="s">
        <v>44</v>
      </c>
      <c r="G2441">
        <v>-471.63799999999998</v>
      </c>
      <c r="H2441">
        <v>1.0314639999999999</v>
      </c>
      <c r="I2441">
        <v>284.09800000000001</v>
      </c>
      <c r="J2441">
        <v>-471.24200000000002</v>
      </c>
      <c r="K2441">
        <v>1.131419</v>
      </c>
      <c r="L2441">
        <v>284.61470000000003</v>
      </c>
      <c r="M2441">
        <v>-0.98831000000000002</v>
      </c>
      <c r="N2441">
        <v>-1.537994E-2</v>
      </c>
      <c r="O2441">
        <v>-0.15168039999999999</v>
      </c>
      <c r="P2441">
        <v>-0.82750020000000002</v>
      </c>
      <c r="Q2441">
        <v>0.13154669999999999</v>
      </c>
      <c r="R2441">
        <v>-0.54583819999999905</v>
      </c>
      <c r="S2441">
        <v>-2.3976440000000001</v>
      </c>
      <c r="T2441">
        <v>-0.3409102</v>
      </c>
      <c r="U2441">
        <v>-1.951111</v>
      </c>
      <c r="V2441">
        <v>-0.4175159</v>
      </c>
      <c r="W2441">
        <v>0.13492770000000001</v>
      </c>
      <c r="X2441">
        <v>0.89859609999999901</v>
      </c>
      <c r="Y2441">
        <v>-0.50346670000000004</v>
      </c>
      <c r="Z2441">
        <v>-1.913552E-2</v>
      </c>
      <c r="AA2441">
        <v>0.86380270000000003</v>
      </c>
      <c r="AB2441">
        <v>32</v>
      </c>
      <c r="AC2441">
        <v>-0.39600000000007102</v>
      </c>
      <c r="AD2441">
        <v>-9.9955000000000002E-2</v>
      </c>
      <c r="AE2441">
        <v>-0.51670000000001404</v>
      </c>
      <c r="AF2441">
        <v>-0.44026824549270999</v>
      </c>
      <c r="AG2441">
        <v>-9.9955000000000002E-2</v>
      </c>
      <c r="AH2441">
        <v>0.458979083799883</v>
      </c>
      <c r="AI2441">
        <v>98.931636721426401</v>
      </c>
      <c r="AJ2441">
        <v>133.80800602922099</v>
      </c>
      <c r="AK2441">
        <v>0.64380814640699402</v>
      </c>
      <c r="AL2441">
        <v>82.245560699253005</v>
      </c>
      <c r="AM2441">
        <v>114.921057283346</v>
      </c>
      <c r="AN2441">
        <v>0.99999998095765397</v>
      </c>
    </row>
    <row r="2442" spans="1:40" x14ac:dyDescent="0.25">
      <c r="A2442" t="str">
        <f>"20190303162827183"</f>
        <v>20190303162827183</v>
      </c>
      <c r="B2442" t="str">
        <f>"1551601707173676"</f>
        <v>1551601707173676</v>
      </c>
      <c r="C2442" t="s">
        <v>40</v>
      </c>
      <c r="D2442">
        <v>4.9798429999999998</v>
      </c>
      <c r="E2442">
        <v>0.4511579</v>
      </c>
      <c r="F2442" t="s">
        <v>44</v>
      </c>
      <c r="G2442">
        <v>-471.91460000000001</v>
      </c>
      <c r="H2442">
        <v>1.0362990000000001</v>
      </c>
      <c r="I2442">
        <v>284.05009999999999</v>
      </c>
      <c r="J2442">
        <v>-471.5505</v>
      </c>
      <c r="K2442">
        <v>1.1314649999999999</v>
      </c>
      <c r="L2442">
        <v>284.55579999999998</v>
      </c>
      <c r="M2442">
        <v>-0.98639759999999999</v>
      </c>
      <c r="N2442">
        <v>-1.53987E-2</v>
      </c>
      <c r="O2442">
        <v>-0.16365399999999999</v>
      </c>
      <c r="P2442">
        <v>-0.819241</v>
      </c>
      <c r="Q2442">
        <v>0.13250129999999999</v>
      </c>
      <c r="R2442">
        <v>-0.55793179999999998</v>
      </c>
      <c r="S2442">
        <v>-2.3678279999999998</v>
      </c>
      <c r="T2442">
        <v>-0.33488069999999998</v>
      </c>
      <c r="U2442">
        <v>-1.987244</v>
      </c>
      <c r="V2442">
        <v>-0.41988500000000001</v>
      </c>
      <c r="W2442">
        <v>0.13576769999999999</v>
      </c>
      <c r="X2442">
        <v>0.89736489999999902</v>
      </c>
      <c r="Y2442">
        <v>-0.50619979999999998</v>
      </c>
      <c r="Z2442">
        <v>-1.7952470000000002E-2</v>
      </c>
      <c r="AA2442">
        <v>0.86222929999999998</v>
      </c>
      <c r="AB2442">
        <v>32</v>
      </c>
      <c r="AC2442">
        <v>-0.36410000000000697</v>
      </c>
      <c r="AD2442">
        <v>-9.5165999999999806E-2</v>
      </c>
      <c r="AE2442">
        <v>-0.50569999999999005</v>
      </c>
      <c r="AF2442">
        <v>-0.42927472142712703</v>
      </c>
      <c r="AG2442">
        <v>-9.5165999999999806E-2</v>
      </c>
      <c r="AH2442">
        <v>0.43188647207254399</v>
      </c>
      <c r="AI2442">
        <v>98.882477181291193</v>
      </c>
      <c r="AJ2442">
        <v>134.82623249694601</v>
      </c>
      <c r="AK2442">
        <v>0.61632724973962105</v>
      </c>
      <c r="AL2442">
        <v>82.196985586238398</v>
      </c>
      <c r="AM2442">
        <v>115.075310830166</v>
      </c>
      <c r="AN2442">
        <v>1.00000002267014</v>
      </c>
    </row>
    <row r="2443" spans="1:40" x14ac:dyDescent="0.25">
      <c r="A2443" t="str">
        <f>"20190303162827206"</f>
        <v>20190303162827206</v>
      </c>
      <c r="B2443" t="str">
        <f>"1551601707194174"</f>
        <v>1551601707194174</v>
      </c>
      <c r="C2443" t="s">
        <v>40</v>
      </c>
      <c r="D2443">
        <v>5.0128539999999999</v>
      </c>
      <c r="E2443">
        <v>0.451237</v>
      </c>
      <c r="F2443" t="s">
        <v>44</v>
      </c>
      <c r="G2443">
        <v>-472.41079999999999</v>
      </c>
      <c r="H2443">
        <v>1.010148</v>
      </c>
      <c r="I2443">
        <v>283.81229999999999</v>
      </c>
      <c r="J2443">
        <v>-471.8657</v>
      </c>
      <c r="K2443">
        <v>1.1315040000000001</v>
      </c>
      <c r="L2443">
        <v>284.4914</v>
      </c>
      <c r="M2443">
        <v>-0.98428479999999996</v>
      </c>
      <c r="N2443">
        <v>-1.541467E-2</v>
      </c>
      <c r="O2443">
        <v>-0.17591409999999999</v>
      </c>
      <c r="P2443">
        <v>-0.81047840000000004</v>
      </c>
      <c r="Q2443">
        <v>0.13329050000000001</v>
      </c>
      <c r="R2443">
        <v>-0.57040210000000002</v>
      </c>
      <c r="S2443">
        <v>-2.338867</v>
      </c>
      <c r="T2443">
        <v>-0.32987919999999998</v>
      </c>
      <c r="U2443">
        <v>-2.021118</v>
      </c>
      <c r="V2443">
        <v>-0.42251100000000003</v>
      </c>
      <c r="W2443">
        <v>0.136443799999999</v>
      </c>
      <c r="X2443">
        <v>0.89602879999999996</v>
      </c>
      <c r="Y2443">
        <v>-0.50801260000000004</v>
      </c>
      <c r="Z2443">
        <v>-1.6739919999999998E-2</v>
      </c>
      <c r="AA2443">
        <v>0.86118700000000004</v>
      </c>
      <c r="AB2443">
        <v>32</v>
      </c>
      <c r="AC2443">
        <v>-0.54509999999999004</v>
      </c>
      <c r="AD2443">
        <v>-0.12135600000000001</v>
      </c>
      <c r="AE2443">
        <v>-0.67910000000000503</v>
      </c>
      <c r="AF2443">
        <v>-0.56169628342912903</v>
      </c>
      <c r="AG2443">
        <v>-0.12135600000000001</v>
      </c>
      <c r="AH2443">
        <v>0.64357588369593899</v>
      </c>
      <c r="AI2443">
        <v>98.085695451922405</v>
      </c>
      <c r="AJ2443">
        <v>131.11360940365799</v>
      </c>
      <c r="AK2443">
        <v>0.86279772347237005</v>
      </c>
      <c r="AL2443">
        <v>82.157884125095293</v>
      </c>
      <c r="AM2443">
        <v>115.245625917935</v>
      </c>
      <c r="AN2443">
        <v>1.0000000330544301</v>
      </c>
    </row>
    <row r="2444" spans="1:40" x14ac:dyDescent="0.25">
      <c r="A2444" t="str">
        <f>"20190303162827230"</f>
        <v>20190303162827230</v>
      </c>
      <c r="B2444" t="str">
        <f>"1551601707224430"</f>
        <v>1551601707224430</v>
      </c>
      <c r="C2444" t="s">
        <v>40</v>
      </c>
      <c r="D2444">
        <v>4.9101599999999896</v>
      </c>
      <c r="E2444">
        <v>0.45888859999999898</v>
      </c>
      <c r="F2444" t="s">
        <v>44</v>
      </c>
      <c r="G2444">
        <v>-472.6859</v>
      </c>
      <c r="H2444">
        <v>1.0151730000000001</v>
      </c>
      <c r="I2444">
        <v>283.76209999999998</v>
      </c>
      <c r="J2444">
        <v>-472.18619999999999</v>
      </c>
      <c r="K2444">
        <v>1.1315280000000001</v>
      </c>
      <c r="L2444">
        <v>284.42160000000001</v>
      </c>
      <c r="M2444">
        <v>-0.98197159999999994</v>
      </c>
      <c r="N2444">
        <v>-1.542846E-2</v>
      </c>
      <c r="O2444">
        <v>-0.1883978</v>
      </c>
      <c r="P2444">
        <v>-0.80143569999999997</v>
      </c>
      <c r="Q2444">
        <v>0.13351679999999999</v>
      </c>
      <c r="R2444">
        <v>-0.58298719999999904</v>
      </c>
      <c r="S2444">
        <v>-2.3096009999999998</v>
      </c>
      <c r="T2444">
        <v>-0.32756790000000002</v>
      </c>
      <c r="U2444">
        <v>-2.0543209999999998</v>
      </c>
      <c r="V2444">
        <v>-0.425151</v>
      </c>
      <c r="W2444">
        <v>0.13656559999999901</v>
      </c>
      <c r="X2444">
        <v>0.89476060000000002</v>
      </c>
      <c r="Y2444">
        <v>-0.50948379999999904</v>
      </c>
      <c r="Z2444">
        <v>-1.558205E-2</v>
      </c>
      <c r="AA2444">
        <v>0.86033919999999997</v>
      </c>
      <c r="AB2444">
        <v>32</v>
      </c>
      <c r="AC2444">
        <v>-0.49970000000001802</v>
      </c>
      <c r="AD2444">
        <v>-0.116355</v>
      </c>
      <c r="AE2444">
        <v>-0.65950000000003595</v>
      </c>
      <c r="AF2444">
        <v>-0.54280012357232499</v>
      </c>
      <c r="AG2444">
        <v>-0.116355</v>
      </c>
      <c r="AH2444">
        <v>0.60308696163577102</v>
      </c>
      <c r="AI2444">
        <v>98.160745364774399</v>
      </c>
      <c r="AJ2444">
        <v>131.988359773913</v>
      </c>
      <c r="AK2444">
        <v>0.81968551498132403</v>
      </c>
      <c r="AL2444">
        <v>82.150839562546807</v>
      </c>
      <c r="AM2444">
        <v>115.41501730319</v>
      </c>
      <c r="AN2444">
        <v>1.0000000336083501</v>
      </c>
    </row>
    <row r="2445" spans="1:40" x14ac:dyDescent="0.25">
      <c r="A2445" t="str">
        <f>"20190303162827251"</f>
        <v>20190303162827251</v>
      </c>
      <c r="B2445" t="str">
        <f>"1551601707243949"</f>
        <v>1551601707243949</v>
      </c>
      <c r="C2445" t="s">
        <v>40</v>
      </c>
      <c r="D2445">
        <v>5.0062199999999999</v>
      </c>
      <c r="E2445">
        <v>0.46033580000000002</v>
      </c>
      <c r="F2445" t="s">
        <v>44</v>
      </c>
      <c r="G2445">
        <v>-472.96949999999998</v>
      </c>
      <c r="H2445">
        <v>1.0522279999999999</v>
      </c>
      <c r="I2445">
        <v>283.7296</v>
      </c>
      <c r="J2445">
        <v>-472.49020000000002</v>
      </c>
      <c r="K2445">
        <v>1.1315390000000001</v>
      </c>
      <c r="L2445">
        <v>284.35149999999999</v>
      </c>
      <c r="M2445">
        <v>-0.9796224</v>
      </c>
      <c r="N2445">
        <v>-1.5439400000000001E-2</v>
      </c>
      <c r="O2445">
        <v>-0.20025419999999999</v>
      </c>
      <c r="P2445">
        <v>-0.79292869999999904</v>
      </c>
      <c r="Q2445">
        <v>0.132814299999999</v>
      </c>
      <c r="R2445">
        <v>-0.59466359999999996</v>
      </c>
      <c r="S2445">
        <v>-2.30246</v>
      </c>
      <c r="T2445">
        <v>-0.2330681</v>
      </c>
      <c r="U2445">
        <v>-2.0340880000000001</v>
      </c>
      <c r="V2445">
        <v>-0.42740919999999999</v>
      </c>
      <c r="W2445">
        <v>0.1357805</v>
      </c>
      <c r="X2445">
        <v>0.89380369999999998</v>
      </c>
      <c r="Y2445">
        <v>-0.49724940000000001</v>
      </c>
      <c r="Z2445">
        <v>-1.1716570000000001E-2</v>
      </c>
      <c r="AA2445">
        <v>0.86752859999999998</v>
      </c>
      <c r="AB2445">
        <v>32</v>
      </c>
      <c r="AC2445">
        <v>-0.47929999999996598</v>
      </c>
      <c r="AD2445">
        <v>-7.9310999999999604E-2</v>
      </c>
      <c r="AE2445">
        <v>-0.62189999999998202</v>
      </c>
      <c r="AF2445">
        <v>-0.50812193478616796</v>
      </c>
      <c r="AG2445">
        <v>-7.9310999999999604E-2</v>
      </c>
      <c r="AH2445">
        <v>0.58814087395395198</v>
      </c>
      <c r="AI2445">
        <v>95.826421310839095</v>
      </c>
      <c r="AJ2445">
        <v>130.825242790575</v>
      </c>
      <c r="AK2445">
        <v>0.78127320634151898</v>
      </c>
      <c r="AL2445">
        <v>82.196245256070995</v>
      </c>
      <c r="AM2445">
        <v>115.556723497853</v>
      </c>
      <c r="AN2445">
        <v>1.0000000112792899</v>
      </c>
    </row>
    <row r="2446" spans="1:40" x14ac:dyDescent="0.25">
      <c r="A2446" t="str">
        <f>"20190303162827273"</f>
        <v>20190303162827273</v>
      </c>
      <c r="B2446" t="str">
        <f>"1551601707264445"</f>
        <v>1551601707264445</v>
      </c>
      <c r="C2446" t="s">
        <v>40</v>
      </c>
      <c r="D2446">
        <v>4.8826150000000004</v>
      </c>
      <c r="E2446">
        <v>0.46107429999999999</v>
      </c>
      <c r="F2446" t="s">
        <v>44</v>
      </c>
      <c r="G2446">
        <v>-473.24310000000003</v>
      </c>
      <c r="H2446">
        <v>1.0503439999999999</v>
      </c>
      <c r="I2446">
        <v>283.67320000000001</v>
      </c>
      <c r="J2446">
        <v>-472.78480000000002</v>
      </c>
      <c r="K2446">
        <v>1.1315379999999999</v>
      </c>
      <c r="L2446">
        <v>284.2799</v>
      </c>
      <c r="M2446">
        <v>-0.97720119999999999</v>
      </c>
      <c r="N2446">
        <v>-1.5448099999999999E-2</v>
      </c>
      <c r="O2446">
        <v>-0.21175279999999999</v>
      </c>
      <c r="P2446">
        <v>-0.78529069999999901</v>
      </c>
      <c r="Q2446">
        <v>0.1314525</v>
      </c>
      <c r="R2446">
        <v>-0.60501159999999998</v>
      </c>
      <c r="S2446">
        <v>-2.2823180000000001</v>
      </c>
      <c r="T2446">
        <v>-0.2460619</v>
      </c>
      <c r="U2446">
        <v>-2.0566409999999999</v>
      </c>
      <c r="V2446">
        <v>-0.42854979999999998</v>
      </c>
      <c r="W2446">
        <v>0.13438050000000001</v>
      </c>
      <c r="X2446">
        <v>0.89346899999999996</v>
      </c>
      <c r="Y2446">
        <v>-0.49550430000000001</v>
      </c>
      <c r="Z2446">
        <v>-1.1071839999999999E-2</v>
      </c>
      <c r="AA2446">
        <v>0.8685349</v>
      </c>
      <c r="AB2446">
        <v>32</v>
      </c>
      <c r="AC2446">
        <v>-0.45830000000000798</v>
      </c>
      <c r="AD2446">
        <v>-8.1193999999999905E-2</v>
      </c>
      <c r="AE2446">
        <v>-0.60669999999998903</v>
      </c>
      <c r="AF2446">
        <v>-0.49028993553134897</v>
      </c>
      <c r="AG2446">
        <v>-8.1193999999999905E-2</v>
      </c>
      <c r="AH2446">
        <v>0.56989189577736898</v>
      </c>
      <c r="AI2446">
        <v>96.164250914661295</v>
      </c>
      <c r="AJ2446">
        <v>130.706100134689</v>
      </c>
      <c r="AK2446">
        <v>0.75614380867137798</v>
      </c>
      <c r="AL2446">
        <v>82.277200884967797</v>
      </c>
      <c r="AM2446">
        <v>115.62456937046301</v>
      </c>
      <c r="AN2446">
        <v>0.99999995191064295</v>
      </c>
    </row>
    <row r="2447" spans="1:40" x14ac:dyDescent="0.25">
      <c r="A2447" t="str">
        <f>"20190303162827287"</f>
        <v>20190303162827287</v>
      </c>
      <c r="B2447" t="str">
        <f>"1551601707274206"</f>
        <v>1551601707274206</v>
      </c>
      <c r="C2447" t="s">
        <v>40</v>
      </c>
      <c r="D2447">
        <v>5.0050299999999996</v>
      </c>
      <c r="E2447">
        <v>0.46209119999999998</v>
      </c>
      <c r="F2447" t="s">
        <v>44</v>
      </c>
      <c r="G2447">
        <v>-473.5136</v>
      </c>
      <c r="H2447">
        <v>1.0501290000000001</v>
      </c>
      <c r="I2447">
        <v>283.60849999999999</v>
      </c>
      <c r="J2447">
        <v>-472.98390000000001</v>
      </c>
      <c r="K2447">
        <v>1.131534</v>
      </c>
      <c r="L2447">
        <v>284.2296</v>
      </c>
      <c r="M2447">
        <v>-0.97548520000000005</v>
      </c>
      <c r="N2447">
        <v>-1.545293E-2</v>
      </c>
      <c r="O2447">
        <v>-0.21952199999999999</v>
      </c>
      <c r="P2447">
        <v>-0.77995780000000003</v>
      </c>
      <c r="Q2447">
        <v>0.13111049999999999</v>
      </c>
      <c r="R2447">
        <v>-0.61194409999999999</v>
      </c>
      <c r="S2447">
        <v>-2.2593990000000002</v>
      </c>
      <c r="T2447">
        <v>-0.25241330000000001</v>
      </c>
      <c r="U2447">
        <v>-2.0808110000000002</v>
      </c>
      <c r="V2447">
        <v>-0.42933519999999997</v>
      </c>
      <c r="W2447">
        <v>0.13401669999999999</v>
      </c>
      <c r="X2447">
        <v>0.89314660000000001</v>
      </c>
      <c r="Y2447">
        <v>-0.49795440000000002</v>
      </c>
      <c r="Z2447">
        <v>-1.0754430000000001E-2</v>
      </c>
      <c r="AA2447">
        <v>0.86713649999999998</v>
      </c>
      <c r="AB2447">
        <v>32</v>
      </c>
      <c r="AC2447">
        <v>-0.52969999999999096</v>
      </c>
      <c r="AD2447">
        <v>-8.1404999999999894E-2</v>
      </c>
      <c r="AE2447">
        <v>-0.62110000000001198</v>
      </c>
      <c r="AF2447">
        <v>-0.48482990454292602</v>
      </c>
      <c r="AG2447">
        <v>-8.1404999999999894E-2</v>
      </c>
      <c r="AH2447">
        <v>0.64670614233855594</v>
      </c>
      <c r="AI2447">
        <v>95.751207611112704</v>
      </c>
      <c r="AJ2447">
        <v>126.858572524461</v>
      </c>
      <c r="AK2447">
        <v>0.81235192183100002</v>
      </c>
      <c r="AL2447">
        <v>82.298235882380894</v>
      </c>
      <c r="AM2447">
        <v>115.673574362464</v>
      </c>
      <c r="AN2447">
        <v>1.00000001946474</v>
      </c>
    </row>
    <row r="2448" spans="1:40" x14ac:dyDescent="0.25">
      <c r="A2448" t="str">
        <f>"20190303162827307"</f>
        <v>20190303162827307</v>
      </c>
      <c r="B2448" t="str">
        <f>"1551601707294701"</f>
        <v>1551601707294701</v>
      </c>
      <c r="C2448" t="s">
        <v>40</v>
      </c>
      <c r="D2448">
        <v>4.8352399999999998</v>
      </c>
      <c r="E2448">
        <v>0.46338699999999999</v>
      </c>
      <c r="F2448" t="s">
        <v>44</v>
      </c>
      <c r="G2448">
        <v>-473.7647</v>
      </c>
      <c r="H2448">
        <v>1.0395650000000001</v>
      </c>
      <c r="I2448">
        <v>283.50220000000002</v>
      </c>
      <c r="J2448">
        <v>-473.24430000000001</v>
      </c>
      <c r="K2448">
        <v>1.1315189999999999</v>
      </c>
      <c r="L2448">
        <v>284.161</v>
      </c>
      <c r="M2448">
        <v>-0.97314350000000005</v>
      </c>
      <c r="N2448">
        <v>-1.5457719999999999E-2</v>
      </c>
      <c r="O2448">
        <v>-0.22967940000000001</v>
      </c>
      <c r="P2448">
        <v>-0.77253130000000003</v>
      </c>
      <c r="Q2448">
        <v>0.12920509999999999</v>
      </c>
      <c r="R2448">
        <v>-0.62169249999999998</v>
      </c>
      <c r="S2448">
        <v>-2.247528</v>
      </c>
      <c r="T2448">
        <v>-0.26472459999999998</v>
      </c>
      <c r="U2448">
        <v>-2.094452</v>
      </c>
      <c r="V2448">
        <v>-0.43112119999999998</v>
      </c>
      <c r="W2448">
        <v>0.13206770000000001</v>
      </c>
      <c r="X2448">
        <v>0.89257640000000005</v>
      </c>
      <c r="Y2448">
        <v>-0.49394359999999998</v>
      </c>
      <c r="Z2448">
        <v>-9.8935199999999994E-3</v>
      </c>
      <c r="AA2448">
        <v>0.86943769999999998</v>
      </c>
      <c r="AB2448">
        <v>32</v>
      </c>
      <c r="AC2448">
        <v>-0.52039999999999498</v>
      </c>
      <c r="AD2448">
        <v>-9.19539999999998E-2</v>
      </c>
      <c r="AE2448">
        <v>-0.65879999999998495</v>
      </c>
      <c r="AF2448">
        <v>-0.51546042245024803</v>
      </c>
      <c r="AG2448">
        <v>-9.19539999999998E-2</v>
      </c>
      <c r="AH2448">
        <v>0.65001737800977599</v>
      </c>
      <c r="AI2448">
        <v>96.324989067592298</v>
      </c>
      <c r="AJ2448">
        <v>128.41423493531701</v>
      </c>
      <c r="AK2448">
        <v>0.83467213739485302</v>
      </c>
      <c r="AL2448">
        <v>82.410906814649096</v>
      </c>
      <c r="AM2448">
        <v>115.780896483427</v>
      </c>
      <c r="AN2448">
        <v>0.99999999815484497</v>
      </c>
    </row>
    <row r="2449" spans="1:40" x14ac:dyDescent="0.25">
      <c r="A2449" t="str">
        <f>"20190303162827329"</f>
        <v>20190303162827329</v>
      </c>
      <c r="B2449" t="str">
        <f>"1551601707323981"</f>
        <v>1551601707323981</v>
      </c>
      <c r="C2449" t="s">
        <v>40</v>
      </c>
      <c r="D2449">
        <v>4.7118370000000001</v>
      </c>
      <c r="E2449">
        <v>0.46508240000000001</v>
      </c>
      <c r="F2449" t="s">
        <v>44</v>
      </c>
      <c r="G2449">
        <v>-474.0265</v>
      </c>
      <c r="H2449">
        <v>1.036</v>
      </c>
      <c r="I2449">
        <v>283.41890000000001</v>
      </c>
      <c r="J2449">
        <v>-473.55450000000002</v>
      </c>
      <c r="K2449">
        <v>1.1314850000000001</v>
      </c>
      <c r="L2449">
        <v>284.0754</v>
      </c>
      <c r="M2449">
        <v>-0.97021159999999995</v>
      </c>
      <c r="N2449">
        <v>-1.546092E-2</v>
      </c>
      <c r="O2449">
        <v>-0.24176510000000001</v>
      </c>
      <c r="P2449">
        <v>-0.76332250000000001</v>
      </c>
      <c r="Q2449">
        <v>0.12775739999999999</v>
      </c>
      <c r="R2449">
        <v>-0.63325919999999902</v>
      </c>
      <c r="S2449">
        <v>-2.2279659999999999</v>
      </c>
      <c r="T2449">
        <v>-0.27206609999999998</v>
      </c>
      <c r="U2449">
        <v>-2.1135250000000001</v>
      </c>
      <c r="V2449">
        <v>-0.43336560000000002</v>
      </c>
      <c r="W2449">
        <v>0.13057299999999999</v>
      </c>
      <c r="X2449">
        <v>0.89170899999999997</v>
      </c>
      <c r="Y2449">
        <v>-0.49083520000000003</v>
      </c>
      <c r="Z2449">
        <v>-8.8057250000000004E-3</v>
      </c>
      <c r="AA2449">
        <v>0.87120789999999904</v>
      </c>
      <c r="AB2449">
        <v>32</v>
      </c>
      <c r="AC2449">
        <v>-0.47199999999997899</v>
      </c>
      <c r="AD2449">
        <v>-9.5485E-2</v>
      </c>
      <c r="AE2449">
        <v>-0.65649999999999398</v>
      </c>
      <c r="AF2449">
        <v>-0.51570146860918298</v>
      </c>
      <c r="AG2449">
        <v>-9.5485E-2</v>
      </c>
      <c r="AH2449">
        <v>0.60824990703973303</v>
      </c>
      <c r="AI2449">
        <v>96.828025828395397</v>
      </c>
      <c r="AJ2449">
        <v>130.29276868197701</v>
      </c>
      <c r="AK2449">
        <v>0.80313967612396797</v>
      </c>
      <c r="AL2449">
        <v>82.497294932292803</v>
      </c>
      <c r="AM2449">
        <v>115.919493369023</v>
      </c>
      <c r="AN2449">
        <v>0.99999999613668</v>
      </c>
    </row>
    <row r="2450" spans="1:40" x14ac:dyDescent="0.25">
      <c r="A2450" t="str">
        <f>"20190303162827351"</f>
        <v>20190303162827351</v>
      </c>
      <c r="B2450" t="str">
        <f>"1551601707343501"</f>
        <v>1551601707343501</v>
      </c>
      <c r="C2450" t="s">
        <v>40</v>
      </c>
      <c r="D2450">
        <v>4.8009589999999998</v>
      </c>
      <c r="E2450">
        <v>0.46597739999999999</v>
      </c>
      <c r="F2450" t="s">
        <v>44</v>
      </c>
      <c r="G2450">
        <v>-474.29820000000001</v>
      </c>
      <c r="H2450">
        <v>1.0379309999999999</v>
      </c>
      <c r="I2450">
        <v>283.3553</v>
      </c>
      <c r="J2450">
        <v>-473.84780000000001</v>
      </c>
      <c r="K2450">
        <v>1.1314439999999999</v>
      </c>
      <c r="L2450">
        <v>283.9907</v>
      </c>
      <c r="M2450">
        <v>-0.96729900000000002</v>
      </c>
      <c r="N2450">
        <v>-1.546142E-2</v>
      </c>
      <c r="O2450">
        <v>-0.25316699999999998</v>
      </c>
      <c r="P2450">
        <v>-0.75502040000000004</v>
      </c>
      <c r="Q2450">
        <v>0.1264353</v>
      </c>
      <c r="R2450">
        <v>-0.64339639999999998</v>
      </c>
      <c r="S2450">
        <v>-2.205139</v>
      </c>
      <c r="T2450">
        <v>-0.2773678</v>
      </c>
      <c r="U2450">
        <v>-2.1353149999999999</v>
      </c>
      <c r="V2450">
        <v>-0.4346814</v>
      </c>
      <c r="W2450">
        <v>0.129244</v>
      </c>
      <c r="X2450">
        <v>0.89126209999999995</v>
      </c>
      <c r="Y2450">
        <v>-0.4895196</v>
      </c>
      <c r="Z2450">
        <v>-7.8125469999999995E-3</v>
      </c>
      <c r="AA2450">
        <v>0.87195730000000005</v>
      </c>
      <c r="AB2450">
        <v>32</v>
      </c>
      <c r="AC2450">
        <v>-0.45040000000000102</v>
      </c>
      <c r="AD2450">
        <v>-9.3513000000000096E-2</v>
      </c>
      <c r="AE2450">
        <v>-0.63540000000000396</v>
      </c>
      <c r="AF2450">
        <v>-0.49354032513774398</v>
      </c>
      <c r="AG2450">
        <v>-9.3513000000000096E-2</v>
      </c>
      <c r="AH2450">
        <v>0.588126649516719</v>
      </c>
      <c r="AI2450">
        <v>96.944293415803003</v>
      </c>
      <c r="AJ2450">
        <v>130.00248506620699</v>
      </c>
      <c r="AK2450">
        <v>0.77344663007723602</v>
      </c>
      <c r="AL2450">
        <v>82.574092067446102</v>
      </c>
      <c r="AM2450">
        <v>115.99916019033201</v>
      </c>
      <c r="AN2450">
        <v>1.0000000309691801</v>
      </c>
    </row>
    <row r="2451" spans="1:40" x14ac:dyDescent="0.25">
      <c r="A2451" t="str">
        <f>"20190303162827373"</f>
        <v>20190303162827373</v>
      </c>
      <c r="B2451" t="str">
        <f>"1551601707363997"</f>
        <v>1551601707363997</v>
      </c>
      <c r="C2451" t="s">
        <v>40</v>
      </c>
      <c r="D2451">
        <v>4.7943319999999998</v>
      </c>
      <c r="E2451">
        <v>0.46689180000000002</v>
      </c>
      <c r="F2451" t="s">
        <v>44</v>
      </c>
      <c r="G2451">
        <v>-474.5652</v>
      </c>
      <c r="H2451">
        <v>1.039183</v>
      </c>
      <c r="I2451">
        <v>283.28120000000001</v>
      </c>
      <c r="J2451">
        <v>-474.14269999999999</v>
      </c>
      <c r="K2451">
        <v>1.1313869999999999</v>
      </c>
      <c r="L2451">
        <v>283.90179999999998</v>
      </c>
      <c r="M2451">
        <v>-0.96423360000000002</v>
      </c>
      <c r="N2451">
        <v>-1.545989E-2</v>
      </c>
      <c r="O2451">
        <v>-0.26460270000000002</v>
      </c>
      <c r="P2451">
        <v>-0.7465543</v>
      </c>
      <c r="Q2451">
        <v>0.12516440000000001</v>
      </c>
      <c r="R2451">
        <v>-0.65344550000000001</v>
      </c>
      <c r="S2451">
        <v>-2.181549</v>
      </c>
      <c r="T2451">
        <v>-0.28053060000000002</v>
      </c>
      <c r="U2451">
        <v>-2.1578059999999999</v>
      </c>
      <c r="V2451">
        <v>-0.43595899999999999</v>
      </c>
      <c r="W2451">
        <v>0.1279758</v>
      </c>
      <c r="X2451">
        <v>0.89082090000000003</v>
      </c>
      <c r="Y2451">
        <v>-0.48846250000000002</v>
      </c>
      <c r="Z2451">
        <v>-6.7920619999999998E-3</v>
      </c>
      <c r="AA2451">
        <v>0.87255839999999996</v>
      </c>
      <c r="AB2451">
        <v>32</v>
      </c>
      <c r="AC2451">
        <v>-0.42250000000001298</v>
      </c>
      <c r="AD2451">
        <v>-9.2204000000000105E-2</v>
      </c>
      <c r="AE2451">
        <v>-0.62059999999996696</v>
      </c>
      <c r="AF2451">
        <v>-0.47943552942790602</v>
      </c>
      <c r="AG2451">
        <v>-9.2204000000000105E-2</v>
      </c>
      <c r="AH2451">
        <v>0.56317503873341901</v>
      </c>
      <c r="AI2451">
        <v>97.106146114932002</v>
      </c>
      <c r="AJ2451">
        <v>130.40802340139101</v>
      </c>
      <c r="AK2451">
        <v>0.745336252134703</v>
      </c>
      <c r="AL2451">
        <v>82.647362590178304</v>
      </c>
      <c r="AM2451">
        <v>116.076671951929</v>
      </c>
      <c r="AN2451">
        <v>0.99999996547172398</v>
      </c>
    </row>
    <row r="2452" spans="1:40" x14ac:dyDescent="0.25">
      <c r="A2452" t="str">
        <f>"20190303162827387"</f>
        <v>20190303162827387</v>
      </c>
      <c r="B2452" t="str">
        <f>"1551601707383517"</f>
        <v>1551601707383517</v>
      </c>
      <c r="C2452" t="s">
        <v>40</v>
      </c>
      <c r="D2452">
        <v>4.9417039999999997</v>
      </c>
      <c r="E2452">
        <v>0.46702300000000002</v>
      </c>
      <c r="F2452" t="s">
        <v>44</v>
      </c>
      <c r="G2452">
        <v>-474.83190000000002</v>
      </c>
      <c r="H2452">
        <v>1.0404119999999999</v>
      </c>
      <c r="I2452">
        <v>283.2054</v>
      </c>
      <c r="J2452">
        <v>-474.32670000000002</v>
      </c>
      <c r="K2452">
        <v>1.131354</v>
      </c>
      <c r="L2452">
        <v>283.84449999999998</v>
      </c>
      <c r="M2452">
        <v>-0.96225320000000003</v>
      </c>
      <c r="N2452">
        <v>-1.545824E-2</v>
      </c>
      <c r="O2452">
        <v>-0.27171669999999998</v>
      </c>
      <c r="P2452">
        <v>-0.74152929999999995</v>
      </c>
      <c r="Q2452">
        <v>0.12508330000000001</v>
      </c>
      <c r="R2452">
        <v>-0.65915789999999996</v>
      </c>
      <c r="S2452">
        <v>-2.1575929999999999</v>
      </c>
      <c r="T2452">
        <v>-0.28478880000000001</v>
      </c>
      <c r="U2452">
        <v>-2.1805729999999999</v>
      </c>
      <c r="V2452">
        <v>-0.43620399999999998</v>
      </c>
      <c r="W2452">
        <v>0.12791710000000001</v>
      </c>
      <c r="X2452">
        <v>0.89070939999999998</v>
      </c>
      <c r="Y2452">
        <v>-0.4913806</v>
      </c>
      <c r="Z2452">
        <v>-6.3536469999999996E-3</v>
      </c>
      <c r="AA2452">
        <v>0.87092179999999997</v>
      </c>
      <c r="AB2452">
        <v>32</v>
      </c>
      <c r="AC2452">
        <v>-0.50520000000000198</v>
      </c>
      <c r="AD2452">
        <v>-9.0941999999999995E-2</v>
      </c>
      <c r="AE2452">
        <v>-0.63909999999998401</v>
      </c>
      <c r="AF2452">
        <v>-0.47188140853351701</v>
      </c>
      <c r="AG2452">
        <v>-9.0941999999999995E-2</v>
      </c>
      <c r="AH2452">
        <v>0.65174152969800703</v>
      </c>
      <c r="AI2452">
        <v>96.448349883787699</v>
      </c>
      <c r="AJ2452">
        <v>125.90572316314299</v>
      </c>
      <c r="AK2452">
        <v>0.80975893487918604</v>
      </c>
      <c r="AL2452">
        <v>82.6507537919817</v>
      </c>
      <c r="AM2452">
        <v>116.09221640347999</v>
      </c>
      <c r="AN2452">
        <v>0.99999997466838397</v>
      </c>
    </row>
    <row r="2453" spans="1:40" x14ac:dyDescent="0.25">
      <c r="A2453" t="str">
        <f>"20190303162827400"</f>
        <v>20190303162827400</v>
      </c>
      <c r="B2453" t="str">
        <f>"1551601707394254"</f>
        <v>1551601707394254</v>
      </c>
      <c r="C2453" t="s">
        <v>40</v>
      </c>
      <c r="D2453">
        <v>4.7202640000000002</v>
      </c>
      <c r="E2453">
        <v>0.44033549999999999</v>
      </c>
      <c r="F2453" t="s">
        <v>44</v>
      </c>
      <c r="G2453">
        <v>-475.07220000000001</v>
      </c>
      <c r="H2453">
        <v>1.0326770000000001</v>
      </c>
      <c r="I2453">
        <v>283.07979999999998</v>
      </c>
      <c r="J2453">
        <v>-474.50099999999998</v>
      </c>
      <c r="K2453">
        <v>1.1313230000000001</v>
      </c>
      <c r="L2453">
        <v>283.78890000000001</v>
      </c>
      <c r="M2453">
        <v>-0.96032799999999996</v>
      </c>
      <c r="N2453">
        <v>-1.545593E-2</v>
      </c>
      <c r="O2453">
        <v>-0.27844469999999999</v>
      </c>
      <c r="P2453">
        <v>-0.73679030000000001</v>
      </c>
      <c r="Q2453">
        <v>0.12492640000000001</v>
      </c>
      <c r="R2453">
        <v>-0.66448030000000002</v>
      </c>
      <c r="S2453">
        <v>-2.1414490000000002</v>
      </c>
      <c r="T2453">
        <v>-0.2834584</v>
      </c>
      <c r="U2453">
        <v>-2.1960139999999999</v>
      </c>
      <c r="V2453">
        <v>-0.43636350000000002</v>
      </c>
      <c r="W2453">
        <v>0.1277857</v>
      </c>
      <c r="X2453">
        <v>0.89065019999999995</v>
      </c>
      <c r="Y2453">
        <v>-0.49165930000000002</v>
      </c>
      <c r="Z2453">
        <v>-5.8067739999999998E-3</v>
      </c>
      <c r="AA2453">
        <v>0.87076819999999899</v>
      </c>
      <c r="AB2453">
        <v>32</v>
      </c>
      <c r="AC2453">
        <v>-0.57120000000003202</v>
      </c>
      <c r="AD2453">
        <v>-9.8645999999999803E-2</v>
      </c>
      <c r="AE2453">
        <v>-0.70910000000003404</v>
      </c>
      <c r="AF2453">
        <v>-0.51592783865214498</v>
      </c>
      <c r="AG2453">
        <v>-9.8645999999999803E-2</v>
      </c>
      <c r="AH2453">
        <v>0.73741847198014598</v>
      </c>
      <c r="AI2453">
        <v>96.255154980506902</v>
      </c>
      <c r="AJ2453">
        <v>124.978194347258</v>
      </c>
      <c r="AK2453">
        <v>0.90537206209922805</v>
      </c>
      <c r="AL2453">
        <v>82.658345192145802</v>
      </c>
      <c r="AM2453">
        <v>116.101995726236</v>
      </c>
      <c r="AN2453">
        <v>1.0000000340083799</v>
      </c>
    </row>
    <row r="2454" spans="1:40" x14ac:dyDescent="0.25">
      <c r="A2454" t="str">
        <f>"20190303162827413"</f>
        <v>20190303162827413</v>
      </c>
      <c r="B2454" t="str">
        <f>"1551601707404014"</f>
        <v>1551601707404014</v>
      </c>
      <c r="C2454" t="s">
        <v>40</v>
      </c>
      <c r="D2454">
        <v>4.717231</v>
      </c>
      <c r="E2454">
        <v>0.44033549999999999</v>
      </c>
      <c r="F2454" t="s">
        <v>44</v>
      </c>
      <c r="G2454">
        <v>-475.0797</v>
      </c>
      <c r="H2454">
        <v>1.0770470000000001</v>
      </c>
      <c r="I2454">
        <v>283.09300000000002</v>
      </c>
      <c r="J2454">
        <v>-474.66969999999998</v>
      </c>
      <c r="K2454">
        <v>1.1312960000000001</v>
      </c>
      <c r="L2454">
        <v>283.73340000000002</v>
      </c>
      <c r="M2454">
        <v>-0.95841980000000004</v>
      </c>
      <c r="N2454">
        <v>-1.54529E-2</v>
      </c>
      <c r="O2454">
        <v>-0.28494340000000001</v>
      </c>
      <c r="P2454">
        <v>-0.73223689999999997</v>
      </c>
      <c r="Q2454">
        <v>0.12504970000000001</v>
      </c>
      <c r="R2454">
        <v>-0.66947159999999994</v>
      </c>
      <c r="S2454">
        <v>-1.9687190000000001</v>
      </c>
      <c r="T2454">
        <v>-0.184643</v>
      </c>
      <c r="U2454">
        <v>-2.3665769999999999</v>
      </c>
      <c r="V2454">
        <v>-0.43638199999999999</v>
      </c>
      <c r="W2454">
        <v>0.12793840000000001</v>
      </c>
      <c r="X2454">
        <v>0.89061919999999895</v>
      </c>
      <c r="Y2454">
        <v>-0.55371419999999905</v>
      </c>
      <c r="Z2454">
        <v>-9.161308E-3</v>
      </c>
      <c r="AA2454">
        <v>0.83265639999999996</v>
      </c>
      <c r="AB2454">
        <v>32</v>
      </c>
      <c r="AC2454">
        <v>-0.41000000000002501</v>
      </c>
      <c r="AD2454">
        <v>-5.4248999999999901E-2</v>
      </c>
      <c r="AE2454">
        <v>-0.64039999999999897</v>
      </c>
      <c r="AF2454">
        <v>-0.49448776039831599</v>
      </c>
      <c r="AG2454">
        <v>-5.4248999999999901E-2</v>
      </c>
      <c r="AH2454">
        <v>0.57258426494922199</v>
      </c>
      <c r="AI2454">
        <v>94.101407481887904</v>
      </c>
      <c r="AJ2454">
        <v>130.814119123507</v>
      </c>
      <c r="AK2454">
        <v>0.75849445591394005</v>
      </c>
      <c r="AL2454">
        <v>82.649523629427506</v>
      </c>
      <c r="AM2454">
        <v>116.103743418245</v>
      </c>
      <c r="AN2454">
        <v>1.00000002176359</v>
      </c>
    </row>
    <row r="2455" spans="1:40" x14ac:dyDescent="0.25">
      <c r="A2455" t="str">
        <f>"20190303162827429"</f>
        <v>20190303162827429</v>
      </c>
      <c r="B2455" t="str">
        <f>"1551601707423534"</f>
        <v>1551601707423534</v>
      </c>
      <c r="C2455" t="s">
        <v>40</v>
      </c>
      <c r="D2455">
        <v>4.7741579999999999</v>
      </c>
      <c r="E2455">
        <v>0.37834240000000002</v>
      </c>
      <c r="F2455" t="s">
        <v>44</v>
      </c>
      <c r="G2455">
        <v>-475.3109</v>
      </c>
      <c r="H2455">
        <v>1.070897</v>
      </c>
      <c r="I2455">
        <v>282.95179999999999</v>
      </c>
      <c r="J2455">
        <v>-474.87279999999998</v>
      </c>
      <c r="K2455">
        <v>1.131259</v>
      </c>
      <c r="L2455">
        <v>283.6653</v>
      </c>
      <c r="M2455">
        <v>-0.95606259999999998</v>
      </c>
      <c r="N2455">
        <v>-1.5448979999999999E-2</v>
      </c>
      <c r="O2455">
        <v>-0.29275499999999999</v>
      </c>
      <c r="P2455">
        <v>-0.72718669999999996</v>
      </c>
      <c r="Q2455">
        <v>0.12500020000000001</v>
      </c>
      <c r="R2455">
        <v>-0.67496279999999997</v>
      </c>
      <c r="S2455">
        <v>-1.952118</v>
      </c>
      <c r="T2455">
        <v>-0.18387290000000001</v>
      </c>
      <c r="U2455">
        <v>-2.380341</v>
      </c>
      <c r="V2455">
        <v>-0.4357994</v>
      </c>
      <c r="W2455">
        <v>0.12794410000000001</v>
      </c>
      <c r="X2455">
        <v>0.89090360000000002</v>
      </c>
      <c r="Y2455">
        <v>-0.55277030000000005</v>
      </c>
      <c r="Z2455">
        <v>-8.7141660000000006E-3</v>
      </c>
      <c r="AA2455">
        <v>0.83328809999999998</v>
      </c>
      <c r="AB2455">
        <v>32</v>
      </c>
      <c r="AC2455">
        <v>-0.43810000000001897</v>
      </c>
      <c r="AD2455">
        <v>-6.0361999999999999E-2</v>
      </c>
      <c r="AE2455">
        <v>-0.71350000000001002</v>
      </c>
      <c r="AF2455">
        <v>-0.55109648611203599</v>
      </c>
      <c r="AG2455">
        <v>-6.0361999999999999E-2</v>
      </c>
      <c r="AH2455">
        <v>0.62456048779347895</v>
      </c>
      <c r="AI2455">
        <v>94.1449170105939</v>
      </c>
      <c r="AJ2455">
        <v>131.424372408382</v>
      </c>
      <c r="AK2455">
        <v>0.83512077627242798</v>
      </c>
      <c r="AL2455">
        <v>82.6491943030302</v>
      </c>
      <c r="AM2455">
        <v>116.066290204102</v>
      </c>
      <c r="AN2455">
        <v>1.0000000171290599</v>
      </c>
    </row>
    <row r="2456" spans="1:40" x14ac:dyDescent="0.25">
      <c r="A2456" t="str">
        <f>"20190303162827445"</f>
        <v>20190303162827445</v>
      </c>
      <c r="B2456" t="str">
        <f>"1551601707434269"</f>
        <v>1551601707434269</v>
      </c>
      <c r="C2456" t="s">
        <v>40</v>
      </c>
      <c r="D2456">
        <v>4.8170449999999896</v>
      </c>
      <c r="E2456">
        <v>0.3727067</v>
      </c>
      <c r="F2456" t="s">
        <v>47</v>
      </c>
      <c r="G2456">
        <v>-480.81830000000002</v>
      </c>
      <c r="H2456" s="1">
        <v>6.8107910000000003E-7</v>
      </c>
      <c r="I2456">
        <v>273.48360000000002</v>
      </c>
      <c r="J2456">
        <v>-475.0752</v>
      </c>
      <c r="K2456">
        <v>1.1312260000000001</v>
      </c>
      <c r="L2456">
        <v>283.5958</v>
      </c>
      <c r="M2456">
        <v>-0.95365049999999996</v>
      </c>
      <c r="N2456">
        <v>-1.544476E-2</v>
      </c>
      <c r="O2456">
        <v>-0.30052030000000002</v>
      </c>
      <c r="P2456">
        <v>-0.72263319999999998</v>
      </c>
      <c r="Q2456">
        <v>0.1248571</v>
      </c>
      <c r="R2456">
        <v>-0.67986199999999997</v>
      </c>
      <c r="S2456">
        <v>-1.6135250000000001</v>
      </c>
      <c r="T2456">
        <v>-0.30700840000000001</v>
      </c>
      <c r="U2456">
        <v>-2.7631839999999999</v>
      </c>
      <c r="V2456">
        <v>-0.4345504</v>
      </c>
      <c r="W2456">
        <v>0.1278764</v>
      </c>
      <c r="X2456">
        <v>0.89152319999999996</v>
      </c>
      <c r="Y2456">
        <v>-0.66965369999999902</v>
      </c>
      <c r="Z2456">
        <v>-1.6636379999999999E-2</v>
      </c>
      <c r="AA2456">
        <v>0.74248709999999996</v>
      </c>
      <c r="AB2456">
        <v>32</v>
      </c>
      <c r="AC2456">
        <v>-5.7431000000000196</v>
      </c>
      <c r="AD2456">
        <v>-1.1312253189208901</v>
      </c>
      <c r="AE2456">
        <v>-10.1121999999999</v>
      </c>
      <c r="AF2456">
        <v>-7.8443052296366904</v>
      </c>
      <c r="AG2456">
        <v>-1.1312253189208901</v>
      </c>
      <c r="AH2456">
        <v>8.4370132850228394</v>
      </c>
      <c r="AI2456">
        <v>95.608148969305404</v>
      </c>
      <c r="AJ2456">
        <v>132.915114792613</v>
      </c>
      <c r="AK2456">
        <v>11.5756636280398</v>
      </c>
      <c r="AL2456">
        <v>82.653105374639196</v>
      </c>
      <c r="AM2456">
        <v>115.98574608944401</v>
      </c>
      <c r="AN2456">
        <v>1.00000001997768</v>
      </c>
    </row>
    <row r="2457" spans="1:40" x14ac:dyDescent="0.25">
      <c r="A2457" t="str">
        <f>"20190303162827464"</f>
        <v>20190303162827464</v>
      </c>
      <c r="B2457" t="str">
        <f>"1551601707453790"</f>
        <v>1551601707453790</v>
      </c>
      <c r="C2457" t="s">
        <v>40</v>
      </c>
      <c r="D2457">
        <v>4.4141209999999997</v>
      </c>
      <c r="E2457">
        <v>0.36211450000000001</v>
      </c>
      <c r="F2457" t="s">
        <v>47</v>
      </c>
      <c r="G2457">
        <v>-480.77809999999999</v>
      </c>
      <c r="H2457" s="1">
        <v>6.5928460000000002E-7</v>
      </c>
      <c r="I2457">
        <v>273.35980000000001</v>
      </c>
      <c r="J2457">
        <v>-475.33429999999998</v>
      </c>
      <c r="K2457">
        <v>1.1311789999999999</v>
      </c>
      <c r="L2457">
        <v>283.50380000000001</v>
      </c>
      <c r="M2457">
        <v>-0.95046569999999997</v>
      </c>
      <c r="N2457">
        <v>-1.543921E-2</v>
      </c>
      <c r="O2457">
        <v>-0.31044549999999999</v>
      </c>
      <c r="P2457">
        <v>-0.71676499999999999</v>
      </c>
      <c r="Q2457">
        <v>0.12518760000000001</v>
      </c>
      <c r="R2457">
        <v>-0.68598530000000002</v>
      </c>
      <c r="S2457">
        <v>-1.5640259999999999</v>
      </c>
      <c r="T2457">
        <v>-0.3102393</v>
      </c>
      <c r="U2457">
        <v>-2.80722</v>
      </c>
      <c r="V2457">
        <v>-0.43284990000000001</v>
      </c>
      <c r="W2457">
        <v>0.12830159999999999</v>
      </c>
      <c r="X2457">
        <v>0.892288999999999</v>
      </c>
      <c r="Y2457">
        <v>-0.67685260000000003</v>
      </c>
      <c r="Z2457">
        <v>-1.6326480000000001E-2</v>
      </c>
      <c r="AA2457">
        <v>0.73593750000000002</v>
      </c>
      <c r="AB2457">
        <v>32</v>
      </c>
      <c r="AC2457">
        <v>-5.4438000000000004</v>
      </c>
      <c r="AD2457">
        <v>-1.1311783407153999</v>
      </c>
      <c r="AE2457">
        <v>-10.144</v>
      </c>
      <c r="AF2457">
        <v>-7.8764265385797998</v>
      </c>
      <c r="AG2457">
        <v>-1.1311783407153999</v>
      </c>
      <c r="AH2457">
        <v>8.2446988902914207</v>
      </c>
      <c r="AI2457">
        <v>95.665540614224</v>
      </c>
      <c r="AJ2457">
        <v>133.69135797824001</v>
      </c>
      <c r="AK2457">
        <v>11.458303506528299</v>
      </c>
      <c r="AL2457">
        <v>82.628540700828296</v>
      </c>
      <c r="AM2457">
        <v>115.878049840572</v>
      </c>
      <c r="AN2457">
        <v>0.99999999800678396</v>
      </c>
    </row>
    <row r="2458" spans="1:40" x14ac:dyDescent="0.25">
      <c r="A2458" t="str">
        <f>"20190303162827485"</f>
        <v>20190303162827485</v>
      </c>
      <c r="B2458" t="str">
        <f>"1551601707474286"</f>
        <v>1551601707474286</v>
      </c>
      <c r="C2458" t="s">
        <v>40</v>
      </c>
      <c r="D2458">
        <v>4.5250059999999896</v>
      </c>
      <c r="E2458">
        <v>0.35619820000000002</v>
      </c>
      <c r="F2458" t="s">
        <v>47</v>
      </c>
      <c r="G2458">
        <v>-480.39909999999998</v>
      </c>
      <c r="H2458" s="1">
        <v>7.1509729999999999E-7</v>
      </c>
      <c r="I2458">
        <v>273.67680000000001</v>
      </c>
      <c r="J2458">
        <v>-475.61829999999998</v>
      </c>
      <c r="K2458">
        <v>1.1311310000000001</v>
      </c>
      <c r="L2458">
        <v>283.39929999999998</v>
      </c>
      <c r="M2458">
        <v>-0.94684729999999995</v>
      </c>
      <c r="N2458">
        <v>-1.5433240000000001E-2</v>
      </c>
      <c r="O2458">
        <v>-0.32131310000000002</v>
      </c>
      <c r="P2458">
        <v>-0.70963409999999905</v>
      </c>
      <c r="Q2458">
        <v>0.12529749999999901</v>
      </c>
      <c r="R2458">
        <v>-0.69333979999999995</v>
      </c>
      <c r="S2458">
        <v>-1.4853209999999999</v>
      </c>
      <c r="T2458">
        <v>-0.33173140000000001</v>
      </c>
      <c r="U2458">
        <v>-2.8818969999999999</v>
      </c>
      <c r="V2458">
        <v>-0.43182290000000001</v>
      </c>
      <c r="W2458">
        <v>0.12848270000000001</v>
      </c>
      <c r="X2458">
        <v>0.89276039999999901</v>
      </c>
      <c r="Y2458">
        <v>-0.69182100000000002</v>
      </c>
      <c r="Z2458">
        <v>-1.6883860000000001E-2</v>
      </c>
      <c r="AA2458">
        <v>0.72187170000000001</v>
      </c>
      <c r="AB2458">
        <v>32</v>
      </c>
      <c r="AC2458">
        <v>-4.7807999999999904</v>
      </c>
      <c r="AD2458">
        <v>-1.1311302849026901</v>
      </c>
      <c r="AE2458">
        <v>-9.7224999999999593</v>
      </c>
      <c r="AF2458">
        <v>-7.5877966473789904</v>
      </c>
      <c r="AG2458">
        <v>-1.1311302849026901</v>
      </c>
      <c r="AH2458">
        <v>7.56906356126483</v>
      </c>
      <c r="AI2458">
        <v>96.024706800398604</v>
      </c>
      <c r="AJ2458">
        <v>135.07081454933899</v>
      </c>
      <c r="AK2458">
        <v>10.7770513999826</v>
      </c>
      <c r="AL2458">
        <v>82.618077679260793</v>
      </c>
      <c r="AM2458">
        <v>115.812778155346</v>
      </c>
      <c r="AN2458">
        <v>0.99999997648592898</v>
      </c>
    </row>
    <row r="2459" spans="1:40" x14ac:dyDescent="0.25">
      <c r="A2459" t="str">
        <f>"20190303162827499"</f>
        <v>20190303162827499</v>
      </c>
      <c r="B2459" t="str">
        <f>"1551601707493806"</f>
        <v>1551601707493806</v>
      </c>
      <c r="C2459" t="s">
        <v>40</v>
      </c>
      <c r="D2459">
        <v>4.6887290000000004</v>
      </c>
      <c r="E2459">
        <v>0.35658620000000002</v>
      </c>
      <c r="F2459" t="s">
        <v>47</v>
      </c>
      <c r="G2459">
        <v>-480.39879999999999</v>
      </c>
      <c r="H2459" s="1">
        <v>6.9400989999999996E-7</v>
      </c>
      <c r="I2459">
        <v>273.55700000000002</v>
      </c>
      <c r="J2459">
        <v>-475.79860000000002</v>
      </c>
      <c r="K2459">
        <v>1.1311059999999999</v>
      </c>
      <c r="L2459">
        <v>283.33100000000002</v>
      </c>
      <c r="M2459">
        <v>-0.94447990000000004</v>
      </c>
      <c r="N2459">
        <v>-1.542963E-2</v>
      </c>
      <c r="O2459">
        <v>-0.32820719999999998</v>
      </c>
      <c r="P2459">
        <v>-0.70481799999999994</v>
      </c>
      <c r="Q2459">
        <v>0.12542329999999999</v>
      </c>
      <c r="R2459">
        <v>-0.69821279999999997</v>
      </c>
      <c r="S2459">
        <v>-1.4235230000000001</v>
      </c>
      <c r="T2459">
        <v>-0.33681879999999997</v>
      </c>
      <c r="U2459">
        <v>-2.9307560000000001</v>
      </c>
      <c r="V2459">
        <v>-0.43146790000000002</v>
      </c>
      <c r="W2459">
        <v>0.12864110000000001</v>
      </c>
      <c r="X2459">
        <v>0.89290919999999896</v>
      </c>
      <c r="Y2459">
        <v>-0.70348359999999999</v>
      </c>
      <c r="Z2459">
        <v>-1.728967E-2</v>
      </c>
      <c r="AA2459">
        <v>0.71050119999999894</v>
      </c>
      <c r="AB2459">
        <v>32</v>
      </c>
      <c r="AC2459">
        <v>-4.6001999999999699</v>
      </c>
      <c r="AD2459">
        <v>-1.1311053059901</v>
      </c>
      <c r="AE2459">
        <v>-9.7739999999999405</v>
      </c>
      <c r="AF2459">
        <v>-7.6386966156790299</v>
      </c>
      <c r="AG2459">
        <v>-1.1311053059901</v>
      </c>
      <c r="AH2459">
        <v>7.4716735785649497</v>
      </c>
      <c r="AI2459">
        <v>96.042611751213599</v>
      </c>
      <c r="AJ2459">
        <v>135.63329523160999</v>
      </c>
      <c r="AK2459">
        <v>10.744998430165101</v>
      </c>
      <c r="AL2459">
        <v>82.608925963296201</v>
      </c>
      <c r="AM2459">
        <v>115.790570803977</v>
      </c>
      <c r="AN2459">
        <v>0.99999996039212902</v>
      </c>
    </row>
    <row r="2460" spans="1:40" x14ac:dyDescent="0.25">
      <c r="A2460" t="str">
        <f>"20190303162827520"</f>
        <v>20190303162827520</v>
      </c>
      <c r="B2460" t="str">
        <f>"1551601707514301"</f>
        <v>1551601707514301</v>
      </c>
      <c r="C2460" t="s">
        <v>40</v>
      </c>
      <c r="D2460">
        <v>4.7233109999999998</v>
      </c>
      <c r="E2460">
        <v>0.35732199999999997</v>
      </c>
      <c r="F2460" t="s">
        <v>47</v>
      </c>
      <c r="G2460">
        <v>-480.57679999999999</v>
      </c>
      <c r="H2460" s="1">
        <v>6.5440439999999895E-7</v>
      </c>
      <c r="I2460">
        <v>273.33210000000003</v>
      </c>
      <c r="J2460">
        <v>-476.06180000000001</v>
      </c>
      <c r="K2460">
        <v>1.1310750000000001</v>
      </c>
      <c r="L2460">
        <v>283.22879999999998</v>
      </c>
      <c r="M2460">
        <v>-0.94092279999999995</v>
      </c>
      <c r="N2460">
        <v>-1.542457E-2</v>
      </c>
      <c r="O2460">
        <v>-0.33826970000000001</v>
      </c>
      <c r="P2460">
        <v>-0.69823590000000002</v>
      </c>
      <c r="Q2460">
        <v>0.12488730000000001</v>
      </c>
      <c r="R2460">
        <v>-0.70489019999999902</v>
      </c>
      <c r="S2460">
        <v>-1.404358</v>
      </c>
      <c r="T2460">
        <v>-0.33244030000000002</v>
      </c>
      <c r="U2460">
        <v>-2.9387509999999999</v>
      </c>
      <c r="V2460">
        <v>-0.43037940000000002</v>
      </c>
      <c r="W2460">
        <v>0.12816820000000001</v>
      </c>
      <c r="X2460">
        <v>0.89350239999999903</v>
      </c>
      <c r="Y2460">
        <v>-0.70054609999999995</v>
      </c>
      <c r="Z2460">
        <v>-1.5897729999999999E-2</v>
      </c>
      <c r="AA2460">
        <v>0.71343000000000001</v>
      </c>
      <c r="AB2460">
        <v>32</v>
      </c>
      <c r="AC2460">
        <v>-4.5149999999999801</v>
      </c>
      <c r="AD2460">
        <v>-1.1310743455956001</v>
      </c>
      <c r="AE2460">
        <v>-9.8966999999999494</v>
      </c>
      <c r="AF2460">
        <v>-7.7023943236630901</v>
      </c>
      <c r="AG2460">
        <v>-1.1310743455956001</v>
      </c>
      <c r="AH2460">
        <v>7.5156678760063302</v>
      </c>
      <c r="AI2460">
        <v>95.999916182300197</v>
      </c>
      <c r="AJ2460">
        <v>135.70298704092301</v>
      </c>
      <c r="AK2460">
        <v>10.820881254079699</v>
      </c>
      <c r="AL2460">
        <v>82.636247802831207</v>
      </c>
      <c r="AM2460">
        <v>115.71903913270199</v>
      </c>
      <c r="AN2460">
        <v>1.0000000271206699</v>
      </c>
    </row>
    <row r="2461" spans="1:40" x14ac:dyDescent="0.25">
      <c r="A2461" t="str">
        <f>"20190303162827533"</f>
        <v>20190303162827533</v>
      </c>
      <c r="B2461" t="str">
        <f>"1551601707524061"</f>
        <v>1551601707524061</v>
      </c>
      <c r="C2461" t="s">
        <v>40</v>
      </c>
      <c r="D2461">
        <v>4.7524559999999996</v>
      </c>
      <c r="E2461">
        <v>0.35775659999999998</v>
      </c>
      <c r="F2461" t="s">
        <v>47</v>
      </c>
      <c r="G2461">
        <v>-480.77379999999999</v>
      </c>
      <c r="H2461" s="1">
        <v>6.2356800000000002E-7</v>
      </c>
      <c r="I2461">
        <v>273.15699999999998</v>
      </c>
      <c r="J2461">
        <v>-476.23329999999999</v>
      </c>
      <c r="K2461">
        <v>1.1310549999999999</v>
      </c>
      <c r="L2461">
        <v>283.16019999999997</v>
      </c>
      <c r="M2461">
        <v>-0.93853399999999998</v>
      </c>
      <c r="N2461">
        <v>-1.542165E-2</v>
      </c>
      <c r="O2461">
        <v>-0.3448425</v>
      </c>
      <c r="P2461">
        <v>-0.69370339999999997</v>
      </c>
      <c r="Q2461">
        <v>0.1241172</v>
      </c>
      <c r="R2461">
        <v>-0.70948650000000002</v>
      </c>
      <c r="S2461">
        <v>-1.379364</v>
      </c>
      <c r="T2461">
        <v>-0.33110250000000002</v>
      </c>
      <c r="U2461">
        <v>-2.948334</v>
      </c>
      <c r="V2461">
        <v>-0.42995949999999999</v>
      </c>
      <c r="W2461">
        <v>0.12742429999999999</v>
      </c>
      <c r="X2461">
        <v>0.89381089999999996</v>
      </c>
      <c r="Y2461">
        <v>-0.70144209999999996</v>
      </c>
      <c r="Z2461">
        <v>-1.5278959999999999E-2</v>
      </c>
      <c r="AA2461">
        <v>0.71256269999999999</v>
      </c>
      <c r="AB2461">
        <v>32</v>
      </c>
      <c r="AC2461">
        <v>-4.5404999999999998</v>
      </c>
      <c r="AD2461">
        <v>-1.131054376432</v>
      </c>
      <c r="AE2461">
        <v>-10.0031999999999</v>
      </c>
      <c r="AF2461">
        <v>-7.7414511964083301</v>
      </c>
      <c r="AG2461">
        <v>-1.131054376432</v>
      </c>
      <c r="AH2461">
        <v>7.6309653355153397</v>
      </c>
      <c r="AI2461">
        <v>95.940291466866995</v>
      </c>
      <c r="AJ2461">
        <v>135.41179371587901</v>
      </c>
      <c r="AK2461">
        <v>10.9289058272388</v>
      </c>
      <c r="AL2461">
        <v>82.679222486705598</v>
      </c>
      <c r="AM2461">
        <v>115.689452316985</v>
      </c>
      <c r="AN2461">
        <v>1.00000002441477</v>
      </c>
    </row>
    <row r="2462" spans="1:40" x14ac:dyDescent="0.25">
      <c r="A2462" t="str">
        <f>"20190303162827548"</f>
        <v>20190303162827548</v>
      </c>
      <c r="B2462" t="str">
        <f>"1551601707543581"</f>
        <v>1551601707543581</v>
      </c>
      <c r="C2462" t="s">
        <v>40</v>
      </c>
      <c r="D2462">
        <v>4.7359739999999997</v>
      </c>
      <c r="E2462">
        <v>0.35868329999999998</v>
      </c>
      <c r="F2462" t="s">
        <v>47</v>
      </c>
      <c r="G2462">
        <v>-480.90069999999997</v>
      </c>
      <c r="H2462" s="1">
        <v>6.0079950000000002E-7</v>
      </c>
      <c r="I2462">
        <v>273.02769999999998</v>
      </c>
      <c r="J2462">
        <v>-476.41370000000001</v>
      </c>
      <c r="K2462">
        <v>1.1310450000000001</v>
      </c>
      <c r="L2462">
        <v>283.08679999999998</v>
      </c>
      <c r="M2462">
        <v>-0.93596140000000005</v>
      </c>
      <c r="N2462">
        <v>-1.541915E-2</v>
      </c>
      <c r="O2462">
        <v>-0.3517651</v>
      </c>
      <c r="P2462">
        <v>-0.68842080000000005</v>
      </c>
      <c r="Q2462">
        <v>0.1230642</v>
      </c>
      <c r="R2462">
        <v>-0.71479519999999996</v>
      </c>
      <c r="S2462">
        <v>-1.361267</v>
      </c>
      <c r="T2462">
        <v>-0.32987240000000001</v>
      </c>
      <c r="U2462">
        <v>-2.955139</v>
      </c>
      <c r="V2462">
        <v>-0.43013069999999998</v>
      </c>
      <c r="W2462">
        <v>0.12637570000000001</v>
      </c>
      <c r="X2462">
        <v>0.89387739999999904</v>
      </c>
      <c r="Y2462">
        <v>-0.70045400000000002</v>
      </c>
      <c r="Z2462">
        <v>-1.445781E-2</v>
      </c>
      <c r="AA2462">
        <v>0.71355109999999999</v>
      </c>
      <c r="AB2462">
        <v>31</v>
      </c>
      <c r="AC2462">
        <v>-4.4869999999999601</v>
      </c>
      <c r="AD2462">
        <v>-1.1310443992004999</v>
      </c>
      <c r="AE2462">
        <v>-10.059100000000001</v>
      </c>
      <c r="AF2462">
        <v>-7.7557092050530896</v>
      </c>
      <c r="AG2462">
        <v>-1.1310443992004999</v>
      </c>
      <c r="AH2462">
        <v>7.6582648271786198</v>
      </c>
      <c r="AI2462">
        <v>95.924372450563297</v>
      </c>
      <c r="AJ2462">
        <v>135.36220881142799</v>
      </c>
      <c r="AK2462">
        <v>10.9580703990031</v>
      </c>
      <c r="AL2462">
        <v>82.739792498266297</v>
      </c>
      <c r="AM2462">
        <v>115.696698209852</v>
      </c>
      <c r="AN2462">
        <v>1.0000000214318601</v>
      </c>
    </row>
    <row r="2463" spans="1:40" x14ac:dyDescent="0.25">
      <c r="A2463" t="str">
        <f>"20190303162827564"</f>
        <v>20190303162827564</v>
      </c>
      <c r="B2463" t="str">
        <f>"1551601707554317"</f>
        <v>1551601707554317</v>
      </c>
      <c r="C2463" t="s">
        <v>40</v>
      </c>
      <c r="D2463">
        <v>4.7331219999999998</v>
      </c>
      <c r="E2463">
        <v>0.35910199999999998</v>
      </c>
      <c r="F2463" t="s">
        <v>47</v>
      </c>
      <c r="G2463">
        <v>-481.00990000000002</v>
      </c>
      <c r="H2463" s="1">
        <v>5.8826739999999995E-7</v>
      </c>
      <c r="I2463">
        <v>272.95659999999998</v>
      </c>
      <c r="J2463">
        <v>-476.6268</v>
      </c>
      <c r="K2463">
        <v>1.13104</v>
      </c>
      <c r="L2463">
        <v>282.9982</v>
      </c>
      <c r="M2463">
        <v>-0.93283890000000003</v>
      </c>
      <c r="N2463">
        <v>-1.541737E-2</v>
      </c>
      <c r="O2463">
        <v>-0.3599638</v>
      </c>
      <c r="P2463">
        <v>-0.68199069999999995</v>
      </c>
      <c r="Q2463">
        <v>0.12141399999999999</v>
      </c>
      <c r="R2463">
        <v>-0.72121269999999904</v>
      </c>
      <c r="S2463">
        <v>-1.3431090000000001</v>
      </c>
      <c r="T2463">
        <v>-0.33052160000000003</v>
      </c>
      <c r="U2463">
        <v>-2.9603269999999999</v>
      </c>
      <c r="V2463">
        <v>-0.43051410000000001</v>
      </c>
      <c r="W2463">
        <v>0.1247167</v>
      </c>
      <c r="X2463">
        <v>0.89392579999999999</v>
      </c>
      <c r="Y2463">
        <v>-0.69832969999999905</v>
      </c>
      <c r="Z2463">
        <v>-1.342001E-2</v>
      </c>
      <c r="AA2463">
        <v>0.71565040000000002</v>
      </c>
      <c r="AB2463">
        <v>31</v>
      </c>
      <c r="AC2463">
        <v>-4.3831000000000104</v>
      </c>
      <c r="AD2463">
        <v>-1.1310394117325999</v>
      </c>
      <c r="AE2463">
        <v>-10.041600000000001</v>
      </c>
      <c r="AF2463">
        <v>-7.7082216505064798</v>
      </c>
      <c r="AG2463">
        <v>-1.1310394117325999</v>
      </c>
      <c r="AH2463">
        <v>7.6230202678257202</v>
      </c>
      <c r="AI2463">
        <v>95.956113754871794</v>
      </c>
      <c r="AJ2463">
        <v>135.31841056369501</v>
      </c>
      <c r="AK2463">
        <v>10.8998334467968</v>
      </c>
      <c r="AL2463">
        <v>82.835604069451406</v>
      </c>
      <c r="AM2463">
        <v>115.715436760532</v>
      </c>
      <c r="AN2463">
        <v>0.99999999073167001</v>
      </c>
    </row>
    <row r="2464" spans="1:40" x14ac:dyDescent="0.25">
      <c r="A2464" t="str">
        <f>"20190303162827586"</f>
        <v>20190303162827586</v>
      </c>
      <c r="B2464" t="str">
        <f>"1551601707573837"</f>
        <v>1551601707573837</v>
      </c>
      <c r="C2464" t="s">
        <v>40</v>
      </c>
      <c r="D2464">
        <v>4.8062880000000003</v>
      </c>
      <c r="E2464">
        <v>0.36028250000000001</v>
      </c>
      <c r="F2464" t="s">
        <v>47</v>
      </c>
      <c r="G2464">
        <v>-481.101</v>
      </c>
      <c r="H2464" s="1">
        <v>5.7928999999999899E-7</v>
      </c>
      <c r="I2464">
        <v>272.90559999999999</v>
      </c>
      <c r="J2464">
        <v>-476.90660000000003</v>
      </c>
      <c r="K2464">
        <v>1.1310559999999901</v>
      </c>
      <c r="L2464">
        <v>282.87799999999999</v>
      </c>
      <c r="M2464">
        <v>-0.9285833</v>
      </c>
      <c r="N2464">
        <v>-1.541841E-2</v>
      </c>
      <c r="O2464">
        <v>-0.37080410000000003</v>
      </c>
      <c r="P2464">
        <v>-0.67415179999999997</v>
      </c>
      <c r="Q2464">
        <v>0.1215903</v>
      </c>
      <c r="R2464">
        <v>-0.72851580000000005</v>
      </c>
      <c r="S2464">
        <v>-1.316864</v>
      </c>
      <c r="T2464">
        <v>-0.3328874</v>
      </c>
      <c r="U2464">
        <v>-2.970459</v>
      </c>
      <c r="V2464">
        <v>-0.42974830000000003</v>
      </c>
      <c r="W2464">
        <v>0.1249054</v>
      </c>
      <c r="X2464">
        <v>0.8942679</v>
      </c>
      <c r="Y2464">
        <v>-0.69621350000000004</v>
      </c>
      <c r="Z2464">
        <v>-1.2101270000000001E-2</v>
      </c>
      <c r="AA2464">
        <v>0.717732699999999</v>
      </c>
      <c r="AB2464">
        <v>31</v>
      </c>
      <c r="AC2464">
        <v>-4.1943999999999697</v>
      </c>
      <c r="AD2464">
        <v>-1.1310554207100001</v>
      </c>
      <c r="AE2464">
        <v>-9.9723999999999897</v>
      </c>
      <c r="AF2464">
        <v>-7.6225027621447703</v>
      </c>
      <c r="AG2464">
        <v>-1.1310554207100001</v>
      </c>
      <c r="AH2464">
        <v>7.5114564096086198</v>
      </c>
      <c r="AI2464">
        <v>96.033203275628495</v>
      </c>
      <c r="AJ2464">
        <v>135.420403747433</v>
      </c>
      <c r="AK2464">
        <v>10.761217966246701</v>
      </c>
      <c r="AL2464">
        <v>82.824707348848705</v>
      </c>
      <c r="AM2464">
        <v>115.667021210505</v>
      </c>
      <c r="AN2464">
        <v>1.0000000186362299</v>
      </c>
    </row>
    <row r="2465" spans="1:40" x14ac:dyDescent="0.25">
      <c r="A2465" t="str">
        <f>"20190303162827609"</f>
        <v>20190303162827609</v>
      </c>
      <c r="B2465" t="str">
        <f>"1551601707604094"</f>
        <v>1551601707604094</v>
      </c>
      <c r="C2465" t="s">
        <v>40</v>
      </c>
      <c r="D2465">
        <v>4.7983099999999999</v>
      </c>
      <c r="E2465">
        <v>0.36160189999999998</v>
      </c>
      <c r="F2465" t="s">
        <v>47</v>
      </c>
      <c r="G2465">
        <v>-481.34500000000003</v>
      </c>
      <c r="H2465" s="1">
        <v>5.3082030000000001E-7</v>
      </c>
      <c r="I2465">
        <v>272.63040000000001</v>
      </c>
      <c r="J2465">
        <v>-477.21199999999999</v>
      </c>
      <c r="K2465">
        <v>1.1311</v>
      </c>
      <c r="L2465">
        <v>282.74209999999999</v>
      </c>
      <c r="M2465">
        <v>-0.92372869999999996</v>
      </c>
      <c r="N2465">
        <v>-1.5422490000000001E-2</v>
      </c>
      <c r="O2465">
        <v>-0.38273659999999998</v>
      </c>
      <c r="P2465">
        <v>-0.66603789999999996</v>
      </c>
      <c r="Q2465">
        <v>0.1238712</v>
      </c>
      <c r="R2465">
        <v>-0.73556080000000001</v>
      </c>
      <c r="S2465">
        <v>-1.290192</v>
      </c>
      <c r="T2465">
        <v>-0.32878069999999998</v>
      </c>
      <c r="U2465">
        <v>-2.9788209999999999</v>
      </c>
      <c r="V2465">
        <v>-0.42784650000000002</v>
      </c>
      <c r="W2465">
        <v>0.12721569999999999</v>
      </c>
      <c r="X2465">
        <v>0.89485389999999998</v>
      </c>
      <c r="Y2465">
        <v>-0.69322259999999902</v>
      </c>
      <c r="Z2465">
        <v>-1.0584130000000001E-2</v>
      </c>
      <c r="AA2465">
        <v>0.7206458</v>
      </c>
      <c r="AB2465">
        <v>31</v>
      </c>
      <c r="AC2465">
        <v>-4.1330000000000302</v>
      </c>
      <c r="AD2465">
        <v>-1.1310994691797001</v>
      </c>
      <c r="AE2465">
        <v>-10.1116999999999</v>
      </c>
      <c r="AF2465">
        <v>-7.6772285158406097</v>
      </c>
      <c r="AG2465">
        <v>-1.1310994691797001</v>
      </c>
      <c r="AH2465">
        <v>7.60724173412612</v>
      </c>
      <c r="AI2465">
        <v>95.974552650582197</v>
      </c>
      <c r="AJ2465">
        <v>135.26235251359799</v>
      </c>
      <c r="AK2465">
        <v>10.866892402846601</v>
      </c>
      <c r="AL2465">
        <v>82.691272141530206</v>
      </c>
      <c r="AM2465">
        <v>115.55334152407301</v>
      </c>
      <c r="AN2465">
        <v>0.99999998211697405</v>
      </c>
    </row>
    <row r="2466" spans="1:40" x14ac:dyDescent="0.25">
      <c r="A2466" t="str">
        <f>"20190303162827631"</f>
        <v>20190303162827631</v>
      </c>
      <c r="B2466" t="str">
        <f>"1551601707623613"</f>
        <v>1551601707623613</v>
      </c>
      <c r="C2466" t="s">
        <v>40</v>
      </c>
      <c r="D2466">
        <v>4.7717499999999999</v>
      </c>
      <c r="E2466">
        <v>0.36238340000000002</v>
      </c>
      <c r="F2466" t="s">
        <v>47</v>
      </c>
      <c r="G2466">
        <v>-481.68509999999998</v>
      </c>
      <c r="H2466" s="1">
        <v>4.508992E-7</v>
      </c>
      <c r="I2466">
        <v>272.17660000000001</v>
      </c>
      <c r="J2466">
        <v>-477.47730000000001</v>
      </c>
      <c r="K2466">
        <v>1.131159</v>
      </c>
      <c r="L2466">
        <v>282.62029999999999</v>
      </c>
      <c r="M2466">
        <v>-0.91932360000000002</v>
      </c>
      <c r="N2466">
        <v>-1.542838E-2</v>
      </c>
      <c r="O2466">
        <v>-0.39319969999999999</v>
      </c>
      <c r="P2466">
        <v>-0.65849429999999998</v>
      </c>
      <c r="Q2466">
        <v>0.12591379999999999</v>
      </c>
      <c r="R2466">
        <v>-0.74197800000000003</v>
      </c>
      <c r="S2466">
        <v>-1.2646790000000001</v>
      </c>
      <c r="T2466">
        <v>-0.31979980000000002</v>
      </c>
      <c r="U2466">
        <v>-2.9872130000000001</v>
      </c>
      <c r="V2466">
        <v>-0.42656630000000001</v>
      </c>
      <c r="W2466">
        <v>0.1292587</v>
      </c>
      <c r="X2466">
        <v>0.89517219999999997</v>
      </c>
      <c r="Y2466">
        <v>-0.69113789999999997</v>
      </c>
      <c r="Z2466">
        <v>-9.3695389999999996E-3</v>
      </c>
      <c r="AA2466">
        <v>0.72266219999999903</v>
      </c>
      <c r="AB2466">
        <v>31</v>
      </c>
      <c r="AC2466">
        <v>-4.2077999999999598</v>
      </c>
      <c r="AD2466">
        <v>-1.1311585491008</v>
      </c>
      <c r="AE2466">
        <v>-10.4436999999999</v>
      </c>
      <c r="AF2466">
        <v>-7.8681692003855304</v>
      </c>
      <c r="AG2466">
        <v>-1.1311585491008</v>
      </c>
      <c r="AH2466">
        <v>7.8960465618915299</v>
      </c>
      <c r="AI2466">
        <v>95.794339806896105</v>
      </c>
      <c r="AJ2466">
        <v>134.898678531342</v>
      </c>
      <c r="AK2466">
        <v>11.2042472989781</v>
      </c>
      <c r="AL2466">
        <v>82.573242043356501</v>
      </c>
      <c r="AM2466">
        <v>115.478673186233</v>
      </c>
      <c r="AN2466">
        <v>0.99999994373710799</v>
      </c>
    </row>
    <row r="2467" spans="1:40" x14ac:dyDescent="0.25">
      <c r="A2467" t="str">
        <f>"20190303162827653"</f>
        <v>20190303162827653</v>
      </c>
      <c r="B2467" t="str">
        <f>"1551601707644111"</f>
        <v>1551601707644111</v>
      </c>
      <c r="C2467" t="s">
        <v>40</v>
      </c>
      <c r="D2467">
        <v>4.7727409999999999</v>
      </c>
      <c r="E2467">
        <v>0.36312749999999999</v>
      </c>
      <c r="F2467" t="s">
        <v>47</v>
      </c>
      <c r="G2467">
        <v>-481.9692</v>
      </c>
      <c r="H2467" s="1">
        <v>3.7807380000000002E-7</v>
      </c>
      <c r="I2467">
        <v>271.76310000000001</v>
      </c>
      <c r="J2467">
        <v>-477.74919999999997</v>
      </c>
      <c r="K2467">
        <v>1.1312329999999999</v>
      </c>
      <c r="L2467">
        <v>282.4914</v>
      </c>
      <c r="M2467">
        <v>-0.91460339999999996</v>
      </c>
      <c r="N2467">
        <v>-1.5437630000000001E-2</v>
      </c>
      <c r="O2467">
        <v>-0.40405740000000001</v>
      </c>
      <c r="P2467">
        <v>-0.65016980000000002</v>
      </c>
      <c r="Q2467">
        <v>0.12789980000000001</v>
      </c>
      <c r="R2467">
        <v>-0.74894669999999997</v>
      </c>
      <c r="S2467">
        <v>-1.2395940000000001</v>
      </c>
      <c r="T2467">
        <v>-0.3121582</v>
      </c>
      <c r="U2467">
        <v>-2.9961850000000001</v>
      </c>
      <c r="V2467">
        <v>-0.42571989999999998</v>
      </c>
      <c r="W2467">
        <v>0.13121549999999901</v>
      </c>
      <c r="X2467">
        <v>0.89529049999999999</v>
      </c>
      <c r="Y2467">
        <v>-0.68864609999999904</v>
      </c>
      <c r="Z2467">
        <v>-8.1404730000000005E-3</v>
      </c>
      <c r="AA2467">
        <v>0.72505200000000003</v>
      </c>
      <c r="AB2467">
        <v>31</v>
      </c>
      <c r="AC2467">
        <v>-4.2200000000000202</v>
      </c>
      <c r="AD2467">
        <v>-1.1312326219262001</v>
      </c>
      <c r="AE2467">
        <v>-10.7282999999999</v>
      </c>
      <c r="AF2467">
        <v>-8.0306593021813697</v>
      </c>
      <c r="AG2467">
        <v>-1.1312326219262001</v>
      </c>
      <c r="AH2467">
        <v>8.1172934803788603</v>
      </c>
      <c r="AI2467">
        <v>95.657844182959906</v>
      </c>
      <c r="AJ2467">
        <v>134.69260963200401</v>
      </c>
      <c r="AK2467">
        <v>11.4743901589245</v>
      </c>
      <c r="AL2467">
        <v>82.460163027259199</v>
      </c>
      <c r="AM2467">
        <v>115.43157139239</v>
      </c>
      <c r="AN2467">
        <v>1.00000001004325</v>
      </c>
    </row>
    <row r="2468" spans="1:40" x14ac:dyDescent="0.25">
      <c r="A2468" t="str">
        <f>"20190303162827676"</f>
        <v>20190303162827676</v>
      </c>
      <c r="B2468" t="str">
        <f>"1551601707663629"</f>
        <v>1551601707663629</v>
      </c>
      <c r="C2468" t="s">
        <v>40</v>
      </c>
      <c r="D2468">
        <v>4.80593</v>
      </c>
      <c r="E2468">
        <v>0.36381239999999998</v>
      </c>
      <c r="F2468" t="s">
        <v>47</v>
      </c>
      <c r="G2468">
        <v>-482.2201</v>
      </c>
      <c r="H2468" s="1">
        <v>3.1387640000000002E-7</v>
      </c>
      <c r="I2468">
        <v>271.39859999999999</v>
      </c>
      <c r="J2468">
        <v>-478.024</v>
      </c>
      <c r="K2468">
        <v>1.1313279999999999</v>
      </c>
      <c r="L2468">
        <v>282.3569</v>
      </c>
      <c r="M2468">
        <v>-0.90960319999999995</v>
      </c>
      <c r="N2468">
        <v>-1.545122E-2</v>
      </c>
      <c r="O2468">
        <v>-0.41519050000000002</v>
      </c>
      <c r="P2468">
        <v>-0.64159299999999997</v>
      </c>
      <c r="Q2468">
        <v>0.12875519999999999</v>
      </c>
      <c r="R2468">
        <v>-0.75616190000000005</v>
      </c>
      <c r="S2468">
        <v>-1.2116089999999999</v>
      </c>
      <c r="T2468">
        <v>-0.30656169999999999</v>
      </c>
      <c r="U2468">
        <v>-3.0061339999999999</v>
      </c>
      <c r="V2468">
        <v>-0.42490909999999898</v>
      </c>
      <c r="W2468">
        <v>0.13202469999999999</v>
      </c>
      <c r="X2468">
        <v>0.89555669999999898</v>
      </c>
      <c r="Y2468">
        <v>-0.68654040000000005</v>
      </c>
      <c r="Z2468">
        <v>-6.9486160000000003E-3</v>
      </c>
      <c r="AA2468">
        <v>0.72705850000000005</v>
      </c>
      <c r="AB2468">
        <v>31</v>
      </c>
      <c r="AC2468">
        <v>-4.1961000000000004</v>
      </c>
      <c r="AD2468">
        <v>-1.1313276861235999</v>
      </c>
      <c r="AE2468">
        <v>-10.958299999999999</v>
      </c>
      <c r="AF2468">
        <v>-8.1507418338288602</v>
      </c>
      <c r="AG2468">
        <v>-1.1313276861235999</v>
      </c>
      <c r="AH2468">
        <v>8.2905036901155995</v>
      </c>
      <c r="AI2468">
        <v>95.557896410405803</v>
      </c>
      <c r="AJ2468">
        <v>134.512958333109</v>
      </c>
      <c r="AK2468">
        <v>11.681050732315899</v>
      </c>
      <c r="AL2468">
        <v>82.413392569114805</v>
      </c>
      <c r="AM2468">
        <v>115.382639458414</v>
      </c>
      <c r="AN2468">
        <v>1.0000000337938899</v>
      </c>
    </row>
    <row r="2469" spans="1:40" x14ac:dyDescent="0.25">
      <c r="A2469" t="str">
        <f>"20190303162827700"</f>
        <v>20190303162827700</v>
      </c>
      <c r="B2469" t="str">
        <f>"1551601707693886"</f>
        <v>1551601707693886</v>
      </c>
      <c r="C2469" t="s">
        <v>40</v>
      </c>
      <c r="D2469">
        <v>4.7370679999999998</v>
      </c>
      <c r="E2469">
        <v>0.36477949999999998</v>
      </c>
      <c r="F2469" t="s">
        <v>47</v>
      </c>
      <c r="G2469">
        <v>-482.4298</v>
      </c>
      <c r="H2469" s="1">
        <v>2.6368749999999998E-7</v>
      </c>
      <c r="I2469">
        <v>271.11360000000002</v>
      </c>
      <c r="J2469">
        <v>-478.32920000000001</v>
      </c>
      <c r="K2469">
        <v>1.1314439999999999</v>
      </c>
      <c r="L2469">
        <v>282.20269999999999</v>
      </c>
      <c r="M2469">
        <v>-0.90376679999999998</v>
      </c>
      <c r="N2469">
        <v>-1.5471230000000001E-2</v>
      </c>
      <c r="O2469">
        <v>-0.4277454</v>
      </c>
      <c r="P2469">
        <v>-0.63200749999999895</v>
      </c>
      <c r="Q2469">
        <v>0.12947929999999999</v>
      </c>
      <c r="R2469">
        <v>-0.76406929999999995</v>
      </c>
      <c r="S2469">
        <v>-1.1819459999999999</v>
      </c>
      <c r="T2469">
        <v>-0.30350569999999999</v>
      </c>
      <c r="U2469">
        <v>-3.0162960000000001</v>
      </c>
      <c r="V2469">
        <v>-0.42374109999999998</v>
      </c>
      <c r="W2469">
        <v>0.13269310000000001</v>
      </c>
      <c r="X2469">
        <v>0.89601119999999901</v>
      </c>
      <c r="Y2469">
        <v>-0.68358640000000004</v>
      </c>
      <c r="Z2469">
        <v>-5.5469780000000002E-3</v>
      </c>
      <c r="AA2469">
        <v>0.72984859999999996</v>
      </c>
      <c r="AB2469">
        <v>31</v>
      </c>
      <c r="AC2469">
        <v>-4.1005999999999796</v>
      </c>
      <c r="AD2469">
        <v>-1.1314437363124901</v>
      </c>
      <c r="AE2469">
        <v>-11.089099999999901</v>
      </c>
      <c r="AF2469">
        <v>-8.1938961104663797</v>
      </c>
      <c r="AG2469">
        <v>-1.1314437363124901</v>
      </c>
      <c r="AH2469">
        <v>8.3736218772380102</v>
      </c>
      <c r="AI2469">
        <v>95.516235911421504</v>
      </c>
      <c r="AJ2469">
        <v>134.37847515835901</v>
      </c>
      <c r="AK2469">
        <v>11.7702014316032</v>
      </c>
      <c r="AL2469">
        <v>82.374756071090204</v>
      </c>
      <c r="AM2469">
        <v>115.310376468778</v>
      </c>
      <c r="AN2469">
        <v>1.00000002457112</v>
      </c>
    </row>
    <row r="2470" spans="1:40" x14ac:dyDescent="0.25">
      <c r="A2470" t="str">
        <f>"20190303162827721"</f>
        <v>20190303162827721</v>
      </c>
      <c r="B2470" t="str">
        <f>"1551601707714381"</f>
        <v>1551601707714381</v>
      </c>
      <c r="C2470" t="s">
        <v>40</v>
      </c>
      <c r="D2470">
        <v>4.7073780000000003</v>
      </c>
      <c r="E2470">
        <v>0.3653496</v>
      </c>
      <c r="F2470" t="s">
        <v>47</v>
      </c>
      <c r="G2470">
        <v>-482.72239999999999</v>
      </c>
      <c r="H2470" s="1">
        <v>1.759204E-7</v>
      </c>
      <c r="I2470">
        <v>270.61520000000002</v>
      </c>
      <c r="J2470">
        <v>-478.58</v>
      </c>
      <c r="K2470">
        <v>1.1315489999999999</v>
      </c>
      <c r="L2470">
        <v>282.07159999999999</v>
      </c>
      <c r="M2470">
        <v>-0.89871990000000002</v>
      </c>
      <c r="N2470">
        <v>-1.5491E-2</v>
      </c>
      <c r="O2470">
        <v>-0.43824990000000003</v>
      </c>
      <c r="P2470">
        <v>-0.62298739999999997</v>
      </c>
      <c r="Q2470">
        <v>0.13082739999999901</v>
      </c>
      <c r="R2470">
        <v>-0.77121430000000002</v>
      </c>
      <c r="S2470">
        <v>-1.147705</v>
      </c>
      <c r="T2470">
        <v>-0.2955834</v>
      </c>
      <c r="U2470">
        <v>-3.027161</v>
      </c>
      <c r="V2470">
        <v>-0.42368729999999899</v>
      </c>
      <c r="W2470">
        <v>0.13395580000000001</v>
      </c>
      <c r="X2470">
        <v>0.89584869999999905</v>
      </c>
      <c r="Y2470">
        <v>-0.68326999999999904</v>
      </c>
      <c r="Z2470">
        <v>-4.697718E-3</v>
      </c>
      <c r="AA2470">
        <v>0.73015079999999999</v>
      </c>
      <c r="AB2470">
        <v>31</v>
      </c>
      <c r="AC2470">
        <v>-4.1424000000000003</v>
      </c>
      <c r="AD2470">
        <v>-1.1315488240795999</v>
      </c>
      <c r="AE2470">
        <v>-11.456399999999901</v>
      </c>
      <c r="AF2470">
        <v>-8.4091538904405692</v>
      </c>
      <c r="AG2470">
        <v>-1.1315488240795999</v>
      </c>
      <c r="AH2470">
        <v>8.6698712304240608</v>
      </c>
      <c r="AI2470">
        <v>95.352189123212099</v>
      </c>
      <c r="AJ2470">
        <v>134.12542765501999</v>
      </c>
      <c r="AK2470">
        <v>12.1309908518027</v>
      </c>
      <c r="AL2470">
        <v>82.301756707407193</v>
      </c>
      <c r="AM2470">
        <v>115.31158118619101</v>
      </c>
      <c r="AN2470">
        <v>0.99999998891330899</v>
      </c>
    </row>
    <row r="2471" spans="1:40" x14ac:dyDescent="0.25">
      <c r="A2471" t="str">
        <f>"20190303162827742"</f>
        <v>20190303162827742</v>
      </c>
      <c r="B2471" t="str">
        <f>"1551601707733902"</f>
        <v>1551601707733902</v>
      </c>
      <c r="C2471" t="s">
        <v>40</v>
      </c>
      <c r="D2471">
        <v>4.723954</v>
      </c>
      <c r="E2471">
        <v>0.36586239999999998</v>
      </c>
      <c r="F2471" t="s">
        <v>47</v>
      </c>
      <c r="G2471">
        <v>-482.983</v>
      </c>
      <c r="H2471" s="1">
        <v>7.7967439999999994E-8</v>
      </c>
      <c r="I2471">
        <v>270.0591</v>
      </c>
      <c r="J2471">
        <v>-478.83780000000002</v>
      </c>
      <c r="K2471">
        <v>1.1316569999999999</v>
      </c>
      <c r="L2471">
        <v>281.93279999999999</v>
      </c>
      <c r="M2471">
        <v>-0.89328770000000002</v>
      </c>
      <c r="N2471">
        <v>-1.551368E-2</v>
      </c>
      <c r="O2471">
        <v>-0.4492179</v>
      </c>
      <c r="P2471">
        <v>-0.6126239</v>
      </c>
      <c r="Q2471">
        <v>0.13077730000000001</v>
      </c>
      <c r="R2471">
        <v>-0.77948050000000002</v>
      </c>
      <c r="S2471">
        <v>-1.113831</v>
      </c>
      <c r="T2471">
        <v>-0.28624739999999999</v>
      </c>
      <c r="U2471">
        <v>-3.038818</v>
      </c>
      <c r="V2471">
        <v>-0.42473949999999999</v>
      </c>
      <c r="W2471">
        <v>0.1337805</v>
      </c>
      <c r="X2471">
        <v>0.89537659999999997</v>
      </c>
      <c r="Y2471">
        <v>-0.682531</v>
      </c>
      <c r="Z2471">
        <v>-3.8767620000000002E-3</v>
      </c>
      <c r="AA2471">
        <v>0.73084629999999995</v>
      </c>
      <c r="AB2471">
        <v>31</v>
      </c>
      <c r="AC2471">
        <v>-4.1451999999999796</v>
      </c>
      <c r="AD2471">
        <v>-1.1316569220325601</v>
      </c>
      <c r="AE2471">
        <v>-11.8736999999999</v>
      </c>
      <c r="AF2471">
        <v>-8.6753408941524697</v>
      </c>
      <c r="AG2471">
        <v>-1.1316569220325601</v>
      </c>
      <c r="AH2471">
        <v>8.9652314657076602</v>
      </c>
      <c r="AI2471">
        <v>95.1831544321536</v>
      </c>
      <c r="AJ2471">
        <v>134.058533303432</v>
      </c>
      <c r="AK2471">
        <v>12.526674029951099</v>
      </c>
      <c r="AL2471">
        <v>82.311892436044104</v>
      </c>
      <c r="AM2471">
        <v>115.378243991324</v>
      </c>
      <c r="AN2471">
        <v>1.00000006043402</v>
      </c>
    </row>
    <row r="2472" spans="1:40" x14ac:dyDescent="0.25">
      <c r="A2472" t="str">
        <f>"20190303162827766"</f>
        <v>20190303162827766</v>
      </c>
      <c r="B2472" t="str">
        <f>"1551601707754397"</f>
        <v>1551601707754397</v>
      </c>
      <c r="C2472" t="s">
        <v>40</v>
      </c>
      <c r="D2472">
        <v>4.6927490000000001</v>
      </c>
      <c r="E2472">
        <v>0.36640899999999998</v>
      </c>
      <c r="F2472" t="s">
        <v>47</v>
      </c>
      <c r="G2472">
        <v>-483.09750000000003</v>
      </c>
      <c r="H2472" s="1">
        <v>4.386327E-8</v>
      </c>
      <c r="I2472">
        <v>269.86540000000002</v>
      </c>
      <c r="J2472">
        <v>-479.10449999999997</v>
      </c>
      <c r="K2472">
        <v>1.1317710000000001</v>
      </c>
      <c r="L2472">
        <v>281.78440000000001</v>
      </c>
      <c r="M2472">
        <v>-0.88738890000000004</v>
      </c>
      <c r="N2472">
        <v>-1.5539300000000001E-2</v>
      </c>
      <c r="O2472">
        <v>-0.46075959999999999</v>
      </c>
      <c r="P2472">
        <v>-0.60108099999999998</v>
      </c>
      <c r="Q2472">
        <v>0.1299141</v>
      </c>
      <c r="R2472">
        <v>-0.78855819999999999</v>
      </c>
      <c r="S2472">
        <v>-1.0767519999999999</v>
      </c>
      <c r="T2472">
        <v>-0.28605589999999997</v>
      </c>
      <c r="U2472">
        <v>-3.050354</v>
      </c>
      <c r="V2472">
        <v>-0.4264599</v>
      </c>
      <c r="W2472">
        <v>0.13276729999999901</v>
      </c>
      <c r="X2472">
        <v>0.89470930000000004</v>
      </c>
      <c r="Y2472">
        <v>-0.6818573</v>
      </c>
      <c r="Z2472">
        <v>-2.767626E-3</v>
      </c>
      <c r="AA2472">
        <v>0.73147989999999996</v>
      </c>
      <c r="AB2472">
        <v>31</v>
      </c>
      <c r="AC2472">
        <v>-3.9930000000000501</v>
      </c>
      <c r="AD2472">
        <v>-1.13177095613673</v>
      </c>
      <c r="AE2472">
        <v>-11.918999999999899</v>
      </c>
      <c r="AF2472">
        <v>-8.6677639383441498</v>
      </c>
      <c r="AG2472">
        <v>-1.13177095613673</v>
      </c>
      <c r="AH2472">
        <v>8.9635643338704298</v>
      </c>
      <c r="AI2472">
        <v>95.186347418142205</v>
      </c>
      <c r="AJ2472">
        <v>134.03884017486601</v>
      </c>
      <c r="AK2472">
        <v>12.520244516599799</v>
      </c>
      <c r="AL2472">
        <v>82.370466330769204</v>
      </c>
      <c r="AM2472">
        <v>115.484631752426</v>
      </c>
      <c r="AN2472">
        <v>0.99999996688189396</v>
      </c>
    </row>
    <row r="2473" spans="1:40" x14ac:dyDescent="0.25">
      <c r="A2473" t="str">
        <f>"20190303162827787"</f>
        <v>20190303162827787</v>
      </c>
      <c r="B2473" t="str">
        <f>"1551601707783677"</f>
        <v>1551601707783677</v>
      </c>
      <c r="C2473" t="s">
        <v>40</v>
      </c>
      <c r="D2473">
        <v>4.6918230000000003</v>
      </c>
      <c r="E2473">
        <v>0.367199</v>
      </c>
      <c r="F2473" t="s">
        <v>47</v>
      </c>
      <c r="G2473">
        <v>-483.1481</v>
      </c>
      <c r="H2473" s="1">
        <v>3.7142600000000002E-8</v>
      </c>
      <c r="I2473">
        <v>269.8272</v>
      </c>
      <c r="J2473">
        <v>-479.37009999999998</v>
      </c>
      <c r="K2473">
        <v>1.1318919999999999</v>
      </c>
      <c r="L2473">
        <v>281.63170000000002</v>
      </c>
      <c r="M2473">
        <v>-0.88122619999999896</v>
      </c>
      <c r="N2473">
        <v>-1.556592E-2</v>
      </c>
      <c r="O2473">
        <v>-0.47243819999999997</v>
      </c>
      <c r="P2473">
        <v>-0.58942810000000001</v>
      </c>
      <c r="Q2473">
        <v>0.13058249999999999</v>
      </c>
      <c r="R2473">
        <v>-0.79719719999999905</v>
      </c>
      <c r="S2473">
        <v>-1.035736</v>
      </c>
      <c r="T2473">
        <v>-0.28989330000000002</v>
      </c>
      <c r="U2473">
        <v>-3.0627140000000002</v>
      </c>
      <c r="V2473">
        <v>-0.42775150000000001</v>
      </c>
      <c r="W2473">
        <v>0.133301799999999</v>
      </c>
      <c r="X2473">
        <v>0.89401299999999995</v>
      </c>
      <c r="Y2473">
        <v>-0.68187949999999997</v>
      </c>
      <c r="Z2473">
        <v>-1.5348510000000001E-3</v>
      </c>
      <c r="AA2473">
        <v>0.73146299999999997</v>
      </c>
      <c r="AB2473">
        <v>31</v>
      </c>
      <c r="AC2473">
        <v>-3.77800000000002</v>
      </c>
      <c r="AD2473">
        <v>-1.13189196285739</v>
      </c>
      <c r="AE2473">
        <v>-11.804500000000001</v>
      </c>
      <c r="AF2473">
        <v>-8.5473240846906204</v>
      </c>
      <c r="AG2473">
        <v>-1.13189196285739</v>
      </c>
      <c r="AH2473">
        <v>8.8335779029814496</v>
      </c>
      <c r="AI2473">
        <v>95.261242717620206</v>
      </c>
      <c r="AJ2473">
        <v>134.05645558471301</v>
      </c>
      <c r="AK2473">
        <v>12.3438254602192</v>
      </c>
      <c r="AL2473">
        <v>82.339567184512802</v>
      </c>
      <c r="AM2473">
        <v>115.569356281099</v>
      </c>
      <c r="AN2473">
        <v>0.99999997990224399</v>
      </c>
    </row>
    <row r="2474" spans="1:40" x14ac:dyDescent="0.25">
      <c r="A2474" t="str">
        <f>"20190303162827811"</f>
        <v>20190303162827811</v>
      </c>
      <c r="B2474" t="str">
        <f>"1551601707804174"</f>
        <v>1551601707804174</v>
      </c>
      <c r="C2474" t="s">
        <v>40</v>
      </c>
      <c r="D2474">
        <v>4.6395039999999996</v>
      </c>
      <c r="E2474">
        <v>0.36781000000000003</v>
      </c>
      <c r="F2474" t="s">
        <v>41</v>
      </c>
      <c r="G2474">
        <v>-483.32310000000001</v>
      </c>
      <c r="H2474" s="1">
        <v>-5.3875149999999999E-6</v>
      </c>
      <c r="I2474">
        <v>269.43040000000002</v>
      </c>
      <c r="J2474">
        <v>-479.63470000000001</v>
      </c>
      <c r="K2474">
        <v>1.1319889999999999</v>
      </c>
      <c r="L2474">
        <v>281.47489999999999</v>
      </c>
      <c r="M2474">
        <v>-0.874807</v>
      </c>
      <c r="N2474">
        <v>-1.5591560000000001E-2</v>
      </c>
      <c r="O2474">
        <v>-0.48422090000000001</v>
      </c>
      <c r="P2474">
        <v>-0.57811919999999895</v>
      </c>
      <c r="Q2474">
        <v>0.13200539999999999</v>
      </c>
      <c r="R2474">
        <v>-0.80520369999999997</v>
      </c>
      <c r="S2474">
        <v>-0.99578860000000002</v>
      </c>
      <c r="T2474">
        <v>-0.28513470000000002</v>
      </c>
      <c r="U2474">
        <v>-3.0736080000000001</v>
      </c>
      <c r="V2474">
        <v>-0.42823860000000002</v>
      </c>
      <c r="W2474">
        <v>0.1346291</v>
      </c>
      <c r="X2474">
        <v>0.89358079999999995</v>
      </c>
      <c r="Y2474">
        <v>-0.6814945</v>
      </c>
      <c r="Z2474">
        <v>-5.8727529999999897E-4</v>
      </c>
      <c r="AA2474">
        <v>0.73182309999999995</v>
      </c>
      <c r="AB2474">
        <v>31</v>
      </c>
      <c r="AC2474">
        <v>-3.6884000000000001</v>
      </c>
      <c r="AD2474">
        <v>-1.13199438751499</v>
      </c>
      <c r="AE2474">
        <v>-12.0444999999999</v>
      </c>
      <c r="AF2474">
        <v>-8.6815651908300602</v>
      </c>
      <c r="AG2474">
        <v>-1.13199438751499</v>
      </c>
      <c r="AH2474">
        <v>8.9873573497804102</v>
      </c>
      <c r="AI2474">
        <v>95.176342075447593</v>
      </c>
      <c r="AJ2474">
        <v>134.00849352266499</v>
      </c>
      <c r="AK2474">
        <v>12.5468552868298</v>
      </c>
      <c r="AL2474">
        <v>82.262826670676304</v>
      </c>
      <c r="AM2474">
        <v>115.605549164397</v>
      </c>
      <c r="AN2474">
        <v>0.99999996961270399</v>
      </c>
    </row>
    <row r="2475" spans="1:40" x14ac:dyDescent="0.25">
      <c r="A2475" t="str">
        <f>"20190303162827833"</f>
        <v>20190303162827833</v>
      </c>
      <c r="B2475" t="str">
        <f>"1551601707823694"</f>
        <v>1551601707823694</v>
      </c>
      <c r="C2475" t="s">
        <v>40</v>
      </c>
      <c r="D2475">
        <v>4.6125160000000003</v>
      </c>
      <c r="E2475">
        <v>0.36838130000000002</v>
      </c>
      <c r="F2475" t="s">
        <v>41</v>
      </c>
      <c r="G2475">
        <v>-483.53269999999998</v>
      </c>
      <c r="H2475" s="1">
        <v>-5.1129260000000001E-6</v>
      </c>
      <c r="I2475">
        <v>268.87700000000001</v>
      </c>
      <c r="J2475">
        <v>-479.89269999999999</v>
      </c>
      <c r="K2475">
        <v>1.1320680000000001</v>
      </c>
      <c r="L2475">
        <v>281.31720000000001</v>
      </c>
      <c r="M2475">
        <v>-0.86827160000000003</v>
      </c>
      <c r="N2475">
        <v>-1.561443E-2</v>
      </c>
      <c r="O2475">
        <v>-0.49584329999999999</v>
      </c>
      <c r="P2475">
        <v>-0.56738599999999995</v>
      </c>
      <c r="Q2475">
        <v>0.13109609999999999</v>
      </c>
      <c r="R2475">
        <v>-0.81294960000000005</v>
      </c>
      <c r="S2475">
        <v>-0.95477290000000004</v>
      </c>
      <c r="T2475">
        <v>-0.27726780000000001</v>
      </c>
      <c r="U2475">
        <v>-3.085693</v>
      </c>
      <c r="V2475">
        <v>-0.42830849999999998</v>
      </c>
      <c r="W2475">
        <v>0.13365479999999999</v>
      </c>
      <c r="X2475">
        <v>0.89369359999999998</v>
      </c>
      <c r="Y2475">
        <v>-0.68151209999999995</v>
      </c>
      <c r="Z2475">
        <v>1.3216209999999999E-4</v>
      </c>
      <c r="AA2475">
        <v>0.73180690000000004</v>
      </c>
      <c r="AB2475">
        <v>31</v>
      </c>
      <c r="AC2475">
        <v>-3.6399999999999801</v>
      </c>
      <c r="AD2475">
        <v>-1.132073112926</v>
      </c>
      <c r="AE2475">
        <v>-12.440200000000001</v>
      </c>
      <c r="AF2475">
        <v>-8.9295837636906192</v>
      </c>
      <c r="AG2475">
        <v>-1.132073112926</v>
      </c>
      <c r="AH2475">
        <v>9.2594040699006097</v>
      </c>
      <c r="AI2475">
        <v>95.029383283376205</v>
      </c>
      <c r="AJ2475">
        <v>133.96117139934199</v>
      </c>
      <c r="AK2475">
        <v>12.9133891544965</v>
      </c>
      <c r="AL2475">
        <v>82.319159418628104</v>
      </c>
      <c r="AM2475">
        <v>115.606375104766</v>
      </c>
      <c r="AN2475">
        <v>1.00000001370812</v>
      </c>
    </row>
    <row r="2476" spans="1:40" x14ac:dyDescent="0.25">
      <c r="A2476" t="str">
        <f>"20190303162827855"</f>
        <v>20190303162827855</v>
      </c>
      <c r="B2476" t="str">
        <f>"1551601707844190"</f>
        <v>1551601707844190</v>
      </c>
      <c r="C2476" t="s">
        <v>40</v>
      </c>
      <c r="D2476">
        <v>4.5691079999999999</v>
      </c>
      <c r="E2476">
        <v>0.36890800000000001</v>
      </c>
      <c r="F2476" t="s">
        <v>41</v>
      </c>
      <c r="G2476">
        <v>-483.6216</v>
      </c>
      <c r="H2476" s="1">
        <v>-5.0262180000000003E-6</v>
      </c>
      <c r="I2476">
        <v>268.71170000000001</v>
      </c>
      <c r="J2476">
        <v>-480.15019999999998</v>
      </c>
      <c r="K2476">
        <v>1.1321319999999999</v>
      </c>
      <c r="L2476">
        <v>281.1549</v>
      </c>
      <c r="M2476">
        <v>-0.86146699999999998</v>
      </c>
      <c r="N2476">
        <v>-1.5635679999999999E-2</v>
      </c>
      <c r="O2476">
        <v>-0.50757280000000005</v>
      </c>
      <c r="P2476">
        <v>-0.55641160000000001</v>
      </c>
      <c r="Q2476">
        <v>0.12897040000000001</v>
      </c>
      <c r="R2476">
        <v>-0.82083700000000004</v>
      </c>
      <c r="S2476">
        <v>-0.91583250000000005</v>
      </c>
      <c r="T2476">
        <v>-0.2780397</v>
      </c>
      <c r="U2476">
        <v>-3.0959469999999998</v>
      </c>
      <c r="V2476">
        <v>-0.42845339999999998</v>
      </c>
      <c r="W2476">
        <v>0.13147029999999901</v>
      </c>
      <c r="X2476">
        <v>0.89394810000000002</v>
      </c>
      <c r="Y2476">
        <v>-0.68073409999999901</v>
      </c>
      <c r="Z2476">
        <v>1.3084209999999999E-3</v>
      </c>
      <c r="AA2476">
        <v>0.73252949999999994</v>
      </c>
      <c r="AB2476">
        <v>31</v>
      </c>
      <c r="AC2476">
        <v>-3.4714000000000098</v>
      </c>
      <c r="AD2476">
        <v>-1.1321370262179999</v>
      </c>
      <c r="AE2476">
        <v>-12.4431999999999</v>
      </c>
      <c r="AF2476">
        <v>-8.8902325064045407</v>
      </c>
      <c r="AG2476">
        <v>-1.1321370262179999</v>
      </c>
      <c r="AH2476">
        <v>9.2365239577234206</v>
      </c>
      <c r="AI2476">
        <v>95.046753472357196</v>
      </c>
      <c r="AJ2476">
        <v>133.90556120771399</v>
      </c>
      <c r="AK2476">
        <v>12.8697841118514</v>
      </c>
      <c r="AL2476">
        <v>82.445436263139001</v>
      </c>
      <c r="AM2476">
        <v>115.607570194678</v>
      </c>
      <c r="AN2476">
        <v>0.99999998062362905</v>
      </c>
    </row>
    <row r="2477" spans="1:40" x14ac:dyDescent="0.25">
      <c r="A2477" t="str">
        <f>"20190303162827877"</f>
        <v>20190303162827877</v>
      </c>
      <c r="B2477" t="str">
        <f>"1551601707874445"</f>
        <v>1551601707874445</v>
      </c>
      <c r="C2477" t="s">
        <v>40</v>
      </c>
      <c r="D2477">
        <v>4.5962370000000004</v>
      </c>
      <c r="E2477">
        <v>0.38403419999999999</v>
      </c>
      <c r="F2477" t="s">
        <v>41</v>
      </c>
      <c r="G2477">
        <v>-483.64830000000001</v>
      </c>
      <c r="H2477" s="1">
        <v>-5.0446979999999997E-6</v>
      </c>
      <c r="I2477">
        <v>268.76580000000001</v>
      </c>
      <c r="J2477">
        <v>-480.39729999999997</v>
      </c>
      <c r="K2477">
        <v>1.1321950000000001</v>
      </c>
      <c r="L2477">
        <v>280.99439999999998</v>
      </c>
      <c r="M2477">
        <v>-0.85466589999999998</v>
      </c>
      <c r="N2477">
        <v>-1.5655390000000002E-2</v>
      </c>
      <c r="O2477">
        <v>-0.51894269999999998</v>
      </c>
      <c r="P2477">
        <v>-0.5454599</v>
      </c>
      <c r="Q2477">
        <v>0.1267827</v>
      </c>
      <c r="R2477">
        <v>-0.82849259999999902</v>
      </c>
      <c r="S2477">
        <v>-0.87670899999999996</v>
      </c>
      <c r="T2477">
        <v>-0.28374240000000001</v>
      </c>
      <c r="U2477">
        <v>-3.1050420000000001</v>
      </c>
      <c r="V2477">
        <v>-0.42873359999999999</v>
      </c>
      <c r="W2477">
        <v>0.12922649999999999</v>
      </c>
      <c r="X2477">
        <v>0.89414099999999996</v>
      </c>
      <c r="Y2477">
        <v>-0.68012109999999903</v>
      </c>
      <c r="Z2477">
        <v>2.7385280000000001E-3</v>
      </c>
      <c r="AA2477">
        <v>0.73309469999999899</v>
      </c>
      <c r="AB2477">
        <v>31</v>
      </c>
      <c r="AC2477">
        <v>-3.2510000000000301</v>
      </c>
      <c r="AD2477">
        <v>-1.1322000446980001</v>
      </c>
      <c r="AE2477">
        <v>-12.228599999999901</v>
      </c>
      <c r="AF2477">
        <v>-8.6957360466937601</v>
      </c>
      <c r="AG2477">
        <v>-1.1322000446980001</v>
      </c>
      <c r="AH2477">
        <v>9.0530958076647696</v>
      </c>
      <c r="AI2477">
        <v>95.153822676072906</v>
      </c>
      <c r="AJ2477">
        <v>133.84654719218699</v>
      </c>
      <c r="AK2477">
        <v>12.603818708539899</v>
      </c>
      <c r="AL2477">
        <v>82.575103424799494</v>
      </c>
      <c r="AM2477">
        <v>115.617352689927</v>
      </c>
      <c r="AN2477">
        <v>1.0000000579760999</v>
      </c>
    </row>
    <row r="2478" spans="1:40" x14ac:dyDescent="0.25">
      <c r="A2478" t="str">
        <f>"20190303162827900"</f>
        <v>20190303162827900</v>
      </c>
      <c r="B2478" t="str">
        <f>"1551601707893966"</f>
        <v>1551601707893966</v>
      </c>
      <c r="C2478" t="s">
        <v>40</v>
      </c>
      <c r="D2478">
        <v>4.5907710000000002</v>
      </c>
      <c r="E2478">
        <v>0.38488450000000002</v>
      </c>
      <c r="F2478" t="s">
        <v>41</v>
      </c>
      <c r="G2478">
        <v>-484.07</v>
      </c>
      <c r="H2478" s="1">
        <v>-5.0702350000000001E-6</v>
      </c>
      <c r="I2478">
        <v>268.99970000000002</v>
      </c>
      <c r="J2478">
        <v>-480.65879999999999</v>
      </c>
      <c r="K2478">
        <v>1.13225</v>
      </c>
      <c r="L2478">
        <v>280.81950000000001</v>
      </c>
      <c r="M2478">
        <v>-0.84717969999999898</v>
      </c>
      <c r="N2478">
        <v>-1.567553E-2</v>
      </c>
      <c r="O2478">
        <v>-0.53107519999999997</v>
      </c>
      <c r="P2478">
        <v>-0.53444019999999903</v>
      </c>
      <c r="Q2478">
        <v>0.1257846</v>
      </c>
      <c r="R2478">
        <v>-0.83579409999999899</v>
      </c>
      <c r="S2478">
        <v>-0.93396000000000001</v>
      </c>
      <c r="T2478">
        <v>-0.28791519999999998</v>
      </c>
      <c r="U2478">
        <v>-3.0502319999999998</v>
      </c>
      <c r="V2478">
        <v>-0.42794579999999999</v>
      </c>
      <c r="W2478">
        <v>0.12820889999999999</v>
      </c>
      <c r="X2478">
        <v>0.89466469999999898</v>
      </c>
      <c r="Y2478">
        <v>-0.65326010000000001</v>
      </c>
      <c r="Z2478">
        <v>6.2077419999999996E-3</v>
      </c>
      <c r="AA2478">
        <v>0.75710819999999901</v>
      </c>
      <c r="AB2478">
        <v>31</v>
      </c>
      <c r="AC2478">
        <v>-3.4112</v>
      </c>
      <c r="AD2478">
        <v>-1.132255070235</v>
      </c>
      <c r="AE2478">
        <v>-11.819799999999899</v>
      </c>
      <c r="AF2478">
        <v>-8.1339973227008002</v>
      </c>
      <c r="AG2478">
        <v>-1.132255070235</v>
      </c>
      <c r="AH2478">
        <v>9.0912186482876702</v>
      </c>
      <c r="AI2478">
        <v>95.302799179107694</v>
      </c>
      <c r="AJ2478">
        <v>131.819291519388</v>
      </c>
      <c r="AK2478">
        <v>12.251292605302901</v>
      </c>
      <c r="AL2478">
        <v>82.633896469264201</v>
      </c>
      <c r="AM2478">
        <v>115.563232102089</v>
      </c>
      <c r="AN2478">
        <v>1.00000002760146</v>
      </c>
    </row>
    <row r="2479" spans="1:40" x14ac:dyDescent="0.25">
      <c r="A2479" t="str">
        <f>"20190303162827921"</f>
        <v>20190303162827921</v>
      </c>
      <c r="B2479" t="str">
        <f>"1551601707913485"</f>
        <v>1551601707913485</v>
      </c>
      <c r="C2479" t="s">
        <v>40</v>
      </c>
      <c r="D2479">
        <v>4.6277689999999998</v>
      </c>
      <c r="E2479">
        <v>0.3856176</v>
      </c>
      <c r="F2479" t="s">
        <v>41</v>
      </c>
      <c r="G2479">
        <v>-484.1447</v>
      </c>
      <c r="H2479" s="1">
        <v>-5.0330830000000003E-6</v>
      </c>
      <c r="I2479">
        <v>268.94389999999999</v>
      </c>
      <c r="J2479">
        <v>-480.89339999999999</v>
      </c>
      <c r="K2479">
        <v>1.132296</v>
      </c>
      <c r="L2479">
        <v>280.65780000000001</v>
      </c>
      <c r="M2479">
        <v>-0.84019539999999904</v>
      </c>
      <c r="N2479">
        <v>-1.5692629999999999E-2</v>
      </c>
      <c r="O2479">
        <v>-0.54205689999999995</v>
      </c>
      <c r="P2479">
        <v>-0.52541629999999995</v>
      </c>
      <c r="Q2479">
        <v>0.12523709999999999</v>
      </c>
      <c r="R2479">
        <v>-0.841578099999999</v>
      </c>
      <c r="S2479">
        <v>-0.8979492</v>
      </c>
      <c r="T2479">
        <v>-0.2916646</v>
      </c>
      <c r="U2479">
        <v>-3.059113</v>
      </c>
      <c r="V2479">
        <v>-0.42599399999999998</v>
      </c>
      <c r="W2479">
        <v>0.12768869999999999</v>
      </c>
      <c r="X2479">
        <v>0.89566990000000002</v>
      </c>
      <c r="Y2479">
        <v>-0.6522078</v>
      </c>
      <c r="Z2479">
        <v>7.6365230000000001E-3</v>
      </c>
      <c r="AA2479">
        <v>0.75800179999999995</v>
      </c>
      <c r="AB2479">
        <v>31</v>
      </c>
      <c r="AC2479">
        <v>-3.2513000000000098</v>
      </c>
      <c r="AD2479">
        <v>-1.1323010330829999</v>
      </c>
      <c r="AE2479">
        <v>-11.713900000000001</v>
      </c>
      <c r="AF2479">
        <v>-8.0110700886896797</v>
      </c>
      <c r="AG2479">
        <v>-1.1323010330829999</v>
      </c>
      <c r="AH2479">
        <v>9.0043287458278591</v>
      </c>
      <c r="AI2479">
        <v>95.367175604482398</v>
      </c>
      <c r="AJ2479">
        <v>131.65920141003701</v>
      </c>
      <c r="AK2479">
        <v>12.1052585994005</v>
      </c>
      <c r="AL2479">
        <v>82.663948026773298</v>
      </c>
      <c r="AM2479">
        <v>115.436459347046</v>
      </c>
      <c r="AN2479">
        <v>0.99999993095484696</v>
      </c>
    </row>
    <row r="2480" spans="1:40" x14ac:dyDescent="0.25">
      <c r="A2480" t="str">
        <f>"20190303162827944"</f>
        <v>20190303162827944</v>
      </c>
      <c r="B2480" t="str">
        <f>"1551601707933982"</f>
        <v>1551601707933982</v>
      </c>
      <c r="C2480" t="s">
        <v>40</v>
      </c>
      <c r="D2480">
        <v>4.638782</v>
      </c>
      <c r="E2480">
        <v>0.38694450000000002</v>
      </c>
      <c r="F2480" t="s">
        <v>41</v>
      </c>
      <c r="G2480">
        <v>-484.32049999999998</v>
      </c>
      <c r="H2480" s="1">
        <v>-4.834546E-6</v>
      </c>
      <c r="I2480">
        <v>268.5539</v>
      </c>
      <c r="J2480">
        <v>-481.13940000000002</v>
      </c>
      <c r="K2480">
        <v>1.132339</v>
      </c>
      <c r="L2480">
        <v>280.48309999999998</v>
      </c>
      <c r="M2480">
        <v>-0.83259219999999901</v>
      </c>
      <c r="N2480">
        <v>-1.570966E-2</v>
      </c>
      <c r="O2480">
        <v>-0.55366369999999998</v>
      </c>
      <c r="P2480">
        <v>-0.51739170000000001</v>
      </c>
      <c r="Q2480">
        <v>0.1240969</v>
      </c>
      <c r="R2480">
        <v>-0.84670309999999904</v>
      </c>
      <c r="S2480">
        <v>-0.86795040000000001</v>
      </c>
      <c r="T2480">
        <v>-0.28676560000000001</v>
      </c>
      <c r="U2480">
        <v>-3.0654300000000001</v>
      </c>
      <c r="V2480">
        <v>-0.42219489999999998</v>
      </c>
      <c r="W2480">
        <v>0.12664249999999999</v>
      </c>
      <c r="X2480">
        <v>0.8976153</v>
      </c>
      <c r="Y2480">
        <v>-0.64903009999999905</v>
      </c>
      <c r="Z2480">
        <v>8.6515140000000008E-3</v>
      </c>
      <c r="AA2480">
        <v>0.76071350000000004</v>
      </c>
      <c r="AB2480">
        <v>31</v>
      </c>
      <c r="AC2480">
        <v>-3.1810999999999501</v>
      </c>
      <c r="AD2480">
        <v>-1.132343834546</v>
      </c>
      <c r="AE2480">
        <v>-11.9291999999999</v>
      </c>
      <c r="AF2480">
        <v>-8.1037387489977295</v>
      </c>
      <c r="AG2480">
        <v>-1.132343834546</v>
      </c>
      <c r="AH2480">
        <v>9.1772665635672794</v>
      </c>
      <c r="AI2480">
        <v>95.284170113138202</v>
      </c>
      <c r="AJ2480">
        <v>131.44524890414101</v>
      </c>
      <c r="AK2480">
        <v>12.2953245524635</v>
      </c>
      <c r="AL2480">
        <v>82.724382316949601</v>
      </c>
      <c r="AM2480">
        <v>115.190028191211</v>
      </c>
      <c r="AN2480">
        <v>1.00000004159317</v>
      </c>
    </row>
    <row r="2481" spans="1:40" x14ac:dyDescent="0.25">
      <c r="A2481" t="str">
        <f>"20190303162827967"</f>
        <v>20190303162827967</v>
      </c>
      <c r="B2481" t="str">
        <f>"1551601707954478"</f>
        <v>1551601707954478</v>
      </c>
      <c r="C2481" t="s">
        <v>40</v>
      </c>
      <c r="D2481">
        <v>4.6546469999999998</v>
      </c>
      <c r="E2481">
        <v>0.38793889999999998</v>
      </c>
      <c r="F2481" t="s">
        <v>41</v>
      </c>
      <c r="G2481">
        <v>-484.50850000000003</v>
      </c>
      <c r="H2481" s="1">
        <v>-4.677137E-6</v>
      </c>
      <c r="I2481">
        <v>268.26459999999997</v>
      </c>
      <c r="J2481">
        <v>-481.38240000000002</v>
      </c>
      <c r="K2481">
        <v>1.132368</v>
      </c>
      <c r="L2481">
        <v>280.30509999999998</v>
      </c>
      <c r="M2481">
        <v>-0.82478850000000004</v>
      </c>
      <c r="N2481">
        <v>-1.572579E-2</v>
      </c>
      <c r="O2481">
        <v>-0.56522269999999997</v>
      </c>
      <c r="P2481">
        <v>-0.51041069999999999</v>
      </c>
      <c r="Q2481">
        <v>0.121993</v>
      </c>
      <c r="R2481">
        <v>-0.85123379999999904</v>
      </c>
      <c r="S2481">
        <v>-0.84594729999999996</v>
      </c>
      <c r="T2481">
        <v>-0.28432069999999998</v>
      </c>
      <c r="U2481">
        <v>-3.0679319999999999</v>
      </c>
      <c r="V2481">
        <v>-0.41725000000000001</v>
      </c>
      <c r="W2481">
        <v>0.12467789999999999</v>
      </c>
      <c r="X2481">
        <v>0.90019879999999997</v>
      </c>
      <c r="Y2481">
        <v>-0.64369290000000001</v>
      </c>
      <c r="Z2481">
        <v>9.9671859999999994E-3</v>
      </c>
      <c r="AA2481">
        <v>0.76521899999999998</v>
      </c>
      <c r="AB2481">
        <v>31</v>
      </c>
      <c r="AC2481">
        <v>-3.1261000000000001</v>
      </c>
      <c r="AD2481">
        <v>-1.132372677137</v>
      </c>
      <c r="AE2481">
        <v>-12.0405</v>
      </c>
      <c r="AF2481">
        <v>-8.0978318225672492</v>
      </c>
      <c r="AG2481">
        <v>-1.132372677137</v>
      </c>
      <c r="AH2481">
        <v>9.3079671548007497</v>
      </c>
      <c r="AI2481">
        <v>95.244098721098794</v>
      </c>
      <c r="AJ2481">
        <v>131.02292005211601</v>
      </c>
      <c r="AK2481">
        <v>12.3893260777719</v>
      </c>
      <c r="AL2481">
        <v>82.8378447751968</v>
      </c>
      <c r="AM2481">
        <v>114.86813446145899</v>
      </c>
      <c r="AN2481">
        <v>1.00000001038492</v>
      </c>
    </row>
    <row r="2482" spans="1:40" x14ac:dyDescent="0.25">
      <c r="A2482" t="str">
        <f>"20190303162827989"</f>
        <v>20190303162827989</v>
      </c>
      <c r="B2482" t="str">
        <f>"1551601707983758"</f>
        <v>1551601707983758</v>
      </c>
      <c r="C2482" t="s">
        <v>40</v>
      </c>
      <c r="D2482">
        <v>4.6816319999999996</v>
      </c>
      <c r="E2482">
        <v>0.38936300000000001</v>
      </c>
      <c r="F2482" t="s">
        <v>41</v>
      </c>
      <c r="G2482">
        <v>-484.57089999999999</v>
      </c>
      <c r="H2482" s="1">
        <v>-4.7395790000000004E-6</v>
      </c>
      <c r="I2482">
        <v>268.43599999999998</v>
      </c>
      <c r="J2482">
        <v>-481.62700000000001</v>
      </c>
      <c r="K2482">
        <v>1.1323920000000001</v>
      </c>
      <c r="L2482">
        <v>280.12040000000002</v>
      </c>
      <c r="M2482">
        <v>-0.81663609999999998</v>
      </c>
      <c r="N2482">
        <v>-1.5741129999999999E-2</v>
      </c>
      <c r="O2482">
        <v>-0.57693819999999996</v>
      </c>
      <c r="P2482">
        <v>-0.50435079999999999</v>
      </c>
      <c r="Q2482">
        <v>0.1182498</v>
      </c>
      <c r="R2482">
        <v>-0.85536399999999901</v>
      </c>
      <c r="S2482">
        <v>-0.82513429999999999</v>
      </c>
      <c r="T2482">
        <v>-0.2930412</v>
      </c>
      <c r="U2482">
        <v>-3.0715330000000001</v>
      </c>
      <c r="V2482">
        <v>-0.41111259999999999</v>
      </c>
      <c r="W2482">
        <v>0.1211235</v>
      </c>
      <c r="X2482">
        <v>0.90350180000000002</v>
      </c>
      <c r="Y2482">
        <v>-0.63781269999999901</v>
      </c>
      <c r="Z2482">
        <v>1.228314E-2</v>
      </c>
      <c r="AA2482">
        <v>0.77009359999999905</v>
      </c>
      <c r="AB2482">
        <v>31</v>
      </c>
      <c r="AC2482">
        <v>-2.9439000000000402</v>
      </c>
      <c r="AD2482">
        <v>-1.132396739579</v>
      </c>
      <c r="AE2482">
        <v>-11.6844</v>
      </c>
      <c r="AF2482">
        <v>-7.7757515990733896</v>
      </c>
      <c r="AG2482">
        <v>-1.132396739579</v>
      </c>
      <c r="AH2482">
        <v>9.0663318534658899</v>
      </c>
      <c r="AI2482">
        <v>95.415928138937105</v>
      </c>
      <c r="AJ2482">
        <v>130.618085042026</v>
      </c>
      <c r="AK2482">
        <v>11.9976251226428</v>
      </c>
      <c r="AL2482">
        <v>83.043052531445497</v>
      </c>
      <c r="AM2482">
        <v>114.466548096575</v>
      </c>
      <c r="AN2482">
        <v>0.99999998736712403</v>
      </c>
    </row>
    <row r="2483" spans="1:40" x14ac:dyDescent="0.25">
      <c r="A2483" t="str">
        <f>"20190303162828012"</f>
        <v>20190303162828012</v>
      </c>
      <c r="B2483" t="str">
        <f>"1551601708004254"</f>
        <v>1551601708004254</v>
      </c>
      <c r="C2483" t="s">
        <v>40</v>
      </c>
      <c r="D2483">
        <v>4.7107989999999997</v>
      </c>
      <c r="E2483">
        <v>0.39019979999999999</v>
      </c>
      <c r="F2483" t="s">
        <v>41</v>
      </c>
      <c r="G2483">
        <v>-484.69349999999997</v>
      </c>
      <c r="H2483" s="1">
        <v>-4.742019E-6</v>
      </c>
      <c r="I2483">
        <v>268.49239999999998</v>
      </c>
      <c r="J2483">
        <v>-481.86219999999997</v>
      </c>
      <c r="K2483">
        <v>1.132406</v>
      </c>
      <c r="L2483">
        <v>279.93770000000001</v>
      </c>
      <c r="M2483">
        <v>-0.8085135</v>
      </c>
      <c r="N2483">
        <v>-1.5754529999999999E-2</v>
      </c>
      <c r="O2483">
        <v>-0.58826690000000004</v>
      </c>
      <c r="P2483">
        <v>-0.49907839999999998</v>
      </c>
      <c r="Q2483">
        <v>0.1148879</v>
      </c>
      <c r="R2483">
        <v>-0.85890739999999999</v>
      </c>
      <c r="S2483">
        <v>-0.80990600000000001</v>
      </c>
      <c r="T2483">
        <v>-0.29908170000000001</v>
      </c>
      <c r="U2483">
        <v>-3.0711059999999999</v>
      </c>
      <c r="V2483">
        <v>-0.40433930000000001</v>
      </c>
      <c r="W2483">
        <v>0.1179776</v>
      </c>
      <c r="X2483">
        <v>0.90696810000000005</v>
      </c>
      <c r="Y2483">
        <v>-0.63061350000000005</v>
      </c>
      <c r="Z2483">
        <v>1.451322E-2</v>
      </c>
      <c r="AA2483">
        <v>0.77596129999999996</v>
      </c>
      <c r="AB2483">
        <v>30</v>
      </c>
      <c r="AC2483">
        <v>-2.8312999999999899</v>
      </c>
      <c r="AD2483">
        <v>-1.1324107420189999</v>
      </c>
      <c r="AE2483">
        <v>-11.4453</v>
      </c>
      <c r="AF2483">
        <v>-7.5196926156847201</v>
      </c>
      <c r="AG2483">
        <v>-1.1324107420189999</v>
      </c>
      <c r="AH2483">
        <v>8.9406780244729305</v>
      </c>
      <c r="AI2483">
        <v>95.536496658245994</v>
      </c>
      <c r="AJ2483">
        <v>130.066021484685</v>
      </c>
      <c r="AK2483">
        <v>11.737284807838501</v>
      </c>
      <c r="AL2483">
        <v>83.224601940959104</v>
      </c>
      <c r="AM2483">
        <v>114.02799372186399</v>
      </c>
      <c r="AN2483">
        <v>1.00000005902192</v>
      </c>
    </row>
    <row r="2484" spans="1:40" x14ac:dyDescent="0.25">
      <c r="A2484" t="str">
        <f>"20190303162828034"</f>
        <v>20190303162828034</v>
      </c>
      <c r="B2484" t="str">
        <f>"1551601708023774"</f>
        <v>1551601708023774</v>
      </c>
      <c r="C2484" t="s">
        <v>40</v>
      </c>
      <c r="D2484">
        <v>4.9854669999999999</v>
      </c>
      <c r="E2484">
        <v>0.41667799999999999</v>
      </c>
      <c r="F2484" t="s">
        <v>41</v>
      </c>
      <c r="G2484">
        <v>-484.81349999999998</v>
      </c>
      <c r="H2484" s="1">
        <v>-4.7275790000000003E-6</v>
      </c>
      <c r="I2484">
        <v>268.50839999999999</v>
      </c>
      <c r="J2484">
        <v>-482.09190000000001</v>
      </c>
      <c r="K2484">
        <v>1.1324259999999999</v>
      </c>
      <c r="L2484">
        <v>279.75389999999999</v>
      </c>
      <c r="M2484">
        <v>-0.80029119999999998</v>
      </c>
      <c r="N2484">
        <v>-1.5766809999999999E-2</v>
      </c>
      <c r="O2484">
        <v>-0.59940419999999905</v>
      </c>
      <c r="P2484">
        <v>-0.49648510000000001</v>
      </c>
      <c r="Q2484">
        <v>0.1112297</v>
      </c>
      <c r="R2484">
        <v>-0.86088969999999898</v>
      </c>
      <c r="S2484">
        <v>-0.79339599999999999</v>
      </c>
      <c r="T2484">
        <v>-0.30442019999999997</v>
      </c>
      <c r="U2484">
        <v>-3.072479</v>
      </c>
      <c r="V2484">
        <v>-0.39477180000000001</v>
      </c>
      <c r="W2484">
        <v>0.1146359</v>
      </c>
      <c r="X2484">
        <v>0.91159959999999995</v>
      </c>
      <c r="Y2484">
        <v>-0.62386509999999995</v>
      </c>
      <c r="Z2484">
        <v>1.6680500000000001E-2</v>
      </c>
      <c r="AA2484">
        <v>0.78135410000000005</v>
      </c>
      <c r="AB2484">
        <v>30</v>
      </c>
      <c r="AC2484">
        <v>-2.7215999999999601</v>
      </c>
      <c r="AD2484">
        <v>-1.132430727579</v>
      </c>
      <c r="AE2484">
        <v>-11.2454999999999</v>
      </c>
      <c r="AF2484">
        <v>-7.2993279678232099</v>
      </c>
      <c r="AG2484">
        <v>-1.132430727579</v>
      </c>
      <c r="AH2484">
        <v>8.8351445152258492</v>
      </c>
      <c r="AI2484">
        <v>95.643237017282004</v>
      </c>
      <c r="AJ2484">
        <v>129.56248293443801</v>
      </c>
      <c r="AK2484">
        <v>11.516178478103599</v>
      </c>
      <c r="AL2484">
        <v>83.417375210356994</v>
      </c>
      <c r="AM2484">
        <v>113.415214197428</v>
      </c>
      <c r="AN2484">
        <v>0.99999999718210497</v>
      </c>
    </row>
    <row r="2485" spans="1:40" x14ac:dyDescent="0.25">
      <c r="A2485" t="str">
        <f>"20190303162828056"</f>
        <v>20190303162828056</v>
      </c>
      <c r="B2485" t="str">
        <f>"1551601708044271"</f>
        <v>1551601708044271</v>
      </c>
      <c r="C2485" t="s">
        <v>40</v>
      </c>
      <c r="D2485">
        <v>4.8897000000000004</v>
      </c>
      <c r="E2485">
        <v>0.42833470000000001</v>
      </c>
      <c r="F2485" t="s">
        <v>44</v>
      </c>
      <c r="G2485">
        <v>-482.4006</v>
      </c>
      <c r="H2485">
        <v>1.0683199999999999</v>
      </c>
      <c r="I2485">
        <v>278.79610000000002</v>
      </c>
      <c r="J2485">
        <v>-482.3236</v>
      </c>
      <c r="K2485">
        <v>1.132458</v>
      </c>
      <c r="L2485">
        <v>279.56299999999999</v>
      </c>
      <c r="M2485">
        <v>-0.79169639999999997</v>
      </c>
      <c r="N2485">
        <v>-1.577895E-2</v>
      </c>
      <c r="O2485">
        <v>-0.610711</v>
      </c>
      <c r="P2485">
        <v>-0.4916469</v>
      </c>
      <c r="Q2485">
        <v>0.1085549</v>
      </c>
      <c r="R2485">
        <v>-0.8640023</v>
      </c>
      <c r="S2485">
        <v>-0.95431520000000003</v>
      </c>
      <c r="T2485">
        <v>-0.19811770000000001</v>
      </c>
      <c r="U2485">
        <v>-2.9599609999999998</v>
      </c>
      <c r="V2485">
        <v>-0.38711649999999997</v>
      </c>
      <c r="W2485">
        <v>0.1122108</v>
      </c>
      <c r="X2485">
        <v>0.91517729999999997</v>
      </c>
      <c r="Y2485">
        <v>-0.56555279999999997</v>
      </c>
      <c r="Z2485">
        <v>9.7417630000000005E-3</v>
      </c>
      <c r="AA2485">
        <v>0.82465449999999996</v>
      </c>
      <c r="AB2485">
        <v>30</v>
      </c>
      <c r="AC2485">
        <v>-7.6999999999998098E-2</v>
      </c>
      <c r="AD2485">
        <v>-6.4137999999999806E-2</v>
      </c>
      <c r="AE2485">
        <v>-0.76689999999996405</v>
      </c>
      <c r="AF2485">
        <v>-0.55634445414650102</v>
      </c>
      <c r="AG2485">
        <v>-6.4137999999999806E-2</v>
      </c>
      <c r="AH2485">
        <v>0.52574020896506302</v>
      </c>
      <c r="AI2485">
        <v>94.789662108779694</v>
      </c>
      <c r="AJ2485">
        <v>136.620045845372</v>
      </c>
      <c r="AK2485">
        <v>0.76813774938235901</v>
      </c>
      <c r="AL2485">
        <v>83.5572255516675</v>
      </c>
      <c r="AM2485">
        <v>112.928176336511</v>
      </c>
      <c r="AN2485">
        <v>0.99999996932208901</v>
      </c>
    </row>
    <row r="2486" spans="1:40" x14ac:dyDescent="0.25">
      <c r="A2486" t="str">
        <f>"20190303162828079"</f>
        <v>20190303162828079</v>
      </c>
      <c r="B2486" t="str">
        <f>"1551601708074165"</f>
        <v>1551601708074165</v>
      </c>
      <c r="C2486" t="s">
        <v>40</v>
      </c>
      <c r="D2486">
        <v>4.8858319999999997</v>
      </c>
      <c r="E2486">
        <v>0.50366250000000001</v>
      </c>
      <c r="F2486" t="s">
        <v>44</v>
      </c>
      <c r="G2486">
        <v>-482.63799999999998</v>
      </c>
      <c r="H2486">
        <v>1.0730249999999999</v>
      </c>
      <c r="I2486">
        <v>278.65989999999999</v>
      </c>
      <c r="J2486">
        <v>-482.55009999999999</v>
      </c>
      <c r="K2486">
        <v>1.1324829999999999</v>
      </c>
      <c r="L2486">
        <v>279.37110000000001</v>
      </c>
      <c r="M2486">
        <v>-0.78299869999999905</v>
      </c>
      <c r="N2486">
        <v>-1.5790599999999998E-2</v>
      </c>
      <c r="O2486">
        <v>-0.62182280000000001</v>
      </c>
      <c r="P2486">
        <v>-0.49162430000000001</v>
      </c>
      <c r="Q2486">
        <v>0.106295</v>
      </c>
      <c r="R2486">
        <v>-0.86429579999999995</v>
      </c>
      <c r="S2486">
        <v>-1.015747</v>
      </c>
      <c r="T2486">
        <v>-0.1920326</v>
      </c>
      <c r="U2486">
        <v>-2.9183349999999999</v>
      </c>
      <c r="V2486">
        <v>-0.37433309999999997</v>
      </c>
      <c r="W2486">
        <v>0.110380199999999</v>
      </c>
      <c r="X2486">
        <v>0.92070129999999994</v>
      </c>
      <c r="Y2486">
        <v>-0.53461119999999995</v>
      </c>
      <c r="Z2486">
        <v>1.1119489999999999E-2</v>
      </c>
      <c r="AA2486">
        <v>0.84502489999999997</v>
      </c>
      <c r="AB2486">
        <v>30</v>
      </c>
      <c r="AC2486">
        <v>-8.7900000000047301E-2</v>
      </c>
      <c r="AD2486">
        <v>-5.9457999999999997E-2</v>
      </c>
      <c r="AE2486">
        <v>-0.71120000000001904</v>
      </c>
      <c r="AF2486">
        <v>-0.49883899376287599</v>
      </c>
      <c r="AG2486">
        <v>-5.9457999999999997E-2</v>
      </c>
      <c r="AH2486">
        <v>0.50763505440109102</v>
      </c>
      <c r="AI2486">
        <v>94.7755285483873</v>
      </c>
      <c r="AJ2486">
        <v>134.49927738185801</v>
      </c>
      <c r="AK2486">
        <v>0.71419111162150195</v>
      </c>
      <c r="AL2486">
        <v>83.662766926150098</v>
      </c>
      <c r="AM2486">
        <v>112.125374736468</v>
      </c>
      <c r="AN2486">
        <v>0.99999997106466898</v>
      </c>
    </row>
    <row r="2487" spans="1:40" x14ac:dyDescent="0.25">
      <c r="A2487" t="str">
        <f>"20190303162828090"</f>
        <v>20190303162828090</v>
      </c>
      <c r="B2487" t="str">
        <f>"1551601708083926"</f>
        <v>1551601708083926</v>
      </c>
      <c r="C2487" t="s">
        <v>40</v>
      </c>
      <c r="D2487">
        <v>4.8044510000000002</v>
      </c>
      <c r="E2487">
        <v>0.5566759</v>
      </c>
      <c r="F2487" t="s">
        <v>47</v>
      </c>
      <c r="G2487">
        <v>-488.17090000000002</v>
      </c>
      <c r="H2487" s="1">
        <v>3.225444E-8</v>
      </c>
      <c r="I2487">
        <v>269.79950000000002</v>
      </c>
      <c r="J2487">
        <v>-482.67540000000002</v>
      </c>
      <c r="K2487">
        <v>1.1325000000000001</v>
      </c>
      <c r="L2487">
        <v>279.26229999999998</v>
      </c>
      <c r="M2487">
        <v>-0.77805570000000002</v>
      </c>
      <c r="N2487">
        <v>-1.579672E-2</v>
      </c>
      <c r="O2487">
        <v>-0.62799669999999996</v>
      </c>
      <c r="P2487">
        <v>-0.49109789999999998</v>
      </c>
      <c r="Q2487">
        <v>0.10613300000000001</v>
      </c>
      <c r="R2487">
        <v>-0.86461499999999902</v>
      </c>
      <c r="S2487">
        <v>-1.5448</v>
      </c>
      <c r="T2487">
        <v>-0.311247099999999</v>
      </c>
      <c r="U2487">
        <v>-2.6306150000000001</v>
      </c>
      <c r="V2487">
        <v>-0.36760670000000001</v>
      </c>
      <c r="W2487">
        <v>0.11044370000000001</v>
      </c>
      <c r="X2487">
        <v>0.9234</v>
      </c>
      <c r="Y2487">
        <v>-0.3529407</v>
      </c>
      <c r="Z2487">
        <v>3.7286619999999999E-2</v>
      </c>
      <c r="AA2487">
        <v>0.93490240000000002</v>
      </c>
      <c r="AB2487">
        <v>30</v>
      </c>
      <c r="AC2487">
        <v>-5.4954999999999901</v>
      </c>
      <c r="AD2487">
        <v>-1.1324999677455601</v>
      </c>
      <c r="AE2487">
        <v>-9.4627999999999606</v>
      </c>
      <c r="AF2487">
        <v>-3.8704621682699698</v>
      </c>
      <c r="AG2487">
        <v>-1.1324999677455601</v>
      </c>
      <c r="AH2487">
        <v>10.111386892001599</v>
      </c>
      <c r="AI2487">
        <v>95.971485077037698</v>
      </c>
      <c r="AJ2487">
        <v>110.945972459904</v>
      </c>
      <c r="AK2487">
        <v>10.8859165187271</v>
      </c>
      <c r="AL2487">
        <v>83.659106627319005</v>
      </c>
      <c r="AM2487">
        <v>111.707563638962</v>
      </c>
      <c r="AN2487">
        <v>1.0000000283772801</v>
      </c>
    </row>
    <row r="2488" spans="1:40" x14ac:dyDescent="0.25">
      <c r="A2488" t="str">
        <f>"20190303162828102"</f>
        <v>20190303162828102</v>
      </c>
      <c r="B2488" t="str">
        <f>"1551601708093685"</f>
        <v>1551601708093685</v>
      </c>
      <c r="C2488" t="s">
        <v>40</v>
      </c>
      <c r="D2488">
        <v>4.8709220000000002</v>
      </c>
      <c r="E2488">
        <v>0.5595137</v>
      </c>
      <c r="F2488" t="s">
        <v>47</v>
      </c>
      <c r="G2488">
        <v>-486.22859999999997</v>
      </c>
      <c r="H2488" s="1">
        <v>1.4620810000000001E-6</v>
      </c>
      <c r="I2488">
        <v>274.7602</v>
      </c>
      <c r="J2488">
        <v>-482.79509999999999</v>
      </c>
      <c r="K2488">
        <v>1.1325149999999999</v>
      </c>
      <c r="L2488">
        <v>279.15730000000002</v>
      </c>
      <c r="M2488">
        <v>-0.77325600000000005</v>
      </c>
      <c r="N2488">
        <v>-1.580229E-2</v>
      </c>
      <c r="O2488">
        <v>-0.6338973</v>
      </c>
      <c r="P2488">
        <v>-0.49043619999999999</v>
      </c>
      <c r="Q2488">
        <v>0.1062227</v>
      </c>
      <c r="R2488">
        <v>-0.86497959999999996</v>
      </c>
      <c r="S2488">
        <v>-1.932007</v>
      </c>
      <c r="T2488">
        <v>-0.615770699999999</v>
      </c>
      <c r="U2488">
        <v>-2.447937</v>
      </c>
      <c r="V2488">
        <v>-0.3612688</v>
      </c>
      <c r="W2488">
        <v>0.1107446</v>
      </c>
      <c r="X2488">
        <v>0.92586199999999996</v>
      </c>
      <c r="Y2488">
        <v>-0.21811469999999999</v>
      </c>
      <c r="Z2488">
        <v>9.5601549999999993E-2</v>
      </c>
      <c r="AA2488">
        <v>0.97122929999999996</v>
      </c>
      <c r="AB2488">
        <v>30</v>
      </c>
      <c r="AC2488">
        <v>-3.43349999999998</v>
      </c>
      <c r="AD2488">
        <v>-1.1325135379189999</v>
      </c>
      <c r="AE2488">
        <v>-4.3971000000000204</v>
      </c>
      <c r="AF2488">
        <v>-1.1753157437955</v>
      </c>
      <c r="AG2488">
        <v>-1.1325135379189999</v>
      </c>
      <c r="AH2488">
        <v>5.22753765412231</v>
      </c>
      <c r="AI2488">
        <v>101.93479602517699</v>
      </c>
      <c r="AJ2488">
        <v>102.671200403585</v>
      </c>
      <c r="AK2488">
        <v>5.4764134190590399</v>
      </c>
      <c r="AL2488">
        <v>83.641759593148294</v>
      </c>
      <c r="AM2488">
        <v>111.31559218416599</v>
      </c>
      <c r="AN2488">
        <v>0.99999997766329896</v>
      </c>
    </row>
    <row r="2489" spans="1:40" x14ac:dyDescent="0.25">
      <c r="A2489" t="str">
        <f>"20190303162828122"</f>
        <v>20190303162828122</v>
      </c>
      <c r="B2489" t="str">
        <f>"1551601708114181"</f>
        <v>1551601708114181</v>
      </c>
      <c r="C2489" t="s">
        <v>40</v>
      </c>
      <c r="D2489">
        <v>4.7502420000000001</v>
      </c>
      <c r="E2489">
        <v>0.56473669999999998</v>
      </c>
      <c r="F2489" t="s">
        <v>47</v>
      </c>
      <c r="G2489">
        <v>-486.06920000000002</v>
      </c>
      <c r="H2489" s="1">
        <v>1.500951E-6</v>
      </c>
      <c r="I2489">
        <v>275.06119999999999</v>
      </c>
      <c r="J2489">
        <v>-482.98970000000003</v>
      </c>
      <c r="K2489">
        <v>1.1325449999999999</v>
      </c>
      <c r="L2489">
        <v>278.98219999999998</v>
      </c>
      <c r="M2489">
        <v>-0.76524590000000003</v>
      </c>
      <c r="N2489">
        <v>-1.5810370000000001E-2</v>
      </c>
      <c r="O2489">
        <v>-0.64354409999999995</v>
      </c>
      <c r="P2489">
        <v>-0.49053999999999998</v>
      </c>
      <c r="Q2489">
        <v>0.10725229999999999</v>
      </c>
      <c r="R2489">
        <v>-0.86479349999999999</v>
      </c>
      <c r="S2489">
        <v>-1.953308</v>
      </c>
      <c r="T2489">
        <v>-0.67566349999999997</v>
      </c>
      <c r="U2489">
        <v>-2.443756</v>
      </c>
      <c r="V2489">
        <v>-0.34943839999999998</v>
      </c>
      <c r="W2489">
        <v>0.1121728</v>
      </c>
      <c r="X2489">
        <v>0.93022039999999995</v>
      </c>
      <c r="Y2489">
        <v>-0.20112169999999999</v>
      </c>
      <c r="Z2489">
        <v>0.1089527</v>
      </c>
      <c r="AA2489">
        <v>0.97348829999999997</v>
      </c>
      <c r="AB2489">
        <v>30</v>
      </c>
      <c r="AC2489">
        <v>-3.0794999999999901</v>
      </c>
      <c r="AD2489">
        <v>-1.132543499049</v>
      </c>
      <c r="AE2489">
        <v>-3.92099999999999</v>
      </c>
      <c r="AF2489">
        <v>-0.96886853641059101</v>
      </c>
      <c r="AG2489">
        <v>-1.132543499049</v>
      </c>
      <c r="AH2489">
        <v>4.6410419205992701</v>
      </c>
      <c r="AI2489">
        <v>103.43493709862599</v>
      </c>
      <c r="AJ2489">
        <v>101.791770951424</v>
      </c>
      <c r="AK2489">
        <v>4.8744877809718901</v>
      </c>
      <c r="AL2489">
        <v>83.559416580515901</v>
      </c>
      <c r="AM2489">
        <v>110.58874872410701</v>
      </c>
      <c r="AN2489">
        <v>0.99999996251527901</v>
      </c>
    </row>
    <row r="2490" spans="1:40" x14ac:dyDescent="0.25">
      <c r="A2490" t="str">
        <f>"20190303162828135"</f>
        <v>20190303162828135</v>
      </c>
      <c r="B2490" t="str">
        <f>"1551601708123942"</f>
        <v>1551601708123942</v>
      </c>
      <c r="C2490" t="s">
        <v>40</v>
      </c>
      <c r="D2490">
        <v>4.7808479999999998</v>
      </c>
      <c r="E2490">
        <v>0.56496969999999902</v>
      </c>
      <c r="F2490" t="s">
        <v>47</v>
      </c>
      <c r="G2490">
        <v>-486.02690000000001</v>
      </c>
      <c r="H2490" s="1">
        <v>1.5362809999999999E-6</v>
      </c>
      <c r="I2490">
        <v>275.28309999999999</v>
      </c>
      <c r="J2490">
        <v>-483.10980000000001</v>
      </c>
      <c r="K2490">
        <v>1.1325540000000001</v>
      </c>
      <c r="L2490">
        <v>278.87139999999999</v>
      </c>
      <c r="M2490">
        <v>-0.76017179999999995</v>
      </c>
      <c r="N2490">
        <v>-1.581455E-2</v>
      </c>
      <c r="O2490">
        <v>-0.64952980000000005</v>
      </c>
      <c r="P2490">
        <v>-0.48884230000000001</v>
      </c>
      <c r="Q2490">
        <v>0.1074693</v>
      </c>
      <c r="R2490">
        <v>-0.86572709999999997</v>
      </c>
      <c r="S2490">
        <v>-1.994934</v>
      </c>
      <c r="T2490">
        <v>-0.74388849999999995</v>
      </c>
      <c r="U2490">
        <v>-2.4296880000000001</v>
      </c>
      <c r="V2490">
        <v>-0.34393639999999998</v>
      </c>
      <c r="W2490">
        <v>0.1125765</v>
      </c>
      <c r="X2490">
        <v>0.9322201</v>
      </c>
      <c r="Y2490">
        <v>-0.18222360000000001</v>
      </c>
      <c r="Z2490">
        <v>0.1232944</v>
      </c>
      <c r="AA2490">
        <v>0.97549629999999998</v>
      </c>
      <c r="AB2490">
        <v>30</v>
      </c>
      <c r="AC2490">
        <v>-2.9171</v>
      </c>
      <c r="AD2490">
        <v>-1.1325524637190001</v>
      </c>
      <c r="AE2490">
        <v>-3.5882999999999998</v>
      </c>
      <c r="AF2490">
        <v>-0.78594491552770296</v>
      </c>
      <c r="AG2490">
        <v>-1.1325524637190001</v>
      </c>
      <c r="AH2490">
        <v>4.2913801862350196</v>
      </c>
      <c r="AI2490">
        <v>104.552508373517</v>
      </c>
      <c r="AJ2490">
        <v>100.37841883502701</v>
      </c>
      <c r="AK2490">
        <v>4.5073637967364402</v>
      </c>
      <c r="AL2490">
        <v>83.536139172017201</v>
      </c>
      <c r="AM2490">
        <v>110.25120358751801</v>
      </c>
      <c r="AN2490">
        <v>1.0000000152205999</v>
      </c>
    </row>
    <row r="2491" spans="1:40" x14ac:dyDescent="0.25">
      <c r="A2491" t="str">
        <f>"20190303162828148"</f>
        <v>20190303162828148</v>
      </c>
      <c r="B2491" t="str">
        <f>"1551601708133701"</f>
        <v>1551601708133701</v>
      </c>
      <c r="C2491" t="s">
        <v>40</v>
      </c>
      <c r="D2491">
        <v>4.8880610000000004</v>
      </c>
      <c r="E2491">
        <v>0.56469910000000001</v>
      </c>
      <c r="F2491" t="s">
        <v>47</v>
      </c>
      <c r="G2491">
        <v>-486.01710000000003</v>
      </c>
      <c r="H2491" s="1">
        <v>1.5417509999999999E-6</v>
      </c>
      <c r="I2491">
        <v>275.31909999999999</v>
      </c>
      <c r="J2491">
        <v>-483.23579999999998</v>
      </c>
      <c r="K2491">
        <v>1.1325620000000001</v>
      </c>
      <c r="L2491">
        <v>278.75389999999999</v>
      </c>
      <c r="M2491">
        <v>-0.75476739999999998</v>
      </c>
      <c r="N2491">
        <v>-1.5818470000000001E-2</v>
      </c>
      <c r="O2491">
        <v>-0.65580190000000005</v>
      </c>
      <c r="P2491">
        <v>-0.48565209999999998</v>
      </c>
      <c r="Q2491">
        <v>0.10817350000000001</v>
      </c>
      <c r="R2491">
        <v>-0.86743340000000002</v>
      </c>
      <c r="S2491">
        <v>-1.993622</v>
      </c>
      <c r="T2491">
        <v>-0.77662419999999899</v>
      </c>
      <c r="U2491">
        <v>-2.4359440000000001</v>
      </c>
      <c r="V2491">
        <v>-0.33959400000000001</v>
      </c>
      <c r="W2491">
        <v>0.1134289</v>
      </c>
      <c r="X2491">
        <v>0.93370759999999997</v>
      </c>
      <c r="Y2491">
        <v>-0.1764964</v>
      </c>
      <c r="Z2491">
        <v>0.13091169999999999</v>
      </c>
      <c r="AA2491">
        <v>0.97555689999999995</v>
      </c>
      <c r="AB2491">
        <v>30</v>
      </c>
      <c r="AC2491">
        <v>-2.7813000000000399</v>
      </c>
      <c r="AD2491">
        <v>-1.1325604582490001</v>
      </c>
      <c r="AE2491">
        <v>-3.4347999999999899</v>
      </c>
      <c r="AF2491">
        <v>-0.72122884067786397</v>
      </c>
      <c r="AG2491">
        <v>-1.1325604582490001</v>
      </c>
      <c r="AH2491">
        <v>4.0841365856871796</v>
      </c>
      <c r="AI2491">
        <v>105.274026593459</v>
      </c>
      <c r="AJ2491">
        <v>100.014766665883</v>
      </c>
      <c r="AK2491">
        <v>4.2991901426621304</v>
      </c>
      <c r="AL2491">
        <v>83.486985573407793</v>
      </c>
      <c r="AM2491">
        <v>109.98657309315701</v>
      </c>
      <c r="AN2491">
        <v>1.0000000412444801</v>
      </c>
    </row>
    <row r="2492" spans="1:40" x14ac:dyDescent="0.25">
      <c r="A2492" t="str">
        <f>"20190303162828160"</f>
        <v>20190303162828160</v>
      </c>
      <c r="B2492" t="str">
        <f>"1551601708154197"</f>
        <v>1551601708154197</v>
      </c>
      <c r="C2492" t="s">
        <v>40</v>
      </c>
      <c r="D2492">
        <v>4.8093810000000001</v>
      </c>
      <c r="E2492">
        <v>0.56460169999999998</v>
      </c>
      <c r="F2492" t="s">
        <v>47</v>
      </c>
      <c r="G2492">
        <v>-486.04140000000001</v>
      </c>
      <c r="H2492" s="1">
        <v>1.539951E-6</v>
      </c>
      <c r="I2492">
        <v>275.29660000000001</v>
      </c>
      <c r="J2492">
        <v>-483.35849999999999</v>
      </c>
      <c r="K2492">
        <v>1.132568</v>
      </c>
      <c r="L2492">
        <v>278.63760000000002</v>
      </c>
      <c r="M2492">
        <v>-0.74940689999999999</v>
      </c>
      <c r="N2492">
        <v>-1.5821700000000001E-2</v>
      </c>
      <c r="O2492">
        <v>-0.66192079999999998</v>
      </c>
      <c r="P2492">
        <v>-0.48242030000000002</v>
      </c>
      <c r="Q2492">
        <v>0.1087752</v>
      </c>
      <c r="R2492">
        <v>-0.86916000000000004</v>
      </c>
      <c r="S2492">
        <v>-1.985535</v>
      </c>
      <c r="T2492">
        <v>-0.80152009999999996</v>
      </c>
      <c r="U2492">
        <v>-2.4467469999999998</v>
      </c>
      <c r="V2492">
        <v>-0.33542480000000002</v>
      </c>
      <c r="W2492">
        <v>0.1141731</v>
      </c>
      <c r="X2492">
        <v>0.93512280000000003</v>
      </c>
      <c r="Y2492">
        <v>-0.17324539999999999</v>
      </c>
      <c r="Z2492">
        <v>0.1369986</v>
      </c>
      <c r="AA2492">
        <v>0.97530380000000005</v>
      </c>
      <c r="AB2492">
        <v>30</v>
      </c>
      <c r="AC2492">
        <v>-2.6829000000000098</v>
      </c>
      <c r="AD2492">
        <v>-1.132566460049</v>
      </c>
      <c r="AE2492">
        <v>-3.3410000000000002</v>
      </c>
      <c r="AF2492">
        <v>-0.68045346362993198</v>
      </c>
      <c r="AG2492">
        <v>-1.132566460049</v>
      </c>
      <c r="AH2492">
        <v>3.9468493604185801</v>
      </c>
      <c r="AI2492">
        <v>105.789987202018</v>
      </c>
      <c r="AJ2492">
        <v>99.781874059298502</v>
      </c>
      <c r="AK2492">
        <v>4.16213209502419</v>
      </c>
      <c r="AL2492">
        <v>83.444066783870397</v>
      </c>
      <c r="AM2492">
        <v>109.732706729643</v>
      </c>
      <c r="AN2492">
        <v>0.99999997214924397</v>
      </c>
    </row>
    <row r="2493" spans="1:40" x14ac:dyDescent="0.25">
      <c r="A2493" t="str">
        <f>"20190303162828171"</f>
        <v>20190303162828171</v>
      </c>
      <c r="B2493" t="str">
        <f>"1551601708163958"</f>
        <v>1551601708163958</v>
      </c>
      <c r="C2493" t="s">
        <v>40</v>
      </c>
      <c r="D2493">
        <v>4.819566</v>
      </c>
      <c r="E2493">
        <v>0.56467679999999998</v>
      </c>
      <c r="F2493" t="s">
        <v>47</v>
      </c>
      <c r="G2493">
        <v>-486.0489</v>
      </c>
      <c r="H2493" s="1">
        <v>1.5401399999999999E-6</v>
      </c>
      <c r="I2493">
        <v>275.29390000000001</v>
      </c>
      <c r="J2493">
        <v>-483.46440000000001</v>
      </c>
      <c r="K2493">
        <v>1.1325750000000001</v>
      </c>
      <c r="L2493">
        <v>278.5351</v>
      </c>
      <c r="M2493">
        <v>-0.74468319999999999</v>
      </c>
      <c r="N2493">
        <v>-1.582399E-2</v>
      </c>
      <c r="O2493">
        <v>-0.66723069999999995</v>
      </c>
      <c r="P2493">
        <v>-0.47925279999999998</v>
      </c>
      <c r="Q2493">
        <v>0.1099441</v>
      </c>
      <c r="R2493">
        <v>-0.87076369999999903</v>
      </c>
      <c r="S2493">
        <v>-1.9777830000000001</v>
      </c>
      <c r="T2493">
        <v>-0.83258339999999997</v>
      </c>
      <c r="U2493">
        <v>-2.4580380000000002</v>
      </c>
      <c r="V2493">
        <v>-0.33209939999999999</v>
      </c>
      <c r="W2493">
        <v>0.1154563</v>
      </c>
      <c r="X2493">
        <v>0.93615159999999997</v>
      </c>
      <c r="Y2493">
        <v>-0.171142299999999</v>
      </c>
      <c r="Z2493">
        <v>0.14390700000000001</v>
      </c>
      <c r="AA2493">
        <v>0.97467999999999999</v>
      </c>
      <c r="AB2493">
        <v>30</v>
      </c>
      <c r="AC2493">
        <v>-2.58449999999999</v>
      </c>
      <c r="AD2493">
        <v>-1.1325734598599999</v>
      </c>
      <c r="AE2493">
        <v>-3.2411999999999899</v>
      </c>
      <c r="AF2493">
        <v>-0.641418917228466</v>
      </c>
      <c r="AG2493">
        <v>-1.1325734598599999</v>
      </c>
      <c r="AH2493">
        <v>3.8038467267793501</v>
      </c>
      <c r="AI2493">
        <v>106.36220728375601</v>
      </c>
      <c r="AJ2493">
        <v>99.571389725793594</v>
      </c>
      <c r="AK2493">
        <v>4.0203719716200101</v>
      </c>
      <c r="AL2493">
        <v>83.370055531141404</v>
      </c>
      <c r="AM2493">
        <v>109.53211985569401</v>
      </c>
      <c r="AN2493">
        <v>0.99999999343630497</v>
      </c>
    </row>
    <row r="2494" spans="1:40" x14ac:dyDescent="0.25">
      <c r="A2494" t="str">
        <f>"20190303162828183"</f>
        <v>20190303162828183</v>
      </c>
      <c r="B2494" t="str">
        <f>"1551601708173717"</f>
        <v>1551601708173717</v>
      </c>
      <c r="C2494" t="s">
        <v>40</v>
      </c>
      <c r="D2494">
        <v>4.8043800000000001</v>
      </c>
      <c r="E2494">
        <v>0.56474209999999903</v>
      </c>
      <c r="F2494" t="s">
        <v>47</v>
      </c>
      <c r="G2494">
        <v>-486.12299999999999</v>
      </c>
      <c r="H2494" s="1">
        <v>1.531274E-6</v>
      </c>
      <c r="I2494">
        <v>275.20620000000002</v>
      </c>
      <c r="J2494">
        <v>-483.5754</v>
      </c>
      <c r="K2494">
        <v>1.1325780000000001</v>
      </c>
      <c r="L2494">
        <v>278.4271</v>
      </c>
      <c r="M2494">
        <v>-0.73968140000000004</v>
      </c>
      <c r="N2494">
        <v>-1.582625E-2</v>
      </c>
      <c r="O2494">
        <v>-0.67277119999999901</v>
      </c>
      <c r="P2494">
        <v>-0.47480820000000001</v>
      </c>
      <c r="Q2494">
        <v>0.1115514</v>
      </c>
      <c r="R2494">
        <v>-0.87299130000000003</v>
      </c>
      <c r="S2494">
        <v>-1.9701839999999999</v>
      </c>
      <c r="T2494">
        <v>-0.83931029999999995</v>
      </c>
      <c r="U2494">
        <v>-2.466888</v>
      </c>
      <c r="V2494">
        <v>-0.3297718</v>
      </c>
      <c r="W2494">
        <v>0.1171442</v>
      </c>
      <c r="X2494">
        <v>0.9367645</v>
      </c>
      <c r="Y2494">
        <v>-0.16765250000000001</v>
      </c>
      <c r="Z2494">
        <v>0.14681469999999999</v>
      </c>
      <c r="AA2494">
        <v>0.97485290000000002</v>
      </c>
      <c r="AB2494">
        <v>30</v>
      </c>
      <c r="AC2494">
        <v>-2.5476000000000401</v>
      </c>
      <c r="AD2494">
        <v>-1.132576468726</v>
      </c>
      <c r="AE2494">
        <v>-3.2208999999999701</v>
      </c>
      <c r="AF2494">
        <v>-0.62131379567908396</v>
      </c>
      <c r="AG2494">
        <v>-1.132576468726</v>
      </c>
      <c r="AH2494">
        <v>3.76544446981945</v>
      </c>
      <c r="AI2494">
        <v>106.529244636881</v>
      </c>
      <c r="AJ2494">
        <v>99.369614076874299</v>
      </c>
      <c r="AK2494">
        <v>3.9808708024133201</v>
      </c>
      <c r="AL2494">
        <v>83.272685042173606</v>
      </c>
      <c r="AM2494">
        <v>109.39373898708899</v>
      </c>
      <c r="AN2494">
        <v>0.99999996606456398</v>
      </c>
    </row>
    <row r="2495" spans="1:40" x14ac:dyDescent="0.25">
      <c r="A2495" t="str">
        <f>"20190303162828195"</f>
        <v>20190303162828195</v>
      </c>
      <c r="B2495" t="str">
        <f>"1551601708183478"</f>
        <v>1551601708183478</v>
      </c>
      <c r="C2495" t="s">
        <v>40</v>
      </c>
      <c r="D2495">
        <v>4.8275750000000004</v>
      </c>
      <c r="E2495">
        <v>0.56476289999999996</v>
      </c>
      <c r="F2495" t="s">
        <v>47</v>
      </c>
      <c r="G2495">
        <v>-486.2072</v>
      </c>
      <c r="H2495" s="1">
        <v>1.5190059999999999E-6</v>
      </c>
      <c r="I2495">
        <v>275.0942</v>
      </c>
      <c r="J2495">
        <v>-483.68369999999999</v>
      </c>
      <c r="K2495">
        <v>1.1325829999999999</v>
      </c>
      <c r="L2495">
        <v>278.31900000000002</v>
      </c>
      <c r="M2495">
        <v>-0.73469240000000002</v>
      </c>
      <c r="N2495">
        <v>-1.5827750000000002E-2</v>
      </c>
      <c r="O2495">
        <v>-0.67821569999999998</v>
      </c>
      <c r="P2495">
        <v>-0.47076639999999997</v>
      </c>
      <c r="Q2495">
        <v>0.112515</v>
      </c>
      <c r="R2495">
        <v>-0.87505419999999901</v>
      </c>
      <c r="S2495">
        <v>-1.9578249999999999</v>
      </c>
      <c r="T2495">
        <v>-0.84251960000000004</v>
      </c>
      <c r="U2495">
        <v>-2.4793090000000002</v>
      </c>
      <c r="V2495">
        <v>-0.32711479999999998</v>
      </c>
      <c r="W2495">
        <v>0.1182016</v>
      </c>
      <c r="X2495">
        <v>0.93756289999999998</v>
      </c>
      <c r="Y2495">
        <v>-0.16594819999999999</v>
      </c>
      <c r="Z2495">
        <v>0.14889829999999901</v>
      </c>
      <c r="AA2495">
        <v>0.97482840000000004</v>
      </c>
      <c r="AB2495">
        <v>30</v>
      </c>
      <c r="AC2495">
        <v>-2.5235000000000101</v>
      </c>
      <c r="AD2495">
        <v>-1.13258148099399</v>
      </c>
      <c r="AE2495">
        <v>-3.2248000000000099</v>
      </c>
      <c r="AF2495">
        <v>-0.61109135675543902</v>
      </c>
      <c r="AG2495">
        <v>-1.13258148099399</v>
      </c>
      <c r="AH2495">
        <v>3.7543934962777801</v>
      </c>
      <c r="AI2495">
        <v>106.580895711802</v>
      </c>
      <c r="AJ2495">
        <v>99.244789876567395</v>
      </c>
      <c r="AK2495">
        <v>3.9688340834916098</v>
      </c>
      <c r="AL2495">
        <v>83.211676515842896</v>
      </c>
      <c r="AM2495">
        <v>109.23383085781801</v>
      </c>
      <c r="AN2495">
        <v>0.99999995103900297</v>
      </c>
    </row>
    <row r="2496" spans="1:40" x14ac:dyDescent="0.25">
      <c r="A2496" t="str">
        <f>"20190303162828206"</f>
        <v>20190303162828206</v>
      </c>
      <c r="B2496" t="str">
        <f>"1551601708194213"</f>
        <v>1551601708194213</v>
      </c>
      <c r="C2496" t="s">
        <v>40</v>
      </c>
      <c r="D2496">
        <v>4.8738060000000001</v>
      </c>
      <c r="E2496">
        <v>0.56495709999999999</v>
      </c>
      <c r="F2496" t="s">
        <v>47</v>
      </c>
      <c r="G2496">
        <v>-486.28429999999997</v>
      </c>
      <c r="H2496" s="1">
        <v>1.5072730000000001E-6</v>
      </c>
      <c r="I2496">
        <v>274.98880000000003</v>
      </c>
      <c r="J2496">
        <v>-483.78899999999999</v>
      </c>
      <c r="K2496">
        <v>1.1325810000000001</v>
      </c>
      <c r="L2496">
        <v>278.2131</v>
      </c>
      <c r="M2496">
        <v>-0.72977979999999998</v>
      </c>
      <c r="N2496">
        <v>-1.5829019999999999E-2</v>
      </c>
      <c r="O2496">
        <v>-0.68349899999999997</v>
      </c>
      <c r="P2496">
        <v>-0.46688550000000001</v>
      </c>
      <c r="Q2496">
        <v>0.1136747</v>
      </c>
      <c r="R2496">
        <v>-0.87698129999999996</v>
      </c>
      <c r="S2496">
        <v>-1.9451290000000001</v>
      </c>
      <c r="T2496">
        <v>-0.84710200000000002</v>
      </c>
      <c r="U2496">
        <v>-2.4908450000000002</v>
      </c>
      <c r="V2496">
        <v>-0.32442009999999899</v>
      </c>
      <c r="W2496">
        <v>0.1194558</v>
      </c>
      <c r="X2496">
        <v>0.93833999999999995</v>
      </c>
      <c r="Y2496">
        <v>-0.16435039999999901</v>
      </c>
      <c r="Z2496">
        <v>0.1512271</v>
      </c>
      <c r="AA2496">
        <v>0.97474059999999996</v>
      </c>
      <c r="AB2496">
        <v>30</v>
      </c>
      <c r="AC2496">
        <v>-2.4952999999999799</v>
      </c>
      <c r="AD2496">
        <v>-1.1325794927269901</v>
      </c>
      <c r="AE2496">
        <v>-3.2242999999999702</v>
      </c>
      <c r="AF2496">
        <v>-0.60118296482832201</v>
      </c>
      <c r="AG2496">
        <v>-1.1325794927269901</v>
      </c>
      <c r="AH2496">
        <v>3.7369560389463201</v>
      </c>
      <c r="AI2496">
        <v>106.658656516489</v>
      </c>
      <c r="AJ2496">
        <v>99.139155076449597</v>
      </c>
      <c r="AK2496">
        <v>3.9508224082541199</v>
      </c>
      <c r="AL2496">
        <v>83.139303852915404</v>
      </c>
      <c r="AM2496">
        <v>109.072229114029</v>
      </c>
      <c r="AN2496">
        <v>1.0000000225188199</v>
      </c>
    </row>
    <row r="2497" spans="1:40" x14ac:dyDescent="0.25">
      <c r="A2497" t="str">
        <f>"20190303162828219"</f>
        <v>20190303162828219</v>
      </c>
      <c r="B2497" t="str">
        <f>"1551601708214709"</f>
        <v>1551601708214709</v>
      </c>
      <c r="C2497" t="s">
        <v>40</v>
      </c>
      <c r="D2497">
        <v>4.8839180000000004</v>
      </c>
      <c r="E2497">
        <v>0.56498519999999997</v>
      </c>
      <c r="F2497" t="s">
        <v>47</v>
      </c>
      <c r="G2497">
        <v>-486.37509999999997</v>
      </c>
      <c r="H2497" s="1">
        <v>1.494489E-6</v>
      </c>
      <c r="I2497">
        <v>274.87040000000002</v>
      </c>
      <c r="J2497">
        <v>-483.90539999999999</v>
      </c>
      <c r="K2497">
        <v>1.1325769999999999</v>
      </c>
      <c r="L2497">
        <v>278.09390000000002</v>
      </c>
      <c r="M2497">
        <v>-0.72425439999999996</v>
      </c>
      <c r="N2497">
        <v>-1.5829920000000001E-2</v>
      </c>
      <c r="O2497">
        <v>-0.6893513</v>
      </c>
      <c r="P2497">
        <v>-0.46173259999999999</v>
      </c>
      <c r="Q2497">
        <v>0.114784</v>
      </c>
      <c r="R2497">
        <v>-0.87956109999999899</v>
      </c>
      <c r="S2497">
        <v>-1.9346920000000001</v>
      </c>
      <c r="T2497">
        <v>-0.84728479999999995</v>
      </c>
      <c r="U2497">
        <v>-2.5006409999999999</v>
      </c>
      <c r="V2497">
        <v>-0.32229249999999998</v>
      </c>
      <c r="W2497">
        <v>0.1206416</v>
      </c>
      <c r="X2497">
        <v>0.93892129999999996</v>
      </c>
      <c r="Y2497">
        <v>-0.1609806</v>
      </c>
      <c r="Z2497">
        <v>0.15308339999999901</v>
      </c>
      <c r="AA2497">
        <v>0.97501320000000002</v>
      </c>
      <c r="AB2497">
        <v>30</v>
      </c>
      <c r="AC2497">
        <v>-2.46969999999998</v>
      </c>
      <c r="AD2497">
        <v>-1.1325755055109901</v>
      </c>
      <c r="AE2497">
        <v>-3.2235</v>
      </c>
      <c r="AF2497">
        <v>-0.58659328962615398</v>
      </c>
      <c r="AG2497">
        <v>-1.1325755055109901</v>
      </c>
      <c r="AH2497">
        <v>3.72181073035294</v>
      </c>
      <c r="AI2497">
        <v>106.730621627407</v>
      </c>
      <c r="AJ2497">
        <v>98.956689008448294</v>
      </c>
      <c r="AK2497">
        <v>3.9342971514221201</v>
      </c>
      <c r="AL2497">
        <v>83.070867631994105</v>
      </c>
      <c r="AM2497">
        <v>108.945207232036</v>
      </c>
      <c r="AN2497">
        <v>1.00000002940024</v>
      </c>
    </row>
    <row r="2498" spans="1:40" x14ac:dyDescent="0.25">
      <c r="A2498" t="str">
        <f>"20190303162828235"</f>
        <v>20190303162828235</v>
      </c>
      <c r="B2498" t="str">
        <f>"1551601708223493"</f>
        <v>1551601708223493</v>
      </c>
      <c r="C2498" t="s">
        <v>40</v>
      </c>
      <c r="D2498">
        <v>4.877167</v>
      </c>
      <c r="E2498">
        <v>0.56501349999999995</v>
      </c>
      <c r="F2498" t="s">
        <v>47</v>
      </c>
      <c r="G2498">
        <v>-486.45729999999998</v>
      </c>
      <c r="H2498" s="1">
        <v>1.4806090000000001E-6</v>
      </c>
      <c r="I2498">
        <v>274.75020000000001</v>
      </c>
      <c r="J2498">
        <v>-484.04219999999998</v>
      </c>
      <c r="K2498">
        <v>1.1325719999999999</v>
      </c>
      <c r="L2498">
        <v>277.9511</v>
      </c>
      <c r="M2498">
        <v>-0.71762700000000001</v>
      </c>
      <c r="N2498">
        <v>-1.5830589999999999E-2</v>
      </c>
      <c r="O2498">
        <v>-0.69624779999999997</v>
      </c>
      <c r="P2498">
        <v>-0.45769159999999998</v>
      </c>
      <c r="Q2498">
        <v>0.1163221</v>
      </c>
      <c r="R2498">
        <v>-0.8814689</v>
      </c>
      <c r="S2498">
        <v>-1.919098</v>
      </c>
      <c r="T2498">
        <v>-0.85171379999999997</v>
      </c>
      <c r="U2498">
        <v>-2.514526</v>
      </c>
      <c r="V2498">
        <v>-0.31750339999999999</v>
      </c>
      <c r="W2498">
        <v>0.122346</v>
      </c>
      <c r="X2498">
        <v>0.94033129999999998</v>
      </c>
      <c r="Y2498">
        <v>-0.15824739999999901</v>
      </c>
      <c r="Z2498">
        <v>0.15593170000000001</v>
      </c>
      <c r="AA2498">
        <v>0.97500929999999997</v>
      </c>
      <c r="AB2498">
        <v>30</v>
      </c>
      <c r="AC2498">
        <v>-2.41509999999999</v>
      </c>
      <c r="AD2498">
        <v>-1.1325705193909901</v>
      </c>
      <c r="AE2498">
        <v>-3.2008999999999901</v>
      </c>
      <c r="AF2498">
        <v>-0.57013666773553495</v>
      </c>
      <c r="AG2498">
        <v>-1.1325705193909901</v>
      </c>
      <c r="AH2498">
        <v>3.6695089475401499</v>
      </c>
      <c r="AI2498">
        <v>106.96088649910899</v>
      </c>
      <c r="AJ2498">
        <v>98.8315110805286</v>
      </c>
      <c r="AK2498">
        <v>3.8824048883865001</v>
      </c>
      <c r="AL2498">
        <v>82.9724833498382</v>
      </c>
      <c r="AM2498">
        <v>108.65728327151599</v>
      </c>
      <c r="AN2498">
        <v>0.99999995324362301</v>
      </c>
    </row>
    <row r="2499" spans="1:40" x14ac:dyDescent="0.25">
      <c r="A2499" t="str">
        <f>"20190303162828249"</f>
        <v>20190303162828249</v>
      </c>
      <c r="B2499" t="str">
        <f>"1551601708243989"</f>
        <v>1551601708243989</v>
      </c>
      <c r="C2499" t="s">
        <v>40</v>
      </c>
      <c r="D2499">
        <v>4.9582329999999999</v>
      </c>
      <c r="E2499">
        <v>0.56515400000000005</v>
      </c>
      <c r="F2499" t="s">
        <v>47</v>
      </c>
      <c r="G2499">
        <v>-486.57979999999998</v>
      </c>
      <c r="H2499" s="1">
        <v>1.4580479999999999E-6</v>
      </c>
      <c r="I2499">
        <v>274.58850000000001</v>
      </c>
      <c r="J2499">
        <v>-484.16649999999998</v>
      </c>
      <c r="K2499">
        <v>1.1325700000000001</v>
      </c>
      <c r="L2499">
        <v>277.8193</v>
      </c>
      <c r="M2499">
        <v>-0.71149680000000004</v>
      </c>
      <c r="N2499">
        <v>-1.5830839999999999E-2</v>
      </c>
      <c r="O2499">
        <v>-0.702511</v>
      </c>
      <c r="P2499">
        <v>-0.45181090000000002</v>
      </c>
      <c r="Q2499">
        <v>0.1168</v>
      </c>
      <c r="R2499">
        <v>-0.88443479999999997</v>
      </c>
      <c r="S2499">
        <v>-1.9061889999999999</v>
      </c>
      <c r="T2499">
        <v>-0.85077639999999999</v>
      </c>
      <c r="U2499">
        <v>-2.52597</v>
      </c>
      <c r="V2499">
        <v>-0.31548609999999999</v>
      </c>
      <c r="W2499">
        <v>0.1228992</v>
      </c>
      <c r="X2499">
        <v>0.94093800000000005</v>
      </c>
      <c r="Y2499">
        <v>-0.1550424</v>
      </c>
      <c r="Z2499">
        <v>0.15766820000000001</v>
      </c>
      <c r="AA2499">
        <v>0.97524489999999997</v>
      </c>
      <c r="AB2499">
        <v>30</v>
      </c>
      <c r="AC2499">
        <v>-2.4132999999999898</v>
      </c>
      <c r="AD2499">
        <v>-1.132568541952</v>
      </c>
      <c r="AE2499">
        <v>-3.2307999999999799</v>
      </c>
      <c r="AF2499">
        <v>-0.55929400341631497</v>
      </c>
      <c r="AG2499">
        <v>-1.132568541952</v>
      </c>
      <c r="AH2499">
        <v>3.6957186105411601</v>
      </c>
      <c r="AI2499">
        <v>106.857022845301</v>
      </c>
      <c r="AJ2499">
        <v>98.605594425955701</v>
      </c>
      <c r="AK2499">
        <v>3.90561868758037</v>
      </c>
      <c r="AL2499">
        <v>82.940546681818205</v>
      </c>
      <c r="AM2499">
        <v>108.535732545114</v>
      </c>
      <c r="AN2499">
        <v>1.00000000624892</v>
      </c>
    </row>
    <row r="2500" spans="1:40" x14ac:dyDescent="0.25">
      <c r="A2500" t="str">
        <f>"20190303162828262"</f>
        <v>20190303162828262</v>
      </c>
      <c r="B2500" t="str">
        <f>"1551601708253749"</f>
        <v>1551601708253749</v>
      </c>
      <c r="C2500" t="s">
        <v>40</v>
      </c>
      <c r="D2500">
        <v>4.9399030000000002</v>
      </c>
      <c r="E2500">
        <v>0.56512169999999995</v>
      </c>
      <c r="F2500" t="s">
        <v>47</v>
      </c>
      <c r="G2500">
        <v>-486.67630000000003</v>
      </c>
      <c r="H2500" s="1">
        <v>1.4167309999999999E-6</v>
      </c>
      <c r="I2500">
        <v>274.44740000000002</v>
      </c>
      <c r="J2500">
        <v>-484.29480000000001</v>
      </c>
      <c r="K2500">
        <v>1.13256</v>
      </c>
      <c r="L2500">
        <v>277.68119999999999</v>
      </c>
      <c r="M2500">
        <v>-0.70505859999999998</v>
      </c>
      <c r="N2500">
        <v>-1.58306E-2</v>
      </c>
      <c r="O2500">
        <v>-0.70897250000000001</v>
      </c>
      <c r="P2500">
        <v>-0.44550250000000002</v>
      </c>
      <c r="Q2500">
        <v>0.1169268</v>
      </c>
      <c r="R2500">
        <v>-0.88761250000000003</v>
      </c>
      <c r="S2500">
        <v>-1.8899840000000001</v>
      </c>
      <c r="T2500">
        <v>-0.85288079999999999</v>
      </c>
      <c r="U2500">
        <v>-2.539215</v>
      </c>
      <c r="V2500">
        <v>-0.31358649999999999</v>
      </c>
      <c r="W2500">
        <v>0.123098</v>
      </c>
      <c r="X2500">
        <v>0.94154680000000002</v>
      </c>
      <c r="Y2500">
        <v>-0.1526884</v>
      </c>
      <c r="Z2500">
        <v>0.15996749999999901</v>
      </c>
      <c r="AA2500">
        <v>0.97524180000000005</v>
      </c>
      <c r="AB2500">
        <v>30</v>
      </c>
      <c r="AC2500">
        <v>-2.3815000000000102</v>
      </c>
      <c r="AD2500">
        <v>-1.1325585832689999</v>
      </c>
      <c r="AE2500">
        <v>-3.2337999999999698</v>
      </c>
      <c r="AF2500">
        <v>-0.54808693599671399</v>
      </c>
      <c r="AG2500">
        <v>-1.1325585832689999</v>
      </c>
      <c r="AH2500">
        <v>3.67963947722816</v>
      </c>
      <c r="AI2500">
        <v>106.93192837333</v>
      </c>
      <c r="AJ2500">
        <v>98.471990442986097</v>
      </c>
      <c r="AK2500">
        <v>3.8888089328639501</v>
      </c>
      <c r="AL2500">
        <v>82.929069040084599</v>
      </c>
      <c r="AM2500">
        <v>108.42057479335</v>
      </c>
      <c r="AN2500">
        <v>0.99999999358824498</v>
      </c>
    </row>
    <row r="2501" spans="1:40" x14ac:dyDescent="0.25">
      <c r="A2501" t="str">
        <f>"20190303162828276"</f>
        <v>20190303162828276</v>
      </c>
      <c r="B2501" t="str">
        <f>"1551601708264486"</f>
        <v>1551601708264486</v>
      </c>
      <c r="C2501" t="s">
        <v>40</v>
      </c>
      <c r="D2501">
        <v>4.8939389999999996</v>
      </c>
      <c r="E2501">
        <v>0.56481999999999999</v>
      </c>
      <c r="F2501" t="s">
        <v>47</v>
      </c>
      <c r="G2501">
        <v>-486.77030000000002</v>
      </c>
      <c r="H2501" s="1">
        <v>1.3739220000000001E-6</v>
      </c>
      <c r="I2501">
        <v>274.30270000000002</v>
      </c>
      <c r="J2501">
        <v>-484.40589999999997</v>
      </c>
      <c r="K2501">
        <v>1.1325499999999999</v>
      </c>
      <c r="L2501">
        <v>277.55849999999998</v>
      </c>
      <c r="M2501">
        <v>-0.69935340000000001</v>
      </c>
      <c r="N2501">
        <v>-1.5829969999999999E-2</v>
      </c>
      <c r="O2501">
        <v>-0.71460100000000004</v>
      </c>
      <c r="P2501">
        <v>-0.44033739999999999</v>
      </c>
      <c r="Q2501">
        <v>0.1172385</v>
      </c>
      <c r="R2501">
        <v>-0.89014509999999902</v>
      </c>
      <c r="S2501">
        <v>-1.871094</v>
      </c>
      <c r="T2501">
        <v>-0.85603019999999996</v>
      </c>
      <c r="U2501">
        <v>-2.5535580000000002</v>
      </c>
      <c r="V2501">
        <v>-0.31148330000000002</v>
      </c>
      <c r="W2501">
        <v>0.123487</v>
      </c>
      <c r="X2501">
        <v>0.94219379999999997</v>
      </c>
      <c r="Y2501">
        <v>-0.1522666</v>
      </c>
      <c r="Z2501">
        <v>0.16209079999999901</v>
      </c>
      <c r="AA2501">
        <v>0.97495719999999997</v>
      </c>
      <c r="AB2501">
        <v>30</v>
      </c>
      <c r="AC2501">
        <v>-2.3644000000000398</v>
      </c>
      <c r="AD2501">
        <v>-1.132548626078</v>
      </c>
      <c r="AE2501">
        <v>-3.2557999999999598</v>
      </c>
      <c r="AF2501">
        <v>-0.54430437758208206</v>
      </c>
      <c r="AG2501">
        <v>-1.132548626078</v>
      </c>
      <c r="AH2501">
        <v>3.6884387320851499</v>
      </c>
      <c r="AI2501">
        <v>106.896889973017</v>
      </c>
      <c r="AJ2501">
        <v>98.394574685485196</v>
      </c>
      <c r="AK2501">
        <v>3.8966028699666202</v>
      </c>
      <c r="AL2501">
        <v>82.906609820443094</v>
      </c>
      <c r="AM2501">
        <v>108.29355853026</v>
      </c>
      <c r="AN2501">
        <v>1.0000000210531601</v>
      </c>
    </row>
    <row r="2502" spans="1:40" x14ac:dyDescent="0.25">
      <c r="A2502" t="str">
        <f>"20190303162828290"</f>
        <v>20190303162828290</v>
      </c>
      <c r="B2502" t="str">
        <f>"1551601708284005"</f>
        <v>1551601708284005</v>
      </c>
      <c r="C2502" t="s">
        <v>40</v>
      </c>
      <c r="D2502">
        <v>4.8381759999999998</v>
      </c>
      <c r="E2502">
        <v>0.56412299999999904</v>
      </c>
      <c r="F2502" t="s">
        <v>47</v>
      </c>
      <c r="G2502">
        <v>-486.84449999999998</v>
      </c>
      <c r="H2502" s="1">
        <v>1.3380079999999999E-6</v>
      </c>
      <c r="I2502">
        <v>274.1825</v>
      </c>
      <c r="J2502">
        <v>-484.54320000000001</v>
      </c>
      <c r="K2502">
        <v>1.132533</v>
      </c>
      <c r="L2502">
        <v>277.40480000000002</v>
      </c>
      <c r="M2502">
        <v>-0.69218769999999996</v>
      </c>
      <c r="N2502">
        <v>-1.5829019999999999E-2</v>
      </c>
      <c r="O2502">
        <v>-0.72154399999999996</v>
      </c>
      <c r="P2502">
        <v>-0.4352376</v>
      </c>
      <c r="Q2502">
        <v>0.1174466</v>
      </c>
      <c r="R2502">
        <v>-0.89262249999999999</v>
      </c>
      <c r="S2502">
        <v>-1.853912</v>
      </c>
      <c r="T2502">
        <v>-0.8610139</v>
      </c>
      <c r="U2502">
        <v>-2.5665589999999998</v>
      </c>
      <c r="V2502">
        <v>-0.30744500000000002</v>
      </c>
      <c r="W2502">
        <v>0.1238385</v>
      </c>
      <c r="X2502">
        <v>0.94347320000000001</v>
      </c>
      <c r="Y2502">
        <v>-0.1493497</v>
      </c>
      <c r="Z2502">
        <v>0.1651762</v>
      </c>
      <c r="AA2502">
        <v>0.97489049999999999</v>
      </c>
      <c r="AB2502">
        <v>30</v>
      </c>
      <c r="AC2502">
        <v>-2.3012999999999599</v>
      </c>
      <c r="AD2502">
        <v>-1.1325316619920001</v>
      </c>
      <c r="AE2502">
        <v>-3.2223000000000099</v>
      </c>
      <c r="AF2502">
        <v>-0.52691464838079904</v>
      </c>
      <c r="AG2502">
        <v>-1.1325316619920001</v>
      </c>
      <c r="AH2502">
        <v>3.62214590455384</v>
      </c>
      <c r="AI2502">
        <v>107.192695647517</v>
      </c>
      <c r="AJ2502">
        <v>98.276776745498793</v>
      </c>
      <c r="AK2502">
        <v>3.8314759513754999</v>
      </c>
      <c r="AL2502">
        <v>82.886314713983296</v>
      </c>
      <c r="AM2502">
        <v>108.04898209685</v>
      </c>
      <c r="AN2502">
        <v>1.0000000406127401</v>
      </c>
    </row>
    <row r="2503" spans="1:40" x14ac:dyDescent="0.25">
      <c r="A2503" t="str">
        <f>"20190303162828301"</f>
        <v>20190303162828301</v>
      </c>
      <c r="B2503" t="str">
        <f>"1551601708293765"</f>
        <v>1551601708293765</v>
      </c>
      <c r="C2503" t="s">
        <v>40</v>
      </c>
      <c r="D2503">
        <v>5.0317769999999999</v>
      </c>
      <c r="E2503">
        <v>0.56381649999999905</v>
      </c>
      <c r="F2503" t="s">
        <v>47</v>
      </c>
      <c r="G2503">
        <v>-486.9212</v>
      </c>
      <c r="H2503" s="1">
        <v>1.299293E-6</v>
      </c>
      <c r="I2503">
        <v>274.05369999999999</v>
      </c>
      <c r="J2503">
        <v>-484.64019999999999</v>
      </c>
      <c r="K2503">
        <v>1.1325229999999999</v>
      </c>
      <c r="L2503">
        <v>277.29469999999998</v>
      </c>
      <c r="M2503">
        <v>-0.68703749999999997</v>
      </c>
      <c r="N2503">
        <v>-1.582826E-2</v>
      </c>
      <c r="O2503">
        <v>-0.72644969999999998</v>
      </c>
      <c r="P2503">
        <v>-0.43073889999999998</v>
      </c>
      <c r="Q2503">
        <v>0.11778859999999999</v>
      </c>
      <c r="R2503">
        <v>-0.89475700000000002</v>
      </c>
      <c r="S2503">
        <v>-1.8323970000000001</v>
      </c>
      <c r="T2503">
        <v>-0.87267830000000002</v>
      </c>
      <c r="U2503">
        <v>-2.582214</v>
      </c>
      <c r="V2503">
        <v>-0.3054539</v>
      </c>
      <c r="W2503">
        <v>0.1242535</v>
      </c>
      <c r="X2503">
        <v>0.94406520000000005</v>
      </c>
      <c r="Y2503">
        <v>-0.15087709999999999</v>
      </c>
      <c r="Z2503">
        <v>0.16861679999999901</v>
      </c>
      <c r="AA2503">
        <v>0.97406599999999999</v>
      </c>
      <c r="AB2503">
        <v>30</v>
      </c>
      <c r="AC2503">
        <v>-2.2810000000000001</v>
      </c>
      <c r="AD2503">
        <v>-1.1325217007070001</v>
      </c>
      <c r="AE2503">
        <v>-3.2409999999999801</v>
      </c>
      <c r="AF2503">
        <v>-0.52671739822649499</v>
      </c>
      <c r="AG2503">
        <v>-1.1325217007070001</v>
      </c>
      <c r="AH2503">
        <v>3.6259584430093401</v>
      </c>
      <c r="AI2503">
        <v>107.176017469999</v>
      </c>
      <c r="AJ2503">
        <v>98.265142027406</v>
      </c>
      <c r="AK2503">
        <v>3.8350503582870301</v>
      </c>
      <c r="AL2503">
        <v>82.862352024656801</v>
      </c>
      <c r="AM2503">
        <v>107.92907575383499</v>
      </c>
      <c r="AN2503">
        <v>1.00000005956924</v>
      </c>
    </row>
    <row r="2504" spans="1:40" x14ac:dyDescent="0.25">
      <c r="A2504" t="str">
        <f>"20190303162828313"</f>
        <v>20190303162828313</v>
      </c>
      <c r="B2504" t="str">
        <f>"1551601708304503"</f>
        <v>1551601708304503</v>
      </c>
      <c r="C2504" t="s">
        <v>40</v>
      </c>
      <c r="D2504">
        <v>4.7615660000000002</v>
      </c>
      <c r="E2504">
        <v>0.56353069999999905</v>
      </c>
      <c r="F2504" t="s">
        <v>44</v>
      </c>
      <c r="G2504">
        <v>-485.0446</v>
      </c>
      <c r="H2504">
        <v>0.93741810000000003</v>
      </c>
      <c r="I2504">
        <v>276.7174</v>
      </c>
      <c r="J2504">
        <v>-484.73829999999998</v>
      </c>
      <c r="K2504">
        <v>1.1325179999999999</v>
      </c>
      <c r="L2504">
        <v>277.1807</v>
      </c>
      <c r="M2504">
        <v>-0.68172379999999999</v>
      </c>
      <c r="N2504">
        <v>-1.5826989999999999E-2</v>
      </c>
      <c r="O2504">
        <v>-0.73143859999999905</v>
      </c>
      <c r="P2504">
        <v>-0.42608980000000002</v>
      </c>
      <c r="Q2504">
        <v>0.1183771</v>
      </c>
      <c r="R2504">
        <v>-0.89690289999999995</v>
      </c>
      <c r="S2504">
        <v>-1.816711</v>
      </c>
      <c r="T2504">
        <v>-0.87705419999999901</v>
      </c>
      <c r="U2504">
        <v>-2.59375</v>
      </c>
      <c r="V2504">
        <v>-0.30342809999999998</v>
      </c>
      <c r="W2504">
        <v>0.1249149</v>
      </c>
      <c r="X2504">
        <v>0.944631</v>
      </c>
      <c r="Y2504">
        <v>-0.1498864</v>
      </c>
      <c r="Z2504">
        <v>0.17091110000000001</v>
      </c>
      <c r="AA2504">
        <v>0.97381899999999999</v>
      </c>
      <c r="AB2504">
        <v>30</v>
      </c>
      <c r="AC2504">
        <v>-0.306300000000021</v>
      </c>
      <c r="AD2504">
        <v>-0.19509989999999999</v>
      </c>
      <c r="AE2504">
        <v>-0.46330000000000299</v>
      </c>
      <c r="AF2504">
        <v>-8.1729299412490797E-2</v>
      </c>
      <c r="AG2504">
        <v>-0.19509989999999999</v>
      </c>
      <c r="AH2504">
        <v>0.48758884982971801</v>
      </c>
      <c r="AI2504">
        <v>111.535512743634</v>
      </c>
      <c r="AJ2504">
        <v>99.515420412848499</v>
      </c>
      <c r="AK2504">
        <v>0.53149462447021401</v>
      </c>
      <c r="AL2504">
        <v>82.824158861323596</v>
      </c>
      <c r="AM2504">
        <v>107.807712313764</v>
      </c>
      <c r="AN2504">
        <v>1.0000000351363001</v>
      </c>
    </row>
    <row r="2505" spans="1:40" x14ac:dyDescent="0.25">
      <c r="A2505" t="str">
        <f>"20190303162828325"</f>
        <v>20190303162828325</v>
      </c>
      <c r="B2505" t="str">
        <f>"1551601708314262"</f>
        <v>1551601708314262</v>
      </c>
      <c r="C2505" t="s">
        <v>40</v>
      </c>
      <c r="D2505">
        <v>4.7421319999999998</v>
      </c>
      <c r="E2505">
        <v>0.56334229999999996</v>
      </c>
      <c r="F2505" t="s">
        <v>44</v>
      </c>
      <c r="G2505">
        <v>-485.19600000000003</v>
      </c>
      <c r="H2505">
        <v>0.90897850000000002</v>
      </c>
      <c r="I2505">
        <v>276.5188</v>
      </c>
      <c r="J2505">
        <v>-484.83940000000001</v>
      </c>
      <c r="K2505">
        <v>1.132512</v>
      </c>
      <c r="L2505">
        <v>277.06240000000003</v>
      </c>
      <c r="M2505">
        <v>-0.67618669999999903</v>
      </c>
      <c r="N2505">
        <v>-1.582571E-2</v>
      </c>
      <c r="O2505">
        <v>-0.73656060000000001</v>
      </c>
      <c r="P2505">
        <v>-0.4211105</v>
      </c>
      <c r="Q2505">
        <v>0.11954339999999999</v>
      </c>
      <c r="R2505">
        <v>-0.89909740000000005</v>
      </c>
      <c r="S2505">
        <v>-1.800934</v>
      </c>
      <c r="T2505">
        <v>-0.88010440000000001</v>
      </c>
      <c r="U2505">
        <v>-2.6054379999999999</v>
      </c>
      <c r="V2505">
        <v>-0.3014597</v>
      </c>
      <c r="W2505">
        <v>0.12615199999999999</v>
      </c>
      <c r="X2505">
        <v>0.94509670000000001</v>
      </c>
      <c r="Y2505">
        <v>-0.1486604</v>
      </c>
      <c r="Z2505">
        <v>0.17300260000000001</v>
      </c>
      <c r="AA2505">
        <v>0.97363759999999999</v>
      </c>
      <c r="AB2505">
        <v>30</v>
      </c>
      <c r="AC2505">
        <v>-0.35659999999995701</v>
      </c>
      <c r="AD2505">
        <v>-0.2235335</v>
      </c>
      <c r="AE2505">
        <v>-0.54360000000002595</v>
      </c>
      <c r="AF2505">
        <v>-9.3837292722793897E-2</v>
      </c>
      <c r="AG2505">
        <v>-0.2235335</v>
      </c>
      <c r="AH2505">
        <v>0.57377168199545603</v>
      </c>
      <c r="AI2505">
        <v>111.0306678045</v>
      </c>
      <c r="AJ2505">
        <v>99.288191128675294</v>
      </c>
      <c r="AK2505">
        <v>0.62288570876822102</v>
      </c>
      <c r="AL2505">
        <v>82.752712997039595</v>
      </c>
      <c r="AM2505">
        <v>107.691244109877</v>
      </c>
      <c r="AN2505">
        <v>1.00000002508948</v>
      </c>
    </row>
    <row r="2506" spans="1:40" x14ac:dyDescent="0.25">
      <c r="A2506" t="str">
        <f>"20190303162828339"</f>
        <v>20190303162828339</v>
      </c>
      <c r="B2506" t="str">
        <f>"1551601708333781"</f>
        <v>1551601708333781</v>
      </c>
      <c r="C2506" t="s">
        <v>40</v>
      </c>
      <c r="D2506">
        <v>4.6879549999999997</v>
      </c>
      <c r="E2506">
        <v>0.56303970000000003</v>
      </c>
      <c r="F2506" t="s">
        <v>47</v>
      </c>
      <c r="G2506">
        <v>-487.1352</v>
      </c>
      <c r="H2506" s="1">
        <v>1.191488E-6</v>
      </c>
      <c r="I2506">
        <v>273.69510000000002</v>
      </c>
      <c r="J2506">
        <v>-484.95280000000002</v>
      </c>
      <c r="K2506">
        <v>1.1325080000000001</v>
      </c>
      <c r="L2506">
        <v>276.92689999999999</v>
      </c>
      <c r="M2506">
        <v>-0.66985269999999997</v>
      </c>
      <c r="N2506">
        <v>-1.5824009999999999E-2</v>
      </c>
      <c r="O2506">
        <v>-0.74232519999999902</v>
      </c>
      <c r="P2506">
        <v>-0.4144968</v>
      </c>
      <c r="Q2506">
        <v>0.121431399999999</v>
      </c>
      <c r="R2506">
        <v>-0.90191259999999995</v>
      </c>
      <c r="S2506">
        <v>-1.784729</v>
      </c>
      <c r="T2506">
        <v>-0.88042319999999996</v>
      </c>
      <c r="U2506">
        <v>-2.6177670000000002</v>
      </c>
      <c r="V2506">
        <v>-0.30018149999999999</v>
      </c>
      <c r="W2506">
        <v>0.12808829999999999</v>
      </c>
      <c r="X2506">
        <v>0.9452431</v>
      </c>
      <c r="Y2506">
        <v>-0.14658929999999901</v>
      </c>
      <c r="Z2506">
        <v>0.1747898</v>
      </c>
      <c r="AA2506">
        <v>0.97363239999999995</v>
      </c>
      <c r="AB2506">
        <v>30</v>
      </c>
      <c r="AC2506">
        <v>-2.1823999999999701</v>
      </c>
      <c r="AD2506">
        <v>-1.132506808512</v>
      </c>
      <c r="AE2506">
        <v>-3.2317999999999598</v>
      </c>
      <c r="AF2506">
        <v>-0.50247008052286202</v>
      </c>
      <c r="AG2506">
        <v>-1.132506808512</v>
      </c>
      <c r="AH2506">
        <v>3.5610803792676702</v>
      </c>
      <c r="AI2506">
        <v>107.47942645631601</v>
      </c>
      <c r="AJ2506">
        <v>98.031440698222298</v>
      </c>
      <c r="AK2506">
        <v>3.7704563809639602</v>
      </c>
      <c r="AL2506">
        <v>82.640863816966601</v>
      </c>
      <c r="AM2506">
        <v>107.618322371462</v>
      </c>
      <c r="AN2506">
        <v>1.0000000318183699</v>
      </c>
    </row>
    <row r="2507" spans="1:40" x14ac:dyDescent="0.25">
      <c r="A2507" t="str">
        <f>"20190303162828351"</f>
        <v>20190303162828351</v>
      </c>
      <c r="B2507" t="str">
        <f>"1551601708343541"</f>
        <v>1551601708343541</v>
      </c>
      <c r="C2507" t="s">
        <v>40</v>
      </c>
      <c r="D2507">
        <v>4.6773819999999997</v>
      </c>
      <c r="E2507">
        <v>0.56286000000000003</v>
      </c>
      <c r="F2507" t="s">
        <v>44</v>
      </c>
      <c r="G2507">
        <v>-485.36360000000002</v>
      </c>
      <c r="H2507">
        <v>0.92794779999999999</v>
      </c>
      <c r="I2507">
        <v>276.31389999999999</v>
      </c>
      <c r="J2507">
        <v>-485.05380000000002</v>
      </c>
      <c r="K2507">
        <v>1.1325050000000001</v>
      </c>
      <c r="L2507">
        <v>276.80419999999998</v>
      </c>
      <c r="M2507">
        <v>-0.66411790000000004</v>
      </c>
      <c r="N2507">
        <v>-1.5822039999999999E-2</v>
      </c>
      <c r="O2507">
        <v>-0.74746069999999998</v>
      </c>
      <c r="P2507">
        <v>-0.40830830000000001</v>
      </c>
      <c r="Q2507">
        <v>0.124275</v>
      </c>
      <c r="R2507">
        <v>-0.90434530000000002</v>
      </c>
      <c r="S2507">
        <v>-1.763855</v>
      </c>
      <c r="T2507">
        <v>-0.8804052</v>
      </c>
      <c r="U2507">
        <v>-2.6341860000000001</v>
      </c>
      <c r="V2507">
        <v>-0.29919620000000002</v>
      </c>
      <c r="W2507">
        <v>0.13096820000000001</v>
      </c>
      <c r="X2507">
        <v>0.94516080000000002</v>
      </c>
      <c r="Y2507">
        <v>-0.14718149999999999</v>
      </c>
      <c r="Z2507">
        <v>0.17602509999999999</v>
      </c>
      <c r="AA2507">
        <v>0.97332050000000003</v>
      </c>
      <c r="AB2507">
        <v>30</v>
      </c>
      <c r="AC2507">
        <v>-0.30979999999999502</v>
      </c>
      <c r="AD2507">
        <v>-0.204557199999999</v>
      </c>
      <c r="AE2507">
        <v>-0.49029999999999002</v>
      </c>
      <c r="AF2507">
        <v>-8.3658515218208801E-2</v>
      </c>
      <c r="AG2507">
        <v>-0.204557199999999</v>
      </c>
      <c r="AH2507">
        <v>0.50897939241470902</v>
      </c>
      <c r="AI2507">
        <v>111.632068548254</v>
      </c>
      <c r="AJ2507">
        <v>99.333975804350104</v>
      </c>
      <c r="AK2507">
        <v>0.55488955400439999</v>
      </c>
      <c r="AL2507">
        <v>82.474455438386599</v>
      </c>
      <c r="AM2507">
        <v>107.565489014044</v>
      </c>
      <c r="AN2507">
        <v>0.99999998668115997</v>
      </c>
    </row>
    <row r="2508" spans="1:40" x14ac:dyDescent="0.25">
      <c r="A2508" t="str">
        <f>"20190303162828363"</f>
        <v>20190303162828363</v>
      </c>
      <c r="B2508" t="str">
        <f>"1551601708354176"</f>
        <v>1551601708354176</v>
      </c>
      <c r="C2508" t="s">
        <v>40</v>
      </c>
      <c r="D2508">
        <v>4.6230310000000001</v>
      </c>
      <c r="E2508">
        <v>0.56268039999999997</v>
      </c>
      <c r="F2508" t="s">
        <v>44</v>
      </c>
      <c r="G2508">
        <v>-485.51299999999998</v>
      </c>
      <c r="H2508">
        <v>0.90251420000000004</v>
      </c>
      <c r="I2508">
        <v>276.10739999999998</v>
      </c>
      <c r="J2508">
        <v>-485.1542</v>
      </c>
      <c r="K2508">
        <v>1.132501</v>
      </c>
      <c r="L2508">
        <v>276.68110000000001</v>
      </c>
      <c r="M2508">
        <v>-0.65834079999999995</v>
      </c>
      <c r="N2508">
        <v>-1.5819969999999999E-2</v>
      </c>
      <c r="O2508">
        <v>-0.7525539</v>
      </c>
      <c r="P2508">
        <v>-0.40165050000000002</v>
      </c>
      <c r="Q2508">
        <v>0.1266765</v>
      </c>
      <c r="R2508">
        <v>-0.90698959999999995</v>
      </c>
      <c r="S2508">
        <v>-1.7457579999999999</v>
      </c>
      <c r="T2508">
        <v>-0.8745773</v>
      </c>
      <c r="U2508">
        <v>-2.649292</v>
      </c>
      <c r="V2508">
        <v>-0.29870530000000001</v>
      </c>
      <c r="W2508">
        <v>0.1333915</v>
      </c>
      <c r="X2508">
        <v>0.94497719999999996</v>
      </c>
      <c r="Y2508">
        <v>-0.14668329999999999</v>
      </c>
      <c r="Z2508">
        <v>0.1761326</v>
      </c>
      <c r="AA2508">
        <v>0.97337620000000002</v>
      </c>
      <c r="AB2508">
        <v>30</v>
      </c>
      <c r="AC2508">
        <v>-0.35880000000002998</v>
      </c>
      <c r="AD2508">
        <v>-0.22998679999999999</v>
      </c>
      <c r="AE2508">
        <v>-0.57370000000002996</v>
      </c>
      <c r="AF2508">
        <v>-9.6535296123560502E-2</v>
      </c>
      <c r="AG2508">
        <v>-0.22998679999999999</v>
      </c>
      <c r="AH2508">
        <v>0.59885542911689105</v>
      </c>
      <c r="AI2508">
        <v>110.76419136227901</v>
      </c>
      <c r="AJ2508">
        <v>99.157284524147201</v>
      </c>
      <c r="AK2508">
        <v>0.64872244955348901</v>
      </c>
      <c r="AL2508">
        <v>82.334381816414094</v>
      </c>
      <c r="AM2508">
        <v>107.541635553885</v>
      </c>
      <c r="AN2508">
        <v>1.0000000285200801</v>
      </c>
    </row>
    <row r="2509" spans="1:40" x14ac:dyDescent="0.25">
      <c r="A2509" t="str">
        <f>"20190303162828374"</f>
        <v>20190303162828374</v>
      </c>
      <c r="B2509" t="str">
        <f>"1551601708363914"</f>
        <v>1551601708363914</v>
      </c>
      <c r="C2509" t="s">
        <v>40</v>
      </c>
      <c r="D2509">
        <v>4.6210079999999998</v>
      </c>
      <c r="E2509">
        <v>0.56249490000000002</v>
      </c>
      <c r="F2509" t="s">
        <v>47</v>
      </c>
      <c r="G2509">
        <v>-487.40039999999999</v>
      </c>
      <c r="H2509" s="1">
        <v>1.0443370000000001E-6</v>
      </c>
      <c r="I2509">
        <v>273.21230000000003</v>
      </c>
      <c r="J2509">
        <v>-485.24930000000001</v>
      </c>
      <c r="K2509">
        <v>1.1324939999999999</v>
      </c>
      <c r="L2509">
        <v>276.56139999999999</v>
      </c>
      <c r="M2509">
        <v>-0.6527541</v>
      </c>
      <c r="N2509">
        <v>-1.5817049999999999E-2</v>
      </c>
      <c r="O2509">
        <v>-0.75740469999999904</v>
      </c>
      <c r="P2509">
        <v>-0.39482319999999999</v>
      </c>
      <c r="Q2509">
        <v>0.129357</v>
      </c>
      <c r="R2509">
        <v>-0.909605</v>
      </c>
      <c r="S2509">
        <v>-1.7256769999999999</v>
      </c>
      <c r="T2509">
        <v>-0.87007080000000003</v>
      </c>
      <c r="U2509">
        <v>-2.6649780000000001</v>
      </c>
      <c r="V2509">
        <v>-0.2986356</v>
      </c>
      <c r="W2509">
        <v>0.13608100000000001</v>
      </c>
      <c r="X2509">
        <v>0.94461569999999995</v>
      </c>
      <c r="Y2509">
        <v>-0.1470967</v>
      </c>
      <c r="Z2509">
        <v>0.17636569999999999</v>
      </c>
      <c r="AA2509">
        <v>0.97327169999999996</v>
      </c>
      <c r="AB2509">
        <v>30</v>
      </c>
      <c r="AC2509">
        <v>-2.15109999999998</v>
      </c>
      <c r="AD2509">
        <v>-1.1324929556629999</v>
      </c>
      <c r="AE2509">
        <v>-3.34909999999996</v>
      </c>
      <c r="AF2509">
        <v>-0.515246243777576</v>
      </c>
      <c r="AG2509">
        <v>-1.1324929556629999</v>
      </c>
      <c r="AH2509">
        <v>3.6461059411755299</v>
      </c>
      <c r="AI2509">
        <v>107.095163960262</v>
      </c>
      <c r="AJ2509">
        <v>98.043443041927404</v>
      </c>
      <c r="AK2509">
        <v>3.8525455896885599</v>
      </c>
      <c r="AL2509">
        <v>82.1788668007502</v>
      </c>
      <c r="AM2509">
        <v>107.5440933055</v>
      </c>
      <c r="AN2509">
        <v>1.0000000404174201</v>
      </c>
    </row>
    <row r="2510" spans="1:40" x14ac:dyDescent="0.25">
      <c r="A2510" t="str">
        <f>"20190303162828387"</f>
        <v>20190303162828387</v>
      </c>
      <c r="B2510" t="str">
        <f>"1551601708373674"</f>
        <v>1551601708373674</v>
      </c>
      <c r="C2510" t="s">
        <v>40</v>
      </c>
      <c r="D2510">
        <v>4.5881980000000002</v>
      </c>
      <c r="E2510">
        <v>0.56234530000000005</v>
      </c>
      <c r="F2510" t="s">
        <v>44</v>
      </c>
      <c r="G2510">
        <v>-485.67230000000001</v>
      </c>
      <c r="H2510">
        <v>0.91870439999999998</v>
      </c>
      <c r="I2510">
        <v>275.8972</v>
      </c>
      <c r="J2510">
        <v>-485.34570000000002</v>
      </c>
      <c r="K2510">
        <v>1.1324879999999999</v>
      </c>
      <c r="L2510">
        <v>276.43900000000002</v>
      </c>
      <c r="M2510">
        <v>-0.64702769999999898</v>
      </c>
      <c r="N2510">
        <v>-1.581376E-2</v>
      </c>
      <c r="O2510">
        <v>-0.76230249999999999</v>
      </c>
      <c r="P2510">
        <v>-0.38657419999999998</v>
      </c>
      <c r="Q2510">
        <v>0.13235930000000001</v>
      </c>
      <c r="R2510">
        <v>-0.91271100000000005</v>
      </c>
      <c r="S2510">
        <v>-1.7060850000000001</v>
      </c>
      <c r="T2510">
        <v>-0.86429690000000003</v>
      </c>
      <c r="U2510">
        <v>-2.6805110000000001</v>
      </c>
      <c r="V2510">
        <v>-0.29986580000000002</v>
      </c>
      <c r="W2510">
        <v>0.139050799999999</v>
      </c>
      <c r="X2510">
        <v>0.94379310000000005</v>
      </c>
      <c r="Y2510">
        <v>-0.14718310000000001</v>
      </c>
      <c r="Z2510">
        <v>0.1763487</v>
      </c>
      <c r="AA2510">
        <v>0.97326170000000001</v>
      </c>
      <c r="AB2510">
        <v>30</v>
      </c>
      <c r="AC2510">
        <v>-0.32659999999998401</v>
      </c>
      <c r="AD2510">
        <v>-0.21378359999999999</v>
      </c>
      <c r="AE2510">
        <v>-0.54180000000002304</v>
      </c>
      <c r="AF2510">
        <v>-9.1190600116251103E-2</v>
      </c>
      <c r="AG2510">
        <v>-0.21378359999999999</v>
      </c>
      <c r="AH2510">
        <v>0.56041496903353205</v>
      </c>
      <c r="AI2510">
        <v>110.63243977444201</v>
      </c>
      <c r="AJ2510">
        <v>99.242154282757795</v>
      </c>
      <c r="AK2510">
        <v>0.60669934126828995</v>
      </c>
      <c r="AL2510">
        <v>82.007076287745605</v>
      </c>
      <c r="AM2510">
        <v>107.626305977082</v>
      </c>
      <c r="AN2510">
        <v>1.00000001929894</v>
      </c>
    </row>
    <row r="2511" spans="1:40" x14ac:dyDescent="0.25">
      <c r="A2511" t="str">
        <f>"20190303162828401"</f>
        <v>20190303162828401</v>
      </c>
      <c r="B2511" t="str">
        <f>"1551601708394171"</f>
        <v>1551601708394171</v>
      </c>
      <c r="C2511" t="s">
        <v>40</v>
      </c>
      <c r="D2511">
        <v>4.4994809999999896</v>
      </c>
      <c r="E2511">
        <v>0.56203409999999998</v>
      </c>
      <c r="F2511" t="s">
        <v>47</v>
      </c>
      <c r="G2511">
        <v>-487.5693</v>
      </c>
      <c r="H2511" s="1">
        <v>9.3934780000000002E-7</v>
      </c>
      <c r="I2511">
        <v>272.87290000000002</v>
      </c>
      <c r="J2511">
        <v>-485.46539999999999</v>
      </c>
      <c r="K2511">
        <v>1.1324730000000001</v>
      </c>
      <c r="L2511">
        <v>276.28440000000001</v>
      </c>
      <c r="M2511">
        <v>-0.63979980000000003</v>
      </c>
      <c r="N2511">
        <v>-1.5808599999999999E-2</v>
      </c>
      <c r="O2511">
        <v>-0.76837919999999904</v>
      </c>
      <c r="P2511">
        <v>-0.37542890000000001</v>
      </c>
      <c r="Q2511">
        <v>0.13788499999999901</v>
      </c>
      <c r="R2511">
        <v>-0.91653759999999995</v>
      </c>
      <c r="S2511">
        <v>-1.68261699999999</v>
      </c>
      <c r="T2511">
        <v>-0.85697579999999995</v>
      </c>
      <c r="U2511">
        <v>-2.6985169999999998</v>
      </c>
      <c r="V2511">
        <v>-0.3020719</v>
      </c>
      <c r="W2511">
        <v>0.14451349999999999</v>
      </c>
      <c r="X2511">
        <v>0.94226770000000004</v>
      </c>
      <c r="Y2511">
        <v>-0.1467638</v>
      </c>
      <c r="Z2511">
        <v>0.1763402</v>
      </c>
      <c r="AA2511">
        <v>0.97332649999999998</v>
      </c>
      <c r="AB2511">
        <v>30</v>
      </c>
      <c r="AC2511">
        <v>-2.1039000000000101</v>
      </c>
      <c r="AD2511">
        <v>-1.1324720606522001</v>
      </c>
      <c r="AE2511">
        <v>-3.4114999999999802</v>
      </c>
      <c r="AF2511">
        <v>-0.52429844634501699</v>
      </c>
      <c r="AG2511">
        <v>-1.1324720606522001</v>
      </c>
      <c r="AH2511">
        <v>3.6745462114741199</v>
      </c>
      <c r="AI2511">
        <v>106.967137053714</v>
      </c>
      <c r="AJ2511">
        <v>98.120372449080406</v>
      </c>
      <c r="AK2511">
        <v>3.8806792819371698</v>
      </c>
      <c r="AL2511">
        <v>81.690891939008495</v>
      </c>
      <c r="AM2511">
        <v>107.77479588097999</v>
      </c>
      <c r="AN2511">
        <v>1.0000000014575701</v>
      </c>
    </row>
    <row r="2512" spans="1:40" x14ac:dyDescent="0.25">
      <c r="A2512" t="str">
        <f>"20190303162828414"</f>
        <v>20190303162828414</v>
      </c>
      <c r="B2512" t="str">
        <f>"1551601708403930"</f>
        <v>1551601708403930</v>
      </c>
      <c r="C2512" t="s">
        <v>40</v>
      </c>
      <c r="D2512">
        <v>4.5361570000000002</v>
      </c>
      <c r="E2512">
        <v>0.56203409999999998</v>
      </c>
      <c r="F2512" t="s">
        <v>47</v>
      </c>
      <c r="G2512">
        <v>-487.68259999999998</v>
      </c>
      <c r="H2512" s="1">
        <v>8.6276839999999996E-7</v>
      </c>
      <c r="I2512">
        <v>272.62779999999998</v>
      </c>
      <c r="J2512">
        <v>-485.55739999999997</v>
      </c>
      <c r="K2512">
        <v>1.13245</v>
      </c>
      <c r="L2512">
        <v>276.16250000000002</v>
      </c>
      <c r="M2512">
        <v>-0.63413660000000005</v>
      </c>
      <c r="N2512">
        <v>-1.5802690000000001E-2</v>
      </c>
      <c r="O2512">
        <v>-0.77305950000000001</v>
      </c>
      <c r="P2512">
        <v>-0.36655840000000001</v>
      </c>
      <c r="Q2512">
        <v>0.13985719999999999</v>
      </c>
      <c r="R2512">
        <v>-0.91982330000000001</v>
      </c>
      <c r="S2512">
        <v>-1.6515200000000001</v>
      </c>
      <c r="T2512">
        <v>-0.84353080000000003</v>
      </c>
      <c r="U2512">
        <v>-2.7236020000000001</v>
      </c>
      <c r="V2512">
        <v>-0.3041063</v>
      </c>
      <c r="W2512">
        <v>0.14643499999999901</v>
      </c>
      <c r="X2512">
        <v>0.94131620000000005</v>
      </c>
      <c r="Y2512">
        <v>-0.151252</v>
      </c>
      <c r="Z2512">
        <v>0.17407829999999999</v>
      </c>
      <c r="AA2512">
        <v>0.97304650000000004</v>
      </c>
      <c r="AB2512">
        <v>30</v>
      </c>
      <c r="AC2512">
        <v>-2.1252</v>
      </c>
      <c r="AD2512">
        <v>-1.1324491372315999</v>
      </c>
      <c r="AE2512">
        <v>-3.5347000000000399</v>
      </c>
      <c r="AF2512">
        <v>-0.55668261752402204</v>
      </c>
      <c r="AG2512">
        <v>-1.1324491372315999</v>
      </c>
      <c r="AH2512">
        <v>3.7946300263045498</v>
      </c>
      <c r="AI2512">
        <v>106.45050974823999</v>
      </c>
      <c r="AJ2512">
        <v>98.345914831015193</v>
      </c>
      <c r="AK2512">
        <v>3.9989440633249802</v>
      </c>
      <c r="AL2512">
        <v>81.579614467608394</v>
      </c>
      <c r="AM2512">
        <v>107.903827927737</v>
      </c>
      <c r="AN2512">
        <v>1.0000000196535599</v>
      </c>
    </row>
    <row r="2513" spans="1:40" x14ac:dyDescent="0.25">
      <c r="A2513" t="str">
        <f>"20190303162828426"</f>
        <v>20190303162828426</v>
      </c>
      <c r="B2513" t="str">
        <f>"1551601708413690"</f>
        <v>1551601708413690</v>
      </c>
      <c r="C2513" t="s">
        <v>40</v>
      </c>
      <c r="D2513">
        <v>4.7221830000000002</v>
      </c>
      <c r="E2513">
        <v>0.55369840000000003</v>
      </c>
      <c r="F2513" t="s">
        <v>47</v>
      </c>
      <c r="G2513">
        <v>-487.76260000000002</v>
      </c>
      <c r="H2513" s="1">
        <v>8.0798710000000004E-7</v>
      </c>
      <c r="I2513">
        <v>272.45280000000002</v>
      </c>
      <c r="J2513">
        <v>-485.65379999999999</v>
      </c>
      <c r="K2513">
        <v>1.132414</v>
      </c>
      <c r="L2513">
        <v>276.03399999999999</v>
      </c>
      <c r="M2513">
        <v>-0.62815430000000005</v>
      </c>
      <c r="N2513">
        <v>-1.579593E-2</v>
      </c>
      <c r="O2513">
        <v>-0.77792850000000002</v>
      </c>
      <c r="P2513">
        <v>-0.35707499999999998</v>
      </c>
      <c r="Q2513">
        <v>0.14134449999999901</v>
      </c>
      <c r="R2513">
        <v>-0.92331969999999997</v>
      </c>
      <c r="S2513">
        <v>-1.6285099999999999</v>
      </c>
      <c r="T2513">
        <v>-0.83631610000000001</v>
      </c>
      <c r="U2513">
        <v>-2.739655</v>
      </c>
      <c r="V2513">
        <v>-0.3064173</v>
      </c>
      <c r="W2513">
        <v>0.14786779999999999</v>
      </c>
      <c r="X2513">
        <v>0.94034220000000002</v>
      </c>
      <c r="Y2513">
        <v>-0.15205160000000001</v>
      </c>
      <c r="Z2513">
        <v>0.1736605</v>
      </c>
      <c r="AA2513">
        <v>0.97299659999999999</v>
      </c>
      <c r="AB2513">
        <v>30</v>
      </c>
      <c r="AC2513">
        <v>-2.1088000000000302</v>
      </c>
      <c r="AD2513">
        <v>-1.1324131920128999</v>
      </c>
      <c r="AE2513">
        <v>-3.58119999999996</v>
      </c>
      <c r="AF2513">
        <v>-0.56702763701124603</v>
      </c>
      <c r="AG2513">
        <v>-1.1324131920128999</v>
      </c>
      <c r="AH2513">
        <v>3.8269506252385699</v>
      </c>
      <c r="AI2513">
        <v>106.31524366244</v>
      </c>
      <c r="AJ2513">
        <v>98.428023663197905</v>
      </c>
      <c r="AK2513">
        <v>4.0310583060275</v>
      </c>
      <c r="AL2513">
        <v>81.496616970858796</v>
      </c>
      <c r="AM2513">
        <v>108.04857359122499</v>
      </c>
      <c r="AN2513">
        <v>0.99999995055848301</v>
      </c>
    </row>
    <row r="2514" spans="1:40" x14ac:dyDescent="0.25">
      <c r="A2514" t="str">
        <f>"20190303162828439"</f>
        <v>20190303162828439</v>
      </c>
      <c r="B2514" t="str">
        <f>"1551601708434187"</f>
        <v>1551601708434187</v>
      </c>
      <c r="C2514" t="s">
        <v>40</v>
      </c>
      <c r="D2514">
        <v>4.7381140000000004</v>
      </c>
      <c r="E2514">
        <v>0.54914830000000003</v>
      </c>
      <c r="F2514" t="s">
        <v>47</v>
      </c>
      <c r="G2514">
        <v>-487.52319999999997</v>
      </c>
      <c r="H2514" s="1">
        <v>8.588154E-7</v>
      </c>
      <c r="I2514">
        <v>272.65660000000003</v>
      </c>
      <c r="J2514">
        <v>-485.75490000000002</v>
      </c>
      <c r="K2514">
        <v>1.1323620000000001</v>
      </c>
      <c r="L2514">
        <v>275.8965</v>
      </c>
      <c r="M2514">
        <v>-0.62179149999999905</v>
      </c>
      <c r="N2514">
        <v>-1.5786640000000001E-2</v>
      </c>
      <c r="O2514">
        <v>-0.78302369999999899</v>
      </c>
      <c r="P2514">
        <v>-0.3472172</v>
      </c>
      <c r="Q2514">
        <v>0.14186389999999999</v>
      </c>
      <c r="R2514">
        <v>-0.92699219999999904</v>
      </c>
      <c r="S2514">
        <v>-1.546753</v>
      </c>
      <c r="T2514">
        <v>-0.93696990000000002</v>
      </c>
      <c r="U2514">
        <v>-2.7944339999999999</v>
      </c>
      <c r="V2514">
        <v>-0.30871949999999998</v>
      </c>
      <c r="W2514">
        <v>0.14834320000000001</v>
      </c>
      <c r="X2514">
        <v>0.93951399999999996</v>
      </c>
      <c r="Y2514">
        <v>-0.17595910000000001</v>
      </c>
      <c r="Z2514">
        <v>0.19356880000000001</v>
      </c>
      <c r="AA2514">
        <v>0.96517850000000005</v>
      </c>
      <c r="AB2514">
        <v>30</v>
      </c>
      <c r="AC2514">
        <v>-1.76829999999995</v>
      </c>
      <c r="AD2514">
        <v>-1.1323611411846</v>
      </c>
      <c r="AE2514">
        <v>-3.2398999999999698</v>
      </c>
      <c r="AF2514">
        <v>-0.57580649972762799</v>
      </c>
      <c r="AG2514">
        <v>-1.1323611411846</v>
      </c>
      <c r="AH2514">
        <v>3.3240356163660101</v>
      </c>
      <c r="AI2514">
        <v>108.554827283207</v>
      </c>
      <c r="AJ2514">
        <v>99.827545056552907</v>
      </c>
      <c r="AK2514">
        <v>3.5585120005506798</v>
      </c>
      <c r="AL2514">
        <v>81.469075194399593</v>
      </c>
      <c r="AM2514">
        <v>108.190258978087</v>
      </c>
      <c r="AN2514">
        <v>0.99999999543124496</v>
      </c>
    </row>
    <row r="2515" spans="1:40" x14ac:dyDescent="0.25">
      <c r="A2515" t="str">
        <f>"20190303162828453"</f>
        <v>20190303162828453</v>
      </c>
      <c r="B2515" t="str">
        <f>"1551601708443947"</f>
        <v>1551601708443947</v>
      </c>
      <c r="C2515" t="s">
        <v>40</v>
      </c>
      <c r="D2515">
        <v>4.4903879999999896</v>
      </c>
      <c r="E2515">
        <v>0.54914830000000003</v>
      </c>
      <c r="F2515" t="s">
        <v>47</v>
      </c>
      <c r="G2515">
        <v>-488.238</v>
      </c>
      <c r="H2515" s="1">
        <v>4.0389120000000001E-7</v>
      </c>
      <c r="I2515">
        <v>271.19040000000001</v>
      </c>
      <c r="J2515">
        <v>-485.85879999999997</v>
      </c>
      <c r="K2515">
        <v>1.1322970000000001</v>
      </c>
      <c r="L2515">
        <v>275.7525</v>
      </c>
      <c r="M2515">
        <v>-0.61516759999999904</v>
      </c>
      <c r="N2515">
        <v>-1.5774360000000001E-2</v>
      </c>
      <c r="O2515">
        <v>-0.78823889999999996</v>
      </c>
      <c r="P2515">
        <v>-0.33619090000000001</v>
      </c>
      <c r="Q2515">
        <v>0.14126839999999999</v>
      </c>
      <c r="R2515">
        <v>-0.93113860000000004</v>
      </c>
      <c r="S2515">
        <v>-1.471039</v>
      </c>
      <c r="T2515">
        <v>-0.67082629999999999</v>
      </c>
      <c r="U2515">
        <v>-2.7879640000000001</v>
      </c>
      <c r="V2515">
        <v>-0.31196819999999997</v>
      </c>
      <c r="W2515">
        <v>0.1476816</v>
      </c>
      <c r="X2515">
        <v>0.93854459999999995</v>
      </c>
      <c r="Y2515">
        <v>-0.1816207</v>
      </c>
      <c r="Z2515">
        <v>0.13982839999999999</v>
      </c>
      <c r="AA2515">
        <v>0.97337660000000004</v>
      </c>
      <c r="AB2515">
        <v>30</v>
      </c>
      <c r="AC2515">
        <v>-2.3792000000000799</v>
      </c>
      <c r="AD2515">
        <v>-1.1322965961087901</v>
      </c>
      <c r="AE2515">
        <v>-4.5620999999999796</v>
      </c>
      <c r="AF2515">
        <v>-0.88817947392999996</v>
      </c>
      <c r="AG2515">
        <v>-1.1322965961087901</v>
      </c>
      <c r="AH2515">
        <v>4.8265131656260003</v>
      </c>
      <c r="AI2515">
        <v>102.99222243852</v>
      </c>
      <c r="AJ2515">
        <v>100.426968825202</v>
      </c>
      <c r="AK2515">
        <v>5.0364856494813104</v>
      </c>
      <c r="AL2515">
        <v>81.507404207499405</v>
      </c>
      <c r="AM2515">
        <v>108.38658562901399</v>
      </c>
      <c r="AN2515">
        <v>0.99999998948947999</v>
      </c>
    </row>
    <row r="2516" spans="1:40" x14ac:dyDescent="0.25">
      <c r="A2516" t="str">
        <f>"20190303162828472"</f>
        <v>20190303162828472</v>
      </c>
      <c r="B2516" t="str">
        <f>"1551601708464202"</f>
        <v>1551601708464202</v>
      </c>
      <c r="C2516" t="s">
        <v>40</v>
      </c>
      <c r="D2516">
        <v>4.6166660000000004</v>
      </c>
      <c r="E2516">
        <v>0.48267060000000001</v>
      </c>
      <c r="F2516" t="s">
        <v>47</v>
      </c>
      <c r="G2516">
        <v>-488.2833</v>
      </c>
      <c r="H2516" s="1">
        <v>3.5055109999999999E-7</v>
      </c>
      <c r="I2516">
        <v>271.02809999999999</v>
      </c>
      <c r="J2516">
        <v>-485.99369999999999</v>
      </c>
      <c r="K2516">
        <v>1.1321870000000001</v>
      </c>
      <c r="L2516">
        <v>275.56209999999999</v>
      </c>
      <c r="M2516">
        <v>-0.60645349999999998</v>
      </c>
      <c r="N2516">
        <v>-1.5755519999999999E-2</v>
      </c>
      <c r="O2516">
        <v>-0.79496279999999997</v>
      </c>
      <c r="P2516">
        <v>-0.31960509999999998</v>
      </c>
      <c r="Q2516">
        <v>0.13920959999999999</v>
      </c>
      <c r="R2516">
        <v>-0.93726909999999997</v>
      </c>
      <c r="S2516">
        <v>-1.439117</v>
      </c>
      <c r="T2516">
        <v>-0.67209059999999998</v>
      </c>
      <c r="U2516">
        <v>-2.80423</v>
      </c>
      <c r="V2516">
        <v>-0.31840279999999999</v>
      </c>
      <c r="W2516">
        <v>0.14547689999999999</v>
      </c>
      <c r="X2516">
        <v>0.93672630000000001</v>
      </c>
      <c r="Y2516">
        <v>-0.1819431</v>
      </c>
      <c r="Z2516">
        <v>0.14158119999999999</v>
      </c>
      <c r="AA2516">
        <v>0.97306289999999995</v>
      </c>
      <c r="AB2516">
        <v>30</v>
      </c>
      <c r="AC2516">
        <v>-2.2896000000000001</v>
      </c>
      <c r="AD2516">
        <v>-1.1321866494488999</v>
      </c>
      <c r="AE2516">
        <v>-4.53399999999999</v>
      </c>
      <c r="AF2516">
        <v>-0.88562634124502004</v>
      </c>
      <c r="AG2516">
        <v>-1.1321866494488999</v>
      </c>
      <c r="AH2516">
        <v>4.7571574715586804</v>
      </c>
      <c r="AI2516">
        <v>103.168959770553</v>
      </c>
      <c r="AJ2516">
        <v>100.54586315837101</v>
      </c>
      <c r="AK2516">
        <v>4.9695802473351796</v>
      </c>
      <c r="AL2516">
        <v>81.6351037569721</v>
      </c>
      <c r="AM2516">
        <v>108.77341976911001</v>
      </c>
      <c r="AN2516">
        <v>1.0000000162965601</v>
      </c>
    </row>
    <row r="2517" spans="1:40" x14ac:dyDescent="0.25">
      <c r="A2517" t="str">
        <f>"20190303162828492"</f>
        <v>20190303162828492</v>
      </c>
      <c r="B2517" t="str">
        <f>"1551601708483721"</f>
        <v>1551601708483721</v>
      </c>
      <c r="C2517" t="s">
        <v>40</v>
      </c>
      <c r="D2517">
        <v>4.5508540000000002</v>
      </c>
      <c r="E2517">
        <v>0.4251335</v>
      </c>
      <c r="F2517" t="s">
        <v>41</v>
      </c>
      <c r="G2517">
        <v>-490.1619</v>
      </c>
      <c r="H2517" s="1">
        <v>-8.145303E-7</v>
      </c>
      <c r="I2517">
        <v>261.38740000000001</v>
      </c>
      <c r="J2517">
        <v>-486.15069999999997</v>
      </c>
      <c r="K2517">
        <v>1.132042</v>
      </c>
      <c r="L2517">
        <v>275.33510000000001</v>
      </c>
      <c r="M2517">
        <v>-0.59615819999999997</v>
      </c>
      <c r="N2517">
        <v>-1.572902E-2</v>
      </c>
      <c r="O2517">
        <v>-0.80271289999999995</v>
      </c>
      <c r="P2517">
        <v>-0.30112689999999998</v>
      </c>
      <c r="Q2517">
        <v>0.1359551</v>
      </c>
      <c r="R2517">
        <v>-0.94384239999999997</v>
      </c>
      <c r="S2517">
        <v>-0.86477660000000001</v>
      </c>
      <c r="T2517">
        <v>-0.2348943</v>
      </c>
      <c r="U2517">
        <v>-2.9408259999999999</v>
      </c>
      <c r="V2517">
        <v>-0.32489020000000002</v>
      </c>
      <c r="W2517">
        <v>0.14210100000000001</v>
      </c>
      <c r="X2517">
        <v>0.93501529999999999</v>
      </c>
      <c r="Y2517">
        <v>-0.3454586</v>
      </c>
      <c r="Z2517">
        <v>3.8970779999999997E-2</v>
      </c>
      <c r="AA2517">
        <v>0.93762449999999997</v>
      </c>
      <c r="AB2517">
        <v>30</v>
      </c>
      <c r="AC2517">
        <v>-4.0112000000000299</v>
      </c>
      <c r="AD2517">
        <v>-1.1320428145303001</v>
      </c>
      <c r="AE2517">
        <v>-13.9476999999999</v>
      </c>
      <c r="AF2517">
        <v>-5.0650071939122201</v>
      </c>
      <c r="AG2517">
        <v>-1.1320428145303001</v>
      </c>
      <c r="AH2517">
        <v>13.506810284901899</v>
      </c>
      <c r="AI2517">
        <v>94.487170425650902</v>
      </c>
      <c r="AJ2517">
        <v>110.555871679657</v>
      </c>
      <c r="AK2517">
        <v>14.469614468970599</v>
      </c>
      <c r="AL2517">
        <v>81.830559431058205</v>
      </c>
      <c r="AM2517">
        <v>109.160829381591</v>
      </c>
      <c r="AN2517">
        <v>0.99999997374556404</v>
      </c>
    </row>
    <row r="2518" spans="1:40" x14ac:dyDescent="0.25">
      <c r="A2518" t="str">
        <f>"20190303162828505"</f>
        <v>20190303162828505</v>
      </c>
      <c r="B2518" t="str">
        <f>"1551601708494457"</f>
        <v>1551601708494457</v>
      </c>
      <c r="C2518" t="s">
        <v>40</v>
      </c>
      <c r="D2518">
        <v>4.5892720000000002</v>
      </c>
      <c r="E2518">
        <v>0.42062739999999998</v>
      </c>
      <c r="F2518" t="s">
        <v>41</v>
      </c>
      <c r="G2518">
        <v>-489.69240000000002</v>
      </c>
      <c r="H2518" s="1">
        <v>-2.498536E-6</v>
      </c>
      <c r="I2518">
        <v>245.3297</v>
      </c>
      <c r="J2518">
        <v>-486.23849999999999</v>
      </c>
      <c r="K2518">
        <v>1.1319549999999901</v>
      </c>
      <c r="L2518">
        <v>275.20589999999999</v>
      </c>
      <c r="M2518">
        <v>-0.59033389999999997</v>
      </c>
      <c r="N2518">
        <v>-1.5713009999999999E-2</v>
      </c>
      <c r="O2518">
        <v>-0.80700640000000001</v>
      </c>
      <c r="P2518">
        <v>-0.29160570000000002</v>
      </c>
      <c r="Q2518">
        <v>0.13414719999999999</v>
      </c>
      <c r="R2518">
        <v>-0.94708539999999997</v>
      </c>
      <c r="S2518">
        <v>-0.36346440000000002</v>
      </c>
      <c r="T2518">
        <v>-0.11617570000000001</v>
      </c>
      <c r="U2518">
        <v>-3.079285</v>
      </c>
      <c r="V2518">
        <v>-0.32762069999999999</v>
      </c>
      <c r="W2518">
        <v>0.1402581</v>
      </c>
      <c r="X2518">
        <v>0.93434059999999997</v>
      </c>
      <c r="Y2518">
        <v>-0.4914791</v>
      </c>
      <c r="Z2518">
        <v>9.3000210000000003E-3</v>
      </c>
      <c r="AA2518">
        <v>0.870839699999999</v>
      </c>
      <c r="AB2518">
        <v>29</v>
      </c>
      <c r="AC2518">
        <v>-3.4539000000000302</v>
      </c>
      <c r="AD2518">
        <v>-1.1319574985359999</v>
      </c>
      <c r="AE2518">
        <v>-29.876199999999901</v>
      </c>
      <c r="AF2518">
        <v>-14.8304366121549</v>
      </c>
      <c r="AG2518">
        <v>-1.1319574985359999</v>
      </c>
      <c r="AH2518">
        <v>26.1154682336063</v>
      </c>
      <c r="AI2518">
        <v>92.158508185828495</v>
      </c>
      <c r="AJ2518">
        <v>119.591350701756</v>
      </c>
      <c r="AK2518">
        <v>30.0539657773502</v>
      </c>
      <c r="AL2518">
        <v>81.937218406835498</v>
      </c>
      <c r="AM2518">
        <v>109.322899009381</v>
      </c>
      <c r="AN2518">
        <v>1.0000000072462301</v>
      </c>
    </row>
    <row r="2519" spans="1:40" x14ac:dyDescent="0.25">
      <c r="A2519" t="str">
        <f>"20190303162828516"</f>
        <v>20190303162828516</v>
      </c>
      <c r="B2519" t="str">
        <f>"1551601708504217"</f>
        <v>1551601708504217</v>
      </c>
      <c r="C2519" t="s">
        <v>40</v>
      </c>
      <c r="D2519">
        <v>4.5189769999999996</v>
      </c>
      <c r="E2519">
        <v>0.41958990000000002</v>
      </c>
      <c r="F2519" t="s">
        <v>44</v>
      </c>
      <c r="G2519">
        <v>-486.34390000000002</v>
      </c>
      <c r="H2519">
        <v>1.0768610000000001</v>
      </c>
      <c r="I2519">
        <v>274.1191</v>
      </c>
      <c r="J2519">
        <v>-486.32650000000001</v>
      </c>
      <c r="K2519">
        <v>1.131866</v>
      </c>
      <c r="L2519">
        <v>275.07339999999999</v>
      </c>
      <c r="M2519">
        <v>-0.58442759999999905</v>
      </c>
      <c r="N2519">
        <v>-1.5694989999999999E-2</v>
      </c>
      <c r="O2519">
        <v>-0.81129410000000002</v>
      </c>
      <c r="P2519">
        <v>-0.28278979999999998</v>
      </c>
      <c r="Q2519">
        <v>0.13232060000000001</v>
      </c>
      <c r="R2519">
        <v>-0.95001119999999994</v>
      </c>
      <c r="S2519">
        <v>-0.3006897</v>
      </c>
      <c r="T2519">
        <v>-0.1570271</v>
      </c>
      <c r="U2519">
        <v>-3.0972900000000001</v>
      </c>
      <c r="V2519">
        <v>-0.3295611</v>
      </c>
      <c r="W2519">
        <v>0.13842370000000001</v>
      </c>
      <c r="X2519">
        <v>0.93393159999999997</v>
      </c>
      <c r="Y2519">
        <v>-0.50303920000000002</v>
      </c>
      <c r="Z2519">
        <v>1.774947E-2</v>
      </c>
      <c r="AA2519">
        <v>0.86408130000000005</v>
      </c>
      <c r="AB2519">
        <v>29</v>
      </c>
      <c r="AC2519">
        <v>-1.7400000000009099E-2</v>
      </c>
      <c r="AD2519">
        <v>-5.5004999999999901E-2</v>
      </c>
      <c r="AE2519">
        <v>-0.95429999999998905</v>
      </c>
      <c r="AF2519">
        <v>-0.54187004998824695</v>
      </c>
      <c r="AG2519">
        <v>-5.5004999999999901E-2</v>
      </c>
      <c r="AH2519">
        <v>0.78188682746883997</v>
      </c>
      <c r="AI2519">
        <v>93.309210431572097</v>
      </c>
      <c r="AJ2519">
        <v>124.723072041705</v>
      </c>
      <c r="AK2519">
        <v>0.95288809000246899</v>
      </c>
      <c r="AL2519">
        <v>82.043356673104199</v>
      </c>
      <c r="AM2519">
        <v>109.436662393577</v>
      </c>
      <c r="AN2519">
        <v>0.99999993641672702</v>
      </c>
    </row>
    <row r="2520" spans="1:40" x14ac:dyDescent="0.25">
      <c r="A2520" t="str">
        <f>"20190303162828529"</f>
        <v>20190303162828529</v>
      </c>
      <c r="B2520" t="str">
        <f>"1551601708523737"</f>
        <v>1551601708523737</v>
      </c>
      <c r="C2520" t="s">
        <v>40</v>
      </c>
      <c r="D2520">
        <v>4.4656070000000003</v>
      </c>
      <c r="E2520">
        <v>0.42162050000000001</v>
      </c>
      <c r="F2520" t="s">
        <v>44</v>
      </c>
      <c r="G2520">
        <v>-486.40539999999999</v>
      </c>
      <c r="H2520">
        <v>1.0803309999999999</v>
      </c>
      <c r="I2520">
        <v>274.14580000000001</v>
      </c>
      <c r="J2520">
        <v>-486.41309999999999</v>
      </c>
      <c r="K2520">
        <v>1.1317759999999999</v>
      </c>
      <c r="L2520">
        <v>274.94159999999999</v>
      </c>
      <c r="M2520">
        <v>-0.57857419999999904</v>
      </c>
      <c r="N2520">
        <v>-1.5677190000000001E-2</v>
      </c>
      <c r="O2520">
        <v>-0.81547910000000001</v>
      </c>
      <c r="P2520">
        <v>-0.27457759999999998</v>
      </c>
      <c r="Q2520">
        <v>0.13083310000000001</v>
      </c>
      <c r="R2520">
        <v>-0.95262290000000005</v>
      </c>
      <c r="S2520">
        <v>-0.26385500000000001</v>
      </c>
      <c r="T2520">
        <v>-0.1724252</v>
      </c>
      <c r="U2520">
        <v>-3.1033330000000001</v>
      </c>
      <c r="V2520">
        <v>-0.33095649999999999</v>
      </c>
      <c r="W2520">
        <v>0.13694489999999901</v>
      </c>
      <c r="X2520">
        <v>0.93365620000000005</v>
      </c>
      <c r="Y2520">
        <v>-0.50711890000000004</v>
      </c>
      <c r="Z2520">
        <v>2.11351E-2</v>
      </c>
      <c r="AA2520">
        <v>0.86161699999999997</v>
      </c>
      <c r="AB2520">
        <v>29</v>
      </c>
      <c r="AC2520">
        <v>7.6999999999998103E-3</v>
      </c>
      <c r="AD2520">
        <v>-5.1445000000000102E-2</v>
      </c>
      <c r="AE2520">
        <v>-0.79579999999998496</v>
      </c>
      <c r="AF2520">
        <v>-0.46482354768551798</v>
      </c>
      <c r="AG2520">
        <v>-5.1445000000000102E-2</v>
      </c>
      <c r="AH2520">
        <v>0.64190016140428396</v>
      </c>
      <c r="AI2520">
        <v>93.714014991201495</v>
      </c>
      <c r="AJ2520">
        <v>125.90968167356399</v>
      </c>
      <c r="AK2520">
        <v>0.79419351276549499</v>
      </c>
      <c r="AL2520">
        <v>82.128900934446506</v>
      </c>
      <c r="AM2520">
        <v>109.518074351807</v>
      </c>
      <c r="AN2520">
        <v>1.00000000516335</v>
      </c>
    </row>
    <row r="2521" spans="1:40" x14ac:dyDescent="0.25">
      <c r="A2521" t="str">
        <f>"20190303162828541"</f>
        <v>20190303162828541</v>
      </c>
      <c r="B2521" t="str">
        <f>"1551601708533497"</f>
        <v>1551601708533497</v>
      </c>
      <c r="C2521" t="s">
        <v>40</v>
      </c>
      <c r="D2521">
        <v>4.4331930000000002</v>
      </c>
      <c r="E2521">
        <v>0.42339579999999999</v>
      </c>
      <c r="F2521" t="s">
        <v>44</v>
      </c>
      <c r="G2521">
        <v>-486.49700000000001</v>
      </c>
      <c r="H2521">
        <v>1.070543</v>
      </c>
      <c r="I2521">
        <v>273.91269999999997</v>
      </c>
      <c r="J2521">
        <v>-486.50400000000002</v>
      </c>
      <c r="K2521">
        <v>1.13168</v>
      </c>
      <c r="L2521">
        <v>274.80149999999998</v>
      </c>
      <c r="M2521">
        <v>-0.57238469999999997</v>
      </c>
      <c r="N2521">
        <v>-1.565838E-2</v>
      </c>
      <c r="O2521">
        <v>-0.81983589999999995</v>
      </c>
      <c r="P2521">
        <v>-0.26645069999999998</v>
      </c>
      <c r="Q2521">
        <v>0.1292779</v>
      </c>
      <c r="R2521">
        <v>-0.95513979999999998</v>
      </c>
      <c r="S2521">
        <v>-0.25219730000000001</v>
      </c>
      <c r="T2521">
        <v>-0.18454499999999999</v>
      </c>
      <c r="U2521">
        <v>-3.1018680000000001</v>
      </c>
      <c r="V2521">
        <v>-0.3318972</v>
      </c>
      <c r="W2521">
        <v>0.13541529999999999</v>
      </c>
      <c r="X2521">
        <v>0.93354539999999997</v>
      </c>
      <c r="Y2521">
        <v>-0.50375749999999997</v>
      </c>
      <c r="Z2521">
        <v>2.4141269999999999E-2</v>
      </c>
      <c r="AA2521">
        <v>0.86350769999999899</v>
      </c>
      <c r="AB2521">
        <v>29</v>
      </c>
      <c r="AC2521">
        <v>7.0000000000618396E-3</v>
      </c>
      <c r="AD2521">
        <v>-6.1136999999999997E-2</v>
      </c>
      <c r="AE2521">
        <v>-0.88880000000000303</v>
      </c>
      <c r="AF2521">
        <v>-0.51211444282412699</v>
      </c>
      <c r="AG2521">
        <v>-6.1136999999999997E-2</v>
      </c>
      <c r="AH2521">
        <v>0.72133937320095598</v>
      </c>
      <c r="AI2521">
        <v>93.953385413016704</v>
      </c>
      <c r="AJ2521">
        <v>125.372823635125</v>
      </c>
      <c r="AK2521">
        <v>0.88675217882338198</v>
      </c>
      <c r="AL2521">
        <v>82.217364915821904</v>
      </c>
      <c r="AM2521">
        <v>109.57148832028901</v>
      </c>
      <c r="AN2521">
        <v>1.0000000343515401</v>
      </c>
    </row>
    <row r="2522" spans="1:40" x14ac:dyDescent="0.25">
      <c r="A2522" t="str">
        <f>"20190303162828553"</f>
        <v>20190303162828553</v>
      </c>
      <c r="B2522" t="str">
        <f>"1551601708544233"</f>
        <v>1551601708544233</v>
      </c>
      <c r="C2522" t="s">
        <v>40</v>
      </c>
      <c r="D2522">
        <v>4.4345299999999996</v>
      </c>
      <c r="E2522">
        <v>0.42496539999999999</v>
      </c>
      <c r="F2522" t="s">
        <v>44</v>
      </c>
      <c r="G2522">
        <v>-486.57040000000001</v>
      </c>
      <c r="H2522">
        <v>1.079447</v>
      </c>
      <c r="I2522">
        <v>273.94349999999997</v>
      </c>
      <c r="J2522">
        <v>-486.5847</v>
      </c>
      <c r="K2522">
        <v>1.131597</v>
      </c>
      <c r="L2522">
        <v>274.67430000000002</v>
      </c>
      <c r="M2522">
        <v>-0.56683219999999901</v>
      </c>
      <c r="N2522">
        <v>-1.5640729999999999E-2</v>
      </c>
      <c r="O2522">
        <v>-0.82368479999999999</v>
      </c>
      <c r="P2522">
        <v>-0.2593432</v>
      </c>
      <c r="Q2522">
        <v>0.12791739999999999</v>
      </c>
      <c r="R2522">
        <v>-0.95727680000000004</v>
      </c>
      <c r="S2522">
        <v>-0.2391663</v>
      </c>
      <c r="T2522">
        <v>-0.18864410000000001</v>
      </c>
      <c r="U2522">
        <v>-3.099701</v>
      </c>
      <c r="V2522">
        <v>-0.33257320000000001</v>
      </c>
      <c r="W2522">
        <v>0.13408049999999999</v>
      </c>
      <c r="X2522">
        <v>0.93349740000000003</v>
      </c>
      <c r="Y2522">
        <v>-0.50147580000000003</v>
      </c>
      <c r="Z2522">
        <v>2.542113E-2</v>
      </c>
      <c r="AA2522">
        <v>0.86479810000000001</v>
      </c>
      <c r="AB2522">
        <v>29</v>
      </c>
      <c r="AC2522">
        <v>1.42999999999915E-2</v>
      </c>
      <c r="AD2522">
        <v>-5.2149999999999898E-2</v>
      </c>
      <c r="AE2522">
        <v>-0.73080000000004397</v>
      </c>
      <c r="AF2522">
        <v>-0.42391391918564097</v>
      </c>
      <c r="AG2522">
        <v>-5.2149999999999898E-2</v>
      </c>
      <c r="AH2522">
        <v>0.59090788223965995</v>
      </c>
      <c r="AI2522">
        <v>94.101640595527599</v>
      </c>
      <c r="AJ2522">
        <v>125.655439665093</v>
      </c>
      <c r="AK2522">
        <v>0.72910545099614399</v>
      </c>
      <c r="AL2522">
        <v>82.2945466186262</v>
      </c>
      <c r="AM2522">
        <v>109.609244696952</v>
      </c>
      <c r="AN2522">
        <v>0.99999995482262405</v>
      </c>
    </row>
    <row r="2523" spans="1:40" x14ac:dyDescent="0.25">
      <c r="A2523" t="str">
        <f>"20190303162828568"</f>
        <v>20190303162828568</v>
      </c>
      <c r="B2523" t="str">
        <f>"1551601708553993"</f>
        <v>1551601708553993</v>
      </c>
      <c r="C2523" t="s">
        <v>40</v>
      </c>
      <c r="D2523">
        <v>4.4210940000000001</v>
      </c>
      <c r="E2523">
        <v>0.42642469999999999</v>
      </c>
      <c r="F2523" t="s">
        <v>44</v>
      </c>
      <c r="G2523">
        <v>-486.65589999999997</v>
      </c>
      <c r="H2523">
        <v>1.071286</v>
      </c>
      <c r="I2523">
        <v>273.70760000000001</v>
      </c>
      <c r="J2523">
        <v>-486.68029999999999</v>
      </c>
      <c r="K2523">
        <v>1.1315010000000001</v>
      </c>
      <c r="L2523">
        <v>274.52210000000002</v>
      </c>
      <c r="M2523">
        <v>-0.56019479999999999</v>
      </c>
      <c r="N2523">
        <v>-1.562028E-2</v>
      </c>
      <c r="O2523">
        <v>-0.82821389999999995</v>
      </c>
      <c r="P2523">
        <v>-0.2514382</v>
      </c>
      <c r="Q2523">
        <v>0.12719259999999999</v>
      </c>
      <c r="R2523">
        <v>-0.95947990000000005</v>
      </c>
      <c r="S2523">
        <v>-0.22805790000000001</v>
      </c>
      <c r="T2523">
        <v>-0.19324959999999999</v>
      </c>
      <c r="U2523">
        <v>-3.0979000000000001</v>
      </c>
      <c r="V2523">
        <v>-0.33277849999999998</v>
      </c>
      <c r="W2523">
        <v>0.13340150000000001</v>
      </c>
      <c r="X2523">
        <v>0.93352159999999995</v>
      </c>
      <c r="Y2523">
        <v>-0.49756289999999997</v>
      </c>
      <c r="Z2523">
        <v>2.6921540000000001E-2</v>
      </c>
      <c r="AA2523">
        <v>0.86701010000000001</v>
      </c>
      <c r="AB2523">
        <v>29</v>
      </c>
      <c r="AC2523">
        <v>2.4400000000014101E-2</v>
      </c>
      <c r="AD2523">
        <v>-6.0215000000000102E-2</v>
      </c>
      <c r="AE2523">
        <v>-0.81450000000000899</v>
      </c>
      <c r="AF2523">
        <v>-0.47395703835553799</v>
      </c>
      <c r="AG2523">
        <v>-6.0215000000000102E-2</v>
      </c>
      <c r="AH2523">
        <v>0.65740216863896805</v>
      </c>
      <c r="AI2523">
        <v>94.249220242030503</v>
      </c>
      <c r="AJ2523">
        <v>125.789887585792</v>
      </c>
      <c r="AK2523">
        <v>0.81267381633898605</v>
      </c>
      <c r="AL2523">
        <v>82.333803733787803</v>
      </c>
      <c r="AM2523">
        <v>109.619955715915</v>
      </c>
      <c r="AN2523">
        <v>1.00000003396552</v>
      </c>
    </row>
    <row r="2524" spans="1:40" x14ac:dyDescent="0.25">
      <c r="A2524" t="str">
        <f>"20190303162828582"</f>
        <v>20190303162828582</v>
      </c>
      <c r="B2524" t="str">
        <f>"1551601708574278"</f>
        <v>1551601708574278</v>
      </c>
      <c r="C2524" t="s">
        <v>40</v>
      </c>
      <c r="D2524">
        <v>4.4794029999999996</v>
      </c>
      <c r="E2524">
        <v>0.4286913</v>
      </c>
      <c r="F2524" t="s">
        <v>44</v>
      </c>
      <c r="G2524">
        <v>-486.7527</v>
      </c>
      <c r="H2524">
        <v>1.0647709999999999</v>
      </c>
      <c r="I2524">
        <v>273.47710000000001</v>
      </c>
      <c r="J2524">
        <v>-486.77749999999997</v>
      </c>
      <c r="K2524">
        <v>1.131418</v>
      </c>
      <c r="L2524">
        <v>274.36450000000002</v>
      </c>
      <c r="M2524">
        <v>-0.55336859999999999</v>
      </c>
      <c r="N2524">
        <v>-1.5599409999999999E-2</v>
      </c>
      <c r="O2524">
        <v>-0.83279040000000004</v>
      </c>
      <c r="P2524">
        <v>-0.2438652</v>
      </c>
      <c r="Q2524">
        <v>0.1271243</v>
      </c>
      <c r="R2524">
        <v>-0.96144160000000001</v>
      </c>
      <c r="S2524">
        <v>-0.21398929999999999</v>
      </c>
      <c r="T2524">
        <v>-0.19771150000000001</v>
      </c>
      <c r="U2524">
        <v>-3.096832</v>
      </c>
      <c r="V2524">
        <v>-0.33244109999999899</v>
      </c>
      <c r="W2524">
        <v>0.13339200000000001</v>
      </c>
      <c r="X2524">
        <v>0.93364320000000001</v>
      </c>
      <c r="Y2524">
        <v>-0.4943263</v>
      </c>
      <c r="Z2524">
        <v>2.8392839999999999E-2</v>
      </c>
      <c r="AA2524">
        <v>0.86881260000000005</v>
      </c>
      <c r="AB2524">
        <v>29</v>
      </c>
      <c r="AC2524">
        <v>2.4799999999970599E-2</v>
      </c>
      <c r="AD2524">
        <v>-6.6647000000000095E-2</v>
      </c>
      <c r="AE2524">
        <v>-0.88740000000001296</v>
      </c>
      <c r="AF2524">
        <v>-0.50890649123081</v>
      </c>
      <c r="AG2524">
        <v>-6.6647000000000095E-2</v>
      </c>
      <c r="AH2524">
        <v>0.72131746268897901</v>
      </c>
      <c r="AI2524">
        <v>94.3174970862202</v>
      </c>
      <c r="AJ2524">
        <v>125.203871377726</v>
      </c>
      <c r="AK2524">
        <v>0.88528330008304201</v>
      </c>
      <c r="AL2524">
        <v>82.334353212883599</v>
      </c>
      <c r="AM2524">
        <v>109.59922177776799</v>
      </c>
      <c r="AN2524">
        <v>1.0000000677697201</v>
      </c>
    </row>
    <row r="2525" spans="1:40" x14ac:dyDescent="0.25">
      <c r="A2525" t="str">
        <f>"20190303162828593"</f>
        <v>20190303162828593</v>
      </c>
      <c r="B2525" t="str">
        <f>"1551601708584037"</f>
        <v>1551601708584037</v>
      </c>
      <c r="C2525" t="s">
        <v>40</v>
      </c>
      <c r="D2525">
        <v>4.5533970000000004</v>
      </c>
      <c r="E2525">
        <v>0.42957800000000002</v>
      </c>
      <c r="F2525" t="s">
        <v>44</v>
      </c>
      <c r="G2525">
        <v>-486.83499999999998</v>
      </c>
      <c r="H2525">
        <v>1.077178</v>
      </c>
      <c r="I2525">
        <v>273.50839999999999</v>
      </c>
      <c r="J2525">
        <v>-486.85640000000001</v>
      </c>
      <c r="K2525">
        <v>1.131367</v>
      </c>
      <c r="L2525">
        <v>274.2337</v>
      </c>
      <c r="M2525">
        <v>-0.54775010000000002</v>
      </c>
      <c r="N2525">
        <v>-1.558264E-2</v>
      </c>
      <c r="O2525">
        <v>-0.83649709999999999</v>
      </c>
      <c r="P2525">
        <v>-0.23885419999999999</v>
      </c>
      <c r="Q2525">
        <v>0.12847349999999999</v>
      </c>
      <c r="R2525">
        <v>-0.96251949999999997</v>
      </c>
      <c r="S2525">
        <v>-0.20675660000000001</v>
      </c>
      <c r="T2525">
        <v>-0.19593450000000001</v>
      </c>
      <c r="U2525">
        <v>-3.0937809999999999</v>
      </c>
      <c r="V2525">
        <v>-0.33093109999999998</v>
      </c>
      <c r="W2525">
        <v>0.13481760000000001</v>
      </c>
      <c r="X2525">
        <v>0.93397470000000005</v>
      </c>
      <c r="Y2525">
        <v>-0.49044270000000001</v>
      </c>
      <c r="Z2525">
        <v>2.8462749999999998E-2</v>
      </c>
      <c r="AA2525">
        <v>0.87100849999999996</v>
      </c>
      <c r="AB2525">
        <v>29</v>
      </c>
      <c r="AC2525">
        <v>2.1400000000028199E-2</v>
      </c>
      <c r="AD2525">
        <v>-5.4189000000000001E-2</v>
      </c>
      <c r="AE2525">
        <v>-0.72530000000000405</v>
      </c>
      <c r="AF2525">
        <v>-0.41293155744788601</v>
      </c>
      <c r="AG2525">
        <v>-5.4189000000000001E-2</v>
      </c>
      <c r="AH2525">
        <v>0.59176131274542099</v>
      </c>
      <c r="AI2525">
        <v>94.294653236689797</v>
      </c>
      <c r="AJ2525">
        <v>124.90736836926899</v>
      </c>
      <c r="AK2525">
        <v>0.72362308567341904</v>
      </c>
      <c r="AL2525">
        <v>82.25192696581</v>
      </c>
      <c r="AM2525">
        <v>109.510536883396</v>
      </c>
      <c r="AN2525">
        <v>0.99999995922852902</v>
      </c>
    </row>
    <row r="2526" spans="1:40" x14ac:dyDescent="0.25">
      <c r="A2526" t="str">
        <f>"20190303162828608"</f>
        <v>20190303162828608</v>
      </c>
      <c r="B2526" t="str">
        <f>"1551601708593798"</f>
        <v>1551601708593798</v>
      </c>
      <c r="C2526" t="s">
        <v>40</v>
      </c>
      <c r="D2526">
        <v>4.4797250000000002</v>
      </c>
      <c r="E2526">
        <v>0.4304964</v>
      </c>
      <c r="F2526" t="s">
        <v>44</v>
      </c>
      <c r="G2526">
        <v>-486.91770000000002</v>
      </c>
      <c r="H2526">
        <v>1.071545</v>
      </c>
      <c r="I2526">
        <v>273.2731</v>
      </c>
      <c r="J2526">
        <v>-486.94799999999998</v>
      </c>
      <c r="K2526">
        <v>1.1313059999999999</v>
      </c>
      <c r="L2526">
        <v>274.08010000000002</v>
      </c>
      <c r="M2526">
        <v>-0.54115959999999996</v>
      </c>
      <c r="N2526">
        <v>-1.5564110000000001E-2</v>
      </c>
      <c r="O2526">
        <v>-0.84077579999999996</v>
      </c>
      <c r="P2526">
        <v>-0.2320139</v>
      </c>
      <c r="Q2526">
        <v>0.12979169999999901</v>
      </c>
      <c r="R2526">
        <v>-0.9640145</v>
      </c>
      <c r="S2526">
        <v>-0.19696040000000001</v>
      </c>
      <c r="T2526">
        <v>-0.19262290000000001</v>
      </c>
      <c r="U2526">
        <v>-3.0936889999999999</v>
      </c>
      <c r="V2526">
        <v>-0.3301366</v>
      </c>
      <c r="W2526">
        <v>0.13619289999999901</v>
      </c>
      <c r="X2526">
        <v>0.93405640000000001</v>
      </c>
      <c r="Y2526">
        <v>-0.48634680000000002</v>
      </c>
      <c r="Z2526">
        <v>2.8191850000000001E-2</v>
      </c>
      <c r="AA2526">
        <v>0.87331099999999995</v>
      </c>
      <c r="AB2526">
        <v>29</v>
      </c>
      <c r="AC2526">
        <v>3.0300000000010999E-2</v>
      </c>
      <c r="AD2526">
        <v>-5.9760999999999898E-2</v>
      </c>
      <c r="AE2526">
        <v>-0.80700000000001604</v>
      </c>
      <c r="AF2526">
        <v>-0.45972976037367302</v>
      </c>
      <c r="AG2526">
        <v>-5.9760999999999898E-2</v>
      </c>
      <c r="AH2526">
        <v>0.65858266762111195</v>
      </c>
      <c r="AI2526">
        <v>94.255330378058801</v>
      </c>
      <c r="AJ2526">
        <v>124.917325605866</v>
      </c>
      <c r="AK2526">
        <v>0.80539056350641103</v>
      </c>
      <c r="AL2526">
        <v>82.172394987856805</v>
      </c>
      <c r="AM2526">
        <v>109.465647576764</v>
      </c>
      <c r="AN2526">
        <v>1.0000000195254599</v>
      </c>
    </row>
    <row r="2527" spans="1:40" x14ac:dyDescent="0.25">
      <c r="A2527" t="str">
        <f>"20190303162828621"</f>
        <v>20190303162828621</v>
      </c>
      <c r="B2527" t="str">
        <f>"1551601708615270"</f>
        <v>1551601708615270</v>
      </c>
      <c r="C2527" t="s">
        <v>40</v>
      </c>
      <c r="D2527">
        <v>4.5137269999999896</v>
      </c>
      <c r="E2527">
        <v>0.43248969999999998</v>
      </c>
      <c r="F2527" t="s">
        <v>44</v>
      </c>
      <c r="G2527">
        <v>-487.00940000000003</v>
      </c>
      <c r="H2527">
        <v>1.068141</v>
      </c>
      <c r="I2527">
        <v>273.04090000000002</v>
      </c>
      <c r="J2527">
        <v>-487.0367</v>
      </c>
      <c r="K2527">
        <v>1.1312549999999999</v>
      </c>
      <c r="L2527">
        <v>273.92899999999997</v>
      </c>
      <c r="M2527">
        <v>-0.53469599999999995</v>
      </c>
      <c r="N2527">
        <v>-1.554701E-2</v>
      </c>
      <c r="O2527">
        <v>-0.84490140000000002</v>
      </c>
      <c r="P2527">
        <v>-0.22537289999999999</v>
      </c>
      <c r="Q2527">
        <v>0.13093009999999999</v>
      </c>
      <c r="R2527">
        <v>-0.96543520000000005</v>
      </c>
      <c r="S2527">
        <v>-0.18252560000000001</v>
      </c>
      <c r="T2527">
        <v>-0.18799630000000001</v>
      </c>
      <c r="U2527">
        <v>-3.0934140000000001</v>
      </c>
      <c r="V2527">
        <v>-0.32932729999999999</v>
      </c>
      <c r="W2527">
        <v>0.1373837</v>
      </c>
      <c r="X2527">
        <v>0.93416770000000005</v>
      </c>
      <c r="Y2527">
        <v>-0.48371180000000003</v>
      </c>
      <c r="Z2527">
        <v>2.7562010000000001E-2</v>
      </c>
      <c r="AA2527">
        <v>0.8747933</v>
      </c>
      <c r="AB2527">
        <v>29</v>
      </c>
      <c r="AC2527">
        <v>2.7299999999968301E-2</v>
      </c>
      <c r="AD2527">
        <v>-6.3113999999999795E-2</v>
      </c>
      <c r="AE2527">
        <v>-0.88810000000000799</v>
      </c>
      <c r="AF2527">
        <v>-0.49548947080952999</v>
      </c>
      <c r="AG2527">
        <v>-6.3113999999999795E-2</v>
      </c>
      <c r="AH2527">
        <v>0.732154507909064</v>
      </c>
      <c r="AI2527">
        <v>94.083485017637003</v>
      </c>
      <c r="AJ2527">
        <v>124.08838669947301</v>
      </c>
      <c r="AK2527">
        <v>0.88630887174318196</v>
      </c>
      <c r="AL2527">
        <v>82.103519781200902</v>
      </c>
      <c r="AM2527">
        <v>109.41936456131199</v>
      </c>
      <c r="AN2527">
        <v>1.0000000216371301</v>
      </c>
    </row>
    <row r="2528" spans="1:40" x14ac:dyDescent="0.25">
      <c r="A2528" t="str">
        <f>"20190303162828640"</f>
        <v>20190303162828640</v>
      </c>
      <c r="B2528" t="str">
        <f>"1551601708633814"</f>
        <v>1551601708633814</v>
      </c>
      <c r="C2528" t="s">
        <v>40</v>
      </c>
      <c r="D2528">
        <v>4.5428360000000003</v>
      </c>
      <c r="E2528">
        <v>0.43423499999999998</v>
      </c>
      <c r="F2528" t="s">
        <v>44</v>
      </c>
      <c r="G2528">
        <v>-487.0865</v>
      </c>
      <c r="H2528">
        <v>1.080125</v>
      </c>
      <c r="I2528">
        <v>273.05860000000001</v>
      </c>
      <c r="J2528">
        <v>-487.15480000000002</v>
      </c>
      <c r="K2528">
        <v>1.131202</v>
      </c>
      <c r="L2528">
        <v>273.72300000000001</v>
      </c>
      <c r="M2528">
        <v>-0.52593210000000001</v>
      </c>
      <c r="N2528">
        <v>-1.552546E-2</v>
      </c>
      <c r="O2528">
        <v>-0.85038479999999905</v>
      </c>
      <c r="P2528">
        <v>-0.2164394</v>
      </c>
      <c r="Q2528">
        <v>0.1334185</v>
      </c>
      <c r="R2528">
        <v>-0.96713660000000001</v>
      </c>
      <c r="S2528">
        <v>-0.17648320000000001</v>
      </c>
      <c r="T2528">
        <v>-0.1815252</v>
      </c>
      <c r="U2528">
        <v>-3.0908509999999998</v>
      </c>
      <c r="V2528">
        <v>-0.32816050000000002</v>
      </c>
      <c r="W2528">
        <v>0.13993610000000001</v>
      </c>
      <c r="X2528">
        <v>0.93419940000000001</v>
      </c>
      <c r="Y2528">
        <v>-0.476329</v>
      </c>
      <c r="Z2528">
        <v>2.6728829999999999E-2</v>
      </c>
      <c r="AA2528">
        <v>0.8788608</v>
      </c>
      <c r="AB2528">
        <v>29</v>
      </c>
      <c r="AC2528">
        <v>6.8300000000021996E-2</v>
      </c>
      <c r="AD2528">
        <v>-5.1076999999999997E-2</v>
      </c>
      <c r="AE2528">
        <v>-0.66439999999999999</v>
      </c>
      <c r="AF2528">
        <v>-0.40519005348394999</v>
      </c>
      <c r="AG2528">
        <v>-5.1076999999999997E-2</v>
      </c>
      <c r="AH2528">
        <v>0.52606175320840798</v>
      </c>
      <c r="AI2528">
        <v>94.398592967381006</v>
      </c>
      <c r="AJ2528">
        <v>127.604646383123</v>
      </c>
      <c r="AK2528">
        <v>0.66597958494238396</v>
      </c>
      <c r="AL2528">
        <v>81.955851128619301</v>
      </c>
      <c r="AM2528">
        <v>109.35507864449799</v>
      </c>
      <c r="AN2528">
        <v>0.99999997240190897</v>
      </c>
    </row>
    <row r="2529" spans="1:40" x14ac:dyDescent="0.25">
      <c r="A2529" t="str">
        <f>"20190303162828654"</f>
        <v>20190303162828654</v>
      </c>
      <c r="B2529" t="str">
        <f>"1551601708643573"</f>
        <v>1551601708643573</v>
      </c>
      <c r="C2529" t="s">
        <v>40</v>
      </c>
      <c r="D2529">
        <v>4.5646409999999999</v>
      </c>
      <c r="E2529">
        <v>0.43498330000000002</v>
      </c>
      <c r="F2529" t="s">
        <v>44</v>
      </c>
      <c r="G2529">
        <v>-487.20100000000002</v>
      </c>
      <c r="H2529">
        <v>1.081833</v>
      </c>
      <c r="I2529">
        <v>272.84359999999998</v>
      </c>
      <c r="J2529">
        <v>-487.24220000000003</v>
      </c>
      <c r="K2529">
        <v>1.131168</v>
      </c>
      <c r="L2529">
        <v>273.56700000000001</v>
      </c>
      <c r="M2529">
        <v>-0.51931579999999999</v>
      </c>
      <c r="N2529">
        <v>-1.5510319999999999E-2</v>
      </c>
      <c r="O2529">
        <v>-0.85444169999999997</v>
      </c>
      <c r="P2529">
        <v>-0.2095349</v>
      </c>
      <c r="Q2529">
        <v>0.1345256</v>
      </c>
      <c r="R2529">
        <v>-0.9685028</v>
      </c>
      <c r="S2529">
        <v>-0.1626282</v>
      </c>
      <c r="T2529">
        <v>-0.17346259999999999</v>
      </c>
      <c r="U2529">
        <v>-3.0894780000000002</v>
      </c>
      <c r="V2529">
        <v>-0.32750299999999999</v>
      </c>
      <c r="W2529">
        <v>0.14108380000000001</v>
      </c>
      <c r="X2529">
        <v>0.93425749999999996</v>
      </c>
      <c r="Y2529">
        <v>-0.47342640000000002</v>
      </c>
      <c r="Z2529">
        <v>2.525925E-2</v>
      </c>
      <c r="AA2529">
        <v>0.88047109999999995</v>
      </c>
      <c r="AB2529">
        <v>29</v>
      </c>
      <c r="AC2529">
        <v>4.1200000000060299E-2</v>
      </c>
      <c r="AD2529">
        <v>-4.93349999999999E-2</v>
      </c>
      <c r="AE2529">
        <v>-0.72340000000002602</v>
      </c>
      <c r="AF2529">
        <v>-0.409029186502538</v>
      </c>
      <c r="AG2529">
        <v>-4.93349999999999E-2</v>
      </c>
      <c r="AH2529">
        <v>0.594025154037361</v>
      </c>
      <c r="AI2529">
        <v>93.913170714881005</v>
      </c>
      <c r="AJ2529">
        <v>124.550216219048</v>
      </c>
      <c r="AK2529">
        <v>0.72291403449168001</v>
      </c>
      <c r="AL2529">
        <v>81.889433787889104</v>
      </c>
      <c r="AM2529">
        <v>109.318062265942</v>
      </c>
      <c r="AN2529">
        <v>0.99999996496884402</v>
      </c>
    </row>
    <row r="2530" spans="1:40" x14ac:dyDescent="0.25">
      <c r="A2530" t="str">
        <f>"20190303162828668"</f>
        <v>20190303162828668</v>
      </c>
      <c r="B2530" t="str">
        <f>"1551601708664069"</f>
        <v>1551601708664069</v>
      </c>
      <c r="C2530" t="s">
        <v>40</v>
      </c>
      <c r="D2530">
        <v>4.5784149999999997</v>
      </c>
      <c r="E2530">
        <v>0.43653910000000001</v>
      </c>
      <c r="F2530" t="s">
        <v>44</v>
      </c>
      <c r="G2530">
        <v>-487.28769999999997</v>
      </c>
      <c r="H2530">
        <v>1.0790249999999999</v>
      </c>
      <c r="I2530">
        <v>272.61059999999998</v>
      </c>
      <c r="J2530">
        <v>-487.33409999999998</v>
      </c>
      <c r="K2530">
        <v>1.1311260000000001</v>
      </c>
      <c r="L2530">
        <v>273.40030000000002</v>
      </c>
      <c r="M2530">
        <v>-0.51226119999999997</v>
      </c>
      <c r="N2530">
        <v>-1.5494880000000001E-2</v>
      </c>
      <c r="O2530">
        <v>-0.85868999999999995</v>
      </c>
      <c r="P2530">
        <v>-0.20226720000000001</v>
      </c>
      <c r="Q2530">
        <v>0.13561979999999901</v>
      </c>
      <c r="R2530">
        <v>-0.96989460000000005</v>
      </c>
      <c r="S2530">
        <v>-0.14633180000000001</v>
      </c>
      <c r="T2530">
        <v>-0.16838320000000001</v>
      </c>
      <c r="U2530">
        <v>-3.089264</v>
      </c>
      <c r="V2530">
        <v>-0.32674350000000002</v>
      </c>
      <c r="W2530">
        <v>0.14222279999999901</v>
      </c>
      <c r="X2530">
        <v>0.93435080000000004</v>
      </c>
      <c r="Y2530">
        <v>-0.47081220000000001</v>
      </c>
      <c r="Z2530">
        <v>2.444853E-2</v>
      </c>
      <c r="AA2530">
        <v>0.88189459999999997</v>
      </c>
      <c r="AB2530">
        <v>29</v>
      </c>
      <c r="AC2530">
        <v>4.6400000000005499E-2</v>
      </c>
      <c r="AD2530">
        <v>-5.2101000000000099E-2</v>
      </c>
      <c r="AE2530">
        <v>-0.78970000000003804</v>
      </c>
      <c r="AF2530">
        <v>-0.442509683078678</v>
      </c>
      <c r="AG2530">
        <v>-5.2101000000000099E-2</v>
      </c>
      <c r="AH2530">
        <v>0.65159061070329505</v>
      </c>
      <c r="AI2530">
        <v>93.784476141804902</v>
      </c>
      <c r="AJ2530">
        <v>124.181298569435</v>
      </c>
      <c r="AK2530">
        <v>0.78936661810345499</v>
      </c>
      <c r="AL2530">
        <v>81.823509649810603</v>
      </c>
      <c r="AM2530">
        <v>109.274787902509</v>
      </c>
      <c r="AN2530">
        <v>1.0000000285463599</v>
      </c>
    </row>
    <row r="2531" spans="1:40" x14ac:dyDescent="0.25">
      <c r="A2531" t="str">
        <f>"20190303162828686"</f>
        <v>20190303162828686</v>
      </c>
      <c r="B2531" t="str">
        <f>"1551601708673830"</f>
        <v>1551601708673830</v>
      </c>
      <c r="C2531" t="s">
        <v>40</v>
      </c>
      <c r="D2531">
        <v>4.5682640000000001</v>
      </c>
      <c r="E2531">
        <v>0.4372568</v>
      </c>
      <c r="F2531" t="s">
        <v>44</v>
      </c>
      <c r="G2531">
        <v>-487.37909999999999</v>
      </c>
      <c r="H2531">
        <v>1.075858</v>
      </c>
      <c r="I2531">
        <v>272.37860000000001</v>
      </c>
      <c r="J2531">
        <v>-487.4391</v>
      </c>
      <c r="K2531">
        <v>1.131087</v>
      </c>
      <c r="L2531">
        <v>273.20600000000002</v>
      </c>
      <c r="M2531">
        <v>-0.50405559999999905</v>
      </c>
      <c r="N2531">
        <v>-1.5477390000000001E-2</v>
      </c>
      <c r="O2531">
        <v>-0.86353250000000004</v>
      </c>
      <c r="P2531">
        <v>-0.19566020000000001</v>
      </c>
      <c r="Q2531">
        <v>0.13661309999999999</v>
      </c>
      <c r="R2531">
        <v>-0.97110969999999996</v>
      </c>
      <c r="S2531">
        <v>-0.1362305</v>
      </c>
      <c r="T2531">
        <v>-0.16705210000000001</v>
      </c>
      <c r="U2531">
        <v>-3.0880740000000002</v>
      </c>
      <c r="V2531">
        <v>-0.32412729999999901</v>
      </c>
      <c r="W2531">
        <v>0.14331969999999999</v>
      </c>
      <c r="X2531">
        <v>0.93509410000000004</v>
      </c>
      <c r="Y2531">
        <v>-0.46526820000000002</v>
      </c>
      <c r="Z2531">
        <v>2.4618790000000002E-2</v>
      </c>
      <c r="AA2531">
        <v>0.88482729999999998</v>
      </c>
      <c r="AB2531">
        <v>29</v>
      </c>
      <c r="AC2531">
        <v>6.0000000000002197E-2</v>
      </c>
      <c r="AD2531">
        <v>-5.5229000000000202E-2</v>
      </c>
      <c r="AE2531">
        <v>-0.82739999999995395</v>
      </c>
      <c r="AF2531">
        <v>-0.46685450571520898</v>
      </c>
      <c r="AG2531">
        <v>-5.5229000000000202E-2</v>
      </c>
      <c r="AH2531">
        <v>0.68130570647460797</v>
      </c>
      <c r="AI2531">
        <v>93.825691643912606</v>
      </c>
      <c r="AJ2531">
        <v>124.420306165059</v>
      </c>
      <c r="AK2531">
        <v>0.82775650865605199</v>
      </c>
      <c r="AL2531">
        <v>81.760011254900505</v>
      </c>
      <c r="AM2531">
        <v>109.11761192651799</v>
      </c>
      <c r="AN2531">
        <v>1.00000000943409</v>
      </c>
    </row>
    <row r="2532" spans="1:40" x14ac:dyDescent="0.25">
      <c r="A2532" t="str">
        <f>"20190303162828706"</f>
        <v>20190303162828706</v>
      </c>
      <c r="B2532" t="str">
        <f>"1551601708694326"</f>
        <v>1551601708694326</v>
      </c>
      <c r="C2532" t="s">
        <v>40</v>
      </c>
      <c r="D2532">
        <v>4.5595270000000001</v>
      </c>
      <c r="E2532">
        <v>0.43797540000000001</v>
      </c>
      <c r="F2532" t="s">
        <v>44</v>
      </c>
      <c r="G2532">
        <v>-487.48050000000001</v>
      </c>
      <c r="H2532">
        <v>1.0744610000000001</v>
      </c>
      <c r="I2532">
        <v>272.15019999999998</v>
      </c>
      <c r="J2532">
        <v>-487.55590000000001</v>
      </c>
      <c r="K2532">
        <v>1.1310260000000001</v>
      </c>
      <c r="L2532">
        <v>272.98439999999999</v>
      </c>
      <c r="M2532">
        <v>-0.49472739999999998</v>
      </c>
      <c r="N2532">
        <v>-1.5457419999999999E-2</v>
      </c>
      <c r="O2532">
        <v>-0.86891079999999998</v>
      </c>
      <c r="P2532">
        <v>-0.1888561</v>
      </c>
      <c r="Q2532">
        <v>0.1367661</v>
      </c>
      <c r="R2532">
        <v>-0.97243429999999997</v>
      </c>
      <c r="S2532">
        <v>-0.12039179999999999</v>
      </c>
      <c r="T2532">
        <v>-0.165590299999999</v>
      </c>
      <c r="U2532">
        <v>-3.088257</v>
      </c>
      <c r="V2532">
        <v>-0.32056459999999998</v>
      </c>
      <c r="W2532">
        <v>0.143611299999999</v>
      </c>
      <c r="X2532">
        <v>0.93627669999999996</v>
      </c>
      <c r="Y2532">
        <v>-0.46027040000000002</v>
      </c>
      <c r="Z2532">
        <v>2.476138E-2</v>
      </c>
      <c r="AA2532">
        <v>0.88743340000000004</v>
      </c>
      <c r="AB2532">
        <v>29</v>
      </c>
      <c r="AC2532">
        <v>7.5400000000001896E-2</v>
      </c>
      <c r="AD2532">
        <v>-5.65649999999999E-2</v>
      </c>
      <c r="AE2532">
        <v>-0.83420000000000905</v>
      </c>
      <c r="AF2532">
        <v>-0.47610327122396801</v>
      </c>
      <c r="AG2532">
        <v>-5.65649999999999E-2</v>
      </c>
      <c r="AH2532">
        <v>0.68450331499054196</v>
      </c>
      <c r="AI2532">
        <v>93.881008980071698</v>
      </c>
      <c r="AJ2532">
        <v>124.82037417834501</v>
      </c>
      <c r="AK2532">
        <v>0.83571449211330795</v>
      </c>
      <c r="AL2532">
        <v>81.743128784875296</v>
      </c>
      <c r="AM2532">
        <v>108.900297772345</v>
      </c>
      <c r="AN2532">
        <v>0.99999996361186905</v>
      </c>
    </row>
    <row r="2533" spans="1:40" x14ac:dyDescent="0.25">
      <c r="A2533" t="str">
        <f>"20190303162828732"</f>
        <v>20190303162828732</v>
      </c>
      <c r="B2533" t="str">
        <f>"1551601708724582"</f>
        <v>1551601708724582</v>
      </c>
      <c r="C2533" t="s">
        <v>40</v>
      </c>
      <c r="D2533">
        <v>4.6016750000000002</v>
      </c>
      <c r="E2533">
        <v>0.45549620000000002</v>
      </c>
      <c r="F2533" t="s">
        <v>44</v>
      </c>
      <c r="G2533">
        <v>-487.5915</v>
      </c>
      <c r="H2533">
        <v>1.0741179999999999</v>
      </c>
      <c r="I2533">
        <v>271.9248</v>
      </c>
      <c r="J2533">
        <v>-487.70819999999998</v>
      </c>
      <c r="K2533">
        <v>1.1309400000000001</v>
      </c>
      <c r="L2533">
        <v>272.6857</v>
      </c>
      <c r="M2533">
        <v>-0.48221259999999999</v>
      </c>
      <c r="N2533">
        <v>-1.5431E-2</v>
      </c>
      <c r="O2533">
        <v>-0.87591849999999905</v>
      </c>
      <c r="P2533">
        <v>-0.17777889999999999</v>
      </c>
      <c r="Q2533">
        <v>0.13684470000000001</v>
      </c>
      <c r="R2533">
        <v>-0.97450939999999997</v>
      </c>
      <c r="S2533">
        <v>-0.1036682</v>
      </c>
      <c r="T2533">
        <v>-0.16586579999999901</v>
      </c>
      <c r="U2533">
        <v>-3.0882869999999998</v>
      </c>
      <c r="V2533">
        <v>-0.31774249999999998</v>
      </c>
      <c r="W2533">
        <v>0.1438217</v>
      </c>
      <c r="X2533">
        <v>0.93720599999999998</v>
      </c>
      <c r="Y2533">
        <v>-0.45232670000000003</v>
      </c>
      <c r="Z2533">
        <v>2.5496850000000001E-2</v>
      </c>
      <c r="AA2533">
        <v>0.89148780000000005</v>
      </c>
      <c r="AB2533">
        <v>29</v>
      </c>
      <c r="AC2533">
        <v>0.11669999999998</v>
      </c>
      <c r="AD2533">
        <v>-5.68219999999999E-2</v>
      </c>
      <c r="AE2533">
        <v>-0.76089999999999203</v>
      </c>
      <c r="AF2533">
        <v>-0.46664848956404797</v>
      </c>
      <c r="AG2533">
        <v>-5.68219999999999E-2</v>
      </c>
      <c r="AH2533">
        <v>0.60697759661727702</v>
      </c>
      <c r="AI2533">
        <v>94.244506488317597</v>
      </c>
      <c r="AJ2533">
        <v>127.55332676605001</v>
      </c>
      <c r="AK2533">
        <v>0.76773130409779</v>
      </c>
      <c r="AL2533">
        <v>81.730947865151506</v>
      </c>
      <c r="AM2533">
        <v>108.72828553217199</v>
      </c>
      <c r="AN2533">
        <v>1.0000000320665601</v>
      </c>
    </row>
    <row r="2534" spans="1:40" x14ac:dyDescent="0.25">
      <c r="A2534" t="str">
        <f>"20190303162828751"</f>
        <v>20190303162828751</v>
      </c>
      <c r="B2534" t="str">
        <f>"1551601708744102"</f>
        <v>1551601708744102</v>
      </c>
      <c r="C2534" t="s">
        <v>40</v>
      </c>
      <c r="D2534">
        <v>4.744815</v>
      </c>
      <c r="E2534">
        <v>0.45577109999999899</v>
      </c>
      <c r="F2534" t="s">
        <v>41</v>
      </c>
      <c r="G2534">
        <v>-488.8997</v>
      </c>
      <c r="H2534" s="1">
        <v>-2.5182700000000001E-6</v>
      </c>
      <c r="I2534">
        <v>255.048</v>
      </c>
      <c r="J2534">
        <v>-487.81900000000002</v>
      </c>
      <c r="K2534">
        <v>1.1308670000000001</v>
      </c>
      <c r="L2534">
        <v>272.46199999999999</v>
      </c>
      <c r="M2534">
        <v>-0.47287750000000001</v>
      </c>
      <c r="N2534">
        <v>-1.541143E-2</v>
      </c>
      <c r="O2534">
        <v>-0.88099349999999998</v>
      </c>
      <c r="P2534">
        <v>-0.17043820000000001</v>
      </c>
      <c r="Q2534">
        <v>0.13651759999999999</v>
      </c>
      <c r="R2534">
        <v>-0.97586580000000001</v>
      </c>
      <c r="S2534">
        <v>-0.2072754</v>
      </c>
      <c r="T2534">
        <v>-0.196741</v>
      </c>
      <c r="U2534">
        <v>-3.068298</v>
      </c>
      <c r="V2534">
        <v>-0.31481690000000001</v>
      </c>
      <c r="W2534">
        <v>0.14362069999999999</v>
      </c>
      <c r="X2534">
        <v>0.93822349999999999</v>
      </c>
      <c r="Y2534">
        <v>-0.41220590000000001</v>
      </c>
      <c r="Z2534">
        <v>3.4618990000000002E-2</v>
      </c>
      <c r="AA2534">
        <v>0.91043280000000004</v>
      </c>
      <c r="AB2534">
        <v>29</v>
      </c>
      <c r="AC2534">
        <v>-1.08069999999997</v>
      </c>
      <c r="AD2534">
        <v>-1.1308695182699999</v>
      </c>
      <c r="AE2534">
        <v>-17.413999999999898</v>
      </c>
      <c r="AF2534">
        <v>-7.2529931941760797</v>
      </c>
      <c r="AG2534">
        <v>-1.1308695182699999</v>
      </c>
      <c r="AH2534">
        <v>15.788213782212001</v>
      </c>
      <c r="AI2534">
        <v>93.724006216915996</v>
      </c>
      <c r="AJ2534">
        <v>114.67371388265801</v>
      </c>
      <c r="AK2534">
        <v>17.411274237543498</v>
      </c>
      <c r="AL2534">
        <v>81.742584540903806</v>
      </c>
      <c r="AM2534">
        <v>108.54895848702201</v>
      </c>
      <c r="AN2534">
        <v>0.99999996097317401</v>
      </c>
    </row>
    <row r="2535" spans="1:40" x14ac:dyDescent="0.25">
      <c r="A2535" t="str">
        <f>"20190303162828773"</f>
        <v>20190303162828773</v>
      </c>
      <c r="B2535" t="str">
        <f>"1551601708763622"</f>
        <v>1551601708763622</v>
      </c>
      <c r="C2535" t="s">
        <v>40</v>
      </c>
      <c r="D2535">
        <v>4.7288019999999999</v>
      </c>
      <c r="E2535">
        <v>0.4564357</v>
      </c>
      <c r="F2535" t="s">
        <v>41</v>
      </c>
      <c r="G2535">
        <v>-488.94450000000001</v>
      </c>
      <c r="H2535" s="1">
        <v>-2.0412079999999998E-6</v>
      </c>
      <c r="I2535">
        <v>253.95439999999999</v>
      </c>
      <c r="J2535">
        <v>-487.94229999999999</v>
      </c>
      <c r="K2535">
        <v>1.1307689999999999</v>
      </c>
      <c r="L2535">
        <v>272.20600000000002</v>
      </c>
      <c r="M2535">
        <v>-0.46226210000000001</v>
      </c>
      <c r="N2535">
        <v>-1.5388239999999999E-2</v>
      </c>
      <c r="O2535">
        <v>-0.88661000000000001</v>
      </c>
      <c r="P2535">
        <v>-0.16340859999999999</v>
      </c>
      <c r="Q2535">
        <v>0.13576629999999901</v>
      </c>
      <c r="R2535">
        <v>-0.97717229999999999</v>
      </c>
      <c r="S2535">
        <v>-0.186554</v>
      </c>
      <c r="T2535">
        <v>-0.18745609999999999</v>
      </c>
      <c r="U2535">
        <v>-3.0678709999999998</v>
      </c>
      <c r="V2535">
        <v>-0.31028509999999998</v>
      </c>
      <c r="W2535">
        <v>0.14305300000000001</v>
      </c>
      <c r="X2535">
        <v>0.93981859999999995</v>
      </c>
      <c r="Y2535">
        <v>-0.40738920000000001</v>
      </c>
      <c r="Z2535">
        <v>3.285424E-2</v>
      </c>
      <c r="AA2535">
        <v>0.91266349999999996</v>
      </c>
      <c r="AB2535">
        <v>29</v>
      </c>
      <c r="AC2535">
        <v>-1.00220000000001</v>
      </c>
      <c r="AD2535">
        <v>-1.1307710412080001</v>
      </c>
      <c r="AE2535">
        <v>-18.2515999999999</v>
      </c>
      <c r="AF2535">
        <v>-7.5205749948846599</v>
      </c>
      <c r="AG2535">
        <v>-1.1307710412080001</v>
      </c>
      <c r="AH2535">
        <v>16.583834833469599</v>
      </c>
      <c r="AI2535">
        <v>93.553400162348296</v>
      </c>
      <c r="AJ2535">
        <v>114.39373575600401</v>
      </c>
      <c r="AK2535">
        <v>18.244485993996101</v>
      </c>
      <c r="AL2535">
        <v>81.775451078218097</v>
      </c>
      <c r="AM2535">
        <v>108.270859247185</v>
      </c>
      <c r="AN2535">
        <v>1.0000000024984801</v>
      </c>
    </row>
    <row r="2536" spans="1:40" x14ac:dyDescent="0.25">
      <c r="A2536" t="str">
        <f>"20190303162828787"</f>
        <v>20190303162828787</v>
      </c>
      <c r="B2536" t="str">
        <f>"1551601708774357"</f>
        <v>1551601708774357</v>
      </c>
      <c r="C2536" t="s">
        <v>40</v>
      </c>
      <c r="D2536">
        <v>4.7615860000000003</v>
      </c>
      <c r="E2536">
        <v>0.45659899999999998</v>
      </c>
      <c r="F2536" t="s">
        <v>41</v>
      </c>
      <c r="G2536">
        <v>-489.00959999999998</v>
      </c>
      <c r="H2536" s="1">
        <v>-1.5032240000000001E-6</v>
      </c>
      <c r="I2536">
        <v>252.72730000000001</v>
      </c>
      <c r="J2536">
        <v>-488.01280000000003</v>
      </c>
      <c r="K2536">
        <v>1.1307020000000001</v>
      </c>
      <c r="L2536">
        <v>272.05650000000003</v>
      </c>
      <c r="M2536">
        <v>-0.45609339999999998</v>
      </c>
      <c r="N2536">
        <v>-1.5373980000000001E-2</v>
      </c>
      <c r="O2536">
        <v>-0.88979909999999995</v>
      </c>
      <c r="P2536">
        <v>-0.15981670000000001</v>
      </c>
      <c r="Q2536">
        <v>0.13523729999999901</v>
      </c>
      <c r="R2536">
        <v>-0.97783929999999997</v>
      </c>
      <c r="S2536">
        <v>-0.16802979999999901</v>
      </c>
      <c r="T2536">
        <v>-0.1780274</v>
      </c>
      <c r="U2536">
        <v>-3.0667110000000002</v>
      </c>
      <c r="V2536">
        <v>-0.30720180000000002</v>
      </c>
      <c r="W2536">
        <v>0.14264669999999999</v>
      </c>
      <c r="X2536">
        <v>0.94089270000000003</v>
      </c>
      <c r="Y2536">
        <v>-0.40653139999999999</v>
      </c>
      <c r="Z2536">
        <v>3.0740699999999999E-2</v>
      </c>
      <c r="AA2536">
        <v>0.91311949999999997</v>
      </c>
      <c r="AB2536">
        <v>29</v>
      </c>
      <c r="AC2536">
        <v>-0.99679999999994995</v>
      </c>
      <c r="AD2536">
        <v>-1.130703503224</v>
      </c>
      <c r="AE2536">
        <v>-19.3292</v>
      </c>
      <c r="AF2536">
        <v>-7.9029345913651303</v>
      </c>
      <c r="AG2536">
        <v>-1.130703503224</v>
      </c>
      <c r="AH2536">
        <v>17.595773851936599</v>
      </c>
      <c r="AI2536">
        <v>93.354777535213699</v>
      </c>
      <c r="AJ2536">
        <v>114.18667077833599</v>
      </c>
      <c r="AK2536">
        <v>19.322166623236001</v>
      </c>
      <c r="AL2536">
        <v>81.798971962646206</v>
      </c>
      <c r="AM2536">
        <v>108.081878757719</v>
      </c>
      <c r="AN2536">
        <v>1.0000000499287001</v>
      </c>
    </row>
    <row r="2537" spans="1:40" x14ac:dyDescent="0.25">
      <c r="A2537" t="str">
        <f>"20190303162828801"</f>
        <v>20190303162828801</v>
      </c>
      <c r="B2537" t="str">
        <f>"1551601708793878"</f>
        <v>1551601708793878</v>
      </c>
      <c r="C2537" t="s">
        <v>40</v>
      </c>
      <c r="D2537">
        <v>4.6765930000000004</v>
      </c>
      <c r="E2537">
        <v>0.457289</v>
      </c>
      <c r="F2537" t="s">
        <v>44</v>
      </c>
      <c r="G2537">
        <v>-488.0686</v>
      </c>
      <c r="H2537">
        <v>1.069685</v>
      </c>
      <c r="I2537">
        <v>270.964</v>
      </c>
      <c r="J2537">
        <v>-488.09320000000002</v>
      </c>
      <c r="K2537">
        <v>1.13062</v>
      </c>
      <c r="L2537">
        <v>271.88249999999999</v>
      </c>
      <c r="M2537">
        <v>-0.44896550000000002</v>
      </c>
      <c r="N2537">
        <v>-1.535622E-2</v>
      </c>
      <c r="O2537">
        <v>-0.89341719999999902</v>
      </c>
      <c r="P2537">
        <v>-0.155265299999999</v>
      </c>
      <c r="Q2537">
        <v>0.13484119999999999</v>
      </c>
      <c r="R2537">
        <v>-0.97862669999999996</v>
      </c>
      <c r="S2537">
        <v>-0.15628049999999999</v>
      </c>
      <c r="T2537">
        <v>-0.17124549999999999</v>
      </c>
      <c r="U2537">
        <v>-3.0661619999999998</v>
      </c>
      <c r="V2537">
        <v>-0.304037</v>
      </c>
      <c r="W2537">
        <v>0.14238239999999999</v>
      </c>
      <c r="X2537">
        <v>0.94196000000000002</v>
      </c>
      <c r="Y2537">
        <v>-0.40271600000000002</v>
      </c>
      <c r="Z2537">
        <v>2.9353239999999999E-2</v>
      </c>
      <c r="AA2537">
        <v>0.91485419999999995</v>
      </c>
      <c r="AB2537">
        <v>29</v>
      </c>
      <c r="AC2537">
        <v>2.46000000000208E-2</v>
      </c>
      <c r="AD2537">
        <v>-6.09350000000001E-2</v>
      </c>
      <c r="AE2537">
        <v>-0.91849999999999399</v>
      </c>
      <c r="AF2537">
        <v>-0.43250188821237401</v>
      </c>
      <c r="AG2537">
        <v>-6.09350000000001E-2</v>
      </c>
      <c r="AH2537">
        <v>0.80610922572717902</v>
      </c>
      <c r="AI2537">
        <v>93.810828346467403</v>
      </c>
      <c r="AJ2537">
        <v>118.21489855431101</v>
      </c>
      <c r="AK2537">
        <v>0.91683315894155004</v>
      </c>
      <c r="AL2537">
        <v>81.814270524307204</v>
      </c>
      <c r="AM2537">
        <v>107.888554181038</v>
      </c>
      <c r="AN2537">
        <v>0.99999994339937803</v>
      </c>
    </row>
    <row r="2538" spans="1:40" x14ac:dyDescent="0.25">
      <c r="A2538" t="str">
        <f>"20190303162828819"</f>
        <v>20190303162828819</v>
      </c>
      <c r="B2538" t="str">
        <f>"1551601708803638"</f>
        <v>1551601708803638</v>
      </c>
      <c r="C2538" t="s">
        <v>40</v>
      </c>
      <c r="D2538">
        <v>4.6614760000000004</v>
      </c>
      <c r="E2538">
        <v>0.45738250000000003</v>
      </c>
      <c r="F2538" t="s">
        <v>41</v>
      </c>
      <c r="G2538">
        <v>-489.09350000000001</v>
      </c>
      <c r="H2538" s="1">
        <v>-7.2996370000000003E-7</v>
      </c>
      <c r="I2538">
        <v>250.95949999999999</v>
      </c>
      <c r="J2538">
        <v>-488.18380000000002</v>
      </c>
      <c r="K2538">
        <v>1.130512</v>
      </c>
      <c r="L2538">
        <v>271.68150000000003</v>
      </c>
      <c r="M2538">
        <v>-0.44081540000000002</v>
      </c>
      <c r="N2538">
        <v>-1.53335E-2</v>
      </c>
      <c r="O2538">
        <v>-0.89746680000000001</v>
      </c>
      <c r="P2538">
        <v>-0.15289129999999901</v>
      </c>
      <c r="Q2538">
        <v>0.13418099999999999</v>
      </c>
      <c r="R2538">
        <v>-0.9790915</v>
      </c>
      <c r="S2538">
        <v>-0.14654539999999999</v>
      </c>
      <c r="T2538">
        <v>-0.16562739999999901</v>
      </c>
      <c r="U2538">
        <v>-3.0650629999999999</v>
      </c>
      <c r="V2538">
        <v>-0.29771700000000001</v>
      </c>
      <c r="W2538">
        <v>0.14195279999999999</v>
      </c>
      <c r="X2538">
        <v>0.94404129999999997</v>
      </c>
      <c r="Y2538">
        <v>-0.39727170000000001</v>
      </c>
      <c r="Z2538">
        <v>2.83097E-2</v>
      </c>
      <c r="AA2538">
        <v>0.91726430000000003</v>
      </c>
      <c r="AB2538">
        <v>29</v>
      </c>
      <c r="AC2538">
        <v>-0.90969999999998596</v>
      </c>
      <c r="AD2538">
        <v>-1.1305127299636999</v>
      </c>
      <c r="AE2538">
        <v>-20.722000000000001</v>
      </c>
      <c r="AF2538">
        <v>-8.2944892308944098</v>
      </c>
      <c r="AG2538">
        <v>-1.1305127299636999</v>
      </c>
      <c r="AH2538">
        <v>18.944273896665202</v>
      </c>
      <c r="AI2538">
        <v>93.128992409141603</v>
      </c>
      <c r="AJ2538">
        <v>113.645544742827</v>
      </c>
      <c r="AK2538">
        <v>20.711400824326301</v>
      </c>
      <c r="AL2538">
        <v>81.839137781349507</v>
      </c>
      <c r="AM2538">
        <v>107.503418248617</v>
      </c>
      <c r="AN2538">
        <v>0.99999999281126495</v>
      </c>
    </row>
    <row r="2539" spans="1:40" x14ac:dyDescent="0.25">
      <c r="A2539" t="str">
        <f>"20190303162828841"</f>
        <v>20190303162828841</v>
      </c>
      <c r="B2539" t="str">
        <f>"1551601708833893"</f>
        <v>1551601708833893</v>
      </c>
      <c r="C2539" t="s">
        <v>40</v>
      </c>
      <c r="D2539">
        <v>4.643357</v>
      </c>
      <c r="E2539">
        <v>0.4582697</v>
      </c>
      <c r="F2539" t="s">
        <v>41</v>
      </c>
      <c r="G2539">
        <v>-489.12729999999999</v>
      </c>
      <c r="H2539" s="1">
        <v>-6.1150399999999999E-7</v>
      </c>
      <c r="I2539">
        <v>250.69730000000001</v>
      </c>
      <c r="J2539">
        <v>-488.298</v>
      </c>
      <c r="K2539">
        <v>1.1303570000000001</v>
      </c>
      <c r="L2539">
        <v>271.42189999999999</v>
      </c>
      <c r="M2539">
        <v>-0.4304153</v>
      </c>
      <c r="N2539">
        <v>-1.5301510000000001E-2</v>
      </c>
      <c r="O2539">
        <v>-0.90250149999999996</v>
      </c>
      <c r="P2539">
        <v>-0.1477589</v>
      </c>
      <c r="Q2539">
        <v>0.13366069999999999</v>
      </c>
      <c r="R2539">
        <v>-0.97995019999999999</v>
      </c>
      <c r="S2539">
        <v>-0.13781740000000001</v>
      </c>
      <c r="T2539">
        <v>-0.16513529999999901</v>
      </c>
      <c r="U2539">
        <v>-3.0651860000000002</v>
      </c>
      <c r="V2539">
        <v>-0.2917013</v>
      </c>
      <c r="W2539">
        <v>0.1416781</v>
      </c>
      <c r="X2539">
        <v>0.94595859999999998</v>
      </c>
      <c r="Y2539">
        <v>-0.38926899999999998</v>
      </c>
      <c r="Z2539">
        <v>2.8693429999999999E-2</v>
      </c>
      <c r="AA2539">
        <v>0.92067710000000003</v>
      </c>
      <c r="AB2539">
        <v>29</v>
      </c>
      <c r="AC2539">
        <v>-0.82929999999998905</v>
      </c>
      <c r="AD2539">
        <v>-1.1303576115039999</v>
      </c>
      <c r="AE2539">
        <v>-20.724599999999899</v>
      </c>
      <c r="AF2539">
        <v>-8.1484940371855199</v>
      </c>
      <c r="AG2539">
        <v>-1.1303576115039999</v>
      </c>
      <c r="AH2539">
        <v>19.006702806987398</v>
      </c>
      <c r="AI2539">
        <v>93.128678404617006</v>
      </c>
      <c r="AJ2539">
        <v>113.205629990538</v>
      </c>
      <c r="AK2539">
        <v>20.710635311285699</v>
      </c>
      <c r="AL2539">
        <v>81.855037711008507</v>
      </c>
      <c r="AM2539">
        <v>107.137974276796</v>
      </c>
      <c r="AN2539">
        <v>1.0000000026776299</v>
      </c>
    </row>
    <row r="2540" spans="1:40" x14ac:dyDescent="0.25">
      <c r="A2540" t="str">
        <f>"20190303162828856"</f>
        <v>20190303162828856</v>
      </c>
      <c r="B2540" t="str">
        <f>"1551601708843654"</f>
        <v>1551601708843654</v>
      </c>
      <c r="C2540" t="s">
        <v>40</v>
      </c>
      <c r="D2540">
        <v>4.6138629999999896</v>
      </c>
      <c r="E2540">
        <v>0.45872220000000002</v>
      </c>
      <c r="F2540" t="s">
        <v>41</v>
      </c>
      <c r="G2540">
        <v>-489.178</v>
      </c>
      <c r="H2540" s="1">
        <v>-4.8581289999999997E-7</v>
      </c>
      <c r="I2540">
        <v>250.42529999999999</v>
      </c>
      <c r="J2540">
        <v>-488.37079999999997</v>
      </c>
      <c r="K2540">
        <v>1.1302449999999999</v>
      </c>
      <c r="L2540">
        <v>271.2518</v>
      </c>
      <c r="M2540">
        <v>-0.42372409999999999</v>
      </c>
      <c r="N2540">
        <v>-1.5277290000000001E-2</v>
      </c>
      <c r="O2540">
        <v>-0.90566270000000004</v>
      </c>
      <c r="P2540">
        <v>-0.14357629999999999</v>
      </c>
      <c r="Q2540">
        <v>0.1332506</v>
      </c>
      <c r="R2540">
        <v>-0.98062749999999999</v>
      </c>
      <c r="S2540">
        <v>-0.12844849999999999</v>
      </c>
      <c r="T2540">
        <v>-0.16497919999999999</v>
      </c>
      <c r="U2540">
        <v>-3.064514</v>
      </c>
      <c r="V2540">
        <v>-0.28870190000000001</v>
      </c>
      <c r="W2540">
        <v>0.14140949999999999</v>
      </c>
      <c r="X2540">
        <v>0.94691840000000005</v>
      </c>
      <c r="Y2540">
        <v>-0.38525300000000001</v>
      </c>
      <c r="Z2540">
        <v>2.8972649999999999E-2</v>
      </c>
      <c r="AA2540">
        <v>0.92235610000000001</v>
      </c>
      <c r="AB2540">
        <v>29</v>
      </c>
      <c r="AC2540">
        <v>-0.80720000000007897</v>
      </c>
      <c r="AD2540">
        <v>-1.1302454858128901</v>
      </c>
      <c r="AE2540">
        <v>-20.826499999999999</v>
      </c>
      <c r="AF2540">
        <v>-8.0708474460617694</v>
      </c>
      <c r="AG2540">
        <v>-1.1302454858128901</v>
      </c>
      <c r="AH2540">
        <v>19.1497366026415</v>
      </c>
      <c r="AI2540">
        <v>93.113155212570206</v>
      </c>
      <c r="AJ2540">
        <v>112.853475598616</v>
      </c>
      <c r="AK2540">
        <v>20.811738161584401</v>
      </c>
      <c r="AL2540">
        <v>81.870583404272907</v>
      </c>
      <c r="AM2540">
        <v>106.955715301282</v>
      </c>
      <c r="AN2540">
        <v>0.99999994500620804</v>
      </c>
    </row>
    <row r="2541" spans="1:40" x14ac:dyDescent="0.25">
      <c r="A2541" t="str">
        <f>"20190303162828874"</f>
        <v>20190303162828874</v>
      </c>
      <c r="B2541" t="str">
        <f>"1551601708864150"</f>
        <v>1551601708864150</v>
      </c>
      <c r="C2541" t="s">
        <v>40</v>
      </c>
      <c r="D2541">
        <v>4.6517559999999998</v>
      </c>
      <c r="E2541">
        <v>0.45898679999999997</v>
      </c>
      <c r="F2541" t="s">
        <v>41</v>
      </c>
      <c r="G2541">
        <v>-489.17020000000002</v>
      </c>
      <c r="H2541" s="1">
        <v>-5.2432869999999897E-7</v>
      </c>
      <c r="I2541">
        <v>250.5119</v>
      </c>
      <c r="J2541">
        <v>-488.46179999999998</v>
      </c>
      <c r="K2541">
        <v>1.1300779999999999</v>
      </c>
      <c r="L2541">
        <v>271.03469999999999</v>
      </c>
      <c r="M2541">
        <v>-0.41531000000000001</v>
      </c>
      <c r="N2541">
        <v>-1.5244219999999999E-2</v>
      </c>
      <c r="O2541">
        <v>-0.90955229999999998</v>
      </c>
      <c r="P2541">
        <v>-0.14046330000000001</v>
      </c>
      <c r="Q2541">
        <v>0.13351759999999999</v>
      </c>
      <c r="R2541">
        <v>-0.98104219999999998</v>
      </c>
      <c r="S2541">
        <v>-0.1181335</v>
      </c>
      <c r="T2541">
        <v>-0.16701279999999999</v>
      </c>
      <c r="U2541">
        <v>-3.064667</v>
      </c>
      <c r="V2541">
        <v>-0.2828444</v>
      </c>
      <c r="W2541">
        <v>0.14191409999999999</v>
      </c>
      <c r="X2541">
        <v>0.94860919999999904</v>
      </c>
      <c r="Y2541">
        <v>-0.37979659999999998</v>
      </c>
      <c r="Z2541">
        <v>2.990992E-2</v>
      </c>
      <c r="AA2541">
        <v>0.92458640000000003</v>
      </c>
      <c r="AB2541">
        <v>29</v>
      </c>
      <c r="AC2541">
        <v>-0.70840000000004</v>
      </c>
      <c r="AD2541">
        <v>-1.1300785243286999</v>
      </c>
      <c r="AE2541">
        <v>-20.522799999999901</v>
      </c>
      <c r="AF2541">
        <v>-7.8561199775158501</v>
      </c>
      <c r="AG2541">
        <v>-1.1300785243286999</v>
      </c>
      <c r="AH2541">
        <v>18.905711585380899</v>
      </c>
      <c r="AI2541">
        <v>93.159430772151893</v>
      </c>
      <c r="AJ2541">
        <v>112.564943893132</v>
      </c>
      <c r="AK2541">
        <v>20.504185648834699</v>
      </c>
      <c r="AL2541">
        <v>81.841377785428904</v>
      </c>
      <c r="AM2541">
        <v>106.60286860796801</v>
      </c>
      <c r="AN2541">
        <v>0.99999999035740395</v>
      </c>
    </row>
    <row r="2542" spans="1:40" x14ac:dyDescent="0.25">
      <c r="A2542" t="str">
        <f>"20190303162828896"</f>
        <v>20190303162828896</v>
      </c>
      <c r="B2542" t="str">
        <f>"1551601708883670"</f>
        <v>1551601708883670</v>
      </c>
      <c r="C2542" t="s">
        <v>40</v>
      </c>
      <c r="D2542">
        <v>4.6052160000000004</v>
      </c>
      <c r="E2542">
        <v>0.45983000000000002</v>
      </c>
      <c r="F2542" t="s">
        <v>41</v>
      </c>
      <c r="G2542">
        <v>-489.23379999999997</v>
      </c>
      <c r="H2542" s="1">
        <v>-4.3777469999999998E-6</v>
      </c>
      <c r="I2542">
        <v>249.5206</v>
      </c>
      <c r="J2542">
        <v>-488.56200000000001</v>
      </c>
      <c r="K2542">
        <v>1.1298790000000001</v>
      </c>
      <c r="L2542">
        <v>270.78969999999998</v>
      </c>
      <c r="M2542">
        <v>-0.40600969999999997</v>
      </c>
      <c r="N2542">
        <v>-1.5203619999999999E-2</v>
      </c>
      <c r="O2542">
        <v>-0.91374239999999995</v>
      </c>
      <c r="P2542">
        <v>-0.13566339999999999</v>
      </c>
      <c r="Q2542">
        <v>0.1338657</v>
      </c>
      <c r="R2542">
        <v>-0.98166980000000004</v>
      </c>
      <c r="S2542">
        <v>-0.10995480000000001</v>
      </c>
      <c r="T2542">
        <v>-0.16095200000000001</v>
      </c>
      <c r="U2542">
        <v>-3.0641479999999999</v>
      </c>
      <c r="V2542">
        <v>-0.2777078</v>
      </c>
      <c r="W2542">
        <v>0.1424966</v>
      </c>
      <c r="X2542">
        <v>0.95003850000000001</v>
      </c>
      <c r="Y2542">
        <v>-0.37281989999999998</v>
      </c>
      <c r="Z2542">
        <v>2.871866E-2</v>
      </c>
      <c r="AA2542">
        <v>0.92745920000000004</v>
      </c>
      <c r="AB2542">
        <v>29</v>
      </c>
      <c r="AC2542">
        <v>-0.67180000000001805</v>
      </c>
      <c r="AD2542">
        <v>-1.1298833777470001</v>
      </c>
      <c r="AE2542">
        <v>-21.269099999999899</v>
      </c>
      <c r="AF2542">
        <v>-7.9999811519498802</v>
      </c>
      <c r="AG2542">
        <v>-1.1298833777470001</v>
      </c>
      <c r="AH2542">
        <v>19.654101755330501</v>
      </c>
      <c r="AI2542">
        <v>93.047918466362702</v>
      </c>
      <c r="AJ2542">
        <v>112.148228180084</v>
      </c>
      <c r="AK2542">
        <v>21.2499423690453</v>
      </c>
      <c r="AL2542">
        <v>81.807660633534397</v>
      </c>
      <c r="AM2542">
        <v>106.29428295166601</v>
      </c>
      <c r="AN2542">
        <v>1.00000002733732</v>
      </c>
    </row>
    <row r="2543" spans="1:40" x14ac:dyDescent="0.25">
      <c r="A2543" t="str">
        <f>"20190303162828910"</f>
        <v>20190303162828910</v>
      </c>
      <c r="B2543" t="str">
        <f>"1551601708904166"</f>
        <v>1551601708904166</v>
      </c>
      <c r="C2543" t="s">
        <v>40</v>
      </c>
      <c r="D2543">
        <v>4.6524900000000002</v>
      </c>
      <c r="E2543">
        <v>0.46042050000000001</v>
      </c>
      <c r="F2543" t="s">
        <v>41</v>
      </c>
      <c r="G2543">
        <v>-489.24290000000002</v>
      </c>
      <c r="H2543" s="1">
        <v>-4.6371200000000002E-7</v>
      </c>
      <c r="I2543">
        <v>250.4007</v>
      </c>
      <c r="J2543">
        <v>-488.62939999999998</v>
      </c>
      <c r="K2543">
        <v>1.1297330000000001</v>
      </c>
      <c r="L2543">
        <v>270.62119999999999</v>
      </c>
      <c r="M2543">
        <v>-0.3997501</v>
      </c>
      <c r="N2543">
        <v>-1.517423E-2</v>
      </c>
      <c r="O2543">
        <v>-0.91649849999999999</v>
      </c>
      <c r="P2543">
        <v>-0.1312287</v>
      </c>
      <c r="Q2543">
        <v>0.13373170000000001</v>
      </c>
      <c r="R2543">
        <v>-0.98229060000000001</v>
      </c>
      <c r="S2543">
        <v>-0.102356</v>
      </c>
      <c r="T2543">
        <v>-0.169853799999999</v>
      </c>
      <c r="U2543">
        <v>-3.0650629999999999</v>
      </c>
      <c r="V2543">
        <v>-0.27544570000000002</v>
      </c>
      <c r="W2543">
        <v>0.14249329999999999</v>
      </c>
      <c r="X2543">
        <v>0.95069729999999997</v>
      </c>
      <c r="Y2543">
        <v>-0.36877189999999999</v>
      </c>
      <c r="Z2543">
        <v>3.1414669999999999E-2</v>
      </c>
      <c r="AA2543">
        <v>0.92898890000000001</v>
      </c>
      <c r="AB2543">
        <v>29</v>
      </c>
      <c r="AC2543">
        <v>-0.61350000000004401</v>
      </c>
      <c r="AD2543">
        <v>-1.129733463712</v>
      </c>
      <c r="AE2543">
        <v>-20.220499999999902</v>
      </c>
      <c r="AF2543">
        <v>-7.4983566046941696</v>
      </c>
      <c r="AG2543">
        <v>-1.129733463712</v>
      </c>
      <c r="AH2543">
        <v>18.721082952160099</v>
      </c>
      <c r="AI2543">
        <v>93.206310428228306</v>
      </c>
      <c r="AJ2543">
        <v>111.827586241579</v>
      </c>
      <c r="AK2543">
        <v>20.1985295596449</v>
      </c>
      <c r="AL2543">
        <v>81.807851558885801</v>
      </c>
      <c r="AM2543">
        <v>106.157897735407</v>
      </c>
      <c r="AN2543">
        <v>1.0000000152103301</v>
      </c>
    </row>
    <row r="2544" spans="1:40" x14ac:dyDescent="0.25">
      <c r="A2544" t="str">
        <f>"20190303162828922"</f>
        <v>20190303162828922</v>
      </c>
      <c r="B2544" t="str">
        <f>"1551601708913926"</f>
        <v>1551601708913926</v>
      </c>
      <c r="C2544" t="s">
        <v>40</v>
      </c>
      <c r="D2544">
        <v>4.6857170000000004</v>
      </c>
      <c r="E2544">
        <v>0.46064500000000003</v>
      </c>
      <c r="F2544" t="s">
        <v>41</v>
      </c>
      <c r="G2544">
        <v>-489.24189999999999</v>
      </c>
      <c r="H2544" s="1">
        <v>-5.3968010000000002E-7</v>
      </c>
      <c r="I2544">
        <v>250.57730000000001</v>
      </c>
      <c r="J2544">
        <v>-488.69040000000001</v>
      </c>
      <c r="K2544">
        <v>1.129591</v>
      </c>
      <c r="L2544">
        <v>270.46660000000003</v>
      </c>
      <c r="M2544">
        <v>-0.39407880000000001</v>
      </c>
      <c r="N2544">
        <v>-1.51472E-2</v>
      </c>
      <c r="O2544">
        <v>-0.91895199999999999</v>
      </c>
      <c r="P2544">
        <v>-0.1274691</v>
      </c>
      <c r="Q2544">
        <v>0.13366879999999901</v>
      </c>
      <c r="R2544">
        <v>-0.98279430000000001</v>
      </c>
      <c r="S2544">
        <v>-9.3658450000000004E-2</v>
      </c>
      <c r="T2544">
        <v>-0.17275750000000001</v>
      </c>
      <c r="U2544">
        <v>-3.0650940000000002</v>
      </c>
      <c r="V2544">
        <v>-0.27315479999999998</v>
      </c>
      <c r="W2544">
        <v>0.14255699999999999</v>
      </c>
      <c r="X2544">
        <v>0.95134850000000004</v>
      </c>
      <c r="Y2544">
        <v>-0.36566019999999999</v>
      </c>
      <c r="Z2544">
        <v>3.246491E-2</v>
      </c>
      <c r="AA2544">
        <v>0.93018199999999995</v>
      </c>
      <c r="AB2544">
        <v>29</v>
      </c>
      <c r="AC2544">
        <v>-0.55149999999997501</v>
      </c>
      <c r="AD2544">
        <v>-1.1295915396801</v>
      </c>
      <c r="AE2544">
        <v>-19.889299999999999</v>
      </c>
      <c r="AF2544">
        <v>-7.3084338413427403</v>
      </c>
      <c r="AG2544">
        <v>-1.1295915396801</v>
      </c>
      <c r="AH2544">
        <v>18.437340706450801</v>
      </c>
      <c r="AI2544">
        <v>93.259764619901205</v>
      </c>
      <c r="AJ2544">
        <v>111.62303076472899</v>
      </c>
      <c r="AK2544">
        <v>19.865163341527001</v>
      </c>
      <c r="AL2544">
        <v>81.804164095724801</v>
      </c>
      <c r="AM2544">
        <v>106.020032451864</v>
      </c>
      <c r="AN2544">
        <v>1.0000000057321401</v>
      </c>
    </row>
    <row r="2545" spans="1:40" x14ac:dyDescent="0.25">
      <c r="A2545" t="str">
        <f>"20190303162828942"</f>
        <v>20190303162828942</v>
      </c>
      <c r="B2545" t="str">
        <f>"1551601708934421"</f>
        <v>1551601708934421</v>
      </c>
      <c r="C2545" t="s">
        <v>40</v>
      </c>
      <c r="D2545">
        <v>4.8242770000000004</v>
      </c>
      <c r="E2545">
        <v>0.46110269999999998</v>
      </c>
      <c r="F2545" t="s">
        <v>41</v>
      </c>
      <c r="G2545">
        <v>-489.23129999999998</v>
      </c>
      <c r="H2545" s="1">
        <v>-5.795375E-7</v>
      </c>
      <c r="I2545">
        <v>250.66579999999999</v>
      </c>
      <c r="J2545">
        <v>-488.77800000000002</v>
      </c>
      <c r="K2545">
        <v>1.1293679999999999</v>
      </c>
      <c r="L2545">
        <v>270.23919999999998</v>
      </c>
      <c r="M2545">
        <v>-0.3859843</v>
      </c>
      <c r="N2545">
        <v>-1.510481E-2</v>
      </c>
      <c r="O2545">
        <v>-0.92238189999999998</v>
      </c>
      <c r="P2545">
        <v>-0.1246449</v>
      </c>
      <c r="Q2545">
        <v>0.13360540000000001</v>
      </c>
      <c r="R2545">
        <v>-0.98316510000000001</v>
      </c>
      <c r="S2545">
        <v>-8.3740229999999999E-2</v>
      </c>
      <c r="T2545">
        <v>-0.17487939999999999</v>
      </c>
      <c r="U2545">
        <v>-3.0654910000000002</v>
      </c>
      <c r="V2545">
        <v>-0.26742919999999998</v>
      </c>
      <c r="W2545">
        <v>0.14274149999999999</v>
      </c>
      <c r="X2545">
        <v>0.95294619999999997</v>
      </c>
      <c r="Y2545">
        <v>-0.36048580000000002</v>
      </c>
      <c r="Z2545">
        <v>3.3421190000000003E-2</v>
      </c>
      <c r="AA2545">
        <v>0.93216569999999999</v>
      </c>
      <c r="AB2545">
        <v>29</v>
      </c>
      <c r="AC2545">
        <v>-0.45329999999995602</v>
      </c>
      <c r="AD2545">
        <v>-1.1293685795374999</v>
      </c>
      <c r="AE2545">
        <v>-19.5733999999999</v>
      </c>
      <c r="AF2545">
        <v>-7.11405089289235</v>
      </c>
      <c r="AG2545">
        <v>-1.1293685795374999</v>
      </c>
      <c r="AH2545">
        <v>18.1707313384277</v>
      </c>
      <c r="AI2545">
        <v>93.312333863099994</v>
      </c>
      <c r="AJ2545">
        <v>111.380916119877</v>
      </c>
      <c r="AK2545">
        <v>19.546372319907</v>
      </c>
      <c r="AL2545">
        <v>81.793483641096699</v>
      </c>
      <c r="AM2545">
        <v>105.67593091377699</v>
      </c>
      <c r="AN2545">
        <v>0.99999998646466404</v>
      </c>
    </row>
    <row r="2546" spans="1:40" x14ac:dyDescent="0.25">
      <c r="A2546" t="str">
        <f>"20190303162828954"</f>
        <v>20190303162828954</v>
      </c>
      <c r="B2546" t="str">
        <f>"1551601708944182"</f>
        <v>1551601708944182</v>
      </c>
      <c r="C2546" t="s">
        <v>40</v>
      </c>
      <c r="D2546">
        <v>4.7153099999999997</v>
      </c>
      <c r="E2546">
        <v>0.46131830000000001</v>
      </c>
      <c r="F2546" t="s">
        <v>41</v>
      </c>
      <c r="G2546">
        <v>-489.27929999999998</v>
      </c>
      <c r="H2546" s="1">
        <v>-5.5659149999999997E-7</v>
      </c>
      <c r="I2546">
        <v>250.63220000000001</v>
      </c>
      <c r="J2546">
        <v>-488.8329</v>
      </c>
      <c r="K2546">
        <v>1.1292089999999999</v>
      </c>
      <c r="L2546">
        <v>270.09359999999998</v>
      </c>
      <c r="M2546">
        <v>-0.38097530000000002</v>
      </c>
      <c r="N2546">
        <v>-1.5075079999999999E-2</v>
      </c>
      <c r="O2546">
        <v>-0.92446240000000002</v>
      </c>
      <c r="P2546">
        <v>-0.12239849999999999</v>
      </c>
      <c r="Q2546">
        <v>0.1336271</v>
      </c>
      <c r="R2546">
        <v>-0.98344419999999999</v>
      </c>
      <c r="S2546">
        <v>-7.8369140000000004E-2</v>
      </c>
      <c r="T2546">
        <v>-0.1765679</v>
      </c>
      <c r="U2546">
        <v>-3.0653990000000002</v>
      </c>
      <c r="V2546">
        <v>-0.2643723</v>
      </c>
      <c r="W2546">
        <v>0.14291139999999999</v>
      </c>
      <c r="X2546">
        <v>0.95377339999999999</v>
      </c>
      <c r="Y2546">
        <v>-0.35705730000000002</v>
      </c>
      <c r="Z2546">
        <v>3.4129420000000001E-2</v>
      </c>
      <c r="AA2546">
        <v>0.93345880000000003</v>
      </c>
      <c r="AB2546">
        <v>29</v>
      </c>
      <c r="AC2546">
        <v>-0.44639999999998198</v>
      </c>
      <c r="AD2546">
        <v>-1.1292095565914999</v>
      </c>
      <c r="AE2546">
        <v>-19.461399999999902</v>
      </c>
      <c r="AF2546">
        <v>-6.9789443623241603</v>
      </c>
      <c r="AG2546">
        <v>-1.1292095565914999</v>
      </c>
      <c r="AH2546">
        <v>18.1025491149502</v>
      </c>
      <c r="AI2546">
        <v>93.331026589580404</v>
      </c>
      <c r="AJ2546">
        <v>111.082785521902</v>
      </c>
      <c r="AK2546">
        <v>19.434069648282499</v>
      </c>
      <c r="AL2546">
        <v>81.783648695234803</v>
      </c>
      <c r="AM2546">
        <v>105.492610036089</v>
      </c>
      <c r="AN2546">
        <v>1.0000000399024001</v>
      </c>
    </row>
    <row r="2547" spans="1:40" x14ac:dyDescent="0.25">
      <c r="A2547" t="str">
        <f>"20190303162828966"</f>
        <v>20190303162828966</v>
      </c>
      <c r="B2547" t="str">
        <f>"1551601708953942"</f>
        <v>1551601708953942</v>
      </c>
      <c r="C2547" t="s">
        <v>40</v>
      </c>
      <c r="D2547">
        <v>4.8010570000000001</v>
      </c>
      <c r="E2547">
        <v>0.46151330000000002</v>
      </c>
      <c r="F2547" t="s">
        <v>41</v>
      </c>
      <c r="G2547">
        <v>-489.29790000000003</v>
      </c>
      <c r="H2547" s="1">
        <v>-4.6491170000000002E-7</v>
      </c>
      <c r="I2547">
        <v>250.42619999999999</v>
      </c>
      <c r="J2547">
        <v>-488.88630000000001</v>
      </c>
      <c r="K2547">
        <v>1.1290469999999999</v>
      </c>
      <c r="L2547">
        <v>269.95069999999998</v>
      </c>
      <c r="M2547">
        <v>-0.37612489999999998</v>
      </c>
      <c r="N2547">
        <v>-1.5045930000000001E-2</v>
      </c>
      <c r="O2547">
        <v>-0.92644700000000002</v>
      </c>
      <c r="P2547">
        <v>-0.12019730000000001</v>
      </c>
      <c r="Q2547">
        <v>0.13438079999999999</v>
      </c>
      <c r="R2547">
        <v>-0.98361319999999997</v>
      </c>
      <c r="S2547">
        <v>-7.2479249999999995E-2</v>
      </c>
      <c r="T2547">
        <v>-0.17600099999999999</v>
      </c>
      <c r="U2547">
        <v>-3.0653990000000002</v>
      </c>
      <c r="V2547">
        <v>-0.2614187</v>
      </c>
      <c r="W2547">
        <v>0.14380899999999999</v>
      </c>
      <c r="X2547">
        <v>0.95445230000000003</v>
      </c>
      <c r="Y2547">
        <v>-0.35395599999999999</v>
      </c>
      <c r="Z2547">
        <v>3.4198649999999997E-2</v>
      </c>
      <c r="AA2547">
        <v>0.93463660000000004</v>
      </c>
      <c r="AB2547">
        <v>29</v>
      </c>
      <c r="AC2547">
        <v>-0.411600000000021</v>
      </c>
      <c r="AD2547">
        <v>-1.1290474649116999</v>
      </c>
      <c r="AE2547">
        <v>-19.5244999999999</v>
      </c>
      <c r="AF2547">
        <v>-6.9399152796648496</v>
      </c>
      <c r="AG2547">
        <v>-1.1290474649116999</v>
      </c>
      <c r="AH2547">
        <v>18.1845076968585</v>
      </c>
      <c r="AI2547">
        <v>93.319871164693197</v>
      </c>
      <c r="AJ2547">
        <v>110.888799205886</v>
      </c>
      <c r="AK2547">
        <v>19.496499492064</v>
      </c>
      <c r="AL2547">
        <v>81.731682724159498</v>
      </c>
      <c r="AM2547">
        <v>105.317317575307</v>
      </c>
      <c r="AN2547">
        <v>0.99999997908298899</v>
      </c>
    </row>
    <row r="2548" spans="1:40" x14ac:dyDescent="0.25">
      <c r="A2548" t="str">
        <f>"20190303162828985"</f>
        <v>20190303162828985</v>
      </c>
      <c r="B2548" t="str">
        <f>"1551601708974437"</f>
        <v>1551601708974437</v>
      </c>
      <c r="C2548" t="s">
        <v>40</v>
      </c>
      <c r="D2548">
        <v>4.8019749999999997</v>
      </c>
      <c r="E2548">
        <v>0.46188809999999902</v>
      </c>
      <c r="F2548" t="s">
        <v>41</v>
      </c>
      <c r="G2548">
        <v>-489.32479999999998</v>
      </c>
      <c r="H2548" s="1">
        <v>-2.876887E-7</v>
      </c>
      <c r="I2548">
        <v>249.96549999999999</v>
      </c>
      <c r="J2548">
        <v>-488.96620000000001</v>
      </c>
      <c r="K2548">
        <v>1.1287959999999999</v>
      </c>
      <c r="L2548">
        <v>269.73239999999998</v>
      </c>
      <c r="M2548">
        <v>-0.3689598</v>
      </c>
      <c r="N2548">
        <v>-1.4998569999999999E-2</v>
      </c>
      <c r="O2548">
        <v>-0.92932440000000005</v>
      </c>
      <c r="P2548">
        <v>-0.1176411</v>
      </c>
      <c r="Q2548">
        <v>0.1363752</v>
      </c>
      <c r="R2548">
        <v>-0.98364750000000001</v>
      </c>
      <c r="S2548">
        <v>-6.7260739999999999E-2</v>
      </c>
      <c r="T2548">
        <v>-0.1731811</v>
      </c>
      <c r="U2548">
        <v>-3.0654599999999999</v>
      </c>
      <c r="V2548">
        <v>-0.25635469999999999</v>
      </c>
      <c r="W2548">
        <v>0.1460378</v>
      </c>
      <c r="X2548">
        <v>0.95548690000000003</v>
      </c>
      <c r="Y2548">
        <v>-0.34832639999999998</v>
      </c>
      <c r="Z2548">
        <v>3.3755199999999999E-2</v>
      </c>
      <c r="AA2548">
        <v>0.93676530000000002</v>
      </c>
      <c r="AB2548">
        <v>29</v>
      </c>
      <c r="AC2548">
        <v>-0.358599999999967</v>
      </c>
      <c r="AD2548">
        <v>-1.1287962876887001</v>
      </c>
      <c r="AE2548">
        <v>-19.7669</v>
      </c>
      <c r="AF2548">
        <v>-6.93810038932416</v>
      </c>
      <c r="AG2548">
        <v>-1.1287962876887001</v>
      </c>
      <c r="AH2548">
        <v>18.444124750158998</v>
      </c>
      <c r="AI2548">
        <v>93.278440663079806</v>
      </c>
      <c r="AJ2548">
        <v>110.614723138483</v>
      </c>
      <c r="AK2548">
        <v>19.738215620234399</v>
      </c>
      <c r="AL2548">
        <v>81.602619444440904</v>
      </c>
      <c r="AM2548">
        <v>105.018615492113</v>
      </c>
      <c r="AN2548">
        <v>0.99999999365627001</v>
      </c>
    </row>
    <row r="2549" spans="1:40" x14ac:dyDescent="0.25">
      <c r="A2549" t="str">
        <f>"20190303162828999"</f>
        <v>20190303162828999</v>
      </c>
      <c r="B2549" t="str">
        <f>"1551601708993958"</f>
        <v>1551601708993958</v>
      </c>
      <c r="C2549" t="s">
        <v>40</v>
      </c>
      <c r="D2549">
        <v>4.7751849999999996</v>
      </c>
      <c r="E2549">
        <v>0.46229439999999999</v>
      </c>
      <c r="F2549" t="s">
        <v>41</v>
      </c>
      <c r="G2549">
        <v>-489.3888</v>
      </c>
      <c r="H2549" s="1">
        <v>-4.1505390000000003E-6</v>
      </c>
      <c r="I2549">
        <v>249.05510000000001</v>
      </c>
      <c r="J2549">
        <v>-489.02620000000002</v>
      </c>
      <c r="K2549">
        <v>1.128593</v>
      </c>
      <c r="L2549">
        <v>269.56540000000001</v>
      </c>
      <c r="M2549">
        <v>-0.3636703</v>
      </c>
      <c r="N2549">
        <v>-1.496098E-2</v>
      </c>
      <c r="O2549">
        <v>-0.9314076</v>
      </c>
      <c r="P2549">
        <v>-0.11435149999999999</v>
      </c>
      <c r="Q2549">
        <v>0.13798529999999901</v>
      </c>
      <c r="R2549">
        <v>-0.98381079999999999</v>
      </c>
      <c r="S2549">
        <v>-6.2652589999999994E-2</v>
      </c>
      <c r="T2549">
        <v>-0.16735340000000001</v>
      </c>
      <c r="U2549">
        <v>-3.065582</v>
      </c>
      <c r="V2549">
        <v>-0.25398270000000001</v>
      </c>
      <c r="W2549">
        <v>0.14779139999999999</v>
      </c>
      <c r="X2549">
        <v>0.95585070000000005</v>
      </c>
      <c r="Y2549">
        <v>-0.34441149999999998</v>
      </c>
      <c r="Z2549">
        <v>3.2360510000000002E-2</v>
      </c>
      <c r="AA2549">
        <v>0.93826089999999995</v>
      </c>
      <c r="AB2549">
        <v>29</v>
      </c>
      <c r="AC2549">
        <v>-0.36259999999998599</v>
      </c>
      <c r="AD2549">
        <v>-1.128597150539</v>
      </c>
      <c r="AE2549">
        <v>-20.510300000000001</v>
      </c>
      <c r="AF2549">
        <v>-7.1005628472416404</v>
      </c>
      <c r="AG2549">
        <v>-1.128597150539</v>
      </c>
      <c r="AH2549">
        <v>19.1794147178096</v>
      </c>
      <c r="AI2549">
        <v>93.158595610246607</v>
      </c>
      <c r="AJ2549">
        <v>110.31545487256101</v>
      </c>
      <c r="AK2549">
        <v>20.482716450548399</v>
      </c>
      <c r="AL2549">
        <v>81.501043723210799</v>
      </c>
      <c r="AM2549">
        <v>104.880433222127</v>
      </c>
      <c r="AN2549">
        <v>1.0000000352518601</v>
      </c>
    </row>
    <row r="2550" spans="1:40" x14ac:dyDescent="0.25">
      <c r="A2550" t="str">
        <f>"20190303162829012"</f>
        <v>20190303162829012</v>
      </c>
      <c r="B2550" t="str">
        <f>"1551601709003718"</f>
        <v>1551601709003718</v>
      </c>
      <c r="C2550" t="s">
        <v>40</v>
      </c>
      <c r="D2550">
        <v>4.7644460000000004</v>
      </c>
      <c r="E2550">
        <v>0.4624027</v>
      </c>
      <c r="F2550" t="s">
        <v>41</v>
      </c>
      <c r="G2550">
        <v>-489.4153</v>
      </c>
      <c r="H2550" s="1">
        <v>-3.8276410000000001E-6</v>
      </c>
      <c r="I2550">
        <v>248.3133</v>
      </c>
      <c r="J2550">
        <v>-489.08</v>
      </c>
      <c r="K2550">
        <v>1.1284149999999999</v>
      </c>
      <c r="L2550">
        <v>269.4135</v>
      </c>
      <c r="M2550">
        <v>-0.35898740000000001</v>
      </c>
      <c r="N2550">
        <v>-1.4927299999999999E-2</v>
      </c>
      <c r="O2550">
        <v>-0.93322309999999997</v>
      </c>
      <c r="P2550">
        <v>-0.11147799999999999</v>
      </c>
      <c r="Q2550">
        <v>0.1394379</v>
      </c>
      <c r="R2550">
        <v>-0.98393600000000003</v>
      </c>
      <c r="S2550">
        <v>-5.6121829999999998E-2</v>
      </c>
      <c r="T2550">
        <v>-0.16280359999999999</v>
      </c>
      <c r="U2550">
        <v>-3.065674</v>
      </c>
      <c r="V2550">
        <v>-0.25185109999999999</v>
      </c>
      <c r="W2550">
        <v>0.14936969999999999</v>
      </c>
      <c r="X2550">
        <v>0.9561693</v>
      </c>
      <c r="Y2550">
        <v>-0.3416998</v>
      </c>
      <c r="Z2550">
        <v>3.1274540000000003E-2</v>
      </c>
      <c r="AA2550">
        <v>0.93928860000000003</v>
      </c>
      <c r="AB2550">
        <v>29</v>
      </c>
      <c r="AC2550">
        <v>-0.33530000000001697</v>
      </c>
      <c r="AD2550">
        <v>-1.1284188276410001</v>
      </c>
      <c r="AE2550">
        <v>-21.100200000000001</v>
      </c>
      <c r="AF2550">
        <v>-7.2418982696927099</v>
      </c>
      <c r="AG2550">
        <v>-1.1284188276410001</v>
      </c>
      <c r="AH2550">
        <v>19.757277100607201</v>
      </c>
      <c r="AI2550">
        <v>93.069557559157403</v>
      </c>
      <c r="AJ2550">
        <v>110.130074320604</v>
      </c>
      <c r="AK2550">
        <v>21.072930931157401</v>
      </c>
      <c r="AL2550">
        <v>81.409598532676299</v>
      </c>
      <c r="AM2550">
        <v>104.75631707523701</v>
      </c>
      <c r="AN2550">
        <v>1.0000000070558901</v>
      </c>
    </row>
    <row r="2551" spans="1:40" x14ac:dyDescent="0.25">
      <c r="A2551" t="str">
        <f>"20190303162829031"</f>
        <v>20190303162829031</v>
      </c>
      <c r="B2551" t="str">
        <f>"1551601709024213"</f>
        <v>1551601709024213</v>
      </c>
      <c r="C2551" t="s">
        <v>40</v>
      </c>
      <c r="D2551">
        <v>4.79948</v>
      </c>
      <c r="E2551">
        <v>0.46272249999999998</v>
      </c>
      <c r="F2551" t="s">
        <v>41</v>
      </c>
      <c r="G2551">
        <v>-489.42919999999998</v>
      </c>
      <c r="H2551" s="1">
        <v>-3.388934E-6</v>
      </c>
      <c r="I2551">
        <v>247.29640000000001</v>
      </c>
      <c r="J2551">
        <v>-489.1592</v>
      </c>
      <c r="K2551">
        <v>1.128145</v>
      </c>
      <c r="L2551">
        <v>269.18650000000002</v>
      </c>
      <c r="M2551">
        <v>-0.3522073</v>
      </c>
      <c r="N2551">
        <v>-1.48781E-2</v>
      </c>
      <c r="O2551">
        <v>-0.93580399999999997</v>
      </c>
      <c r="P2551">
        <v>-0.1091483</v>
      </c>
      <c r="Q2551">
        <v>0.141295</v>
      </c>
      <c r="R2551">
        <v>-0.98393249999999999</v>
      </c>
      <c r="S2551">
        <v>-4.840088E-2</v>
      </c>
      <c r="T2551">
        <v>-0.15641140000000001</v>
      </c>
      <c r="U2551">
        <v>-3.065674</v>
      </c>
      <c r="V2551">
        <v>-0.24699850000000001</v>
      </c>
      <c r="W2551">
        <v>0.15144669999999999</v>
      </c>
      <c r="X2551">
        <v>0.95710799999999996</v>
      </c>
      <c r="Y2551">
        <v>-0.337252</v>
      </c>
      <c r="Z2551">
        <v>2.974539E-2</v>
      </c>
      <c r="AA2551">
        <v>0.94094440000000001</v>
      </c>
      <c r="AB2551">
        <v>29</v>
      </c>
      <c r="AC2551">
        <v>-0.26999999999998098</v>
      </c>
      <c r="AD2551">
        <v>-1.128148388934</v>
      </c>
      <c r="AE2551">
        <v>-21.8901</v>
      </c>
      <c r="AF2551">
        <v>-7.43825628032896</v>
      </c>
      <c r="AG2551">
        <v>-1.128148388934</v>
      </c>
      <c r="AH2551">
        <v>20.5276980649829</v>
      </c>
      <c r="AI2551">
        <v>92.957834318647798</v>
      </c>
      <c r="AJ2551">
        <v>109.918094856059</v>
      </c>
      <c r="AK2551">
        <v>21.862908386726801</v>
      </c>
      <c r="AL2551">
        <v>81.2892261274052</v>
      </c>
      <c r="AM2551">
        <v>104.470456140065</v>
      </c>
      <c r="AN2551">
        <v>1.00000004280356</v>
      </c>
    </row>
    <row r="2552" spans="1:40" x14ac:dyDescent="0.25">
      <c r="A2552" t="str">
        <f>"20190303162829042"</f>
        <v>20190303162829042</v>
      </c>
      <c r="B2552" t="str">
        <f>"1551601709033974"</f>
        <v>1551601709033974</v>
      </c>
      <c r="C2552" t="s">
        <v>40</v>
      </c>
      <c r="D2552">
        <v>4.8071960000000002</v>
      </c>
      <c r="E2552">
        <v>0.462839</v>
      </c>
      <c r="F2552" t="s">
        <v>41</v>
      </c>
      <c r="G2552">
        <v>-489.49759999999998</v>
      </c>
      <c r="H2552" s="1">
        <v>-2.8674779999999999E-6</v>
      </c>
      <c r="I2552">
        <v>246.10919999999999</v>
      </c>
      <c r="J2552">
        <v>-489.2088</v>
      </c>
      <c r="K2552">
        <v>1.127969</v>
      </c>
      <c r="L2552">
        <v>269.04239999999999</v>
      </c>
      <c r="M2552">
        <v>-0.34802470000000002</v>
      </c>
      <c r="N2552">
        <v>-1.4847900000000001E-2</v>
      </c>
      <c r="O2552">
        <v>-0.93736790000000003</v>
      </c>
      <c r="P2552">
        <v>-0.1072515</v>
      </c>
      <c r="Q2552">
        <v>0.1421558</v>
      </c>
      <c r="R2552">
        <v>-0.98401680000000002</v>
      </c>
      <c r="S2552">
        <v>-4.4952390000000002E-2</v>
      </c>
      <c r="T2552">
        <v>-0.1498611</v>
      </c>
      <c r="U2552">
        <v>-3.0655519999999998</v>
      </c>
      <c r="V2552">
        <v>-0.24446590000000001</v>
      </c>
      <c r="W2552">
        <v>0.15243599999999999</v>
      </c>
      <c r="X2552">
        <v>0.95760100000000004</v>
      </c>
      <c r="Y2552">
        <v>-0.33411210000000002</v>
      </c>
      <c r="Z2552">
        <v>2.8051960000000001E-2</v>
      </c>
      <c r="AA2552">
        <v>0.94211579999999995</v>
      </c>
      <c r="AB2552">
        <v>29</v>
      </c>
      <c r="AC2552">
        <v>-0.28879999999998002</v>
      </c>
      <c r="AD2552">
        <v>-1.1279718674779999</v>
      </c>
      <c r="AE2552">
        <v>-22.933199999999999</v>
      </c>
      <c r="AF2552">
        <v>-7.6928499909705996</v>
      </c>
      <c r="AG2552">
        <v>-1.1279718674779999</v>
      </c>
      <c r="AH2552">
        <v>21.5476144474504</v>
      </c>
      <c r="AI2552">
        <v>92.822406252950699</v>
      </c>
      <c r="AJ2552">
        <v>109.647393840657</v>
      </c>
      <c r="AK2552">
        <v>22.907464938167401</v>
      </c>
      <c r="AL2552">
        <v>81.231877125813597</v>
      </c>
      <c r="AM2552">
        <v>104.321148734045</v>
      </c>
      <c r="AN2552">
        <v>0.99999999277990503</v>
      </c>
    </row>
    <row r="2553" spans="1:40" x14ac:dyDescent="0.25">
      <c r="A2553" t="str">
        <f>"20190303162829056"</f>
        <v>20190303162829056</v>
      </c>
      <c r="B2553" t="str">
        <f>"1551601709043735"</f>
        <v>1551601709043735</v>
      </c>
      <c r="C2553" t="s">
        <v>40</v>
      </c>
      <c r="D2553">
        <v>5.0078069999999997</v>
      </c>
      <c r="E2553">
        <v>0.46299299999999999</v>
      </c>
      <c r="F2553" t="s">
        <v>41</v>
      </c>
      <c r="G2553">
        <v>-489.51819999999998</v>
      </c>
      <c r="H2553" s="1">
        <v>-2.5256250000000001E-6</v>
      </c>
      <c r="I2553">
        <v>245.32079999999999</v>
      </c>
      <c r="J2553">
        <v>-489.2602</v>
      </c>
      <c r="K2553">
        <v>1.127783</v>
      </c>
      <c r="L2553">
        <v>268.89030000000002</v>
      </c>
      <c r="M2553">
        <v>-0.34383550000000002</v>
      </c>
      <c r="N2553">
        <v>-1.4814020000000001E-2</v>
      </c>
      <c r="O2553">
        <v>-0.9389132</v>
      </c>
      <c r="P2553">
        <v>-0.1053349</v>
      </c>
      <c r="Q2553">
        <v>0.14291039999999999</v>
      </c>
      <c r="R2553">
        <v>-0.9841145</v>
      </c>
      <c r="S2553">
        <v>-3.9978029999999998E-2</v>
      </c>
      <c r="T2553">
        <v>-0.14576239999999999</v>
      </c>
      <c r="U2553">
        <v>-3.0654300000000001</v>
      </c>
      <c r="V2553">
        <v>-0.24194889999999999</v>
      </c>
      <c r="W2553">
        <v>0.1533224</v>
      </c>
      <c r="X2553">
        <v>0.95809860000000002</v>
      </c>
      <c r="Y2553">
        <v>-0.3314357</v>
      </c>
      <c r="Z2553">
        <v>2.704488E-2</v>
      </c>
      <c r="AA2553">
        <v>0.94309010000000004</v>
      </c>
      <c r="AB2553">
        <v>29</v>
      </c>
      <c r="AC2553">
        <v>-0.25799999999998102</v>
      </c>
      <c r="AD2553">
        <v>-1.127785525625</v>
      </c>
      <c r="AE2553">
        <v>-23.569500000000001</v>
      </c>
      <c r="AF2553">
        <v>-7.8446940593297398</v>
      </c>
      <c r="AG2553">
        <v>-1.127785525625</v>
      </c>
      <c r="AH2553">
        <v>22.170105494308402</v>
      </c>
      <c r="AI2553">
        <v>92.745574635765294</v>
      </c>
      <c r="AJ2553">
        <v>109.485871182064</v>
      </c>
      <c r="AK2553">
        <v>23.544101229502399</v>
      </c>
      <c r="AL2553">
        <v>81.180485904474807</v>
      </c>
      <c r="AM2553">
        <v>104.172608050873</v>
      </c>
      <c r="AN2553">
        <v>0.99999997793746398</v>
      </c>
    </row>
    <row r="2554" spans="1:40" x14ac:dyDescent="0.25">
      <c r="A2554" t="str">
        <f>"20190303162829076"</f>
        <v>20190303162829076</v>
      </c>
      <c r="B2554" t="str">
        <f>"1551601709064229"</f>
        <v>1551601709064229</v>
      </c>
      <c r="C2554" t="s">
        <v>40</v>
      </c>
      <c r="D2554">
        <v>5.0581129999999996</v>
      </c>
      <c r="E2554">
        <v>0.46348109999999998</v>
      </c>
      <c r="F2554" t="s">
        <v>41</v>
      </c>
      <c r="G2554">
        <v>-489.54059999999998</v>
      </c>
      <c r="H2554" s="1">
        <v>-2.2151659999999999E-6</v>
      </c>
      <c r="I2554">
        <v>244.60640000000001</v>
      </c>
      <c r="J2554">
        <v>-489.34089999999998</v>
      </c>
      <c r="K2554">
        <v>1.1274630000000001</v>
      </c>
      <c r="L2554">
        <v>268.64839999999998</v>
      </c>
      <c r="M2554">
        <v>-0.33742759999999999</v>
      </c>
      <c r="N2554">
        <v>-1.4759690000000001E-2</v>
      </c>
      <c r="O2554">
        <v>-0.94123590000000001</v>
      </c>
      <c r="P2554">
        <v>-0.103273</v>
      </c>
      <c r="Q2554">
        <v>0.14429690000000001</v>
      </c>
      <c r="R2554">
        <v>-0.98413070000000002</v>
      </c>
      <c r="S2554">
        <v>-3.5400389999999997E-2</v>
      </c>
      <c r="T2554">
        <v>-0.14235809999999999</v>
      </c>
      <c r="U2554">
        <v>-3.0653079999999999</v>
      </c>
      <c r="V2554">
        <v>-0.23723929999999999</v>
      </c>
      <c r="W2554">
        <v>0.1549365</v>
      </c>
      <c r="X2554">
        <v>0.95901630000000004</v>
      </c>
      <c r="Y2554">
        <v>-0.3264145</v>
      </c>
      <c r="Z2554">
        <v>2.6322959999999999E-2</v>
      </c>
      <c r="AA2554">
        <v>0.94486020000000004</v>
      </c>
      <c r="AB2554">
        <v>29</v>
      </c>
      <c r="AC2554">
        <v>-0.19970000000000701</v>
      </c>
      <c r="AD2554">
        <v>-1.1274652151659901</v>
      </c>
      <c r="AE2554">
        <v>-24.041999999999899</v>
      </c>
      <c r="AF2554">
        <v>-7.9079418927395304</v>
      </c>
      <c r="AG2554">
        <v>-1.1274652151659901</v>
      </c>
      <c r="AH2554">
        <v>22.6492407183678</v>
      </c>
      <c r="AI2554">
        <v>92.690758715220198</v>
      </c>
      <c r="AJ2554">
        <v>109.24655683684099</v>
      </c>
      <c r="AK2554">
        <v>24.0165532062559</v>
      </c>
      <c r="AL2554">
        <v>81.086886825159596</v>
      </c>
      <c r="AM2554">
        <v>103.894750779597</v>
      </c>
      <c r="AN2554">
        <v>1.0000000340812101</v>
      </c>
    </row>
    <row r="2555" spans="1:40" x14ac:dyDescent="0.25">
      <c r="A2555" t="str">
        <f>"20190303162829099"</f>
        <v>20190303162829099</v>
      </c>
      <c r="B2555" t="str">
        <f>"1551601709083750"</f>
        <v>1551601709083750</v>
      </c>
      <c r="C2555" t="s">
        <v>40</v>
      </c>
      <c r="D2555">
        <v>4.9935199999999904</v>
      </c>
      <c r="E2555">
        <v>0.46412989999999998</v>
      </c>
      <c r="F2555" t="s">
        <v>41</v>
      </c>
      <c r="G2555">
        <v>-489.6189</v>
      </c>
      <c r="H2555" s="1">
        <v>-1.53535599999999E-6</v>
      </c>
      <c r="I2555">
        <v>243.05420000000001</v>
      </c>
      <c r="J2555">
        <v>-489.42840000000001</v>
      </c>
      <c r="K2555">
        <v>1.1270910000000001</v>
      </c>
      <c r="L2555">
        <v>268.38170000000002</v>
      </c>
      <c r="M2555">
        <v>-0.3308082</v>
      </c>
      <c r="N2555">
        <v>-1.469847E-2</v>
      </c>
      <c r="O2555">
        <v>-0.94358370000000003</v>
      </c>
      <c r="P2555">
        <v>-0.10131950000000001</v>
      </c>
      <c r="Q2555">
        <v>0.14666009999999999</v>
      </c>
      <c r="R2555">
        <v>-0.98398450000000004</v>
      </c>
      <c r="S2555">
        <v>-3.329468E-2</v>
      </c>
      <c r="T2555">
        <v>-0.13500299999999901</v>
      </c>
      <c r="U2555">
        <v>-3.064667</v>
      </c>
      <c r="V2555">
        <v>-0.23216039999999999</v>
      </c>
      <c r="W2555">
        <v>0.15754949999999901</v>
      </c>
      <c r="X2555">
        <v>0.95983309999999999</v>
      </c>
      <c r="Y2555">
        <v>-0.32042619999999999</v>
      </c>
      <c r="Z2555">
        <v>2.4471860000000002E-2</v>
      </c>
      <c r="AA2555">
        <v>0.9469573</v>
      </c>
      <c r="AB2555">
        <v>29</v>
      </c>
      <c r="AC2555">
        <v>-0.19049999999998499</v>
      </c>
      <c r="AD2555">
        <v>-1.127092535356</v>
      </c>
      <c r="AE2555">
        <v>-25.327500000000001</v>
      </c>
      <c r="AF2555">
        <v>-8.1834715776424893</v>
      </c>
      <c r="AG2555">
        <v>-1.127092535356</v>
      </c>
      <c r="AH2555">
        <v>23.9168599732117</v>
      </c>
      <c r="AI2555">
        <v>92.5529904267879</v>
      </c>
      <c r="AJ2555">
        <v>108.889063846954</v>
      </c>
      <c r="AK2555">
        <v>25.303275195585901</v>
      </c>
      <c r="AL2555">
        <v>80.935310482063599</v>
      </c>
      <c r="AM2555">
        <v>103.59731199164101</v>
      </c>
      <c r="AN2555">
        <v>0.99999993806700804</v>
      </c>
    </row>
    <row r="2556" spans="1:40" x14ac:dyDescent="0.25">
      <c r="A2556" t="str">
        <f>"20190303162829120"</f>
        <v>20190303162829120</v>
      </c>
      <c r="B2556" t="str">
        <f>"1551601709114006"</f>
        <v>1551601709114006</v>
      </c>
      <c r="C2556" t="s">
        <v>40</v>
      </c>
      <c r="D2556">
        <v>5.058967</v>
      </c>
      <c r="E2556">
        <v>0.46504440000000002</v>
      </c>
      <c r="F2556" t="s">
        <v>41</v>
      </c>
      <c r="G2556">
        <v>-489.72910000000002</v>
      </c>
      <c r="H2556" s="1">
        <v>-3.5521359999999899E-7</v>
      </c>
      <c r="I2556">
        <v>240.34880000000001</v>
      </c>
      <c r="J2556">
        <v>-489.51260000000002</v>
      </c>
      <c r="K2556">
        <v>1.126708</v>
      </c>
      <c r="L2556">
        <v>268.12040000000002</v>
      </c>
      <c r="M2556">
        <v>-0.32477279999999997</v>
      </c>
      <c r="N2556">
        <v>-1.4639269999999999E-2</v>
      </c>
      <c r="O2556">
        <v>-0.94567889999999999</v>
      </c>
      <c r="P2556">
        <v>-0.1005786</v>
      </c>
      <c r="Q2556">
        <v>0.1484724</v>
      </c>
      <c r="R2556">
        <v>-0.98378869999999896</v>
      </c>
      <c r="S2556">
        <v>-3.2867430000000003E-2</v>
      </c>
      <c r="T2556">
        <v>-0.12318469999999999</v>
      </c>
      <c r="U2556">
        <v>-3.0638429999999999</v>
      </c>
      <c r="V2556">
        <v>-0.22651679999999999</v>
      </c>
      <c r="W2556">
        <v>0.1596168</v>
      </c>
      <c r="X2556">
        <v>0.96083960000000002</v>
      </c>
      <c r="Y2556">
        <v>-0.31451050000000003</v>
      </c>
      <c r="Z2556">
        <v>2.1283380000000001E-2</v>
      </c>
      <c r="AA2556">
        <v>0.94901539999999995</v>
      </c>
      <c r="AB2556">
        <v>28</v>
      </c>
      <c r="AC2556">
        <v>-0.216499999999996</v>
      </c>
      <c r="AD2556">
        <v>-1.1267083552135999</v>
      </c>
      <c r="AE2556">
        <v>-27.771599999999999</v>
      </c>
      <c r="AF2556">
        <v>-8.8011787691427799</v>
      </c>
      <c r="AG2556">
        <v>-1.1267083552135999</v>
      </c>
      <c r="AH2556">
        <v>26.2928735985105</v>
      </c>
      <c r="AI2556">
        <v>92.326994598916897</v>
      </c>
      <c r="AJ2556">
        <v>108.50726311692399</v>
      </c>
      <c r="AK2556">
        <v>27.7496922777779</v>
      </c>
      <c r="AL2556">
        <v>80.815345927238099</v>
      </c>
      <c r="AM2556">
        <v>103.265203139381</v>
      </c>
      <c r="AN2556">
        <v>1.0000000602263099</v>
      </c>
    </row>
    <row r="2557" spans="1:40" x14ac:dyDescent="0.25">
      <c r="A2557" t="str">
        <f>"20190303162829143"</f>
        <v>20190303162829143</v>
      </c>
      <c r="B2557" t="str">
        <f>"1551601709134501"</f>
        <v>1551601709134501</v>
      </c>
      <c r="C2557" t="s">
        <v>40</v>
      </c>
      <c r="D2557">
        <v>5.1129100000000003</v>
      </c>
      <c r="E2557">
        <v>0.4656053</v>
      </c>
      <c r="F2557" t="s">
        <v>41</v>
      </c>
      <c r="G2557">
        <v>-489.89769999999999</v>
      </c>
      <c r="H2557" s="1">
        <v>-3.3999080000000001E-6</v>
      </c>
      <c r="I2557">
        <v>237.51580000000001</v>
      </c>
      <c r="J2557">
        <v>-489.59910000000002</v>
      </c>
      <c r="K2557">
        <v>1.126296</v>
      </c>
      <c r="L2557">
        <v>267.84730000000002</v>
      </c>
      <c r="M2557">
        <v>-0.31894</v>
      </c>
      <c r="N2557">
        <v>-1.4580060000000001E-2</v>
      </c>
      <c r="O2557">
        <v>-0.94766269999999997</v>
      </c>
      <c r="P2557">
        <v>-9.9871370000000001E-2</v>
      </c>
      <c r="Q2557">
        <v>0.1490455</v>
      </c>
      <c r="R2557">
        <v>-0.98377369999999997</v>
      </c>
      <c r="S2557">
        <v>-3.8543699999999903E-2</v>
      </c>
      <c r="T2557">
        <v>-0.1127484</v>
      </c>
      <c r="U2557">
        <v>-3.0625610000000001</v>
      </c>
      <c r="V2557">
        <v>-0.22108739999999999</v>
      </c>
      <c r="W2557">
        <v>0.1604438</v>
      </c>
      <c r="X2557">
        <v>0.96196579999999998</v>
      </c>
      <c r="Y2557">
        <v>-0.30690129999999999</v>
      </c>
      <c r="Z2557">
        <v>1.8477230000000001E-2</v>
      </c>
      <c r="AA2557">
        <v>0.95156200000000002</v>
      </c>
      <c r="AB2557">
        <v>28</v>
      </c>
      <c r="AC2557">
        <v>-0.29859999999996401</v>
      </c>
      <c r="AD2557">
        <v>-1.126299399908</v>
      </c>
      <c r="AE2557">
        <v>-30.331499999999998</v>
      </c>
      <c r="AF2557">
        <v>-9.3790242366539793</v>
      </c>
      <c r="AG2557">
        <v>-1.126299399908</v>
      </c>
      <c r="AH2557">
        <v>28.802623061475</v>
      </c>
      <c r="AI2557">
        <v>92.129412953750503</v>
      </c>
      <c r="AJ2557">
        <v>108.036850386015</v>
      </c>
      <c r="AK2557">
        <v>30.312138512341701</v>
      </c>
      <c r="AL2557">
        <v>80.767343351009501</v>
      </c>
      <c r="AM2557">
        <v>102.94344538356999</v>
      </c>
      <c r="AN2557">
        <v>1.0000000258834101</v>
      </c>
    </row>
    <row r="2558" spans="1:40" x14ac:dyDescent="0.25">
      <c r="A2558" t="str">
        <f>"20190303162829155"</f>
        <v>20190303162829155</v>
      </c>
      <c r="B2558" t="str">
        <f>"1551601709144262"</f>
        <v>1551601709144262</v>
      </c>
      <c r="C2558" t="s">
        <v>40</v>
      </c>
      <c r="D2558">
        <v>4.990996</v>
      </c>
      <c r="E2558">
        <v>0.4658718</v>
      </c>
      <c r="F2558" t="s">
        <v>41</v>
      </c>
      <c r="G2558">
        <v>-490.02550000000002</v>
      </c>
      <c r="H2558" s="1">
        <v>-2.787003E-6</v>
      </c>
      <c r="I2558">
        <v>236.06989999999999</v>
      </c>
      <c r="J2558">
        <v>-489.64699999999999</v>
      </c>
      <c r="K2558">
        <v>1.1260570000000001</v>
      </c>
      <c r="L2558">
        <v>267.69420000000002</v>
      </c>
      <c r="M2558">
        <v>-0.31595129999999999</v>
      </c>
      <c r="N2558">
        <v>-1.4547310000000001E-2</v>
      </c>
      <c r="O2558">
        <v>-0.94866399999999995</v>
      </c>
      <c r="P2558">
        <v>-9.9100019999999997E-2</v>
      </c>
      <c r="Q2558">
        <v>0.14883750000000001</v>
      </c>
      <c r="R2558">
        <v>-0.98388370000000003</v>
      </c>
      <c r="S2558">
        <v>-4.1076660000000001E-2</v>
      </c>
      <c r="T2558">
        <v>-0.1085182</v>
      </c>
      <c r="U2558">
        <v>-3.0617369999999999</v>
      </c>
      <c r="V2558">
        <v>-0.218719</v>
      </c>
      <c r="W2558">
        <v>0.1603647</v>
      </c>
      <c r="X2558">
        <v>0.96252020000000005</v>
      </c>
      <c r="Y2558">
        <v>-0.30311369999999999</v>
      </c>
      <c r="Z2558">
        <v>1.7356699999999999E-2</v>
      </c>
      <c r="AA2558">
        <v>0.95279630000000004</v>
      </c>
      <c r="AB2558">
        <v>28</v>
      </c>
      <c r="AC2558">
        <v>-0.37850000000002998</v>
      </c>
      <c r="AD2558">
        <v>-1.12605978700299</v>
      </c>
      <c r="AE2558">
        <v>-31.624300000000002</v>
      </c>
      <c r="AF2558">
        <v>-9.6214904348091999</v>
      </c>
      <c r="AG2558">
        <v>-1.12605978700299</v>
      </c>
      <c r="AH2558">
        <v>30.085467048464601</v>
      </c>
      <c r="AI2558">
        <v>92.041730341135604</v>
      </c>
      <c r="AJ2558">
        <v>107.73454939394</v>
      </c>
      <c r="AK2558">
        <v>31.606588179607101</v>
      </c>
      <c r="AL2558">
        <v>80.771934536309999</v>
      </c>
      <c r="AM2558">
        <v>102.802251492743</v>
      </c>
      <c r="AN2558">
        <v>0.99999998668756496</v>
      </c>
    </row>
    <row r="2559" spans="1:40" x14ac:dyDescent="0.25">
      <c r="A2559" t="str">
        <f>"20190303162829167"</f>
        <v>20190303162829167</v>
      </c>
      <c r="B2559" t="str">
        <f>"1551601709154022"</f>
        <v>1551601709154022</v>
      </c>
      <c r="C2559" t="s">
        <v>40</v>
      </c>
      <c r="D2559">
        <v>5.0514559999999999</v>
      </c>
      <c r="E2559">
        <v>0.46609980000000001</v>
      </c>
      <c r="F2559" t="s">
        <v>41</v>
      </c>
      <c r="G2559">
        <v>-490.06950000000001</v>
      </c>
      <c r="H2559" s="1">
        <v>-2.6630650000000001E-6</v>
      </c>
      <c r="I2559">
        <v>235.75360000000001</v>
      </c>
      <c r="J2559">
        <v>-489.69229999999999</v>
      </c>
      <c r="K2559">
        <v>1.1258349999999999</v>
      </c>
      <c r="L2559">
        <v>267.54849999999999</v>
      </c>
      <c r="M2559">
        <v>-0.31320229999999999</v>
      </c>
      <c r="N2559">
        <v>-1.4517169999999999E-2</v>
      </c>
      <c r="O2559">
        <v>-0.94957559999999996</v>
      </c>
      <c r="P2559">
        <v>-9.8671830000000002E-2</v>
      </c>
      <c r="Q2559">
        <v>0.14846089999999901</v>
      </c>
      <c r="R2559">
        <v>-0.98398359999999996</v>
      </c>
      <c r="S2559">
        <v>-4.0496829999999998E-2</v>
      </c>
      <c r="T2559">
        <v>-0.107930399999999</v>
      </c>
      <c r="U2559">
        <v>-3.0614319999999999</v>
      </c>
      <c r="V2559">
        <v>-0.2162704</v>
      </c>
      <c r="W2559">
        <v>0.160111</v>
      </c>
      <c r="X2559">
        <v>0.96311559999999896</v>
      </c>
      <c r="Y2559">
        <v>-0.30053340000000001</v>
      </c>
      <c r="Z2559">
        <v>1.7279200000000002E-2</v>
      </c>
      <c r="AA2559">
        <v>0.95361479999999998</v>
      </c>
      <c r="AB2559">
        <v>28</v>
      </c>
      <c r="AC2559">
        <v>-0.37720000000001602</v>
      </c>
      <c r="AD2559">
        <v>-1.125837663065</v>
      </c>
      <c r="AE2559">
        <v>-31.794899999999899</v>
      </c>
      <c r="AF2559">
        <v>-9.5890451691557601</v>
      </c>
      <c r="AG2559">
        <v>-1.125837663065</v>
      </c>
      <c r="AH2559">
        <v>30.275037519143101</v>
      </c>
      <c r="AI2559">
        <v>92.030358150202801</v>
      </c>
      <c r="AJ2559">
        <v>107.574612693582</v>
      </c>
      <c r="AK2559">
        <v>31.777274812123299</v>
      </c>
      <c r="AL2559">
        <v>80.786661244188494</v>
      </c>
      <c r="AM2559">
        <v>102.655998525782</v>
      </c>
      <c r="AN2559">
        <v>1.0000000386002501</v>
      </c>
    </row>
    <row r="2560" spans="1:40" x14ac:dyDescent="0.25">
      <c r="A2560" t="str">
        <f>"20190303162829186"</f>
        <v>20190303162829186</v>
      </c>
      <c r="B2560" t="str">
        <f>"1551601709174519"</f>
        <v>1551601709174519</v>
      </c>
      <c r="C2560" t="s">
        <v>40</v>
      </c>
      <c r="D2560">
        <v>5.0491060000000001</v>
      </c>
      <c r="E2560">
        <v>0.46658759999999999</v>
      </c>
      <c r="F2560" t="s">
        <v>41</v>
      </c>
      <c r="G2560">
        <v>-490.11689999999999</v>
      </c>
      <c r="H2560" s="1">
        <v>-2.6212439999999999E-6</v>
      </c>
      <c r="I2560">
        <v>235.6268</v>
      </c>
      <c r="J2560">
        <v>-489.7604</v>
      </c>
      <c r="K2560">
        <v>1.125508</v>
      </c>
      <c r="L2560">
        <v>267.32769999999999</v>
      </c>
      <c r="M2560">
        <v>-0.30931110000000001</v>
      </c>
      <c r="N2560">
        <v>-1.4472550000000001E-2</v>
      </c>
      <c r="O2560">
        <v>-0.9508508</v>
      </c>
      <c r="P2560">
        <v>-9.8385390000000003E-2</v>
      </c>
      <c r="Q2560">
        <v>0.14848349999999999</v>
      </c>
      <c r="R2560">
        <v>-0.98400869999999996</v>
      </c>
      <c r="S2560">
        <v>-4.0710450000000002E-2</v>
      </c>
      <c r="T2560">
        <v>-0.1079599</v>
      </c>
      <c r="U2560">
        <v>-3.0610659999999998</v>
      </c>
      <c r="V2560">
        <v>-0.21246789999999999</v>
      </c>
      <c r="W2560">
        <v>0.16031199999999901</v>
      </c>
      <c r="X2560">
        <v>0.96392809999999995</v>
      </c>
      <c r="Y2560">
        <v>-0.29655920000000002</v>
      </c>
      <c r="Z2560">
        <v>1.7425159999999999E-2</v>
      </c>
      <c r="AA2560">
        <v>0.95485549999999997</v>
      </c>
      <c r="AB2560">
        <v>28</v>
      </c>
      <c r="AC2560">
        <v>-0.356499999999982</v>
      </c>
      <c r="AD2560">
        <v>-1.125510621244</v>
      </c>
      <c r="AE2560">
        <v>-31.700899999999901</v>
      </c>
      <c r="AF2560">
        <v>-9.45553567519765</v>
      </c>
      <c r="AG2560">
        <v>-1.125510621244</v>
      </c>
      <c r="AH2560">
        <v>30.2181771728076</v>
      </c>
      <c r="AI2560">
        <v>92.035810687857605</v>
      </c>
      <c r="AJ2560">
        <v>107.37536447063501</v>
      </c>
      <c r="AK2560">
        <v>31.682994819155901</v>
      </c>
      <c r="AL2560">
        <v>80.774993389931396</v>
      </c>
      <c r="AM2560">
        <v>102.430305634494</v>
      </c>
      <c r="AN2560">
        <v>0.99999996392200896</v>
      </c>
    </row>
    <row r="2561" spans="1:40" x14ac:dyDescent="0.25">
      <c r="A2561" t="str">
        <f>"20190303162829198"</f>
        <v>20190303162829198</v>
      </c>
      <c r="B2561" t="str">
        <f>"1551601709194039"</f>
        <v>1551601709194039</v>
      </c>
      <c r="C2561" t="s">
        <v>40</v>
      </c>
      <c r="D2561">
        <v>5.1668649999999996</v>
      </c>
      <c r="E2561">
        <v>0.46710669999999999</v>
      </c>
      <c r="F2561" t="s">
        <v>41</v>
      </c>
      <c r="G2561">
        <v>-490.21789999999999</v>
      </c>
      <c r="H2561" s="1">
        <v>-2.3199130000000002E-6</v>
      </c>
      <c r="I2561">
        <v>234.86170000000001</v>
      </c>
      <c r="J2561">
        <v>-489.80779999999999</v>
      </c>
      <c r="K2561">
        <v>1.1252949999999999</v>
      </c>
      <c r="L2561">
        <v>267.1728</v>
      </c>
      <c r="M2561">
        <v>-0.30676819999999999</v>
      </c>
      <c r="N2561">
        <v>-1.444228E-2</v>
      </c>
      <c r="O2561">
        <v>-0.95167480000000004</v>
      </c>
      <c r="P2561">
        <v>-9.7629809999999997E-2</v>
      </c>
      <c r="Q2561">
        <v>0.14858569999999999</v>
      </c>
      <c r="R2561">
        <v>-0.98406830000000001</v>
      </c>
      <c r="S2561">
        <v>-4.3121340000000001E-2</v>
      </c>
      <c r="T2561">
        <v>-0.10609789999999999</v>
      </c>
      <c r="U2561">
        <v>-3.0604550000000001</v>
      </c>
      <c r="V2561">
        <v>-0.21053810000000001</v>
      </c>
      <c r="W2561">
        <v>0.160521</v>
      </c>
      <c r="X2561">
        <v>0.96431670000000003</v>
      </c>
      <c r="Y2561">
        <v>-0.29325289999999998</v>
      </c>
      <c r="Z2561">
        <v>1.6974369999999999E-2</v>
      </c>
      <c r="AA2561">
        <v>0.95588419999999996</v>
      </c>
      <c r="AB2561">
        <v>28</v>
      </c>
      <c r="AC2561">
        <v>-0.41009999999999902</v>
      </c>
      <c r="AD2561">
        <v>-1.1252973199130001</v>
      </c>
      <c r="AE2561">
        <v>-32.311099999999897</v>
      </c>
      <c r="AF2561">
        <v>-9.5111937863303702</v>
      </c>
      <c r="AG2561">
        <v>-1.1252973199130001</v>
      </c>
      <c r="AH2561">
        <v>30.841280281645599</v>
      </c>
      <c r="AI2561">
        <v>91.996887791641598</v>
      </c>
      <c r="AJ2561">
        <v>107.139326475449</v>
      </c>
      <c r="AK2561">
        <v>32.2941739437682</v>
      </c>
      <c r="AL2561">
        <v>80.762861703044194</v>
      </c>
      <c r="AM2561">
        <v>102.316053887528</v>
      </c>
      <c r="AN2561">
        <v>0.99999999044575005</v>
      </c>
    </row>
    <row r="2562" spans="1:40" x14ac:dyDescent="0.25">
      <c r="A2562" t="str">
        <f>"20190303162829211"</f>
        <v>20190303162829211</v>
      </c>
      <c r="B2562" t="str">
        <f>"1551601709204775"</f>
        <v>1551601709204775</v>
      </c>
      <c r="C2562" t="s">
        <v>40</v>
      </c>
      <c r="D2562">
        <v>5.050637</v>
      </c>
      <c r="E2562">
        <v>0.46732089999999998</v>
      </c>
      <c r="F2562" t="s">
        <v>41</v>
      </c>
      <c r="G2562">
        <v>-490.28550000000001</v>
      </c>
      <c r="H2562" s="1">
        <v>-2.105907E-6</v>
      </c>
      <c r="I2562">
        <v>234.321</v>
      </c>
      <c r="J2562">
        <v>-489.85480000000001</v>
      </c>
      <c r="K2562">
        <v>1.1251</v>
      </c>
      <c r="L2562">
        <v>267.01799999999997</v>
      </c>
      <c r="M2562">
        <v>-0.30435459999999998</v>
      </c>
      <c r="N2562">
        <v>-1.441359E-2</v>
      </c>
      <c r="O2562">
        <v>-0.95244989999999996</v>
      </c>
      <c r="P2562">
        <v>-9.6979019999999999E-2</v>
      </c>
      <c r="Q2562">
        <v>0.14875969999999999</v>
      </c>
      <c r="R2562">
        <v>-0.9841067</v>
      </c>
      <c r="S2562">
        <v>-4.449463E-2</v>
      </c>
      <c r="T2562">
        <v>-0.1048163</v>
      </c>
      <c r="U2562">
        <v>-3.0599980000000002</v>
      </c>
      <c r="V2562">
        <v>-0.20864170000000001</v>
      </c>
      <c r="W2562">
        <v>0.16079109999999999</v>
      </c>
      <c r="X2562">
        <v>0.96468379999999998</v>
      </c>
      <c r="Y2562">
        <v>-0.29039930000000003</v>
      </c>
      <c r="Z2562">
        <v>1.6684170000000002E-2</v>
      </c>
      <c r="AA2562">
        <v>0.9567601</v>
      </c>
      <c r="AB2562">
        <v>28</v>
      </c>
      <c r="AC2562">
        <v>-0.43070000000000103</v>
      </c>
      <c r="AD2562">
        <v>-1.1251021059070001</v>
      </c>
      <c r="AE2562">
        <v>-32.696999999999903</v>
      </c>
      <c r="AF2562">
        <v>-9.5309689449115798</v>
      </c>
      <c r="AG2562">
        <v>-1.1251021059070001</v>
      </c>
      <c r="AH2562">
        <v>31.239601815376702</v>
      </c>
      <c r="AI2562">
        <v>91.972927483184407</v>
      </c>
      <c r="AJ2562">
        <v>106.96655578295299</v>
      </c>
      <c r="AK2562">
        <v>32.680543835145599</v>
      </c>
      <c r="AL2562">
        <v>80.747182399251102</v>
      </c>
      <c r="AM2562">
        <v>102.203953635727</v>
      </c>
      <c r="AN2562">
        <v>0.99999998540026902</v>
      </c>
    </row>
    <row r="2563" spans="1:40" x14ac:dyDescent="0.25">
      <c r="A2563" t="str">
        <f>"20190303162829223"</f>
        <v>20190303162829223</v>
      </c>
      <c r="B2563" t="str">
        <f>"1551601709214534"</f>
        <v>1551601709214534</v>
      </c>
      <c r="C2563" t="s">
        <v>40</v>
      </c>
      <c r="D2563">
        <v>5.1723559999999997</v>
      </c>
      <c r="E2563">
        <v>0.46754580000000001</v>
      </c>
      <c r="F2563" t="s">
        <v>41</v>
      </c>
      <c r="G2563">
        <v>-490.34570000000002</v>
      </c>
      <c r="H2563" s="1">
        <v>-1.930162E-6</v>
      </c>
      <c r="I2563">
        <v>233.87389999999999</v>
      </c>
      <c r="J2563">
        <v>-489.89780000000002</v>
      </c>
      <c r="K2563">
        <v>1.124927</v>
      </c>
      <c r="L2563">
        <v>266.87560000000002</v>
      </c>
      <c r="M2563">
        <v>-0.30219679999999999</v>
      </c>
      <c r="N2563">
        <v>-1.4388339999999999E-2</v>
      </c>
      <c r="O2563">
        <v>-0.95313720000000002</v>
      </c>
      <c r="P2563">
        <v>-9.6554249999999994E-2</v>
      </c>
      <c r="Q2563">
        <v>0.14899019999999999</v>
      </c>
      <c r="R2563">
        <v>-0.98411360000000003</v>
      </c>
      <c r="S2563">
        <v>-4.5318600000000001E-2</v>
      </c>
      <c r="T2563">
        <v>-0.10386479999999999</v>
      </c>
      <c r="U2563">
        <v>-3.059723</v>
      </c>
      <c r="V2563">
        <v>-0.206792</v>
      </c>
      <c r="W2563">
        <v>0.161106</v>
      </c>
      <c r="X2563">
        <v>0.96502949999999998</v>
      </c>
      <c r="Y2563">
        <v>-0.28797420000000001</v>
      </c>
      <c r="Z2563">
        <v>1.6478030000000001E-2</v>
      </c>
      <c r="AA2563">
        <v>0.95749640000000003</v>
      </c>
      <c r="AB2563">
        <v>28</v>
      </c>
      <c r="AC2563">
        <v>-0.44790000000000402</v>
      </c>
      <c r="AD2563">
        <v>-1.124928930162</v>
      </c>
      <c r="AE2563">
        <v>-33.0017</v>
      </c>
      <c r="AF2563">
        <v>-9.5360060447101294</v>
      </c>
      <c r="AG2563">
        <v>-1.124928930162</v>
      </c>
      <c r="AH2563">
        <v>31.557105052692101</v>
      </c>
      <c r="AI2563">
        <v>91.9543716848694</v>
      </c>
      <c r="AJ2563">
        <v>106.813900089443</v>
      </c>
      <c r="AK2563">
        <v>32.985629533015</v>
      </c>
      <c r="AL2563">
        <v>80.728901812861096</v>
      </c>
      <c r="AM2563">
        <v>102.094755049673</v>
      </c>
      <c r="AN2563">
        <v>1.0000000051851199</v>
      </c>
    </row>
    <row r="2564" spans="1:40" x14ac:dyDescent="0.25">
      <c r="A2564" t="str">
        <f>"20190303162829236"</f>
        <v>20190303162829236</v>
      </c>
      <c r="B2564" t="str">
        <f>"1551601709224295"</f>
        <v>1551601709224295</v>
      </c>
      <c r="C2564" t="s">
        <v>40</v>
      </c>
      <c r="D2564">
        <v>5.1748779999999996</v>
      </c>
      <c r="E2564">
        <v>0.46775820000000001</v>
      </c>
      <c r="F2564" t="s">
        <v>41</v>
      </c>
      <c r="G2564">
        <v>-490.39100000000002</v>
      </c>
      <c r="H2564" s="1">
        <v>-1.7101280000000001E-6</v>
      </c>
      <c r="I2564">
        <v>233.3329</v>
      </c>
      <c r="J2564">
        <v>-489.94139999999999</v>
      </c>
      <c r="K2564">
        <v>1.1247670000000001</v>
      </c>
      <c r="L2564">
        <v>266.73020000000002</v>
      </c>
      <c r="M2564">
        <v>-0.30015459999999999</v>
      </c>
      <c r="N2564">
        <v>-1.4363880000000001E-2</v>
      </c>
      <c r="O2564">
        <v>-0.95378249999999998</v>
      </c>
      <c r="P2564">
        <v>-9.6011849999999996E-2</v>
      </c>
      <c r="Q2564">
        <v>0.149228799999999</v>
      </c>
      <c r="R2564">
        <v>-0.98413039999999996</v>
      </c>
      <c r="S2564">
        <v>-4.4982910000000001E-2</v>
      </c>
      <c r="T2564">
        <v>-0.1026084</v>
      </c>
      <c r="U2564">
        <v>-3.0595400000000001</v>
      </c>
      <c r="V2564">
        <v>-0.20518110000000001</v>
      </c>
      <c r="W2564">
        <v>0.16141849999999999</v>
      </c>
      <c r="X2564">
        <v>0.96532110000000004</v>
      </c>
      <c r="Y2564">
        <v>-0.28602860000000002</v>
      </c>
      <c r="Z2564">
        <v>1.6173300000000002E-2</v>
      </c>
      <c r="AA2564">
        <v>0.95808459999999995</v>
      </c>
      <c r="AB2564">
        <v>28</v>
      </c>
      <c r="AC2564">
        <v>-0.44959999999997502</v>
      </c>
      <c r="AD2564">
        <v>-1.1247687101279999</v>
      </c>
      <c r="AE2564">
        <v>-33.397300000000001</v>
      </c>
      <c r="AF2564">
        <v>-9.5856514366040493</v>
      </c>
      <c r="AG2564">
        <v>-1.1247687101279999</v>
      </c>
      <c r="AH2564">
        <v>31.955768840531999</v>
      </c>
      <c r="AI2564">
        <v>91.930913931347206</v>
      </c>
      <c r="AJ2564">
        <v>106.697468985729</v>
      </c>
      <c r="AK2564">
        <v>33.3814466478741</v>
      </c>
      <c r="AL2564">
        <v>80.710759575211199</v>
      </c>
      <c r="AM2564">
        <v>101.99975956204899</v>
      </c>
      <c r="AN2564">
        <v>1.0000000210223301</v>
      </c>
    </row>
    <row r="2565" spans="1:40" x14ac:dyDescent="0.25">
      <c r="A2565" t="str">
        <f>"20190303162829253"</f>
        <v>20190303162829253</v>
      </c>
      <c r="B2565" t="str">
        <f>"1551601709243814"</f>
        <v>1551601709243814</v>
      </c>
      <c r="C2565" t="s">
        <v>40</v>
      </c>
      <c r="D2565">
        <v>5.1716300000000004</v>
      </c>
      <c r="E2565">
        <v>0.46815030000000002</v>
      </c>
      <c r="F2565" t="s">
        <v>41</v>
      </c>
      <c r="G2565">
        <v>-490.44319999999999</v>
      </c>
      <c r="H2565" s="1">
        <v>-1.4900929999999999E-6</v>
      </c>
      <c r="I2565">
        <v>232.7877</v>
      </c>
      <c r="J2565">
        <v>-490.00459999999998</v>
      </c>
      <c r="K2565">
        <v>1.1245670000000001</v>
      </c>
      <c r="L2565">
        <v>266.51799999999997</v>
      </c>
      <c r="M2565">
        <v>-0.29729830000000002</v>
      </c>
      <c r="N2565">
        <v>-1.4329949999999999E-2</v>
      </c>
      <c r="O2565">
        <v>-0.95467729999999995</v>
      </c>
      <c r="P2565">
        <v>-9.5228960000000001E-2</v>
      </c>
      <c r="Q2565">
        <v>0.14915110000000001</v>
      </c>
      <c r="R2565">
        <v>-0.98421840000000005</v>
      </c>
      <c r="S2565">
        <v>-4.5227049999999998E-2</v>
      </c>
      <c r="T2565">
        <v>-0.1013783</v>
      </c>
      <c r="U2565">
        <v>-3.059326</v>
      </c>
      <c r="V2565">
        <v>-0.20297129999999999</v>
      </c>
      <c r="W2565">
        <v>0.1614392</v>
      </c>
      <c r="X2565">
        <v>0.96578470000000005</v>
      </c>
      <c r="Y2565">
        <v>-0.2830838</v>
      </c>
      <c r="Z2565">
        <v>1.5902530000000002E-2</v>
      </c>
      <c r="AA2565">
        <v>0.95896329999999996</v>
      </c>
      <c r="AB2565">
        <v>28</v>
      </c>
      <c r="AC2565">
        <v>-0.43860000000000798</v>
      </c>
      <c r="AD2565">
        <v>-1.124568490093</v>
      </c>
      <c r="AE2565">
        <v>-33.7302999999999</v>
      </c>
      <c r="AF2565">
        <v>-9.5995557152138193</v>
      </c>
      <c r="AG2565">
        <v>-1.124568490093</v>
      </c>
      <c r="AH2565">
        <v>32.299364386828898</v>
      </c>
      <c r="AI2565">
        <v>91.911493619258806</v>
      </c>
      <c r="AJ2565">
        <v>106.55225014383301</v>
      </c>
      <c r="AK2565">
        <v>33.7144637212511</v>
      </c>
      <c r="AL2565">
        <v>80.709557830858003</v>
      </c>
      <c r="AM2565">
        <v>101.86867187892101</v>
      </c>
      <c r="AN2565">
        <v>1.0000000253371999</v>
      </c>
    </row>
    <row r="2566" spans="1:40" x14ac:dyDescent="0.25">
      <c r="A2566" t="str">
        <f>"20190303162829267"</f>
        <v>20190303162829267</v>
      </c>
      <c r="B2566" t="str">
        <f>"1551601709254550"</f>
        <v>1551601709254550</v>
      </c>
      <c r="C2566" t="s">
        <v>40</v>
      </c>
      <c r="D2566">
        <v>5.170115</v>
      </c>
      <c r="E2566">
        <v>0.46835009999999999</v>
      </c>
      <c r="F2566" t="s">
        <v>41</v>
      </c>
      <c r="G2566">
        <v>-490.51600000000002</v>
      </c>
      <c r="H2566" s="1">
        <v>-1.3003690000000001E-6</v>
      </c>
      <c r="I2566">
        <v>232.30019999999999</v>
      </c>
      <c r="J2566">
        <v>-490.0521</v>
      </c>
      <c r="K2566">
        <v>1.124422</v>
      </c>
      <c r="L2566">
        <v>266.35789999999997</v>
      </c>
      <c r="M2566">
        <v>-0.295245599999999</v>
      </c>
      <c r="N2566">
        <v>-1.430564E-2</v>
      </c>
      <c r="O2566">
        <v>-0.95531429999999995</v>
      </c>
      <c r="P2566">
        <v>-9.3858430000000007E-2</v>
      </c>
      <c r="Q2566">
        <v>0.14926829999999999</v>
      </c>
      <c r="R2566">
        <v>-0.98433230000000005</v>
      </c>
      <c r="S2566">
        <v>-4.5715329999999998E-2</v>
      </c>
      <c r="T2566">
        <v>-0.1005307</v>
      </c>
      <c r="U2566">
        <v>-3.0588989999999998</v>
      </c>
      <c r="V2566">
        <v>-0.2021751</v>
      </c>
      <c r="W2566">
        <v>0.16161429999999999</v>
      </c>
      <c r="X2566">
        <v>0.96592239999999996</v>
      </c>
      <c r="Y2566">
        <v>-0.28086809999999901</v>
      </c>
      <c r="Z2566">
        <v>1.57208E-2</v>
      </c>
      <c r="AA2566">
        <v>0.95961759999999996</v>
      </c>
      <c r="AB2566">
        <v>28</v>
      </c>
      <c r="AC2566">
        <v>-0.46389999999996601</v>
      </c>
      <c r="AD2566">
        <v>-1.1244233003690001</v>
      </c>
      <c r="AE2566">
        <v>-34.057699999999897</v>
      </c>
      <c r="AF2566">
        <v>-9.6027342627766501</v>
      </c>
      <c r="AG2566">
        <v>-1.1244233003690001</v>
      </c>
      <c r="AH2566">
        <v>32.640543795599903</v>
      </c>
      <c r="AI2566">
        <v>91.892831143468698</v>
      </c>
      <c r="AJ2566">
        <v>106.393699317442</v>
      </c>
      <c r="AK2566">
        <v>34.042354976593401</v>
      </c>
      <c r="AL2566">
        <v>80.699391774199398</v>
      </c>
      <c r="AM2566">
        <v>101.82178926271401</v>
      </c>
      <c r="AN2566">
        <v>1.0000000179231201</v>
      </c>
    </row>
    <row r="2567" spans="1:40" x14ac:dyDescent="0.25">
      <c r="A2567" t="str">
        <f>"20190303162829281"</f>
        <v>20190303162829281</v>
      </c>
      <c r="B2567" t="str">
        <f>"1551601709274070"</f>
        <v>1551601709274070</v>
      </c>
      <c r="C2567" t="s">
        <v>40</v>
      </c>
      <c r="D2567">
        <v>5.1708429999999996</v>
      </c>
      <c r="E2567">
        <v>0.4687402</v>
      </c>
      <c r="F2567" t="s">
        <v>41</v>
      </c>
      <c r="G2567">
        <v>-490.53769999999997</v>
      </c>
      <c r="H2567" s="1">
        <v>-1.138039E-6</v>
      </c>
      <c r="I2567">
        <v>231.9084</v>
      </c>
      <c r="J2567">
        <v>-490.1035</v>
      </c>
      <c r="K2567">
        <v>1.1242780000000001</v>
      </c>
      <c r="L2567">
        <v>266.18329999999997</v>
      </c>
      <c r="M2567">
        <v>-0.2931144</v>
      </c>
      <c r="N2567">
        <v>-1.428047E-2</v>
      </c>
      <c r="O2567">
        <v>-0.95597089999999996</v>
      </c>
      <c r="P2567">
        <v>-9.2243389999999995E-2</v>
      </c>
      <c r="Q2567">
        <v>0.14931610000000001</v>
      </c>
      <c r="R2567">
        <v>-0.98447770000000001</v>
      </c>
      <c r="S2567">
        <v>-4.3121340000000001E-2</v>
      </c>
      <c r="T2567">
        <v>-9.9838609999999994E-2</v>
      </c>
      <c r="U2567">
        <v>-3.0588069999999998</v>
      </c>
      <c r="V2567">
        <v>-0.20154340000000001</v>
      </c>
      <c r="W2567">
        <v>0.16171729999999901</v>
      </c>
      <c r="X2567">
        <v>0.96603720000000004</v>
      </c>
      <c r="Y2567">
        <v>-0.27954179999999901</v>
      </c>
      <c r="Z2567">
        <v>1.557688E-2</v>
      </c>
      <c r="AA2567">
        <v>0.9600071</v>
      </c>
      <c r="AB2567">
        <v>28</v>
      </c>
      <c r="AC2567">
        <v>-0.43419999999997499</v>
      </c>
      <c r="AD2567">
        <v>-1.124279138039</v>
      </c>
      <c r="AE2567">
        <v>-34.274899999999903</v>
      </c>
      <c r="AF2567">
        <v>-9.6220135098224393</v>
      </c>
      <c r="AG2567">
        <v>-1.124279138039</v>
      </c>
      <c r="AH2567">
        <v>32.861074572478003</v>
      </c>
      <c r="AI2567">
        <v>91.880601166841501</v>
      </c>
      <c r="AJ2567">
        <v>106.32049787177399</v>
      </c>
      <c r="AK2567">
        <v>34.259266915995099</v>
      </c>
      <c r="AL2567">
        <v>80.693411940200704</v>
      </c>
      <c r="AM2567">
        <v>101.784525168572</v>
      </c>
      <c r="AN2567">
        <v>1.0000000494933401</v>
      </c>
    </row>
    <row r="2568" spans="1:40" x14ac:dyDescent="0.25">
      <c r="A2568" t="str">
        <f>"20190303162829300"</f>
        <v>20190303162829300</v>
      </c>
      <c r="B2568" t="str">
        <f>"1551601709293590"</f>
        <v>1551601709293590</v>
      </c>
      <c r="C2568" t="s">
        <v>40</v>
      </c>
      <c r="D2568">
        <v>5.1699919999999997</v>
      </c>
      <c r="E2568">
        <v>0.46910069999999998</v>
      </c>
      <c r="F2568" t="s">
        <v>41</v>
      </c>
      <c r="G2568">
        <v>-490.56959999999998</v>
      </c>
      <c r="H2568" s="1">
        <v>-9.5008019999999998E-7</v>
      </c>
      <c r="I2568">
        <v>231.45050000000001</v>
      </c>
      <c r="J2568">
        <v>-490.16770000000002</v>
      </c>
      <c r="K2568">
        <v>1.124117</v>
      </c>
      <c r="L2568">
        <v>265.96370000000002</v>
      </c>
      <c r="M2568">
        <v>-0.29056680000000001</v>
      </c>
      <c r="N2568">
        <v>-1.425118E-2</v>
      </c>
      <c r="O2568">
        <v>-0.9567485</v>
      </c>
      <c r="P2568">
        <v>-9.0203110000000003E-2</v>
      </c>
      <c r="Q2568">
        <v>0.14937320000000001</v>
      </c>
      <c r="R2568">
        <v>-0.98465780000000003</v>
      </c>
      <c r="S2568">
        <v>-4.1046140000000002E-2</v>
      </c>
      <c r="T2568">
        <v>-9.9001770000000003E-2</v>
      </c>
      <c r="U2568">
        <v>-3.0585019999999998</v>
      </c>
      <c r="V2568">
        <v>-0.20090189999999999</v>
      </c>
      <c r="W2568">
        <v>0.16183400000000001</v>
      </c>
      <c r="X2568">
        <v>0.96615119999999999</v>
      </c>
      <c r="Y2568">
        <v>-0.27763510000000002</v>
      </c>
      <c r="Z2568">
        <v>1.540423E-2</v>
      </c>
      <c r="AA2568">
        <v>0.9605631</v>
      </c>
      <c r="AB2568">
        <v>28</v>
      </c>
      <c r="AC2568">
        <v>-0.40189999999995502</v>
      </c>
      <c r="AD2568">
        <v>-1.1241179500801901</v>
      </c>
      <c r="AE2568">
        <v>-34.513199999999998</v>
      </c>
      <c r="AF2568">
        <v>-9.6346335319708292</v>
      </c>
      <c r="AG2568">
        <v>-1.1241179500801901</v>
      </c>
      <c r="AH2568">
        <v>33.105483950451699</v>
      </c>
      <c r="AI2568">
        <v>91.867353111472994</v>
      </c>
      <c r="AJ2568">
        <v>106.226492051343</v>
      </c>
      <c r="AK2568">
        <v>34.497287894190798</v>
      </c>
      <c r="AL2568">
        <v>80.686635609749402</v>
      </c>
      <c r="AM2568">
        <v>101.74671219339</v>
      </c>
      <c r="AN2568">
        <v>0.99999997912052396</v>
      </c>
    </row>
    <row r="2569" spans="1:40" x14ac:dyDescent="0.25">
      <c r="A2569" t="str">
        <f>"20190303162829320"</f>
        <v>20190303162829320</v>
      </c>
      <c r="B2569" t="str">
        <f>"1551601709314086"</f>
        <v>1551601709314086</v>
      </c>
      <c r="C2569" t="s">
        <v>40</v>
      </c>
      <c r="D2569">
        <v>5.2269050000000004</v>
      </c>
      <c r="E2569">
        <v>0.46947630000000001</v>
      </c>
      <c r="F2569" t="s">
        <v>41</v>
      </c>
      <c r="G2569">
        <v>-490.59109999999998</v>
      </c>
      <c r="H2569" s="1">
        <v>-7.2930790000000002E-7</v>
      </c>
      <c r="I2569">
        <v>230.92250000000001</v>
      </c>
      <c r="J2569">
        <v>-490.24340000000001</v>
      </c>
      <c r="K2569">
        <v>1.1239509999999999</v>
      </c>
      <c r="L2569">
        <v>265.70249999999999</v>
      </c>
      <c r="M2569">
        <v>-0.28766750000000002</v>
      </c>
      <c r="N2569">
        <v>-1.421937E-2</v>
      </c>
      <c r="O2569">
        <v>-0.9576249</v>
      </c>
      <c r="P2569">
        <v>-8.7980840000000005E-2</v>
      </c>
      <c r="Q2569">
        <v>0.14927950000000001</v>
      </c>
      <c r="R2569">
        <v>-0.98487329999999995</v>
      </c>
      <c r="S2569">
        <v>-3.6956790000000003E-2</v>
      </c>
      <c r="T2569">
        <v>-9.8106620000000005E-2</v>
      </c>
      <c r="U2569">
        <v>-3.0581969999999998</v>
      </c>
      <c r="V2569">
        <v>-0.2000894</v>
      </c>
      <c r="W2569">
        <v>0.1618001</v>
      </c>
      <c r="X2569">
        <v>0.96632549999999995</v>
      </c>
      <c r="Y2569">
        <v>-0.27600920000000001</v>
      </c>
      <c r="Z2569">
        <v>1.521785E-2</v>
      </c>
      <c r="AA2569">
        <v>0.96103450000000001</v>
      </c>
      <c r="AB2569">
        <v>28</v>
      </c>
      <c r="AC2569">
        <v>-0.34769999999997397</v>
      </c>
      <c r="AD2569">
        <v>-1.1239517293079</v>
      </c>
      <c r="AE2569">
        <v>-34.779999999999902</v>
      </c>
      <c r="AF2569">
        <v>-9.6629960002852595</v>
      </c>
      <c r="AG2569">
        <v>-1.1239517293079</v>
      </c>
      <c r="AH2569">
        <v>33.374739257416998</v>
      </c>
      <c r="AI2569">
        <v>91.852767238821997</v>
      </c>
      <c r="AJ2569">
        <v>106.147328184137</v>
      </c>
      <c r="AK2569">
        <v>34.763630128223298</v>
      </c>
      <c r="AL2569">
        <v>80.688604130886503</v>
      </c>
      <c r="AM2569">
        <v>101.698465456427</v>
      </c>
      <c r="AN2569">
        <v>1.0000000061513099</v>
      </c>
    </row>
    <row r="2570" spans="1:40" x14ac:dyDescent="0.25">
      <c r="A2570" t="str">
        <f>"20190303162829333"</f>
        <v>20190303162829333</v>
      </c>
      <c r="B2570" t="str">
        <f>"1551601709323846"</f>
        <v>1551601709323846</v>
      </c>
      <c r="C2570" t="s">
        <v>40</v>
      </c>
      <c r="D2570">
        <v>5.218826</v>
      </c>
      <c r="E2570">
        <v>0.46967599999999998</v>
      </c>
      <c r="F2570" t="s">
        <v>41</v>
      </c>
      <c r="G2570">
        <v>-490.6105</v>
      </c>
      <c r="H2570" s="1">
        <v>-5.3830349999999999E-7</v>
      </c>
      <c r="I2570">
        <v>230.46530000000001</v>
      </c>
      <c r="J2570">
        <v>-490.2876</v>
      </c>
      <c r="K2570">
        <v>1.1238729999999999</v>
      </c>
      <c r="L2570">
        <v>265.54849999999999</v>
      </c>
      <c r="M2570">
        <v>-0.28601690000000002</v>
      </c>
      <c r="N2570">
        <v>-1.420241E-2</v>
      </c>
      <c r="O2570">
        <v>-0.95811930000000001</v>
      </c>
      <c r="P2570">
        <v>-8.6685170000000006E-2</v>
      </c>
      <c r="Q2570">
        <v>0.14939649999999999</v>
      </c>
      <c r="R2570">
        <v>-0.98497020000000002</v>
      </c>
      <c r="S2570">
        <v>-3.1860350000000003E-2</v>
      </c>
      <c r="T2570">
        <v>-9.7539420000000002E-2</v>
      </c>
      <c r="U2570">
        <v>-3.0579830000000001</v>
      </c>
      <c r="V2570">
        <v>-0.19965840000000001</v>
      </c>
      <c r="W2570">
        <v>0.16194359999999999</v>
      </c>
      <c r="X2570">
        <v>0.96639059999999999</v>
      </c>
      <c r="Y2570">
        <v>-0.27595409999999998</v>
      </c>
      <c r="Z2570">
        <v>1.508727E-2</v>
      </c>
      <c r="AA2570">
        <v>0.96105240000000003</v>
      </c>
      <c r="AB2570">
        <v>28</v>
      </c>
      <c r="AC2570">
        <v>-0.32290000000000402</v>
      </c>
      <c r="AD2570">
        <v>-1.1238735383034999</v>
      </c>
      <c r="AE2570">
        <v>-35.083199999999898</v>
      </c>
      <c r="AF2570">
        <v>-9.7160226530698299</v>
      </c>
      <c r="AG2570">
        <v>-1.1238735383034999</v>
      </c>
      <c r="AH2570">
        <v>33.675091535834298</v>
      </c>
      <c r="AI2570">
        <v>91.836619161924304</v>
      </c>
      <c r="AJ2570">
        <v>106.09404248010701</v>
      </c>
      <c r="AK2570">
        <v>35.066736059574801</v>
      </c>
      <c r="AL2570">
        <v>80.680272237622006</v>
      </c>
      <c r="AM2570">
        <v>101.673194050538</v>
      </c>
      <c r="AN2570">
        <v>0.99999999901993997</v>
      </c>
    </row>
    <row r="2571" spans="1:40" x14ac:dyDescent="0.25">
      <c r="A2571" t="str">
        <f>"20190303162829346"</f>
        <v>20190303162829346</v>
      </c>
      <c r="B2571" t="str">
        <f>"1551601709333606"</f>
        <v>1551601709333606</v>
      </c>
      <c r="C2571" t="s">
        <v>40</v>
      </c>
      <c r="D2571">
        <v>5.1597569999999999</v>
      </c>
      <c r="E2571">
        <v>0.4698871</v>
      </c>
      <c r="F2571" t="s">
        <v>41</v>
      </c>
      <c r="G2571">
        <v>-490.62610000000001</v>
      </c>
      <c r="H2571" s="1">
        <v>-3.5729650000000001E-7</v>
      </c>
      <c r="I2571">
        <v>230.03370000000001</v>
      </c>
      <c r="J2571">
        <v>-490.32839999999999</v>
      </c>
      <c r="K2571">
        <v>1.1238049999999999</v>
      </c>
      <c r="L2571">
        <v>265.40600000000001</v>
      </c>
      <c r="M2571">
        <v>-0.28450520000000001</v>
      </c>
      <c r="N2571">
        <v>-1.418751E-2</v>
      </c>
      <c r="O2571">
        <v>-0.95856989999999997</v>
      </c>
      <c r="P2571">
        <v>-8.5358329999999996E-2</v>
      </c>
      <c r="Q2571">
        <v>0.14920359999999999</v>
      </c>
      <c r="R2571">
        <v>-0.98511559999999998</v>
      </c>
      <c r="S2571">
        <v>-2.914429E-2</v>
      </c>
      <c r="T2571">
        <v>-9.6768380000000001E-2</v>
      </c>
      <c r="U2571">
        <v>-3.057922</v>
      </c>
      <c r="V2571">
        <v>-0.19941519999999999</v>
      </c>
      <c r="W2571">
        <v>0.16177139999999901</v>
      </c>
      <c r="X2571">
        <v>0.96646960000000004</v>
      </c>
      <c r="Y2571">
        <v>-0.27529189999999998</v>
      </c>
      <c r="Z2571">
        <v>1.4893979999999999E-2</v>
      </c>
      <c r="AA2571">
        <v>0.96124529999999997</v>
      </c>
      <c r="AB2571">
        <v>28</v>
      </c>
      <c r="AC2571">
        <v>-0.29770000000002</v>
      </c>
      <c r="AD2571">
        <v>-1.1238053572965001</v>
      </c>
      <c r="AE2571">
        <v>-35.372300000000003</v>
      </c>
      <c r="AF2571">
        <v>-9.7693573122789896</v>
      </c>
      <c r="AG2571">
        <v>-1.1238053572965001</v>
      </c>
      <c r="AH2571">
        <v>33.960651234548898</v>
      </c>
      <c r="AI2571">
        <v>91.821490135588903</v>
      </c>
      <c r="AJ2571">
        <v>106.048778704575</v>
      </c>
      <c r="AK2571">
        <v>35.355750777642001</v>
      </c>
      <c r="AL2571">
        <v>80.690269924091695</v>
      </c>
      <c r="AM2571">
        <v>101.658437729493</v>
      </c>
      <c r="AN2571">
        <v>0.99999994778657797</v>
      </c>
    </row>
    <row r="2572" spans="1:40" x14ac:dyDescent="0.25">
      <c r="A2572" t="str">
        <f>"20190303162829363"</f>
        <v>20190303162829363</v>
      </c>
      <c r="B2572" t="str">
        <f>"1551601709354102"</f>
        <v>1551601709354102</v>
      </c>
      <c r="C2572" t="s">
        <v>40</v>
      </c>
      <c r="D2572">
        <v>5.1644690000000004</v>
      </c>
      <c r="E2572">
        <v>0.47030759999999999</v>
      </c>
      <c r="F2572" t="s">
        <v>41</v>
      </c>
      <c r="G2572">
        <v>-490.6284</v>
      </c>
      <c r="H2572" s="1">
        <v>-3.2669960000000001E-7</v>
      </c>
      <c r="I2572">
        <v>229.96090000000001</v>
      </c>
      <c r="J2572">
        <v>-490.38979999999998</v>
      </c>
      <c r="K2572">
        <v>1.1237349999999999</v>
      </c>
      <c r="L2572">
        <v>265.1902</v>
      </c>
      <c r="M2572">
        <v>-0.28225450000000002</v>
      </c>
      <c r="N2572">
        <v>-1.4166949999999999E-2</v>
      </c>
      <c r="O2572">
        <v>-0.95923519999999896</v>
      </c>
      <c r="P2572">
        <v>-8.3606150000000004E-2</v>
      </c>
      <c r="Q2572">
        <v>0.14905940000000001</v>
      </c>
      <c r="R2572">
        <v>-0.98528769999999999</v>
      </c>
      <c r="S2572">
        <v>-2.5878910000000001E-2</v>
      </c>
      <c r="T2572">
        <v>-9.6947190000000003E-2</v>
      </c>
      <c r="U2572">
        <v>-3.0577390000000002</v>
      </c>
      <c r="V2572">
        <v>-0.19883999999999999</v>
      </c>
      <c r="W2572">
        <v>0.1616495</v>
      </c>
      <c r="X2572">
        <v>0.96660860000000004</v>
      </c>
      <c r="Y2572">
        <v>-0.27406170000000002</v>
      </c>
      <c r="Z2572">
        <v>1.5004770000000001E-2</v>
      </c>
      <c r="AA2572">
        <v>0.96159510000000004</v>
      </c>
      <c r="AB2572">
        <v>28</v>
      </c>
      <c r="AC2572">
        <v>-0.23860000000001899</v>
      </c>
      <c r="AD2572">
        <v>-1.1237353266996</v>
      </c>
      <c r="AE2572">
        <v>-35.229299999999903</v>
      </c>
      <c r="AF2572">
        <v>-9.7058527434365107</v>
      </c>
      <c r="AG2572">
        <v>-1.1237353266996</v>
      </c>
      <c r="AH2572">
        <v>33.829502182512698</v>
      </c>
      <c r="AI2572">
        <v>91.8288024962674</v>
      </c>
      <c r="AJ2572">
        <v>106.00844913998399</v>
      </c>
      <c r="AK2572">
        <v>35.212236175488499</v>
      </c>
      <c r="AL2572">
        <v>80.697348354359704</v>
      </c>
      <c r="AM2572">
        <v>101.624100137947</v>
      </c>
      <c r="AN2572">
        <v>1.0000000460220999</v>
      </c>
    </row>
    <row r="2573" spans="1:40" x14ac:dyDescent="0.25">
      <c r="A2573" t="str">
        <f>"20190303162829375"</f>
        <v>20190303162829375</v>
      </c>
      <c r="B2573" t="str">
        <f>"1551601709363862"</f>
        <v>1551601709363862</v>
      </c>
      <c r="C2573" t="s">
        <v>40</v>
      </c>
      <c r="D2573">
        <v>5.1663860000000001</v>
      </c>
      <c r="E2573">
        <v>0.47051189999999998</v>
      </c>
      <c r="F2573" t="s">
        <v>47</v>
      </c>
      <c r="G2573">
        <v>-490.64069999999998</v>
      </c>
      <c r="H2573" s="1">
        <v>6.4112170000000004E-6</v>
      </c>
      <c r="I2573">
        <v>229.4358</v>
      </c>
      <c r="J2573">
        <v>-490.42930000000001</v>
      </c>
      <c r="K2573">
        <v>1.123705</v>
      </c>
      <c r="L2573">
        <v>265.05020000000002</v>
      </c>
      <c r="M2573">
        <v>-0.28080929999999998</v>
      </c>
      <c r="N2573">
        <v>-1.4154989999999999E-2</v>
      </c>
      <c r="O2573">
        <v>-0.95965919999999905</v>
      </c>
      <c r="P2573">
        <v>-8.2385440000000004E-2</v>
      </c>
      <c r="Q2573">
        <v>0.1488313</v>
      </c>
      <c r="R2573">
        <v>-0.98542479999999999</v>
      </c>
      <c r="S2573">
        <v>-2.1453860000000002E-2</v>
      </c>
      <c r="T2573">
        <v>-9.6096280000000006E-2</v>
      </c>
      <c r="U2573">
        <v>-3.0575559999999999</v>
      </c>
      <c r="V2573">
        <v>-0.19857620000000001</v>
      </c>
      <c r="W2573">
        <v>0.16142790000000001</v>
      </c>
      <c r="X2573">
        <v>0.9666998</v>
      </c>
      <c r="Y2573">
        <v>-0.27400479999999999</v>
      </c>
      <c r="Z2573">
        <v>1.477997E-2</v>
      </c>
      <c r="AA2573">
        <v>0.96161470000000004</v>
      </c>
      <c r="AB2573">
        <v>28</v>
      </c>
      <c r="AC2573">
        <v>-0.211399999999969</v>
      </c>
      <c r="AD2573">
        <v>-1.123698588783</v>
      </c>
      <c r="AE2573">
        <v>-35.614400000000003</v>
      </c>
      <c r="AF2573">
        <v>-9.7892194883171708</v>
      </c>
      <c r="AG2573">
        <v>-1.123698588783</v>
      </c>
      <c r="AH2573">
        <v>34.206428168868101</v>
      </c>
      <c r="AI2573">
        <v>91.808951681090704</v>
      </c>
      <c r="AJ2573">
        <v>105.970099444995</v>
      </c>
      <c r="AK2573">
        <v>35.597348844834102</v>
      </c>
      <c r="AL2573">
        <v>80.710213534889107</v>
      </c>
      <c r="AM2573">
        <v>101.608031899732</v>
      </c>
      <c r="AN2573">
        <v>0.999999988712444</v>
      </c>
    </row>
    <row r="2574" spans="1:40" x14ac:dyDescent="0.25">
      <c r="A2574" t="str">
        <f>"20190303162829389"</f>
        <v>20190303162829389</v>
      </c>
      <c r="B2574" t="str">
        <f>"1551601709384358"</f>
        <v>1551601709384358</v>
      </c>
      <c r="C2574" t="s">
        <v>40</v>
      </c>
      <c r="D2574">
        <v>5.1702430000000001</v>
      </c>
      <c r="E2574">
        <v>0.47091709999999898</v>
      </c>
      <c r="F2574" t="s">
        <v>47</v>
      </c>
      <c r="G2574">
        <v>-490.64580000000001</v>
      </c>
      <c r="H2574" s="1">
        <v>6.4098939999999997E-6</v>
      </c>
      <c r="I2574">
        <v>229.4359</v>
      </c>
      <c r="J2574">
        <v>-490.46800000000002</v>
      </c>
      <c r="K2574">
        <v>1.1236820000000001</v>
      </c>
      <c r="L2574">
        <v>264.91250000000002</v>
      </c>
      <c r="M2574">
        <v>-0.27938809999999997</v>
      </c>
      <c r="N2574">
        <v>-1.4143799999999899E-2</v>
      </c>
      <c r="O2574">
        <v>-0.96007410000000004</v>
      </c>
      <c r="P2574">
        <v>-8.0985970000000004E-2</v>
      </c>
      <c r="Q2574">
        <v>0.1490553</v>
      </c>
      <c r="R2574">
        <v>-0.98550700000000002</v>
      </c>
      <c r="S2574">
        <v>-1.8585210000000001E-2</v>
      </c>
      <c r="T2574">
        <v>-9.646499E-2</v>
      </c>
      <c r="U2574">
        <v>-3.0573429999999999</v>
      </c>
      <c r="V2574">
        <v>-0.19849919999999999</v>
      </c>
      <c r="W2574">
        <v>0.1616542</v>
      </c>
      <c r="X2574">
        <v>0.96667780000000003</v>
      </c>
      <c r="Y2574">
        <v>-0.27348270000000002</v>
      </c>
      <c r="Z2574">
        <v>1.4924049999999999E-2</v>
      </c>
      <c r="AA2574">
        <v>0.96176110000000004</v>
      </c>
      <c r="AB2574">
        <v>28</v>
      </c>
      <c r="AC2574">
        <v>-0.17779999999998999</v>
      </c>
      <c r="AD2574">
        <v>-1.123675590106</v>
      </c>
      <c r="AE2574">
        <v>-35.476599999999998</v>
      </c>
      <c r="AF2574">
        <v>-9.7322496212746401</v>
      </c>
      <c r="AG2574">
        <v>-1.123675590106</v>
      </c>
      <c r="AH2574">
        <v>34.079063646561004</v>
      </c>
      <c r="AI2574">
        <v>91.815959434272898</v>
      </c>
      <c r="AJ2574">
        <v>105.93820557105801</v>
      </c>
      <c r="AK2574">
        <v>35.459299323999097</v>
      </c>
      <c r="AL2574">
        <v>80.697074957869205</v>
      </c>
      <c r="AM2574">
        <v>101.603909775335</v>
      </c>
      <c r="AN2574">
        <v>0.99999999089556002</v>
      </c>
    </row>
    <row r="2575" spans="1:40" x14ac:dyDescent="0.25">
      <c r="A2575" t="str">
        <f>"20190303162829401"</f>
        <v>20190303162829401</v>
      </c>
      <c r="B2575" t="str">
        <f>"1551601709394119"</f>
        <v>1551601709394119</v>
      </c>
      <c r="C2575" t="s">
        <v>40</v>
      </c>
      <c r="D2575">
        <v>5.1773720000000001</v>
      </c>
      <c r="E2575">
        <v>0.47091709999999898</v>
      </c>
      <c r="F2575" t="s">
        <v>47</v>
      </c>
      <c r="G2575">
        <v>-490.66410000000002</v>
      </c>
      <c r="H2575" s="1">
        <v>6.2221140000000001E-6</v>
      </c>
      <c r="I2575">
        <v>228.79599999999999</v>
      </c>
      <c r="J2575">
        <v>-490.51850000000002</v>
      </c>
      <c r="K2575">
        <v>1.1236630000000001</v>
      </c>
      <c r="L2575">
        <v>264.73149999999998</v>
      </c>
      <c r="M2575">
        <v>-0.27752090000000001</v>
      </c>
      <c r="N2575">
        <v>-1.4130409999999999E-2</v>
      </c>
      <c r="O2575">
        <v>-0.96061580000000002</v>
      </c>
      <c r="P2575">
        <v>-7.9427559999999994E-2</v>
      </c>
      <c r="Q2575">
        <v>0.14937929999999999</v>
      </c>
      <c r="R2575">
        <v>-0.98558500000000004</v>
      </c>
      <c r="S2575">
        <v>-1.6601560000000001E-2</v>
      </c>
      <c r="T2575">
        <v>-9.5115069999999996E-2</v>
      </c>
      <c r="U2575">
        <v>-3.0571290000000002</v>
      </c>
      <c r="V2575">
        <v>-0.1981272</v>
      </c>
      <c r="W2575">
        <v>0.16197700000000001</v>
      </c>
      <c r="X2575">
        <v>0.96670009999999995</v>
      </c>
      <c r="Y2575">
        <v>-0.27223730000000002</v>
      </c>
      <c r="Z2575">
        <v>1.4562469999999999E-2</v>
      </c>
      <c r="AA2575">
        <v>0.96211990000000003</v>
      </c>
      <c r="AB2575">
        <v>28</v>
      </c>
      <c r="AC2575">
        <v>-0.14560000000000101</v>
      </c>
      <c r="AD2575">
        <v>-1.1236567778859901</v>
      </c>
      <c r="AE2575">
        <v>-35.935499999999898</v>
      </c>
      <c r="AF2575">
        <v>-9.8243618699276603</v>
      </c>
      <c r="AG2575">
        <v>-1.1236567778859901</v>
      </c>
      <c r="AH2575">
        <v>34.530302097357797</v>
      </c>
      <c r="AI2575">
        <v>91.792716869487904</v>
      </c>
      <c r="AJ2575">
        <v>105.881806254653</v>
      </c>
      <c r="AK2575">
        <v>35.918274647323599</v>
      </c>
      <c r="AL2575">
        <v>80.678333054498296</v>
      </c>
      <c r="AM2575">
        <v>101.582491531581</v>
      </c>
      <c r="AN2575">
        <v>1.0000000096244199</v>
      </c>
    </row>
    <row r="2576" spans="1:40" x14ac:dyDescent="0.25">
      <c r="A2576" t="str">
        <f>"20190303162829413"</f>
        <v>20190303162829413</v>
      </c>
      <c r="B2576" t="str">
        <f>"1551601709404226"</f>
        <v>1551601709404226</v>
      </c>
      <c r="C2576" t="s">
        <v>40</v>
      </c>
      <c r="D2576">
        <v>5.1722000000000001</v>
      </c>
      <c r="E2576">
        <v>0.48508980000000002</v>
      </c>
      <c r="F2576" t="s">
        <v>47</v>
      </c>
      <c r="G2576">
        <v>-490.65100000000001</v>
      </c>
      <c r="H2576" s="1">
        <v>6.0259059999999999E-6</v>
      </c>
      <c r="I2576">
        <v>228.1533</v>
      </c>
      <c r="J2576">
        <v>-490.55759999999998</v>
      </c>
      <c r="K2576">
        <v>1.123667</v>
      </c>
      <c r="L2576">
        <v>264.59030000000001</v>
      </c>
      <c r="M2576">
        <v>-0.27604030000000002</v>
      </c>
      <c r="N2576">
        <v>-1.412122E-2</v>
      </c>
      <c r="O2576">
        <v>-0.96104250000000002</v>
      </c>
      <c r="P2576">
        <v>-7.8246259999999998E-2</v>
      </c>
      <c r="Q2576">
        <v>0.14988699999999999</v>
      </c>
      <c r="R2576">
        <v>-0.98560210000000004</v>
      </c>
      <c r="S2576">
        <v>-1.107788E-2</v>
      </c>
      <c r="T2576">
        <v>-9.3914869999999998E-2</v>
      </c>
      <c r="U2576">
        <v>-3.0571899999999999</v>
      </c>
      <c r="V2576">
        <v>-0.19777739999999999</v>
      </c>
      <c r="W2576">
        <v>0.16247719999999999</v>
      </c>
      <c r="X2576">
        <v>0.96668779999999999</v>
      </c>
      <c r="Y2576">
        <v>-0.27249370000000001</v>
      </c>
      <c r="Z2576">
        <v>1.4224250000000001E-2</v>
      </c>
      <c r="AA2576">
        <v>0.96205240000000003</v>
      </c>
      <c r="AB2576">
        <v>28</v>
      </c>
      <c r="AC2576">
        <v>-9.3400000000031E-2</v>
      </c>
      <c r="AD2576">
        <v>-1.123660974094</v>
      </c>
      <c r="AE2576">
        <v>-36.436999999999998</v>
      </c>
      <c r="AF2576">
        <v>-9.9598395153164496</v>
      </c>
      <c r="AG2576">
        <v>-1.123660974094</v>
      </c>
      <c r="AH2576">
        <v>35.013478249265098</v>
      </c>
      <c r="AI2576">
        <v>91.768026757034406</v>
      </c>
      <c r="AJ2576">
        <v>105.878789352626</v>
      </c>
      <c r="AK2576">
        <v>36.419839047795399</v>
      </c>
      <c r="AL2576">
        <v>80.649289084295305</v>
      </c>
      <c r="AM2576">
        <v>101.56273659006</v>
      </c>
      <c r="AN2576">
        <v>1.00000002156971</v>
      </c>
    </row>
    <row r="2577" spans="1:40" x14ac:dyDescent="0.25">
      <c r="A2577" t="str">
        <f>"20190303162829427"</f>
        <v>20190303162829427</v>
      </c>
      <c r="B2577" t="str">
        <f>"1551601709413969"</f>
        <v>1551601709413969</v>
      </c>
      <c r="C2577" t="s">
        <v>40</v>
      </c>
      <c r="D2577">
        <v>5.1716730000000002</v>
      </c>
      <c r="E2577">
        <v>0.48507869999999997</v>
      </c>
      <c r="F2577" t="s">
        <v>47</v>
      </c>
      <c r="G2577">
        <v>-492.12139999999999</v>
      </c>
      <c r="H2577" s="1">
        <v>4.6561579999999997E-6</v>
      </c>
      <c r="I2577">
        <v>224.7841</v>
      </c>
      <c r="J2577">
        <v>-490.60239999999999</v>
      </c>
      <c r="K2577">
        <v>1.123685</v>
      </c>
      <c r="L2577">
        <v>264.42739999999998</v>
      </c>
      <c r="M2577">
        <v>-0.2743102</v>
      </c>
      <c r="N2577">
        <v>-1.411136E-2</v>
      </c>
      <c r="O2577">
        <v>-0.9615378</v>
      </c>
      <c r="P2577">
        <v>-7.6773129999999995E-2</v>
      </c>
      <c r="Q2577">
        <v>0.1506325</v>
      </c>
      <c r="R2577">
        <v>-0.98560409999999998</v>
      </c>
      <c r="S2577">
        <v>-0.11972049999999999</v>
      </c>
      <c r="T2577">
        <v>-8.6022970000000004E-2</v>
      </c>
      <c r="U2577">
        <v>-3.0473940000000002</v>
      </c>
      <c r="V2577">
        <v>-0.19745869999999999</v>
      </c>
      <c r="W2577">
        <v>0.16320879999999999</v>
      </c>
      <c r="X2577">
        <v>0.96662969999999904</v>
      </c>
      <c r="Y2577">
        <v>-0.23630609999999999</v>
      </c>
      <c r="Z2577">
        <v>1.2155600000000001E-2</v>
      </c>
      <c r="AA2577">
        <v>0.97160259999999998</v>
      </c>
      <c r="AB2577">
        <v>28</v>
      </c>
      <c r="AC2577">
        <v>-1.5189999999999999</v>
      </c>
      <c r="AD2577">
        <v>-1.123680343842</v>
      </c>
      <c r="AE2577">
        <v>-39.643299999999897</v>
      </c>
      <c r="AF2577">
        <v>-9.4073752882777608</v>
      </c>
      <c r="AG2577">
        <v>-1.123680343842</v>
      </c>
      <c r="AH2577">
        <v>38.508149873663299</v>
      </c>
      <c r="AI2577">
        <v>91.623712116423903</v>
      </c>
      <c r="AJ2577">
        <v>103.72822593151901</v>
      </c>
      <c r="AK2577">
        <v>39.656512378449897</v>
      </c>
      <c r="AL2577">
        <v>80.606804332158902</v>
      </c>
      <c r="AM2577">
        <v>101.54528018116</v>
      </c>
      <c r="AN2577">
        <v>1.0000000137625999</v>
      </c>
    </row>
    <row r="2578" spans="1:40" x14ac:dyDescent="0.25">
      <c r="A2578" t="str">
        <f>"20190303162829443"</f>
        <v>20190303162829443</v>
      </c>
      <c r="B2578" t="str">
        <f>"1551601709434464"</f>
        <v>1551601709434464</v>
      </c>
      <c r="C2578" t="s">
        <v>40</v>
      </c>
      <c r="D2578">
        <v>5.290762</v>
      </c>
      <c r="E2578">
        <v>0.48587609999999998</v>
      </c>
      <c r="F2578" t="s">
        <v>47</v>
      </c>
      <c r="G2578">
        <v>-492.1952</v>
      </c>
      <c r="H2578" s="1">
        <v>3.874058E-6</v>
      </c>
      <c r="I2578">
        <v>221.99199999999999</v>
      </c>
      <c r="J2578">
        <v>-490.6549</v>
      </c>
      <c r="K2578">
        <v>1.1237250000000001</v>
      </c>
      <c r="L2578">
        <v>264.23500000000001</v>
      </c>
      <c r="M2578">
        <v>-0.2722137</v>
      </c>
      <c r="N2578">
        <v>-1.4101290000000001E-2</v>
      </c>
      <c r="O2578">
        <v>-0.96213380000000004</v>
      </c>
      <c r="P2578">
        <v>-7.5906580000000001E-2</v>
      </c>
      <c r="Q2578">
        <v>0.15202479999999999</v>
      </c>
      <c r="R2578">
        <v>-0.9854579</v>
      </c>
      <c r="S2578">
        <v>-0.11437990000000001</v>
      </c>
      <c r="T2578">
        <v>-8.0689670000000005E-2</v>
      </c>
      <c r="U2578">
        <v>-3.0472109999999999</v>
      </c>
      <c r="V2578">
        <v>-0.19616220000000001</v>
      </c>
      <c r="W2578">
        <v>0.16458229999999999</v>
      </c>
      <c r="X2578">
        <v>0.96666079999999999</v>
      </c>
      <c r="Y2578">
        <v>-0.23588890000000001</v>
      </c>
      <c r="Z2578">
        <v>1.056581E-2</v>
      </c>
      <c r="AA2578">
        <v>0.97172259999999999</v>
      </c>
      <c r="AB2578">
        <v>28</v>
      </c>
      <c r="AC2578">
        <v>-1.5403</v>
      </c>
      <c r="AD2578">
        <v>-1.1237211259419999</v>
      </c>
      <c r="AE2578">
        <v>-42.243000000000002</v>
      </c>
      <c r="AF2578">
        <v>-10.0110669994741</v>
      </c>
      <c r="AG2578">
        <v>-1.1237211259419999</v>
      </c>
      <c r="AH2578">
        <v>41.037778776275204</v>
      </c>
      <c r="AI2578">
        <v>91.523850274818102</v>
      </c>
      <c r="AJ2578">
        <v>103.70940238014001</v>
      </c>
      <c r="AK2578">
        <v>42.256165213224897</v>
      </c>
      <c r="AL2578">
        <v>80.527029919281901</v>
      </c>
      <c r="AM2578">
        <v>101.47113141002301</v>
      </c>
      <c r="AN2578">
        <v>1.0000000222193799</v>
      </c>
    </row>
    <row r="2579" spans="1:40" x14ac:dyDescent="0.25">
      <c r="A2579" t="str">
        <f>"20190303162829455"</f>
        <v>20190303162829455</v>
      </c>
      <c r="B2579" t="str">
        <f>"1551601709444225"</f>
        <v>1551601709444225</v>
      </c>
      <c r="C2579" t="s">
        <v>40</v>
      </c>
      <c r="D2579">
        <v>5.1676219999999997</v>
      </c>
      <c r="E2579">
        <v>0.48594179999999998</v>
      </c>
      <c r="F2579" t="s">
        <v>47</v>
      </c>
      <c r="G2579">
        <v>-492.37779999999998</v>
      </c>
      <c r="H2579" s="1">
        <v>3.1251259999999998E-6</v>
      </c>
      <c r="I2579">
        <v>219.679</v>
      </c>
      <c r="J2579">
        <v>-490.69639999999998</v>
      </c>
      <c r="K2579">
        <v>1.1237729999999999</v>
      </c>
      <c r="L2579">
        <v>264.08139999999997</v>
      </c>
      <c r="M2579">
        <v>-0.27047330000000003</v>
      </c>
      <c r="N2579">
        <v>-1.409529E-2</v>
      </c>
      <c r="O2579">
        <v>-0.96262429999999999</v>
      </c>
      <c r="P2579">
        <v>-7.4743320000000002E-2</v>
      </c>
      <c r="Q2579">
        <v>0.1520473</v>
      </c>
      <c r="R2579">
        <v>-0.98554310000000001</v>
      </c>
      <c r="S2579">
        <v>-0.1178284</v>
      </c>
      <c r="T2579">
        <v>-7.6848269999999996E-2</v>
      </c>
      <c r="U2579">
        <v>-3.0470579999999998</v>
      </c>
      <c r="V2579">
        <v>-0.1955712</v>
      </c>
      <c r="W2579">
        <v>0.1645828</v>
      </c>
      <c r="X2579">
        <v>0.96678039999999998</v>
      </c>
      <c r="Y2579">
        <v>-0.2330332</v>
      </c>
      <c r="Z2579">
        <v>9.4310739999999994E-3</v>
      </c>
      <c r="AA2579">
        <v>0.97242300000000004</v>
      </c>
      <c r="AB2579">
        <v>28</v>
      </c>
      <c r="AC2579">
        <v>-1.68139999999999</v>
      </c>
      <c r="AD2579">
        <v>-1.1237698748739999</v>
      </c>
      <c r="AE2579">
        <v>-44.402399999999901</v>
      </c>
      <c r="AF2579">
        <v>-10.3854966799952</v>
      </c>
      <c r="AG2579">
        <v>-1.1237698748739999</v>
      </c>
      <c r="AH2579">
        <v>43.174279312304797</v>
      </c>
      <c r="AI2579">
        <v>91.449664246100198</v>
      </c>
      <c r="AJ2579">
        <v>103.525430362398</v>
      </c>
      <c r="AK2579">
        <v>44.420038205282701</v>
      </c>
      <c r="AL2579">
        <v>80.527000348131594</v>
      </c>
      <c r="AM2579">
        <v>101.43610555111</v>
      </c>
      <c r="AN2579">
        <v>0.99999996707471905</v>
      </c>
    </row>
    <row r="2580" spans="1:40" x14ac:dyDescent="0.25">
      <c r="A2580" t="str">
        <f>"20190303162829468"</f>
        <v>20190303162829468</v>
      </c>
      <c r="B2580" t="str">
        <f>"1551601709453985"</f>
        <v>1551601709453985</v>
      </c>
      <c r="C2580" t="s">
        <v>40</v>
      </c>
      <c r="D2580">
        <v>5.1061040000000002</v>
      </c>
      <c r="E2580">
        <v>0.48605409999999999</v>
      </c>
      <c r="F2580" t="s">
        <v>47</v>
      </c>
      <c r="G2580">
        <v>-492.38319999999999</v>
      </c>
      <c r="H2580" s="1">
        <v>3.0878209999999998E-6</v>
      </c>
      <c r="I2580">
        <v>219.22909999999999</v>
      </c>
      <c r="J2580">
        <v>-490.73649999999998</v>
      </c>
      <c r="K2580">
        <v>1.1238239999999999</v>
      </c>
      <c r="L2580">
        <v>263.93209999999999</v>
      </c>
      <c r="M2580">
        <v>-0.26874999999999999</v>
      </c>
      <c r="N2580">
        <v>-1.409009E-2</v>
      </c>
      <c r="O2580">
        <v>-0.96310700000000005</v>
      </c>
      <c r="P2580">
        <v>-7.3916659999999995E-2</v>
      </c>
      <c r="Q2580">
        <v>0.15223239999999999</v>
      </c>
      <c r="R2580">
        <v>-0.98557660000000002</v>
      </c>
      <c r="S2580">
        <v>-0.1145935</v>
      </c>
      <c r="T2580">
        <v>-7.6344490000000001E-2</v>
      </c>
      <c r="U2580">
        <v>-3.0470890000000002</v>
      </c>
      <c r="V2580">
        <v>-0.19466159999999999</v>
      </c>
      <c r="W2580">
        <v>0.16474739999999999</v>
      </c>
      <c r="X2580">
        <v>0.96693589999999996</v>
      </c>
      <c r="Y2580">
        <v>-0.23232439999999999</v>
      </c>
      <c r="Z2580">
        <v>9.3004239999999998E-3</v>
      </c>
      <c r="AA2580">
        <v>0.97259390000000001</v>
      </c>
      <c r="AB2580">
        <v>28</v>
      </c>
      <c r="AC2580">
        <v>-1.6467000000000001</v>
      </c>
      <c r="AD2580">
        <v>-1.1238209121789999</v>
      </c>
      <c r="AE2580">
        <v>-44.703000000000003</v>
      </c>
      <c r="AF2580">
        <v>-10.4224391579559</v>
      </c>
      <c r="AG2580">
        <v>-1.1238209121789999</v>
      </c>
      <c r="AH2580">
        <v>43.473199035339697</v>
      </c>
      <c r="AI2580">
        <v>91.440028804158601</v>
      </c>
      <c r="AJ2580">
        <v>103.481864261415</v>
      </c>
      <c r="AK2580">
        <v>44.719226802463901</v>
      </c>
      <c r="AL2580">
        <v>80.517438681142096</v>
      </c>
      <c r="AM2580">
        <v>101.38252533141799</v>
      </c>
      <c r="AN2580">
        <v>0.99999993951506305</v>
      </c>
    </row>
    <row r="2581" spans="1:40" x14ac:dyDescent="0.25">
      <c r="A2581" t="str">
        <f>"20190303162829491"</f>
        <v>20190303162829491</v>
      </c>
      <c r="B2581" t="str">
        <f>"1551601709484243"</f>
        <v>1551601709484243</v>
      </c>
      <c r="C2581" t="s">
        <v>40</v>
      </c>
      <c r="D2581">
        <v>5.1714219999999997</v>
      </c>
      <c r="E2581">
        <v>0.48652489999999998</v>
      </c>
      <c r="F2581" t="s">
        <v>47</v>
      </c>
      <c r="G2581">
        <v>-492.40949999999998</v>
      </c>
      <c r="H2581" s="1">
        <v>3.058859E-6</v>
      </c>
      <c r="I2581">
        <v>218.67320000000001</v>
      </c>
      <c r="J2581">
        <v>-490.80459999999999</v>
      </c>
      <c r="K2581">
        <v>1.123923</v>
      </c>
      <c r="L2581">
        <v>263.67489999999998</v>
      </c>
      <c r="M2581">
        <v>-0.26566659999999997</v>
      </c>
      <c r="N2581">
        <v>-1.408149E-2</v>
      </c>
      <c r="O2581">
        <v>-0.96396210000000004</v>
      </c>
      <c r="P2581">
        <v>-7.3108179999999995E-2</v>
      </c>
      <c r="Q2581">
        <v>0.15245429999999999</v>
      </c>
      <c r="R2581">
        <v>-0.9856026</v>
      </c>
      <c r="S2581">
        <v>-0.1126404</v>
      </c>
      <c r="T2581">
        <v>-7.5664399999999896E-2</v>
      </c>
      <c r="U2581">
        <v>-3.04718</v>
      </c>
      <c r="V2581">
        <v>-0.1923861</v>
      </c>
      <c r="W2581">
        <v>0.16493459999999999</v>
      </c>
      <c r="X2581">
        <v>0.96735939999999998</v>
      </c>
      <c r="Y2581">
        <v>-0.22983590000000001</v>
      </c>
      <c r="Z2581">
        <v>9.1378840000000006E-3</v>
      </c>
      <c r="AA2581">
        <v>0.97318649999999995</v>
      </c>
      <c r="AB2581">
        <v>28</v>
      </c>
      <c r="AC2581">
        <v>-1.60489999999998</v>
      </c>
      <c r="AD2581">
        <v>-1.1239199411409999</v>
      </c>
      <c r="AE2581">
        <v>-45.0016999999999</v>
      </c>
      <c r="AF2581">
        <v>-10.4029375215413</v>
      </c>
      <c r="AG2581">
        <v>-1.1239199411409999</v>
      </c>
      <c r="AH2581">
        <v>43.783370867958403</v>
      </c>
      <c r="AI2581">
        <v>91.430649600203097</v>
      </c>
      <c r="AJ2581">
        <v>103.36565262984701</v>
      </c>
      <c r="AK2581">
        <v>45.016306708484798</v>
      </c>
      <c r="AL2581">
        <v>80.506564931809095</v>
      </c>
      <c r="AM2581">
        <v>101.248082879286</v>
      </c>
      <c r="AN2581">
        <v>1.0000000212593601</v>
      </c>
    </row>
    <row r="2582" spans="1:40" x14ac:dyDescent="0.25">
      <c r="A2582" t="str">
        <f>"20190303162829505"</f>
        <v>20190303162829505</v>
      </c>
      <c r="B2582" t="str">
        <f>"1551601709494001"</f>
        <v>1551601709494001</v>
      </c>
      <c r="C2582" t="s">
        <v>40</v>
      </c>
      <c r="D2582">
        <v>5.1318720000000004</v>
      </c>
      <c r="E2582">
        <v>0.48652489999999998</v>
      </c>
      <c r="F2582" t="s">
        <v>47</v>
      </c>
      <c r="G2582">
        <v>-492.43299999999999</v>
      </c>
      <c r="H2582" s="1">
        <v>3.0928089999999999E-6</v>
      </c>
      <c r="I2582">
        <v>219.5455</v>
      </c>
      <c r="J2582">
        <v>-490.85070000000002</v>
      </c>
      <c r="K2582">
        <v>1.123996</v>
      </c>
      <c r="L2582">
        <v>263.49900000000002</v>
      </c>
      <c r="M2582">
        <v>-0.2634802</v>
      </c>
      <c r="N2582">
        <v>-1.4073810000000001E-2</v>
      </c>
      <c r="O2582">
        <v>-0.96456240000000004</v>
      </c>
      <c r="P2582">
        <v>-7.2005070000000004E-2</v>
      </c>
      <c r="Q2582">
        <v>0.15269059999999901</v>
      </c>
      <c r="R2582">
        <v>-0.98564759999999996</v>
      </c>
      <c r="S2582">
        <v>-0.1124573</v>
      </c>
      <c r="T2582">
        <v>-7.7616450000000003E-2</v>
      </c>
      <c r="U2582">
        <v>-3.0475159999999999</v>
      </c>
      <c r="V2582">
        <v>-0.19129350000000001</v>
      </c>
      <c r="W2582">
        <v>0.1651387</v>
      </c>
      <c r="X2582">
        <v>0.96754119999999999</v>
      </c>
      <c r="Y2582">
        <v>-0.2276907</v>
      </c>
      <c r="Z2582">
        <v>9.7684429999999999E-3</v>
      </c>
      <c r="AA2582">
        <v>0.97368449999999995</v>
      </c>
      <c r="AB2582">
        <v>28</v>
      </c>
      <c r="AC2582">
        <v>-1.58230000000003</v>
      </c>
      <c r="AD2582">
        <v>-1.123992907191</v>
      </c>
      <c r="AE2582">
        <v>-43.953499999999998</v>
      </c>
      <c r="AF2582">
        <v>-10.0490802091873</v>
      </c>
      <c r="AG2582">
        <v>-1.123992907191</v>
      </c>
      <c r="AH2582">
        <v>42.7890824336666</v>
      </c>
      <c r="AI2582">
        <v>91.464874469204105</v>
      </c>
      <c r="AJ2582">
        <v>103.21648780938401</v>
      </c>
      <c r="AK2582">
        <v>43.967635240267498</v>
      </c>
      <c r="AL2582">
        <v>80.494707916437903</v>
      </c>
      <c r="AM2582">
        <v>101.183769159002</v>
      </c>
      <c r="AN2582">
        <v>0.99999998353868902</v>
      </c>
    </row>
    <row r="2583" spans="1:40" x14ac:dyDescent="0.25">
      <c r="A2583" t="str">
        <f>"20190303162829522"</f>
        <v>20190303162829522</v>
      </c>
      <c r="B2583" t="str">
        <f>"1551601709514496"</f>
        <v>1551601709514496</v>
      </c>
      <c r="C2583" t="s">
        <v>40</v>
      </c>
      <c r="D2583">
        <v>5.0462389999999999</v>
      </c>
      <c r="E2583">
        <v>0.46033180000000001</v>
      </c>
      <c r="F2583" t="s">
        <v>47</v>
      </c>
      <c r="G2583">
        <v>-492.4375</v>
      </c>
      <c r="H2583" s="1">
        <v>3.062042E-6</v>
      </c>
      <c r="I2583">
        <v>218.85980000000001</v>
      </c>
      <c r="J2583">
        <v>-490.90609999999998</v>
      </c>
      <c r="K2583">
        <v>1.124085</v>
      </c>
      <c r="L2583">
        <v>263.2851</v>
      </c>
      <c r="M2583">
        <v>-0.26071169999999999</v>
      </c>
      <c r="N2583">
        <v>-1.406262E-2</v>
      </c>
      <c r="O2583">
        <v>-0.96531429999999996</v>
      </c>
      <c r="P2583">
        <v>-7.1142369999999996E-2</v>
      </c>
      <c r="Q2583">
        <v>0.15335270000000001</v>
      </c>
      <c r="R2583">
        <v>-0.98560720000000002</v>
      </c>
      <c r="S2583">
        <v>-0.1083374</v>
      </c>
      <c r="T2583">
        <v>-7.6738719999999996E-2</v>
      </c>
      <c r="U2583">
        <v>-3.0476679999999998</v>
      </c>
      <c r="V2583">
        <v>-0.1893736</v>
      </c>
      <c r="W2583">
        <v>0.1657642</v>
      </c>
      <c r="X2583">
        <v>0.96781189999999995</v>
      </c>
      <c r="Y2583">
        <v>-0.226214</v>
      </c>
      <c r="Z2583">
        <v>9.5395580000000001E-3</v>
      </c>
      <c r="AA2583">
        <v>0.97403090000000003</v>
      </c>
      <c r="AB2583">
        <v>28</v>
      </c>
      <c r="AC2583">
        <v>-1.5314000000000101</v>
      </c>
      <c r="AD2583">
        <v>-1.124081937958</v>
      </c>
      <c r="AE2583">
        <v>-44.425299999999901</v>
      </c>
      <c r="AF2583">
        <v>-10.0984544981801</v>
      </c>
      <c r="AG2583">
        <v>-1.124081937958</v>
      </c>
      <c r="AH2583">
        <v>43.260247160054703</v>
      </c>
      <c r="AI2583">
        <v>91.449496994559496</v>
      </c>
      <c r="AJ2583">
        <v>103.13954485556999</v>
      </c>
      <c r="AK2583">
        <v>44.437499117345503</v>
      </c>
      <c r="AL2583">
        <v>80.458368752527406</v>
      </c>
      <c r="AM2583">
        <v>101.07129150703</v>
      </c>
      <c r="AN2583">
        <v>1.0000000020801001</v>
      </c>
    </row>
    <row r="2584" spans="1:40" x14ac:dyDescent="0.25">
      <c r="A2584" t="str">
        <f>"20190303162829535"</f>
        <v>20190303162829535</v>
      </c>
      <c r="B2584" t="str">
        <f>"1551601709524257"</f>
        <v>1551601709524257</v>
      </c>
      <c r="C2584" t="s">
        <v>40</v>
      </c>
      <c r="D2584">
        <v>5.0659070000000002</v>
      </c>
      <c r="E2584">
        <v>0.456648</v>
      </c>
      <c r="F2584" t="s">
        <v>41</v>
      </c>
      <c r="G2584">
        <v>-489.86169999999998</v>
      </c>
      <c r="H2584" s="1">
        <v>-1.1717539999999999E-6</v>
      </c>
      <c r="I2584">
        <v>232.30699999999999</v>
      </c>
      <c r="J2584">
        <v>-490.94740000000002</v>
      </c>
      <c r="K2584">
        <v>1.124152</v>
      </c>
      <c r="L2584">
        <v>263.12299999999999</v>
      </c>
      <c r="M2584">
        <v>-0.2585286</v>
      </c>
      <c r="N2584">
        <v>-1.405468E-2</v>
      </c>
      <c r="O2584">
        <v>-0.96590140000000002</v>
      </c>
      <c r="P2584">
        <v>-6.9453109999999998E-2</v>
      </c>
      <c r="Q2584">
        <v>0.15345049999999999</v>
      </c>
      <c r="R2584">
        <v>-0.98571229999999999</v>
      </c>
      <c r="S2584">
        <v>0.10345459999999999</v>
      </c>
      <c r="T2584">
        <v>-0.1113499</v>
      </c>
      <c r="U2584">
        <v>-3.0686339999999999</v>
      </c>
      <c r="V2584">
        <v>-0.18886710000000001</v>
      </c>
      <c r="W2584">
        <v>0.16582759999999999</v>
      </c>
      <c r="X2584">
        <v>0.96789999999999998</v>
      </c>
      <c r="Y2584">
        <v>-0.29084169999999998</v>
      </c>
      <c r="Z2584">
        <v>1.9506140000000002E-2</v>
      </c>
      <c r="AA2584">
        <v>0.95657239999999999</v>
      </c>
      <c r="AB2584">
        <v>28</v>
      </c>
      <c r="AC2584">
        <v>1.0857000000000301</v>
      </c>
      <c r="AD2584">
        <v>-1.1241531717540001</v>
      </c>
      <c r="AE2584">
        <v>-30.815999999999899</v>
      </c>
      <c r="AF2584">
        <v>-9.0044188378433301</v>
      </c>
      <c r="AG2584">
        <v>-1.1241531717540001</v>
      </c>
      <c r="AH2584">
        <v>29.448304384407798</v>
      </c>
      <c r="AI2584">
        <v>92.090674957962904</v>
      </c>
      <c r="AJ2584">
        <v>107.00207942024799</v>
      </c>
      <c r="AK2584">
        <v>30.814702823126499</v>
      </c>
      <c r="AL2584">
        <v>80.454685125085604</v>
      </c>
      <c r="AM2584">
        <v>101.041428507253</v>
      </c>
      <c r="AN2584">
        <v>0.99999999219208402</v>
      </c>
    </row>
    <row r="2585" spans="1:40" x14ac:dyDescent="0.25">
      <c r="A2585" t="str">
        <f>"20190303162829554"</f>
        <v>20190303162829554</v>
      </c>
      <c r="B2585" t="str">
        <f>"1551601709543777"</f>
        <v>1551601709543777</v>
      </c>
      <c r="C2585" t="s">
        <v>40</v>
      </c>
      <c r="D2585">
        <v>5.1727540000000003</v>
      </c>
      <c r="E2585">
        <v>0.45355380000000001</v>
      </c>
      <c r="F2585" t="s">
        <v>41</v>
      </c>
      <c r="G2585">
        <v>-489.48939999999999</v>
      </c>
      <c r="H2585" s="1">
        <v>-4.8945070000000003E-7</v>
      </c>
      <c r="I2585">
        <v>230.5626</v>
      </c>
      <c r="J2585">
        <v>-491.0018</v>
      </c>
      <c r="K2585">
        <v>1.1242379999999901</v>
      </c>
      <c r="L2585">
        <v>262.90699999999998</v>
      </c>
      <c r="M2585">
        <v>-0.25554529999999998</v>
      </c>
      <c r="N2585">
        <v>-1.404497E-2</v>
      </c>
      <c r="O2585">
        <v>-0.96669519999999998</v>
      </c>
      <c r="P2585">
        <v>-6.6459749999999998E-2</v>
      </c>
      <c r="Q2585">
        <v>0.1541381</v>
      </c>
      <c r="R2585">
        <v>-0.98581180000000002</v>
      </c>
      <c r="S2585">
        <v>0.1374512</v>
      </c>
      <c r="T2585">
        <v>-0.1059809</v>
      </c>
      <c r="U2585">
        <v>-3.0696720000000002</v>
      </c>
      <c r="V2585">
        <v>-0.18883040000000001</v>
      </c>
      <c r="W2585">
        <v>0.1664648</v>
      </c>
      <c r="X2585">
        <v>0.96779780000000004</v>
      </c>
      <c r="Y2585">
        <v>-0.29844779999999999</v>
      </c>
      <c r="Z2585">
        <v>1.7858789999999999E-2</v>
      </c>
      <c r="AA2585">
        <v>0.95425890000000002</v>
      </c>
      <c r="AB2585">
        <v>28</v>
      </c>
      <c r="AC2585">
        <v>1.51240000000001</v>
      </c>
      <c r="AD2585">
        <v>-1.12423848945069</v>
      </c>
      <c r="AE2585">
        <v>-32.344399999999901</v>
      </c>
      <c r="AF2585">
        <v>-9.7167338693935008</v>
      </c>
      <c r="AG2585">
        <v>-1.12423848945069</v>
      </c>
      <c r="AH2585">
        <v>30.846545792076</v>
      </c>
      <c r="AI2585">
        <v>91.990930546749297</v>
      </c>
      <c r="AJ2585">
        <v>107.484548893987</v>
      </c>
      <c r="AK2585">
        <v>32.360287646626702</v>
      </c>
      <c r="AL2585">
        <v>80.417661896071607</v>
      </c>
      <c r="AM2585">
        <v>101.04047280433601</v>
      </c>
      <c r="AN2585">
        <v>1.0000000156440201</v>
      </c>
    </row>
    <row r="2586" spans="1:40" x14ac:dyDescent="0.25">
      <c r="A2586" t="str">
        <f>"20190303162829568"</f>
        <v>20190303162829568</v>
      </c>
      <c r="B2586" t="str">
        <f>"1551601709554512"</f>
        <v>1551601709554512</v>
      </c>
      <c r="C2586" t="s">
        <v>40</v>
      </c>
      <c r="D2586">
        <v>5.0780580000000004</v>
      </c>
      <c r="E2586">
        <v>0.45328269999999998</v>
      </c>
      <c r="F2586" t="s">
        <v>41</v>
      </c>
      <c r="G2586">
        <v>-489.25650000000002</v>
      </c>
      <c r="H2586" s="1">
        <v>-9.0452080000000005E-7</v>
      </c>
      <c r="I2586">
        <v>231.43379999999999</v>
      </c>
      <c r="J2586">
        <v>-491.04149999999998</v>
      </c>
      <c r="K2586">
        <v>1.1243019999999999</v>
      </c>
      <c r="L2586">
        <v>262.74770000000001</v>
      </c>
      <c r="M2586">
        <v>-0.2532876</v>
      </c>
      <c r="N2586">
        <v>-1.403743E-2</v>
      </c>
      <c r="O2586">
        <v>-0.96728939999999997</v>
      </c>
      <c r="P2586">
        <v>-6.4111329999999994E-2</v>
      </c>
      <c r="Q2586">
        <v>0.15433520000000001</v>
      </c>
      <c r="R2586">
        <v>-0.98593649999999999</v>
      </c>
      <c r="S2586">
        <v>0.1703491</v>
      </c>
      <c r="T2586">
        <v>-0.1097277</v>
      </c>
      <c r="U2586">
        <v>-3.0718380000000001</v>
      </c>
      <c r="V2586">
        <v>-0.1888949</v>
      </c>
      <c r="W2586">
        <v>0.1666251</v>
      </c>
      <c r="X2586">
        <v>0.9677576</v>
      </c>
      <c r="Y2586">
        <v>-0.30636600000000003</v>
      </c>
      <c r="Z2586">
        <v>1.89316E-2</v>
      </c>
      <c r="AA2586">
        <v>0.9517255</v>
      </c>
      <c r="AB2586">
        <v>28</v>
      </c>
      <c r="AC2586">
        <v>1.78499999999996</v>
      </c>
      <c r="AD2586">
        <v>-1.1243029045208</v>
      </c>
      <c r="AE2586">
        <v>-31.3139</v>
      </c>
      <c r="AF2586">
        <v>-9.6465884174898306</v>
      </c>
      <c r="AG2586">
        <v>-1.1243029045208</v>
      </c>
      <c r="AH2586">
        <v>29.802124764107099</v>
      </c>
      <c r="AI2586">
        <v>92.055585986285394</v>
      </c>
      <c r="AJ2586">
        <v>107.936141812926</v>
      </c>
      <c r="AK2586">
        <v>31.344654497584902</v>
      </c>
      <c r="AL2586">
        <v>80.408347043290803</v>
      </c>
      <c r="AM2586">
        <v>101.044598749885</v>
      </c>
      <c r="AN2586">
        <v>0.99999998977688997</v>
      </c>
    </row>
    <row r="2587" spans="1:40" x14ac:dyDescent="0.25">
      <c r="A2587" t="str">
        <f>"20190303162829581"</f>
        <v>20190303162829581</v>
      </c>
      <c r="B2587" t="str">
        <f>"1551601709574277"</f>
        <v>1551601709574277</v>
      </c>
      <c r="C2587" t="s">
        <v>40</v>
      </c>
      <c r="D2587">
        <v>5.0198830000000001</v>
      </c>
      <c r="E2587">
        <v>0.45271800000000001</v>
      </c>
      <c r="F2587" t="s">
        <v>41</v>
      </c>
      <c r="G2587">
        <v>-489.16250000000002</v>
      </c>
      <c r="H2587" s="1">
        <v>-5.8588469999999995E-7</v>
      </c>
      <c r="I2587">
        <v>230.65219999999999</v>
      </c>
      <c r="J2587">
        <v>-491.08339999999998</v>
      </c>
      <c r="K2587">
        <v>1.1243639999999999</v>
      </c>
      <c r="L2587">
        <v>262.57749999999999</v>
      </c>
      <c r="M2587">
        <v>-0.25082379999999999</v>
      </c>
      <c r="N2587">
        <v>-1.4027680000000001E-2</v>
      </c>
      <c r="O2587">
        <v>-0.96793090000000004</v>
      </c>
      <c r="P2587">
        <v>-6.1231239999999999E-2</v>
      </c>
      <c r="Q2587">
        <v>0.15393970000000001</v>
      </c>
      <c r="R2587">
        <v>-0.98618090000000003</v>
      </c>
      <c r="S2587">
        <v>0.17980960000000001</v>
      </c>
      <c r="T2587">
        <v>-0.107589</v>
      </c>
      <c r="U2587">
        <v>-3.0713499999999998</v>
      </c>
      <c r="V2587">
        <v>-0.1892962</v>
      </c>
      <c r="W2587">
        <v>0.16618920000000001</v>
      </c>
      <c r="X2587">
        <v>0.96775420000000001</v>
      </c>
      <c r="Y2587">
        <v>-0.3068748</v>
      </c>
      <c r="Z2587">
        <v>1.8325919999999999E-2</v>
      </c>
      <c r="AA2587">
        <v>0.95157340000000001</v>
      </c>
      <c r="AB2587">
        <v>28</v>
      </c>
      <c r="AC2587">
        <v>1.9208999999999601</v>
      </c>
      <c r="AD2587">
        <v>-1.1243645858847</v>
      </c>
      <c r="AE2587">
        <v>-31.9253</v>
      </c>
      <c r="AF2587">
        <v>-9.8557160781353996</v>
      </c>
      <c r="AG2587">
        <v>-1.1243645858847</v>
      </c>
      <c r="AH2587">
        <v>30.385124411447698</v>
      </c>
      <c r="AI2587">
        <v>92.015891897030002</v>
      </c>
      <c r="AJ2587">
        <v>107.970984335368</v>
      </c>
      <c r="AK2587">
        <v>31.963340260898399</v>
      </c>
      <c r="AL2587">
        <v>80.4336759728793</v>
      </c>
      <c r="AM2587">
        <v>101.067521771139</v>
      </c>
      <c r="AN2587">
        <v>1.0000000465743499</v>
      </c>
    </row>
    <row r="2588" spans="1:40" x14ac:dyDescent="0.25">
      <c r="A2588" t="str">
        <f>"20190303162829593"</f>
        <v>20190303162829593</v>
      </c>
      <c r="B2588" t="str">
        <f>"1551601709584038"</f>
        <v>1551601709584038</v>
      </c>
      <c r="C2588" t="s">
        <v>40</v>
      </c>
      <c r="D2588">
        <v>5.0105769999999996</v>
      </c>
      <c r="E2588">
        <v>0.45302589999999998</v>
      </c>
      <c r="F2588" t="s">
        <v>41</v>
      </c>
      <c r="G2588">
        <v>-489.04739999999998</v>
      </c>
      <c r="H2588" s="1">
        <v>-4.4428629999999999E-7</v>
      </c>
      <c r="I2588">
        <v>230.2088</v>
      </c>
      <c r="J2588">
        <v>-491.11689999999999</v>
      </c>
      <c r="K2588">
        <v>1.1244050000000001</v>
      </c>
      <c r="L2588">
        <v>262.4393</v>
      </c>
      <c r="M2588">
        <v>-0.24877879999999999</v>
      </c>
      <c r="N2588">
        <v>-1.4015700000000001E-2</v>
      </c>
      <c r="O2588">
        <v>-0.96845890000000001</v>
      </c>
      <c r="P2588">
        <v>-5.9007089999999998E-2</v>
      </c>
      <c r="Q2588">
        <v>0.15405279999999999</v>
      </c>
      <c r="R2588">
        <v>-0.98629909999999998</v>
      </c>
      <c r="S2588">
        <v>0.19314580000000001</v>
      </c>
      <c r="T2588">
        <v>-0.10666349999999999</v>
      </c>
      <c r="U2588">
        <v>-3.0706790000000002</v>
      </c>
      <c r="V2588">
        <v>-0.1894487</v>
      </c>
      <c r="W2588">
        <v>0.1662682</v>
      </c>
      <c r="X2588">
        <v>0.96771070000000003</v>
      </c>
      <c r="Y2588">
        <v>-0.30899379999999999</v>
      </c>
      <c r="Z2588">
        <v>1.8070300000000001E-2</v>
      </c>
      <c r="AA2588">
        <v>0.95089230000000002</v>
      </c>
      <c r="AB2588">
        <v>28</v>
      </c>
      <c r="AC2588">
        <v>2.0695000000000001</v>
      </c>
      <c r="AD2588">
        <v>-1.1244054442862901</v>
      </c>
      <c r="AE2588">
        <v>-32.230499999999999</v>
      </c>
      <c r="AF2588">
        <v>-10.0113411305538</v>
      </c>
      <c r="AG2588">
        <v>-1.1244054442862901</v>
      </c>
      <c r="AH2588">
        <v>30.664915193576899</v>
      </c>
      <c r="AI2588">
        <v>91.996344014333204</v>
      </c>
      <c r="AJ2588">
        <v>108.080587844596</v>
      </c>
      <c r="AK2588">
        <v>32.277364555749003</v>
      </c>
      <c r="AL2588">
        <v>80.4290849225588</v>
      </c>
      <c r="AM2588">
        <v>101.07670312075101</v>
      </c>
      <c r="AN2588">
        <v>0.99999996157870896</v>
      </c>
    </row>
    <row r="2589" spans="1:40" x14ac:dyDescent="0.25">
      <c r="A2589" t="str">
        <f>"20190303162829612"</f>
        <v>20190303162829612</v>
      </c>
      <c r="B2589" t="str">
        <f>"1551601709604532"</f>
        <v>1551601709604532</v>
      </c>
      <c r="C2589" t="s">
        <v>40</v>
      </c>
      <c r="D2589">
        <v>5.1772780000000003</v>
      </c>
      <c r="E2589">
        <v>0.45345419999999997</v>
      </c>
      <c r="F2589" t="s">
        <v>41</v>
      </c>
      <c r="G2589">
        <v>-489.16120000000001</v>
      </c>
      <c r="H2589" s="1">
        <v>-1.1747499999999899E-6</v>
      </c>
      <c r="I2589">
        <v>232.02430000000001</v>
      </c>
      <c r="J2589">
        <v>-491.17079999999999</v>
      </c>
      <c r="K2589">
        <v>1.124465</v>
      </c>
      <c r="L2589">
        <v>262.2149</v>
      </c>
      <c r="M2589">
        <v>-0.24541789999999999</v>
      </c>
      <c r="N2589">
        <v>-1.39934E-2</v>
      </c>
      <c r="O2589">
        <v>-0.96931639999999997</v>
      </c>
      <c r="P2589">
        <v>-5.4578260000000003E-2</v>
      </c>
      <c r="Q2589">
        <v>0.1538909</v>
      </c>
      <c r="R2589">
        <v>-0.98657919999999999</v>
      </c>
      <c r="S2589">
        <v>0.19747919999999999</v>
      </c>
      <c r="T2589">
        <v>-0.11353969999999999</v>
      </c>
      <c r="U2589">
        <v>-3.0712280000000001</v>
      </c>
      <c r="V2589">
        <v>-0.19046959999999999</v>
      </c>
      <c r="W2589">
        <v>0.16604630000000001</v>
      </c>
      <c r="X2589">
        <v>0.96754839999999998</v>
      </c>
      <c r="Y2589">
        <v>-0.30701270000000003</v>
      </c>
      <c r="Z2589">
        <v>2.021717E-2</v>
      </c>
      <c r="AA2589">
        <v>0.95149059999999996</v>
      </c>
      <c r="AB2589">
        <v>28</v>
      </c>
      <c r="AC2589">
        <v>2.0095999999999701</v>
      </c>
      <c r="AD2589">
        <v>-1.12446617475</v>
      </c>
      <c r="AE2589">
        <v>-30.1905999999999</v>
      </c>
      <c r="AF2589">
        <v>-9.3452610987309797</v>
      </c>
      <c r="AG2589">
        <v>-1.12446617475</v>
      </c>
      <c r="AH2589">
        <v>28.734183413986401</v>
      </c>
      <c r="AI2589">
        <v>92.131259413081096</v>
      </c>
      <c r="AJ2589">
        <v>108.016156744086</v>
      </c>
      <c r="AK2589">
        <v>30.2365941476586</v>
      </c>
      <c r="AL2589">
        <v>80.441978203671397</v>
      </c>
      <c r="AM2589">
        <v>101.136726534573</v>
      </c>
      <c r="AN2589">
        <v>0.99999997430520404</v>
      </c>
    </row>
    <row r="2590" spans="1:40" x14ac:dyDescent="0.25">
      <c r="A2590" t="str">
        <f>"20190303162829625"</f>
        <v>20190303162829625</v>
      </c>
      <c r="B2590" t="str">
        <f>"1551601709614293"</f>
        <v>1551601709614293</v>
      </c>
      <c r="C2590" t="s">
        <v>40</v>
      </c>
      <c r="D2590">
        <v>5.1763729999999999</v>
      </c>
      <c r="E2590">
        <v>0.45351760000000002</v>
      </c>
      <c r="F2590" t="s">
        <v>41</v>
      </c>
      <c r="G2590">
        <v>-489.1574</v>
      </c>
      <c r="H2590" s="1">
        <v>-1.3680259999999999E-6</v>
      </c>
      <c r="I2590">
        <v>232.47329999999999</v>
      </c>
      <c r="J2590">
        <v>-491.20729999999998</v>
      </c>
      <c r="K2590">
        <v>1.1244989999999999</v>
      </c>
      <c r="L2590">
        <v>262.0609</v>
      </c>
      <c r="M2590">
        <v>-0.24308179999999999</v>
      </c>
      <c r="N2590">
        <v>-1.3976280000000001E-2</v>
      </c>
      <c r="O2590">
        <v>-0.96990529999999997</v>
      </c>
      <c r="P2590">
        <v>-5.136172E-2</v>
      </c>
      <c r="Q2590">
        <v>0.1537481</v>
      </c>
      <c r="R2590">
        <v>-0.98677420000000005</v>
      </c>
      <c r="S2590">
        <v>0.20785519999999999</v>
      </c>
      <c r="T2590">
        <v>-0.1160853</v>
      </c>
      <c r="U2590">
        <v>-3.0704039999999999</v>
      </c>
      <c r="V2590">
        <v>-0.19131339999999999</v>
      </c>
      <c r="W2590">
        <v>0.16586099999999901</v>
      </c>
      <c r="X2590">
        <v>0.96741370000000004</v>
      </c>
      <c r="Y2590">
        <v>-0.30793409999999999</v>
      </c>
      <c r="Z2590">
        <v>2.1031419999999999E-2</v>
      </c>
      <c r="AA2590">
        <v>0.9511752</v>
      </c>
      <c r="AB2590">
        <v>28</v>
      </c>
      <c r="AC2590">
        <v>2.0498999999999801</v>
      </c>
      <c r="AD2590">
        <v>-1.124500368026</v>
      </c>
      <c r="AE2590">
        <v>-29.587599999999998</v>
      </c>
      <c r="AF2590">
        <v>-9.1681313609625299</v>
      </c>
      <c r="AG2590">
        <v>-1.124500368026</v>
      </c>
      <c r="AH2590">
        <v>28.161142942775101</v>
      </c>
      <c r="AI2590">
        <v>92.174442686363605</v>
      </c>
      <c r="AJ2590">
        <v>108.03315817492501</v>
      </c>
      <c r="AK2590">
        <v>29.637292480470801</v>
      </c>
      <c r="AL2590">
        <v>80.452744432981206</v>
      </c>
      <c r="AM2590">
        <v>101.18634019720101</v>
      </c>
      <c r="AN2590">
        <v>0.99999997764412396</v>
      </c>
    </row>
    <row r="2591" spans="1:40" x14ac:dyDescent="0.25">
      <c r="A2591" t="str">
        <f>"20190303162829638"</f>
        <v>20190303162829638</v>
      </c>
      <c r="B2591" t="str">
        <f>"1551601709624053"</f>
        <v>1551601709624053</v>
      </c>
      <c r="C2591" t="s">
        <v>40</v>
      </c>
      <c r="D2591">
        <v>5.17774</v>
      </c>
      <c r="E2591">
        <v>0.4536192</v>
      </c>
      <c r="F2591" t="s">
        <v>41</v>
      </c>
      <c r="G2591">
        <v>-489.07249999999999</v>
      </c>
      <c r="H2591" s="1">
        <v>-1.1662289999999999E-6</v>
      </c>
      <c r="I2591">
        <v>231.96780000000001</v>
      </c>
      <c r="J2591">
        <v>-491.2441</v>
      </c>
      <c r="K2591">
        <v>1.1245210000000001</v>
      </c>
      <c r="L2591">
        <v>261.90309999999999</v>
      </c>
      <c r="M2591">
        <v>-0.24065710000000001</v>
      </c>
      <c r="N2591">
        <v>-1.3956339999999999E-2</v>
      </c>
      <c r="O2591">
        <v>-0.97050979999999998</v>
      </c>
      <c r="P2591">
        <v>-4.7873470000000001E-2</v>
      </c>
      <c r="Q2591">
        <v>0.15378249999999999</v>
      </c>
      <c r="R2591">
        <v>-0.98694440000000005</v>
      </c>
      <c r="S2591">
        <v>0.21774289999999999</v>
      </c>
      <c r="T2591">
        <v>-0.11469509999999999</v>
      </c>
      <c r="U2591">
        <v>-3.0693969999999999</v>
      </c>
      <c r="V2591">
        <v>-0.19232940000000001</v>
      </c>
      <c r="W2591">
        <v>0.1658512</v>
      </c>
      <c r="X2591">
        <v>0.96721389999999996</v>
      </c>
      <c r="Y2591">
        <v>-0.30862840000000002</v>
      </c>
      <c r="Z2591">
        <v>2.066401E-2</v>
      </c>
      <c r="AA2591">
        <v>0.95095819999999998</v>
      </c>
      <c r="AB2591">
        <v>28</v>
      </c>
      <c r="AC2591">
        <v>2.17160000000001</v>
      </c>
      <c r="AD2591">
        <v>-1.1245221662289999</v>
      </c>
      <c r="AE2591">
        <v>-29.935299999999899</v>
      </c>
      <c r="AF2591">
        <v>-9.2995548340897098</v>
      </c>
      <c r="AG2591">
        <v>-1.1245221662289999</v>
      </c>
      <c r="AH2591">
        <v>28.4926749834848</v>
      </c>
      <c r="AI2591">
        <v>92.1486854790097</v>
      </c>
      <c r="AJ2591">
        <v>108.075857062823</v>
      </c>
      <c r="AK2591">
        <v>29.9929791439444</v>
      </c>
      <c r="AL2591">
        <v>80.453313777692799</v>
      </c>
      <c r="AM2591">
        <v>101.24650080302401</v>
      </c>
      <c r="AN2591">
        <v>0.99999997349950398</v>
      </c>
    </row>
    <row r="2592" spans="1:40" x14ac:dyDescent="0.25">
      <c r="A2592" t="str">
        <f>"20190303162829655"</f>
        <v>20190303162829655</v>
      </c>
      <c r="B2592" t="str">
        <f>"1551601709643573"</f>
        <v>1551601709643573</v>
      </c>
      <c r="C2592" t="s">
        <v>40</v>
      </c>
      <c r="D2592">
        <v>5.1783099999999997</v>
      </c>
      <c r="E2592">
        <v>0.45416139999999999</v>
      </c>
      <c r="F2592" t="s">
        <v>41</v>
      </c>
      <c r="G2592">
        <v>-489.00670000000002</v>
      </c>
      <c r="H2592" s="1">
        <v>-1.0462850000000001E-6</v>
      </c>
      <c r="I2592">
        <v>231.6609</v>
      </c>
      <c r="J2592">
        <v>-491.29039999999998</v>
      </c>
      <c r="K2592">
        <v>1.124547</v>
      </c>
      <c r="L2592">
        <v>261.70209999999997</v>
      </c>
      <c r="M2592">
        <v>-0.2375429</v>
      </c>
      <c r="N2592">
        <v>-1.3929850000000001E-2</v>
      </c>
      <c r="O2592">
        <v>-0.97127719999999995</v>
      </c>
      <c r="P2592">
        <v>-4.257884E-2</v>
      </c>
      <c r="Q2592">
        <v>0.15382029999999999</v>
      </c>
      <c r="R2592">
        <v>-0.98718079999999997</v>
      </c>
      <c r="S2592">
        <v>0.22702030000000001</v>
      </c>
      <c r="T2592">
        <v>-0.1140983</v>
      </c>
      <c r="U2592">
        <v>-3.0684809999999998</v>
      </c>
      <c r="V2592">
        <v>-0.19443099999999999</v>
      </c>
      <c r="W2592">
        <v>0.165825799999999</v>
      </c>
      <c r="X2592">
        <v>0.96679800000000005</v>
      </c>
      <c r="Y2592">
        <v>-0.30845860000000003</v>
      </c>
      <c r="Z2592">
        <v>2.0556850000000002E-2</v>
      </c>
      <c r="AA2592">
        <v>0.95101570000000002</v>
      </c>
      <c r="AB2592">
        <v>28</v>
      </c>
      <c r="AC2592">
        <v>2.2836999999999499</v>
      </c>
      <c r="AD2592">
        <v>-1.1245480462849999</v>
      </c>
      <c r="AE2592">
        <v>-30.0411999999999</v>
      </c>
      <c r="AF2592">
        <v>-9.3420713242431805</v>
      </c>
      <c r="AG2592">
        <v>-1.1245480462849999</v>
      </c>
      <c r="AH2592">
        <v>28.598789235003402</v>
      </c>
      <c r="AI2592">
        <v>92.140595619282195</v>
      </c>
      <c r="AJ2592">
        <v>108.090127631388</v>
      </c>
      <c r="AK2592">
        <v>30.106970133904099</v>
      </c>
      <c r="AL2592">
        <v>80.454789696388403</v>
      </c>
      <c r="AM2592">
        <v>101.37097218703001</v>
      </c>
      <c r="AN2592">
        <v>0.99999999125532002</v>
      </c>
    </row>
    <row r="2593" spans="1:40" x14ac:dyDescent="0.25">
      <c r="A2593" t="str">
        <f>"20190303162829667"</f>
        <v>20190303162829667</v>
      </c>
      <c r="B2593" t="str">
        <f>"1551601709654309"</f>
        <v>1551601709654309</v>
      </c>
      <c r="C2593" t="s">
        <v>40</v>
      </c>
      <c r="D2593">
        <v>5.1852460000000002</v>
      </c>
      <c r="E2593">
        <v>0.4543683</v>
      </c>
      <c r="F2593" t="s">
        <v>41</v>
      </c>
      <c r="G2593">
        <v>-488.91800000000001</v>
      </c>
      <c r="H2593" s="1">
        <v>-8.4043639999999899E-7</v>
      </c>
      <c r="I2593">
        <v>231.14449999999999</v>
      </c>
      <c r="J2593">
        <v>-491.32420000000002</v>
      </c>
      <c r="K2593">
        <v>1.1245620000000001</v>
      </c>
      <c r="L2593">
        <v>261.55369999999999</v>
      </c>
      <c r="M2593">
        <v>-0.23522750000000001</v>
      </c>
      <c r="N2593">
        <v>-1.391014E-2</v>
      </c>
      <c r="O2593">
        <v>-0.97184090000000001</v>
      </c>
      <c r="P2593">
        <v>-3.9775159999999997E-2</v>
      </c>
      <c r="Q2593">
        <v>0.15414659999999999</v>
      </c>
      <c r="R2593">
        <v>-0.98724730000000005</v>
      </c>
      <c r="S2593">
        <v>0.23809810000000001</v>
      </c>
      <c r="T2593">
        <v>-0.1128601</v>
      </c>
      <c r="U2593">
        <v>-3.0667719999999998</v>
      </c>
      <c r="V2593">
        <v>-0.19487299999999999</v>
      </c>
      <c r="W2593">
        <v>0.16611779999999901</v>
      </c>
      <c r="X2593">
        <v>0.96665889999999999</v>
      </c>
      <c r="Y2593">
        <v>-0.30964709999999901</v>
      </c>
      <c r="Z2593">
        <v>2.023486E-2</v>
      </c>
      <c r="AA2593">
        <v>0.95063620000000004</v>
      </c>
      <c r="AB2593">
        <v>28</v>
      </c>
      <c r="AC2593">
        <v>2.4062000000000099</v>
      </c>
      <c r="AD2593">
        <v>-1.1245628404363901</v>
      </c>
      <c r="AE2593">
        <v>-30.409199999999998</v>
      </c>
      <c r="AF2593">
        <v>-9.4795575711065592</v>
      </c>
      <c r="AG2593">
        <v>-1.1245628404363901</v>
      </c>
      <c r="AH2593">
        <v>28.950355699230201</v>
      </c>
      <c r="AI2593">
        <v>92.114164088174206</v>
      </c>
      <c r="AJ2593">
        <v>108.130611547811</v>
      </c>
      <c r="AK2593">
        <v>30.4835980231659</v>
      </c>
      <c r="AL2593">
        <v>80.437824293605402</v>
      </c>
      <c r="AM2593">
        <v>101.397743124881</v>
      </c>
      <c r="AN2593">
        <v>1.00000001927752</v>
      </c>
    </row>
    <row r="2594" spans="1:40" x14ac:dyDescent="0.25">
      <c r="A2594" t="str">
        <f>"20190303162829681"</f>
        <v>20190303162829681</v>
      </c>
      <c r="B2594" t="str">
        <f>"1551601709673829"</f>
        <v>1551601709673829</v>
      </c>
      <c r="C2594" t="s">
        <v>40</v>
      </c>
      <c r="D2594">
        <v>5.2432809999999996</v>
      </c>
      <c r="E2594">
        <v>0.4546095</v>
      </c>
      <c r="F2594" t="s">
        <v>41</v>
      </c>
      <c r="G2594">
        <v>-488.85129999999998</v>
      </c>
      <c r="H2594" s="1">
        <v>-6.3563480000000003E-7</v>
      </c>
      <c r="I2594">
        <v>230.61779999999999</v>
      </c>
      <c r="J2594">
        <v>-491.36169999999998</v>
      </c>
      <c r="K2594">
        <v>1.1245849999999999</v>
      </c>
      <c r="L2594">
        <v>261.38740000000001</v>
      </c>
      <c r="M2594">
        <v>-0.2326115</v>
      </c>
      <c r="N2594">
        <v>-1.388849E-2</v>
      </c>
      <c r="O2594">
        <v>-0.97247059999999996</v>
      </c>
      <c r="P2594">
        <v>-3.6771070000000003E-2</v>
      </c>
      <c r="Q2594">
        <v>0.15417990000000001</v>
      </c>
      <c r="R2594">
        <v>-0.98735819999999996</v>
      </c>
      <c r="S2594">
        <v>0.24508669999999999</v>
      </c>
      <c r="T2594">
        <v>-0.1114546</v>
      </c>
      <c r="U2594">
        <v>-3.0660400000000001</v>
      </c>
      <c r="V2594">
        <v>-0.19522110000000001</v>
      </c>
      <c r="W2594">
        <v>0.16611589999999901</v>
      </c>
      <c r="X2594">
        <v>0.96658900000000003</v>
      </c>
      <c r="Y2594">
        <v>-0.30926150000000002</v>
      </c>
      <c r="Z2594">
        <v>1.9869589999999999E-2</v>
      </c>
      <c r="AA2594">
        <v>0.95076939999999999</v>
      </c>
      <c r="AB2594">
        <v>28</v>
      </c>
      <c r="AC2594">
        <v>2.5104000000000002</v>
      </c>
      <c r="AD2594">
        <v>-1.1245856356348001</v>
      </c>
      <c r="AE2594">
        <v>-30.769600000000001</v>
      </c>
      <c r="AF2594">
        <v>-9.5868571132605602</v>
      </c>
      <c r="AG2594">
        <v>-1.1245856356348001</v>
      </c>
      <c r="AH2594">
        <v>29.3025289528027</v>
      </c>
      <c r="AI2594">
        <v>92.088988697983794</v>
      </c>
      <c r="AJ2594">
        <v>108.116453093334</v>
      </c>
      <c r="AK2594">
        <v>30.851429872727</v>
      </c>
      <c r="AL2594">
        <v>80.4379348172249</v>
      </c>
      <c r="AM2594">
        <v>101.418372534241</v>
      </c>
      <c r="AN2594">
        <v>1.0000000325195</v>
      </c>
    </row>
    <row r="2595" spans="1:40" x14ac:dyDescent="0.25">
      <c r="A2595" t="str">
        <f>"20190303162829705"</f>
        <v>20190303162829705</v>
      </c>
      <c r="B2595" t="str">
        <f>"1551601709694324"</f>
        <v>1551601709694324</v>
      </c>
      <c r="C2595" t="s">
        <v>40</v>
      </c>
      <c r="D2595">
        <v>5.2433540000000001</v>
      </c>
      <c r="E2595">
        <v>0.45499200000000001</v>
      </c>
      <c r="F2595" t="s">
        <v>41</v>
      </c>
      <c r="G2595">
        <v>-488.75529999999998</v>
      </c>
      <c r="H2595" s="1">
        <v>-3.7555120000000001E-7</v>
      </c>
      <c r="I2595">
        <v>229.77850000000001</v>
      </c>
      <c r="J2595">
        <v>-491.42059999999998</v>
      </c>
      <c r="K2595">
        <v>1.1246119999999999</v>
      </c>
      <c r="L2595">
        <v>261.12130000000002</v>
      </c>
      <c r="M2595">
        <v>-0.22838839999999999</v>
      </c>
      <c r="N2595">
        <v>-1.385634E-2</v>
      </c>
      <c r="O2595">
        <v>-0.97347159999999999</v>
      </c>
      <c r="P2595">
        <v>-3.2506769999999997E-2</v>
      </c>
      <c r="Q2595">
        <v>0.1538253</v>
      </c>
      <c r="R2595">
        <v>-0.98756339999999998</v>
      </c>
      <c r="S2595">
        <v>0.2527161</v>
      </c>
      <c r="T2595">
        <v>-0.1090416</v>
      </c>
      <c r="U2595">
        <v>-3.0648499999999999</v>
      </c>
      <c r="V2595">
        <v>-0.19522339999999999</v>
      </c>
      <c r="W2595">
        <v>0.1657148</v>
      </c>
      <c r="X2595">
        <v>0.96665730000000005</v>
      </c>
      <c r="Y2595">
        <v>-0.30751800000000001</v>
      </c>
      <c r="Z2595">
        <v>1.924035E-2</v>
      </c>
      <c r="AA2595">
        <v>0.95134770000000002</v>
      </c>
      <c r="AB2595">
        <v>28</v>
      </c>
      <c r="AC2595">
        <v>2.6652999999999998</v>
      </c>
      <c r="AD2595">
        <v>-1.1246123755511901</v>
      </c>
      <c r="AE2595">
        <v>-31.3428</v>
      </c>
      <c r="AF2595">
        <v>-9.7414096247984201</v>
      </c>
      <c r="AG2595">
        <v>-1.1246123755511901</v>
      </c>
      <c r="AH2595">
        <v>29.867293316510299</v>
      </c>
      <c r="AI2595">
        <v>92.0501821385662</v>
      </c>
      <c r="AJ2595">
        <v>108.064069581479</v>
      </c>
      <c r="AK2595">
        <v>31.4358875256898</v>
      </c>
      <c r="AL2595">
        <v>80.461238388658998</v>
      </c>
      <c r="AM2595">
        <v>101.41771793270701</v>
      </c>
      <c r="AN2595">
        <v>0.99999995324494395</v>
      </c>
    </row>
    <row r="2596" spans="1:40" x14ac:dyDescent="0.25">
      <c r="A2596" t="str">
        <f>"20190303162829726"</f>
        <v>20190303162829726</v>
      </c>
      <c r="B2596" t="str">
        <f>"1551601709713845"</f>
        <v>1551601709713845</v>
      </c>
      <c r="C2596" t="s">
        <v>40</v>
      </c>
      <c r="D2596">
        <v>5.2140750000000002</v>
      </c>
      <c r="E2596">
        <v>0.4554183</v>
      </c>
      <c r="F2596" t="s">
        <v>47</v>
      </c>
      <c r="G2596">
        <v>-488.70510000000002</v>
      </c>
      <c r="H2596" s="1">
        <v>6.2991039999999997E-6</v>
      </c>
      <c r="I2596">
        <v>229.61490000000001</v>
      </c>
      <c r="J2596">
        <v>-491.47809999999998</v>
      </c>
      <c r="K2596">
        <v>1.1246579999999999</v>
      </c>
      <c r="L2596">
        <v>260.85520000000002</v>
      </c>
      <c r="M2596">
        <v>-0.22410749999999999</v>
      </c>
      <c r="N2596">
        <v>-1.3827519999999999E-2</v>
      </c>
      <c r="O2596">
        <v>-0.97446659999999996</v>
      </c>
      <c r="P2596">
        <v>-2.8042060000000001E-2</v>
      </c>
      <c r="Q2596">
        <v>0.15331139999999999</v>
      </c>
      <c r="R2596">
        <v>-0.9877804</v>
      </c>
      <c r="S2596">
        <v>0.2640381</v>
      </c>
      <c r="T2596">
        <v>-0.1093515</v>
      </c>
      <c r="U2596">
        <v>-3.0635379999999999</v>
      </c>
      <c r="V2596">
        <v>-0.1953743</v>
      </c>
      <c r="W2596">
        <v>0.16515369999999999</v>
      </c>
      <c r="X2596">
        <v>0.96672290000000005</v>
      </c>
      <c r="Y2596">
        <v>-0.30686010000000002</v>
      </c>
      <c r="Z2596">
        <v>1.9426479999999999E-2</v>
      </c>
      <c r="AA2596">
        <v>0.95155630000000002</v>
      </c>
      <c r="AB2596">
        <v>28</v>
      </c>
      <c r="AC2596">
        <v>2.7729999999999602</v>
      </c>
      <c r="AD2596">
        <v>-1.124651700896</v>
      </c>
      <c r="AE2596">
        <v>-31.240300000000001</v>
      </c>
      <c r="AF2596">
        <v>-9.6918441784280596</v>
      </c>
      <c r="AG2596">
        <v>-1.124651700896</v>
      </c>
      <c r="AH2596">
        <v>29.7857217057132</v>
      </c>
      <c r="AI2596">
        <v>92.056330200284705</v>
      </c>
      <c r="AJ2596">
        <v>108.024140626791</v>
      </c>
      <c r="AK2596">
        <v>31.343035949911599</v>
      </c>
      <c r="AL2596">
        <v>80.493836802577505</v>
      </c>
      <c r="AM2596">
        <v>101.425556346286</v>
      </c>
      <c r="AN2596">
        <v>1.0000000135542899</v>
      </c>
    </row>
    <row r="2597" spans="1:40" x14ac:dyDescent="0.25">
      <c r="A2597" t="str">
        <f>"20190303162829746"</f>
        <v>20190303162829746</v>
      </c>
      <c r="B2597" t="str">
        <f>"1551601709734340"</f>
        <v>1551601709734340</v>
      </c>
      <c r="C2597" t="s">
        <v>40</v>
      </c>
      <c r="D2597">
        <v>5.2173590000000001</v>
      </c>
      <c r="E2597">
        <v>0.45596330000000002</v>
      </c>
      <c r="F2597" t="s">
        <v>41</v>
      </c>
      <c r="G2597">
        <v>-488.75420000000003</v>
      </c>
      <c r="H2597" s="1">
        <v>-6.2603240000000003E-7</v>
      </c>
      <c r="I2597">
        <v>230.5136</v>
      </c>
      <c r="J2597">
        <v>-491.52800000000002</v>
      </c>
      <c r="K2597">
        <v>1.124695</v>
      </c>
      <c r="L2597">
        <v>260.61950000000002</v>
      </c>
      <c r="M2597">
        <v>-0.2202751</v>
      </c>
      <c r="N2597">
        <v>-1.380432E-2</v>
      </c>
      <c r="O2597">
        <v>-0.97534019999999999</v>
      </c>
      <c r="P2597">
        <v>-2.4032379999999999E-2</v>
      </c>
      <c r="Q2597">
        <v>0.1536826</v>
      </c>
      <c r="R2597">
        <v>-0.98782800000000004</v>
      </c>
      <c r="S2597">
        <v>0.27493289999999998</v>
      </c>
      <c r="T2597">
        <v>-0.1135163</v>
      </c>
      <c r="U2597">
        <v>-3.0625</v>
      </c>
      <c r="V2597">
        <v>-0.19550310000000001</v>
      </c>
      <c r="W2597">
        <v>0.16548289999999999</v>
      </c>
      <c r="X2597">
        <v>0.96664050000000001</v>
      </c>
      <c r="Y2597">
        <v>-0.3065001</v>
      </c>
      <c r="Z2597">
        <v>2.0774020000000001E-2</v>
      </c>
      <c r="AA2597">
        <v>0.95164389999999999</v>
      </c>
      <c r="AB2597">
        <v>28</v>
      </c>
      <c r="AC2597">
        <v>2.7737999999999898</v>
      </c>
      <c r="AD2597">
        <v>-1.1246956260323999</v>
      </c>
      <c r="AE2597">
        <v>-30.105899999999998</v>
      </c>
      <c r="AF2597">
        <v>-9.3249631198239999</v>
      </c>
      <c r="AG2597">
        <v>-1.1246956260323999</v>
      </c>
      <c r="AH2597">
        <v>28.7154941700772</v>
      </c>
      <c r="AI2597">
        <v>92.133390235868305</v>
      </c>
      <c r="AJ2597">
        <v>107.99049468776001</v>
      </c>
      <c r="AK2597">
        <v>30.2125716030435</v>
      </c>
      <c r="AL2597">
        <v>80.474711308283005</v>
      </c>
      <c r="AM2597">
        <v>101.433839236598</v>
      </c>
      <c r="AN2597">
        <v>0.99999995427113397</v>
      </c>
    </row>
    <row r="2598" spans="1:40" x14ac:dyDescent="0.25">
      <c r="A2598" t="str">
        <f>"20190303162829760"</f>
        <v>20190303162829760</v>
      </c>
      <c r="B2598" t="str">
        <f>"1551601709753861"</f>
        <v>1551601709753861</v>
      </c>
      <c r="C2598" t="s">
        <v>40</v>
      </c>
      <c r="D2598">
        <v>5.1755360000000001</v>
      </c>
      <c r="E2598">
        <v>0.456154</v>
      </c>
      <c r="F2598" t="s">
        <v>41</v>
      </c>
      <c r="G2598">
        <v>-488.81650000000002</v>
      </c>
      <c r="H2598" s="1">
        <v>-9.3131540000000005E-7</v>
      </c>
      <c r="I2598">
        <v>231.3143</v>
      </c>
      <c r="J2598">
        <v>-491.56810000000002</v>
      </c>
      <c r="K2598">
        <v>1.124733</v>
      </c>
      <c r="L2598">
        <v>260.42669999999998</v>
      </c>
      <c r="M2598">
        <v>-0.2171013</v>
      </c>
      <c r="N2598">
        <v>-1.378688E-2</v>
      </c>
      <c r="O2598">
        <v>-0.97605169999999997</v>
      </c>
      <c r="P2598">
        <v>-2.1121790000000001E-2</v>
      </c>
      <c r="Q2598">
        <v>0.15429670000000001</v>
      </c>
      <c r="R2598">
        <v>-0.98779899999999998</v>
      </c>
      <c r="S2598">
        <v>0.2833252</v>
      </c>
      <c r="T2598">
        <v>-0.117522</v>
      </c>
      <c r="U2598">
        <v>-3.0621640000000001</v>
      </c>
      <c r="V2598">
        <v>-0.1952043</v>
      </c>
      <c r="W2598">
        <v>0.16606599999999999</v>
      </c>
      <c r="X2598">
        <v>0.96660089999999999</v>
      </c>
      <c r="Y2598">
        <v>-0.30599460000000001</v>
      </c>
      <c r="Z2598">
        <v>2.2056639999999999E-2</v>
      </c>
      <c r="AA2598">
        <v>0.95177769999999995</v>
      </c>
      <c r="AB2598">
        <v>28</v>
      </c>
      <c r="AC2598">
        <v>2.7515999999999901</v>
      </c>
      <c r="AD2598">
        <v>-1.1247339313153999</v>
      </c>
      <c r="AE2598">
        <v>-29.112399999999901</v>
      </c>
      <c r="AF2598">
        <v>-8.99359492459614</v>
      </c>
      <c r="AG2598">
        <v>-1.1247339313153999</v>
      </c>
      <c r="AH2598">
        <v>27.7793797113541</v>
      </c>
      <c r="AI2598">
        <v>92.205923944393803</v>
      </c>
      <c r="AJ2598">
        <v>107.939398955933</v>
      </c>
      <c r="AK2598">
        <v>29.220604258494799</v>
      </c>
      <c r="AL2598">
        <v>80.440833519463496</v>
      </c>
      <c r="AM2598">
        <v>101.417278849319</v>
      </c>
      <c r="AN2598">
        <v>0.99999996748764897</v>
      </c>
    </row>
    <row r="2599" spans="1:40" x14ac:dyDescent="0.25">
      <c r="A2599" t="str">
        <f>"20190303162829780"</f>
        <v>20190303162829780</v>
      </c>
      <c r="B2599" t="str">
        <f>"1551601709774356"</f>
        <v>1551601709774356</v>
      </c>
      <c r="C2599" t="s">
        <v>40</v>
      </c>
      <c r="D2599">
        <v>5.1705809999999897</v>
      </c>
      <c r="E2599">
        <v>0.45541330000000002</v>
      </c>
      <c r="F2599" t="s">
        <v>41</v>
      </c>
      <c r="G2599">
        <v>-488.71510000000001</v>
      </c>
      <c r="H2599" s="1">
        <v>-5.8947159999999897E-7</v>
      </c>
      <c r="I2599">
        <v>230.37559999999999</v>
      </c>
      <c r="J2599">
        <v>-491.61200000000002</v>
      </c>
      <c r="K2599">
        <v>1.124792</v>
      </c>
      <c r="L2599">
        <v>260.21109999999999</v>
      </c>
      <c r="M2599">
        <v>-0.21349090000000001</v>
      </c>
      <c r="N2599">
        <v>-1.377015E-2</v>
      </c>
      <c r="O2599">
        <v>-0.97684800000000005</v>
      </c>
      <c r="P2599">
        <v>-1.8795590000000001E-2</v>
      </c>
      <c r="Q2599">
        <v>0.15679999999999999</v>
      </c>
      <c r="R2599">
        <v>-0.98745139999999998</v>
      </c>
      <c r="S2599">
        <v>0.29061890000000001</v>
      </c>
      <c r="T2599">
        <v>-0.1145724</v>
      </c>
      <c r="U2599">
        <v>-3.061188</v>
      </c>
      <c r="V2599">
        <v>-0.19385869999999999</v>
      </c>
      <c r="W2599">
        <v>0.16854069999999999</v>
      </c>
      <c r="X2599">
        <v>0.96644339999999995</v>
      </c>
      <c r="Y2599">
        <v>-0.3047549</v>
      </c>
      <c r="Z2599">
        <v>2.122953E-2</v>
      </c>
      <c r="AA2599">
        <v>0.95219419999999999</v>
      </c>
      <c r="AB2599">
        <v>28</v>
      </c>
      <c r="AC2599">
        <v>2.8968999999999601</v>
      </c>
      <c r="AD2599">
        <v>-1.1247925894716</v>
      </c>
      <c r="AE2599">
        <v>-29.8355</v>
      </c>
      <c r="AF2599">
        <v>-9.1873752062758403</v>
      </c>
      <c r="AG2599">
        <v>-1.1247925894716</v>
      </c>
      <c r="AH2599">
        <v>28.488879303331</v>
      </c>
      <c r="AI2599">
        <v>92.151943938730497</v>
      </c>
      <c r="AJ2599">
        <v>107.87398604516</v>
      </c>
      <c r="AK2599">
        <v>29.954787021609501</v>
      </c>
      <c r="AL2599">
        <v>80.297016936288998</v>
      </c>
      <c r="AM2599">
        <v>101.34242276931801</v>
      </c>
      <c r="AN2599">
        <v>1.0000000042628601</v>
      </c>
    </row>
    <row r="2600" spans="1:40" x14ac:dyDescent="0.25">
      <c r="A2600" t="str">
        <f>"20190303162829802"</f>
        <v>20190303162829802</v>
      </c>
      <c r="B2600" t="str">
        <f>"1551601709793877"</f>
        <v>1551601709793877</v>
      </c>
      <c r="C2600" t="s">
        <v>40</v>
      </c>
      <c r="D2600">
        <v>5.1651410000000002</v>
      </c>
      <c r="E2600">
        <v>0.45495960000000002</v>
      </c>
      <c r="F2600" t="s">
        <v>47</v>
      </c>
      <c r="G2600">
        <v>-488.49869999999999</v>
      </c>
      <c r="H2600" s="1">
        <v>6.0200550000000004E-6</v>
      </c>
      <c r="I2600">
        <v>228.8914</v>
      </c>
      <c r="J2600">
        <v>-491.66629999999998</v>
      </c>
      <c r="K2600">
        <v>1.1248830000000001</v>
      </c>
      <c r="L2600">
        <v>259.93860000000001</v>
      </c>
      <c r="M2600">
        <v>-0.2088149</v>
      </c>
      <c r="N2600">
        <v>-1.375267E-2</v>
      </c>
      <c r="O2600">
        <v>-0.97785849999999996</v>
      </c>
      <c r="P2600">
        <v>-1.6094629999999999E-2</v>
      </c>
      <c r="Q2600">
        <v>0.15821569999999999</v>
      </c>
      <c r="R2600">
        <v>-0.98727339999999997</v>
      </c>
      <c r="S2600">
        <v>0.30432130000000002</v>
      </c>
      <c r="T2600">
        <v>-0.1099446</v>
      </c>
      <c r="U2600">
        <v>-3.061401</v>
      </c>
      <c r="V2600">
        <v>-0.19187070000000001</v>
      </c>
      <c r="W2600">
        <v>0.16992009999999999</v>
      </c>
      <c r="X2600">
        <v>0.96659859999999997</v>
      </c>
      <c r="Y2600">
        <v>-0.30442069999999999</v>
      </c>
      <c r="Z2600">
        <v>1.9872540000000001E-2</v>
      </c>
      <c r="AA2600">
        <v>0.95233040000000002</v>
      </c>
      <c r="AB2600">
        <v>28</v>
      </c>
      <c r="AC2600">
        <v>3.16759999999999</v>
      </c>
      <c r="AD2600">
        <v>-1.124876979945</v>
      </c>
      <c r="AE2600">
        <v>-31.0472</v>
      </c>
      <c r="AF2600">
        <v>-9.5690565935646603</v>
      </c>
      <c r="AG2600">
        <v>-1.124876979945</v>
      </c>
      <c r="AH2600">
        <v>29.662597665565698</v>
      </c>
      <c r="AI2600">
        <v>92.066959587300602</v>
      </c>
      <c r="AJ2600">
        <v>107.879530595524</v>
      </c>
      <c r="AK2600">
        <v>31.188169112342599</v>
      </c>
      <c r="AL2600">
        <v>80.2168267575058</v>
      </c>
      <c r="AM2600">
        <v>101.227320608451</v>
      </c>
      <c r="AN2600">
        <v>1.00000002971222</v>
      </c>
    </row>
    <row r="2601" spans="1:40" x14ac:dyDescent="0.25">
      <c r="A2601" t="str">
        <f>"20190303162829817"</f>
        <v>20190303162829817</v>
      </c>
      <c r="B2601" t="str">
        <f>"1551601709804613"</f>
        <v>1551601709804613</v>
      </c>
      <c r="C2601" t="s">
        <v>40</v>
      </c>
      <c r="D2601">
        <v>5.0561429999999996</v>
      </c>
      <c r="E2601">
        <v>0.45470859999999902</v>
      </c>
      <c r="F2601" t="s">
        <v>47</v>
      </c>
      <c r="G2601">
        <v>-488.48880000000003</v>
      </c>
      <c r="H2601" s="1">
        <v>6.1264299999999999E-6</v>
      </c>
      <c r="I2601">
        <v>229.2433</v>
      </c>
      <c r="J2601">
        <v>-491.69900000000001</v>
      </c>
      <c r="K2601">
        <v>1.124951</v>
      </c>
      <c r="L2601">
        <v>259.76990000000001</v>
      </c>
      <c r="M2601">
        <v>-0.2058248</v>
      </c>
      <c r="N2601">
        <v>-1.3745159999999999E-2</v>
      </c>
      <c r="O2601">
        <v>-0.97849219999999903</v>
      </c>
      <c r="P2601">
        <v>-1.4313029999999999E-2</v>
      </c>
      <c r="Q2601">
        <v>0.15881809999999999</v>
      </c>
      <c r="R2601">
        <v>-0.98720399999999997</v>
      </c>
      <c r="S2601">
        <v>0.316955599999999</v>
      </c>
      <c r="T2601">
        <v>-0.1122066</v>
      </c>
      <c r="U2601">
        <v>-3.0618590000000001</v>
      </c>
      <c r="V2601">
        <v>-0.19066939999999999</v>
      </c>
      <c r="W2601">
        <v>0.1704975</v>
      </c>
      <c r="X2601">
        <v>0.9667346</v>
      </c>
      <c r="Y2601">
        <v>-0.30538100000000001</v>
      </c>
      <c r="Z2601">
        <v>2.058726E-2</v>
      </c>
      <c r="AA2601">
        <v>0.95200770000000001</v>
      </c>
      <c r="AB2601">
        <v>27</v>
      </c>
      <c r="AC2601">
        <v>3.21019999999998</v>
      </c>
      <c r="AD2601">
        <v>-1.1249448735700001</v>
      </c>
      <c r="AE2601">
        <v>-30.526599999999998</v>
      </c>
      <c r="AF2601">
        <v>-9.4125359210139408</v>
      </c>
      <c r="AG2601">
        <v>-1.1249448735700001</v>
      </c>
      <c r="AH2601">
        <v>29.172880341327001</v>
      </c>
      <c r="AI2601">
        <v>92.101722240226707</v>
      </c>
      <c r="AJ2601">
        <v>107.88212866511201</v>
      </c>
      <c r="AK2601">
        <v>30.674391287233998</v>
      </c>
      <c r="AL2601">
        <v>80.183254013496907</v>
      </c>
      <c r="AM2601">
        <v>101.15726549764</v>
      </c>
      <c r="AN2601">
        <v>1.0000000022198801</v>
      </c>
    </row>
    <row r="2602" spans="1:40" x14ac:dyDescent="0.25">
      <c r="A2602" t="str">
        <f>"20190303162829834"</f>
        <v>20190303162829834</v>
      </c>
      <c r="B2602" t="str">
        <f>"1551601709824133"</f>
        <v>1551601709824133</v>
      </c>
      <c r="C2602" t="s">
        <v>40</v>
      </c>
      <c r="D2602">
        <v>5.0698639999999999</v>
      </c>
      <c r="E2602">
        <v>0.45435389999999998</v>
      </c>
      <c r="F2602" t="s">
        <v>47</v>
      </c>
      <c r="G2602">
        <v>-488.3886</v>
      </c>
      <c r="H2602" s="1">
        <v>5.8959800000000003E-6</v>
      </c>
      <c r="I2602">
        <v>228.5855</v>
      </c>
      <c r="J2602">
        <v>-491.73939999999999</v>
      </c>
      <c r="K2602">
        <v>1.125043</v>
      </c>
      <c r="L2602">
        <v>259.5575</v>
      </c>
      <c r="M2602">
        <v>-0.20198140000000001</v>
      </c>
      <c r="N2602">
        <v>-1.373751E-2</v>
      </c>
      <c r="O2602">
        <v>-0.97929310000000003</v>
      </c>
      <c r="P2602">
        <v>-1.2841750000000001E-2</v>
      </c>
      <c r="Q2602">
        <v>0.15867600000000001</v>
      </c>
      <c r="R2602">
        <v>-0.98724719999999999</v>
      </c>
      <c r="S2602">
        <v>0.32498169999999998</v>
      </c>
      <c r="T2602">
        <v>-0.1104357</v>
      </c>
      <c r="U2602">
        <v>-3.0613709999999998</v>
      </c>
      <c r="V2602">
        <v>-0.18834919999999999</v>
      </c>
      <c r="W2602">
        <v>0.17033309999999999</v>
      </c>
      <c r="X2602">
        <v>0.96721829999999998</v>
      </c>
      <c r="Y2602">
        <v>-0.30412939999999999</v>
      </c>
      <c r="Z2602">
        <v>2.010176E-2</v>
      </c>
      <c r="AA2602">
        <v>0.9524186</v>
      </c>
      <c r="AB2602">
        <v>27</v>
      </c>
      <c r="AC2602">
        <v>3.3507999999999898</v>
      </c>
      <c r="AD2602">
        <v>-1.12503710402</v>
      </c>
      <c r="AE2602">
        <v>-30.972000000000001</v>
      </c>
      <c r="AF2602">
        <v>-9.5256591438895892</v>
      </c>
      <c r="AG2602">
        <v>-1.12503710402</v>
      </c>
      <c r="AH2602">
        <v>29.6180348626607</v>
      </c>
      <c r="AI2602">
        <v>92.070952804100202</v>
      </c>
      <c r="AJ2602">
        <v>107.82866589990201</v>
      </c>
      <c r="AK2602">
        <v>31.132489134933799</v>
      </c>
      <c r="AL2602">
        <v>80.192813375819398</v>
      </c>
      <c r="AM2602">
        <v>101.01946376946999</v>
      </c>
      <c r="AN2602">
        <v>1.00000001297557</v>
      </c>
    </row>
    <row r="2603" spans="1:40" x14ac:dyDescent="0.25">
      <c r="A2603" t="str">
        <f>"20190303162829847"</f>
        <v>20190303162829847</v>
      </c>
      <c r="B2603" t="str">
        <f>"1551601709833894"</f>
        <v>1551601709833894</v>
      </c>
      <c r="C2603" t="s">
        <v>40</v>
      </c>
      <c r="D2603">
        <v>5.0655229999999998</v>
      </c>
      <c r="E2603">
        <v>0.45416630000000002</v>
      </c>
      <c r="F2603" t="s">
        <v>47</v>
      </c>
      <c r="G2603">
        <v>-488.428</v>
      </c>
      <c r="H2603" s="1">
        <v>6.0956029999999996E-6</v>
      </c>
      <c r="I2603">
        <v>229.196</v>
      </c>
      <c r="J2603">
        <v>-491.76749999999998</v>
      </c>
      <c r="K2603">
        <v>1.125111</v>
      </c>
      <c r="L2603">
        <v>259.40769999999998</v>
      </c>
      <c r="M2603">
        <v>-0.19921829999999999</v>
      </c>
      <c r="N2603">
        <v>-1.3733179999999999E-2</v>
      </c>
      <c r="O2603">
        <v>-0.97985889999999998</v>
      </c>
      <c r="P2603">
        <v>-1.102153E-2</v>
      </c>
      <c r="Q2603">
        <v>0.15869610000000001</v>
      </c>
      <c r="R2603">
        <v>-0.98726570000000002</v>
      </c>
      <c r="S2603">
        <v>0.33389279999999999</v>
      </c>
      <c r="T2603">
        <v>-0.11343839999999999</v>
      </c>
      <c r="U2603">
        <v>-3.0613709999999998</v>
      </c>
      <c r="V2603">
        <v>-0.18742909999999999</v>
      </c>
      <c r="W2603">
        <v>0.17032929999999999</v>
      </c>
      <c r="X2603">
        <v>0.96739770000000003</v>
      </c>
      <c r="Y2603">
        <v>-0.30417870000000002</v>
      </c>
      <c r="Z2603">
        <v>2.1053019999999999E-2</v>
      </c>
      <c r="AA2603">
        <v>0.95238230000000001</v>
      </c>
      <c r="AB2603">
        <v>27</v>
      </c>
      <c r="AC2603">
        <v>3.33949999999993</v>
      </c>
      <c r="AD2603">
        <v>-1.1251049043970001</v>
      </c>
      <c r="AE2603">
        <v>-30.211699999999901</v>
      </c>
      <c r="AF2603">
        <v>-9.2791249962259492</v>
      </c>
      <c r="AG2603">
        <v>-1.1251049043970001</v>
      </c>
      <c r="AH2603">
        <v>28.901044756942699</v>
      </c>
      <c r="AI2603">
        <v>92.1227519266467</v>
      </c>
      <c r="AJ2603">
        <v>107.800026345137</v>
      </c>
      <c r="AK2603">
        <v>30.374963535521999</v>
      </c>
      <c r="AL2603">
        <v>80.193034437431194</v>
      </c>
      <c r="AM2603">
        <v>100.964956683103</v>
      </c>
      <c r="AN2603">
        <v>1.00000002396529</v>
      </c>
    </row>
    <row r="2604" spans="1:40" x14ac:dyDescent="0.25">
      <c r="A2604" t="str">
        <f>"20190303162829868"</f>
        <v>20190303162829868</v>
      </c>
      <c r="B2604" t="str">
        <f>"1551601709854388"</f>
        <v>1551601709854388</v>
      </c>
      <c r="C2604" t="s">
        <v>40</v>
      </c>
      <c r="D2604">
        <v>5.0635899999999996</v>
      </c>
      <c r="E2604">
        <v>0.4539591</v>
      </c>
      <c r="F2604" t="s">
        <v>47</v>
      </c>
      <c r="G2604">
        <v>-488.41390000000001</v>
      </c>
      <c r="H2604" s="1">
        <v>6.1309559999999999E-6</v>
      </c>
      <c r="I2604">
        <v>229.32220000000001</v>
      </c>
      <c r="J2604">
        <v>-491.81270000000001</v>
      </c>
      <c r="K2604">
        <v>1.125219</v>
      </c>
      <c r="L2604">
        <v>259.15929999999997</v>
      </c>
      <c r="M2604">
        <v>-0.1945123</v>
      </c>
      <c r="N2604">
        <v>-1.372808E-2</v>
      </c>
      <c r="O2604">
        <v>-0.98080400000000001</v>
      </c>
      <c r="P2604">
        <v>-7.4233579999999997E-3</v>
      </c>
      <c r="Q2604">
        <v>0.15947329999999901</v>
      </c>
      <c r="R2604">
        <v>-0.98717440000000001</v>
      </c>
      <c r="S2604">
        <v>0.3411865</v>
      </c>
      <c r="T2604">
        <v>-0.1144685</v>
      </c>
      <c r="U2604">
        <v>-3.0609130000000002</v>
      </c>
      <c r="V2604">
        <v>-0.1863361</v>
      </c>
      <c r="W2604">
        <v>0.17106370000000001</v>
      </c>
      <c r="X2604">
        <v>0.96747919999999998</v>
      </c>
      <c r="Y2604">
        <v>-0.30186180000000001</v>
      </c>
      <c r="Z2604">
        <v>2.1442869999999999E-2</v>
      </c>
      <c r="AA2604">
        <v>0.95311049999999997</v>
      </c>
      <c r="AB2604">
        <v>27</v>
      </c>
      <c r="AC2604">
        <v>3.3987999999999898</v>
      </c>
      <c r="AD2604">
        <v>-1.125212869044</v>
      </c>
      <c r="AE2604">
        <v>-29.8370999999999</v>
      </c>
      <c r="AF2604">
        <v>-9.1252891818769708</v>
      </c>
      <c r="AG2604">
        <v>-1.125212869044</v>
      </c>
      <c r="AH2604">
        <v>28.565829060910001</v>
      </c>
      <c r="AI2604">
        <v>92.148853306802494</v>
      </c>
      <c r="AJ2604">
        <v>107.715963401354</v>
      </c>
      <c r="AK2604">
        <v>30.009058575548099</v>
      </c>
      <c r="AL2604">
        <v>80.150329100568399</v>
      </c>
      <c r="AM2604">
        <v>100.901654392178</v>
      </c>
      <c r="AN2604">
        <v>0.99999996702676897</v>
      </c>
    </row>
    <row r="2605" spans="1:40" x14ac:dyDescent="0.25">
      <c r="A2605" t="str">
        <f>"20190303162829879"</f>
        <v>20190303162829879</v>
      </c>
      <c r="B2605" t="str">
        <f>"1551601709873909"</f>
        <v>1551601709873909</v>
      </c>
      <c r="C2605" t="s">
        <v>40</v>
      </c>
      <c r="D2605">
        <v>5.0092489999999996</v>
      </c>
      <c r="E2605">
        <v>0.4537525</v>
      </c>
      <c r="F2605" t="s">
        <v>47</v>
      </c>
      <c r="G2605">
        <v>-488.27420000000001</v>
      </c>
      <c r="H2605" s="1">
        <v>5.85223399999999E-6</v>
      </c>
      <c r="I2605">
        <v>228.54249999999999</v>
      </c>
      <c r="J2605">
        <v>-491.83890000000002</v>
      </c>
      <c r="K2605">
        <v>1.1252759999999999</v>
      </c>
      <c r="L2605">
        <v>259.01209999999998</v>
      </c>
      <c r="M2605">
        <v>-0.19166440000000001</v>
      </c>
      <c r="N2605">
        <v>-1.3725660000000001E-2</v>
      </c>
      <c r="O2605">
        <v>-0.98136469999999998</v>
      </c>
      <c r="P2605">
        <v>-4.4795149999999999E-3</v>
      </c>
      <c r="Q2605">
        <v>0.15988759999999999</v>
      </c>
      <c r="R2605">
        <v>-0.98712520000000004</v>
      </c>
      <c r="S2605">
        <v>0.3536377</v>
      </c>
      <c r="T2605">
        <v>-0.11245289999999999</v>
      </c>
      <c r="U2605">
        <v>-3.0598139999999998</v>
      </c>
      <c r="V2605">
        <v>-0.1864296</v>
      </c>
      <c r="W2605">
        <v>0.17144609999999999</v>
      </c>
      <c r="X2605">
        <v>0.96739350000000002</v>
      </c>
      <c r="Y2605">
        <v>-0.3029636</v>
      </c>
      <c r="Z2605">
        <v>2.0849670000000001E-2</v>
      </c>
      <c r="AA2605">
        <v>0.95277400000000001</v>
      </c>
      <c r="AB2605">
        <v>27</v>
      </c>
      <c r="AC2605">
        <v>3.56470000000001</v>
      </c>
      <c r="AD2605">
        <v>-1.1252701477660001</v>
      </c>
      <c r="AE2605">
        <v>-30.4695999999999</v>
      </c>
      <c r="AF2605">
        <v>-9.3265380142074594</v>
      </c>
      <c r="AG2605">
        <v>-1.1252701477660001</v>
      </c>
      <c r="AH2605">
        <v>29.182048163472999</v>
      </c>
      <c r="AI2605">
        <v>92.103533644088202</v>
      </c>
      <c r="AJ2605">
        <v>107.723800327687</v>
      </c>
      <c r="AK2605">
        <v>30.656850445718799</v>
      </c>
      <c r="AL2605">
        <v>80.128090713250799</v>
      </c>
      <c r="AM2605">
        <v>100.907936529784</v>
      </c>
      <c r="AN2605">
        <v>0.99999997240180905</v>
      </c>
    </row>
    <row r="2606" spans="1:40" x14ac:dyDescent="0.25">
      <c r="A2606" t="str">
        <f>"20190303162829905"</f>
        <v>20190303162829905</v>
      </c>
      <c r="B2606" t="str">
        <f>"1551601709894405"</f>
        <v>1551601709894405</v>
      </c>
      <c r="C2606" t="s">
        <v>40</v>
      </c>
      <c r="D2606">
        <v>5.0610889999999999</v>
      </c>
      <c r="E2606">
        <v>0.45364589999999999</v>
      </c>
      <c r="F2606" t="s">
        <v>47</v>
      </c>
      <c r="G2606">
        <v>-488.25130000000001</v>
      </c>
      <c r="H2606" s="1">
        <v>5.9363210000000002E-6</v>
      </c>
      <c r="I2606">
        <v>228.83359999999999</v>
      </c>
      <c r="J2606">
        <v>-491.88889999999998</v>
      </c>
      <c r="K2606">
        <v>1.1253820000000001</v>
      </c>
      <c r="L2606">
        <v>258.72250000000003</v>
      </c>
      <c r="M2606">
        <v>-0.18593399999999999</v>
      </c>
      <c r="N2606">
        <v>-1.372175E-2</v>
      </c>
      <c r="O2606">
        <v>-0.98246639999999996</v>
      </c>
      <c r="P2606">
        <v>2.0105399999999999E-3</v>
      </c>
      <c r="Q2606">
        <v>0.1598831</v>
      </c>
      <c r="R2606">
        <v>-0.98713410000000001</v>
      </c>
      <c r="S2606">
        <v>0.363678</v>
      </c>
      <c r="T2606">
        <v>-0.1140716</v>
      </c>
      <c r="U2606">
        <v>-3.0592800000000002</v>
      </c>
      <c r="V2606">
        <v>-0.18718960000000001</v>
      </c>
      <c r="W2606">
        <v>0.1713817</v>
      </c>
      <c r="X2606">
        <v>0.96725819999999996</v>
      </c>
      <c r="Y2606">
        <v>-0.30050300000000002</v>
      </c>
      <c r="Z2606">
        <v>2.1428909999999999E-2</v>
      </c>
      <c r="AA2606">
        <v>0.9535401</v>
      </c>
      <c r="AB2606">
        <v>27</v>
      </c>
      <c r="AC2606">
        <v>3.63759999999996</v>
      </c>
      <c r="AD2606">
        <v>-1.12537606367899</v>
      </c>
      <c r="AE2606">
        <v>-29.8889</v>
      </c>
      <c r="AF2606">
        <v>-9.1193029485630106</v>
      </c>
      <c r="AG2606">
        <v>-1.12537606367899</v>
      </c>
      <c r="AH2606">
        <v>28.651163082255401</v>
      </c>
      <c r="AI2606">
        <v>92.143488732884293</v>
      </c>
      <c r="AJ2606">
        <v>107.65561502897</v>
      </c>
      <c r="AK2606">
        <v>30.0884912137243</v>
      </c>
      <c r="AL2606">
        <v>80.131836563728797</v>
      </c>
      <c r="AM2606">
        <v>100.952825673162</v>
      </c>
      <c r="AN2606">
        <v>1.0000000294551401</v>
      </c>
    </row>
    <row r="2607" spans="1:40" x14ac:dyDescent="0.25">
      <c r="A2607" t="str">
        <f>"20190303162829925"</f>
        <v>20190303162829925</v>
      </c>
      <c r="B2607" t="str">
        <f>"1551601709913925"</f>
        <v>1551601709913925</v>
      </c>
      <c r="C2607" t="s">
        <v>40</v>
      </c>
      <c r="D2607">
        <v>5.1236329999999999</v>
      </c>
      <c r="E2607">
        <v>0.45355529999999999</v>
      </c>
      <c r="F2607" t="s">
        <v>47</v>
      </c>
      <c r="G2607">
        <v>-488.1696</v>
      </c>
      <c r="H2607" s="1">
        <v>6.0146540000000002E-6</v>
      </c>
      <c r="I2607">
        <v>229.1566</v>
      </c>
      <c r="J2607">
        <v>-491.93099999999998</v>
      </c>
      <c r="K2607">
        <v>1.1254550000000001</v>
      </c>
      <c r="L2607">
        <v>258.47000000000003</v>
      </c>
      <c r="M2607">
        <v>-0.18080579999999999</v>
      </c>
      <c r="N2607">
        <v>-1.371956E-2</v>
      </c>
      <c r="O2607">
        <v>-0.98342320000000005</v>
      </c>
      <c r="P2607">
        <v>7.6920729999999998E-3</v>
      </c>
      <c r="Q2607">
        <v>0.15891169999999999</v>
      </c>
      <c r="R2607">
        <v>-0.987263</v>
      </c>
      <c r="S2607">
        <v>0.38458249999999999</v>
      </c>
      <c r="T2607">
        <v>-0.1163666</v>
      </c>
      <c r="U2607">
        <v>-3.0571899999999999</v>
      </c>
      <c r="V2607">
        <v>-0.18776219999999999</v>
      </c>
      <c r="W2607">
        <v>0.17036879999999999</v>
      </c>
      <c r="X2607">
        <v>0.96732609999999997</v>
      </c>
      <c r="Y2607">
        <v>-0.30202289999999998</v>
      </c>
      <c r="Z2607">
        <v>2.219117E-2</v>
      </c>
      <c r="AA2607">
        <v>0.95304230000000001</v>
      </c>
      <c r="AB2607">
        <v>27</v>
      </c>
      <c r="AC2607">
        <v>3.7613999999999801</v>
      </c>
      <c r="AD2607">
        <v>-1.1254489853459999</v>
      </c>
      <c r="AE2607">
        <v>-29.313400000000001</v>
      </c>
      <c r="AF2607">
        <v>-8.9868943618020491</v>
      </c>
      <c r="AG2607">
        <v>-1.1254489853459999</v>
      </c>
      <c r="AH2607">
        <v>28.109277976955902</v>
      </c>
      <c r="AI2607">
        <v>92.184011593797194</v>
      </c>
      <c r="AJ2607">
        <v>107.729740571055</v>
      </c>
      <c r="AK2607">
        <v>29.532396009714201</v>
      </c>
      <c r="AL2607">
        <v>80.190737226553907</v>
      </c>
      <c r="AM2607">
        <v>100.984763356258</v>
      </c>
      <c r="AN2607">
        <v>0.99999997775174398</v>
      </c>
    </row>
    <row r="2608" spans="1:40" x14ac:dyDescent="0.25">
      <c r="A2608" t="str">
        <f>"20190303162829949"</f>
        <v>20190303162829949</v>
      </c>
      <c r="B2608" t="str">
        <f>"1551601709944181"</f>
        <v>1551601709944181</v>
      </c>
      <c r="C2608" t="s">
        <v>40</v>
      </c>
      <c r="D2608">
        <v>5.0184139999999999</v>
      </c>
      <c r="E2608">
        <v>0.45360669999999997</v>
      </c>
      <c r="F2608" t="s">
        <v>41</v>
      </c>
      <c r="G2608">
        <v>-488.233</v>
      </c>
      <c r="H2608" s="1">
        <v>-7.2214410000000003E-7</v>
      </c>
      <c r="I2608">
        <v>230.38849999999999</v>
      </c>
      <c r="J2608">
        <v>-491.9753</v>
      </c>
      <c r="K2608">
        <v>1.125515</v>
      </c>
      <c r="L2608">
        <v>258.19330000000002</v>
      </c>
      <c r="M2608">
        <v>-0.1750854</v>
      </c>
      <c r="N2608">
        <v>-1.371759E-2</v>
      </c>
      <c r="O2608">
        <v>-0.98445780000000005</v>
      </c>
      <c r="P2608">
        <v>1.438642E-2</v>
      </c>
      <c r="Q2608">
        <v>0.15817619999999999</v>
      </c>
      <c r="R2608">
        <v>-0.98730620000000002</v>
      </c>
      <c r="S2608">
        <v>0.40234379999999997</v>
      </c>
      <c r="T2608">
        <v>-0.1224502</v>
      </c>
      <c r="U2608">
        <v>-3.0552830000000002</v>
      </c>
      <c r="V2608">
        <v>-0.1887403</v>
      </c>
      <c r="W2608">
        <v>0.16959160000000001</v>
      </c>
      <c r="X2608">
        <v>0.96727229999999997</v>
      </c>
      <c r="Y2608">
        <v>-0.30199409999999999</v>
      </c>
      <c r="Z2608">
        <v>2.4146129999999998E-2</v>
      </c>
      <c r="AA2608">
        <v>0.95300390000000001</v>
      </c>
      <c r="AB2608">
        <v>27</v>
      </c>
      <c r="AC2608">
        <v>3.7423000000000002</v>
      </c>
      <c r="AD2608">
        <v>-1.1255157221440999</v>
      </c>
      <c r="AE2608">
        <v>-27.8048</v>
      </c>
      <c r="AF2608">
        <v>-8.5394113283005293</v>
      </c>
      <c r="AG2608">
        <v>-1.1255157221440999</v>
      </c>
      <c r="AH2608">
        <v>26.677006924489099</v>
      </c>
      <c r="AI2608">
        <v>92.301022333657897</v>
      </c>
      <c r="AJ2608">
        <v>107.75006640623801</v>
      </c>
      <c r="AK2608">
        <v>28.033034618534298</v>
      </c>
      <c r="AL2608">
        <v>80.235924901594203</v>
      </c>
      <c r="AM2608">
        <v>101.041182206049</v>
      </c>
      <c r="AN2608">
        <v>0.999999956990969</v>
      </c>
    </row>
    <row r="2609" spans="1:40" x14ac:dyDescent="0.25">
      <c r="A2609" t="str">
        <f>"20190303162829968"</f>
        <v>20190303162829968</v>
      </c>
      <c r="B2609" t="str">
        <f>"1551601709953941"</f>
        <v>1551601709953941</v>
      </c>
      <c r="C2609" t="s">
        <v>40</v>
      </c>
      <c r="D2609">
        <v>5.1702250000000003</v>
      </c>
      <c r="E2609">
        <v>0.4536676</v>
      </c>
      <c r="F2609" t="s">
        <v>41</v>
      </c>
      <c r="G2609">
        <v>-488.24799999999999</v>
      </c>
      <c r="H2609" s="1">
        <v>-1.006821E-6</v>
      </c>
      <c r="I2609">
        <v>231.23679999999999</v>
      </c>
      <c r="J2609">
        <v>-492.01170000000002</v>
      </c>
      <c r="K2609">
        <v>1.1255520000000001</v>
      </c>
      <c r="L2609">
        <v>257.9581</v>
      </c>
      <c r="M2609">
        <v>-0.17016709999999999</v>
      </c>
      <c r="N2609">
        <v>-1.37157999999999E-2</v>
      </c>
      <c r="O2609">
        <v>-0.98531990000000003</v>
      </c>
      <c r="P2609">
        <v>2.1745190000000001E-2</v>
      </c>
      <c r="Q2609">
        <v>0.15803490000000001</v>
      </c>
      <c r="R2609">
        <v>-0.98719409999999996</v>
      </c>
      <c r="S2609">
        <v>0.42211910000000002</v>
      </c>
      <c r="T2609">
        <v>-0.1274643</v>
      </c>
      <c r="U2609">
        <v>-3.0528110000000002</v>
      </c>
      <c r="V2609">
        <v>-0.19114410000000001</v>
      </c>
      <c r="W2609">
        <v>0.16939939999999901</v>
      </c>
      <c r="X2609">
        <v>0.96683390000000002</v>
      </c>
      <c r="Y2609">
        <v>-0.30338619999999999</v>
      </c>
      <c r="Z2609">
        <v>2.5758909999999999E-2</v>
      </c>
      <c r="AA2609">
        <v>0.95251940000000002</v>
      </c>
      <c r="AB2609">
        <v>27</v>
      </c>
      <c r="AC2609">
        <v>3.7636999999999698</v>
      </c>
      <c r="AD2609">
        <v>-1.125553006821</v>
      </c>
      <c r="AE2609">
        <v>-26.721299999999999</v>
      </c>
      <c r="AF2609">
        <v>-8.2419712427376801</v>
      </c>
      <c r="AG2609">
        <v>-1.125553006821</v>
      </c>
      <c r="AH2609">
        <v>25.6463658059251</v>
      </c>
      <c r="AI2609">
        <v>92.392586273949604</v>
      </c>
      <c r="AJ2609">
        <v>107.815844512518</v>
      </c>
      <c r="AK2609">
        <v>26.961695766190299</v>
      </c>
      <c r="AL2609">
        <v>80.247099318762295</v>
      </c>
      <c r="AM2609">
        <v>101.18322398800601</v>
      </c>
      <c r="AN2609">
        <v>1.0000000069371899</v>
      </c>
    </row>
    <row r="2610" spans="1:40" x14ac:dyDescent="0.25">
      <c r="A2610" t="str">
        <f>"20190303162829981"</f>
        <v>20190303162829981</v>
      </c>
      <c r="B2610" t="str">
        <f>"1551601709974437"</f>
        <v>1551601709974437</v>
      </c>
      <c r="C2610" t="s">
        <v>40</v>
      </c>
      <c r="D2610">
        <v>4.9728669999999999</v>
      </c>
      <c r="E2610">
        <v>0.45380939999999997</v>
      </c>
      <c r="F2610" t="s">
        <v>41</v>
      </c>
      <c r="G2610">
        <v>-488.14</v>
      </c>
      <c r="H2610" s="1">
        <v>-1.066497E-6</v>
      </c>
      <c r="I2610">
        <v>231.3278</v>
      </c>
      <c r="J2610">
        <v>-492.03570000000002</v>
      </c>
      <c r="K2610">
        <v>1.1255710000000001</v>
      </c>
      <c r="L2610">
        <v>257.7989</v>
      </c>
      <c r="M2610">
        <v>-0.1668144</v>
      </c>
      <c r="N2610">
        <v>-1.3714479999999999E-2</v>
      </c>
      <c r="O2610">
        <v>-0.98589309999999997</v>
      </c>
      <c r="P2610">
        <v>2.6048379999999999E-2</v>
      </c>
      <c r="Q2610">
        <v>0.15781210000000001</v>
      </c>
      <c r="R2610">
        <v>-0.98712560000000005</v>
      </c>
      <c r="S2610">
        <v>0.4433899</v>
      </c>
      <c r="T2610">
        <v>-0.1289005</v>
      </c>
      <c r="U2610">
        <v>-3.0497589999999999</v>
      </c>
      <c r="V2610">
        <v>-0.1920848</v>
      </c>
      <c r="W2610">
        <v>0.1691531</v>
      </c>
      <c r="X2610">
        <v>0.96669050000000001</v>
      </c>
      <c r="Y2610">
        <v>-0.30678050000000001</v>
      </c>
      <c r="Z2610">
        <v>2.6234790000000001E-2</v>
      </c>
      <c r="AA2610">
        <v>0.9514186</v>
      </c>
      <c r="AB2610">
        <v>27</v>
      </c>
      <c r="AC2610">
        <v>3.8957000000000299</v>
      </c>
      <c r="AD2610">
        <v>-1.1255720664969999</v>
      </c>
      <c r="AE2610">
        <v>-26.4711</v>
      </c>
      <c r="AF2610">
        <v>-8.2426926063891806</v>
      </c>
      <c r="AG2610">
        <v>-1.1255720664969999</v>
      </c>
      <c r="AH2610">
        <v>25.4052458683163</v>
      </c>
      <c r="AI2610">
        <v>92.413137543799195</v>
      </c>
      <c r="AJ2610">
        <v>107.975574432675</v>
      </c>
      <c r="AK2610">
        <v>26.7326656267179</v>
      </c>
      <c r="AL2610">
        <v>80.261417171006599</v>
      </c>
      <c r="AM2610">
        <v>101.23848860746401</v>
      </c>
      <c r="AN2610">
        <v>0.99999993221044703</v>
      </c>
    </row>
    <row r="2611" spans="1:40" x14ac:dyDescent="0.25">
      <c r="A2611" t="str">
        <f>"20190303162829993"</f>
        <v>20190303162829993</v>
      </c>
      <c r="B2611" t="str">
        <f>"1551601709984197"</f>
        <v>1551601709984197</v>
      </c>
      <c r="C2611" t="s">
        <v>40</v>
      </c>
      <c r="D2611">
        <v>5.120571</v>
      </c>
      <c r="E2611">
        <v>0.45391350000000003</v>
      </c>
      <c r="F2611" t="s">
        <v>41</v>
      </c>
      <c r="G2611">
        <v>-488.09730000000002</v>
      </c>
      <c r="H2611" s="1">
        <v>-1.101986E-6</v>
      </c>
      <c r="I2611">
        <v>231.39869999999999</v>
      </c>
      <c r="J2611">
        <v>-492.05669999999998</v>
      </c>
      <c r="K2611">
        <v>1.1255839999999999</v>
      </c>
      <c r="L2611">
        <v>257.65519999999998</v>
      </c>
      <c r="M2611">
        <v>-0.163778799999999</v>
      </c>
      <c r="N2611">
        <v>-1.371319E-2</v>
      </c>
      <c r="O2611">
        <v>-0.98640190000000005</v>
      </c>
      <c r="P2611">
        <v>3.050133E-2</v>
      </c>
      <c r="Q2611">
        <v>0.15772329999999901</v>
      </c>
      <c r="R2611">
        <v>-0.98701240000000001</v>
      </c>
      <c r="S2611">
        <v>0.45468140000000001</v>
      </c>
      <c r="T2611">
        <v>-0.12994710000000001</v>
      </c>
      <c r="U2611">
        <v>-3.0478969999999999</v>
      </c>
      <c r="V2611">
        <v>-0.19348019999999999</v>
      </c>
      <c r="W2611">
        <v>0.16903889999999999</v>
      </c>
      <c r="X2611">
        <v>0.96643219999999996</v>
      </c>
      <c r="Y2611">
        <v>-0.30738080000000001</v>
      </c>
      <c r="Z2611">
        <v>2.660206E-2</v>
      </c>
      <c r="AA2611">
        <v>0.95121469999999997</v>
      </c>
      <c r="AB2611">
        <v>27</v>
      </c>
      <c r="AC2611">
        <v>3.9593999999999601</v>
      </c>
      <c r="AD2611">
        <v>-1.1255851019859999</v>
      </c>
      <c r="AE2611">
        <v>-26.2564999999999</v>
      </c>
      <c r="AF2611">
        <v>-8.1918686004768393</v>
      </c>
      <c r="AG2611">
        <v>-1.1255851019859999</v>
      </c>
      <c r="AH2611">
        <v>25.208071308242999</v>
      </c>
      <c r="AI2611">
        <v>92.431646220877795</v>
      </c>
      <c r="AJ2611">
        <v>108.00261035794399</v>
      </c>
      <c r="AK2611">
        <v>26.529615754299101</v>
      </c>
      <c r="AL2611">
        <v>80.2680562959805</v>
      </c>
      <c r="AM2611">
        <v>101.320977462768</v>
      </c>
      <c r="AN2611">
        <v>0.99999996735104402</v>
      </c>
    </row>
    <row r="2612" spans="1:40" x14ac:dyDescent="0.25">
      <c r="A2612" t="str">
        <f>"20190303162830006"</f>
        <v>20190303162830006</v>
      </c>
      <c r="B2612" t="str">
        <f>"1551601709993958"</f>
        <v>1551601709993958</v>
      </c>
      <c r="C2612" t="s">
        <v>40</v>
      </c>
      <c r="D2612">
        <v>4.9772970000000001</v>
      </c>
      <c r="E2612">
        <v>0.45401249999999999</v>
      </c>
      <c r="F2612" t="s">
        <v>41</v>
      </c>
      <c r="G2612">
        <v>-488.0179</v>
      </c>
      <c r="H2612" s="1">
        <v>-1.10246E-6</v>
      </c>
      <c r="I2612">
        <v>231.33789999999999</v>
      </c>
      <c r="J2612">
        <v>-492.07889999999998</v>
      </c>
      <c r="K2612">
        <v>1.125594</v>
      </c>
      <c r="L2612">
        <v>257.50099999999998</v>
      </c>
      <c r="M2612">
        <v>-0.16051470000000001</v>
      </c>
      <c r="N2612">
        <v>-1.371168E-2</v>
      </c>
      <c r="O2612">
        <v>-0.98693839999999999</v>
      </c>
      <c r="P2612">
        <v>3.4981770000000002E-2</v>
      </c>
      <c r="Q2612">
        <v>0.15781410000000001</v>
      </c>
      <c r="R2612">
        <v>-0.98684919999999998</v>
      </c>
      <c r="S2612">
        <v>0.46743770000000001</v>
      </c>
      <c r="T2612">
        <v>-0.13027049999999901</v>
      </c>
      <c r="U2612">
        <v>-3.0458530000000001</v>
      </c>
      <c r="V2612">
        <v>-0.19467680000000001</v>
      </c>
      <c r="W2612">
        <v>0.16910710000000001</v>
      </c>
      <c r="X2612">
        <v>0.96618000000000004</v>
      </c>
      <c r="Y2612">
        <v>-0.30821939999999998</v>
      </c>
      <c r="Z2612">
        <v>2.6745680000000001E-2</v>
      </c>
      <c r="AA2612">
        <v>0.95093919999999998</v>
      </c>
      <c r="AB2612">
        <v>27</v>
      </c>
      <c r="AC2612">
        <v>4.0609999999999697</v>
      </c>
      <c r="AD2612">
        <v>-1.1255951024599999</v>
      </c>
      <c r="AE2612">
        <v>-26.163099999999901</v>
      </c>
      <c r="AF2612">
        <v>-8.1934804320168695</v>
      </c>
      <c r="AG2612">
        <v>-1.1255951024599999</v>
      </c>
      <c r="AH2612">
        <v>25.126466632759499</v>
      </c>
      <c r="AI2612">
        <v>92.438752928385497</v>
      </c>
      <c r="AJ2612">
        <v>108.060610855441</v>
      </c>
      <c r="AK2612">
        <v>26.452587990056902</v>
      </c>
      <c r="AL2612">
        <v>80.264092263252294</v>
      </c>
      <c r="AM2612">
        <v>101.392064044051</v>
      </c>
      <c r="AN2612">
        <v>1.0000000300643199</v>
      </c>
    </row>
    <row r="2613" spans="1:40" x14ac:dyDescent="0.25">
      <c r="A2613" t="str">
        <f>"20190303162830024"</f>
        <v>20190303162830024</v>
      </c>
      <c r="B2613" t="str">
        <f>"1551601710014452"</f>
        <v>1551601710014452</v>
      </c>
      <c r="C2613" t="s">
        <v>40</v>
      </c>
      <c r="D2613">
        <v>4.9878619999999998</v>
      </c>
      <c r="E2613">
        <v>0.45420890000000003</v>
      </c>
      <c r="F2613" t="s">
        <v>41</v>
      </c>
      <c r="G2613">
        <v>-487.90890000000002</v>
      </c>
      <c r="H2613" s="1">
        <v>-1.049367E-6</v>
      </c>
      <c r="I2613">
        <v>231.0967</v>
      </c>
      <c r="J2613">
        <v>-492.108</v>
      </c>
      <c r="K2613">
        <v>1.1256079999999999</v>
      </c>
      <c r="L2613">
        <v>257.29300000000001</v>
      </c>
      <c r="M2613">
        <v>-0.15610289999999999</v>
      </c>
      <c r="N2613">
        <v>-1.370949E-2</v>
      </c>
      <c r="O2613">
        <v>-0.98764580000000002</v>
      </c>
      <c r="P2613">
        <v>4.1574180000000002E-2</v>
      </c>
      <c r="Q2613">
        <v>0.1578032</v>
      </c>
      <c r="R2613">
        <v>-0.98659509999999995</v>
      </c>
      <c r="S2613">
        <v>0.48068240000000001</v>
      </c>
      <c r="T2613">
        <v>-0.1297499</v>
      </c>
      <c r="U2613">
        <v>-3.0436860000000001</v>
      </c>
      <c r="V2613">
        <v>-0.1968229</v>
      </c>
      <c r="W2613">
        <v>0.16906199999999999</v>
      </c>
      <c r="X2613">
        <v>0.96575299999999997</v>
      </c>
      <c r="Y2613">
        <v>-0.30811119999999997</v>
      </c>
      <c r="Z2613">
        <v>2.6646590000000001E-2</v>
      </c>
      <c r="AA2613">
        <v>0.95097710000000002</v>
      </c>
      <c r="AB2613">
        <v>27</v>
      </c>
      <c r="AC2613">
        <v>4.1990999999999801</v>
      </c>
      <c r="AD2613">
        <v>-1.1256090493669999</v>
      </c>
      <c r="AE2613">
        <v>-26.196300000000001</v>
      </c>
      <c r="AF2613">
        <v>-8.2225141223387403</v>
      </c>
      <c r="AG2613">
        <v>-1.1256090493669999</v>
      </c>
      <c r="AH2613">
        <v>25.1742263041846</v>
      </c>
      <c r="AI2613">
        <v>92.433778540995107</v>
      </c>
      <c r="AJ2613">
        <v>108.088296127211</v>
      </c>
      <c r="AK2613">
        <v>26.506950111968301</v>
      </c>
      <c r="AL2613">
        <v>80.266714105055598</v>
      </c>
      <c r="AM2613">
        <v>101.519267539957</v>
      </c>
      <c r="AN2613">
        <v>1.0000000354087</v>
      </c>
    </row>
    <row r="2614" spans="1:40" x14ac:dyDescent="0.25">
      <c r="A2614" t="str">
        <f>"20190303162830037"</f>
        <v>20190303162830037</v>
      </c>
      <c r="B2614" t="str">
        <f>"1551601710024214"</f>
        <v>1551601710024214</v>
      </c>
      <c r="C2614" t="s">
        <v>40</v>
      </c>
      <c r="D2614">
        <v>4.9520920000000004</v>
      </c>
      <c r="E2614">
        <v>0.45434940000000001</v>
      </c>
      <c r="F2614" t="s">
        <v>41</v>
      </c>
      <c r="G2614">
        <v>-487.74680000000001</v>
      </c>
      <c r="H2614" s="1">
        <v>-9.7559190000000008E-7</v>
      </c>
      <c r="I2614">
        <v>230.75319999999999</v>
      </c>
      <c r="J2614">
        <v>-492.12979999999999</v>
      </c>
      <c r="K2614">
        <v>1.12561</v>
      </c>
      <c r="L2614">
        <v>257.13069999999999</v>
      </c>
      <c r="M2614">
        <v>-0.1526565</v>
      </c>
      <c r="N2614">
        <v>-1.370767E-2</v>
      </c>
      <c r="O2614">
        <v>-0.98818419999999896</v>
      </c>
      <c r="P2614">
        <v>4.58263E-2</v>
      </c>
      <c r="Q2614">
        <v>0.15805710000000001</v>
      </c>
      <c r="R2614">
        <v>-0.98636599999999997</v>
      </c>
      <c r="S2614">
        <v>0.49960329999999997</v>
      </c>
      <c r="T2614">
        <v>-0.12894639999999999</v>
      </c>
      <c r="U2614">
        <v>-3.0403289999999998</v>
      </c>
      <c r="V2614">
        <v>-0.1976154</v>
      </c>
      <c r="W2614">
        <v>0.1693016</v>
      </c>
      <c r="X2614">
        <v>0.96554910000000005</v>
      </c>
      <c r="Y2614">
        <v>-0.31072179999999999</v>
      </c>
      <c r="Z2614">
        <v>2.6435230000000001E-2</v>
      </c>
      <c r="AA2614">
        <v>0.95013320000000001</v>
      </c>
      <c r="AB2614">
        <v>27</v>
      </c>
      <c r="AC2614">
        <v>4.3829999999999796</v>
      </c>
      <c r="AD2614">
        <v>-1.1256109755918999</v>
      </c>
      <c r="AE2614">
        <v>-26.377500000000001</v>
      </c>
      <c r="AF2614">
        <v>-8.3439078609588009</v>
      </c>
      <c r="AG2614">
        <v>-1.1256109755918999</v>
      </c>
      <c r="AH2614">
        <v>25.354193272098499</v>
      </c>
      <c r="AI2614">
        <v>92.414764086487594</v>
      </c>
      <c r="AJ2614">
        <v>108.21605495787</v>
      </c>
      <c r="AK2614">
        <v>26.715593104766899</v>
      </c>
      <c r="AL2614">
        <v>80.252784619346897</v>
      </c>
      <c r="AM2614">
        <v>101.56677869279</v>
      </c>
      <c r="AN2614">
        <v>0.99999997129526397</v>
      </c>
    </row>
    <row r="2615" spans="1:40" x14ac:dyDescent="0.25">
      <c r="A2615" t="str">
        <f>"20190303162830050"</f>
        <v>20190303162830050</v>
      </c>
      <c r="B2615" t="str">
        <f>"1551601710043733"</f>
        <v>1551601710043733</v>
      </c>
      <c r="C2615" t="s">
        <v>40</v>
      </c>
      <c r="D2615">
        <v>5.1814269999999896</v>
      </c>
      <c r="E2615">
        <v>0.45460669999999997</v>
      </c>
      <c r="F2615" t="s">
        <v>41</v>
      </c>
      <c r="G2615">
        <v>-487.61579999999998</v>
      </c>
      <c r="H2615" s="1">
        <v>-8.7746449999999898E-7</v>
      </c>
      <c r="I2615">
        <v>230.36240000000001</v>
      </c>
      <c r="J2615">
        <v>-492.14940000000001</v>
      </c>
      <c r="K2615">
        <v>1.1256120000000001</v>
      </c>
      <c r="L2615">
        <v>256.9821</v>
      </c>
      <c r="M2615">
        <v>-0.1495042</v>
      </c>
      <c r="N2615">
        <v>-1.370596E-2</v>
      </c>
      <c r="O2615">
        <v>-0.98866620000000005</v>
      </c>
      <c r="P2615">
        <v>4.9383820000000002E-2</v>
      </c>
      <c r="Q2615">
        <v>0.1583965</v>
      </c>
      <c r="R2615">
        <v>-0.98613980000000001</v>
      </c>
      <c r="S2615">
        <v>0.51232909999999998</v>
      </c>
      <c r="T2615">
        <v>-0.12775400000000001</v>
      </c>
      <c r="U2615">
        <v>-3.0381320000000001</v>
      </c>
      <c r="V2615">
        <v>-0.1980151</v>
      </c>
      <c r="W2615">
        <v>0.16963339999999999</v>
      </c>
      <c r="X2615">
        <v>0.96540899999999996</v>
      </c>
      <c r="Y2615">
        <v>-0.31167499999999998</v>
      </c>
      <c r="Z2615">
        <v>2.6102480000000001E-2</v>
      </c>
      <c r="AA2615">
        <v>0.94983019999999996</v>
      </c>
      <c r="AB2615">
        <v>27</v>
      </c>
      <c r="AC2615">
        <v>4.5336000000000301</v>
      </c>
      <c r="AD2615">
        <v>-1.1256128774645</v>
      </c>
      <c r="AE2615">
        <v>-26.619699999999899</v>
      </c>
      <c r="AF2615">
        <v>-8.4480885038562405</v>
      </c>
      <c r="AG2615">
        <v>-1.1256128774645</v>
      </c>
      <c r="AH2615">
        <v>25.598131541540798</v>
      </c>
      <c r="AI2615">
        <v>92.391120356760496</v>
      </c>
      <c r="AJ2615">
        <v>108.264313142893</v>
      </c>
      <c r="AK2615">
        <v>26.979650519177</v>
      </c>
      <c r="AL2615">
        <v>80.233495187861493</v>
      </c>
      <c r="AM2615">
        <v>101.59117786536</v>
      </c>
      <c r="AN2615">
        <v>1.00000000375228</v>
      </c>
    </row>
    <row r="2616" spans="1:40" x14ac:dyDescent="0.25">
      <c r="A2616" t="str">
        <f>"20190303162830069"</f>
        <v>20190303162830069</v>
      </c>
      <c r="B2616" t="str">
        <f>"1551601710063938"</f>
        <v>1551601710063938</v>
      </c>
      <c r="C2616" t="s">
        <v>40</v>
      </c>
      <c r="D2616">
        <v>5.0632279999999996</v>
      </c>
      <c r="E2616">
        <v>0.45482299999999998</v>
      </c>
      <c r="F2616" t="s">
        <v>41</v>
      </c>
      <c r="G2616">
        <v>-487.50020000000001</v>
      </c>
      <c r="H2616" s="1">
        <v>-7.4860179999999998E-7</v>
      </c>
      <c r="I2616">
        <v>229.89340000000001</v>
      </c>
      <c r="J2616">
        <v>-492.17910000000001</v>
      </c>
      <c r="K2616">
        <v>1.125613</v>
      </c>
      <c r="L2616">
        <v>256.74990000000003</v>
      </c>
      <c r="M2616">
        <v>-0.14457539999999999</v>
      </c>
      <c r="N2616">
        <v>-1.370324E-2</v>
      </c>
      <c r="O2616">
        <v>-0.98939900000000003</v>
      </c>
      <c r="P2616">
        <v>5.4673630000000001E-2</v>
      </c>
      <c r="Q2616">
        <v>0.15938189999999999</v>
      </c>
      <c r="R2616">
        <v>-0.98570190000000002</v>
      </c>
      <c r="S2616">
        <v>0.52111819999999998</v>
      </c>
      <c r="T2616">
        <v>-0.1261679</v>
      </c>
      <c r="U2616">
        <v>-3.0363310000000001</v>
      </c>
      <c r="V2616">
        <v>-0.19837009999999999</v>
      </c>
      <c r="W2616">
        <v>0.17061119999999999</v>
      </c>
      <c r="X2616">
        <v>0.96516380000000002</v>
      </c>
      <c r="Y2616">
        <v>-0.30970750000000002</v>
      </c>
      <c r="Z2616">
        <v>2.5684740000000001E-2</v>
      </c>
      <c r="AA2616">
        <v>0.95048489999999997</v>
      </c>
      <c r="AB2616">
        <v>27</v>
      </c>
      <c r="AC2616">
        <v>4.6788999999999898</v>
      </c>
      <c r="AD2616">
        <v>-1.1256137486018001</v>
      </c>
      <c r="AE2616">
        <v>-26.8565</v>
      </c>
      <c r="AF2616">
        <v>-8.4983978759899603</v>
      </c>
      <c r="AG2616">
        <v>-1.1256137486018001</v>
      </c>
      <c r="AH2616">
        <v>25.853691882747199</v>
      </c>
      <c r="AI2616">
        <v>92.368438448142001</v>
      </c>
      <c r="AJ2616">
        <v>108.196272971114</v>
      </c>
      <c r="AK2616">
        <v>27.237899271744499</v>
      </c>
      <c r="AL2616">
        <v>80.176642786234893</v>
      </c>
      <c r="AM2616">
        <v>101.614264351085</v>
      </c>
      <c r="AN2616">
        <v>1.0000000194849401</v>
      </c>
    </row>
    <row r="2617" spans="1:40" x14ac:dyDescent="0.25">
      <c r="A2617" t="str">
        <f>"20190303162830082"</f>
        <v>20190303162830082</v>
      </c>
      <c r="B2617" t="str">
        <f>"1551601710073680"</f>
        <v>1551601710073680</v>
      </c>
      <c r="C2617" t="s">
        <v>40</v>
      </c>
      <c r="D2617">
        <v>5.0629960000000001</v>
      </c>
      <c r="E2617">
        <v>0.45498919999999998</v>
      </c>
      <c r="F2617" t="s">
        <v>47</v>
      </c>
      <c r="G2617">
        <v>-487.22840000000002</v>
      </c>
      <c r="H2617" s="1">
        <v>5.6496099999999999E-6</v>
      </c>
      <c r="I2617">
        <v>228.7867</v>
      </c>
      <c r="J2617">
        <v>-492.19830000000002</v>
      </c>
      <c r="K2617">
        <v>1.12561</v>
      </c>
      <c r="L2617">
        <v>256.5958</v>
      </c>
      <c r="M2617">
        <v>-0.14130670000000001</v>
      </c>
      <c r="N2617">
        <v>-1.3701410000000001E-2</v>
      </c>
      <c r="O2617">
        <v>-0.9898711</v>
      </c>
      <c r="P2617">
        <v>5.7799730000000001E-2</v>
      </c>
      <c r="Q2617">
        <v>0.1600964</v>
      </c>
      <c r="R2617">
        <v>-0.98540779999999994</v>
      </c>
      <c r="S2617">
        <v>0.53704830000000003</v>
      </c>
      <c r="T2617">
        <v>-0.1221057</v>
      </c>
      <c r="U2617">
        <v>-3.0334469999999998</v>
      </c>
      <c r="V2617">
        <v>-0.1982324</v>
      </c>
      <c r="W2617">
        <v>0.171325799999999</v>
      </c>
      <c r="X2617">
        <v>0.96506550000000002</v>
      </c>
      <c r="Y2617">
        <v>-0.31156899999999998</v>
      </c>
      <c r="Z2617">
        <v>2.444824E-2</v>
      </c>
      <c r="AA2617">
        <v>0.949909</v>
      </c>
      <c r="AB2617">
        <v>27</v>
      </c>
      <c r="AC2617">
        <v>4.9698999999999902</v>
      </c>
      <c r="AD2617">
        <v>-1.12560435039</v>
      </c>
      <c r="AE2617">
        <v>-27.809100000000001</v>
      </c>
      <c r="AF2617">
        <v>-8.8359747216045399</v>
      </c>
      <c r="AG2617">
        <v>-1.12560435039</v>
      </c>
      <c r="AH2617">
        <v>26.785136753722799</v>
      </c>
      <c r="AI2617">
        <v>92.285351405644604</v>
      </c>
      <c r="AJ2617">
        <v>108.25687041062</v>
      </c>
      <c r="AK2617">
        <v>28.227380065285601</v>
      </c>
      <c r="AL2617">
        <v>80.135087353307</v>
      </c>
      <c r="AM2617">
        <v>101.607571178437</v>
      </c>
      <c r="AN2617">
        <v>1.00000001672282</v>
      </c>
    </row>
    <row r="2618" spans="1:40" x14ac:dyDescent="0.25">
      <c r="A2618" t="str">
        <f>"20190303162830096"</f>
        <v>20190303162830096</v>
      </c>
      <c r="B2618" t="str">
        <f>"1551601710084416"</f>
        <v>1551601710084416</v>
      </c>
      <c r="C2618" t="s">
        <v>40</v>
      </c>
      <c r="D2618">
        <v>4.9619269999999904</v>
      </c>
      <c r="E2618">
        <v>0.45515519999999998</v>
      </c>
      <c r="F2618" t="s">
        <v>47</v>
      </c>
      <c r="G2618">
        <v>-487.07130000000001</v>
      </c>
      <c r="H2618" s="1">
        <v>5.395934E-6</v>
      </c>
      <c r="I2618">
        <v>228.1028</v>
      </c>
      <c r="J2618">
        <v>-492.2165</v>
      </c>
      <c r="K2618">
        <v>1.125607</v>
      </c>
      <c r="L2618">
        <v>256.4434</v>
      </c>
      <c r="M2618">
        <v>-0.13807739999999999</v>
      </c>
      <c r="N2618">
        <v>-1.3699599999999999E-2</v>
      </c>
      <c r="O2618">
        <v>-0.9903267</v>
      </c>
      <c r="P2618">
        <v>6.111929E-2</v>
      </c>
      <c r="Q2618">
        <v>0.1606851</v>
      </c>
      <c r="R2618">
        <v>-0.98511139999999997</v>
      </c>
      <c r="S2618">
        <v>0.54556269999999996</v>
      </c>
      <c r="T2618">
        <v>-0.1197748</v>
      </c>
      <c r="U2618">
        <v>-3.0319210000000001</v>
      </c>
      <c r="V2618">
        <v>-0.19832730000000001</v>
      </c>
      <c r="W2618">
        <v>0.17191210000000001</v>
      </c>
      <c r="X2618">
        <v>0.96494170000000001</v>
      </c>
      <c r="Y2618">
        <v>-0.31114209999999998</v>
      </c>
      <c r="Z2618">
        <v>2.3759780000000001E-2</v>
      </c>
      <c r="AA2618">
        <v>0.95006630000000003</v>
      </c>
      <c r="AB2618">
        <v>27</v>
      </c>
      <c r="AC2618">
        <v>5.1451999999999796</v>
      </c>
      <c r="AD2618">
        <v>-1.125601604066</v>
      </c>
      <c r="AE2618">
        <v>-28.340599999999899</v>
      </c>
      <c r="AF2618">
        <v>-8.9957332965431505</v>
      </c>
      <c r="AG2618">
        <v>-1.125601604066</v>
      </c>
      <c r="AH2618">
        <v>27.316868571176698</v>
      </c>
      <c r="AI2618">
        <v>92.241287978899805</v>
      </c>
      <c r="AJ2618">
        <v>108.227259964125</v>
      </c>
      <c r="AK2618">
        <v>28.781964926817501</v>
      </c>
      <c r="AL2618">
        <v>80.100988628459604</v>
      </c>
      <c r="AM2618">
        <v>101.614426615917</v>
      </c>
      <c r="AN2618">
        <v>0.99999998622529496</v>
      </c>
    </row>
    <row r="2619" spans="1:40" x14ac:dyDescent="0.25">
      <c r="A2619" t="str">
        <f>"20190303162830116"</f>
        <v>20190303162830116</v>
      </c>
      <c r="B2619" t="str">
        <f>"1551601710103936"</f>
        <v>1551601710103936</v>
      </c>
      <c r="C2619" t="s">
        <v>40</v>
      </c>
      <c r="D2619">
        <v>5.1196020000000004</v>
      </c>
      <c r="E2619">
        <v>0.45547989999999999</v>
      </c>
      <c r="F2619" t="s">
        <v>47</v>
      </c>
      <c r="G2619">
        <v>-486.91309999999999</v>
      </c>
      <c r="H2619" s="1">
        <v>5.1455540000000003E-6</v>
      </c>
      <c r="I2619">
        <v>227.43039999999999</v>
      </c>
      <c r="J2619">
        <v>-492.24520000000001</v>
      </c>
      <c r="K2619">
        <v>1.1255980000000001</v>
      </c>
      <c r="L2619">
        <v>256.19580000000002</v>
      </c>
      <c r="M2619">
        <v>-0.13283589999999901</v>
      </c>
      <c r="N2619">
        <v>-1.3696699999999999E-2</v>
      </c>
      <c r="O2619">
        <v>-0.99104340000000002</v>
      </c>
      <c r="P2619">
        <v>6.5703590000000006E-2</v>
      </c>
      <c r="Q2619">
        <v>0.16113839999999999</v>
      </c>
      <c r="R2619">
        <v>-0.98474229999999996</v>
      </c>
      <c r="S2619">
        <v>0.553894</v>
      </c>
      <c r="T2619">
        <v>-0.1175592</v>
      </c>
      <c r="U2619">
        <v>-3.030151</v>
      </c>
      <c r="V2619">
        <v>-0.19770280000000001</v>
      </c>
      <c r="W2619">
        <v>0.17237379999999999</v>
      </c>
      <c r="X2619">
        <v>0.9649875</v>
      </c>
      <c r="Y2619">
        <v>-0.30874410000000002</v>
      </c>
      <c r="Z2619">
        <v>2.3140259999999999E-2</v>
      </c>
      <c r="AA2619">
        <v>0.95086360000000003</v>
      </c>
      <c r="AB2619">
        <v>27</v>
      </c>
      <c r="AC2619">
        <v>5.33210000000002</v>
      </c>
      <c r="AD2619">
        <v>-1.1255928544460001</v>
      </c>
      <c r="AE2619">
        <v>-28.7654</v>
      </c>
      <c r="AF2619">
        <v>-9.0928144314188906</v>
      </c>
      <c r="AG2619">
        <v>-1.1255928544460001</v>
      </c>
      <c r="AH2619">
        <v>27.7609789109869</v>
      </c>
      <c r="AI2619">
        <v>92.206608361853299</v>
      </c>
      <c r="AJ2619">
        <v>108.135660292151</v>
      </c>
      <c r="AK2619">
        <v>29.233853383610899</v>
      </c>
      <c r="AL2619">
        <v>80.074134418369297</v>
      </c>
      <c r="AM2619">
        <v>101.57830910819401</v>
      </c>
      <c r="AN2619">
        <v>0.99999999960526498</v>
      </c>
    </row>
    <row r="2620" spans="1:40" x14ac:dyDescent="0.25">
      <c r="A2620" t="str">
        <f>"20190303162830138"</f>
        <v>20190303162830138</v>
      </c>
      <c r="B2620" t="str">
        <f>"1551601710124431"</f>
        <v>1551601710124431</v>
      </c>
      <c r="C2620" t="s">
        <v>40</v>
      </c>
      <c r="D2620">
        <v>5.0589250000000003</v>
      </c>
      <c r="E2620">
        <v>0.45583459999999998</v>
      </c>
      <c r="F2620" t="s">
        <v>47</v>
      </c>
      <c r="G2620">
        <v>-486.77170000000001</v>
      </c>
      <c r="H2620" s="1">
        <v>4.9359039999999997E-6</v>
      </c>
      <c r="I2620">
        <v>226.875</v>
      </c>
      <c r="J2620">
        <v>-492.27390000000003</v>
      </c>
      <c r="K2620">
        <v>1.125589</v>
      </c>
      <c r="L2620">
        <v>255.93680000000001</v>
      </c>
      <c r="M2620">
        <v>-0.12735819999999901</v>
      </c>
      <c r="N2620">
        <v>-1.3693729999999999E-2</v>
      </c>
      <c r="O2620">
        <v>-0.99176240000000004</v>
      </c>
      <c r="P2620">
        <v>6.9827689999999998E-2</v>
      </c>
      <c r="Q2620">
        <v>0.16126969999999999</v>
      </c>
      <c r="R2620">
        <v>-0.98443700000000001</v>
      </c>
      <c r="S2620">
        <v>0.5652161</v>
      </c>
      <c r="T2620">
        <v>-0.1162335</v>
      </c>
      <c r="U2620">
        <v>-3.0277859999999999</v>
      </c>
      <c r="V2620">
        <v>-0.19640489999999999</v>
      </c>
      <c r="W2620">
        <v>0.17252319999999999</v>
      </c>
      <c r="X2620">
        <v>0.96522580000000002</v>
      </c>
      <c r="Y2620">
        <v>-0.30706129999999998</v>
      </c>
      <c r="Z2620">
        <v>2.2797399999999999E-2</v>
      </c>
      <c r="AA2620">
        <v>0.95141659999999995</v>
      </c>
      <c r="AB2620">
        <v>27</v>
      </c>
      <c r="AC2620">
        <v>5.50220000000001</v>
      </c>
      <c r="AD2620">
        <v>-1.125584064096</v>
      </c>
      <c r="AE2620">
        <v>-29.061800000000002</v>
      </c>
      <c r="AF2620">
        <v>-9.1457465860029892</v>
      </c>
      <c r="AG2620">
        <v>-1.125584064096</v>
      </c>
      <c r="AH2620">
        <v>28.0836136932712</v>
      </c>
      <c r="AI2620">
        <v>92.182473809907407</v>
      </c>
      <c r="AJ2620">
        <v>108.038425693506</v>
      </c>
      <c r="AK2620">
        <v>29.5567416704484</v>
      </c>
      <c r="AL2620">
        <v>80.065444162278794</v>
      </c>
      <c r="AM2620">
        <v>101.501567023715</v>
      </c>
      <c r="AN2620">
        <v>0.99999999213394497</v>
      </c>
    </row>
    <row r="2621" spans="1:40" x14ac:dyDescent="0.25">
      <c r="A2621" t="str">
        <f>"20190303162830159"</f>
        <v>20190303162830159</v>
      </c>
      <c r="B2621" t="str">
        <f>"1551601710153712"</f>
        <v>1551601710153712</v>
      </c>
      <c r="C2621" t="s">
        <v>40</v>
      </c>
      <c r="D2621">
        <v>5.1189470000000004</v>
      </c>
      <c r="E2621">
        <v>0.45638499999999999</v>
      </c>
      <c r="F2621" t="s">
        <v>47</v>
      </c>
      <c r="G2621">
        <v>-486.6825</v>
      </c>
      <c r="H2621" s="1">
        <v>4.797637E-6</v>
      </c>
      <c r="I2621">
        <v>226.50530000000001</v>
      </c>
      <c r="J2621">
        <v>-492.30079999999998</v>
      </c>
      <c r="K2621">
        <v>1.12558</v>
      </c>
      <c r="L2621">
        <v>255.68020000000001</v>
      </c>
      <c r="M2621">
        <v>-0.1219344</v>
      </c>
      <c r="N2621">
        <v>-1.369096E-2</v>
      </c>
      <c r="O2621">
        <v>-0.99244370000000004</v>
      </c>
      <c r="P2621">
        <v>7.3318999999999995E-2</v>
      </c>
      <c r="Q2621">
        <v>0.16139149999999999</v>
      </c>
      <c r="R2621">
        <v>-0.98416320000000002</v>
      </c>
      <c r="S2621">
        <v>0.57479859999999905</v>
      </c>
      <c r="T2621">
        <v>-0.1157118</v>
      </c>
      <c r="U2621">
        <v>-3.025604</v>
      </c>
      <c r="V2621">
        <v>-0.19454179999999999</v>
      </c>
      <c r="W2621">
        <v>0.1726702</v>
      </c>
      <c r="X2621">
        <v>0.96557680000000001</v>
      </c>
      <c r="Y2621">
        <v>-0.30489339999999998</v>
      </c>
      <c r="Z2621">
        <v>2.2707539999999998E-2</v>
      </c>
      <c r="AA2621">
        <v>0.95211570000000001</v>
      </c>
      <c r="AB2621">
        <v>27</v>
      </c>
      <c r="AC2621">
        <v>5.6182999999999703</v>
      </c>
      <c r="AD2621">
        <v>-1.1255752023629999</v>
      </c>
      <c r="AE2621">
        <v>-29.174900000000001</v>
      </c>
      <c r="AF2621">
        <v>-9.1210361266568203</v>
      </c>
      <c r="AG2621">
        <v>-1.1255752023629999</v>
      </c>
      <c r="AH2621">
        <v>28.2315141336762</v>
      </c>
      <c r="AI2621">
        <v>92.172677903839599</v>
      </c>
      <c r="AJ2621">
        <v>107.90460445621</v>
      </c>
      <c r="AK2621">
        <v>29.6897054522255</v>
      </c>
      <c r="AL2621">
        <v>80.0568937706187</v>
      </c>
      <c r="AM2621">
        <v>101.391296480224</v>
      </c>
      <c r="AN2621">
        <v>1.00000003330675</v>
      </c>
    </row>
    <row r="2622" spans="1:40" x14ac:dyDescent="0.25">
      <c r="A2622" t="str">
        <f>"20190303162830182"</f>
        <v>20190303162830182</v>
      </c>
      <c r="B2622" t="str">
        <f>"1551601710174200"</f>
        <v>1551601710174200</v>
      </c>
      <c r="C2622" t="s">
        <v>40</v>
      </c>
      <c r="D2622">
        <v>5.0539690000000004</v>
      </c>
      <c r="E2622">
        <v>0.45675739999999998</v>
      </c>
      <c r="F2622" t="s">
        <v>47</v>
      </c>
      <c r="G2622">
        <v>-486.63310000000001</v>
      </c>
      <c r="H2622" s="1">
        <v>4.6903860000000001E-6</v>
      </c>
      <c r="I2622">
        <v>226.17070000000001</v>
      </c>
      <c r="J2622">
        <v>-492.32769999999999</v>
      </c>
      <c r="K2622">
        <v>1.1255729999999999</v>
      </c>
      <c r="L2622">
        <v>255.40880000000001</v>
      </c>
      <c r="M2622">
        <v>-0.1161992</v>
      </c>
      <c r="N2622">
        <v>-1.3687970000000001E-2</v>
      </c>
      <c r="O2622">
        <v>-0.99313180000000001</v>
      </c>
      <c r="P2622">
        <v>7.7595579999999997E-2</v>
      </c>
      <c r="Q2622">
        <v>0.16134709999999999</v>
      </c>
      <c r="R2622">
        <v>-0.98384269999999996</v>
      </c>
      <c r="S2622">
        <v>0.58077999999999996</v>
      </c>
      <c r="T2622">
        <v>-0.1153396</v>
      </c>
      <c r="U2622">
        <v>-3.023895</v>
      </c>
      <c r="V2622">
        <v>-0.19315289999999999</v>
      </c>
      <c r="W2622">
        <v>0.17264570000000001</v>
      </c>
      <c r="X2622">
        <v>0.96585989999999999</v>
      </c>
      <c r="Y2622">
        <v>-0.3013072</v>
      </c>
      <c r="Z2622">
        <v>2.2673249999999999E-2</v>
      </c>
      <c r="AA2622">
        <v>0.95325760000000004</v>
      </c>
      <c r="AB2622">
        <v>27</v>
      </c>
      <c r="AC2622">
        <v>5.6945999999999799</v>
      </c>
      <c r="AD2622">
        <v>-1.1255683096139999</v>
      </c>
      <c r="AE2622">
        <v>-29.238099999999999</v>
      </c>
      <c r="AF2622">
        <v>-9.0408698255529298</v>
      </c>
      <c r="AG2622">
        <v>-1.1255683096139999</v>
      </c>
      <c r="AH2622">
        <v>28.337770589373299</v>
      </c>
      <c r="AI2622">
        <v>92.167070178904495</v>
      </c>
      <c r="AJ2622">
        <v>107.694740056974</v>
      </c>
      <c r="AK2622">
        <v>29.766314404006302</v>
      </c>
      <c r="AL2622">
        <v>80.058318218916099</v>
      </c>
      <c r="AM2622">
        <v>101.30884415761</v>
      </c>
      <c r="AN2622">
        <v>0.99999996346745401</v>
      </c>
    </row>
    <row r="2623" spans="1:40" x14ac:dyDescent="0.25">
      <c r="A2623" t="str">
        <f>"20190303162830195"</f>
        <v>20190303162830195</v>
      </c>
      <c r="B2623" t="str">
        <f>"1551601710183961"</f>
        <v>1551601710183961</v>
      </c>
      <c r="C2623" t="s">
        <v>40</v>
      </c>
      <c r="D2623">
        <v>5.0563630000000002</v>
      </c>
      <c r="E2623">
        <v>0.45693430000000002</v>
      </c>
      <c r="F2623" t="s">
        <v>47</v>
      </c>
      <c r="G2623">
        <v>-486.57990000000001</v>
      </c>
      <c r="H2623" s="1">
        <v>4.6432410000000004E-6</v>
      </c>
      <c r="I2623">
        <v>226.01079999999999</v>
      </c>
      <c r="J2623">
        <v>-492.3424</v>
      </c>
      <c r="K2623">
        <v>1.125567</v>
      </c>
      <c r="L2623">
        <v>255.25219999999999</v>
      </c>
      <c r="M2623">
        <v>-0.11289440000000001</v>
      </c>
      <c r="N2623">
        <v>-1.3686210000000001E-2</v>
      </c>
      <c r="O2623">
        <v>-0.99351290000000003</v>
      </c>
      <c r="P2623">
        <v>8.0627649999999995E-2</v>
      </c>
      <c r="Q2623">
        <v>0.161417899999999</v>
      </c>
      <c r="R2623">
        <v>-0.98358699999999999</v>
      </c>
      <c r="S2623">
        <v>0.59078980000000003</v>
      </c>
      <c r="T2623">
        <v>-0.1156913</v>
      </c>
      <c r="U2623">
        <v>-3.0216669999999999</v>
      </c>
      <c r="V2623">
        <v>-0.19291220000000001</v>
      </c>
      <c r="W2623">
        <v>0.17272089999999901</v>
      </c>
      <c r="X2623">
        <v>0.96589460000000005</v>
      </c>
      <c r="Y2623">
        <v>-0.30130770000000001</v>
      </c>
      <c r="Z2623">
        <v>2.2824810000000001E-2</v>
      </c>
      <c r="AA2623">
        <v>0.95325369999999998</v>
      </c>
      <c r="AB2623">
        <v>27</v>
      </c>
      <c r="AC2623">
        <v>5.7624999999999797</v>
      </c>
      <c r="AD2623">
        <v>-1.1255623567590001</v>
      </c>
      <c r="AE2623">
        <v>-29.241399999999999</v>
      </c>
      <c r="AF2623">
        <v>-9.0142956926314799</v>
      </c>
      <c r="AG2623">
        <v>-1.1255623567590001</v>
      </c>
      <c r="AH2623">
        <v>28.3633563345754</v>
      </c>
      <c r="AI2623">
        <v>92.165871776370807</v>
      </c>
      <c r="AJ2623">
        <v>107.631029146374</v>
      </c>
      <c r="AK2623">
        <v>29.782619092605799</v>
      </c>
      <c r="AL2623">
        <v>80.053944251646101</v>
      </c>
      <c r="AM2623">
        <v>101.294718656935</v>
      </c>
      <c r="AN2623">
        <v>1.0000000022574</v>
      </c>
    </row>
    <row r="2624" spans="1:40" x14ac:dyDescent="0.25">
      <c r="A2624" t="str">
        <f>"20190303162830214"</f>
        <v>20190303162830214</v>
      </c>
      <c r="B2624" t="str">
        <f>"1551601710204455"</f>
        <v>1551601710204455</v>
      </c>
      <c r="C2624" t="s">
        <v>40</v>
      </c>
      <c r="D2624">
        <v>5.0016239999999996</v>
      </c>
      <c r="E2624">
        <v>0.45728560000000001</v>
      </c>
      <c r="F2624" t="s">
        <v>47</v>
      </c>
      <c r="G2624">
        <v>-486.524</v>
      </c>
      <c r="H2624" s="1">
        <v>4.6033359999999998E-6</v>
      </c>
      <c r="I2624">
        <v>225.88630000000001</v>
      </c>
      <c r="J2624">
        <v>-492.36290000000002</v>
      </c>
      <c r="K2624">
        <v>1.1255649999999999</v>
      </c>
      <c r="L2624">
        <v>255.02600000000001</v>
      </c>
      <c r="M2624">
        <v>-0.1081242</v>
      </c>
      <c r="N2624">
        <v>-1.3683590000000001E-2</v>
      </c>
      <c r="O2624">
        <v>-0.99404340000000002</v>
      </c>
      <c r="P2624">
        <v>8.4397979999999997E-2</v>
      </c>
      <c r="Q2624">
        <v>0.16184009999999999</v>
      </c>
      <c r="R2624">
        <v>-0.9832014</v>
      </c>
      <c r="S2624">
        <v>0.59835819999999995</v>
      </c>
      <c r="T2624">
        <v>-0.1157527</v>
      </c>
      <c r="U2624">
        <v>-3.0199889999999998</v>
      </c>
      <c r="V2624">
        <v>-0.19196869999999999</v>
      </c>
      <c r="W2624">
        <v>0.17315720000000001</v>
      </c>
      <c r="X2624">
        <v>0.96600439999999999</v>
      </c>
      <c r="Y2624">
        <v>-0.29913020000000001</v>
      </c>
      <c r="Z2624">
        <v>2.290594E-2</v>
      </c>
      <c r="AA2624">
        <v>0.95393740000000005</v>
      </c>
      <c r="AB2624">
        <v>27</v>
      </c>
      <c r="AC2624">
        <v>5.8389000000000202</v>
      </c>
      <c r="AD2624">
        <v>-1.125560396664</v>
      </c>
      <c r="AE2624">
        <v>-29.139699999999898</v>
      </c>
      <c r="AF2624">
        <v>-8.9428359664546306</v>
      </c>
      <c r="AG2624">
        <v>-1.125560396664</v>
      </c>
      <c r="AH2624">
        <v>28.296858889864399</v>
      </c>
      <c r="AI2624">
        <v>92.172064110588494</v>
      </c>
      <c r="AJ2624">
        <v>107.538429703521</v>
      </c>
      <c r="AK2624">
        <v>29.697700657834599</v>
      </c>
      <c r="AL2624">
        <v>80.028563147951402</v>
      </c>
      <c r="AM2624">
        <v>101.239642939052</v>
      </c>
      <c r="AN2624">
        <v>0.999999949255443</v>
      </c>
    </row>
    <row r="2625" spans="1:40" x14ac:dyDescent="0.25">
      <c r="A2625" t="str">
        <f>"20190303162830236"</f>
        <v>20190303162830236</v>
      </c>
      <c r="B2625" t="str">
        <f>"1551601710223976"</f>
        <v>1551601710223976</v>
      </c>
      <c r="C2625" t="s">
        <v>40</v>
      </c>
      <c r="D2625">
        <v>4.9332390000000004</v>
      </c>
      <c r="E2625">
        <v>0.45768439999999999</v>
      </c>
      <c r="F2625" t="s">
        <v>47</v>
      </c>
      <c r="G2625">
        <v>-486.41719999999998</v>
      </c>
      <c r="H2625" s="1">
        <v>4.48241999999999E-6</v>
      </c>
      <c r="I2625">
        <v>225.44649999999999</v>
      </c>
      <c r="J2625">
        <v>-492.38560000000001</v>
      </c>
      <c r="K2625">
        <v>1.125551</v>
      </c>
      <c r="L2625">
        <v>254.7595</v>
      </c>
      <c r="M2625">
        <v>-0.1025187</v>
      </c>
      <c r="N2625">
        <v>-1.368027E-2</v>
      </c>
      <c r="O2625">
        <v>-0.9946372</v>
      </c>
      <c r="P2625">
        <v>8.860701E-2</v>
      </c>
      <c r="Q2625">
        <v>0.1626116</v>
      </c>
      <c r="R2625">
        <v>-0.98270389999999996</v>
      </c>
      <c r="S2625">
        <v>0.6066589</v>
      </c>
      <c r="T2625">
        <v>-0.1148459</v>
      </c>
      <c r="U2625">
        <v>-3.0181269999999998</v>
      </c>
      <c r="V2625">
        <v>-0.19064249999999999</v>
      </c>
      <c r="W2625">
        <v>0.17394899999999999</v>
      </c>
      <c r="X2625">
        <v>0.96612480000000001</v>
      </c>
      <c r="Y2625">
        <v>-0.29638779999999998</v>
      </c>
      <c r="Z2625">
        <v>2.2689609999999999E-2</v>
      </c>
      <c r="AA2625">
        <v>0.95479809999999998</v>
      </c>
      <c r="AB2625">
        <v>27</v>
      </c>
      <c r="AC2625">
        <v>5.9684000000000301</v>
      </c>
      <c r="AD2625">
        <v>-1.1255465175799999</v>
      </c>
      <c r="AE2625">
        <v>-29.312999999999999</v>
      </c>
      <c r="AF2625">
        <v>-8.9297167563687392</v>
      </c>
      <c r="AG2625">
        <v>-1.1255465175799999</v>
      </c>
      <c r="AH2625">
        <v>28.506237677578898</v>
      </c>
      <c r="AI2625">
        <v>92.157814884941502</v>
      </c>
      <c r="AJ2625">
        <v>107.393417217452</v>
      </c>
      <c r="AK2625">
        <v>29.893348471571802</v>
      </c>
      <c r="AL2625">
        <v>79.982497517214796</v>
      </c>
      <c r="AM2625">
        <v>101.16259541014</v>
      </c>
      <c r="AN2625">
        <v>0.99999997329114398</v>
      </c>
    </row>
    <row r="2626" spans="1:40" x14ac:dyDescent="0.25">
      <c r="A2626" t="str">
        <f>"20190303162830249"</f>
        <v>20190303162830249</v>
      </c>
      <c r="B2626" t="str">
        <f>"1551601710244472"</f>
        <v>1551601710244472</v>
      </c>
      <c r="C2626" t="s">
        <v>40</v>
      </c>
      <c r="D2626">
        <v>5.0529400000000004</v>
      </c>
      <c r="E2626">
        <v>0.4580398</v>
      </c>
      <c r="F2626" t="s">
        <v>47</v>
      </c>
      <c r="G2626">
        <v>-486.22050000000002</v>
      </c>
      <c r="H2626" s="1">
        <v>4.2479259999999999E-6</v>
      </c>
      <c r="I2626">
        <v>224.59270000000001</v>
      </c>
      <c r="J2626">
        <v>-492.39789999999999</v>
      </c>
      <c r="K2626">
        <v>1.125532</v>
      </c>
      <c r="L2626">
        <v>254.60749999999999</v>
      </c>
      <c r="M2626">
        <v>-9.9331970000000006E-2</v>
      </c>
      <c r="N2626">
        <v>-1.367813E-2</v>
      </c>
      <c r="O2626">
        <v>-0.99496039999999997</v>
      </c>
      <c r="P2626">
        <v>9.1204980000000005E-2</v>
      </c>
      <c r="Q2626">
        <v>0.1628114</v>
      </c>
      <c r="R2626">
        <v>-0.98243279999999999</v>
      </c>
      <c r="S2626">
        <v>0.61633300000000002</v>
      </c>
      <c r="T2626">
        <v>-0.1125231</v>
      </c>
      <c r="U2626">
        <v>-3.0158390000000002</v>
      </c>
      <c r="V2626">
        <v>-0.1900935</v>
      </c>
      <c r="W2626">
        <v>0.1741598</v>
      </c>
      <c r="X2626">
        <v>0.96619500000000003</v>
      </c>
      <c r="Y2626">
        <v>-0.29641509999999999</v>
      </c>
      <c r="Z2626">
        <v>2.1989450000000001E-2</v>
      </c>
      <c r="AA2626">
        <v>0.95480600000000004</v>
      </c>
      <c r="AB2626">
        <v>27</v>
      </c>
      <c r="AC2626">
        <v>6.1773999999999702</v>
      </c>
      <c r="AD2626">
        <v>-1.1255277520739999</v>
      </c>
      <c r="AE2626">
        <v>-30.014799999999902</v>
      </c>
      <c r="AF2626">
        <v>-9.1162527973449397</v>
      </c>
      <c r="AG2626">
        <v>-1.1255277520739999</v>
      </c>
      <c r="AH2626">
        <v>29.213248998102699</v>
      </c>
      <c r="AI2626">
        <v>92.1063212548964</v>
      </c>
      <c r="AJ2626">
        <v>107.33099430887199</v>
      </c>
      <c r="AK2626">
        <v>30.623304766320299</v>
      </c>
      <c r="AL2626">
        <v>79.970232382534107</v>
      </c>
      <c r="AM2626">
        <v>101.130465409339</v>
      </c>
      <c r="AN2626">
        <v>0.99999997635164395</v>
      </c>
    </row>
    <row r="2627" spans="1:40" x14ac:dyDescent="0.25">
      <c r="A2627" t="str">
        <f>"20190303162830262"</f>
        <v>20190303162830262</v>
      </c>
      <c r="B2627" t="str">
        <f>"1551601710254232"</f>
        <v>1551601710254232</v>
      </c>
      <c r="C2627" t="s">
        <v>40</v>
      </c>
      <c r="D2627">
        <v>5.0511929999999996</v>
      </c>
      <c r="E2627">
        <v>0.45822740000000001</v>
      </c>
      <c r="F2627" t="s">
        <v>47</v>
      </c>
      <c r="G2627">
        <v>-486.1628</v>
      </c>
      <c r="H2627" s="1">
        <v>4.1587749999999998E-6</v>
      </c>
      <c r="I2627">
        <v>224.34620000000001</v>
      </c>
      <c r="J2627">
        <v>-492.41039999999998</v>
      </c>
      <c r="K2627">
        <v>1.1255139999999999</v>
      </c>
      <c r="L2627">
        <v>254.44739999999999</v>
      </c>
      <c r="M2627">
        <v>-9.5986660000000001E-2</v>
      </c>
      <c r="N2627">
        <v>-1.3675690000000001E-2</v>
      </c>
      <c r="O2627">
        <v>-0.99528879999999997</v>
      </c>
      <c r="P2627">
        <v>9.3379180000000006E-2</v>
      </c>
      <c r="Q2627">
        <v>0.1632605</v>
      </c>
      <c r="R2627">
        <v>-0.98215399999999997</v>
      </c>
      <c r="S2627">
        <v>0.62112429999999996</v>
      </c>
      <c r="T2627">
        <v>-0.11212129999999999</v>
      </c>
      <c r="U2627">
        <v>-3.014526</v>
      </c>
      <c r="V2627">
        <v>-0.18897040000000001</v>
      </c>
      <c r="W2627">
        <v>0.1746279</v>
      </c>
      <c r="X2627">
        <v>0.96633080000000005</v>
      </c>
      <c r="Y2627">
        <v>-0.29474319999999998</v>
      </c>
      <c r="Z2627">
        <v>2.1905109999999998E-2</v>
      </c>
      <c r="AA2627">
        <v>0.95532539999999999</v>
      </c>
      <c r="AB2627">
        <v>27</v>
      </c>
      <c r="AC2627">
        <v>6.2475999999999701</v>
      </c>
      <c r="AD2627">
        <v>-1.125509841225</v>
      </c>
      <c r="AE2627">
        <v>-30.101199999999899</v>
      </c>
      <c r="AF2627">
        <v>-9.0961386659033998</v>
      </c>
      <c r="AG2627">
        <v>-1.125509841225</v>
      </c>
      <c r="AH2627">
        <v>29.323140152169302</v>
      </c>
      <c r="AI2627">
        <v>92.099505078862293</v>
      </c>
      <c r="AJ2627">
        <v>107.23406937589399</v>
      </c>
      <c r="AK2627">
        <v>30.722191644083601</v>
      </c>
      <c r="AL2627">
        <v>79.942994726048497</v>
      </c>
      <c r="AM2627">
        <v>101.064816133265</v>
      </c>
      <c r="AN2627">
        <v>0.99999996528160395</v>
      </c>
    </row>
    <row r="2628" spans="1:40" x14ac:dyDescent="0.25">
      <c r="A2628" t="str">
        <f>"20190303162830283"</f>
        <v>20190303162830283</v>
      </c>
      <c r="B2628" t="str">
        <f>"1551601710274364"</f>
        <v>1551601710274364</v>
      </c>
      <c r="C2628" t="s">
        <v>40</v>
      </c>
      <c r="D2628">
        <v>5.0494899999999996</v>
      </c>
      <c r="E2628">
        <v>0.47340569999999998</v>
      </c>
      <c r="F2628" t="s">
        <v>47</v>
      </c>
      <c r="G2628">
        <v>-486.05259999999998</v>
      </c>
      <c r="H2628" s="1">
        <v>3.9829240000000003E-6</v>
      </c>
      <c r="I2628">
        <v>223.85740000000001</v>
      </c>
      <c r="J2628">
        <v>-492.4282</v>
      </c>
      <c r="K2628">
        <v>1.1254770000000001</v>
      </c>
      <c r="L2628">
        <v>254.20519999999999</v>
      </c>
      <c r="M2628">
        <v>-9.0971949999999996E-2</v>
      </c>
      <c r="N2628">
        <v>-1.367115E-2</v>
      </c>
      <c r="O2628">
        <v>-0.99575959999999997</v>
      </c>
      <c r="P2628">
        <v>9.5862180000000005E-2</v>
      </c>
      <c r="Q2628">
        <v>0.16370019999999999</v>
      </c>
      <c r="R2628">
        <v>-0.98184150000000003</v>
      </c>
      <c r="S2628">
        <v>0.62631230000000004</v>
      </c>
      <c r="T2628">
        <v>-0.1108743</v>
      </c>
      <c r="U2628">
        <v>-3.0134280000000002</v>
      </c>
      <c r="V2628">
        <v>-0.18652060000000001</v>
      </c>
      <c r="W2628">
        <v>0.17511099999999999</v>
      </c>
      <c r="X2628">
        <v>0.96671929999999995</v>
      </c>
      <c r="Y2628">
        <v>-0.2915779</v>
      </c>
      <c r="Z2628">
        <v>2.1568859999999999E-2</v>
      </c>
      <c r="AA2628">
        <v>0.95630389999999998</v>
      </c>
      <c r="AB2628">
        <v>27</v>
      </c>
      <c r="AC2628">
        <v>6.3756000000000101</v>
      </c>
      <c r="AD2628">
        <v>-1.1254730170759999</v>
      </c>
      <c r="AE2628">
        <v>-30.3477999999999</v>
      </c>
      <c r="AF2628">
        <v>-9.0982305581768799</v>
      </c>
      <c r="AG2628">
        <v>-1.1254730170759999</v>
      </c>
      <c r="AH2628">
        <v>29.602889363070599</v>
      </c>
      <c r="AI2628">
        <v>92.081290433592102</v>
      </c>
      <c r="AJ2628">
        <v>107.084426088914</v>
      </c>
      <c r="AK2628">
        <v>30.989926547897898</v>
      </c>
      <c r="AL2628">
        <v>79.914882323398601</v>
      </c>
      <c r="AM2628">
        <v>100.920561096437</v>
      </c>
      <c r="AN2628">
        <v>1.00000000076892</v>
      </c>
    </row>
    <row r="2629" spans="1:40" x14ac:dyDescent="0.25">
      <c r="A2629" t="str">
        <f>"20190303162830307"</f>
        <v>20190303162830307</v>
      </c>
      <c r="B2629" t="str">
        <f>"1551601710293885"</f>
        <v>1551601710293885</v>
      </c>
      <c r="C2629" t="s">
        <v>40</v>
      </c>
      <c r="D2629">
        <v>5.0505040000000001</v>
      </c>
      <c r="E2629">
        <v>0.47357660000000001</v>
      </c>
      <c r="F2629" t="s">
        <v>47</v>
      </c>
      <c r="G2629">
        <v>-487.72829999999999</v>
      </c>
      <c r="H2629" s="1">
        <v>5.062807E-6</v>
      </c>
      <c r="I2629">
        <v>226.4631</v>
      </c>
      <c r="J2629">
        <v>-492.44729999999998</v>
      </c>
      <c r="K2629">
        <v>1.1253959999999901</v>
      </c>
      <c r="L2629">
        <v>253.92449999999999</v>
      </c>
      <c r="M2629">
        <v>-8.5280320000000007E-2</v>
      </c>
      <c r="N2629">
        <v>-1.366347E-2</v>
      </c>
      <c r="O2629">
        <v>-0.99626329999999996</v>
      </c>
      <c r="P2629">
        <v>9.8888320000000002E-2</v>
      </c>
      <c r="Q2629">
        <v>0.16392579999999901</v>
      </c>
      <c r="R2629">
        <v>-0.98150369999999998</v>
      </c>
      <c r="S2629">
        <v>0.51263429999999999</v>
      </c>
      <c r="T2629">
        <v>-0.1227583</v>
      </c>
      <c r="U2629">
        <v>-3.025909</v>
      </c>
      <c r="V2629">
        <v>-0.1839346</v>
      </c>
      <c r="W2629">
        <v>0.17539649999999901</v>
      </c>
      <c r="X2629">
        <v>0.96716299999999999</v>
      </c>
      <c r="Y2629">
        <v>-0.25036900000000001</v>
      </c>
      <c r="Z2629">
        <v>2.5633449999999999E-2</v>
      </c>
      <c r="AA2629">
        <v>0.96781110000000004</v>
      </c>
      <c r="AB2629">
        <v>27</v>
      </c>
      <c r="AC2629">
        <v>4.7189999999999896</v>
      </c>
      <c r="AD2629">
        <v>-1.12539093719299</v>
      </c>
      <c r="AE2629">
        <v>-27.461400000000001</v>
      </c>
      <c r="AF2629">
        <v>-7.0324693156433202</v>
      </c>
      <c r="AG2629">
        <v>-1.12539093719299</v>
      </c>
      <c r="AH2629">
        <v>26.914958690240098</v>
      </c>
      <c r="AI2629">
        <v>92.316621660255706</v>
      </c>
      <c r="AJ2629">
        <v>104.64314646618701</v>
      </c>
      <c r="AK2629">
        <v>27.841284645905102</v>
      </c>
      <c r="AL2629">
        <v>79.898267927222193</v>
      </c>
      <c r="AM2629">
        <v>100.767894402156</v>
      </c>
      <c r="AN2629">
        <v>1.0000000689291999</v>
      </c>
    </row>
    <row r="2630" spans="1:40" x14ac:dyDescent="0.25">
      <c r="A2630" t="str">
        <f>"20190303162830327"</f>
        <v>20190303162830327</v>
      </c>
      <c r="B2630" t="str">
        <f>"1551601710314382"</f>
        <v>1551601710314382</v>
      </c>
      <c r="C2630" t="s">
        <v>40</v>
      </c>
      <c r="D2630">
        <v>5.1120960000000002</v>
      </c>
      <c r="E2630">
        <v>0.4734006</v>
      </c>
      <c r="F2630" t="s">
        <v>47</v>
      </c>
      <c r="G2630">
        <v>-487.78730000000002</v>
      </c>
      <c r="H2630" s="1">
        <v>5.1997780000000004E-6</v>
      </c>
      <c r="I2630">
        <v>226.8545</v>
      </c>
      <c r="J2630">
        <v>-492.46249999999998</v>
      </c>
      <c r="K2630">
        <v>1.125302</v>
      </c>
      <c r="L2630">
        <v>253.6859</v>
      </c>
      <c r="M2630">
        <v>-8.0563599999999999E-2</v>
      </c>
      <c r="N2630">
        <v>-1.365481E-2</v>
      </c>
      <c r="O2630">
        <v>-0.99665610000000004</v>
      </c>
      <c r="P2630">
        <v>0.1016929</v>
      </c>
      <c r="Q2630">
        <v>0.16391819999999999</v>
      </c>
      <c r="R2630">
        <v>-0.98121849999999999</v>
      </c>
      <c r="S2630">
        <v>0.52075199999999999</v>
      </c>
      <c r="T2630">
        <v>-0.1257617</v>
      </c>
      <c r="U2630">
        <v>-3.025055</v>
      </c>
      <c r="V2630">
        <v>-0.18207499999999999</v>
      </c>
      <c r="W2630">
        <v>0.17544479999999901</v>
      </c>
      <c r="X2630">
        <v>0.96750599999999998</v>
      </c>
      <c r="Y2630">
        <v>-0.24834909999999999</v>
      </c>
      <c r="Z2630">
        <v>2.6645970000000001E-2</v>
      </c>
      <c r="AA2630">
        <v>0.96830400000000005</v>
      </c>
      <c r="AB2630">
        <v>27</v>
      </c>
      <c r="AC2630">
        <v>4.6751999999999603</v>
      </c>
      <c r="AD2630">
        <v>-1.1252968002220001</v>
      </c>
      <c r="AE2630">
        <v>-26.831399999999999</v>
      </c>
      <c r="AF2630">
        <v>-6.8102099734116504</v>
      </c>
      <c r="AG2630">
        <v>-1.1252968002220001</v>
      </c>
      <c r="AH2630">
        <v>26.322546337032701</v>
      </c>
      <c r="AI2630">
        <v>92.369979960241494</v>
      </c>
      <c r="AJ2630">
        <v>104.505583189395</v>
      </c>
      <c r="AK2630">
        <v>27.2125283359664</v>
      </c>
      <c r="AL2630">
        <v>79.895456471415798</v>
      </c>
      <c r="AM2630">
        <v>100.657844541559</v>
      </c>
      <c r="AN2630">
        <v>1.0000000217540099</v>
      </c>
    </row>
    <row r="2631" spans="1:40" x14ac:dyDescent="0.25">
      <c r="A2631" t="str">
        <f>"20190303162830348"</f>
        <v>20190303162830348</v>
      </c>
      <c r="B2631" t="str">
        <f>"1551601710333901"</f>
        <v>1551601710333901</v>
      </c>
      <c r="C2631" t="s">
        <v>40</v>
      </c>
      <c r="D2631">
        <v>5.1105679999999998</v>
      </c>
      <c r="E2631">
        <v>0.47329909999999997</v>
      </c>
      <c r="F2631" t="s">
        <v>47</v>
      </c>
      <c r="G2631">
        <v>-487.81700000000001</v>
      </c>
      <c r="H2631" s="1">
        <v>5.2933029999999997E-6</v>
      </c>
      <c r="I2631">
        <v>227.131</v>
      </c>
      <c r="J2631">
        <v>-492.47750000000002</v>
      </c>
      <c r="K2631">
        <v>1.125178</v>
      </c>
      <c r="L2631">
        <v>253.43109999999999</v>
      </c>
      <c r="M2631">
        <v>-7.5661119999999998E-2</v>
      </c>
      <c r="N2631">
        <v>-1.3644079999999999E-2</v>
      </c>
      <c r="O2631">
        <v>-0.99704029999999999</v>
      </c>
      <c r="P2631">
        <v>0.1051979</v>
      </c>
      <c r="Q2631">
        <v>0.16322639999999999</v>
      </c>
      <c r="R2631">
        <v>-0.98096419999999995</v>
      </c>
      <c r="S2631">
        <v>0.5290222</v>
      </c>
      <c r="T2631">
        <v>-0.128147699999999</v>
      </c>
      <c r="U2631">
        <v>-3.0240480000000001</v>
      </c>
      <c r="V2631">
        <v>-0.1807221</v>
      </c>
      <c r="W2631">
        <v>0.17481150000000001</v>
      </c>
      <c r="X2631">
        <v>0.96787420000000002</v>
      </c>
      <c r="Y2631">
        <v>-0.24620520000000001</v>
      </c>
      <c r="Z2631">
        <v>2.746612E-2</v>
      </c>
      <c r="AA2631">
        <v>0.96882849999999998</v>
      </c>
      <c r="AB2631">
        <v>27</v>
      </c>
      <c r="AC2631">
        <v>4.66050000000007</v>
      </c>
      <c r="AD2631">
        <v>-1.1251727066969901</v>
      </c>
      <c r="AE2631">
        <v>-26.3001</v>
      </c>
      <c r="AF2631">
        <v>-6.6254613290709399</v>
      </c>
      <c r="AG2631">
        <v>-1.1251727066969901</v>
      </c>
      <c r="AH2631">
        <v>25.8262168971027</v>
      </c>
      <c r="AI2631">
        <v>92.416478534981394</v>
      </c>
      <c r="AJ2631">
        <v>104.388377132269</v>
      </c>
      <c r="AK2631">
        <v>26.686255463423599</v>
      </c>
      <c r="AL2631">
        <v>79.932311262497095</v>
      </c>
      <c r="AM2631">
        <v>100.57651227579299</v>
      </c>
      <c r="AN2631">
        <v>1.0000000024931499</v>
      </c>
    </row>
    <row r="2632" spans="1:40" x14ac:dyDescent="0.25">
      <c r="A2632" t="str">
        <f>"20190303162830361"</f>
        <v>20190303162830361</v>
      </c>
      <c r="B2632" t="str">
        <f>"1551601710354396"</f>
        <v>1551601710354396</v>
      </c>
      <c r="C2632" t="s">
        <v>40</v>
      </c>
      <c r="D2632">
        <v>5.2256269999999896</v>
      </c>
      <c r="E2632">
        <v>0.47345300000000001</v>
      </c>
      <c r="F2632" t="s">
        <v>47</v>
      </c>
      <c r="G2632">
        <v>-487.8895</v>
      </c>
      <c r="H2632" s="1">
        <v>5.4769510000000004E-6</v>
      </c>
      <c r="I2632">
        <v>227.66149999999999</v>
      </c>
      <c r="J2632">
        <v>-492.48649999999998</v>
      </c>
      <c r="K2632">
        <v>1.125094</v>
      </c>
      <c r="L2632">
        <v>253.27189999999999</v>
      </c>
      <c r="M2632">
        <v>-7.2670150000000003E-2</v>
      </c>
      <c r="N2632">
        <v>-1.3637160000000001E-2</v>
      </c>
      <c r="O2632">
        <v>-0.99726300000000001</v>
      </c>
      <c r="P2632">
        <v>0.1073713</v>
      </c>
      <c r="Q2632">
        <v>0.16253000000000001</v>
      </c>
      <c r="R2632">
        <v>-0.98084439999999995</v>
      </c>
      <c r="S2632">
        <v>0.5381165</v>
      </c>
      <c r="T2632">
        <v>-0.13196749999999999</v>
      </c>
      <c r="U2632">
        <v>-3.0224299999999999</v>
      </c>
      <c r="V2632">
        <v>-0.17992920000000001</v>
      </c>
      <c r="W2632">
        <v>0.17415420000000001</v>
      </c>
      <c r="X2632">
        <v>0.96814040000000001</v>
      </c>
      <c r="Y2632">
        <v>-0.2462048</v>
      </c>
      <c r="Z2632">
        <v>2.8727160000000002E-2</v>
      </c>
      <c r="AA2632">
        <v>0.96879199999999999</v>
      </c>
      <c r="AB2632">
        <v>27</v>
      </c>
      <c r="AC2632">
        <v>4.59699999999998</v>
      </c>
      <c r="AD2632">
        <v>-1.125088523049</v>
      </c>
      <c r="AE2632">
        <v>-25.610399999999998</v>
      </c>
      <c r="AF2632">
        <v>-6.4340979708641601</v>
      </c>
      <c r="AG2632">
        <v>-1.125088523049</v>
      </c>
      <c r="AH2632">
        <v>25.161534422898701</v>
      </c>
      <c r="AI2632">
        <v>92.480542965901407</v>
      </c>
      <c r="AJ2632">
        <v>104.343831415354</v>
      </c>
      <c r="AK2632">
        <v>25.995504522861101</v>
      </c>
      <c r="AL2632">
        <v>79.970558642938201</v>
      </c>
      <c r="AM2632">
        <v>100.52831828276901</v>
      </c>
      <c r="AN2632">
        <v>1.0000000182512101</v>
      </c>
    </row>
    <row r="2633" spans="1:40" x14ac:dyDescent="0.25">
      <c r="A2633" t="str">
        <f>"20190303162830374"</f>
        <v>20190303162830374</v>
      </c>
      <c r="B2633" t="str">
        <f>"1551601710364156"</f>
        <v>1551601710364156</v>
      </c>
      <c r="C2633" t="s">
        <v>40</v>
      </c>
      <c r="D2633">
        <v>5.2331599999999998</v>
      </c>
      <c r="E2633">
        <v>0.47562579999999999</v>
      </c>
      <c r="F2633" t="s">
        <v>47</v>
      </c>
      <c r="G2633">
        <v>-488.00940000000003</v>
      </c>
      <c r="H2633" s="1">
        <v>5.7177419999999901E-6</v>
      </c>
      <c r="I2633">
        <v>228.33580000000001</v>
      </c>
      <c r="J2633">
        <v>-492.49459999999999</v>
      </c>
      <c r="K2633">
        <v>1.1250020000000001</v>
      </c>
      <c r="L2633">
        <v>253.1181</v>
      </c>
      <c r="M2633">
        <v>-6.988867E-2</v>
      </c>
      <c r="N2633">
        <v>-1.362974E-2</v>
      </c>
      <c r="O2633">
        <v>-0.99746190000000001</v>
      </c>
      <c r="P2633">
        <v>0.1090354</v>
      </c>
      <c r="Q2633">
        <v>0.16158710000000001</v>
      </c>
      <c r="R2633">
        <v>-0.98081669999999999</v>
      </c>
      <c r="S2633">
        <v>0.54254150000000001</v>
      </c>
      <c r="T2633">
        <v>-0.13633979999999901</v>
      </c>
      <c r="U2633">
        <v>-3.0217900000000002</v>
      </c>
      <c r="V2633">
        <v>-0.17883370000000001</v>
      </c>
      <c r="W2633">
        <v>0.17325769999999999</v>
      </c>
      <c r="X2633">
        <v>0.96850409999999998</v>
      </c>
      <c r="Y2633">
        <v>-0.2449026</v>
      </c>
      <c r="Z2633">
        <v>3.0165750000000002E-2</v>
      </c>
      <c r="AA2633">
        <v>0.96907829999999995</v>
      </c>
      <c r="AB2633">
        <v>27</v>
      </c>
      <c r="AC2633">
        <v>4.4851999999999599</v>
      </c>
      <c r="AD2633">
        <v>-1.124996282258</v>
      </c>
      <c r="AE2633">
        <v>-24.7822999999999</v>
      </c>
      <c r="AF2633">
        <v>-6.1940339122812702</v>
      </c>
      <c r="AG2633">
        <v>-1.124996282258</v>
      </c>
      <c r="AH2633">
        <v>24.3595911077145</v>
      </c>
      <c r="AI2633">
        <v>92.562768412922907</v>
      </c>
      <c r="AJ2633">
        <v>104.26653936050199</v>
      </c>
      <c r="AK2633">
        <v>25.159915573718202</v>
      </c>
      <c r="AL2633">
        <v>80.022716633635895</v>
      </c>
      <c r="AM2633">
        <v>100.46179372839801</v>
      </c>
      <c r="AN2633">
        <v>0.99999995729089397</v>
      </c>
    </row>
    <row r="2634" spans="1:40" x14ac:dyDescent="0.25">
      <c r="A2634" t="str">
        <f>"20190303162830393"</f>
        <v>20190303162830393</v>
      </c>
      <c r="B2634" t="str">
        <f>"1551601710383676"</f>
        <v>1551601710383676</v>
      </c>
      <c r="C2634" t="s">
        <v>40</v>
      </c>
      <c r="D2634">
        <v>5.1681689999999998</v>
      </c>
      <c r="E2634">
        <v>0.47839559999999998</v>
      </c>
      <c r="F2634" t="s">
        <v>47</v>
      </c>
      <c r="G2634">
        <v>-488.18729999999999</v>
      </c>
      <c r="H2634" s="1">
        <v>5.8235199999999999E-6</v>
      </c>
      <c r="I2634">
        <v>228.52449999999999</v>
      </c>
      <c r="J2634">
        <v>-492.5061</v>
      </c>
      <c r="K2634">
        <v>1.124841</v>
      </c>
      <c r="L2634">
        <v>252.89169999999999</v>
      </c>
      <c r="M2634">
        <v>-6.5949560000000004E-2</v>
      </c>
      <c r="N2634">
        <v>-1.361769E-2</v>
      </c>
      <c r="O2634">
        <v>-0.99773009999999995</v>
      </c>
      <c r="P2634">
        <v>0.1095117</v>
      </c>
      <c r="Q2634">
        <v>0.1597943</v>
      </c>
      <c r="R2634">
        <v>-0.98105699999999996</v>
      </c>
      <c r="S2634">
        <v>0.52938839999999998</v>
      </c>
      <c r="T2634">
        <v>-0.13826550000000001</v>
      </c>
      <c r="U2634">
        <v>-3.0226289999999998</v>
      </c>
      <c r="V2634">
        <v>-0.17541019999999999</v>
      </c>
      <c r="W2634">
        <v>0.1715612</v>
      </c>
      <c r="X2634">
        <v>0.96943179999999995</v>
      </c>
      <c r="Y2634">
        <v>-0.23692959999999999</v>
      </c>
      <c r="Z2634">
        <v>3.0871139999999998E-2</v>
      </c>
      <c r="AA2634">
        <v>0.97103620000000002</v>
      </c>
      <c r="AB2634">
        <v>27</v>
      </c>
      <c r="AC2634">
        <v>4.3188000000000004</v>
      </c>
      <c r="AD2634">
        <v>-1.12483517648</v>
      </c>
      <c r="AE2634">
        <v>-24.3672</v>
      </c>
      <c r="AF2634">
        <v>-5.9043525883254597</v>
      </c>
      <c r="AG2634">
        <v>-1.12483517648</v>
      </c>
      <c r="AH2634">
        <v>23.979749831988599</v>
      </c>
      <c r="AI2634">
        <v>92.607869104953707</v>
      </c>
      <c r="AJ2634">
        <v>103.83235668891599</v>
      </c>
      <c r="AK2634">
        <v>24.721550025560099</v>
      </c>
      <c r="AL2634">
        <v>80.121397055878901</v>
      </c>
      <c r="AM2634">
        <v>100.25620220811101</v>
      </c>
      <c r="AN2634">
        <v>0.99999999923035998</v>
      </c>
    </row>
    <row r="2635" spans="1:40" x14ac:dyDescent="0.25">
      <c r="A2635" t="str">
        <f>"20190303162830409"</f>
        <v>20190303162830409</v>
      </c>
      <c r="B2635" t="str">
        <f>"1551601710394414"</f>
        <v>1551601710394414</v>
      </c>
      <c r="C2635" t="s">
        <v>40</v>
      </c>
      <c r="D2635">
        <v>5.170528</v>
      </c>
      <c r="E2635">
        <v>0.4795122</v>
      </c>
      <c r="F2635" t="s">
        <v>47</v>
      </c>
      <c r="G2635">
        <v>-488.56229999999999</v>
      </c>
      <c r="H2635" s="1">
        <v>6.1967560000000002E-6</v>
      </c>
      <c r="I2635">
        <v>229.40719999999999</v>
      </c>
      <c r="J2635">
        <v>-492.51429999999999</v>
      </c>
      <c r="K2635">
        <v>1.1247020000000001</v>
      </c>
      <c r="L2635">
        <v>252.72059999999999</v>
      </c>
      <c r="M2635">
        <v>-6.311783E-2</v>
      </c>
      <c r="N2635">
        <v>-1.360744E-2</v>
      </c>
      <c r="O2635">
        <v>-0.99791339999999995</v>
      </c>
      <c r="P2635">
        <v>0.1108407</v>
      </c>
      <c r="Q2635">
        <v>0.15910389999999999</v>
      </c>
      <c r="R2635">
        <v>-0.98102</v>
      </c>
      <c r="S2635">
        <v>0.50796509999999995</v>
      </c>
      <c r="T2635">
        <v>-0.14487910000000001</v>
      </c>
      <c r="U2635">
        <v>-3.0248110000000001</v>
      </c>
      <c r="V2635">
        <v>-0.17391300000000001</v>
      </c>
      <c r="W2635">
        <v>0.1709359</v>
      </c>
      <c r="X2635">
        <v>0.96981189999999995</v>
      </c>
      <c r="Y2635">
        <v>-0.22735030000000001</v>
      </c>
      <c r="Z2635">
        <v>3.3077599999999999E-2</v>
      </c>
      <c r="AA2635">
        <v>0.97325110000000004</v>
      </c>
      <c r="AB2635">
        <v>27</v>
      </c>
      <c r="AC2635">
        <v>3.9519999999999902</v>
      </c>
      <c r="AD2635">
        <v>-1.124695803244</v>
      </c>
      <c r="AE2635">
        <v>-23.313400000000001</v>
      </c>
      <c r="AF2635">
        <v>-5.4035213914619904</v>
      </c>
      <c r="AG2635">
        <v>-1.124695803244</v>
      </c>
      <c r="AH2635">
        <v>22.965486237640199</v>
      </c>
      <c r="AI2635">
        <v>92.729310303786207</v>
      </c>
      <c r="AJ2635">
        <v>103.24023049396401</v>
      </c>
      <c r="AK2635">
        <v>23.619410284955599</v>
      </c>
      <c r="AL2635">
        <v>80.157760968908306</v>
      </c>
      <c r="AM2635">
        <v>100.166593172682</v>
      </c>
      <c r="AN2635">
        <v>0.99999996742970898</v>
      </c>
    </row>
    <row r="2636" spans="1:40" x14ac:dyDescent="0.25">
      <c r="A2636" t="str">
        <f>"20190303162830426"</f>
        <v>20190303162830426</v>
      </c>
      <c r="B2636" t="str">
        <f>"1551601710413933"</f>
        <v>1551601710413933</v>
      </c>
      <c r="C2636" t="s">
        <v>40</v>
      </c>
      <c r="D2636">
        <v>5.0519579999999999</v>
      </c>
      <c r="E2636">
        <v>0.48133999999999999</v>
      </c>
      <c r="F2636" t="s">
        <v>41</v>
      </c>
      <c r="G2636">
        <v>-488.6977</v>
      </c>
      <c r="H2636" s="1">
        <v>-3.8226030000000001E-7</v>
      </c>
      <c r="I2636">
        <v>229.75309999999999</v>
      </c>
      <c r="J2636">
        <v>-492.52409999999998</v>
      </c>
      <c r="K2636">
        <v>1.124509</v>
      </c>
      <c r="L2636">
        <v>252.50710000000001</v>
      </c>
      <c r="M2636">
        <v>-5.9771060000000001E-2</v>
      </c>
      <c r="N2636">
        <v>-1.3593340000000001E-2</v>
      </c>
      <c r="O2636">
        <v>-0.99811970000000005</v>
      </c>
      <c r="P2636">
        <v>0.1107119</v>
      </c>
      <c r="Q2636">
        <v>0.158367799999999</v>
      </c>
      <c r="R2636">
        <v>-0.98115370000000002</v>
      </c>
      <c r="S2636">
        <v>0.5027161</v>
      </c>
      <c r="T2636">
        <v>-0.14814330000000001</v>
      </c>
      <c r="U2636">
        <v>-3.025223</v>
      </c>
      <c r="V2636">
        <v>-0.17044819999999999</v>
      </c>
      <c r="W2636">
        <v>0.1703007</v>
      </c>
      <c r="X2636">
        <v>0.97053860000000003</v>
      </c>
      <c r="Y2636">
        <v>-0.2224119</v>
      </c>
      <c r="Z2636">
        <v>3.4190730000000003E-2</v>
      </c>
      <c r="AA2636">
        <v>0.97435309999999997</v>
      </c>
      <c r="AB2636">
        <v>27</v>
      </c>
      <c r="AC2636">
        <v>3.8263999999999698</v>
      </c>
      <c r="AD2636">
        <v>-1.1245093822603001</v>
      </c>
      <c r="AE2636">
        <v>-22.754000000000001</v>
      </c>
      <c r="AF2636">
        <v>-5.1674400419704902</v>
      </c>
      <c r="AG2636">
        <v>-1.1245093822603001</v>
      </c>
      <c r="AH2636">
        <v>22.431303031310801</v>
      </c>
      <c r="AI2636">
        <v>92.796775784966698</v>
      </c>
      <c r="AJ2636">
        <v>102.972753534162</v>
      </c>
      <c r="AK2636">
        <v>23.046264634873999</v>
      </c>
      <c r="AL2636">
        <v>80.194697608204805</v>
      </c>
      <c r="AM2636">
        <v>99.960836305971497</v>
      </c>
      <c r="AN2636">
        <v>1.0000000456968401</v>
      </c>
    </row>
    <row r="2637" spans="1:40" x14ac:dyDescent="0.25">
      <c r="A2637" t="str">
        <f>"20190303162830439"</f>
        <v>20190303162830439</v>
      </c>
      <c r="B2637" t="str">
        <f>"1551601710434429"</f>
        <v>1551601710434429</v>
      </c>
      <c r="C2637" t="s">
        <v>40</v>
      </c>
      <c r="D2637">
        <v>5.2269889999999997</v>
      </c>
      <c r="E2637">
        <v>0.48280519999999999</v>
      </c>
      <c r="F2637" t="s">
        <v>41</v>
      </c>
      <c r="G2637">
        <v>-488.91559999999998</v>
      </c>
      <c r="H2637" s="1">
        <v>-4.3306580000000001E-7</v>
      </c>
      <c r="I2637">
        <v>230.0728</v>
      </c>
      <c r="J2637">
        <v>-492.53109999999998</v>
      </c>
      <c r="K2637">
        <v>1.1243620000000001</v>
      </c>
      <c r="L2637">
        <v>252.3466</v>
      </c>
      <c r="M2637">
        <v>-5.7396320000000001E-2</v>
      </c>
      <c r="N2637">
        <v>-1.358241E-2</v>
      </c>
      <c r="O2637">
        <v>-0.99825900000000001</v>
      </c>
      <c r="P2637">
        <v>0.11107930000000001</v>
      </c>
      <c r="Q2637">
        <v>0.1583561</v>
      </c>
      <c r="R2637">
        <v>-0.98111400000000004</v>
      </c>
      <c r="S2637">
        <v>0.48690800000000001</v>
      </c>
      <c r="T2637">
        <v>-0.1517357</v>
      </c>
      <c r="U2637">
        <v>-3.0271759999999999</v>
      </c>
      <c r="V2637">
        <v>-0.16843720000000001</v>
      </c>
      <c r="W2637">
        <v>0.17035799999999901</v>
      </c>
      <c r="X2637">
        <v>0.97087959999999995</v>
      </c>
      <c r="Y2637">
        <v>-0.21502379999999999</v>
      </c>
      <c r="Z2637">
        <v>3.5405289999999999E-2</v>
      </c>
      <c r="AA2637">
        <v>0.97596680000000002</v>
      </c>
      <c r="AB2637">
        <v>27</v>
      </c>
      <c r="AC2637">
        <v>3.6154999999999902</v>
      </c>
      <c r="AD2637">
        <v>-1.1243624330658</v>
      </c>
      <c r="AE2637">
        <v>-22.273799999999898</v>
      </c>
      <c r="AF2637">
        <v>-4.8759850841537</v>
      </c>
      <c r="AG2637">
        <v>-1.1243624330658</v>
      </c>
      <c r="AH2637">
        <v>21.974980756428302</v>
      </c>
      <c r="AI2637">
        <v>92.859587618333094</v>
      </c>
      <c r="AJ2637">
        <v>102.510559426233</v>
      </c>
      <c r="AK2637">
        <v>22.537506531716701</v>
      </c>
      <c r="AL2637">
        <v>80.191366096130096</v>
      </c>
      <c r="AM2637">
        <v>99.842238044084098</v>
      </c>
      <c r="AN2637">
        <v>1.00000006810199</v>
      </c>
    </row>
    <row r="2638" spans="1:40" x14ac:dyDescent="0.25">
      <c r="A2638" t="str">
        <f>"20190303162830453"</f>
        <v>20190303162830453</v>
      </c>
      <c r="B2638" t="str">
        <f>"1551601710444189"</f>
        <v>1551601710444189</v>
      </c>
      <c r="C2638" t="s">
        <v>40</v>
      </c>
      <c r="D2638">
        <v>5.2905259999999998</v>
      </c>
      <c r="E2638">
        <v>0.4833713</v>
      </c>
      <c r="F2638" t="s">
        <v>41</v>
      </c>
      <c r="G2638">
        <v>-488.9991</v>
      </c>
      <c r="H2638" s="1">
        <v>-3.4968609999999999E-7</v>
      </c>
      <c r="I2638">
        <v>229.8931</v>
      </c>
      <c r="J2638">
        <v>-492.53800000000001</v>
      </c>
      <c r="K2638">
        <v>1.12422</v>
      </c>
      <c r="L2638">
        <v>252.18190000000001</v>
      </c>
      <c r="M2638">
        <v>-5.5081989999999997E-2</v>
      </c>
      <c r="N2638">
        <v>-1.357158E-2</v>
      </c>
      <c r="O2638">
        <v>-0.99838979999999999</v>
      </c>
      <c r="P2638">
        <v>0.1113476</v>
      </c>
      <c r="Q2638">
        <v>0.15804270000000001</v>
      </c>
      <c r="R2638">
        <v>-0.98113419999999896</v>
      </c>
      <c r="S2638">
        <v>0.47634890000000002</v>
      </c>
      <c r="T2638">
        <v>-0.15164240000000001</v>
      </c>
      <c r="U2638">
        <v>-3.028305</v>
      </c>
      <c r="V2638">
        <v>-0.1663866</v>
      </c>
      <c r="W2638">
        <v>0.17011319999999999</v>
      </c>
      <c r="X2638">
        <v>0.97127600000000003</v>
      </c>
      <c r="Y2638">
        <v>-0.2093827</v>
      </c>
      <c r="Z2638">
        <v>3.5425419999999999E-2</v>
      </c>
      <c r="AA2638">
        <v>0.9771919</v>
      </c>
      <c r="AB2638">
        <v>27</v>
      </c>
      <c r="AC2638">
        <v>3.5389000000000101</v>
      </c>
      <c r="AD2638">
        <v>-1.1242203496861001</v>
      </c>
      <c r="AE2638">
        <v>-22.288799999999998</v>
      </c>
      <c r="AF2638">
        <v>-4.7495645505286799</v>
      </c>
      <c r="AG2638">
        <v>-1.1242203496861001</v>
      </c>
      <c r="AH2638">
        <v>22.005401390425501</v>
      </c>
      <c r="AI2638">
        <v>92.858885952727107</v>
      </c>
      <c r="AJ2638">
        <v>102.179672009402</v>
      </c>
      <c r="AK2638">
        <v>22.5401846746655</v>
      </c>
      <c r="AL2638">
        <v>80.205599537672299</v>
      </c>
      <c r="AM2638">
        <v>99.720824479810702</v>
      </c>
      <c r="AN2638">
        <v>1.0000000348248901</v>
      </c>
    </row>
    <row r="2639" spans="1:40" x14ac:dyDescent="0.25">
      <c r="A2639" t="str">
        <f>"20190303162830472"</f>
        <v>20190303162830472</v>
      </c>
      <c r="B2639" t="str">
        <f>"1551601710463709"</f>
        <v>1551601710463709</v>
      </c>
      <c r="C2639" t="s">
        <v>40</v>
      </c>
      <c r="D2639">
        <v>5.3490989999999998</v>
      </c>
      <c r="E2639">
        <v>0.48431590000000002</v>
      </c>
      <c r="F2639" t="s">
        <v>41</v>
      </c>
      <c r="G2639">
        <v>-489.02859999999998</v>
      </c>
      <c r="H2639" s="1">
        <v>-2.7933099999999998E-7</v>
      </c>
      <c r="I2639">
        <v>229.70939999999999</v>
      </c>
      <c r="J2639">
        <v>-492.54719999999998</v>
      </c>
      <c r="K2639">
        <v>1.124023</v>
      </c>
      <c r="L2639">
        <v>251.952</v>
      </c>
      <c r="M2639">
        <v>-5.2045260000000003E-2</v>
      </c>
      <c r="N2639">
        <v>-1.355693E-2</v>
      </c>
      <c r="O2639">
        <v>-0.99855269999999996</v>
      </c>
      <c r="P2639">
        <v>0.1086883</v>
      </c>
      <c r="Q2639">
        <v>0.1578619</v>
      </c>
      <c r="R2639">
        <v>-0.98146129999999998</v>
      </c>
      <c r="S2639">
        <v>0.47293089999999999</v>
      </c>
      <c r="T2639">
        <v>-0.15150189999999999</v>
      </c>
      <c r="U2639">
        <v>-3.0284270000000002</v>
      </c>
      <c r="V2639">
        <v>-0.16070100000000001</v>
      </c>
      <c r="W2639">
        <v>0.170048799999999</v>
      </c>
      <c r="X2639">
        <v>0.97224409999999994</v>
      </c>
      <c r="Y2639">
        <v>-0.2053266</v>
      </c>
      <c r="Z2639">
        <v>3.5434189999999997E-2</v>
      </c>
      <c r="AA2639">
        <v>0.97805180000000003</v>
      </c>
      <c r="AB2639">
        <v>27</v>
      </c>
      <c r="AC2639">
        <v>3.51859999999999</v>
      </c>
      <c r="AD2639">
        <v>-1.1240232793310001</v>
      </c>
      <c r="AE2639">
        <v>-22.242599999999999</v>
      </c>
      <c r="AF2639">
        <v>-4.65994891471993</v>
      </c>
      <c r="AG2639">
        <v>-1.1240232793310001</v>
      </c>
      <c r="AH2639">
        <v>21.974558745265099</v>
      </c>
      <c r="AI2639">
        <v>92.864598816361706</v>
      </c>
      <c r="AJ2639">
        <v>101.972836071098</v>
      </c>
      <c r="AK2639">
        <v>22.491326867692401</v>
      </c>
      <c r="AL2639">
        <v>80.209343576141904</v>
      </c>
      <c r="AM2639">
        <v>99.385489340871601</v>
      </c>
      <c r="AN2639">
        <v>0.99999999788362504</v>
      </c>
    </row>
    <row r="2640" spans="1:40" x14ac:dyDescent="0.25">
      <c r="A2640" t="str">
        <f>"20190303162830486"</f>
        <v>20190303162830486</v>
      </c>
      <c r="B2640" t="str">
        <f>"1551601710474446"</f>
        <v>1551601710474446</v>
      </c>
      <c r="C2640" t="s">
        <v>40</v>
      </c>
      <c r="D2640">
        <v>5.228046</v>
      </c>
      <c r="E2640">
        <v>0.48464000000000002</v>
      </c>
      <c r="F2640" t="s">
        <v>47</v>
      </c>
      <c r="G2640">
        <v>-489.1549</v>
      </c>
      <c r="H2640" s="1">
        <v>6.3979049999999997E-6</v>
      </c>
      <c r="I2640">
        <v>229.54750000000001</v>
      </c>
      <c r="J2640">
        <v>-492.553</v>
      </c>
      <c r="K2640">
        <v>1.123899</v>
      </c>
      <c r="L2640">
        <v>251.80279999999999</v>
      </c>
      <c r="M2640">
        <v>-5.0188150000000001E-2</v>
      </c>
      <c r="N2640">
        <v>-1.354758E-2</v>
      </c>
      <c r="O2640">
        <v>-0.99864819999999999</v>
      </c>
      <c r="P2640">
        <v>0.1073515</v>
      </c>
      <c r="Q2640">
        <v>0.15806619999999999</v>
      </c>
      <c r="R2640">
        <v>-0.98157570000000005</v>
      </c>
      <c r="S2640">
        <v>0.45883180000000001</v>
      </c>
      <c r="T2640">
        <v>-0.15202879999999999</v>
      </c>
      <c r="U2640">
        <v>-3.030319</v>
      </c>
      <c r="V2640">
        <v>-0.15750729999999999</v>
      </c>
      <c r="W2640">
        <v>0.17031949999999901</v>
      </c>
      <c r="X2640">
        <v>0.97271929999999995</v>
      </c>
      <c r="Y2640">
        <v>-0.19896520000000001</v>
      </c>
      <c r="Z2640">
        <v>3.5644120000000001E-2</v>
      </c>
      <c r="AA2640">
        <v>0.97935810000000001</v>
      </c>
      <c r="AB2640">
        <v>27</v>
      </c>
      <c r="AC2640">
        <v>3.3981000000000501</v>
      </c>
      <c r="AD2640">
        <v>-1.123892602095</v>
      </c>
      <c r="AE2640">
        <v>-22.255299999999899</v>
      </c>
      <c r="AF2640">
        <v>-4.4996575527391602</v>
      </c>
      <c r="AG2640">
        <v>-1.123892602095</v>
      </c>
      <c r="AH2640">
        <v>22.001856442653398</v>
      </c>
      <c r="AI2640">
        <v>92.865025297366302</v>
      </c>
      <c r="AJ2640">
        <v>101.558325668272</v>
      </c>
      <c r="AK2640">
        <v>22.485367232849299</v>
      </c>
      <c r="AL2640">
        <v>80.193604610390096</v>
      </c>
      <c r="AM2640">
        <v>99.197770176585195</v>
      </c>
      <c r="AN2640">
        <v>1.00000005911301</v>
      </c>
    </row>
    <row r="2641" spans="1:40" x14ac:dyDescent="0.25">
      <c r="A2641" t="str">
        <f>"20190303162830505"</f>
        <v>20190303162830505</v>
      </c>
      <c r="B2641" t="str">
        <f>"1551601710493965"</f>
        <v>1551601710493965</v>
      </c>
      <c r="C2641" t="s">
        <v>40</v>
      </c>
      <c r="D2641">
        <v>5.2854640000000002</v>
      </c>
      <c r="E2641">
        <v>0.4852476</v>
      </c>
      <c r="F2641" t="s">
        <v>47</v>
      </c>
      <c r="G2641">
        <v>-489.18979999999999</v>
      </c>
      <c r="H2641" s="1">
        <v>6.3219910000000002E-6</v>
      </c>
      <c r="I2641">
        <v>229.27250000000001</v>
      </c>
      <c r="J2641">
        <v>-492.56150000000002</v>
      </c>
      <c r="K2641">
        <v>1.1237140000000001</v>
      </c>
      <c r="L2641">
        <v>251.57419999999999</v>
      </c>
      <c r="M2641">
        <v>-4.756494E-2</v>
      </c>
      <c r="N2641">
        <v>-1.353305E-2</v>
      </c>
      <c r="O2641">
        <v>-0.99877629999999995</v>
      </c>
      <c r="P2641">
        <v>0.1032619</v>
      </c>
      <c r="Q2641">
        <v>0.15903249999999999</v>
      </c>
      <c r="R2641">
        <v>-0.98185800000000001</v>
      </c>
      <c r="S2641">
        <v>0.4524841</v>
      </c>
      <c r="T2641">
        <v>-0.15120449999999999</v>
      </c>
      <c r="U2641">
        <v>-3.0311430000000001</v>
      </c>
      <c r="V2641">
        <v>-0.15080009999999999</v>
      </c>
      <c r="W2641">
        <v>0.17139399999999999</v>
      </c>
      <c r="X2641">
        <v>0.97359309999999999</v>
      </c>
      <c r="Y2641">
        <v>-0.19434770000000001</v>
      </c>
      <c r="Z2641">
        <v>3.5422540000000002E-2</v>
      </c>
      <c r="AA2641">
        <v>0.98029290000000002</v>
      </c>
      <c r="AB2641">
        <v>27</v>
      </c>
      <c r="AC2641">
        <v>3.3717000000000299</v>
      </c>
      <c r="AD2641">
        <v>-1.1237076780089901</v>
      </c>
      <c r="AE2641">
        <v>-22.301699999999901</v>
      </c>
      <c r="AF2641">
        <v>-4.4177940656904404</v>
      </c>
      <c r="AG2641">
        <v>-1.1237076780089901</v>
      </c>
      <c r="AH2641">
        <v>22.0613057856845</v>
      </c>
      <c r="AI2641">
        <v>92.8592124382413</v>
      </c>
      <c r="AJ2641">
        <v>101.323748737831</v>
      </c>
      <c r="AK2641">
        <v>22.5273353133908</v>
      </c>
      <c r="AL2641">
        <v>80.1311214351324</v>
      </c>
      <c r="AM2641">
        <v>98.804593428666806</v>
      </c>
      <c r="AN2641">
        <v>1.0000000488817999</v>
      </c>
    </row>
    <row r="2642" spans="1:40" x14ac:dyDescent="0.25">
      <c r="A2642" t="str">
        <f>"20190303162830529"</f>
        <v>20190303162830529</v>
      </c>
      <c r="B2642" t="str">
        <f>"1551601710514461"</f>
        <v>1551601710514461</v>
      </c>
      <c r="C2642" t="s">
        <v>40</v>
      </c>
      <c r="D2642">
        <v>5.2839729999999996</v>
      </c>
      <c r="E2642">
        <v>0.48581590000000002</v>
      </c>
      <c r="F2642" t="s">
        <v>47</v>
      </c>
      <c r="G2642">
        <v>-489.22480000000002</v>
      </c>
      <c r="H2642" s="1">
        <v>6.0400249999999998E-6</v>
      </c>
      <c r="I2642">
        <v>228.3322</v>
      </c>
      <c r="J2642">
        <v>-492.57100000000003</v>
      </c>
      <c r="K2642">
        <v>1.1234999999999999</v>
      </c>
      <c r="L2642">
        <v>251.3022</v>
      </c>
      <c r="M2642">
        <v>-4.4737819999999998E-2</v>
      </c>
      <c r="N2642">
        <v>-1.3515930000000001E-2</v>
      </c>
      <c r="O2642">
        <v>-0.99890769999999995</v>
      </c>
      <c r="P2642">
        <v>9.8517430000000003E-2</v>
      </c>
      <c r="Q2642">
        <v>0.15904460000000001</v>
      </c>
      <c r="R2642">
        <v>-0.98234399999999999</v>
      </c>
      <c r="S2642">
        <v>0.43548579999999998</v>
      </c>
      <c r="T2642">
        <v>-0.14665899999999901</v>
      </c>
      <c r="U2642">
        <v>-3.0333860000000001</v>
      </c>
      <c r="V2642">
        <v>-0.14323129999999901</v>
      </c>
      <c r="W2642">
        <v>0.1715198</v>
      </c>
      <c r="X2642">
        <v>0.9747131</v>
      </c>
      <c r="Y2642">
        <v>-0.18609329999999999</v>
      </c>
      <c r="Z2642">
        <v>3.4006420000000002E-2</v>
      </c>
      <c r="AA2642">
        <v>0.98194340000000002</v>
      </c>
      <c r="AB2642">
        <v>27</v>
      </c>
      <c r="AC2642">
        <v>3.3461999999999499</v>
      </c>
      <c r="AD2642">
        <v>-1.123493959975</v>
      </c>
      <c r="AE2642">
        <v>-22.97</v>
      </c>
      <c r="AF2642">
        <v>-4.3603556682004401</v>
      </c>
      <c r="AG2642">
        <v>-1.123493959975</v>
      </c>
      <c r="AH2642">
        <v>22.7440018178653</v>
      </c>
      <c r="AI2642">
        <v>92.777462254184201</v>
      </c>
      <c r="AJ2642">
        <v>100.852749919242</v>
      </c>
      <c r="AK2642">
        <v>23.185438510461001</v>
      </c>
      <c r="AL2642">
        <v>80.123804172094793</v>
      </c>
      <c r="AM2642">
        <v>98.359622349503496</v>
      </c>
      <c r="AN2642">
        <v>0.99999993720166802</v>
      </c>
    </row>
    <row r="2643" spans="1:40" x14ac:dyDescent="0.25">
      <c r="A2643" t="str">
        <f>"20190303162830550"</f>
        <v>20190303162830550</v>
      </c>
      <c r="B2643" t="str">
        <f>"1551601710543742"</f>
        <v>1551601710543742</v>
      </c>
      <c r="C2643" t="s">
        <v>40</v>
      </c>
      <c r="D2643">
        <v>5.2835939999999999</v>
      </c>
      <c r="E2643">
        <v>0.48625020000000002</v>
      </c>
      <c r="F2643" t="s">
        <v>47</v>
      </c>
      <c r="G2643">
        <v>-489.34249999999997</v>
      </c>
      <c r="H2643" s="1">
        <v>5.9025160000000003E-6</v>
      </c>
      <c r="I2643">
        <v>227.78720000000001</v>
      </c>
      <c r="J2643">
        <v>-492.5797</v>
      </c>
      <c r="K2643">
        <v>1.1233059999999999</v>
      </c>
      <c r="L2643">
        <v>251.04480000000001</v>
      </c>
      <c r="M2643">
        <v>-4.230159E-2</v>
      </c>
      <c r="N2643">
        <v>-1.3500679999999999E-2</v>
      </c>
      <c r="O2643">
        <v>-0.99901379999999995</v>
      </c>
      <c r="P2643">
        <v>9.1976810000000006E-2</v>
      </c>
      <c r="Q2643">
        <v>0.15833050000000001</v>
      </c>
      <c r="R2643">
        <v>-0.98309310000000005</v>
      </c>
      <c r="S2643">
        <v>0.4167786</v>
      </c>
      <c r="T2643">
        <v>-0.145036</v>
      </c>
      <c r="U2643">
        <v>-3.0356290000000001</v>
      </c>
      <c r="V2643">
        <v>-0.13426440000000001</v>
      </c>
      <c r="W2643">
        <v>0.17091429999999999</v>
      </c>
      <c r="X2643">
        <v>0.97609500000000005</v>
      </c>
      <c r="Y2643">
        <v>-0.1776606</v>
      </c>
      <c r="Z2643">
        <v>3.3530730000000002E-2</v>
      </c>
      <c r="AA2643">
        <v>0.98352039999999996</v>
      </c>
      <c r="AB2643">
        <v>27</v>
      </c>
      <c r="AC2643">
        <v>3.2372000000000298</v>
      </c>
      <c r="AD2643">
        <v>-1.1233000974839999</v>
      </c>
      <c r="AE2643">
        <v>-23.2576</v>
      </c>
      <c r="AF2643">
        <v>-4.2085939462377002</v>
      </c>
      <c r="AG2643">
        <v>-1.1233000974839999</v>
      </c>
      <c r="AH2643">
        <v>23.047086333921801</v>
      </c>
      <c r="AI2643">
        <v>92.745029924423704</v>
      </c>
      <c r="AJ2643">
        <v>100.348673435602</v>
      </c>
      <c r="AK2643">
        <v>23.4551114812222</v>
      </c>
      <c r="AL2643">
        <v>80.159017743902993</v>
      </c>
      <c r="AM2643">
        <v>97.832034031836301</v>
      </c>
      <c r="AN2643">
        <v>1.00000003803842</v>
      </c>
    </row>
    <row r="2644" spans="1:40" x14ac:dyDescent="0.25">
      <c r="A2644" t="str">
        <f>"20190303162830573"</f>
        <v>20190303162830573</v>
      </c>
      <c r="B2644" t="str">
        <f>"1551601710564238"</f>
        <v>1551601710564238</v>
      </c>
      <c r="C2644" t="s">
        <v>40</v>
      </c>
      <c r="D2644">
        <v>5.2253379999999998</v>
      </c>
      <c r="E2644">
        <v>0.486508</v>
      </c>
      <c r="F2644" t="s">
        <v>47</v>
      </c>
      <c r="G2644">
        <v>-489.56779999999998</v>
      </c>
      <c r="H2644" s="1">
        <v>5.9744909999999997E-6</v>
      </c>
      <c r="I2644">
        <v>227.82599999999999</v>
      </c>
      <c r="J2644">
        <v>-492.58859999999999</v>
      </c>
      <c r="K2644">
        <v>1.123108</v>
      </c>
      <c r="L2644">
        <v>250.76560000000001</v>
      </c>
      <c r="M2644">
        <v>-3.9915840000000001E-2</v>
      </c>
      <c r="N2644">
        <v>-1.348507E-2</v>
      </c>
      <c r="O2644">
        <v>-0.99911220000000001</v>
      </c>
      <c r="P2644">
        <v>8.565035E-2</v>
      </c>
      <c r="Q2644">
        <v>0.15763260000000001</v>
      </c>
      <c r="R2644">
        <v>-0.98377650000000005</v>
      </c>
      <c r="S2644">
        <v>0.3941345</v>
      </c>
      <c r="T2644">
        <v>-0.14699579999999901</v>
      </c>
      <c r="U2644">
        <v>-3.0384220000000002</v>
      </c>
      <c r="V2644">
        <v>-0.12555279999999999</v>
      </c>
      <c r="W2644">
        <v>0.170315299999999</v>
      </c>
      <c r="X2644">
        <v>0.97735830000000001</v>
      </c>
      <c r="Y2644">
        <v>-0.1679793</v>
      </c>
      <c r="Z2644">
        <v>3.4213340000000002E-2</v>
      </c>
      <c r="AA2644">
        <v>0.98519670000000004</v>
      </c>
      <c r="AB2644">
        <v>27</v>
      </c>
      <c r="AC2644">
        <v>3.0207999999999999</v>
      </c>
      <c r="AD2644">
        <v>-1.1231020255090001</v>
      </c>
      <c r="AE2644">
        <v>-22.939599999999999</v>
      </c>
      <c r="AF2644">
        <v>-3.9248810983671598</v>
      </c>
      <c r="AG2644">
        <v>-1.1231020255090001</v>
      </c>
      <c r="AH2644">
        <v>22.7471308236636</v>
      </c>
      <c r="AI2644">
        <v>92.785495451887499</v>
      </c>
      <c r="AJ2644">
        <v>99.789652197981994</v>
      </c>
      <c r="AK2644">
        <v>23.110560583960101</v>
      </c>
      <c r="AL2644">
        <v>80.193848500652805</v>
      </c>
      <c r="AM2644">
        <v>97.3202040232445</v>
      </c>
      <c r="AN2644">
        <v>1.0000000267903999</v>
      </c>
    </row>
    <row r="2645" spans="1:40" x14ac:dyDescent="0.25">
      <c r="A2645" t="str">
        <f>"20190303162830586"</f>
        <v>20190303162830586</v>
      </c>
      <c r="B2645" t="str">
        <f>"1551601710573997"</f>
        <v>1551601710573997</v>
      </c>
      <c r="C2645" t="s">
        <v>40</v>
      </c>
      <c r="D2645">
        <v>5.3404179999999997</v>
      </c>
      <c r="E2645">
        <v>0.48655759999999998</v>
      </c>
      <c r="F2645" t="s">
        <v>47</v>
      </c>
      <c r="G2645">
        <v>-489.77190000000002</v>
      </c>
      <c r="H2645" s="1">
        <v>6.0508359999999999E-6</v>
      </c>
      <c r="I2645">
        <v>227.8972</v>
      </c>
      <c r="J2645">
        <v>-492.59350000000001</v>
      </c>
      <c r="K2645">
        <v>1.122995</v>
      </c>
      <c r="L2645">
        <v>250.60830000000001</v>
      </c>
      <c r="M2645">
        <v>-3.8677749999999997E-2</v>
      </c>
      <c r="N2645">
        <v>-1.347659E-2</v>
      </c>
      <c r="O2645">
        <v>-0.99916090000000002</v>
      </c>
      <c r="P2645">
        <v>8.280005E-2</v>
      </c>
      <c r="Q2645">
        <v>0.156918</v>
      </c>
      <c r="R2645">
        <v>-0.98413470000000003</v>
      </c>
      <c r="S2645">
        <v>0.37454219999999999</v>
      </c>
      <c r="T2645">
        <v>-0.14933859999999999</v>
      </c>
      <c r="U2645">
        <v>-3.0408019999999998</v>
      </c>
      <c r="V2645">
        <v>-0.1214573</v>
      </c>
      <c r="W2645">
        <v>0.16964889999999999</v>
      </c>
      <c r="X2645">
        <v>0.97799150000000001</v>
      </c>
      <c r="Y2645">
        <v>-0.16040570000000001</v>
      </c>
      <c r="Z2645">
        <v>3.5000099999999999E-2</v>
      </c>
      <c r="AA2645">
        <v>0.98643049999999999</v>
      </c>
      <c r="AB2645">
        <v>27</v>
      </c>
      <c r="AC2645">
        <v>2.8215999999999801</v>
      </c>
      <c r="AD2645">
        <v>-1.1229889491639999</v>
      </c>
      <c r="AE2645">
        <v>-22.711099999999998</v>
      </c>
      <c r="AF2645">
        <v>-3.6890996472008402</v>
      </c>
      <c r="AG2645">
        <v>-1.1229889491639999</v>
      </c>
      <c r="AH2645">
        <v>22.530710276127898</v>
      </c>
      <c r="AI2645">
        <v>92.815972328117596</v>
      </c>
      <c r="AJ2645">
        <v>99.298896288426405</v>
      </c>
      <c r="AK2645">
        <v>22.858334714798001</v>
      </c>
      <c r="AL2645">
        <v>80.232594000372998</v>
      </c>
      <c r="AM2645">
        <v>97.079347117264703</v>
      </c>
      <c r="AN2645">
        <v>0.99999999953337504</v>
      </c>
    </row>
    <row r="2646" spans="1:40" x14ac:dyDescent="0.25">
      <c r="A2646" t="str">
        <f>"20190303162830605"</f>
        <v>20190303162830605</v>
      </c>
      <c r="B2646" t="str">
        <f>"1551601710594492"</f>
        <v>1551601710594492</v>
      </c>
      <c r="C2646" t="s">
        <v>40</v>
      </c>
      <c r="D2646">
        <v>5.0699489999999896</v>
      </c>
      <c r="E2646">
        <v>0.4865718</v>
      </c>
      <c r="F2646" t="s">
        <v>47</v>
      </c>
      <c r="G2646">
        <v>-489.87720000000002</v>
      </c>
      <c r="H2646" s="1">
        <v>6.1198700000000001E-6</v>
      </c>
      <c r="I2646">
        <v>228.02969999999999</v>
      </c>
      <c r="J2646">
        <v>-492.60019999999997</v>
      </c>
      <c r="K2646">
        <v>1.1228400000000001</v>
      </c>
      <c r="L2646">
        <v>250.38829999999999</v>
      </c>
      <c r="M2646">
        <v>-3.7099090000000001E-2</v>
      </c>
      <c r="N2646">
        <v>-1.3465130000000001E-2</v>
      </c>
      <c r="O2646">
        <v>-0.99922100000000003</v>
      </c>
      <c r="P2646">
        <v>7.645615E-2</v>
      </c>
      <c r="Q2646">
        <v>0.156247</v>
      </c>
      <c r="R2646">
        <v>-0.98475440000000003</v>
      </c>
      <c r="S2646">
        <v>0.36593629999999999</v>
      </c>
      <c r="T2646">
        <v>-0.15128510000000001</v>
      </c>
      <c r="U2646">
        <v>-3.0417179999999999</v>
      </c>
      <c r="V2646">
        <v>-0.113528</v>
      </c>
      <c r="W2646">
        <v>0.16905249999999999</v>
      </c>
      <c r="X2646">
        <v>0.97904679999999999</v>
      </c>
      <c r="Y2646">
        <v>-0.156057</v>
      </c>
      <c r="Z2646">
        <v>3.5659919999999998E-2</v>
      </c>
      <c r="AA2646">
        <v>0.98710410000000004</v>
      </c>
      <c r="AB2646">
        <v>27</v>
      </c>
      <c r="AC2646">
        <v>2.7229999999999501</v>
      </c>
      <c r="AD2646">
        <v>-1.12283388013</v>
      </c>
      <c r="AE2646">
        <v>-22.358599999999999</v>
      </c>
      <c r="AF2646">
        <v>-3.5418819325416901</v>
      </c>
      <c r="AG2646">
        <v>-1.12283388013</v>
      </c>
      <c r="AH2646">
        <v>22.1870379238933</v>
      </c>
      <c r="AI2646">
        <v>92.860969245440401</v>
      </c>
      <c r="AJ2646">
        <v>99.070021129825705</v>
      </c>
      <c r="AK2646">
        <v>22.496007098654498</v>
      </c>
      <c r="AL2646">
        <v>80.267265972468905</v>
      </c>
      <c r="AM2646">
        <v>96.614345580840606</v>
      </c>
      <c r="AN2646">
        <v>0.99999999556524499</v>
      </c>
    </row>
    <row r="2647" spans="1:40" x14ac:dyDescent="0.25">
      <c r="A2647" t="str">
        <f>"20190303162830619"</f>
        <v>20190303162830619</v>
      </c>
      <c r="B2647" t="str">
        <f>"1551601710614013"</f>
        <v>1551601710614013</v>
      </c>
      <c r="C2647" t="s">
        <v>40</v>
      </c>
      <c r="D2647">
        <v>5.3523139999999998</v>
      </c>
      <c r="E2647">
        <v>0.48651949999999999</v>
      </c>
      <c r="F2647" t="s">
        <v>47</v>
      </c>
      <c r="G2647">
        <v>-490.06380000000001</v>
      </c>
      <c r="H2647" s="1">
        <v>6.1441829999999997E-6</v>
      </c>
      <c r="I2647">
        <v>228.1148</v>
      </c>
      <c r="J2647">
        <v>-492.60520000000002</v>
      </c>
      <c r="K2647">
        <v>1.1227149999999999</v>
      </c>
      <c r="L2647">
        <v>250.21520000000001</v>
      </c>
      <c r="M2647">
        <v>-3.598051E-2</v>
      </c>
      <c r="N2647">
        <v>-1.345668E-2</v>
      </c>
      <c r="O2647">
        <v>-0.99926210000000004</v>
      </c>
      <c r="P2647">
        <v>7.354927E-2</v>
      </c>
      <c r="Q2647">
        <v>0.15597539999999999</v>
      </c>
      <c r="R2647">
        <v>-0.98501899999999998</v>
      </c>
      <c r="S2647">
        <v>0.3466187</v>
      </c>
      <c r="T2647">
        <v>-0.153446</v>
      </c>
      <c r="U2647">
        <v>-3.0438839999999998</v>
      </c>
      <c r="V2647">
        <v>-0.10948380000000001</v>
      </c>
      <c r="W2647">
        <v>0.16882459999999999</v>
      </c>
      <c r="X2647">
        <v>0.97954660000000005</v>
      </c>
      <c r="Y2647">
        <v>-0.14868339999999999</v>
      </c>
      <c r="Z2647">
        <v>3.6386149999999999E-2</v>
      </c>
      <c r="AA2647">
        <v>0.98821519999999996</v>
      </c>
      <c r="AB2647">
        <v>27</v>
      </c>
      <c r="AC2647">
        <v>2.5413999999999999</v>
      </c>
      <c r="AD2647">
        <v>-1.122708855817</v>
      </c>
      <c r="AE2647">
        <v>-22.1004</v>
      </c>
      <c r="AF2647">
        <v>-3.3265369400876499</v>
      </c>
      <c r="AG2647">
        <v>-1.122708855817</v>
      </c>
      <c r="AH2647">
        <v>21.9387600934866</v>
      </c>
      <c r="AI2647">
        <v>92.896486969524602</v>
      </c>
      <c r="AJ2647">
        <v>98.621985630686794</v>
      </c>
      <c r="AK2647">
        <v>22.217909839322399</v>
      </c>
      <c r="AL2647">
        <v>80.280514094046097</v>
      </c>
      <c r="AM2647">
        <v>96.377473078157095</v>
      </c>
      <c r="AN2647">
        <v>0.99999999479958002</v>
      </c>
    </row>
    <row r="2648" spans="1:40" x14ac:dyDescent="0.25">
      <c r="A2648" t="str">
        <f>"20190303162830638"</f>
        <v>20190303162830638</v>
      </c>
      <c r="B2648" t="str">
        <f>"1551601710623773"</f>
        <v>1551601710623773</v>
      </c>
      <c r="C2648" t="s">
        <v>40</v>
      </c>
      <c r="D2648">
        <v>5.4048669999999897</v>
      </c>
      <c r="E2648">
        <v>0.48651949999999999</v>
      </c>
      <c r="F2648" t="s">
        <v>47</v>
      </c>
      <c r="G2648">
        <v>-490.15190000000001</v>
      </c>
      <c r="H2648" s="1">
        <v>6.1333570000000003E-6</v>
      </c>
      <c r="I2648">
        <v>228.1429</v>
      </c>
      <c r="J2648">
        <v>-492.61160000000001</v>
      </c>
      <c r="K2648">
        <v>1.1225609999999999</v>
      </c>
      <c r="L2648">
        <v>249.9933</v>
      </c>
      <c r="M2648">
        <v>-3.4671500000000001E-2</v>
      </c>
      <c r="N2648">
        <v>-1.344652E-2</v>
      </c>
      <c r="O2648">
        <v>-0.99930830000000004</v>
      </c>
      <c r="P2648">
        <v>6.6755320000000007E-2</v>
      </c>
      <c r="Q2648">
        <v>0.15418989999999999</v>
      </c>
      <c r="R2648">
        <v>-0.98578350000000003</v>
      </c>
      <c r="S2648">
        <v>0.33843990000000002</v>
      </c>
      <c r="T2648">
        <v>-0.1548774</v>
      </c>
      <c r="U2648">
        <v>-3.0448759999999999</v>
      </c>
      <c r="V2648">
        <v>-0.101369</v>
      </c>
      <c r="W2648">
        <v>0.16710649999999999</v>
      </c>
      <c r="X2648">
        <v>0.98071390000000003</v>
      </c>
      <c r="Y2648">
        <v>-0.14472879999999999</v>
      </c>
      <c r="Z2648">
        <v>3.687178E-2</v>
      </c>
      <c r="AA2648">
        <v>0.98878410000000005</v>
      </c>
      <c r="AB2648">
        <v>27</v>
      </c>
      <c r="AC2648">
        <v>2.45969999999999</v>
      </c>
      <c r="AD2648">
        <v>-1.1225548666429901</v>
      </c>
      <c r="AE2648">
        <v>-21.8504</v>
      </c>
      <c r="AF2648">
        <v>-3.2075157022808498</v>
      </c>
      <c r="AG2648">
        <v>-1.1225548666429901</v>
      </c>
      <c r="AH2648">
        <v>21.695425950682299</v>
      </c>
      <c r="AI2648">
        <v>92.930137558897002</v>
      </c>
      <c r="AJ2648">
        <v>98.409857064011206</v>
      </c>
      <c r="AK2648">
        <v>21.959958870419999</v>
      </c>
      <c r="AL2648">
        <v>80.380372791221205</v>
      </c>
      <c r="AM2648">
        <v>95.901276172647698</v>
      </c>
      <c r="AN2648">
        <v>1.0000000050782301</v>
      </c>
    </row>
    <row r="2649" spans="1:40" x14ac:dyDescent="0.25">
      <c r="A2649" t="str">
        <f>"20190303162830652"</f>
        <v>20190303162830652</v>
      </c>
      <c r="B2649" t="str">
        <f>"1551601710644269"</f>
        <v>1551601710644269</v>
      </c>
      <c r="C2649" t="s">
        <v>40</v>
      </c>
      <c r="D2649">
        <v>5.1217739999999896</v>
      </c>
      <c r="E2649">
        <v>0.51761229999999903</v>
      </c>
      <c r="F2649" t="s">
        <v>47</v>
      </c>
      <c r="G2649">
        <v>-490.39030000000002</v>
      </c>
      <c r="H2649" s="1">
        <v>6.2446259999999998E-6</v>
      </c>
      <c r="I2649">
        <v>228.67269999999999</v>
      </c>
      <c r="J2649">
        <v>-492.61610000000002</v>
      </c>
      <c r="K2649">
        <v>1.1224620000000001</v>
      </c>
      <c r="L2649">
        <v>249.8331</v>
      </c>
      <c r="M2649">
        <v>-3.3826429999999998E-2</v>
      </c>
      <c r="N2649">
        <v>-1.343957E-2</v>
      </c>
      <c r="O2649">
        <v>-0.99933729999999998</v>
      </c>
      <c r="P2649">
        <v>6.3598769999999999E-2</v>
      </c>
      <c r="Q2649">
        <v>0.15306330000000001</v>
      </c>
      <c r="R2649">
        <v>-0.98616789999999999</v>
      </c>
      <c r="S2649">
        <v>0.3174438</v>
      </c>
      <c r="T2649">
        <v>-0.1604217</v>
      </c>
      <c r="U2649">
        <v>-3.046875</v>
      </c>
      <c r="V2649">
        <v>-9.7350999999999993E-2</v>
      </c>
      <c r="W2649">
        <v>0.16601669999999999</v>
      </c>
      <c r="X2649">
        <v>0.98130589999999995</v>
      </c>
      <c r="Y2649">
        <v>-0.13707549999999999</v>
      </c>
      <c r="Z2649">
        <v>3.8694970000000002E-2</v>
      </c>
      <c r="AA2649">
        <v>0.98980449999999998</v>
      </c>
      <c r="AB2649">
        <v>27</v>
      </c>
      <c r="AC2649">
        <v>2.2257999999999898</v>
      </c>
      <c r="AD2649">
        <v>-1.122455755374</v>
      </c>
      <c r="AE2649">
        <v>-21.160399999999999</v>
      </c>
      <c r="AF2649">
        <v>-2.9322111557418702</v>
      </c>
      <c r="AG2649">
        <v>-1.122455755374</v>
      </c>
      <c r="AH2649">
        <v>21.014507315848899</v>
      </c>
      <c r="AI2649">
        <v>93.028174682674106</v>
      </c>
      <c r="AJ2649">
        <v>97.943349645827197</v>
      </c>
      <c r="AK2649">
        <v>21.247759573952699</v>
      </c>
      <c r="AL2649">
        <v>80.443698427784796</v>
      </c>
      <c r="AM2649">
        <v>95.665522138885805</v>
      </c>
      <c r="AN2649">
        <v>1.0000000156273401</v>
      </c>
    </row>
    <row r="2650" spans="1:40" x14ac:dyDescent="0.25">
      <c r="A2650" t="str">
        <f>"20190303162830665"</f>
        <v>20190303162830665</v>
      </c>
      <c r="B2650" t="str">
        <f>"1551601710654029"</f>
        <v>1551601710654029</v>
      </c>
      <c r="C2650" t="s">
        <v>40</v>
      </c>
      <c r="D2650">
        <v>5.121302</v>
      </c>
      <c r="E2650">
        <v>0.52289379999999996</v>
      </c>
      <c r="F2650" t="s">
        <v>41</v>
      </c>
      <c r="G2650">
        <v>-492.38080000000002</v>
      </c>
      <c r="H2650" s="1">
        <v>-4.1822499999999996E-6</v>
      </c>
      <c r="I2650">
        <v>238.03550000000001</v>
      </c>
      <c r="J2650">
        <v>-492.62049999999999</v>
      </c>
      <c r="K2650">
        <v>1.1223590000000001</v>
      </c>
      <c r="L2650">
        <v>249.68109999999999</v>
      </c>
      <c r="M2650">
        <v>-3.3080089999999999E-2</v>
      </c>
      <c r="N2650">
        <v>-1.3433250000000001E-2</v>
      </c>
      <c r="O2650">
        <v>-0.99936259999999999</v>
      </c>
      <c r="P2650">
        <v>6.0766529999999999E-2</v>
      </c>
      <c r="Q2650">
        <v>0.1517085</v>
      </c>
      <c r="R2650">
        <v>-0.98655590000000004</v>
      </c>
      <c r="S2650">
        <v>6.1523439999999999E-2</v>
      </c>
      <c r="T2650">
        <v>-0.29339150000000003</v>
      </c>
      <c r="U2650">
        <v>-3.0836489999999999</v>
      </c>
      <c r="V2650">
        <v>-9.3756720000000002E-2</v>
      </c>
      <c r="W2650">
        <v>0.1646947</v>
      </c>
      <c r="X2650">
        <v>0.98187849999999999</v>
      </c>
      <c r="Y2650">
        <v>-5.290856E-2</v>
      </c>
      <c r="Z2650">
        <v>8.1177340000000001E-2</v>
      </c>
      <c r="AA2650">
        <v>0.99529440000000002</v>
      </c>
      <c r="AB2650">
        <v>26</v>
      </c>
      <c r="AC2650">
        <v>0.23969999999996999</v>
      </c>
      <c r="AD2650">
        <v>-1.12236318225</v>
      </c>
      <c r="AE2650">
        <v>-11.6455999999999</v>
      </c>
      <c r="AF2650">
        <v>-0.61909300410660395</v>
      </c>
      <c r="AG2650">
        <v>-1.12236318225</v>
      </c>
      <c r="AH2650">
        <v>11.524297756715301</v>
      </c>
      <c r="AI2650">
        <v>95.554592999396505</v>
      </c>
      <c r="AJ2650">
        <v>93.075011903448697</v>
      </c>
      <c r="AK2650">
        <v>11.5953617470969</v>
      </c>
      <c r="AL2650">
        <v>80.520500829955097</v>
      </c>
      <c r="AM2650">
        <v>95.454469770209897</v>
      </c>
      <c r="AN2650">
        <v>1.0000000277577401</v>
      </c>
    </row>
    <row r="2651" spans="1:40" x14ac:dyDescent="0.25">
      <c r="A2651" t="str">
        <f>"20190303162830678"</f>
        <v>20190303162830678</v>
      </c>
      <c r="B2651" t="str">
        <f>"1551601710674525"</f>
        <v>1551601710674525</v>
      </c>
      <c r="C2651" t="s">
        <v>40</v>
      </c>
      <c r="D2651">
        <v>5.0505190000000004</v>
      </c>
      <c r="E2651">
        <v>0.52706090000000005</v>
      </c>
      <c r="F2651" t="s">
        <v>44</v>
      </c>
      <c r="G2651">
        <v>-492.61720000000003</v>
      </c>
      <c r="H2651">
        <v>1.021517</v>
      </c>
      <c r="I2651">
        <v>248.74189999999999</v>
      </c>
      <c r="J2651">
        <v>-492.62479999999999</v>
      </c>
      <c r="K2651">
        <v>1.1222620000000001</v>
      </c>
      <c r="L2651">
        <v>249.52520000000001</v>
      </c>
      <c r="M2651">
        <v>-3.2414850000000002E-2</v>
      </c>
      <c r="N2651">
        <v>-1.342716E-2</v>
      </c>
      <c r="O2651">
        <v>-0.99938450000000001</v>
      </c>
      <c r="P2651">
        <v>5.8471750000000003E-2</v>
      </c>
      <c r="Q2651">
        <v>0.15037490000000001</v>
      </c>
      <c r="R2651">
        <v>-0.98689870000000002</v>
      </c>
      <c r="S2651">
        <v>1.1230469999999999E-2</v>
      </c>
      <c r="T2651">
        <v>-0.33205249999999997</v>
      </c>
      <c r="U2651">
        <v>-3.0912630000000001</v>
      </c>
      <c r="V2651">
        <v>-9.0777949999999996E-2</v>
      </c>
      <c r="W2651">
        <v>0.16338939999999999</v>
      </c>
      <c r="X2651">
        <v>0.98237629999999998</v>
      </c>
      <c r="Y2651">
        <v>-3.6003500000000001E-2</v>
      </c>
      <c r="Z2651">
        <v>9.3322269999999999E-2</v>
      </c>
      <c r="AA2651">
        <v>0.99498470000000006</v>
      </c>
      <c r="AB2651">
        <v>26</v>
      </c>
      <c r="AC2651">
        <v>7.5999999999680698E-3</v>
      </c>
      <c r="AD2651">
        <v>-0.100745</v>
      </c>
      <c r="AE2651">
        <v>-0.78330000000002498</v>
      </c>
      <c r="AF2651">
        <v>-3.2452066728415802E-2</v>
      </c>
      <c r="AG2651">
        <v>-0.100745</v>
      </c>
      <c r="AH2651">
        <v>0.76990724039567604</v>
      </c>
      <c r="AI2651">
        <v>97.448452493511695</v>
      </c>
      <c r="AJ2651">
        <v>92.413623839041605</v>
      </c>
      <c r="AK2651">
        <v>0.77714853823038899</v>
      </c>
      <c r="AL2651">
        <v>80.596315447751707</v>
      </c>
      <c r="AM2651">
        <v>95.2795090180052</v>
      </c>
      <c r="AN2651">
        <v>0.99999996352012499</v>
      </c>
    </row>
    <row r="2652" spans="1:40" x14ac:dyDescent="0.25">
      <c r="A2652" t="str">
        <f>"20190303162830695"</f>
        <v>20190303162830695</v>
      </c>
      <c r="B2652" t="str">
        <f>"1551601710684285"</f>
        <v>1551601710684285</v>
      </c>
      <c r="C2652" t="s">
        <v>40</v>
      </c>
      <c r="D2652">
        <v>5.0465390000000001</v>
      </c>
      <c r="E2652">
        <v>0.52834869999999901</v>
      </c>
      <c r="F2652" t="s">
        <v>44</v>
      </c>
      <c r="G2652">
        <v>-492.63240000000002</v>
      </c>
      <c r="H2652">
        <v>1.0264070000000001</v>
      </c>
      <c r="I2652">
        <v>248.74180000000001</v>
      </c>
      <c r="J2652">
        <v>-492.6302</v>
      </c>
      <c r="K2652">
        <v>1.122153</v>
      </c>
      <c r="L2652">
        <v>249.33109999999999</v>
      </c>
      <c r="M2652">
        <v>-3.1674389999999997E-2</v>
      </c>
      <c r="N2652">
        <v>-1.341999E-2</v>
      </c>
      <c r="O2652">
        <v>-0.99940839999999997</v>
      </c>
      <c r="P2652">
        <v>5.427013E-2</v>
      </c>
      <c r="Q2652">
        <v>0.14967910000000001</v>
      </c>
      <c r="R2652">
        <v>-0.98724440000000002</v>
      </c>
      <c r="S2652">
        <v>-2.9022220000000001E-2</v>
      </c>
      <c r="T2652">
        <v>-0.37942870000000001</v>
      </c>
      <c r="U2652">
        <v>-3.0993650000000001</v>
      </c>
      <c r="V2652">
        <v>-8.5814349999999998E-2</v>
      </c>
      <c r="W2652">
        <v>0.16272790000000001</v>
      </c>
      <c r="X2652">
        <v>0.98293209999999998</v>
      </c>
      <c r="Y2652">
        <v>-2.2351599999999999E-2</v>
      </c>
      <c r="Z2652">
        <v>0.1080758</v>
      </c>
      <c r="AA2652">
        <v>0.99389139999999998</v>
      </c>
      <c r="AB2652">
        <v>26</v>
      </c>
      <c r="AC2652">
        <v>-2.2000000000161799E-3</v>
      </c>
      <c r="AD2652">
        <v>-9.5745999999999803E-2</v>
      </c>
      <c r="AE2652">
        <v>-0.58929999999997995</v>
      </c>
      <c r="AF2652">
        <v>-1.6044952163469298E-2</v>
      </c>
      <c r="AG2652">
        <v>-9.5745999999999803E-2</v>
      </c>
      <c r="AH2652">
        <v>0.57392381202798703</v>
      </c>
      <c r="AI2652">
        <v>99.467629220834695</v>
      </c>
      <c r="AJ2652">
        <v>91.601377452864</v>
      </c>
      <c r="AK2652">
        <v>0.58207669513446803</v>
      </c>
      <c r="AL2652">
        <v>80.6347310192386</v>
      </c>
      <c r="AM2652">
        <v>94.989525559041695</v>
      </c>
      <c r="AN2652">
        <v>0.99999999265737105</v>
      </c>
    </row>
    <row r="2653" spans="1:40" x14ac:dyDescent="0.25">
      <c r="A2653" t="str">
        <f>"20190303162830718"</f>
        <v>20190303162830718</v>
      </c>
      <c r="B2653" t="str">
        <f>"1551601710703805"</f>
        <v>1551601710703805</v>
      </c>
      <c r="C2653" t="s">
        <v>40</v>
      </c>
      <c r="D2653">
        <v>5.0282049999999998</v>
      </c>
      <c r="E2653">
        <v>0.52909600000000001</v>
      </c>
      <c r="F2653" t="s">
        <v>44</v>
      </c>
      <c r="G2653">
        <v>-492.64460000000003</v>
      </c>
      <c r="H2653">
        <v>1.0180359999999999</v>
      </c>
      <c r="I2653">
        <v>248.51159999999999</v>
      </c>
      <c r="J2653">
        <v>-492.63780000000003</v>
      </c>
      <c r="K2653">
        <v>1.1220159999999999</v>
      </c>
      <c r="L2653">
        <v>249.0581</v>
      </c>
      <c r="M2653">
        <v>-3.079631E-2</v>
      </c>
      <c r="N2653">
        <v>-1.341054E-2</v>
      </c>
      <c r="O2653">
        <v>-0.99943590000000004</v>
      </c>
      <c r="P2653">
        <v>5.2374619999999997E-2</v>
      </c>
      <c r="Q2653">
        <v>0.15012710000000001</v>
      </c>
      <c r="R2653">
        <v>-0.98727869999999995</v>
      </c>
      <c r="S2653">
        <v>-5.282593E-2</v>
      </c>
      <c r="T2653">
        <v>-0.39426169999999999</v>
      </c>
      <c r="U2653">
        <v>-3.1014710000000001</v>
      </c>
      <c r="V2653">
        <v>-8.2998950000000002E-2</v>
      </c>
      <c r="W2653">
        <v>0.16320309999999999</v>
      </c>
      <c r="X2653">
        <v>0.98309500000000005</v>
      </c>
      <c r="Y2653">
        <v>-1.3868220000000001E-2</v>
      </c>
      <c r="Z2653">
        <v>0.11269029999999999</v>
      </c>
      <c r="AA2653">
        <v>0.99353340000000001</v>
      </c>
      <c r="AB2653">
        <v>26</v>
      </c>
      <c r="AC2653">
        <v>-6.7999999999983603E-3</v>
      </c>
      <c r="AD2653">
        <v>-0.103979999999999</v>
      </c>
      <c r="AE2653">
        <v>-0.54650000000000798</v>
      </c>
      <c r="AF2653">
        <v>-9.6843904926552805E-3</v>
      </c>
      <c r="AG2653">
        <v>-0.103979999999999</v>
      </c>
      <c r="AH2653">
        <v>0.52736214613620702</v>
      </c>
      <c r="AI2653">
        <v>101.152104808045</v>
      </c>
      <c r="AJ2653">
        <v>91.052051887937793</v>
      </c>
      <c r="AK2653">
        <v>0.53760251208174303</v>
      </c>
      <c r="AL2653">
        <v>80.607134546340802</v>
      </c>
      <c r="AM2653">
        <v>94.825819399331195</v>
      </c>
      <c r="AN2653">
        <v>0.999999928287853</v>
      </c>
    </row>
    <row r="2654" spans="1:40" x14ac:dyDescent="0.25">
      <c r="A2654" t="str">
        <f>"20190303162830741"</f>
        <v>20190303162830741</v>
      </c>
      <c r="B2654" t="str">
        <f>"1551601710734061"</f>
        <v>1551601710734061</v>
      </c>
      <c r="C2654" t="s">
        <v>40</v>
      </c>
      <c r="D2654">
        <v>5.0400650000000002</v>
      </c>
      <c r="E2654">
        <v>0.52900599999999998</v>
      </c>
      <c r="F2654" t="s">
        <v>44</v>
      </c>
      <c r="G2654">
        <v>-492.65469999999999</v>
      </c>
      <c r="H2654">
        <v>1.0187809999999999</v>
      </c>
      <c r="I2654">
        <v>248.2758</v>
      </c>
      <c r="J2654">
        <v>-492.6454</v>
      </c>
      <c r="K2654">
        <v>1.1218900000000001</v>
      </c>
      <c r="L2654">
        <v>248.7773</v>
      </c>
      <c r="M2654">
        <v>-3.0079390000000001E-2</v>
      </c>
      <c r="N2654">
        <v>-1.340161E-2</v>
      </c>
      <c r="O2654">
        <v>-0.99945779999999995</v>
      </c>
      <c r="P2654">
        <v>5.0499559999999999E-2</v>
      </c>
      <c r="Q2654">
        <v>0.15057290000000001</v>
      </c>
      <c r="R2654">
        <v>-0.98730850000000003</v>
      </c>
      <c r="S2654">
        <v>-6.6345210000000002E-2</v>
      </c>
      <c r="T2654">
        <v>-0.40978340000000002</v>
      </c>
      <c r="U2654">
        <v>-3.104492</v>
      </c>
      <c r="V2654">
        <v>-8.0366720000000003E-2</v>
      </c>
      <c r="W2654">
        <v>0.1636717</v>
      </c>
      <c r="X2654">
        <v>0.98323590000000005</v>
      </c>
      <c r="Y2654">
        <v>-8.8585620000000004E-3</v>
      </c>
      <c r="Z2654">
        <v>0.11746230000000001</v>
      </c>
      <c r="AA2654">
        <v>0.99303779999999997</v>
      </c>
      <c r="AB2654">
        <v>26</v>
      </c>
      <c r="AC2654">
        <v>-9.2999999999960892E-3</v>
      </c>
      <c r="AD2654">
        <v>-0.10310900000000001</v>
      </c>
      <c r="AE2654">
        <v>-0.50149999999999295</v>
      </c>
      <c r="AF2654">
        <v>-5.55561056737455E-3</v>
      </c>
      <c r="AG2654">
        <v>-0.10310900000000001</v>
      </c>
      <c r="AH2654">
        <v>0.48121782477413899</v>
      </c>
      <c r="AI2654">
        <v>102.092938400759</v>
      </c>
      <c r="AJ2654">
        <v>90.661444528425406</v>
      </c>
      <c r="AK2654">
        <v>0.492171642387217</v>
      </c>
      <c r="AL2654">
        <v>80.579920819340302</v>
      </c>
      <c r="AM2654">
        <v>94.672795486859698</v>
      </c>
      <c r="AN2654">
        <v>1.0000000350566201</v>
      </c>
    </row>
    <row r="2655" spans="1:40" x14ac:dyDescent="0.25">
      <c r="A2655" t="str">
        <f>"20190303162830763"</f>
        <v>20190303162830763</v>
      </c>
      <c r="B2655" t="str">
        <f>"1551601710753581"</f>
        <v>1551601710753581</v>
      </c>
      <c r="C2655" t="s">
        <v>40</v>
      </c>
      <c r="D2655">
        <v>5.0504699999999998</v>
      </c>
      <c r="E2655">
        <v>0.52879980000000004</v>
      </c>
      <c r="F2655" t="s">
        <v>44</v>
      </c>
      <c r="G2655">
        <v>-492.6628</v>
      </c>
      <c r="H2655">
        <v>1.0216369999999999</v>
      </c>
      <c r="I2655">
        <v>248.03880000000001</v>
      </c>
      <c r="J2655">
        <v>-492.65230000000003</v>
      </c>
      <c r="K2655">
        <v>1.1217919999999999</v>
      </c>
      <c r="L2655">
        <v>248.52529999999999</v>
      </c>
      <c r="M2655">
        <v>-2.9577320000000001E-2</v>
      </c>
      <c r="N2655">
        <v>-1.3394299999999901E-2</v>
      </c>
      <c r="O2655">
        <v>-0.99947269999999999</v>
      </c>
      <c r="P2655">
        <v>4.9518720000000002E-2</v>
      </c>
      <c r="Q2655">
        <v>0.15083360000000001</v>
      </c>
      <c r="R2655">
        <v>-0.98731809999999998</v>
      </c>
      <c r="S2655">
        <v>-7.1777339999999995E-2</v>
      </c>
      <c r="T2655">
        <v>-0.42191109999999998</v>
      </c>
      <c r="U2655">
        <v>-3.106598</v>
      </c>
      <c r="V2655">
        <v>-7.8850950000000003E-2</v>
      </c>
      <c r="W2655">
        <v>0.16394729999999999</v>
      </c>
      <c r="X2655">
        <v>0.98331270000000004</v>
      </c>
      <c r="Y2655">
        <v>-6.6474239999999999E-3</v>
      </c>
      <c r="Z2655">
        <v>0.1211889</v>
      </c>
      <c r="AA2655">
        <v>0.99260720000000002</v>
      </c>
      <c r="AB2655">
        <v>26</v>
      </c>
      <c r="AC2655">
        <v>-1.0499999999979E-2</v>
      </c>
      <c r="AD2655">
        <v>-0.10015499999999899</v>
      </c>
      <c r="AE2655">
        <v>-0.48649999999997801</v>
      </c>
      <c r="AF2655">
        <v>-3.7369475621294502E-3</v>
      </c>
      <c r="AG2655">
        <v>-0.10015499999999899</v>
      </c>
      <c r="AH2655">
        <v>0.46682214605476102</v>
      </c>
      <c r="AI2655">
        <v>102.108658980443</v>
      </c>
      <c r="AJ2655">
        <v>90.458647371485199</v>
      </c>
      <c r="AK2655">
        <v>0.47745984632139998</v>
      </c>
      <c r="AL2655">
        <v>80.563913811452096</v>
      </c>
      <c r="AM2655">
        <v>94.584686225230001</v>
      </c>
      <c r="AN2655">
        <v>1.0000000277372401</v>
      </c>
    </row>
    <row r="2656" spans="1:40" x14ac:dyDescent="0.25">
      <c r="A2656" t="str">
        <f>"20190303162830783"</f>
        <v>20190303162830783</v>
      </c>
      <c r="B2656" t="str">
        <f>"1551601710774077"</f>
        <v>1551601710774077</v>
      </c>
      <c r="C2656" t="s">
        <v>40</v>
      </c>
      <c r="D2656">
        <v>5.0557080000000001</v>
      </c>
      <c r="E2656">
        <v>0.52856899999999996</v>
      </c>
      <c r="F2656" t="s">
        <v>44</v>
      </c>
      <c r="G2656">
        <v>-492.66950000000003</v>
      </c>
      <c r="H2656">
        <v>1.022608</v>
      </c>
      <c r="I2656">
        <v>247.80289999999999</v>
      </c>
      <c r="J2656">
        <v>-492.65890000000002</v>
      </c>
      <c r="K2656">
        <v>1.1217159999999999</v>
      </c>
      <c r="L2656">
        <v>248.285</v>
      </c>
      <c r="M2656">
        <v>-2.9195860000000001E-2</v>
      </c>
      <c r="N2656">
        <v>-1.3388010000000001E-2</v>
      </c>
      <c r="O2656">
        <v>-0.99948419999999905</v>
      </c>
      <c r="P2656">
        <v>4.8726409999999998E-2</v>
      </c>
      <c r="Q2656">
        <v>0.15107079999999901</v>
      </c>
      <c r="R2656">
        <v>-0.98732149999999996</v>
      </c>
      <c r="S2656">
        <v>-7.3577879999999998E-2</v>
      </c>
      <c r="T2656">
        <v>-0.42672880000000002</v>
      </c>
      <c r="U2656">
        <v>-3.107437</v>
      </c>
      <c r="V2656">
        <v>-7.7652009999999994E-2</v>
      </c>
      <c r="W2656">
        <v>0.16419520000000001</v>
      </c>
      <c r="X2656">
        <v>0.98336670000000004</v>
      </c>
      <c r="Y2656">
        <v>-5.7023209999999998E-3</v>
      </c>
      <c r="Z2656">
        <v>0.12267069999999999</v>
      </c>
      <c r="AA2656">
        <v>0.99243099999999995</v>
      </c>
      <c r="AB2656">
        <v>26</v>
      </c>
      <c r="AC2656">
        <v>-1.06000000000108E-2</v>
      </c>
      <c r="AD2656">
        <v>-9.9107999999999905E-2</v>
      </c>
      <c r="AE2656">
        <v>-0.48210000000000203</v>
      </c>
      <c r="AF2656">
        <v>-3.3400176633209102E-3</v>
      </c>
      <c r="AG2656">
        <v>-9.9107999999999905E-2</v>
      </c>
      <c r="AH2656">
        <v>0.462660742139681</v>
      </c>
      <c r="AI2656">
        <v>102.090474369457</v>
      </c>
      <c r="AJ2656">
        <v>90.413619686763894</v>
      </c>
      <c r="AK2656">
        <v>0.473168589087686</v>
      </c>
      <c r="AL2656">
        <v>80.549514632011295</v>
      </c>
      <c r="AM2656">
        <v>94.515018965234304</v>
      </c>
      <c r="AN2656">
        <v>0.99999998251448496</v>
      </c>
    </row>
    <row r="2657" spans="1:40" x14ac:dyDescent="0.25">
      <c r="A2657" t="str">
        <f>"20190303162830795"</f>
        <v>20190303162830795</v>
      </c>
      <c r="B2657" t="str">
        <f>"1551601710783837"</f>
        <v>1551601710783837</v>
      </c>
      <c r="C2657" t="s">
        <v>40</v>
      </c>
      <c r="D2657">
        <v>5.06175</v>
      </c>
      <c r="E2657">
        <v>0.52842500000000003</v>
      </c>
      <c r="F2657" t="s">
        <v>44</v>
      </c>
      <c r="G2657">
        <v>-492.68119999999999</v>
      </c>
      <c r="H2657">
        <v>0.9918631</v>
      </c>
      <c r="I2657">
        <v>247.3475</v>
      </c>
      <c r="J2657">
        <v>-492.66300000000001</v>
      </c>
      <c r="K2657">
        <v>1.1216809999999999</v>
      </c>
      <c r="L2657">
        <v>248.13929999999999</v>
      </c>
      <c r="M2657">
        <v>-2.9000919999999999E-2</v>
      </c>
      <c r="N2657">
        <v>-1.3384419999999999E-2</v>
      </c>
      <c r="O2657">
        <v>-0.99948990000000004</v>
      </c>
      <c r="P2657">
        <v>4.8279309999999999E-2</v>
      </c>
      <c r="Q2657">
        <v>0.1514085</v>
      </c>
      <c r="R2657">
        <v>-0.98729180000000005</v>
      </c>
      <c r="S2657">
        <v>-7.3638919999999997E-2</v>
      </c>
      <c r="T2657">
        <v>-0.43052259999999998</v>
      </c>
      <c r="U2657">
        <v>-3.108063</v>
      </c>
      <c r="V2657">
        <v>-7.6998590000000006E-2</v>
      </c>
      <c r="W2657">
        <v>0.16453570000000001</v>
      </c>
      <c r="X2657">
        <v>0.98336120000000005</v>
      </c>
      <c r="Y2657">
        <v>-5.4961389999999997E-3</v>
      </c>
      <c r="Z2657">
        <v>0.1238363</v>
      </c>
      <c r="AA2657">
        <v>0.99228749999999999</v>
      </c>
      <c r="AB2657">
        <v>26</v>
      </c>
      <c r="AC2657">
        <v>-1.81999999999789E-2</v>
      </c>
      <c r="AD2657">
        <v>-0.12981790000000001</v>
      </c>
      <c r="AE2657">
        <v>-0.79179999999999495</v>
      </c>
      <c r="AF2657">
        <v>-4.6477705164965199E-3</v>
      </c>
      <c r="AG2657">
        <v>-0.12981790000000001</v>
      </c>
      <c r="AH2657">
        <v>0.77127345385541801</v>
      </c>
      <c r="AI2657">
        <v>99.554090205399703</v>
      </c>
      <c r="AJ2657">
        <v>90.345265884682902</v>
      </c>
      <c r="AK2657">
        <v>0.782136196294002</v>
      </c>
      <c r="AL2657">
        <v>80.529736731572697</v>
      </c>
      <c r="AM2657">
        <v>94.4772063999159</v>
      </c>
      <c r="AN2657">
        <v>1.00000001455095</v>
      </c>
    </row>
    <row r="2658" spans="1:40" x14ac:dyDescent="0.25">
      <c r="A2658" t="str">
        <f>"20190303162830810"</f>
        <v>20190303162830810</v>
      </c>
      <c r="B2658" t="str">
        <f>"1551601710804333"</f>
        <v>1551601710804333</v>
      </c>
      <c r="C2658" t="s">
        <v>40</v>
      </c>
      <c r="D2658">
        <v>5.0786800000000003</v>
      </c>
      <c r="E2658">
        <v>0.52822040000000003</v>
      </c>
      <c r="F2658" t="s">
        <v>44</v>
      </c>
      <c r="G2658">
        <v>-492.68169999999998</v>
      </c>
      <c r="H2658">
        <v>1.011093</v>
      </c>
      <c r="I2658">
        <v>247.3381</v>
      </c>
      <c r="J2658">
        <v>-492.66739999999999</v>
      </c>
      <c r="K2658">
        <v>1.121651</v>
      </c>
      <c r="L2658">
        <v>247.97839999999999</v>
      </c>
      <c r="M2658">
        <v>-2.8796309999999999E-2</v>
      </c>
      <c r="N2658">
        <v>-1.338056E-2</v>
      </c>
      <c r="O2658">
        <v>-0.99949600000000005</v>
      </c>
      <c r="P2658">
        <v>4.7789030000000003E-2</v>
      </c>
      <c r="Q2658">
        <v>0.15175060000000001</v>
      </c>
      <c r="R2658">
        <v>-0.98726309999999995</v>
      </c>
      <c r="S2658">
        <v>-7.2387699999999999E-2</v>
      </c>
      <c r="T2658">
        <v>-0.429039</v>
      </c>
      <c r="U2658">
        <v>-3.1079560000000002</v>
      </c>
      <c r="V2658">
        <v>-7.6293109999999997E-2</v>
      </c>
      <c r="W2658">
        <v>0.16488050000000001</v>
      </c>
      <c r="X2658">
        <v>0.98335839999999997</v>
      </c>
      <c r="Y2658">
        <v>-5.6883749999999999E-3</v>
      </c>
      <c r="Z2658">
        <v>0.12338200000000001</v>
      </c>
      <c r="AA2658">
        <v>0.99234290000000003</v>
      </c>
      <c r="AB2658">
        <v>26</v>
      </c>
      <c r="AC2658">
        <v>-1.42999999999915E-2</v>
      </c>
      <c r="AD2658">
        <v>-0.110557999999999</v>
      </c>
      <c r="AE2658">
        <v>-0.64029999999999598</v>
      </c>
      <c r="AF2658">
        <v>-4.0258884706105098E-3</v>
      </c>
      <c r="AG2658">
        <v>-0.110557999999999</v>
      </c>
      <c r="AH2658">
        <v>0.62191403737111095</v>
      </c>
      <c r="AI2658">
        <v>100.079989644459</v>
      </c>
      <c r="AJ2658">
        <v>90.370892410163094</v>
      </c>
      <c r="AK2658">
        <v>0.63167740898437497</v>
      </c>
      <c r="AL2658">
        <v>80.509707268896904</v>
      </c>
      <c r="AM2658">
        <v>94.436362226958707</v>
      </c>
      <c r="AN2658">
        <v>0.99999998038214</v>
      </c>
    </row>
    <row r="2659" spans="1:40" x14ac:dyDescent="0.25">
      <c r="A2659" t="str">
        <f>"20190303162830829"</f>
        <v>20190303162830829</v>
      </c>
      <c r="B2659" t="str">
        <f>"1551601710823853"</f>
        <v>1551601710823853</v>
      </c>
      <c r="C2659" t="s">
        <v>40</v>
      </c>
      <c r="D2659">
        <v>5.3142209999999999</v>
      </c>
      <c r="E2659">
        <v>0.52809519999999999</v>
      </c>
      <c r="F2659" t="s">
        <v>44</v>
      </c>
      <c r="G2659">
        <v>-492.68790000000001</v>
      </c>
      <c r="H2659">
        <v>1.001036</v>
      </c>
      <c r="I2659">
        <v>247.10810000000001</v>
      </c>
      <c r="J2659">
        <v>-492.67360000000002</v>
      </c>
      <c r="K2659">
        <v>1.1216219999999999</v>
      </c>
      <c r="L2659">
        <v>247.74979999999999</v>
      </c>
      <c r="M2659">
        <v>-2.8526840000000001E-2</v>
      </c>
      <c r="N2659">
        <v>-1.3375400000000001E-2</v>
      </c>
      <c r="O2659">
        <v>-0.99950360000000005</v>
      </c>
      <c r="P2659">
        <v>4.5993069999999997E-2</v>
      </c>
      <c r="Q2659">
        <v>0.1523331</v>
      </c>
      <c r="R2659">
        <v>-0.98725859999999999</v>
      </c>
      <c r="S2659">
        <v>-7.1197510000000006E-2</v>
      </c>
      <c r="T2659">
        <v>-0.43101349999999999</v>
      </c>
      <c r="U2659">
        <v>-3.1084290000000001</v>
      </c>
      <c r="V2659">
        <v>-7.4221469999999998E-2</v>
      </c>
      <c r="W2659">
        <v>0.1654651</v>
      </c>
      <c r="X2659">
        <v>0.98341880000000004</v>
      </c>
      <c r="Y2659">
        <v>-5.803636E-3</v>
      </c>
      <c r="Z2659">
        <v>0.12398670000000001</v>
      </c>
      <c r="AA2659">
        <v>0.99226689999999995</v>
      </c>
      <c r="AB2659">
        <v>26</v>
      </c>
      <c r="AC2659">
        <v>-1.42999999999915E-2</v>
      </c>
      <c r="AD2659">
        <v>-0.120585999999999</v>
      </c>
      <c r="AE2659">
        <v>-0.64169999999998595</v>
      </c>
      <c r="AF2659">
        <v>-3.8763156409004199E-3</v>
      </c>
      <c r="AG2659">
        <v>-0.120585999999999</v>
      </c>
      <c r="AH2659">
        <v>0.61996505709488503</v>
      </c>
      <c r="AI2659">
        <v>101.006647082938</v>
      </c>
      <c r="AJ2659">
        <v>90.358235725769106</v>
      </c>
      <c r="AK2659">
        <v>0.63159534611775903</v>
      </c>
      <c r="AL2659">
        <v>80.475746167612897</v>
      </c>
      <c r="AM2659">
        <v>94.316096065264006</v>
      </c>
      <c r="AN2659">
        <v>1.0000000310602</v>
      </c>
    </row>
    <row r="2660" spans="1:40" x14ac:dyDescent="0.25">
      <c r="A2660" t="str">
        <f>"20190303162830842"</f>
        <v>20190303162830842</v>
      </c>
      <c r="B2660" t="str">
        <f>"1551601710833613"</f>
        <v>1551601710833613</v>
      </c>
      <c r="C2660" t="s">
        <v>40</v>
      </c>
      <c r="D2660">
        <v>5.2493949999999998</v>
      </c>
      <c r="E2660">
        <v>0.53832150000000001</v>
      </c>
      <c r="F2660" t="s">
        <v>44</v>
      </c>
      <c r="G2660">
        <v>-492.6943</v>
      </c>
      <c r="H2660">
        <v>1.0000100000000001</v>
      </c>
      <c r="I2660">
        <v>246.87389999999999</v>
      </c>
      <c r="J2660">
        <v>-492.678</v>
      </c>
      <c r="K2660">
        <v>1.12161</v>
      </c>
      <c r="L2660">
        <v>247.58799999999999</v>
      </c>
      <c r="M2660">
        <v>-2.8341600000000002E-2</v>
      </c>
      <c r="N2660">
        <v>-1.337204E-2</v>
      </c>
      <c r="O2660">
        <v>-0.99950910000000004</v>
      </c>
      <c r="P2660">
        <v>4.5151219999999999E-2</v>
      </c>
      <c r="Q2660">
        <v>0.15244549999999901</v>
      </c>
      <c r="R2660">
        <v>-0.98728039999999995</v>
      </c>
      <c r="S2660">
        <v>-7.3211670000000006E-2</v>
      </c>
      <c r="T2660">
        <v>-0.43163279999999898</v>
      </c>
      <c r="U2660">
        <v>-3.1087340000000001</v>
      </c>
      <c r="V2660">
        <v>-7.3193540000000001E-2</v>
      </c>
      <c r="W2660">
        <v>0.165577</v>
      </c>
      <c r="X2660">
        <v>0.98347700000000005</v>
      </c>
      <c r="Y2660">
        <v>-4.9793579999999997E-3</v>
      </c>
      <c r="Z2660">
        <v>0.12417110000000001</v>
      </c>
      <c r="AA2660">
        <v>0.99224840000000003</v>
      </c>
      <c r="AB2660">
        <v>26</v>
      </c>
      <c r="AC2660">
        <v>-1.6299999999944199E-2</v>
      </c>
      <c r="AD2660">
        <v>-0.121599999999999</v>
      </c>
      <c r="AE2660">
        <v>-0.71410000000000196</v>
      </c>
      <c r="AF2660">
        <v>-3.83591895536311E-3</v>
      </c>
      <c r="AG2660">
        <v>-0.121599999999999</v>
      </c>
      <c r="AH2660">
        <v>0.69415728902507301</v>
      </c>
      <c r="AI2660">
        <v>99.935905187013404</v>
      </c>
      <c r="AJ2660">
        <v>90.316613731597499</v>
      </c>
      <c r="AK2660">
        <v>0.70473797696794405</v>
      </c>
      <c r="AL2660">
        <v>80.469245022075796</v>
      </c>
      <c r="AM2660">
        <v>94.256290570152402</v>
      </c>
      <c r="AN2660">
        <v>1.0000000233778601</v>
      </c>
    </row>
    <row r="2661" spans="1:40" x14ac:dyDescent="0.25">
      <c r="A2661" t="str">
        <f>"20190303162830856"</f>
        <v>20190303162830856</v>
      </c>
      <c r="B2661" t="str">
        <f>"1551601710844348"</f>
        <v>1551601710844348</v>
      </c>
      <c r="C2661" t="s">
        <v>40</v>
      </c>
      <c r="D2661">
        <v>5.1625699999999997</v>
      </c>
      <c r="E2661">
        <v>0.53962639999999995</v>
      </c>
      <c r="F2661" t="s">
        <v>44</v>
      </c>
      <c r="G2661">
        <v>-492.71199999999999</v>
      </c>
      <c r="H2661">
        <v>0.97178229999999999</v>
      </c>
      <c r="I2661">
        <v>246.8886</v>
      </c>
      <c r="J2661">
        <v>-492.68200000000002</v>
      </c>
      <c r="K2661">
        <v>1.1216090000000001</v>
      </c>
      <c r="L2661">
        <v>247.43879999999999</v>
      </c>
      <c r="M2661">
        <v>-2.8166670000000001E-2</v>
      </c>
      <c r="N2661">
        <v>-1.3369209999999999E-2</v>
      </c>
      <c r="O2661">
        <v>-0.99951389999999996</v>
      </c>
      <c r="P2661">
        <v>4.4043150000000003E-2</v>
      </c>
      <c r="Q2661">
        <v>0.152397799999999</v>
      </c>
      <c r="R2661">
        <v>-0.98733740000000003</v>
      </c>
      <c r="S2661">
        <v>-0.1527405</v>
      </c>
      <c r="T2661">
        <v>-0.67477679999999995</v>
      </c>
      <c r="U2661">
        <v>-3.1498409999999999</v>
      </c>
      <c r="V2661">
        <v>-7.1914740000000005E-2</v>
      </c>
      <c r="W2661">
        <v>0.1655295</v>
      </c>
      <c r="X2661">
        <v>0.98357930000000005</v>
      </c>
      <c r="Y2661">
        <v>1.930774E-2</v>
      </c>
      <c r="Z2661">
        <v>0.1961309</v>
      </c>
      <c r="AA2661">
        <v>0.98038760000000003</v>
      </c>
      <c r="AB2661">
        <v>26</v>
      </c>
      <c r="AC2661">
        <v>-3.00000000000295E-2</v>
      </c>
      <c r="AD2661">
        <v>-0.14982670000000001</v>
      </c>
      <c r="AE2661">
        <v>-0.55019999999998903</v>
      </c>
      <c r="AF2661">
        <v>1.3491890969169499E-2</v>
      </c>
      <c r="AG2661">
        <v>-0.14982670000000001</v>
      </c>
      <c r="AH2661">
        <v>0.51290527022361598</v>
      </c>
      <c r="AI2661">
        <v>106.27847881139201</v>
      </c>
      <c r="AJ2661">
        <v>88.493191176953204</v>
      </c>
      <c r="AK2661">
        <v>0.53451088611736897</v>
      </c>
      <c r="AL2661">
        <v>80.472004353151604</v>
      </c>
      <c r="AM2661">
        <v>94.181759596159793</v>
      </c>
      <c r="AN2661">
        <v>0.99999999229400305</v>
      </c>
    </row>
    <row r="2662" spans="1:40" x14ac:dyDescent="0.25">
      <c r="A2662" t="str">
        <f>"20190303162830874"</f>
        <v>20190303162830874</v>
      </c>
      <c r="B2662" t="str">
        <f>"1551601710863869"</f>
        <v>1551601710863869</v>
      </c>
      <c r="C2662" t="s">
        <v>40</v>
      </c>
      <c r="D2662">
        <v>5.1789110000000003</v>
      </c>
      <c r="E2662">
        <v>0.53837969999999902</v>
      </c>
      <c r="F2662" t="s">
        <v>44</v>
      </c>
      <c r="G2662">
        <v>-492.72239999999999</v>
      </c>
      <c r="H2662">
        <v>0.93302479999999999</v>
      </c>
      <c r="I2662">
        <v>246.6728</v>
      </c>
      <c r="J2662">
        <v>-492.68770000000001</v>
      </c>
      <c r="K2662">
        <v>1.1216200000000001</v>
      </c>
      <c r="L2662">
        <v>247.22370000000001</v>
      </c>
      <c r="M2662">
        <v>-2.7898490000000001E-2</v>
      </c>
      <c r="N2662">
        <v>-1.336536E-2</v>
      </c>
      <c r="O2662">
        <v>-0.99952169999999896</v>
      </c>
      <c r="P2662">
        <v>4.183771E-2</v>
      </c>
      <c r="Q2662">
        <v>0.15290689999999901</v>
      </c>
      <c r="R2662">
        <v>-0.98735479999999998</v>
      </c>
      <c r="S2662">
        <v>-0.16409299999999999</v>
      </c>
      <c r="T2662">
        <v>-0.77968979999999999</v>
      </c>
      <c r="U2662">
        <v>-3.1661380000000001</v>
      </c>
      <c r="V2662">
        <v>-6.9449049999999998E-2</v>
      </c>
      <c r="W2662">
        <v>0.16603599999999999</v>
      </c>
      <c r="X2662">
        <v>0.98367110000000002</v>
      </c>
      <c r="Y2662">
        <v>2.249634E-2</v>
      </c>
      <c r="Z2662">
        <v>0.22580790000000001</v>
      </c>
      <c r="AA2662">
        <v>0.97391209999999995</v>
      </c>
      <c r="AB2662">
        <v>26</v>
      </c>
      <c r="AC2662">
        <v>-3.4699999999986603E-2</v>
      </c>
      <c r="AD2662">
        <v>-0.18859519999999999</v>
      </c>
      <c r="AE2662">
        <v>-0.55090000000001205</v>
      </c>
      <c r="AF2662">
        <v>1.7296733541908801E-2</v>
      </c>
      <c r="AG2662">
        <v>-0.18859519999999999</v>
      </c>
      <c r="AH2662">
        <v>0.49398859913403997</v>
      </c>
      <c r="AI2662">
        <v>110.884186252066</v>
      </c>
      <c r="AJ2662">
        <v>87.994639701708707</v>
      </c>
      <c r="AK2662">
        <v>0.52904826105816705</v>
      </c>
      <c r="AL2662">
        <v>80.442576697043194</v>
      </c>
      <c r="AM2662">
        <v>94.038489747549406</v>
      </c>
      <c r="AN2662">
        <v>0.99999997840855603</v>
      </c>
    </row>
    <row r="2663" spans="1:40" x14ac:dyDescent="0.25">
      <c r="A2663" t="str">
        <f>"20190303162830888"</f>
        <v>20190303162830888</v>
      </c>
      <c r="B2663" t="str">
        <f>"1551601710884365"</f>
        <v>1551601710884365</v>
      </c>
      <c r="C2663" t="s">
        <v>40</v>
      </c>
      <c r="D2663">
        <v>5.1218389999999996</v>
      </c>
      <c r="E2663">
        <v>0.53793299999999999</v>
      </c>
      <c r="F2663" t="s">
        <v>44</v>
      </c>
      <c r="G2663">
        <v>-492.72609999999997</v>
      </c>
      <c r="H2663">
        <v>0.89511879999999999</v>
      </c>
      <c r="I2663">
        <v>246.45509999999999</v>
      </c>
      <c r="J2663">
        <v>-492.69200000000001</v>
      </c>
      <c r="K2663">
        <v>1.1216280000000001</v>
      </c>
      <c r="L2663">
        <v>247.06219999999999</v>
      </c>
      <c r="M2663">
        <v>-2.7679789999999999E-2</v>
      </c>
      <c r="N2663">
        <v>-1.336268E-2</v>
      </c>
      <c r="O2663">
        <v>-0.99952770000000002</v>
      </c>
      <c r="P2663">
        <v>4.0754859999999997E-2</v>
      </c>
      <c r="Q2663">
        <v>0.15340889999999999</v>
      </c>
      <c r="R2663">
        <v>-0.98732220000000004</v>
      </c>
      <c r="S2663">
        <v>-0.15844730000000001</v>
      </c>
      <c r="T2663">
        <v>-0.94031799999999999</v>
      </c>
      <c r="U2663">
        <v>-3.1907649999999999</v>
      </c>
      <c r="V2663">
        <v>-6.8155190000000004E-2</v>
      </c>
      <c r="W2663">
        <v>0.166533399999999</v>
      </c>
      <c r="X2663">
        <v>0.98367749999999998</v>
      </c>
      <c r="Y2663">
        <v>2.004997E-2</v>
      </c>
      <c r="Z2663">
        <v>0.26950059999999998</v>
      </c>
      <c r="AA2663">
        <v>0.96279150000000002</v>
      </c>
      <c r="AB2663">
        <v>26</v>
      </c>
      <c r="AC2663">
        <v>-3.41000000000235E-2</v>
      </c>
      <c r="AD2663">
        <v>-0.22650919999999999</v>
      </c>
      <c r="AE2663">
        <v>-0.60710000000000197</v>
      </c>
      <c r="AF2663">
        <v>1.5175227568602401E-2</v>
      </c>
      <c r="AG2663">
        <v>-0.22650919999999999</v>
      </c>
      <c r="AH2663">
        <v>0.53374554760242199</v>
      </c>
      <c r="AI2663">
        <v>112.986915560193</v>
      </c>
      <c r="AJ2663">
        <v>88.3714293664152</v>
      </c>
      <c r="AK2663">
        <v>0.58001811592553598</v>
      </c>
      <c r="AL2663">
        <v>80.413675262285096</v>
      </c>
      <c r="AM2663">
        <v>93.963467632823793</v>
      </c>
      <c r="AN2663">
        <v>0.99999996362287202</v>
      </c>
    </row>
    <row r="2664" spans="1:40" x14ac:dyDescent="0.25">
      <c r="A2664" t="str">
        <f>"20190303162830901"</f>
        <v>20190303162830901</v>
      </c>
      <c r="B2664" t="str">
        <f>"1551601710894125"</f>
        <v>1551601710894125</v>
      </c>
      <c r="C2664" t="s">
        <v>40</v>
      </c>
      <c r="D2664">
        <v>5.1050719999999998</v>
      </c>
      <c r="E2664">
        <v>0.53802139999999998</v>
      </c>
      <c r="F2664" t="s">
        <v>44</v>
      </c>
      <c r="G2664">
        <v>-492.73320000000001</v>
      </c>
      <c r="H2664">
        <v>0.86184559999999999</v>
      </c>
      <c r="I2664">
        <v>246.2355</v>
      </c>
      <c r="J2664">
        <v>-492.69650000000001</v>
      </c>
      <c r="K2664">
        <v>1.12165</v>
      </c>
      <c r="L2664">
        <v>246.89230000000001</v>
      </c>
      <c r="M2664">
        <v>-2.743019E-2</v>
      </c>
      <c r="N2664">
        <v>-1.336006E-2</v>
      </c>
      <c r="O2664">
        <v>-0.9995347</v>
      </c>
      <c r="P2664">
        <v>4.0065730000000001E-2</v>
      </c>
      <c r="Q2664">
        <v>0.15408069999999999</v>
      </c>
      <c r="R2664">
        <v>-0.98724599999999996</v>
      </c>
      <c r="S2664">
        <v>-0.15780640000000001</v>
      </c>
      <c r="T2664">
        <v>-1.0060739999999999</v>
      </c>
      <c r="U2664">
        <v>-3.201355</v>
      </c>
      <c r="V2664">
        <v>-6.7225779999999999E-2</v>
      </c>
      <c r="W2664">
        <v>0.1671996</v>
      </c>
      <c r="X2664">
        <v>0.98362850000000002</v>
      </c>
      <c r="Y2664">
        <v>1.9702109999999998E-2</v>
      </c>
      <c r="Z2664">
        <v>0.28668759999999999</v>
      </c>
      <c r="AA2664">
        <v>0.95782149999999999</v>
      </c>
      <c r="AB2664">
        <v>26</v>
      </c>
      <c r="AC2664">
        <v>-3.6699999999996097E-2</v>
      </c>
      <c r="AD2664">
        <v>-0.25980439999999999</v>
      </c>
      <c r="AE2664">
        <v>-0.65680000000000405</v>
      </c>
      <c r="AF2664">
        <v>1.61494256839027E-2</v>
      </c>
      <c r="AG2664">
        <v>-0.25980439999999999</v>
      </c>
      <c r="AH2664">
        <v>0.56883232283584095</v>
      </c>
      <c r="AI2664">
        <v>114.539015292418</v>
      </c>
      <c r="AJ2664">
        <v>88.373781842960298</v>
      </c>
      <c r="AK2664">
        <v>0.62556321959662697</v>
      </c>
      <c r="AL2664">
        <v>80.374962569718605</v>
      </c>
      <c r="AM2664">
        <v>93.909782041993694</v>
      </c>
      <c r="AN2664">
        <v>1.0000000188745</v>
      </c>
    </row>
    <row r="2665" spans="1:40" x14ac:dyDescent="0.25">
      <c r="A2665" t="str">
        <f>"20190303162830918"</f>
        <v>20190303162830918</v>
      </c>
      <c r="B2665" t="str">
        <f>"1551601710903885"</f>
        <v>1551601710903885</v>
      </c>
      <c r="C2665" t="s">
        <v>40</v>
      </c>
      <c r="D2665">
        <v>5.1368229999999997</v>
      </c>
      <c r="E2665">
        <v>0.53803699999999999</v>
      </c>
      <c r="F2665" t="s">
        <v>44</v>
      </c>
      <c r="G2665">
        <v>-492.73070000000001</v>
      </c>
      <c r="H2665">
        <v>0.90675399999999995</v>
      </c>
      <c r="I2665">
        <v>246.2159</v>
      </c>
      <c r="J2665">
        <v>-492.70119999999997</v>
      </c>
      <c r="K2665">
        <v>1.1216820000000001</v>
      </c>
      <c r="L2665">
        <v>246.70869999999999</v>
      </c>
      <c r="M2665">
        <v>-2.7128389999999999E-2</v>
      </c>
      <c r="N2665">
        <v>-1.335748E-2</v>
      </c>
      <c r="O2665">
        <v>-0.99954299999999996</v>
      </c>
      <c r="P2665">
        <v>3.9163009999999998E-2</v>
      </c>
      <c r="Q2665">
        <v>0.15453800000000001</v>
      </c>
      <c r="R2665">
        <v>-0.9872109</v>
      </c>
      <c r="S2665">
        <v>-0.16018679999999999</v>
      </c>
      <c r="T2665">
        <v>-1.018027</v>
      </c>
      <c r="U2665">
        <v>-3.2041469999999999</v>
      </c>
      <c r="V2665">
        <v>-6.6036289999999997E-2</v>
      </c>
      <c r="W2665">
        <v>0.16765089999999999</v>
      </c>
      <c r="X2665">
        <v>0.98363230000000001</v>
      </c>
      <c r="Y2665">
        <v>2.0625000000000001E-2</v>
      </c>
      <c r="Z2665">
        <v>0.28969200000000001</v>
      </c>
      <c r="AA2665">
        <v>0.95689769999999996</v>
      </c>
      <c r="AB2665">
        <v>26</v>
      </c>
      <c r="AC2665">
        <v>-2.9500000000041299E-2</v>
      </c>
      <c r="AD2665">
        <v>-0.21492800000000001</v>
      </c>
      <c r="AE2665">
        <v>-0.49279999999998803</v>
      </c>
      <c r="AF2665">
        <v>1.3550733142956E-2</v>
      </c>
      <c r="AG2665">
        <v>-0.21492800000000001</v>
      </c>
      <c r="AH2665">
        <v>0.414799607127537</v>
      </c>
      <c r="AI2665">
        <v>117.378407029144</v>
      </c>
      <c r="AJ2665">
        <v>88.128918666947897</v>
      </c>
      <c r="AK2665">
        <v>0.46737178094732101</v>
      </c>
      <c r="AL2665">
        <v>80.348735161772197</v>
      </c>
      <c r="AM2665">
        <v>93.840796652617797</v>
      </c>
      <c r="AN2665">
        <v>1.00000005873553</v>
      </c>
    </row>
    <row r="2666" spans="1:40" x14ac:dyDescent="0.25">
      <c r="A2666" t="str">
        <f>"20190303162830934"</f>
        <v>20190303162830934</v>
      </c>
      <c r="B2666" t="str">
        <f>"1551601710924380"</f>
        <v>1551601710924380</v>
      </c>
      <c r="C2666" t="s">
        <v>40</v>
      </c>
      <c r="D2666">
        <v>5.1417510000000002</v>
      </c>
      <c r="E2666">
        <v>0.53805890000000001</v>
      </c>
      <c r="F2666" t="s">
        <v>44</v>
      </c>
      <c r="G2666">
        <v>-492.738</v>
      </c>
      <c r="H2666">
        <v>0.89112029999999998</v>
      </c>
      <c r="I2666">
        <v>245.9889</v>
      </c>
      <c r="J2666">
        <v>-492.70589999999999</v>
      </c>
      <c r="K2666">
        <v>1.1217109999999999</v>
      </c>
      <c r="L2666">
        <v>246.5222</v>
      </c>
      <c r="M2666">
        <v>-2.679378E-2</v>
      </c>
      <c r="N2666">
        <v>-1.335501E-2</v>
      </c>
      <c r="O2666">
        <v>-0.99955190000000005</v>
      </c>
      <c r="P2666">
        <v>3.9112010000000003E-2</v>
      </c>
      <c r="Q2666">
        <v>0.15473819999999999</v>
      </c>
      <c r="R2666">
        <v>-0.98718130000000004</v>
      </c>
      <c r="S2666">
        <v>-0.16354369999999999</v>
      </c>
      <c r="T2666">
        <v>-1.0270030000000001</v>
      </c>
      <c r="U2666">
        <v>-3.2061310000000001</v>
      </c>
      <c r="V2666">
        <v>-6.5666840000000004E-2</v>
      </c>
      <c r="W2666">
        <v>0.16784460000000001</v>
      </c>
      <c r="X2666">
        <v>0.9836239</v>
      </c>
      <c r="Y2666">
        <v>2.189135E-2</v>
      </c>
      <c r="Z2666">
        <v>0.29194540000000002</v>
      </c>
      <c r="AA2666">
        <v>0.95618440000000005</v>
      </c>
      <c r="AB2666">
        <v>26</v>
      </c>
      <c r="AC2666">
        <v>-3.2100000000070801E-2</v>
      </c>
      <c r="AD2666">
        <v>-0.23059070000000001</v>
      </c>
      <c r="AE2666">
        <v>-0.533299999999997</v>
      </c>
      <c r="AF2666">
        <v>1.50032496634015E-2</v>
      </c>
      <c r="AG2666">
        <v>-0.23059070000000001</v>
      </c>
      <c r="AH2666">
        <v>0.45011967474491399</v>
      </c>
      <c r="AI2666">
        <v>117.11259163980699</v>
      </c>
      <c r="AJ2666">
        <v>88.090941592899597</v>
      </c>
      <c r="AK2666">
        <v>0.50596925797860504</v>
      </c>
      <c r="AL2666">
        <v>80.337476485733603</v>
      </c>
      <c r="AM2666">
        <v>93.819405033745099</v>
      </c>
      <c r="AN2666">
        <v>0.99999996013797698</v>
      </c>
    </row>
    <row r="2667" spans="1:40" x14ac:dyDescent="0.25">
      <c r="A2667" t="str">
        <f>"20190303162830954"</f>
        <v>20190303162830954</v>
      </c>
      <c r="B2667" t="str">
        <f>"1551601710943901"</f>
        <v>1551601710943901</v>
      </c>
      <c r="C2667" t="s">
        <v>40</v>
      </c>
      <c r="D2667">
        <v>5.1070880000000001</v>
      </c>
      <c r="E2667">
        <v>0.53827799999999904</v>
      </c>
      <c r="F2667" t="s">
        <v>44</v>
      </c>
      <c r="G2667">
        <v>-492.74509999999998</v>
      </c>
      <c r="H2667">
        <v>0.87521729999999998</v>
      </c>
      <c r="I2667">
        <v>245.76220000000001</v>
      </c>
      <c r="J2667">
        <v>-492.71159999999998</v>
      </c>
      <c r="K2667">
        <v>1.121748</v>
      </c>
      <c r="L2667">
        <v>246.28970000000001</v>
      </c>
      <c r="M2667">
        <v>-2.6335520000000001E-2</v>
      </c>
      <c r="N2667">
        <v>-1.335215E-2</v>
      </c>
      <c r="O2667">
        <v>-0.99956420000000001</v>
      </c>
      <c r="P2667">
        <v>4.0275810000000002E-2</v>
      </c>
      <c r="Q2667">
        <v>0.15477170000000001</v>
      </c>
      <c r="R2667">
        <v>-0.98712949999999999</v>
      </c>
      <c r="S2667">
        <v>-0.16409299999999999</v>
      </c>
      <c r="T2667">
        <v>-1.040791</v>
      </c>
      <c r="U2667">
        <v>-3.2086030000000001</v>
      </c>
      <c r="V2667">
        <v>-6.6393079999999993E-2</v>
      </c>
      <c r="W2667">
        <v>0.16786760000000001</v>
      </c>
      <c r="X2667">
        <v>0.98357119999999998</v>
      </c>
      <c r="Y2667">
        <v>2.2418549999999999E-2</v>
      </c>
      <c r="Z2667">
        <v>0.29545389999999999</v>
      </c>
      <c r="AA2667">
        <v>0.95509390000000005</v>
      </c>
      <c r="AB2667">
        <v>26</v>
      </c>
      <c r="AC2667">
        <v>-3.3500000000003603E-2</v>
      </c>
      <c r="AD2667">
        <v>-0.24653069999999899</v>
      </c>
      <c r="AE2667">
        <v>-0.52750000000000297</v>
      </c>
      <c r="AF2667">
        <v>1.6093989990034498E-2</v>
      </c>
      <c r="AG2667">
        <v>-0.24653069999999899</v>
      </c>
      <c r="AH2667">
        <v>0.433823261465485</v>
      </c>
      <c r="AI2667">
        <v>119.59154372249</v>
      </c>
      <c r="AJ2667">
        <v>87.8754135451764</v>
      </c>
      <c r="AK2667">
        <v>0.499238444778484</v>
      </c>
      <c r="AL2667">
        <v>80.336139508165999</v>
      </c>
      <c r="AM2667">
        <v>93.861724778570306</v>
      </c>
      <c r="AN2667">
        <v>0.99999993883554095</v>
      </c>
    </row>
    <row r="2668" spans="1:40" x14ac:dyDescent="0.25">
      <c r="A2668" t="str">
        <f>"20190303162830974"</f>
        <v>20190303162830974</v>
      </c>
      <c r="B2668" t="str">
        <f>"1551601710964398"</f>
        <v>1551601710964398</v>
      </c>
      <c r="C2668" t="s">
        <v>40</v>
      </c>
      <c r="D2668">
        <v>5.1048879999999999</v>
      </c>
      <c r="E2668">
        <v>0.53838509999999995</v>
      </c>
      <c r="F2668" t="s">
        <v>44</v>
      </c>
      <c r="G2668">
        <v>-492.75040000000001</v>
      </c>
      <c r="H2668">
        <v>0.87384209999999995</v>
      </c>
      <c r="I2668">
        <v>245.52930000000001</v>
      </c>
      <c r="J2668">
        <v>-492.71719999999999</v>
      </c>
      <c r="K2668">
        <v>1.121788</v>
      </c>
      <c r="L2668">
        <v>246.0547</v>
      </c>
      <c r="M2668">
        <v>-2.5825250000000001E-2</v>
      </c>
      <c r="N2668">
        <v>-1.334946E-2</v>
      </c>
      <c r="O2668">
        <v>-0.99957759999999996</v>
      </c>
      <c r="P2668">
        <v>4.2187849999999999E-2</v>
      </c>
      <c r="Q2668">
        <v>0.1550067</v>
      </c>
      <c r="R2668">
        <v>-0.98701260000000002</v>
      </c>
      <c r="S2668">
        <v>-0.1635742</v>
      </c>
      <c r="T2668">
        <v>-1.0465279999999999</v>
      </c>
      <c r="U2668">
        <v>-3.2098689999999999</v>
      </c>
      <c r="V2668">
        <v>-6.7814769999999996E-2</v>
      </c>
      <c r="W2668">
        <v>0.16808999999999999</v>
      </c>
      <c r="X2668">
        <v>0.98343630000000004</v>
      </c>
      <c r="Y2668">
        <v>2.2732019999999999E-2</v>
      </c>
      <c r="Z2668">
        <v>0.29689399999999999</v>
      </c>
      <c r="AA2668">
        <v>0.95463989999999999</v>
      </c>
      <c r="AB2668">
        <v>26</v>
      </c>
      <c r="AC2668">
        <v>-3.3200000000022101E-2</v>
      </c>
      <c r="AD2668">
        <v>-0.247945899999999</v>
      </c>
      <c r="AE2668">
        <v>-0.52539999999998999</v>
      </c>
      <c r="AF2668">
        <v>1.6057286421354299E-2</v>
      </c>
      <c r="AG2668">
        <v>-0.247945899999999</v>
      </c>
      <c r="AH2668">
        <v>0.430572171521865</v>
      </c>
      <c r="AI2668">
        <v>119.91836540738301</v>
      </c>
      <c r="AJ2668">
        <v>87.864263758830901</v>
      </c>
      <c r="AK2668">
        <v>0.49711910108452001</v>
      </c>
      <c r="AL2668">
        <v>80.323214080291294</v>
      </c>
      <c r="AM2668">
        <v>93.944697815070995</v>
      </c>
      <c r="AN2668">
        <v>1.0000000236439199</v>
      </c>
    </row>
    <row r="2669" spans="1:40" x14ac:dyDescent="0.25">
      <c r="A2669" t="str">
        <f>"20190303162830988"</f>
        <v>20190303162830988</v>
      </c>
      <c r="B2669" t="str">
        <f>"1551601710984331"</f>
        <v>1551601710984331</v>
      </c>
      <c r="C2669" t="s">
        <v>40</v>
      </c>
      <c r="D2669">
        <v>5.1360859999999997</v>
      </c>
      <c r="E2669">
        <v>0.53854630000000003</v>
      </c>
      <c r="F2669" t="s">
        <v>44</v>
      </c>
      <c r="G2669">
        <v>-492.75540000000001</v>
      </c>
      <c r="H2669">
        <v>0.87354330000000002</v>
      </c>
      <c r="I2669">
        <v>245.2962</v>
      </c>
      <c r="J2669">
        <v>-492.72089999999997</v>
      </c>
      <c r="K2669">
        <v>1.12182</v>
      </c>
      <c r="L2669">
        <v>245.89769999999999</v>
      </c>
      <c r="M2669">
        <v>-2.5461569999999999E-2</v>
      </c>
      <c r="N2669">
        <v>-1.334775E-2</v>
      </c>
      <c r="O2669">
        <v>-0.99958689999999994</v>
      </c>
      <c r="P2669">
        <v>4.3785499999999998E-2</v>
      </c>
      <c r="Q2669">
        <v>0.1550801</v>
      </c>
      <c r="R2669">
        <v>-0.98693160000000002</v>
      </c>
      <c r="S2669">
        <v>-0.16003419999999999</v>
      </c>
      <c r="T2669">
        <v>-1.051134</v>
      </c>
      <c r="U2669">
        <v>-3.2113800000000001</v>
      </c>
      <c r="V2669">
        <v>-6.9061319999999995E-2</v>
      </c>
      <c r="W2669">
        <v>0.16815529999999901</v>
      </c>
      <c r="X2669">
        <v>0.98333839999999995</v>
      </c>
      <c r="Y2669">
        <v>2.2007349999999998E-2</v>
      </c>
      <c r="Z2669">
        <v>0.29801369999999999</v>
      </c>
      <c r="AA2669">
        <v>0.95430789999999999</v>
      </c>
      <c r="AB2669">
        <v>26</v>
      </c>
      <c r="AC2669">
        <v>-3.45000000000368E-2</v>
      </c>
      <c r="AD2669">
        <v>-0.24827669999999899</v>
      </c>
      <c r="AE2669">
        <v>-0.60149999999998705</v>
      </c>
      <c r="AF2669">
        <v>1.6389197398266001E-2</v>
      </c>
      <c r="AG2669">
        <v>-0.24827669999999899</v>
      </c>
      <c r="AH2669">
        <v>0.51476841988724797</v>
      </c>
      <c r="AI2669">
        <v>115.73700958123599</v>
      </c>
      <c r="AJ2669">
        <v>88.176432913738196</v>
      </c>
      <c r="AK2669">
        <v>0.57174859131218103</v>
      </c>
      <c r="AL2669">
        <v>80.319418800686606</v>
      </c>
      <c r="AM2669">
        <v>94.017371395545993</v>
      </c>
      <c r="AN2669">
        <v>1.00000003987639</v>
      </c>
    </row>
    <row r="2670" spans="1:40" x14ac:dyDescent="0.25">
      <c r="A2670" t="str">
        <f>"20190303162831000"</f>
        <v>20190303162831000</v>
      </c>
      <c r="B2670" t="str">
        <f>"1551601710994092"</f>
        <v>1551601710994092</v>
      </c>
      <c r="C2670" t="s">
        <v>40</v>
      </c>
      <c r="D2670">
        <v>5.1320639999999997</v>
      </c>
      <c r="E2670">
        <v>0.53859749999999995</v>
      </c>
      <c r="F2670" t="s">
        <v>44</v>
      </c>
      <c r="G2670">
        <v>-492.76119999999997</v>
      </c>
      <c r="H2670">
        <v>0.85133789999999998</v>
      </c>
      <c r="I2670">
        <v>245.0728</v>
      </c>
      <c r="J2670">
        <v>-492.72449999999998</v>
      </c>
      <c r="K2670">
        <v>1.121845</v>
      </c>
      <c r="L2670">
        <v>245.73929999999999</v>
      </c>
      <c r="M2670">
        <v>-2.507525E-2</v>
      </c>
      <c r="N2670">
        <v>-1.334611E-2</v>
      </c>
      <c r="O2670">
        <v>-0.99959659999999995</v>
      </c>
      <c r="P2670">
        <v>4.5299289999999999E-2</v>
      </c>
      <c r="Q2670">
        <v>0.15520680000000001</v>
      </c>
      <c r="R2670">
        <v>-0.98684300000000003</v>
      </c>
      <c r="S2670">
        <v>-0.15682979999999899</v>
      </c>
      <c r="T2670">
        <v>-1.053248</v>
      </c>
      <c r="U2670">
        <v>-3.2121580000000001</v>
      </c>
      <c r="V2670">
        <v>-7.020158E-2</v>
      </c>
      <c r="W2670">
        <v>0.168273799999999</v>
      </c>
      <c r="X2670">
        <v>0.98323729999999998</v>
      </c>
      <c r="Y2670">
        <v>2.1426029999999999E-2</v>
      </c>
      <c r="Z2670">
        <v>0.29852669999999998</v>
      </c>
      <c r="AA2670">
        <v>0.95416069999999997</v>
      </c>
      <c r="AB2670">
        <v>26</v>
      </c>
      <c r="AC2670">
        <v>-3.6699999999996097E-2</v>
      </c>
      <c r="AD2670">
        <v>-0.270507099999999</v>
      </c>
      <c r="AE2670">
        <v>-0.66649999999998499</v>
      </c>
      <c r="AF2670">
        <v>1.7156733760006201E-2</v>
      </c>
      <c r="AG2670">
        <v>-0.270507099999999</v>
      </c>
      <c r="AH2670">
        <v>0.57309376994417804</v>
      </c>
      <c r="AI2670">
        <v>115.257964818003</v>
      </c>
      <c r="AJ2670">
        <v>88.285245839486393</v>
      </c>
      <c r="AK2670">
        <v>0.63395970992843997</v>
      </c>
      <c r="AL2670">
        <v>80.312530331332496</v>
      </c>
      <c r="AM2670">
        <v>94.083897433305395</v>
      </c>
      <c r="AN2670">
        <v>0.99999996085611198</v>
      </c>
    </row>
    <row r="2671" spans="1:40" x14ac:dyDescent="0.25">
      <c r="A2671" t="str">
        <f>"20190303162831019"</f>
        <v>20190303162831019</v>
      </c>
      <c r="B2671" t="str">
        <f>"1551601711014587"</f>
        <v>1551601711014587</v>
      </c>
      <c r="C2671" t="s">
        <v>40</v>
      </c>
      <c r="D2671">
        <v>5.184704</v>
      </c>
      <c r="E2671">
        <v>0.53859380000000001</v>
      </c>
      <c r="F2671" t="s">
        <v>44</v>
      </c>
      <c r="G2671">
        <v>-492.75700000000001</v>
      </c>
      <c r="H2671">
        <v>0.89655490000000004</v>
      </c>
      <c r="I2671">
        <v>245.053</v>
      </c>
      <c r="J2671">
        <v>-492.72919999999999</v>
      </c>
      <c r="K2671">
        <v>1.121877</v>
      </c>
      <c r="L2671">
        <v>245.53</v>
      </c>
      <c r="M2671">
        <v>-2.4534319999999998E-2</v>
      </c>
      <c r="N2671">
        <v>-1.334401E-2</v>
      </c>
      <c r="O2671">
        <v>-0.99961</v>
      </c>
      <c r="P2671">
        <v>4.8340729999999998E-2</v>
      </c>
      <c r="Q2671">
        <v>0.15528989999999901</v>
      </c>
      <c r="R2671">
        <v>-0.98668560000000005</v>
      </c>
      <c r="S2671">
        <v>-0.15222169999999999</v>
      </c>
      <c r="T2671">
        <v>-1.054638</v>
      </c>
      <c r="U2671">
        <v>-3.2128909999999999</v>
      </c>
      <c r="V2671">
        <v>-7.2716740000000002E-2</v>
      </c>
      <c r="W2671">
        <v>0.16834470000000001</v>
      </c>
      <c r="X2671">
        <v>0.98304239999999998</v>
      </c>
      <c r="Y2671">
        <v>2.058815E-2</v>
      </c>
      <c r="Z2671">
        <v>0.29885479999999998</v>
      </c>
      <c r="AA2671">
        <v>0.95407649999999999</v>
      </c>
      <c r="AB2671">
        <v>26</v>
      </c>
      <c r="AC2671">
        <v>-2.7799999999956498E-2</v>
      </c>
      <c r="AD2671">
        <v>-0.2253221</v>
      </c>
      <c r="AE2671">
        <v>-0.47700000000000298</v>
      </c>
      <c r="AF2671">
        <v>1.31609663810822E-2</v>
      </c>
      <c r="AG2671">
        <v>-0.2253221</v>
      </c>
      <c r="AH2671">
        <v>0.39066249281804</v>
      </c>
      <c r="AI2671">
        <v>119.96096310495</v>
      </c>
      <c r="AJ2671">
        <v>88.070501359850795</v>
      </c>
      <c r="AK2671">
        <v>0.45117673153576898</v>
      </c>
      <c r="AL2671">
        <v>80.308409763412698</v>
      </c>
      <c r="AM2671">
        <v>94.230527685528301</v>
      </c>
      <c r="AN2671">
        <v>1.0000000112460301</v>
      </c>
    </row>
    <row r="2672" spans="1:40" x14ac:dyDescent="0.25">
      <c r="A2672" t="str">
        <f>"20190303162831032"</f>
        <v>20190303162831032</v>
      </c>
      <c r="B2672" t="str">
        <f>"1551601711025324"</f>
        <v>1551601711025324</v>
      </c>
      <c r="C2672" t="s">
        <v>40</v>
      </c>
      <c r="D2672">
        <v>5.1188630000000002</v>
      </c>
      <c r="E2672">
        <v>0.53865079999999999</v>
      </c>
      <c r="F2672" t="s">
        <v>44</v>
      </c>
      <c r="G2672">
        <v>-492.76130000000001</v>
      </c>
      <c r="H2672">
        <v>0.88904519999999998</v>
      </c>
      <c r="I2672">
        <v>244.82329999999999</v>
      </c>
      <c r="J2672">
        <v>-492.73259999999999</v>
      </c>
      <c r="K2672">
        <v>1.1218999999999999</v>
      </c>
      <c r="L2672">
        <v>245.37719999999999</v>
      </c>
      <c r="M2672">
        <v>-2.412069E-2</v>
      </c>
      <c r="N2672">
        <v>-1.334254E-2</v>
      </c>
      <c r="O2672">
        <v>-0.99962030000000002</v>
      </c>
      <c r="P2672">
        <v>5.0252369999999998E-2</v>
      </c>
      <c r="Q2672">
        <v>0.15521190000000001</v>
      </c>
      <c r="R2672">
        <v>-0.9866028</v>
      </c>
      <c r="S2672">
        <v>-0.14367679999999999</v>
      </c>
      <c r="T2672">
        <v>-1.0591870000000001</v>
      </c>
      <c r="U2672">
        <v>-3.2142179999999998</v>
      </c>
      <c r="V2672">
        <v>-7.4226189999999997E-2</v>
      </c>
      <c r="W2672">
        <v>0.16825870000000001</v>
      </c>
      <c r="X2672">
        <v>0.98294429999999999</v>
      </c>
      <c r="Y2672">
        <v>1.844113E-2</v>
      </c>
      <c r="Z2672">
        <v>0.2999848</v>
      </c>
      <c r="AA2672">
        <v>0.95376570000000005</v>
      </c>
      <c r="AB2672">
        <v>26</v>
      </c>
      <c r="AC2672">
        <v>-2.87000000000148E-2</v>
      </c>
      <c r="AD2672">
        <v>-0.232854799999999</v>
      </c>
      <c r="AE2672">
        <v>-0.55389999999999795</v>
      </c>
      <c r="AF2672">
        <v>1.3032890862137899E-2</v>
      </c>
      <c r="AG2672">
        <v>-0.232854799999999</v>
      </c>
      <c r="AH2672">
        <v>0.471352551181136</v>
      </c>
      <c r="AI2672">
        <v>116.281327740018</v>
      </c>
      <c r="AJ2672">
        <v>88.416176109296401</v>
      </c>
      <c r="AK2672">
        <v>0.52589394523252497</v>
      </c>
      <c r="AL2672">
        <v>80.313408464775407</v>
      </c>
      <c r="AM2672">
        <v>94.318445278620302</v>
      </c>
      <c r="AN2672">
        <v>1.0000000071550399</v>
      </c>
    </row>
    <row r="2673" spans="1:40" x14ac:dyDescent="0.25">
      <c r="A2673" t="str">
        <f>"20190303162831053"</f>
        <v>20190303162831053</v>
      </c>
      <c r="B2673" t="str">
        <f>"1551601711043867"</f>
        <v>1551601711043867</v>
      </c>
      <c r="C2673" t="s">
        <v>40</v>
      </c>
      <c r="D2673">
        <v>5.1151790000000004</v>
      </c>
      <c r="E2673">
        <v>0.53875980000000001</v>
      </c>
      <c r="F2673" t="s">
        <v>44</v>
      </c>
      <c r="G2673">
        <v>-492.76620000000003</v>
      </c>
      <c r="H2673">
        <v>0.86589249999999995</v>
      </c>
      <c r="I2673">
        <v>244.60069999999999</v>
      </c>
      <c r="J2673">
        <v>-492.73770000000002</v>
      </c>
      <c r="K2673">
        <v>1.121934</v>
      </c>
      <c r="L2673">
        <v>245.1319</v>
      </c>
      <c r="M2673">
        <v>-2.3428919999999999E-2</v>
      </c>
      <c r="N2673">
        <v>-1.334022E-2</v>
      </c>
      <c r="O2673">
        <v>-0.99963659999999999</v>
      </c>
      <c r="P2673">
        <v>5.3980670000000001E-2</v>
      </c>
      <c r="Q2673">
        <v>0.15597510000000001</v>
      </c>
      <c r="R2673">
        <v>-0.98628510000000003</v>
      </c>
      <c r="S2673">
        <v>-0.13842769999999999</v>
      </c>
      <c r="T2673">
        <v>-1.05986</v>
      </c>
      <c r="U2673">
        <v>-3.2145389999999998</v>
      </c>
      <c r="V2673">
        <v>-7.7277849999999995E-2</v>
      </c>
      <c r="W2673">
        <v>0.1690055</v>
      </c>
      <c r="X2673">
        <v>0.98258089999999998</v>
      </c>
      <c r="Y2673">
        <v>1.7574099999999999E-2</v>
      </c>
      <c r="Z2673">
        <v>0.30015809999999998</v>
      </c>
      <c r="AA2673">
        <v>0.95372749999999995</v>
      </c>
      <c r="AB2673">
        <v>26</v>
      </c>
      <c r="AC2673">
        <v>-2.8500000000008099E-2</v>
      </c>
      <c r="AD2673">
        <v>-0.25604149999999998</v>
      </c>
      <c r="AE2673">
        <v>-0.531200000000012</v>
      </c>
      <c r="AF2673">
        <v>1.3027613802126701E-2</v>
      </c>
      <c r="AG2673">
        <v>-0.25604149999999998</v>
      </c>
      <c r="AH2673">
        <v>0.43171065779246898</v>
      </c>
      <c r="AI2673">
        <v>120.66014193716001</v>
      </c>
      <c r="AJ2673">
        <v>88.271525559932201</v>
      </c>
      <c r="AK2673">
        <v>0.50209666449323698</v>
      </c>
      <c r="AL2673">
        <v>80.2699979865682</v>
      </c>
      <c r="AM2673">
        <v>94.496931751295406</v>
      </c>
      <c r="AN2673">
        <v>0.99999997508784</v>
      </c>
    </row>
    <row r="2674" spans="1:40" x14ac:dyDescent="0.25">
      <c r="A2674" t="str">
        <f>"20190303162831067"</f>
        <v>20190303162831067</v>
      </c>
      <c r="B2674" t="str">
        <f>"1551601711053627"</f>
        <v>1551601711053627</v>
      </c>
      <c r="C2674" t="s">
        <v>40</v>
      </c>
      <c r="D2674">
        <v>5.0953089999999897</v>
      </c>
      <c r="E2674">
        <v>0.53882589999999997</v>
      </c>
      <c r="F2674" t="s">
        <v>44</v>
      </c>
      <c r="G2674">
        <v>-492.76859999999999</v>
      </c>
      <c r="H2674">
        <v>0.87001289999999998</v>
      </c>
      <c r="I2674">
        <v>244.3664</v>
      </c>
      <c r="J2674">
        <v>-492.74090000000001</v>
      </c>
      <c r="K2674">
        <v>1.1219520000000001</v>
      </c>
      <c r="L2674">
        <v>244.9744</v>
      </c>
      <c r="M2674">
        <v>-2.2970020000000001E-2</v>
      </c>
      <c r="N2674">
        <v>-1.333879E-2</v>
      </c>
      <c r="O2674">
        <v>-0.99964739999999996</v>
      </c>
      <c r="P2674">
        <v>5.5763279999999998E-2</v>
      </c>
      <c r="Q2674">
        <v>0.15655060000000001</v>
      </c>
      <c r="R2674">
        <v>-0.98609480000000005</v>
      </c>
      <c r="S2674">
        <v>-0.1287537</v>
      </c>
      <c r="T2674">
        <v>-1.058446</v>
      </c>
      <c r="U2674">
        <v>-3.2161559999999998</v>
      </c>
      <c r="V2674">
        <v>-7.8610959999999994E-2</v>
      </c>
      <c r="W2674">
        <v>0.16957230000000001</v>
      </c>
      <c r="X2674">
        <v>0.98237750000000001</v>
      </c>
      <c r="Y2674">
        <v>1.516053E-2</v>
      </c>
      <c r="Z2674">
        <v>0.29966690000000001</v>
      </c>
      <c r="AA2674">
        <v>0.95392339999999998</v>
      </c>
      <c r="AB2674">
        <v>26</v>
      </c>
      <c r="AC2674">
        <v>-2.76999999999816E-2</v>
      </c>
      <c r="AD2674">
        <v>-0.25193910000000003</v>
      </c>
      <c r="AE2674">
        <v>-0.60800000000000398</v>
      </c>
      <c r="AF2674">
        <v>1.1717831223455599E-2</v>
      </c>
      <c r="AG2674">
        <v>-0.25193910000000003</v>
      </c>
      <c r="AH2674">
        <v>0.51946558036697599</v>
      </c>
      <c r="AI2674">
        <v>115.86751117964501</v>
      </c>
      <c r="AJ2674">
        <v>88.707771103662097</v>
      </c>
      <c r="AK2674">
        <v>0.57745571853033895</v>
      </c>
      <c r="AL2674">
        <v>80.237047388312803</v>
      </c>
      <c r="AM2674">
        <v>94.575124355718003</v>
      </c>
      <c r="AN2674">
        <v>1.00000000023283</v>
      </c>
    </row>
    <row r="2675" spans="1:40" x14ac:dyDescent="0.25">
      <c r="A2675" t="str">
        <f>"20190303162831079"</f>
        <v>20190303162831079</v>
      </c>
      <c r="B2675" t="str">
        <f>"1551601711074124"</f>
        <v>1551601711074124</v>
      </c>
      <c r="C2675" t="s">
        <v>40</v>
      </c>
      <c r="D2675">
        <v>5.1313909999999998</v>
      </c>
      <c r="E2675">
        <v>0.53892059999999997</v>
      </c>
      <c r="F2675" t="s">
        <v>44</v>
      </c>
      <c r="G2675">
        <v>-492.77319999999997</v>
      </c>
      <c r="H2675">
        <v>0.84893419999999897</v>
      </c>
      <c r="I2675">
        <v>244.14330000000001</v>
      </c>
      <c r="J2675">
        <v>-492.74400000000003</v>
      </c>
      <c r="K2675">
        <v>1.1219699999999999</v>
      </c>
      <c r="L2675">
        <v>244.81559999999999</v>
      </c>
      <c r="M2675">
        <v>-2.249518E-2</v>
      </c>
      <c r="N2675">
        <v>-1.3337450000000001E-2</v>
      </c>
      <c r="O2675">
        <v>-0.99965820000000005</v>
      </c>
      <c r="P2675">
        <v>5.7613119999999997E-2</v>
      </c>
      <c r="Q2675">
        <v>0.1570172</v>
      </c>
      <c r="R2675">
        <v>-0.98591410000000002</v>
      </c>
      <c r="S2675">
        <v>-0.12429809999999999</v>
      </c>
      <c r="T2675">
        <v>-1.0568200000000001</v>
      </c>
      <c r="U2675">
        <v>-3.217117</v>
      </c>
      <c r="V2675">
        <v>-7.9995239999999995E-2</v>
      </c>
      <c r="W2675">
        <v>0.1700305</v>
      </c>
      <c r="X2675">
        <v>0.98218660000000002</v>
      </c>
      <c r="Y2675">
        <v>1.431319E-2</v>
      </c>
      <c r="Z2675">
        <v>0.29916279999999901</v>
      </c>
      <c r="AA2675">
        <v>0.95409469999999996</v>
      </c>
      <c r="AB2675">
        <v>26</v>
      </c>
      <c r="AC2675">
        <v>-2.9199999999946099E-2</v>
      </c>
      <c r="AD2675">
        <v>-0.2730358</v>
      </c>
      <c r="AE2675">
        <v>-0.67229999999997803</v>
      </c>
      <c r="AF2675">
        <v>1.2079222200942799E-2</v>
      </c>
      <c r="AG2675">
        <v>-0.2730358</v>
      </c>
      <c r="AH2675">
        <v>0.57768556429860995</v>
      </c>
      <c r="AI2675">
        <v>115.292331872264</v>
      </c>
      <c r="AJ2675">
        <v>88.802137949523001</v>
      </c>
      <c r="AK2675">
        <v>0.63907360052628004</v>
      </c>
      <c r="AL2675">
        <v>80.210408230386406</v>
      </c>
      <c r="AM2675">
        <v>94.656238639629194</v>
      </c>
      <c r="AN2675">
        <v>1.00000006328623</v>
      </c>
    </row>
    <row r="2676" spans="1:40" x14ac:dyDescent="0.25">
      <c r="A2676" t="str">
        <f>"20190303162831096"</f>
        <v>20190303162831096</v>
      </c>
      <c r="B2676" t="str">
        <f>"1551601711083884"</f>
        <v>1551601711083884</v>
      </c>
      <c r="C2676" t="s">
        <v>40</v>
      </c>
      <c r="D2676">
        <v>5.4088500000000002</v>
      </c>
      <c r="E2676">
        <v>0.5388444</v>
      </c>
      <c r="F2676" t="s">
        <v>44</v>
      </c>
      <c r="G2676">
        <v>-492.7697</v>
      </c>
      <c r="H2676">
        <v>0.89474240000000005</v>
      </c>
      <c r="I2676">
        <v>244.1233</v>
      </c>
      <c r="J2676">
        <v>-492.7475</v>
      </c>
      <c r="K2676">
        <v>1.121993</v>
      </c>
      <c r="L2676">
        <v>244.63380000000001</v>
      </c>
      <c r="M2676">
        <v>-2.193842E-2</v>
      </c>
      <c r="N2676">
        <v>-1.333586E-2</v>
      </c>
      <c r="O2676">
        <v>-0.99967039999999996</v>
      </c>
      <c r="P2676">
        <v>6.1668889999999997E-2</v>
      </c>
      <c r="Q2676">
        <v>0.15836800000000001</v>
      </c>
      <c r="R2676">
        <v>-0.98545240000000001</v>
      </c>
      <c r="S2676">
        <v>-0.118927</v>
      </c>
      <c r="T2676">
        <v>-1.056263</v>
      </c>
      <c r="U2676">
        <v>-3.2180179999999998</v>
      </c>
      <c r="V2676">
        <v>-8.3500340000000006E-2</v>
      </c>
      <c r="W2676">
        <v>0.171365299999999</v>
      </c>
      <c r="X2676">
        <v>0.9816627</v>
      </c>
      <c r="Y2676">
        <v>1.327454E-2</v>
      </c>
      <c r="Z2676">
        <v>0.29895280000000002</v>
      </c>
      <c r="AA2676">
        <v>0.95417560000000001</v>
      </c>
      <c r="AB2676">
        <v>26</v>
      </c>
      <c r="AC2676">
        <v>-2.2199999999997999E-2</v>
      </c>
      <c r="AD2676">
        <v>-0.2272506</v>
      </c>
      <c r="AE2676">
        <v>-0.51050000000000695</v>
      </c>
      <c r="AF2676">
        <v>9.1786732740782601E-3</v>
      </c>
      <c r="AG2676">
        <v>-0.2272506</v>
      </c>
      <c r="AH2676">
        <v>0.42650665485699701</v>
      </c>
      <c r="AI2676">
        <v>118.044008304203</v>
      </c>
      <c r="AJ2676">
        <v>88.7671515341206</v>
      </c>
      <c r="AK2676">
        <v>0.48335805556619998</v>
      </c>
      <c r="AL2676">
        <v>80.132790177220599</v>
      </c>
      <c r="AM2676">
        <v>94.861882405876599</v>
      </c>
      <c r="AN2676">
        <v>1.0000000146977399</v>
      </c>
    </row>
    <row r="2677" spans="1:40" x14ac:dyDescent="0.25">
      <c r="A2677" t="str">
        <f>"20190303162831110"</f>
        <v>20190303162831110</v>
      </c>
      <c r="B2677" t="str">
        <f>"1551601711104380"</f>
        <v>1551601711104380</v>
      </c>
      <c r="C2677" t="s">
        <v>40</v>
      </c>
      <c r="D2677">
        <v>5.1953620000000003</v>
      </c>
      <c r="E2677">
        <v>0.50775599999999999</v>
      </c>
      <c r="F2677" t="s">
        <v>44</v>
      </c>
      <c r="G2677">
        <v>-492.77190000000002</v>
      </c>
      <c r="H2677">
        <v>0.88192109999999901</v>
      </c>
      <c r="I2677">
        <v>243.89660000000001</v>
      </c>
      <c r="J2677">
        <v>-492.75040000000001</v>
      </c>
      <c r="K2677">
        <v>1.122007</v>
      </c>
      <c r="L2677">
        <v>244.4787</v>
      </c>
      <c r="M2677">
        <v>-2.1455910000000002E-2</v>
      </c>
      <c r="N2677">
        <v>-1.3334550000000001E-2</v>
      </c>
      <c r="O2677">
        <v>-0.99968109999999999</v>
      </c>
      <c r="P2677">
        <v>6.4489489999999997E-2</v>
      </c>
      <c r="Q2677">
        <v>0.15902659999999999</v>
      </c>
      <c r="R2677">
        <v>-0.98516619999999999</v>
      </c>
      <c r="S2677">
        <v>-0.1040344</v>
      </c>
      <c r="T2677">
        <v>-1.048657</v>
      </c>
      <c r="U2677">
        <v>-3.2193299999999998</v>
      </c>
      <c r="V2677">
        <v>-8.5844770000000001E-2</v>
      </c>
      <c r="W2677">
        <v>0.1720131</v>
      </c>
      <c r="X2677">
        <v>0.98134710000000003</v>
      </c>
      <c r="Y2677">
        <v>9.3646900000000002E-3</v>
      </c>
      <c r="Z2677">
        <v>0.29683549999999997</v>
      </c>
      <c r="AA2677">
        <v>0.95488269999999997</v>
      </c>
      <c r="AB2677">
        <v>26</v>
      </c>
      <c r="AC2677">
        <v>-2.15000000000031E-2</v>
      </c>
      <c r="AD2677">
        <v>-0.24008589999999999</v>
      </c>
      <c r="AE2677">
        <v>-0.58209999999999695</v>
      </c>
      <c r="AF2677">
        <v>7.69689668004871E-3</v>
      </c>
      <c r="AG2677">
        <v>-0.24008589999999999</v>
      </c>
      <c r="AH2677">
        <v>0.49785155603333697</v>
      </c>
      <c r="AI2677">
        <v>115.74272913669699</v>
      </c>
      <c r="AJ2677">
        <v>89.1142649669181</v>
      </c>
      <c r="AK2677">
        <v>0.55277179146744504</v>
      </c>
      <c r="AL2677">
        <v>80.095114193447202</v>
      </c>
      <c r="AM2677">
        <v>94.999306080366097</v>
      </c>
      <c r="AN2677">
        <v>0.99999998089318598</v>
      </c>
    </row>
    <row r="2678" spans="1:40" x14ac:dyDescent="0.25">
      <c r="A2678" t="str">
        <f>"20190303162831122"</f>
        <v>20190303162831122</v>
      </c>
      <c r="B2678" t="str">
        <f>"1551601711114140"</f>
        <v>1551601711114140</v>
      </c>
      <c r="C2678" t="s">
        <v>40</v>
      </c>
      <c r="D2678">
        <v>5.1519629999999896</v>
      </c>
      <c r="E2678">
        <v>0.50775599999999999</v>
      </c>
      <c r="F2678" t="s">
        <v>44</v>
      </c>
      <c r="G2678">
        <v>-492.7099</v>
      </c>
      <c r="H2678">
        <v>0.99061849999999996</v>
      </c>
      <c r="I2678">
        <v>243.61160000000001</v>
      </c>
      <c r="J2678">
        <v>-492.75319999999999</v>
      </c>
      <c r="K2678">
        <v>1.1220190000000001</v>
      </c>
      <c r="L2678">
        <v>244.32490000000001</v>
      </c>
      <c r="M2678">
        <v>-2.0971670000000001E-2</v>
      </c>
      <c r="N2678">
        <v>-1.3333319999999999E-2</v>
      </c>
      <c r="O2678">
        <v>-0.9996912</v>
      </c>
      <c r="P2678">
        <v>6.7689299999999994E-2</v>
      </c>
      <c r="Q2678">
        <v>0.15920609999999999</v>
      </c>
      <c r="R2678">
        <v>-0.98492219999999997</v>
      </c>
      <c r="S2678">
        <v>0.14520259999999999</v>
      </c>
      <c r="T2678">
        <v>-0.47152630000000001</v>
      </c>
      <c r="U2678">
        <v>-3.1118320000000002</v>
      </c>
      <c r="V2678">
        <v>-8.8566629999999993E-2</v>
      </c>
      <c r="W2678">
        <v>0.17218169999999999</v>
      </c>
      <c r="X2678">
        <v>0.98107560000000005</v>
      </c>
      <c r="Y2678">
        <v>-6.7042060000000001E-2</v>
      </c>
      <c r="Z2678">
        <v>0.13631650000000001</v>
      </c>
      <c r="AA2678">
        <v>0.98839429999999995</v>
      </c>
      <c r="AB2678">
        <v>26</v>
      </c>
      <c r="AC2678">
        <v>4.3299999999987897E-2</v>
      </c>
      <c r="AD2678">
        <v>-0.1314005</v>
      </c>
      <c r="AE2678">
        <v>-0.71330000000000304</v>
      </c>
      <c r="AF2678">
        <v>-5.6345814103960098E-2</v>
      </c>
      <c r="AG2678">
        <v>-0.1314005</v>
      </c>
      <c r="AH2678">
        <v>0.688941455920699</v>
      </c>
      <c r="AI2678">
        <v>100.76313215331299</v>
      </c>
      <c r="AJ2678">
        <v>94.675590214089794</v>
      </c>
      <c r="AK2678">
        <v>0.70362011899420596</v>
      </c>
      <c r="AL2678">
        <v>80.085307597164501</v>
      </c>
      <c r="AM2678">
        <v>95.158395662294197</v>
      </c>
      <c r="AN2678">
        <v>0.99999995933990204</v>
      </c>
    </row>
    <row r="2679" spans="1:40" x14ac:dyDescent="0.25">
      <c r="A2679" t="str">
        <f>"20190303162831143"</f>
        <v>20190303162831143</v>
      </c>
      <c r="B2679" t="str">
        <f>"1551601711133660"</f>
        <v>1551601711133660</v>
      </c>
      <c r="C2679" t="s">
        <v>40</v>
      </c>
      <c r="D2679">
        <v>5.21699</v>
      </c>
      <c r="E2679">
        <v>0.46059480000000003</v>
      </c>
      <c r="F2679" t="s">
        <v>44</v>
      </c>
      <c r="G2679">
        <v>-492.7167</v>
      </c>
      <c r="H2679">
        <v>1.0113239999999999</v>
      </c>
      <c r="I2679">
        <v>243.59370000000001</v>
      </c>
      <c r="J2679">
        <v>-492.75720000000001</v>
      </c>
      <c r="K2679">
        <v>1.1220330000000001</v>
      </c>
      <c r="L2679">
        <v>244.0898</v>
      </c>
      <c r="M2679">
        <v>-2.0218360000000001E-2</v>
      </c>
      <c r="N2679">
        <v>-1.3331320000000001E-2</v>
      </c>
      <c r="O2679">
        <v>-0.99970669999999995</v>
      </c>
      <c r="P2679">
        <v>7.3567250000000001E-2</v>
      </c>
      <c r="Q2679">
        <v>0.15952520000000001</v>
      </c>
      <c r="R2679">
        <v>-0.98444900000000002</v>
      </c>
      <c r="S2679">
        <v>0.15533449999999999</v>
      </c>
      <c r="T2679">
        <v>-0.47100259999999999</v>
      </c>
      <c r="U2679">
        <v>-3.1113590000000002</v>
      </c>
      <c r="V2679">
        <v>-9.3697450000000002E-2</v>
      </c>
      <c r="W2679">
        <v>0.17248279999999999</v>
      </c>
      <c r="X2679">
        <v>0.98054600000000003</v>
      </c>
      <c r="Y2679">
        <v>-6.9506609999999996E-2</v>
      </c>
      <c r="Z2679">
        <v>0.13615720000000001</v>
      </c>
      <c r="AA2679">
        <v>0.98824599999999996</v>
      </c>
      <c r="AB2679">
        <v>26</v>
      </c>
      <c r="AC2679">
        <v>4.0500000000008599E-2</v>
      </c>
      <c r="AD2679">
        <v>-0.110709</v>
      </c>
      <c r="AE2679">
        <v>-0.496099999999984</v>
      </c>
      <c r="AF2679">
        <v>-4.8141381662808097E-2</v>
      </c>
      <c r="AG2679">
        <v>-0.110709</v>
      </c>
      <c r="AH2679">
        <v>0.47183780253186097</v>
      </c>
      <c r="AI2679">
        <v>103.138828065995</v>
      </c>
      <c r="AJ2679">
        <v>95.825701124536295</v>
      </c>
      <c r="AK2679">
        <v>0.48703694645016299</v>
      </c>
      <c r="AL2679">
        <v>80.067794151768794</v>
      </c>
      <c r="AM2679">
        <v>95.458405317668394</v>
      </c>
      <c r="AN2679">
        <v>0.999999993274171</v>
      </c>
    </row>
    <row r="2680" spans="1:40" x14ac:dyDescent="0.25">
      <c r="A2680" t="str">
        <f>"20190303162831164"</f>
        <v>20190303162831164</v>
      </c>
      <c r="B2680" t="str">
        <f>"1551601711154156"</f>
        <v>1551601711154156</v>
      </c>
      <c r="C2680" t="s">
        <v>40</v>
      </c>
      <c r="D2680">
        <v>5.0695410000000001</v>
      </c>
      <c r="E2680">
        <v>0.46298709999999998</v>
      </c>
      <c r="F2680" t="s">
        <v>47</v>
      </c>
      <c r="G2680">
        <v>-485.44200000000001</v>
      </c>
      <c r="H2680" s="1">
        <v>7.6474170000000003E-7</v>
      </c>
      <c r="I2680">
        <v>203.37780000000001</v>
      </c>
      <c r="J2680">
        <v>-492.76119999999997</v>
      </c>
      <c r="K2680">
        <v>1.122042</v>
      </c>
      <c r="L2680">
        <v>243.84739999999999</v>
      </c>
      <c r="M2680">
        <v>-1.943139E-2</v>
      </c>
      <c r="N2680">
        <v>-1.332942E-2</v>
      </c>
      <c r="O2680">
        <v>-0.99972249999999996</v>
      </c>
      <c r="P2680">
        <v>7.8901089999999993E-2</v>
      </c>
      <c r="Q2680">
        <v>0.1596506</v>
      </c>
      <c r="R2680">
        <v>-0.98401550000000004</v>
      </c>
      <c r="S2680">
        <v>0.54269409999999996</v>
      </c>
      <c r="T2680">
        <v>-8.3240750000000002E-2</v>
      </c>
      <c r="U2680">
        <v>-3.0203250000000001</v>
      </c>
      <c r="V2680">
        <v>-9.8251340000000006E-2</v>
      </c>
      <c r="W2680">
        <v>0.1725922</v>
      </c>
      <c r="X2680">
        <v>0.98008090000000003</v>
      </c>
      <c r="Y2680">
        <v>-0.19587299999999999</v>
      </c>
      <c r="Z2680">
        <v>1.3708669999999999E-2</v>
      </c>
      <c r="AA2680">
        <v>0.98053349999999995</v>
      </c>
      <c r="AB2680">
        <v>26</v>
      </c>
      <c r="AC2680">
        <v>7.3192000000000199</v>
      </c>
      <c r="AD2680">
        <v>-1.1220412352583</v>
      </c>
      <c r="AE2680">
        <v>-40.4695999999999</v>
      </c>
      <c r="AF2680">
        <v>-8.0982401678167992</v>
      </c>
      <c r="AG2680">
        <v>-1.1220412352583</v>
      </c>
      <c r="AH2680">
        <v>40.289732867279298</v>
      </c>
      <c r="AI2680">
        <v>91.563971343105607</v>
      </c>
      <c r="AJ2680">
        <v>101.36501923830301</v>
      </c>
      <c r="AK2680">
        <v>41.110862857230202</v>
      </c>
      <c r="AL2680">
        <v>80.061430444410206</v>
      </c>
      <c r="AM2680">
        <v>95.724672451704507</v>
      </c>
      <c r="AN2680">
        <v>0.99999998192872197</v>
      </c>
    </row>
    <row r="2681" spans="1:40" x14ac:dyDescent="0.25">
      <c r="A2681" t="str">
        <f>"20190303162831179"</f>
        <v>20190303162831179</v>
      </c>
      <c r="B2681" t="str">
        <f>"1551601711163916"</f>
        <v>1551601711163916</v>
      </c>
      <c r="C2681" t="s">
        <v>40</v>
      </c>
      <c r="D2681">
        <v>4.9659449999999996</v>
      </c>
      <c r="E2681">
        <v>0.46437460000000003</v>
      </c>
      <c r="F2681" t="s">
        <v>47</v>
      </c>
      <c r="G2681">
        <v>-487.14580000000001</v>
      </c>
      <c r="H2681" s="1">
        <v>2.7205060000000002E-6</v>
      </c>
      <c r="I2681">
        <v>212.3947</v>
      </c>
      <c r="J2681">
        <v>-492.76400000000001</v>
      </c>
      <c r="K2681">
        <v>1.1220460000000001</v>
      </c>
      <c r="L2681">
        <v>243.66820000000001</v>
      </c>
      <c r="M2681">
        <v>-1.8846399999999999E-2</v>
      </c>
      <c r="N2681">
        <v>-1.332799E-2</v>
      </c>
      <c r="O2681">
        <v>-0.99973369999999995</v>
      </c>
      <c r="P2681">
        <v>8.1444199999999994E-2</v>
      </c>
      <c r="Q2681">
        <v>0.15962789999999999</v>
      </c>
      <c r="R2681">
        <v>-0.98381220000000003</v>
      </c>
      <c r="S2681">
        <v>0.53970340000000006</v>
      </c>
      <c r="T2681">
        <v>-0.1078403</v>
      </c>
      <c r="U2681">
        <v>-3.0229490000000001</v>
      </c>
      <c r="V2681">
        <v>-0.1002164</v>
      </c>
      <c r="W2681">
        <v>0.17256170000000001</v>
      </c>
      <c r="X2681">
        <v>0.97988730000000002</v>
      </c>
      <c r="Y2681">
        <v>-0.19417609999999999</v>
      </c>
      <c r="Z2681">
        <v>2.1680850000000002E-2</v>
      </c>
      <c r="AA2681">
        <v>0.98072709999999996</v>
      </c>
      <c r="AB2681">
        <v>26</v>
      </c>
      <c r="AC2681">
        <v>5.6181999999999999</v>
      </c>
      <c r="AD2681">
        <v>-1.1220432794939901</v>
      </c>
      <c r="AE2681">
        <v>-31.273499999999999</v>
      </c>
      <c r="AF2681">
        <v>-6.1989169974145204</v>
      </c>
      <c r="AG2681">
        <v>-1.1220432794939901</v>
      </c>
      <c r="AH2681">
        <v>31.123241177493298</v>
      </c>
      <c r="AI2681">
        <v>92.024970935650103</v>
      </c>
      <c r="AJ2681">
        <v>101.264377676454</v>
      </c>
      <c r="AK2681">
        <v>31.754396458668602</v>
      </c>
      <c r="AL2681">
        <v>80.063204705202196</v>
      </c>
      <c r="AM2681">
        <v>95.839530122036905</v>
      </c>
      <c r="AN2681">
        <v>0.99999999391856997</v>
      </c>
    </row>
    <row r="2682" spans="1:40" x14ac:dyDescent="0.25">
      <c r="A2682" t="str">
        <f>"20190303162831197"</f>
        <v>20190303162831197</v>
      </c>
      <c r="B2682" t="str">
        <f>"1551601711184412"</f>
        <v>1551601711184412</v>
      </c>
      <c r="C2682" t="s">
        <v>40</v>
      </c>
      <c r="D2682">
        <v>5.0110950000000001</v>
      </c>
      <c r="E2682">
        <v>0.46601949999999998</v>
      </c>
      <c r="F2682" t="s">
        <v>47</v>
      </c>
      <c r="G2682">
        <v>-487.67140000000001</v>
      </c>
      <c r="H2682" s="1">
        <v>2.9248989999999999E-6</v>
      </c>
      <c r="I2682">
        <v>214.93770000000001</v>
      </c>
      <c r="J2682">
        <v>-492.767</v>
      </c>
      <c r="K2682">
        <v>1.12205</v>
      </c>
      <c r="L2682">
        <v>243.46639999999999</v>
      </c>
      <c r="M2682">
        <v>-1.8186259999999999E-2</v>
      </c>
      <c r="N2682">
        <v>-1.3326380000000001E-2</v>
      </c>
      <c r="O2682">
        <v>-0.99974580000000002</v>
      </c>
      <c r="P2682">
        <v>8.5905099999999998E-2</v>
      </c>
      <c r="Q2682">
        <v>0.16008240000000001</v>
      </c>
      <c r="R2682">
        <v>-0.98335879999999998</v>
      </c>
      <c r="S2682">
        <v>0.53604130000000005</v>
      </c>
      <c r="T2682">
        <v>-0.1181048</v>
      </c>
      <c r="U2682">
        <v>-3.0241389999999999</v>
      </c>
      <c r="V2682">
        <v>-0.1040206</v>
      </c>
      <c r="W2682">
        <v>0.1730032</v>
      </c>
      <c r="X2682">
        <v>0.97941290000000003</v>
      </c>
      <c r="Y2682">
        <v>-0.19229280000000001</v>
      </c>
      <c r="Z2682">
        <v>2.5010899999999999E-2</v>
      </c>
      <c r="AA2682">
        <v>0.98101879999999997</v>
      </c>
      <c r="AB2682">
        <v>26</v>
      </c>
      <c r="AC2682">
        <v>5.0955999999999904</v>
      </c>
      <c r="AD2682">
        <v>-1.1220470751010001</v>
      </c>
      <c r="AE2682">
        <v>-28.528699999999901</v>
      </c>
      <c r="AF2682">
        <v>-5.6052309675829299</v>
      </c>
      <c r="AG2682">
        <v>-1.1220470751010001</v>
      </c>
      <c r="AH2682">
        <v>28.388746365168799</v>
      </c>
      <c r="AI2682">
        <v>92.220574719832996</v>
      </c>
      <c r="AJ2682">
        <v>101.16913228142</v>
      </c>
      <c r="AK2682">
        <v>28.958565641698801</v>
      </c>
      <c r="AL2682">
        <v>80.037522523415106</v>
      </c>
      <c r="AM2682">
        <v>96.062491663696093</v>
      </c>
      <c r="AN2682">
        <v>1.0000000105605</v>
      </c>
    </row>
    <row r="2683" spans="1:40" x14ac:dyDescent="0.25">
      <c r="A2683" t="str">
        <f>"20190303162831220"</f>
        <v>20190303162831220</v>
      </c>
      <c r="B2683" t="str">
        <f>"1551601711213692"</f>
        <v>1551601711213692</v>
      </c>
      <c r="C2683" t="s">
        <v>40</v>
      </c>
      <c r="D2683">
        <v>5.0018669999999998</v>
      </c>
      <c r="E2683">
        <v>0.4683157</v>
      </c>
      <c r="F2683" t="s">
        <v>47</v>
      </c>
      <c r="G2683">
        <v>-488.06659999999999</v>
      </c>
      <c r="H2683" s="1">
        <v>3.0818299999999998E-6</v>
      </c>
      <c r="I2683">
        <v>216.92420000000001</v>
      </c>
      <c r="J2683">
        <v>-492.77080000000001</v>
      </c>
      <c r="K2683">
        <v>1.1220460000000001</v>
      </c>
      <c r="L2683">
        <v>243.20330000000001</v>
      </c>
      <c r="M2683">
        <v>-1.7324719999999998E-2</v>
      </c>
      <c r="N2683">
        <v>-1.3324300000000001E-2</v>
      </c>
      <c r="O2683">
        <v>-0.99976129999999996</v>
      </c>
      <c r="P2683">
        <v>8.9980329999999997E-2</v>
      </c>
      <c r="Q2683">
        <v>0.1605946</v>
      </c>
      <c r="R2683">
        <v>-0.98291079999999997</v>
      </c>
      <c r="S2683">
        <v>0.53567500000000001</v>
      </c>
      <c r="T2683">
        <v>-0.12787029999999999</v>
      </c>
      <c r="U2683">
        <v>-3.0247959999999998</v>
      </c>
      <c r="V2683">
        <v>-0.1072423</v>
      </c>
      <c r="W2683">
        <v>0.17350289999999999</v>
      </c>
      <c r="X2683">
        <v>0.97897699999999999</v>
      </c>
      <c r="Y2683">
        <v>-0.1912769</v>
      </c>
      <c r="Z2683">
        <v>2.8177939999999999E-2</v>
      </c>
      <c r="AA2683">
        <v>0.98113159999999999</v>
      </c>
      <c r="AB2683">
        <v>26</v>
      </c>
      <c r="AC2683">
        <v>4.7042000000000099</v>
      </c>
      <c r="AD2683">
        <v>-1.12204291816999</v>
      </c>
      <c r="AE2683">
        <v>-26.2791</v>
      </c>
      <c r="AF2683">
        <v>-5.1497155613008303</v>
      </c>
      <c r="AG2683">
        <v>-1.12204291816999</v>
      </c>
      <c r="AH2683">
        <v>26.147461053400399</v>
      </c>
      <c r="AI2683">
        <v>92.410918341228097</v>
      </c>
      <c r="AJ2683">
        <v>101.141746720999</v>
      </c>
      <c r="AK2683">
        <v>26.6733625591452</v>
      </c>
      <c r="AL2683">
        <v>80.008452770291697</v>
      </c>
      <c r="AM2683">
        <v>96.251554607155597</v>
      </c>
      <c r="AN2683">
        <v>1.00000006687334</v>
      </c>
    </row>
    <row r="2684" spans="1:40" x14ac:dyDescent="0.25">
      <c r="A2684" t="str">
        <f>"20190303162831232"</f>
        <v>20190303162831232</v>
      </c>
      <c r="B2684" t="str">
        <f>"1551601711224428"</f>
        <v>1551601711224428</v>
      </c>
      <c r="C2684" t="s">
        <v>40</v>
      </c>
      <c r="D2684">
        <v>4.9410879999999997</v>
      </c>
      <c r="E2684">
        <v>0.46891450000000001</v>
      </c>
      <c r="F2684" t="s">
        <v>47</v>
      </c>
      <c r="G2684">
        <v>-488.46460000000002</v>
      </c>
      <c r="H2684" s="1">
        <v>3.2237580000000001E-6</v>
      </c>
      <c r="I2684">
        <v>218.5556</v>
      </c>
      <c r="J2684">
        <v>-492.77280000000002</v>
      </c>
      <c r="K2684">
        <v>1.122045</v>
      </c>
      <c r="L2684">
        <v>243.0538</v>
      </c>
      <c r="M2684">
        <v>-1.683459E-2</v>
      </c>
      <c r="N2684">
        <v>-1.3323130000000001E-2</v>
      </c>
      <c r="O2684">
        <v>-0.99976969999999998</v>
      </c>
      <c r="P2684">
        <v>9.1766130000000001E-2</v>
      </c>
      <c r="Q2684">
        <v>0.16067879999999901</v>
      </c>
      <c r="R2684">
        <v>-0.98273180000000004</v>
      </c>
      <c r="S2684">
        <v>0.52871699999999999</v>
      </c>
      <c r="T2684">
        <v>-0.13776579999999999</v>
      </c>
      <c r="U2684">
        <v>-3.0262760000000002</v>
      </c>
      <c r="V2684">
        <v>-0.108544</v>
      </c>
      <c r="W2684">
        <v>0.17358219999999999</v>
      </c>
      <c r="X2684">
        <v>0.97881940000000001</v>
      </c>
      <c r="Y2684">
        <v>-0.18850500000000001</v>
      </c>
      <c r="Z2684">
        <v>3.138788E-2</v>
      </c>
      <c r="AA2684">
        <v>0.98157050000000001</v>
      </c>
      <c r="AB2684">
        <v>26</v>
      </c>
      <c r="AC2684">
        <v>4.3081999999999896</v>
      </c>
      <c r="AD2684">
        <v>-1.1220417762420001</v>
      </c>
      <c r="AE2684">
        <v>-24.498200000000001</v>
      </c>
      <c r="AF2684">
        <v>-4.7104582041436904</v>
      </c>
      <c r="AG2684">
        <v>-1.1220417762420001</v>
      </c>
      <c r="AH2684">
        <v>24.372601071825301</v>
      </c>
      <c r="AI2684">
        <v>92.588040345636003</v>
      </c>
      <c r="AJ2684">
        <v>100.938609414057</v>
      </c>
      <c r="AK2684">
        <v>24.848965315420202</v>
      </c>
      <c r="AL2684">
        <v>80.003838524954304</v>
      </c>
      <c r="AM2684">
        <v>96.327834299565097</v>
      </c>
      <c r="AN2684">
        <v>0.99999999895460001</v>
      </c>
    </row>
    <row r="2685" spans="1:40" x14ac:dyDescent="0.25">
      <c r="A2685" t="str">
        <f>"20190303162831243"</f>
        <v>20190303162831243</v>
      </c>
      <c r="B2685" t="str">
        <f>"1551601711234189"</f>
        <v>1551601711234189</v>
      </c>
      <c r="C2685" t="s">
        <v>40</v>
      </c>
      <c r="D2685">
        <v>4.8481139999999998</v>
      </c>
      <c r="E2685">
        <v>0.46941870000000002</v>
      </c>
      <c r="F2685" t="s">
        <v>47</v>
      </c>
      <c r="G2685">
        <v>-488.5401</v>
      </c>
      <c r="H2685" s="1">
        <v>3.2505329999999999E-6</v>
      </c>
      <c r="I2685">
        <v>218.86199999999999</v>
      </c>
      <c r="J2685">
        <v>-492.77460000000002</v>
      </c>
      <c r="K2685">
        <v>1.122045</v>
      </c>
      <c r="L2685">
        <v>242.92169999999999</v>
      </c>
      <c r="M2685">
        <v>-1.640105E-2</v>
      </c>
      <c r="N2685">
        <v>-1.33221E-2</v>
      </c>
      <c r="O2685">
        <v>-0.99977680000000002</v>
      </c>
      <c r="P2685">
        <v>9.3756049999999994E-2</v>
      </c>
      <c r="Q2685">
        <v>0.16086039999999999</v>
      </c>
      <c r="R2685">
        <v>-0.9825142</v>
      </c>
      <c r="S2685">
        <v>0.52947999999999995</v>
      </c>
      <c r="T2685">
        <v>-0.14035799999999901</v>
      </c>
      <c r="U2685">
        <v>-3.0261990000000001</v>
      </c>
      <c r="V2685">
        <v>-0.11010490000000001</v>
      </c>
      <c r="W2685">
        <v>0.17375789999999999</v>
      </c>
      <c r="X2685">
        <v>0.97861390000000004</v>
      </c>
      <c r="Y2685">
        <v>-0.18831790000000001</v>
      </c>
      <c r="Z2685">
        <v>3.2231000000000003E-2</v>
      </c>
      <c r="AA2685">
        <v>0.98157910000000004</v>
      </c>
      <c r="AB2685">
        <v>26</v>
      </c>
      <c r="AC2685">
        <v>4.2345000000000201</v>
      </c>
      <c r="AD2685">
        <v>-1.1220417494670001</v>
      </c>
      <c r="AE2685">
        <v>-24.0596999999999</v>
      </c>
      <c r="AF2685">
        <v>-4.6188260437887703</v>
      </c>
      <c r="AG2685">
        <v>-1.1220417494670001</v>
      </c>
      <c r="AH2685">
        <v>23.9365116549241</v>
      </c>
      <c r="AI2685">
        <v>92.635275280786402</v>
      </c>
      <c r="AJ2685">
        <v>100.921649089859</v>
      </c>
      <c r="AK2685">
        <v>24.4038751413919</v>
      </c>
      <c r="AL2685">
        <v>79.9936166431728</v>
      </c>
      <c r="AM2685">
        <v>96.419413239775906</v>
      </c>
      <c r="AN2685">
        <v>1.0000000310448101</v>
      </c>
    </row>
    <row r="2686" spans="1:40" x14ac:dyDescent="0.25">
      <c r="A2686" t="str">
        <f>"20190303162831256"</f>
        <v>20190303162831256</v>
      </c>
      <c r="B2686" t="str">
        <f>"1551601711243950"</f>
        <v>1551601711243950</v>
      </c>
      <c r="C2686" t="s">
        <v>40</v>
      </c>
      <c r="D2686">
        <v>5.0598199999999904</v>
      </c>
      <c r="E2686">
        <v>0.46990520000000002</v>
      </c>
      <c r="F2686" t="s">
        <v>47</v>
      </c>
      <c r="G2686">
        <v>-488.61779999999999</v>
      </c>
      <c r="H2686" s="1">
        <v>3.2802069999999999E-6</v>
      </c>
      <c r="I2686">
        <v>219.22540000000001</v>
      </c>
      <c r="J2686">
        <v>-492.7765</v>
      </c>
      <c r="K2686">
        <v>1.122052</v>
      </c>
      <c r="L2686">
        <v>242.77019999999999</v>
      </c>
      <c r="M2686">
        <v>-1.5901789999999999E-2</v>
      </c>
      <c r="N2686">
        <v>-1.332099E-2</v>
      </c>
      <c r="O2686">
        <v>-0.99978489999999998</v>
      </c>
      <c r="P2686">
        <v>9.5326939999999999E-2</v>
      </c>
      <c r="Q2686">
        <v>0.16124569999999999</v>
      </c>
      <c r="R2686">
        <v>-0.98229999999999995</v>
      </c>
      <c r="S2686">
        <v>0.53085329999999997</v>
      </c>
      <c r="T2686">
        <v>-0.14329339999999999</v>
      </c>
      <c r="U2686">
        <v>-3.0261990000000001</v>
      </c>
      <c r="V2686">
        <v>-0.1111835</v>
      </c>
      <c r="W2686">
        <v>0.17413770000000001</v>
      </c>
      <c r="X2686">
        <v>0.97842439999999997</v>
      </c>
      <c r="Y2686">
        <v>-0.18825310000000001</v>
      </c>
      <c r="Z2686">
        <v>3.3183009999999999E-2</v>
      </c>
      <c r="AA2686">
        <v>0.98155979999999998</v>
      </c>
      <c r="AB2686">
        <v>26</v>
      </c>
      <c r="AC2686">
        <v>4.1586999999999996</v>
      </c>
      <c r="AD2686">
        <v>-1.122048719793</v>
      </c>
      <c r="AE2686">
        <v>-23.544799999999899</v>
      </c>
      <c r="AF2686">
        <v>-4.5226511558277602</v>
      </c>
      <c r="AG2686">
        <v>-1.122048719793</v>
      </c>
      <c r="AH2686">
        <v>23.424097134418702</v>
      </c>
      <c r="AI2686">
        <v>92.692798372584093</v>
      </c>
      <c r="AJ2686">
        <v>100.928019439959</v>
      </c>
      <c r="AK2686">
        <v>23.883083832905299</v>
      </c>
      <c r="AL2686">
        <v>79.971518587849602</v>
      </c>
      <c r="AM2686">
        <v>96.483010624509006</v>
      </c>
      <c r="AN2686">
        <v>1.00000000787445</v>
      </c>
    </row>
    <row r="2687" spans="1:40" x14ac:dyDescent="0.25">
      <c r="A2687" t="str">
        <f>"20190303162831274"</f>
        <v>20190303162831274</v>
      </c>
      <c r="B2687" t="str">
        <f>"1551601711264443"</f>
        <v>1551601711264443</v>
      </c>
      <c r="C2687" t="s">
        <v>40</v>
      </c>
      <c r="D2687">
        <v>4.7924020000000001</v>
      </c>
      <c r="E2687">
        <v>0.47083120000000001</v>
      </c>
      <c r="F2687" t="s">
        <v>47</v>
      </c>
      <c r="G2687">
        <v>-488.68459999999999</v>
      </c>
      <c r="H2687" s="1">
        <v>3.3027000000000002E-6</v>
      </c>
      <c r="I2687">
        <v>219.46899999999999</v>
      </c>
      <c r="J2687">
        <v>-492.77890000000002</v>
      </c>
      <c r="K2687">
        <v>1.1220540000000001</v>
      </c>
      <c r="L2687">
        <v>242.5712</v>
      </c>
      <c r="M2687">
        <v>-1.524114E-2</v>
      </c>
      <c r="N2687">
        <v>-1.3316740000000001E-2</v>
      </c>
      <c r="O2687">
        <v>-0.99979510000000005</v>
      </c>
      <c r="P2687">
        <v>9.8308329999999999E-2</v>
      </c>
      <c r="Q2687">
        <v>0.16178589999999901</v>
      </c>
      <c r="R2687">
        <v>-0.98191709999999999</v>
      </c>
      <c r="S2687">
        <v>0.53146359999999904</v>
      </c>
      <c r="T2687">
        <v>-0.14573320000000001</v>
      </c>
      <c r="U2687">
        <v>-3.0263979999999999</v>
      </c>
      <c r="V2687">
        <v>-0.11351219999999999</v>
      </c>
      <c r="W2687">
        <v>0.1746645</v>
      </c>
      <c r="X2687">
        <v>0.97806300000000002</v>
      </c>
      <c r="Y2687">
        <v>-0.1877799</v>
      </c>
      <c r="Z2687">
        <v>3.3977649999999998E-2</v>
      </c>
      <c r="AA2687">
        <v>0.98162329999999998</v>
      </c>
      <c r="AB2687">
        <v>26</v>
      </c>
      <c r="AC2687">
        <v>4.0943000000000298</v>
      </c>
      <c r="AD2687">
        <v>-1.1220506973</v>
      </c>
      <c r="AE2687">
        <v>-23.1021999999999</v>
      </c>
      <c r="AF2687">
        <v>-4.4358142590468104</v>
      </c>
      <c r="AG2687">
        <v>-1.1220506973</v>
      </c>
      <c r="AH2687">
        <v>22.9845405826022</v>
      </c>
      <c r="AI2687">
        <v>92.744265994273405</v>
      </c>
      <c r="AJ2687">
        <v>100.923288175378</v>
      </c>
      <c r="AK2687">
        <v>23.435540354371199</v>
      </c>
      <c r="AL2687">
        <v>79.9408650120141</v>
      </c>
      <c r="AM2687">
        <v>96.620026408265701</v>
      </c>
      <c r="AN2687">
        <v>0.99999996953904402</v>
      </c>
    </row>
    <row r="2688" spans="1:40" x14ac:dyDescent="0.25">
      <c r="A2688" t="str">
        <f>"20190303162831288"</f>
        <v>20190303162831288</v>
      </c>
      <c r="B2688" t="str">
        <f>"1551601711283964"</f>
        <v>1551601711283964</v>
      </c>
      <c r="C2688" t="s">
        <v>40</v>
      </c>
      <c r="D2688">
        <v>4.8131320000000004</v>
      </c>
      <c r="E2688">
        <v>0.47154089999999999</v>
      </c>
      <c r="F2688" t="s">
        <v>47</v>
      </c>
      <c r="G2688">
        <v>-488.77969999999999</v>
      </c>
      <c r="H2688" s="1">
        <v>3.371175E-6</v>
      </c>
      <c r="I2688">
        <v>219.82060000000001</v>
      </c>
      <c r="J2688">
        <v>-492.7808</v>
      </c>
      <c r="K2688">
        <v>1.1220619999999999</v>
      </c>
      <c r="L2688">
        <v>242.40940000000001</v>
      </c>
      <c r="M2688">
        <v>-1.469794E-2</v>
      </c>
      <c r="N2688">
        <v>-1.331103E-2</v>
      </c>
      <c r="O2688">
        <v>-0.99980349999999996</v>
      </c>
      <c r="P2688">
        <v>9.994712E-2</v>
      </c>
      <c r="Q2688">
        <v>0.1620974</v>
      </c>
      <c r="R2688">
        <v>-0.98170020000000002</v>
      </c>
      <c r="S2688">
        <v>0.5320435</v>
      </c>
      <c r="T2688">
        <v>-0.14927209999999999</v>
      </c>
      <c r="U2688">
        <v>-3.026627</v>
      </c>
      <c r="V2688">
        <v>-0.11461780000000001</v>
      </c>
      <c r="W2688">
        <v>0.17496500000000001</v>
      </c>
      <c r="X2688">
        <v>0.97788039999999998</v>
      </c>
      <c r="Y2688">
        <v>-0.18740789999999999</v>
      </c>
      <c r="Z2688">
        <v>3.512846E-2</v>
      </c>
      <c r="AA2688">
        <v>0.98165389999999997</v>
      </c>
      <c r="AB2688">
        <v>26</v>
      </c>
      <c r="AC2688">
        <v>4.0011000000000001</v>
      </c>
      <c r="AD2688">
        <v>-1.1220586288249901</v>
      </c>
      <c r="AE2688">
        <v>-22.5887999999999</v>
      </c>
      <c r="AF2688">
        <v>-4.32236522390565</v>
      </c>
      <c r="AG2688">
        <v>-1.1220586288249901</v>
      </c>
      <c r="AH2688">
        <v>22.473780762197201</v>
      </c>
      <c r="AI2688">
        <v>92.806900496762296</v>
      </c>
      <c r="AJ2688">
        <v>100.886717734952</v>
      </c>
      <c r="AK2688">
        <v>22.9131551394096</v>
      </c>
      <c r="AL2688">
        <v>79.923379015026299</v>
      </c>
      <c r="AM2688">
        <v>96.685161129432998</v>
      </c>
      <c r="AN2688">
        <v>1.00000003400299</v>
      </c>
    </row>
    <row r="2689" spans="1:40" x14ac:dyDescent="0.25">
      <c r="A2689" t="str">
        <f>"20190303162831302"</f>
        <v>20190303162831302</v>
      </c>
      <c r="B2689" t="str">
        <f>"1551601711293724"</f>
        <v>1551601711293724</v>
      </c>
      <c r="C2689" t="s">
        <v>40</v>
      </c>
      <c r="D2689">
        <v>4.8776250000000001</v>
      </c>
      <c r="E2689">
        <v>0.47184009999999998</v>
      </c>
      <c r="F2689" t="s">
        <v>47</v>
      </c>
      <c r="G2689">
        <v>-488.98059999999998</v>
      </c>
      <c r="H2689" s="1">
        <v>3.6690310000000002E-6</v>
      </c>
      <c r="I2689">
        <v>220.7484</v>
      </c>
      <c r="J2689">
        <v>-492.7826</v>
      </c>
      <c r="K2689">
        <v>1.1220680000000001</v>
      </c>
      <c r="L2689">
        <v>242.24889999999999</v>
      </c>
      <c r="M2689">
        <v>-1.4153219999999999E-2</v>
      </c>
      <c r="N2689">
        <v>-1.330367E-2</v>
      </c>
      <c r="O2689">
        <v>-0.99981140000000002</v>
      </c>
      <c r="P2689">
        <v>0.1016031</v>
      </c>
      <c r="Q2689">
        <v>0.16244829999999999</v>
      </c>
      <c r="R2689">
        <v>-0.98147209999999996</v>
      </c>
      <c r="S2689">
        <v>0.53118900000000002</v>
      </c>
      <c r="T2689">
        <v>-0.1568406</v>
      </c>
      <c r="U2689">
        <v>-3.0277560000000001</v>
      </c>
      <c r="V2689">
        <v>-0.1157391</v>
      </c>
      <c r="W2689">
        <v>0.17530299999999999</v>
      </c>
      <c r="X2689">
        <v>0.97768770000000005</v>
      </c>
      <c r="Y2689">
        <v>-0.18652350000000001</v>
      </c>
      <c r="Z2689">
        <v>3.757539E-2</v>
      </c>
      <c r="AA2689">
        <v>0.98173169999999998</v>
      </c>
      <c r="AB2689">
        <v>26</v>
      </c>
      <c r="AC2689">
        <v>3.80200000000002</v>
      </c>
      <c r="AD2689">
        <v>-1.1220643309689999</v>
      </c>
      <c r="AE2689">
        <v>-21.500499999999899</v>
      </c>
      <c r="AF2689">
        <v>-4.0951321504316498</v>
      </c>
      <c r="AG2689">
        <v>-1.1220643309689999</v>
      </c>
      <c r="AH2689">
        <v>21.388045268604099</v>
      </c>
      <c r="AI2689">
        <v>92.949627682166806</v>
      </c>
      <c r="AJ2689">
        <v>100.839140049997</v>
      </c>
      <c r="AK2689">
        <v>21.8054492295892</v>
      </c>
      <c r="AL2689">
        <v>79.903708278880501</v>
      </c>
      <c r="AM2689">
        <v>96.751279266545495</v>
      </c>
      <c r="AN2689">
        <v>0.99999995990454904</v>
      </c>
    </row>
    <row r="2690" spans="1:40" x14ac:dyDescent="0.25">
      <c r="A2690" t="str">
        <f>"20190303162831321"</f>
        <v>20190303162831321</v>
      </c>
      <c r="B2690" t="str">
        <f>"1551601711314220"</f>
        <v>1551601711314220</v>
      </c>
      <c r="C2690" t="s">
        <v>40</v>
      </c>
      <c r="D2690">
        <v>4.7540979999999999</v>
      </c>
      <c r="E2690">
        <v>0.47247020000000001</v>
      </c>
      <c r="F2690" t="s">
        <v>47</v>
      </c>
      <c r="G2690">
        <v>-488.97949999999997</v>
      </c>
      <c r="H2690" s="1">
        <v>3.6460119999999998E-6</v>
      </c>
      <c r="I2690">
        <v>220.67500000000001</v>
      </c>
      <c r="J2690">
        <v>-492.78480000000002</v>
      </c>
      <c r="K2690">
        <v>1.122082</v>
      </c>
      <c r="L2690">
        <v>242.03479999999999</v>
      </c>
      <c r="M2690">
        <v>-1.340828E-2</v>
      </c>
      <c r="N2690">
        <v>-1.328903E-2</v>
      </c>
      <c r="O2690">
        <v>-0.99982199999999999</v>
      </c>
      <c r="P2690">
        <v>0.1042049</v>
      </c>
      <c r="Q2690">
        <v>0.1632866</v>
      </c>
      <c r="R2690">
        <v>-0.98106009999999999</v>
      </c>
      <c r="S2690">
        <v>0.53369140000000004</v>
      </c>
      <c r="T2690">
        <v>-0.15745889999999901</v>
      </c>
      <c r="U2690">
        <v>-3.027466</v>
      </c>
      <c r="V2690">
        <v>-0.11761240000000001</v>
      </c>
      <c r="W2690">
        <v>0.17611559999999901</v>
      </c>
      <c r="X2690">
        <v>0.97731800000000002</v>
      </c>
      <c r="Y2690">
        <v>-0.18659300000000001</v>
      </c>
      <c r="Z2690">
        <v>3.7792659999999999E-2</v>
      </c>
      <c r="AA2690">
        <v>0.98171010000000003</v>
      </c>
      <c r="AB2690">
        <v>26</v>
      </c>
      <c r="AC2690">
        <v>3.8053000000000399</v>
      </c>
      <c r="AD2690">
        <v>-1.1220783539879999</v>
      </c>
      <c r="AE2690">
        <v>-21.3597999999999</v>
      </c>
      <c r="AF2690">
        <v>-4.0804670636134999</v>
      </c>
      <c r="AG2690">
        <v>-1.1220783539879999</v>
      </c>
      <c r="AH2690">
        <v>21.2500141197836</v>
      </c>
      <c r="AI2690">
        <v>92.968486704906098</v>
      </c>
      <c r="AJ2690">
        <v>100.869732841871</v>
      </c>
      <c r="AK2690">
        <v>21.667311124842598</v>
      </c>
      <c r="AL2690">
        <v>79.856413588422797</v>
      </c>
      <c r="AM2690">
        <v>96.862089463059704</v>
      </c>
      <c r="AN2690">
        <v>0.99999992716055697</v>
      </c>
    </row>
    <row r="2691" spans="1:40" x14ac:dyDescent="0.25">
      <c r="A2691" t="str">
        <f>"20190303162831345"</f>
        <v>20190303162831345</v>
      </c>
      <c r="B2691" t="str">
        <f>"1551601711333740"</f>
        <v>1551601711333740</v>
      </c>
      <c r="C2691" t="s">
        <v>40</v>
      </c>
      <c r="D2691">
        <v>4.7195289999999996</v>
      </c>
      <c r="E2691">
        <v>0.47306890000000001</v>
      </c>
      <c r="F2691" t="s">
        <v>47</v>
      </c>
      <c r="G2691">
        <v>-488.9606</v>
      </c>
      <c r="H2691" s="1">
        <v>3.5770530000000002E-6</v>
      </c>
      <c r="I2691">
        <v>220.4659</v>
      </c>
      <c r="J2691">
        <v>-492.78730000000002</v>
      </c>
      <c r="K2691">
        <v>1.122104</v>
      </c>
      <c r="L2691">
        <v>241.7698</v>
      </c>
      <c r="M2691">
        <v>-1.245225E-2</v>
      </c>
      <c r="N2691">
        <v>-1.3262029999999999E-2</v>
      </c>
      <c r="O2691">
        <v>-0.99983469999999997</v>
      </c>
      <c r="P2691">
        <v>0.10668900000000001</v>
      </c>
      <c r="Q2691">
        <v>0.1636707</v>
      </c>
      <c r="R2691">
        <v>-0.98072919999999997</v>
      </c>
      <c r="S2691">
        <v>0.53671259999999998</v>
      </c>
      <c r="T2691">
        <v>-0.15748019999999999</v>
      </c>
      <c r="U2691">
        <v>-3.0271300000000001</v>
      </c>
      <c r="V2691">
        <v>-0.11916640000000001</v>
      </c>
      <c r="W2691">
        <v>0.1764606</v>
      </c>
      <c r="X2691">
        <v>0.97706760000000004</v>
      </c>
      <c r="Y2691">
        <v>-0.18662229999999999</v>
      </c>
      <c r="Z2691">
        <v>3.7829590000000003E-2</v>
      </c>
      <c r="AA2691">
        <v>0.98170310000000005</v>
      </c>
      <c r="AB2691">
        <v>26</v>
      </c>
      <c r="AC2691">
        <v>3.82670000000001</v>
      </c>
      <c r="AD2691">
        <v>-1.122100422947</v>
      </c>
      <c r="AE2691">
        <v>-21.303899999999999</v>
      </c>
      <c r="AF2691">
        <v>-4.0807408952660102</v>
      </c>
      <c r="AG2691">
        <v>-1.122100422947</v>
      </c>
      <c r="AH2691">
        <v>21.1976234180018</v>
      </c>
      <c r="AI2691">
        <v>92.975600188863694</v>
      </c>
      <c r="AJ2691">
        <v>100.896669207473</v>
      </c>
      <c r="AK2691">
        <v>21.61598469154</v>
      </c>
      <c r="AL2691">
        <v>79.836333141603802</v>
      </c>
      <c r="AM2691">
        <v>96.953640131156007</v>
      </c>
      <c r="AN2691">
        <v>1.00000003460553</v>
      </c>
    </row>
    <row r="2692" spans="1:40" x14ac:dyDescent="0.25">
      <c r="A2692" t="str">
        <f>"20190303162831364"</f>
        <v>20190303162831364</v>
      </c>
      <c r="B2692" t="str">
        <f>"1551601711354237"</f>
        <v>1551601711354237</v>
      </c>
      <c r="C2692" t="s">
        <v>40</v>
      </c>
      <c r="D2692">
        <v>4.6552889999999998</v>
      </c>
      <c r="E2692">
        <v>0.47365570000000001</v>
      </c>
      <c r="F2692" t="s">
        <v>47</v>
      </c>
      <c r="G2692">
        <v>-488.94670000000002</v>
      </c>
      <c r="H2692" s="1">
        <v>3.5151699999999998E-6</v>
      </c>
      <c r="I2692">
        <v>220.27600000000001</v>
      </c>
      <c r="J2692">
        <v>-492.78910000000002</v>
      </c>
      <c r="K2692">
        <v>1.1221270000000001</v>
      </c>
      <c r="L2692">
        <v>241.53489999999999</v>
      </c>
      <c r="M2692">
        <v>-1.156685E-2</v>
      </c>
      <c r="N2692">
        <v>-1.322884E-2</v>
      </c>
      <c r="O2692">
        <v>-0.99984569999999995</v>
      </c>
      <c r="P2692">
        <v>0.10889210000000001</v>
      </c>
      <c r="Q2692">
        <v>0.1636387</v>
      </c>
      <c r="R2692">
        <v>-0.98049249999999999</v>
      </c>
      <c r="S2692">
        <v>0.54077149999999996</v>
      </c>
      <c r="T2692">
        <v>-0.15799959999999999</v>
      </c>
      <c r="U2692">
        <v>-3.0264739999999999</v>
      </c>
      <c r="V2692">
        <v>-0.1205107</v>
      </c>
      <c r="W2692">
        <v>0.17638409999999999</v>
      </c>
      <c r="X2692">
        <v>0.97691649999999997</v>
      </c>
      <c r="Y2692">
        <v>-0.18706349999999999</v>
      </c>
      <c r="Z2692">
        <v>3.80355E-2</v>
      </c>
      <c r="AA2692">
        <v>0.98161120000000002</v>
      </c>
      <c r="AB2692">
        <v>26</v>
      </c>
      <c r="AC2692">
        <v>3.8423999999999898</v>
      </c>
      <c r="AD2692">
        <v>-1.1221234848299999</v>
      </c>
      <c r="AE2692">
        <v>-21.258900000000001</v>
      </c>
      <c r="AF2692">
        <v>-4.0770630642233101</v>
      </c>
      <c r="AG2692">
        <v>-1.1221234848299999</v>
      </c>
      <c r="AH2692">
        <v>21.155950854339899</v>
      </c>
      <c r="AI2692">
        <v>92.981398561283996</v>
      </c>
      <c r="AJ2692">
        <v>100.90801440986399</v>
      </c>
      <c r="AK2692">
        <v>21.574426084976299</v>
      </c>
      <c r="AL2692">
        <v>79.840785901407699</v>
      </c>
      <c r="AM2692">
        <v>97.032378956182797</v>
      </c>
      <c r="AN2692">
        <v>1.00000001375977</v>
      </c>
    </row>
    <row r="2693" spans="1:40" x14ac:dyDescent="0.25">
      <c r="A2693" t="str">
        <f>"20190303162831377"</f>
        <v>20190303162831377</v>
      </c>
      <c r="B2693" t="str">
        <f>"1551601711363996"</f>
        <v>1551601711363996</v>
      </c>
      <c r="C2693" t="s">
        <v>40</v>
      </c>
      <c r="D2693">
        <v>4.6335379999999997</v>
      </c>
      <c r="E2693">
        <v>0.47393489999999999</v>
      </c>
      <c r="F2693" t="s">
        <v>47</v>
      </c>
      <c r="G2693">
        <v>-488.99360000000001</v>
      </c>
      <c r="H2693" s="1">
        <v>3.561036E-6</v>
      </c>
      <c r="I2693">
        <v>220.3905</v>
      </c>
      <c r="J2693">
        <v>-492.7903</v>
      </c>
      <c r="K2693">
        <v>1.1221410000000001</v>
      </c>
      <c r="L2693">
        <v>241.381</v>
      </c>
      <c r="M2693">
        <v>-1.0968240000000001E-2</v>
      </c>
      <c r="N2693">
        <v>-1.320503E-2</v>
      </c>
      <c r="O2693">
        <v>-0.99985299999999999</v>
      </c>
      <c r="P2693">
        <v>0.1108131</v>
      </c>
      <c r="Q2693">
        <v>0.16357279999999999</v>
      </c>
      <c r="R2693">
        <v>-0.98028859999999995</v>
      </c>
      <c r="S2693">
        <v>0.5432129</v>
      </c>
      <c r="T2693">
        <v>-0.16059699999999999</v>
      </c>
      <c r="U2693">
        <v>-3.026154</v>
      </c>
      <c r="V2693">
        <v>-0.12185070000000001</v>
      </c>
      <c r="W2693">
        <v>0.17628550000000001</v>
      </c>
      <c r="X2693">
        <v>0.97676810000000003</v>
      </c>
      <c r="Y2693">
        <v>-0.1872539</v>
      </c>
      <c r="Z2693">
        <v>3.8902230000000003E-2</v>
      </c>
      <c r="AA2693">
        <v>0.98154090000000005</v>
      </c>
      <c r="AB2693">
        <v>26</v>
      </c>
      <c r="AC2693">
        <v>3.79669999999998</v>
      </c>
      <c r="AD2693">
        <v>-1.122137438964</v>
      </c>
      <c r="AE2693">
        <v>-20.990499999999901</v>
      </c>
      <c r="AF2693">
        <v>-4.0156077884036696</v>
      </c>
      <c r="AG2693">
        <v>-1.122137438964</v>
      </c>
      <c r="AH2693">
        <v>20.889780894886101</v>
      </c>
      <c r="AI2693">
        <v>93.019626148997304</v>
      </c>
      <c r="AJ2693">
        <v>100.881142276272</v>
      </c>
      <c r="AK2693">
        <v>21.301813166455201</v>
      </c>
      <c r="AL2693">
        <v>79.846525528232803</v>
      </c>
      <c r="AM2693">
        <v>97.110847620479205</v>
      </c>
      <c r="AN2693">
        <v>1.00000004588917</v>
      </c>
    </row>
    <row r="2694" spans="1:40" x14ac:dyDescent="0.25">
      <c r="A2694" t="str">
        <f>"20190303162831391"</f>
        <v>20190303162831391</v>
      </c>
      <c r="B2694" t="str">
        <f>"1551601711384492"</f>
        <v>1551601711384492</v>
      </c>
      <c r="C2694" t="s">
        <v>40</v>
      </c>
      <c r="D2694">
        <v>4.6014359999999996</v>
      </c>
      <c r="E2694">
        <v>0.47446159999999998</v>
      </c>
      <c r="F2694" t="s">
        <v>47</v>
      </c>
      <c r="G2694">
        <v>-489.00229999999999</v>
      </c>
      <c r="H2694" s="1">
        <v>3.5691310000000001E-6</v>
      </c>
      <c r="I2694">
        <v>220.41040000000001</v>
      </c>
      <c r="J2694">
        <v>-492.79129999999998</v>
      </c>
      <c r="K2694">
        <v>1.1221490000000001</v>
      </c>
      <c r="L2694">
        <v>241.22710000000001</v>
      </c>
      <c r="M2694">
        <v>-1.0356239999999999E-2</v>
      </c>
      <c r="N2694">
        <v>-1.31818E-2</v>
      </c>
      <c r="O2694">
        <v>-0.99985950000000001</v>
      </c>
      <c r="P2694">
        <v>0.1122938</v>
      </c>
      <c r="Q2694">
        <v>0.1637159</v>
      </c>
      <c r="R2694">
        <v>-0.9800953</v>
      </c>
      <c r="S2694">
        <v>0.54650880000000002</v>
      </c>
      <c r="T2694">
        <v>-0.1618975</v>
      </c>
      <c r="U2694">
        <v>-3.0255580000000002</v>
      </c>
      <c r="V2694">
        <v>-0.1227372</v>
      </c>
      <c r="W2694">
        <v>0.1763982</v>
      </c>
      <c r="X2694">
        <v>0.97663670000000002</v>
      </c>
      <c r="Y2694">
        <v>-0.1877182</v>
      </c>
      <c r="Z2694">
        <v>3.9350450000000002E-2</v>
      </c>
      <c r="AA2694">
        <v>0.98143429999999998</v>
      </c>
      <c r="AB2694">
        <v>26</v>
      </c>
      <c r="AC2694">
        <v>3.7889999999999802</v>
      </c>
      <c r="AD2694">
        <v>-1.122145430869</v>
      </c>
      <c r="AE2694">
        <v>-20.816700000000001</v>
      </c>
      <c r="AF2694">
        <v>-3.9931667640131301</v>
      </c>
      <c r="AG2694">
        <v>-1.122145430869</v>
      </c>
      <c r="AH2694">
        <v>20.718067088572798</v>
      </c>
      <c r="AI2694">
        <v>93.044340245524893</v>
      </c>
      <c r="AJ2694">
        <v>100.90932189471501</v>
      </c>
      <c r="AK2694">
        <v>21.129195324475699</v>
      </c>
      <c r="AL2694">
        <v>79.839964964171401</v>
      </c>
      <c r="AM2694">
        <v>97.162999432195804</v>
      </c>
      <c r="AN2694">
        <v>0.99999999450698496</v>
      </c>
    </row>
    <row r="2695" spans="1:40" x14ac:dyDescent="0.25">
      <c r="A2695" t="str">
        <f>"20190303162831409"</f>
        <v>20190303162831409</v>
      </c>
      <c r="B2695" t="str">
        <f>"1551601711404013"</f>
        <v>1551601711404013</v>
      </c>
      <c r="C2695" t="s">
        <v>40</v>
      </c>
      <c r="D2695">
        <v>4.5856729999999999</v>
      </c>
      <c r="E2695">
        <v>0.47498600000000002</v>
      </c>
      <c r="F2695" t="s">
        <v>47</v>
      </c>
      <c r="G2695">
        <v>-489.04719999999998</v>
      </c>
      <c r="H2695" s="1">
        <v>3.6084399999999999E-6</v>
      </c>
      <c r="I2695">
        <v>220.5052</v>
      </c>
      <c r="J2695">
        <v>-492.79239999999999</v>
      </c>
      <c r="K2695">
        <v>1.122166</v>
      </c>
      <c r="L2695">
        <v>241.01740000000001</v>
      </c>
      <c r="M2695">
        <v>-9.5001289999999995E-3</v>
      </c>
      <c r="N2695">
        <v>-1.3149920000000001E-2</v>
      </c>
      <c r="O2695">
        <v>-0.9998686</v>
      </c>
      <c r="P2695">
        <v>0.1148903</v>
      </c>
      <c r="Q2695">
        <v>0.164027799999999</v>
      </c>
      <c r="R2695">
        <v>-0.97974260000000002</v>
      </c>
      <c r="S2695">
        <v>0.54669190000000001</v>
      </c>
      <c r="T2695">
        <v>-0.16384789999999999</v>
      </c>
      <c r="U2695">
        <v>-3.025665</v>
      </c>
      <c r="V2695">
        <v>-0.1245011</v>
      </c>
      <c r="W2695">
        <v>0.17666570000000001</v>
      </c>
      <c r="X2695">
        <v>0.97636500000000004</v>
      </c>
      <c r="Y2695">
        <v>-0.1869237</v>
      </c>
      <c r="Z2695">
        <v>4.0017400000000002E-2</v>
      </c>
      <c r="AA2695">
        <v>0.98155899999999996</v>
      </c>
      <c r="AB2695">
        <v>26</v>
      </c>
      <c r="AC2695">
        <v>3.7452000000000099</v>
      </c>
      <c r="AD2695">
        <v>-1.1221623915600001</v>
      </c>
      <c r="AE2695">
        <v>-20.5122</v>
      </c>
      <c r="AF2695">
        <v>-3.9285380563605399</v>
      </c>
      <c r="AG2695">
        <v>-1.1221623915600001</v>
      </c>
      <c r="AH2695">
        <v>20.4165585536043</v>
      </c>
      <c r="AI2695">
        <v>93.089441483776895</v>
      </c>
      <c r="AJ2695">
        <v>100.891688518701</v>
      </c>
      <c r="AK2695">
        <v>20.821347767761299</v>
      </c>
      <c r="AL2695">
        <v>79.824393373082799</v>
      </c>
      <c r="AM2695">
        <v>97.266849343071797</v>
      </c>
      <c r="AN2695">
        <v>0.99999995334134895</v>
      </c>
    </row>
    <row r="2696" spans="1:40" x14ac:dyDescent="0.25">
      <c r="A2696" t="str">
        <f>"20190303162831422"</f>
        <v>20190303162831422</v>
      </c>
      <c r="B2696" t="str">
        <f>"1551601711413772"</f>
        <v>1551601711413772</v>
      </c>
      <c r="C2696" t="s">
        <v>40</v>
      </c>
      <c r="D2696">
        <v>4.543399</v>
      </c>
      <c r="E2696">
        <v>0.4752285</v>
      </c>
      <c r="F2696" t="s">
        <v>47</v>
      </c>
      <c r="G2696">
        <v>-489.0421</v>
      </c>
      <c r="H2696" s="1">
        <v>3.5778529999999998E-6</v>
      </c>
      <c r="I2696">
        <v>220.4101</v>
      </c>
      <c r="J2696">
        <v>-492.79320000000001</v>
      </c>
      <c r="K2696">
        <v>1.122179</v>
      </c>
      <c r="L2696">
        <v>240.86840000000001</v>
      </c>
      <c r="M2696">
        <v>-8.877355E-3</v>
      </c>
      <c r="N2696">
        <v>-1.3126290000000001E-2</v>
      </c>
      <c r="O2696">
        <v>-0.99987459999999995</v>
      </c>
      <c r="P2696">
        <v>0.11648219999999999</v>
      </c>
      <c r="Q2696">
        <v>0.16400590000000001</v>
      </c>
      <c r="R2696">
        <v>-0.9795585</v>
      </c>
      <c r="S2696">
        <v>0.5505371</v>
      </c>
      <c r="T2696">
        <v>-0.16472779999999901</v>
      </c>
      <c r="U2696">
        <v>-3.0250400000000002</v>
      </c>
      <c r="V2696">
        <v>-0.12548779999999901</v>
      </c>
      <c r="W2696">
        <v>0.1766132</v>
      </c>
      <c r="X2696">
        <v>0.97624820000000001</v>
      </c>
      <c r="Y2696">
        <v>-0.18755260000000001</v>
      </c>
      <c r="Z2696">
        <v>4.0328610000000001E-2</v>
      </c>
      <c r="AA2696">
        <v>0.98142629999999997</v>
      </c>
      <c r="AB2696">
        <v>26</v>
      </c>
      <c r="AC2696">
        <v>3.7511000000000001</v>
      </c>
      <c r="AD2696">
        <v>-1.1221754221469999</v>
      </c>
      <c r="AE2696">
        <v>-20.458300000000001</v>
      </c>
      <c r="AF2696">
        <v>-3.92116937807649</v>
      </c>
      <c r="AG2696">
        <v>-1.1221754221469999</v>
      </c>
      <c r="AH2696">
        <v>20.364911482524001</v>
      </c>
      <c r="AI2696">
        <v>93.097224834829902</v>
      </c>
      <c r="AJ2696">
        <v>100.89865863946</v>
      </c>
      <c r="AK2696">
        <v>20.769315507755</v>
      </c>
      <c r="AL2696">
        <v>79.827449722333199</v>
      </c>
      <c r="AM2696">
        <v>97.324684654980302</v>
      </c>
      <c r="AN2696">
        <v>0.99999997918315897</v>
      </c>
    </row>
    <row r="2697" spans="1:40" x14ac:dyDescent="0.25">
      <c r="A2697" t="str">
        <f>"20190303162831435"</f>
        <v>20190303162831435</v>
      </c>
      <c r="B2697" t="str">
        <f>"1551601711424508"</f>
        <v>1551601711424508</v>
      </c>
      <c r="C2697" t="s">
        <v>40</v>
      </c>
      <c r="D2697">
        <v>4.56738</v>
      </c>
      <c r="E2697">
        <v>0.47550019999999998</v>
      </c>
      <c r="F2697" t="s">
        <v>47</v>
      </c>
      <c r="G2697">
        <v>-489.04489999999998</v>
      </c>
      <c r="H2697" s="1">
        <v>3.5698059999999999E-6</v>
      </c>
      <c r="I2697">
        <v>220.38220000000001</v>
      </c>
      <c r="J2697">
        <v>-492.79379999999998</v>
      </c>
      <c r="K2697">
        <v>1.1221859999999999</v>
      </c>
      <c r="L2697">
        <v>240.7287</v>
      </c>
      <c r="M2697">
        <v>-8.2748500000000003E-3</v>
      </c>
      <c r="N2697">
        <v>-1.3099960000000001E-2</v>
      </c>
      <c r="O2697">
        <v>-0.99988010000000005</v>
      </c>
      <c r="P2697">
        <v>0.1180112</v>
      </c>
      <c r="Q2697">
        <v>0.16427079999999999</v>
      </c>
      <c r="R2697">
        <v>-0.97933079999999995</v>
      </c>
      <c r="S2697">
        <v>0.55340579999999995</v>
      </c>
      <c r="T2697">
        <v>-0.16567699999999999</v>
      </c>
      <c r="U2697">
        <v>-3.0245669999999998</v>
      </c>
      <c r="V2697">
        <v>-0.1264306</v>
      </c>
      <c r="W2697">
        <v>0.176845</v>
      </c>
      <c r="X2697">
        <v>0.97608459999999997</v>
      </c>
      <c r="Y2697">
        <v>-0.18788579999999999</v>
      </c>
      <c r="Z2697">
        <v>4.0665300000000001E-2</v>
      </c>
      <c r="AA2697">
        <v>0.98134869999999996</v>
      </c>
      <c r="AB2697">
        <v>26</v>
      </c>
      <c r="AC2697">
        <v>3.7488999999999901</v>
      </c>
      <c r="AD2697">
        <v>-1.122182430194</v>
      </c>
      <c r="AE2697">
        <v>-20.346499999999899</v>
      </c>
      <c r="AF2697">
        <v>-3.9056596842040698</v>
      </c>
      <c r="AG2697">
        <v>-1.122182430194</v>
      </c>
      <c r="AH2697">
        <v>20.2551874912781</v>
      </c>
      <c r="AI2697">
        <v>93.113829110747801</v>
      </c>
      <c r="AJ2697">
        <v>100.91397905601001</v>
      </c>
      <c r="AK2697">
        <v>20.658801787186999</v>
      </c>
      <c r="AL2697">
        <v>79.813956364268506</v>
      </c>
      <c r="AM2697">
        <v>97.380334482661993</v>
      </c>
      <c r="AN2697">
        <v>0.99999999849925902</v>
      </c>
    </row>
    <row r="2698" spans="1:40" x14ac:dyDescent="0.25">
      <c r="A2698" t="str">
        <f>"20190303162831448"</f>
        <v>20190303162831448</v>
      </c>
      <c r="B2698" t="str">
        <f>"1551601711434269"</f>
        <v>1551601711434269</v>
      </c>
      <c r="C2698" t="s">
        <v>40</v>
      </c>
      <c r="D2698">
        <v>4.5303139999999997</v>
      </c>
      <c r="E2698">
        <v>0.47575289999999998</v>
      </c>
      <c r="F2698" t="s">
        <v>47</v>
      </c>
      <c r="G2698">
        <v>-489.0222</v>
      </c>
      <c r="H2698" s="1">
        <v>3.5133150000000001E-6</v>
      </c>
      <c r="I2698">
        <v>220.21600000000001</v>
      </c>
      <c r="J2698">
        <v>-492.79430000000002</v>
      </c>
      <c r="K2698">
        <v>1.1221939999999999</v>
      </c>
      <c r="L2698">
        <v>240.58600000000001</v>
      </c>
      <c r="M2698">
        <v>-7.6533490000000003E-3</v>
      </c>
      <c r="N2698">
        <v>-1.3069239999999999E-2</v>
      </c>
      <c r="O2698">
        <v>-0.99988540000000004</v>
      </c>
      <c r="P2698">
        <v>0.11959839999999999</v>
      </c>
      <c r="Q2698">
        <v>0.16416739999999999</v>
      </c>
      <c r="R2698">
        <v>-0.97915569999999996</v>
      </c>
      <c r="S2698">
        <v>0.55603029999999998</v>
      </c>
      <c r="T2698">
        <v>-0.1654378</v>
      </c>
      <c r="U2698">
        <v>-3.0240779999999998</v>
      </c>
      <c r="V2698">
        <v>-0.12741359999999999</v>
      </c>
      <c r="W2698">
        <v>0.1767051</v>
      </c>
      <c r="X2698">
        <v>0.97598209999999996</v>
      </c>
      <c r="Y2698">
        <v>-0.18812789999999999</v>
      </c>
      <c r="Z2698">
        <v>4.0622800000000001E-2</v>
      </c>
      <c r="AA2698">
        <v>0.98130399999999995</v>
      </c>
      <c r="AB2698">
        <v>26</v>
      </c>
      <c r="AC2698">
        <v>3.77210000000002</v>
      </c>
      <c r="AD2698">
        <v>-1.1221904866850001</v>
      </c>
      <c r="AE2698">
        <v>-20.37</v>
      </c>
      <c r="AF2698">
        <v>-3.9164095079514998</v>
      </c>
      <c r="AG2698">
        <v>-1.1221904866850001</v>
      </c>
      <c r="AH2698">
        <v>20.281020548125898</v>
      </c>
      <c r="AI2698">
        <v>93.109728693200196</v>
      </c>
      <c r="AJ2698">
        <v>100.929690920583</v>
      </c>
      <c r="AK2698">
        <v>20.686163718676401</v>
      </c>
      <c r="AL2698">
        <v>79.822100199365806</v>
      </c>
      <c r="AM2698">
        <v>97.437849088924906</v>
      </c>
      <c r="AN2698">
        <v>0.99999998867568995</v>
      </c>
    </row>
    <row r="2699" spans="1:40" x14ac:dyDescent="0.25">
      <c r="A2699" t="str">
        <f>"20190303162831464"</f>
        <v>20190303162831464</v>
      </c>
      <c r="B2699" t="str">
        <f>"1551601711453788"</f>
        <v>1551601711453788</v>
      </c>
      <c r="C2699" t="s">
        <v>40</v>
      </c>
      <c r="D2699">
        <v>4.479876</v>
      </c>
      <c r="E2699">
        <v>0.47627540000000002</v>
      </c>
      <c r="F2699" t="s">
        <v>47</v>
      </c>
      <c r="G2699">
        <v>-489.03410000000002</v>
      </c>
      <c r="H2699" s="1">
        <v>3.5238379999999998E-6</v>
      </c>
      <c r="I2699">
        <v>220.2415</v>
      </c>
      <c r="J2699">
        <v>-492.79480000000001</v>
      </c>
      <c r="K2699">
        <v>1.122201</v>
      </c>
      <c r="L2699">
        <v>240.392</v>
      </c>
      <c r="M2699">
        <v>-6.7921369999999898E-3</v>
      </c>
      <c r="N2699">
        <v>-1.3016710000000001E-2</v>
      </c>
      <c r="O2699">
        <v>-0.99989220000000001</v>
      </c>
      <c r="P2699">
        <v>0.1226173</v>
      </c>
      <c r="Q2699">
        <v>0.1644081</v>
      </c>
      <c r="R2699">
        <v>-0.97874150000000004</v>
      </c>
      <c r="S2699">
        <v>0.5588379</v>
      </c>
      <c r="T2699">
        <v>-0.16677809999999901</v>
      </c>
      <c r="U2699">
        <v>-3.0235750000000001</v>
      </c>
      <c r="V2699">
        <v>-0.1295936</v>
      </c>
      <c r="W2699">
        <v>0.17688110000000001</v>
      </c>
      <c r="X2699">
        <v>0.97566310000000001</v>
      </c>
      <c r="Y2699">
        <v>-0.18818850000000001</v>
      </c>
      <c r="Z2699">
        <v>4.1114739999999997E-2</v>
      </c>
      <c r="AA2699">
        <v>0.98127200000000003</v>
      </c>
      <c r="AB2699">
        <v>26</v>
      </c>
      <c r="AC2699">
        <v>3.7606999999999799</v>
      </c>
      <c r="AD2699">
        <v>-1.1221974761619999</v>
      </c>
      <c r="AE2699">
        <v>-20.150499999999901</v>
      </c>
      <c r="AF2699">
        <v>-3.8858436304278201</v>
      </c>
      <c r="AG2699">
        <v>-1.1221974761619999</v>
      </c>
      <c r="AH2699">
        <v>20.064355396608601</v>
      </c>
      <c r="AI2699">
        <v>93.142933134615404</v>
      </c>
      <c r="AJ2699">
        <v>100.96072353228401</v>
      </c>
      <c r="AK2699">
        <v>20.467961925337299</v>
      </c>
      <c r="AL2699">
        <v>79.811854406359402</v>
      </c>
      <c r="AM2699">
        <v>97.566091140709901</v>
      </c>
      <c r="AN2699">
        <v>0.999999954699889</v>
      </c>
    </row>
    <row r="2700" spans="1:40" x14ac:dyDescent="0.25">
      <c r="A2700" t="str">
        <f>"20190303162831477"</f>
        <v>20190303162831477</v>
      </c>
      <c r="B2700" t="str">
        <f>"1551601711464524"</f>
        <v>1551601711464524</v>
      </c>
      <c r="C2700" t="s">
        <v>40</v>
      </c>
      <c r="D2700">
        <v>4.52989</v>
      </c>
      <c r="E2700">
        <v>0.4764581</v>
      </c>
      <c r="F2700" t="s">
        <v>47</v>
      </c>
      <c r="G2700">
        <v>-489.02839999999998</v>
      </c>
      <c r="H2700" s="1">
        <v>3.5016059999999998E-6</v>
      </c>
      <c r="I2700">
        <v>220.1738</v>
      </c>
      <c r="J2700">
        <v>-492.79500000000002</v>
      </c>
      <c r="K2700">
        <v>1.1222000000000001</v>
      </c>
      <c r="L2700">
        <v>240.23859999999999</v>
      </c>
      <c r="M2700">
        <v>-6.1002119999999998E-3</v>
      </c>
      <c r="N2700">
        <v>-1.296341E-2</v>
      </c>
      <c r="O2700">
        <v>-0.99989740000000005</v>
      </c>
      <c r="P2700">
        <v>0.1243517</v>
      </c>
      <c r="Q2700">
        <v>0.16465150000000001</v>
      </c>
      <c r="R2700">
        <v>-0.97848210000000002</v>
      </c>
      <c r="S2700">
        <v>0.56311040000000001</v>
      </c>
      <c r="T2700">
        <v>-0.16777779999999901</v>
      </c>
      <c r="U2700">
        <v>-3.0227810000000002</v>
      </c>
      <c r="V2700">
        <v>-0.1306541</v>
      </c>
      <c r="W2700">
        <v>0.1770651</v>
      </c>
      <c r="X2700">
        <v>0.97548829999999997</v>
      </c>
      <c r="Y2700">
        <v>-0.18889249999999999</v>
      </c>
      <c r="Z2700">
        <v>4.1496190000000002E-2</v>
      </c>
      <c r="AA2700">
        <v>0.98112060000000001</v>
      </c>
      <c r="AB2700">
        <v>26</v>
      </c>
      <c r="AC2700">
        <v>3.7666000000000399</v>
      </c>
      <c r="AD2700">
        <v>-1.122196498394</v>
      </c>
      <c r="AE2700">
        <v>-20.064799999999899</v>
      </c>
      <c r="AF2700">
        <v>-3.8772245587208598</v>
      </c>
      <c r="AG2700">
        <v>-1.122196498394</v>
      </c>
      <c r="AH2700">
        <v>19.981074140772598</v>
      </c>
      <c r="AI2700">
        <v>93.155782564219294</v>
      </c>
      <c r="AJ2700">
        <v>100.98147828851501</v>
      </c>
      <c r="AK2700">
        <v>20.384688348827101</v>
      </c>
      <c r="AL2700">
        <v>79.801143205274101</v>
      </c>
      <c r="AM2700">
        <v>97.628631209787798</v>
      </c>
      <c r="AN2700">
        <v>0.99999998346085395</v>
      </c>
    </row>
    <row r="2701" spans="1:40" x14ac:dyDescent="0.25">
      <c r="A2701" t="str">
        <f>"20190303162831490"</f>
        <v>20190303162831490</v>
      </c>
      <c r="B2701" t="str">
        <f>"1551601711484045"</f>
        <v>1551601711484045</v>
      </c>
      <c r="C2701" t="s">
        <v>40</v>
      </c>
      <c r="D2701">
        <v>4.5138920000000002</v>
      </c>
      <c r="E2701">
        <v>0.45741179999999898</v>
      </c>
      <c r="F2701" t="s">
        <v>47</v>
      </c>
      <c r="G2701">
        <v>-489.00639999999999</v>
      </c>
      <c r="H2701" s="1">
        <v>3.4554870000000001E-6</v>
      </c>
      <c r="I2701">
        <v>220.02010000000001</v>
      </c>
      <c r="J2701">
        <v>-492.79520000000002</v>
      </c>
      <c r="K2701">
        <v>1.1221950000000001</v>
      </c>
      <c r="L2701">
        <v>240.09880000000001</v>
      </c>
      <c r="M2701">
        <v>-5.4659419999999997E-3</v>
      </c>
      <c r="N2701">
        <v>-1.290967E-2</v>
      </c>
      <c r="O2701">
        <v>-0.99990179999999995</v>
      </c>
      <c r="P2701">
        <v>0.12621869999999999</v>
      </c>
      <c r="Q2701">
        <v>0.16466159999999999</v>
      </c>
      <c r="R2701">
        <v>-0.97824140000000004</v>
      </c>
      <c r="S2701">
        <v>0.56631469999999995</v>
      </c>
      <c r="T2701">
        <v>-0.16774339999999999</v>
      </c>
      <c r="U2701">
        <v>-3.0222169999999999</v>
      </c>
      <c r="V2701">
        <v>-0.13190270000000001</v>
      </c>
      <c r="W2701">
        <v>0.1770158</v>
      </c>
      <c r="X2701">
        <v>0.97532920000000001</v>
      </c>
      <c r="Y2701">
        <v>-0.18930759999999999</v>
      </c>
      <c r="Z2701">
        <v>4.1542349999999999E-2</v>
      </c>
      <c r="AA2701">
        <v>0.98103870000000004</v>
      </c>
      <c r="AB2701">
        <v>26</v>
      </c>
      <c r="AC2701">
        <v>3.7888000000000299</v>
      </c>
      <c r="AD2701">
        <v>-1.122191544513</v>
      </c>
      <c r="AE2701">
        <v>-20.078700000000001</v>
      </c>
      <c r="AF2701">
        <v>-3.8867780297716998</v>
      </c>
      <c r="AG2701">
        <v>-1.122191544513</v>
      </c>
      <c r="AH2701">
        <v>19.997371765521301</v>
      </c>
      <c r="AI2701">
        <v>93.153013730350295</v>
      </c>
      <c r="AJ2701">
        <v>100.999124045976</v>
      </c>
      <c r="AK2701">
        <v>20.402481095292298</v>
      </c>
      <c r="AL2701">
        <v>79.804013208681198</v>
      </c>
      <c r="AM2701">
        <v>97.701904837035599</v>
      </c>
      <c r="AN2701">
        <v>0.99999998204478402</v>
      </c>
    </row>
    <row r="2702" spans="1:40" x14ac:dyDescent="0.25">
      <c r="A2702" t="str">
        <f>"20190303162831502"</f>
        <v>20190303162831502</v>
      </c>
      <c r="B2702" t="str">
        <f>"1551601711493805"</f>
        <v>1551601711493805</v>
      </c>
      <c r="C2702" t="s">
        <v>40</v>
      </c>
      <c r="D2702">
        <v>4.4663009999999996</v>
      </c>
      <c r="E2702">
        <v>0.45116509999999999</v>
      </c>
      <c r="F2702" t="s">
        <v>47</v>
      </c>
      <c r="G2702">
        <v>-487.36840000000001</v>
      </c>
      <c r="H2702" s="1">
        <v>2.986227E-6</v>
      </c>
      <c r="I2702">
        <v>217.5703</v>
      </c>
      <c r="J2702">
        <v>-492.7953</v>
      </c>
      <c r="K2702">
        <v>1.1221890000000001</v>
      </c>
      <c r="L2702">
        <v>239.9503</v>
      </c>
      <c r="M2702">
        <v>-4.789064E-3</v>
      </c>
      <c r="N2702">
        <v>-1.2848200000000001E-2</v>
      </c>
      <c r="O2702">
        <v>-0.99990610000000002</v>
      </c>
      <c r="P2702">
        <v>0.1281456</v>
      </c>
      <c r="Q2702">
        <v>0.16524169999999999</v>
      </c>
      <c r="R2702">
        <v>-0.97789280000000001</v>
      </c>
      <c r="S2702">
        <v>0.72235109999999902</v>
      </c>
      <c r="T2702">
        <v>-0.14937110000000001</v>
      </c>
      <c r="U2702">
        <v>-2.998688</v>
      </c>
      <c r="V2702">
        <v>-0.13316900000000001</v>
      </c>
      <c r="W2702">
        <v>0.1775283</v>
      </c>
      <c r="X2702">
        <v>0.97506400000000004</v>
      </c>
      <c r="Y2702">
        <v>-0.23860339999999999</v>
      </c>
      <c r="Z2702">
        <v>3.5497550000000003E-2</v>
      </c>
      <c r="AA2702">
        <v>0.97046809999999994</v>
      </c>
      <c r="AB2702">
        <v>26</v>
      </c>
      <c r="AC2702">
        <v>5.4268999999999803</v>
      </c>
      <c r="AD2702">
        <v>-1.122186013773</v>
      </c>
      <c r="AE2702">
        <v>-22.3799999999999</v>
      </c>
      <c r="AF2702">
        <v>-5.5209157325916696</v>
      </c>
      <c r="AG2702">
        <v>-1.122186013773</v>
      </c>
      <c r="AH2702">
        <v>22.300795344011298</v>
      </c>
      <c r="AI2702">
        <v>92.796438605574195</v>
      </c>
      <c r="AJ2702">
        <v>103.904906780776</v>
      </c>
      <c r="AK2702">
        <v>23.001419194288001</v>
      </c>
      <c r="AL2702">
        <v>79.774177184106904</v>
      </c>
      <c r="AM2702">
        <v>97.777033745445806</v>
      </c>
      <c r="AN2702">
        <v>1.0000000419789401</v>
      </c>
    </row>
    <row r="2703" spans="1:40" x14ac:dyDescent="0.25">
      <c r="A2703" t="str">
        <f>"20190303162831525"</f>
        <v>20190303162831525</v>
      </c>
      <c r="B2703" t="str">
        <f>"1551601711515277"</f>
        <v>1551601711515277</v>
      </c>
      <c r="C2703" t="s">
        <v>40</v>
      </c>
      <c r="D2703">
        <v>4.3961790000000001</v>
      </c>
      <c r="E2703">
        <v>0.44707160000000001</v>
      </c>
      <c r="F2703" t="s">
        <v>47</v>
      </c>
      <c r="G2703">
        <v>-486.85509999999999</v>
      </c>
      <c r="H2703" s="1">
        <v>2.8747889999999999E-6</v>
      </c>
      <c r="I2703">
        <v>217.1037</v>
      </c>
      <c r="J2703">
        <v>-492.79520000000002</v>
      </c>
      <c r="K2703">
        <v>1.1221730000000001</v>
      </c>
      <c r="L2703">
        <v>239.71180000000001</v>
      </c>
      <c r="M2703">
        <v>-3.6944159999999998E-3</v>
      </c>
      <c r="N2703">
        <v>-1.272089E-2</v>
      </c>
      <c r="O2703">
        <v>-0.99991249999999998</v>
      </c>
      <c r="P2703">
        <v>0.1318049</v>
      </c>
      <c r="Q2703">
        <v>0.16634769999999999</v>
      </c>
      <c r="R2703">
        <v>-0.9772187</v>
      </c>
      <c r="S2703">
        <v>0.77761840000000004</v>
      </c>
      <c r="T2703">
        <v>-0.1469017</v>
      </c>
      <c r="U2703">
        <v>-2.9907680000000001</v>
      </c>
      <c r="V2703">
        <v>-0.13575870000000001</v>
      </c>
      <c r="W2703">
        <v>0.17849770000000001</v>
      </c>
      <c r="X2703">
        <v>0.97452969999999906</v>
      </c>
      <c r="Y2703">
        <v>-0.25496550000000001</v>
      </c>
      <c r="Z2703">
        <v>3.4745119999999997E-2</v>
      </c>
      <c r="AA2703">
        <v>0.96632569999999995</v>
      </c>
      <c r="AB2703">
        <v>26</v>
      </c>
      <c r="AC2703">
        <v>5.9401000000000197</v>
      </c>
      <c r="AD2703">
        <v>-1.1221701252109999</v>
      </c>
      <c r="AE2703">
        <v>-22.6081</v>
      </c>
      <c r="AF2703">
        <v>-6.0097397971783897</v>
      </c>
      <c r="AG2703">
        <v>-1.1221701252109999</v>
      </c>
      <c r="AH2703">
        <v>22.534066417200599</v>
      </c>
      <c r="AI2703">
        <v>92.754777499632993</v>
      </c>
      <c r="AJ2703">
        <v>104.932973016913</v>
      </c>
      <c r="AK2703">
        <v>23.348669930309001</v>
      </c>
      <c r="AL2703">
        <v>79.717732648960407</v>
      </c>
      <c r="AM2703">
        <v>97.930657714327893</v>
      </c>
      <c r="AN2703">
        <v>0.99999999485653401</v>
      </c>
    </row>
    <row r="2704" spans="1:40" x14ac:dyDescent="0.25">
      <c r="A2704" t="str">
        <f>"20190303162831545"</f>
        <v>20190303162831545</v>
      </c>
      <c r="B2704" t="str">
        <f>"1551601711533820"</f>
        <v>1551601711533820</v>
      </c>
      <c r="C2704" t="s">
        <v>40</v>
      </c>
      <c r="D2704">
        <v>4.4080640000000004</v>
      </c>
      <c r="E2704">
        <v>0.44626709999999897</v>
      </c>
      <c r="F2704" t="s">
        <v>47</v>
      </c>
      <c r="G2704">
        <v>-487.02629999999999</v>
      </c>
      <c r="H2704" s="1">
        <v>2.9754739999999998E-6</v>
      </c>
      <c r="I2704">
        <v>218.7124</v>
      </c>
      <c r="J2704">
        <v>-492.79480000000001</v>
      </c>
      <c r="K2704">
        <v>1.122144</v>
      </c>
      <c r="L2704">
        <v>239.46690000000001</v>
      </c>
      <c r="M2704">
        <v>-2.5669859999999998E-3</v>
      </c>
      <c r="N2704">
        <v>-1.254889E-2</v>
      </c>
      <c r="O2704">
        <v>-0.99991819999999998</v>
      </c>
      <c r="P2704">
        <v>0.13568079999999999</v>
      </c>
      <c r="Q2704">
        <v>0.16701189999999999</v>
      </c>
      <c r="R2704">
        <v>-0.97657470000000002</v>
      </c>
      <c r="S2704">
        <v>0.82043459999999901</v>
      </c>
      <c r="T2704">
        <v>-0.1595907</v>
      </c>
      <c r="U2704">
        <v>-2.98645</v>
      </c>
      <c r="V2704">
        <v>-0.1385316</v>
      </c>
      <c r="W2704">
        <v>0.17898320000000001</v>
      </c>
      <c r="X2704">
        <v>0.97405030000000004</v>
      </c>
      <c r="Y2704">
        <v>-0.26707309999999901</v>
      </c>
      <c r="Z2704">
        <v>3.8902569999999997E-2</v>
      </c>
      <c r="AA2704">
        <v>0.96289069999999999</v>
      </c>
      <c r="AB2704">
        <v>26</v>
      </c>
      <c r="AC2704">
        <v>5.7685000000000102</v>
      </c>
      <c r="AD2704">
        <v>-1.122141024526</v>
      </c>
      <c r="AE2704">
        <v>-20.7545</v>
      </c>
      <c r="AF2704">
        <v>-5.8060062237803196</v>
      </c>
      <c r="AG2704">
        <v>-1.122141024526</v>
      </c>
      <c r="AH2704">
        <v>20.683495047739601</v>
      </c>
      <c r="AI2704">
        <v>92.990073500105296</v>
      </c>
      <c r="AJ2704">
        <v>105.679813967153</v>
      </c>
      <c r="AK2704">
        <v>21.512226201380699</v>
      </c>
      <c r="AL2704">
        <v>79.689460190104697</v>
      </c>
      <c r="AM2704">
        <v>98.094448584771499</v>
      </c>
      <c r="AN2704">
        <v>0.99999998850544403</v>
      </c>
    </row>
    <row r="2705" spans="1:40" x14ac:dyDescent="0.25">
      <c r="A2705" t="str">
        <f>"20190303162831567"</f>
        <v>20190303162831567</v>
      </c>
      <c r="B2705" t="str">
        <f>"1551601711554317"</f>
        <v>1551601711554317</v>
      </c>
      <c r="C2705" t="s">
        <v>40</v>
      </c>
      <c r="D2705">
        <v>4.4198529999999998</v>
      </c>
      <c r="E2705">
        <v>0.44603670000000001</v>
      </c>
      <c r="F2705" t="s">
        <v>47</v>
      </c>
      <c r="G2705">
        <v>-486.92009999999999</v>
      </c>
      <c r="H2705" s="1">
        <v>2.9489210000000002E-6</v>
      </c>
      <c r="I2705">
        <v>218.536</v>
      </c>
      <c r="J2705">
        <v>-492.79419999999999</v>
      </c>
      <c r="K2705">
        <v>1.122107</v>
      </c>
      <c r="L2705">
        <v>239.22139999999999</v>
      </c>
      <c r="M2705">
        <v>-1.4379970000000001E-3</v>
      </c>
      <c r="N2705">
        <v>-1.236024E-2</v>
      </c>
      <c r="O2705">
        <v>-0.99992270000000005</v>
      </c>
      <c r="P2705">
        <v>0.13949129999999901</v>
      </c>
      <c r="Q2705">
        <v>0.16743160000000001</v>
      </c>
      <c r="R2705">
        <v>-0.97596559999999999</v>
      </c>
      <c r="S2705">
        <v>0.83724979999999904</v>
      </c>
      <c r="T2705">
        <v>-0.15992429999999999</v>
      </c>
      <c r="U2705">
        <v>-2.9830019999999999</v>
      </c>
      <c r="V2705">
        <v>-0.14123810000000001</v>
      </c>
      <c r="W2705">
        <v>0.17920990000000001</v>
      </c>
      <c r="X2705">
        <v>0.97361989999999998</v>
      </c>
      <c r="Y2705">
        <v>-0.2713026</v>
      </c>
      <c r="Z2705">
        <v>3.918862E-2</v>
      </c>
      <c r="AA2705">
        <v>0.961696</v>
      </c>
      <c r="AB2705">
        <v>26</v>
      </c>
      <c r="AC2705">
        <v>5.8740999999999897</v>
      </c>
      <c r="AD2705">
        <v>-1.1221040510789999</v>
      </c>
      <c r="AE2705">
        <v>-20.685400000000001</v>
      </c>
      <c r="AF2705">
        <v>-5.8878088865606104</v>
      </c>
      <c r="AG2705">
        <v>-1.1221040510789999</v>
      </c>
      <c r="AH2705">
        <v>20.620779427976402</v>
      </c>
      <c r="AI2705">
        <v>92.995272077414896</v>
      </c>
      <c r="AJ2705">
        <v>105.935524943228</v>
      </c>
      <c r="AK2705">
        <v>21.474216055618001</v>
      </c>
      <c r="AL2705">
        <v>79.676258409152197</v>
      </c>
      <c r="AM2705">
        <v>98.254030651243198</v>
      </c>
      <c r="AN2705">
        <v>1.0000000494128101</v>
      </c>
    </row>
    <row r="2706" spans="1:40" x14ac:dyDescent="0.25">
      <c r="A2706" t="str">
        <f>"20190303162831578"</f>
        <v>20190303162831578</v>
      </c>
      <c r="B2706" t="str">
        <f>"1551601711564076"</f>
        <v>1551601711564076</v>
      </c>
      <c r="C2706" t="s">
        <v>40</v>
      </c>
      <c r="D2706">
        <v>4.4045809999999896</v>
      </c>
      <c r="E2706">
        <v>0.44605820000000002</v>
      </c>
      <c r="F2706" t="s">
        <v>47</v>
      </c>
      <c r="G2706">
        <v>-486.94630000000001</v>
      </c>
      <c r="H2706" s="1">
        <v>2.961716E-6</v>
      </c>
      <c r="I2706">
        <v>218.72239999999999</v>
      </c>
      <c r="J2706">
        <v>-492.7937</v>
      </c>
      <c r="K2706">
        <v>1.1220870000000001</v>
      </c>
      <c r="L2706">
        <v>239.0778</v>
      </c>
      <c r="M2706">
        <v>-7.7891709999999999E-4</v>
      </c>
      <c r="N2706">
        <v>-1.2246669999999999E-2</v>
      </c>
      <c r="O2706">
        <v>-0.99992510000000001</v>
      </c>
      <c r="P2706">
        <v>0.1416828</v>
      </c>
      <c r="Q2706">
        <v>0.16804269999999999</v>
      </c>
      <c r="R2706">
        <v>-0.97554529999999995</v>
      </c>
      <c r="S2706">
        <v>0.85021970000000002</v>
      </c>
      <c r="T2706">
        <v>-0.16314100000000001</v>
      </c>
      <c r="U2706">
        <v>-2.9803160000000002</v>
      </c>
      <c r="V2706">
        <v>-0.1427861</v>
      </c>
      <c r="W2706">
        <v>0.179703799999999</v>
      </c>
      <c r="X2706">
        <v>0.97330300000000003</v>
      </c>
      <c r="Y2706">
        <v>-0.27475229999999901</v>
      </c>
      <c r="Z2706">
        <v>4.0326349999999997E-2</v>
      </c>
      <c r="AA2706">
        <v>0.960669</v>
      </c>
      <c r="AB2706">
        <v>26</v>
      </c>
      <c r="AC2706">
        <v>5.8473999999999897</v>
      </c>
      <c r="AD2706">
        <v>-1.1220840382840001</v>
      </c>
      <c r="AE2706">
        <v>-20.355399999999999</v>
      </c>
      <c r="AF2706">
        <v>-5.8468420160103101</v>
      </c>
      <c r="AG2706">
        <v>-1.1220840382840001</v>
      </c>
      <c r="AH2706">
        <v>20.293872291757001</v>
      </c>
      <c r="AI2706">
        <v>93.041300830443504</v>
      </c>
      <c r="AJ2706">
        <v>106.072153627397</v>
      </c>
      <c r="AK2706">
        <v>21.1491344206636</v>
      </c>
      <c r="AL2706">
        <v>79.647492818718206</v>
      </c>
      <c r="AM2706">
        <v>98.345908159814897</v>
      </c>
      <c r="AN2706">
        <v>1.0000000279483201</v>
      </c>
    </row>
    <row r="2707" spans="1:40" x14ac:dyDescent="0.25">
      <c r="A2707" t="str">
        <f>"20190303162831601"</f>
        <v>20190303162831601</v>
      </c>
      <c r="B2707" t="str">
        <f>"1551601711594331"</f>
        <v>1551601711594331</v>
      </c>
      <c r="C2707" t="s">
        <v>40</v>
      </c>
      <c r="D2707">
        <v>4.4700059999999997</v>
      </c>
      <c r="E2707">
        <v>0.44621080000000002</v>
      </c>
      <c r="F2707" t="s">
        <v>47</v>
      </c>
      <c r="G2707">
        <v>-486.88249999999999</v>
      </c>
      <c r="H2707" s="1">
        <v>2.9422700000000002E-6</v>
      </c>
      <c r="I2707">
        <v>218.53630000000001</v>
      </c>
      <c r="J2707">
        <v>-492.79259999999999</v>
      </c>
      <c r="K2707">
        <v>1.1220570000000001</v>
      </c>
      <c r="L2707">
        <v>238.81880000000001</v>
      </c>
      <c r="M2707">
        <v>4.0497690000000002E-4</v>
      </c>
      <c r="N2707">
        <v>-1.2026719999999999E-2</v>
      </c>
      <c r="O2707">
        <v>-0.99992760000000003</v>
      </c>
      <c r="P2707">
        <v>0.14585290000000001</v>
      </c>
      <c r="Q2707">
        <v>0.16962089999999999</v>
      </c>
      <c r="R2707">
        <v>-0.97465679999999999</v>
      </c>
      <c r="S2707">
        <v>0.85717770000000004</v>
      </c>
      <c r="T2707">
        <v>-0.16271260000000001</v>
      </c>
      <c r="U2707">
        <v>-2.9786990000000002</v>
      </c>
      <c r="V2707">
        <v>-0.14580389999999999</v>
      </c>
      <c r="W2707">
        <v>0.18105360000000001</v>
      </c>
      <c r="X2707">
        <v>0.97260519999999995</v>
      </c>
      <c r="Y2707">
        <v>-0.27582630000000002</v>
      </c>
      <c r="Z2707">
        <v>4.0413039999999997E-2</v>
      </c>
      <c r="AA2707">
        <v>0.96035749999999998</v>
      </c>
      <c r="AB2707">
        <v>26</v>
      </c>
      <c r="AC2707">
        <v>5.9100999999999999</v>
      </c>
      <c r="AD2707">
        <v>-1.12205405772999</v>
      </c>
      <c r="AE2707">
        <v>-20.282499999999999</v>
      </c>
      <c r="AF2707">
        <v>-5.8852830241100698</v>
      </c>
      <c r="AG2707">
        <v>-1.12205405772999</v>
      </c>
      <c r="AH2707">
        <v>20.227830731964801</v>
      </c>
      <c r="AI2707">
        <v>93.048819839077694</v>
      </c>
      <c r="AJ2707">
        <v>106.22234340523499</v>
      </c>
      <c r="AK2707">
        <v>21.096461734219002</v>
      </c>
      <c r="AL2707">
        <v>79.568865275080498</v>
      </c>
      <c r="AM2707">
        <v>98.525760101129805</v>
      </c>
      <c r="AN2707">
        <v>1.0000000291975999</v>
      </c>
    </row>
    <row r="2708" spans="1:40" x14ac:dyDescent="0.25">
      <c r="A2708" t="str">
        <f>"20190303162831614"</f>
        <v>20190303162831614</v>
      </c>
      <c r="B2708" t="str">
        <f>"1551601711604093"</f>
        <v>1551601711604093</v>
      </c>
      <c r="C2708" t="s">
        <v>40</v>
      </c>
      <c r="D2708">
        <v>4.4903740000000001</v>
      </c>
      <c r="E2708">
        <v>0.44625150000000002</v>
      </c>
      <c r="F2708" t="s">
        <v>47</v>
      </c>
      <c r="G2708">
        <v>-486.73950000000002</v>
      </c>
      <c r="H2708" s="1">
        <v>2.8978570000000001E-6</v>
      </c>
      <c r="I2708">
        <v>218.10069999999999</v>
      </c>
      <c r="J2708">
        <v>-492.79180000000002</v>
      </c>
      <c r="K2708">
        <v>1.122039</v>
      </c>
      <c r="L2708">
        <v>238.67009999999999</v>
      </c>
      <c r="M2708">
        <v>1.0817890000000001E-3</v>
      </c>
      <c r="N2708">
        <v>-1.1884479999999999E-2</v>
      </c>
      <c r="O2708">
        <v>-0.99992879999999995</v>
      </c>
      <c r="P2708">
        <v>0.1479924</v>
      </c>
      <c r="Q2708">
        <v>0.1698943</v>
      </c>
      <c r="R2708">
        <v>-0.9742866</v>
      </c>
      <c r="S2708">
        <v>0.86947629999999998</v>
      </c>
      <c r="T2708">
        <v>-0.1611727</v>
      </c>
      <c r="U2708">
        <v>-2.9759669999999998</v>
      </c>
      <c r="V2708">
        <v>-0.14728429999999901</v>
      </c>
      <c r="W2708">
        <v>0.18118210000000001</v>
      </c>
      <c r="X2708">
        <v>0.97235819999999995</v>
      </c>
      <c r="Y2708">
        <v>-0.2790743</v>
      </c>
      <c r="Z2708">
        <v>4.0052879999999999E-2</v>
      </c>
      <c r="AA2708">
        <v>0.95943389999999995</v>
      </c>
      <c r="AB2708">
        <v>26</v>
      </c>
      <c r="AC2708">
        <v>6.0522999999999998</v>
      </c>
      <c r="AD2708">
        <v>-1.1220361021430001</v>
      </c>
      <c r="AE2708">
        <v>-20.569400000000002</v>
      </c>
      <c r="AF2708">
        <v>-6.0135750536266199</v>
      </c>
      <c r="AG2708">
        <v>-1.1220361021430001</v>
      </c>
      <c r="AH2708">
        <v>20.519742737849999</v>
      </c>
      <c r="AI2708">
        <v>93.003774511722398</v>
      </c>
      <c r="AJ2708">
        <v>106.333902750711</v>
      </c>
      <c r="AK2708">
        <v>21.412190265539401</v>
      </c>
      <c r="AL2708">
        <v>79.561379107941704</v>
      </c>
      <c r="AM2708">
        <v>98.613188554399699</v>
      </c>
      <c r="AN2708">
        <v>1.00000004374706</v>
      </c>
    </row>
    <row r="2709" spans="1:40" x14ac:dyDescent="0.25">
      <c r="A2709" t="str">
        <f>"20190303162831633"</f>
        <v>20190303162831633</v>
      </c>
      <c r="B2709" t="str">
        <f>"1551601711624588"</f>
        <v>1551601711624588</v>
      </c>
      <c r="C2709" t="s">
        <v>40</v>
      </c>
      <c r="D2709">
        <v>4.4936949999999998</v>
      </c>
      <c r="E2709">
        <v>0.44653379999999998</v>
      </c>
      <c r="F2709" t="s">
        <v>47</v>
      </c>
      <c r="G2709">
        <v>-486.74619999999999</v>
      </c>
      <c r="H2709" s="1">
        <v>2.9001929999999998E-6</v>
      </c>
      <c r="I2709">
        <v>218.1268</v>
      </c>
      <c r="J2709">
        <v>-492.79050000000001</v>
      </c>
      <c r="K2709">
        <v>1.1220079999999999</v>
      </c>
      <c r="L2709">
        <v>238.45070000000001</v>
      </c>
      <c r="M2709">
        <v>2.0771980000000002E-3</v>
      </c>
      <c r="N2709">
        <v>-1.166185E-2</v>
      </c>
      <c r="O2709">
        <v>-0.99992999999999999</v>
      </c>
      <c r="P2709">
        <v>0.15283350000000001</v>
      </c>
      <c r="Q2709">
        <v>0.1703355</v>
      </c>
      <c r="R2709">
        <v>-0.97346180000000004</v>
      </c>
      <c r="S2709">
        <v>0.87536619999999998</v>
      </c>
      <c r="T2709">
        <v>-0.16246469999999999</v>
      </c>
      <c r="U2709">
        <v>-2.974548</v>
      </c>
      <c r="V2709">
        <v>-0.151158399999999</v>
      </c>
      <c r="W2709">
        <v>0.18139130000000001</v>
      </c>
      <c r="X2709">
        <v>0.97172440000000004</v>
      </c>
      <c r="Y2709">
        <v>-0.27998469999999998</v>
      </c>
      <c r="Z2709">
        <v>4.0694710000000002E-2</v>
      </c>
      <c r="AA2709">
        <v>0.95914160000000004</v>
      </c>
      <c r="AB2709">
        <v>26</v>
      </c>
      <c r="AC2709">
        <v>6.0443000000000202</v>
      </c>
      <c r="AD2709">
        <v>-1.1220050998069999</v>
      </c>
      <c r="AE2709">
        <v>-20.323899999999998</v>
      </c>
      <c r="AF2709">
        <v>-5.9853080555217302</v>
      </c>
      <c r="AG2709">
        <v>-1.1220050998069999</v>
      </c>
      <c r="AH2709">
        <v>20.2796278548396</v>
      </c>
      <c r="AI2709">
        <v>93.037485462367897</v>
      </c>
      <c r="AJ2709">
        <v>106.44338279426201</v>
      </c>
      <c r="AK2709">
        <v>21.174185082176699</v>
      </c>
      <c r="AL2709">
        <v>79.549190282316204</v>
      </c>
      <c r="AM2709">
        <v>98.841887737971405</v>
      </c>
      <c r="AN2709">
        <v>0.99999998758080499</v>
      </c>
    </row>
    <row r="2710" spans="1:40" x14ac:dyDescent="0.25">
      <c r="A2710" t="str">
        <f>"20190303162831648"</f>
        <v>20190303162831648</v>
      </c>
      <c r="B2710" t="str">
        <f>"1551601711634348"</f>
        <v>1551601711634348</v>
      </c>
      <c r="C2710" t="s">
        <v>40</v>
      </c>
      <c r="D2710">
        <v>4.5246199999999996</v>
      </c>
      <c r="E2710">
        <v>0.44665749999999999</v>
      </c>
      <c r="F2710" t="s">
        <v>47</v>
      </c>
      <c r="G2710">
        <v>-486.77749999999997</v>
      </c>
      <c r="H2710" s="1">
        <v>2.9135160000000002E-6</v>
      </c>
      <c r="I2710">
        <v>218.3047</v>
      </c>
      <c r="J2710">
        <v>-492.7894</v>
      </c>
      <c r="K2710">
        <v>1.121988</v>
      </c>
      <c r="L2710">
        <v>238.29310000000001</v>
      </c>
      <c r="M2710">
        <v>2.7912980000000002E-3</v>
      </c>
      <c r="N2710">
        <v>-1.1494519999999999E-2</v>
      </c>
      <c r="O2710">
        <v>-0.99992999999999999</v>
      </c>
      <c r="P2710">
        <v>0.155438299999999</v>
      </c>
      <c r="Q2710">
        <v>0.17051340000000001</v>
      </c>
      <c r="R2710">
        <v>-0.97301789999999999</v>
      </c>
      <c r="S2710">
        <v>0.88690190000000002</v>
      </c>
      <c r="T2710">
        <v>-0.1654929</v>
      </c>
      <c r="U2710">
        <v>-2.9714809999999998</v>
      </c>
      <c r="V2710">
        <v>-0.1530697</v>
      </c>
      <c r="W2710">
        <v>0.1813988</v>
      </c>
      <c r="X2710">
        <v>0.9714237</v>
      </c>
      <c r="Y2710">
        <v>-0.28297410000000001</v>
      </c>
      <c r="Z2710">
        <v>4.1836249999999998E-2</v>
      </c>
      <c r="AA2710">
        <v>0.95821469999999997</v>
      </c>
      <c r="AB2710">
        <v>26</v>
      </c>
      <c r="AC2710">
        <v>6.0119000000000202</v>
      </c>
      <c r="AD2710">
        <v>-1.121985086484</v>
      </c>
      <c r="AE2710">
        <v>-19.988399999999999</v>
      </c>
      <c r="AF2710">
        <v>-5.9389194013984801</v>
      </c>
      <c r="AG2710">
        <v>-1.121985086484</v>
      </c>
      <c r="AH2710">
        <v>19.947468047870998</v>
      </c>
      <c r="AI2710">
        <v>93.0857392915118</v>
      </c>
      <c r="AJ2710">
        <v>106.57974118240701</v>
      </c>
      <c r="AK2710">
        <v>20.8430107160994</v>
      </c>
      <c r="AL2710">
        <v>79.548752720104105</v>
      </c>
      <c r="AM2710">
        <v>98.954614251924397</v>
      </c>
      <c r="AN2710">
        <v>0.99999993131060705</v>
      </c>
    </row>
    <row r="2711" spans="1:40" x14ac:dyDescent="0.25">
      <c r="A2711" t="str">
        <f>"20190303162831660"</f>
        <v>20190303162831660</v>
      </c>
      <c r="B2711" t="str">
        <f>"1551601711653869"</f>
        <v>1551601711653869</v>
      </c>
      <c r="C2711" t="s">
        <v>40</v>
      </c>
      <c r="D2711">
        <v>4.5074730000000001</v>
      </c>
      <c r="E2711">
        <v>0.447075</v>
      </c>
      <c r="F2711" t="s">
        <v>47</v>
      </c>
      <c r="G2711">
        <v>-486.81529999999998</v>
      </c>
      <c r="H2711" s="1">
        <v>2.9254029999999998E-6</v>
      </c>
      <c r="I2711">
        <v>218.42330000000001</v>
      </c>
      <c r="J2711">
        <v>-492.78820000000002</v>
      </c>
      <c r="K2711">
        <v>1.1219650000000001</v>
      </c>
      <c r="L2711">
        <v>238.1335</v>
      </c>
      <c r="M2711">
        <v>3.5136080000000001E-3</v>
      </c>
      <c r="N2711">
        <v>-1.132187E-2</v>
      </c>
      <c r="O2711">
        <v>-0.99992979999999998</v>
      </c>
      <c r="P2711">
        <v>0.15794250000000001</v>
      </c>
      <c r="Q2711">
        <v>0.17015060000000001</v>
      </c>
      <c r="R2711">
        <v>-0.9726785</v>
      </c>
      <c r="S2711">
        <v>0.89294430000000002</v>
      </c>
      <c r="T2711">
        <v>-0.1677022</v>
      </c>
      <c r="U2711">
        <v>-2.9699249999999999</v>
      </c>
      <c r="V2711">
        <v>-0.1548717</v>
      </c>
      <c r="W2711">
        <v>0.18086140000000001</v>
      </c>
      <c r="X2711">
        <v>0.97123839999999995</v>
      </c>
      <c r="Y2711">
        <v>-0.28419709999999998</v>
      </c>
      <c r="Z2711">
        <v>4.2721380000000003E-2</v>
      </c>
      <c r="AA2711">
        <v>0.95781360000000004</v>
      </c>
      <c r="AB2711">
        <v>26</v>
      </c>
      <c r="AC2711">
        <v>5.9729000000000303</v>
      </c>
      <c r="AD2711">
        <v>-1.12196207459699</v>
      </c>
      <c r="AE2711">
        <v>-19.710199999999901</v>
      </c>
      <c r="AF2711">
        <v>-5.8861365302365298</v>
      </c>
      <c r="AG2711">
        <v>-1.12196207459699</v>
      </c>
      <c r="AH2711">
        <v>19.672683609691202</v>
      </c>
      <c r="AI2711">
        <v>93.127428832730999</v>
      </c>
      <c r="AJ2711">
        <v>106.657369067799</v>
      </c>
      <c r="AK2711">
        <v>20.5650159872642</v>
      </c>
      <c r="AL2711">
        <v>79.580062697318397</v>
      </c>
      <c r="AM2711">
        <v>99.059993311070798</v>
      </c>
      <c r="AN2711">
        <v>1.0000000595527001</v>
      </c>
    </row>
    <row r="2712" spans="1:40" x14ac:dyDescent="0.25">
      <c r="A2712" t="str">
        <f>"20190303162831677"</f>
        <v>20190303162831677</v>
      </c>
      <c r="B2712" t="str">
        <f>"1551601711664604"</f>
        <v>1551601711664604</v>
      </c>
      <c r="C2712" t="s">
        <v>40</v>
      </c>
      <c r="D2712">
        <v>4.5776919999999999</v>
      </c>
      <c r="E2712">
        <v>0.44738790000000001</v>
      </c>
      <c r="F2712" t="s">
        <v>47</v>
      </c>
      <c r="G2712">
        <v>-486.91120000000001</v>
      </c>
      <c r="H2712" s="1">
        <v>2.9537970000000001E-6</v>
      </c>
      <c r="I2712">
        <v>218.68340000000001</v>
      </c>
      <c r="J2712">
        <v>-492.78660000000002</v>
      </c>
      <c r="K2712">
        <v>1.1219349999999999</v>
      </c>
      <c r="L2712">
        <v>237.9435</v>
      </c>
      <c r="M2712">
        <v>4.3739549999999997E-3</v>
      </c>
      <c r="N2712">
        <v>-1.111647E-2</v>
      </c>
      <c r="O2712">
        <v>-0.99992859999999995</v>
      </c>
      <c r="P2712">
        <v>0.16155149999999999</v>
      </c>
      <c r="Q2712">
        <v>0.17004530000000001</v>
      </c>
      <c r="R2712">
        <v>-0.97210370000000002</v>
      </c>
      <c r="S2712">
        <v>0.89697269999999896</v>
      </c>
      <c r="T2712">
        <v>-0.17123929999999901</v>
      </c>
      <c r="U2712">
        <v>-2.9685670000000002</v>
      </c>
      <c r="V2712">
        <v>-0.15764610000000001</v>
      </c>
      <c r="W2712">
        <v>0.18054529999999999</v>
      </c>
      <c r="X2712">
        <v>0.97085069999999996</v>
      </c>
      <c r="Y2712">
        <v>-0.28466780000000003</v>
      </c>
      <c r="Z2712">
        <v>4.407378E-2</v>
      </c>
      <c r="AA2712">
        <v>0.95761249999999998</v>
      </c>
      <c r="AB2712">
        <v>26</v>
      </c>
      <c r="AC2712">
        <v>5.8754000000000097</v>
      </c>
      <c r="AD2712">
        <v>-1.121932046203</v>
      </c>
      <c r="AE2712">
        <v>-19.260099999999898</v>
      </c>
      <c r="AF2712">
        <v>-5.7731737441486999</v>
      </c>
      <c r="AG2712">
        <v>-1.121932046203</v>
      </c>
      <c r="AH2712">
        <v>19.225931795389201</v>
      </c>
      <c r="AI2712">
        <v>93.198920178196801</v>
      </c>
      <c r="AJ2712">
        <v>106.713991200108</v>
      </c>
      <c r="AK2712">
        <v>20.1053405839688</v>
      </c>
      <c r="AL2712">
        <v>79.598476303467095</v>
      </c>
      <c r="AM2712">
        <v>99.223150899819601</v>
      </c>
      <c r="AN2712">
        <v>0.99999998994389405</v>
      </c>
    </row>
    <row r="2713" spans="1:40" x14ac:dyDescent="0.25">
      <c r="A2713" t="str">
        <f>"20190303162831691"</f>
        <v>20190303162831691</v>
      </c>
      <c r="B2713" t="str">
        <f>"1551601711684124"</f>
        <v>1551601711684124</v>
      </c>
      <c r="C2713" t="s">
        <v>40</v>
      </c>
      <c r="D2713">
        <v>4.5671949999999999</v>
      </c>
      <c r="E2713">
        <v>0.44797209999999898</v>
      </c>
      <c r="F2713" t="s">
        <v>47</v>
      </c>
      <c r="G2713">
        <v>-486.8716</v>
      </c>
      <c r="H2713" s="1">
        <v>2.941043E-6</v>
      </c>
      <c r="I2713">
        <v>218.5523</v>
      </c>
      <c r="J2713">
        <v>-492.78500000000003</v>
      </c>
      <c r="K2713">
        <v>1.1219170000000001</v>
      </c>
      <c r="L2713">
        <v>237.77119999999999</v>
      </c>
      <c r="M2713">
        <v>5.1535620000000004E-3</v>
      </c>
      <c r="N2713">
        <v>-1.093297E-2</v>
      </c>
      <c r="O2713">
        <v>-0.99992689999999995</v>
      </c>
      <c r="P2713">
        <v>0.1634101</v>
      </c>
      <c r="Q2713">
        <v>0.17005629999999999</v>
      </c>
      <c r="R2713">
        <v>-0.97179110000000002</v>
      </c>
      <c r="S2713">
        <v>0.90466310000000005</v>
      </c>
      <c r="T2713">
        <v>-0.1715932</v>
      </c>
      <c r="U2713">
        <v>-2.9657589999999998</v>
      </c>
      <c r="V2713">
        <v>-0.15874829999999901</v>
      </c>
      <c r="W2713">
        <v>0.1803736</v>
      </c>
      <c r="X2713">
        <v>0.97070299999999998</v>
      </c>
      <c r="Y2713">
        <v>-0.28644150000000002</v>
      </c>
      <c r="Z2713">
        <v>4.4386450000000001E-2</v>
      </c>
      <c r="AA2713">
        <v>0.95706899999999995</v>
      </c>
      <c r="AB2713">
        <v>26</v>
      </c>
      <c r="AC2713">
        <v>5.9134000000000198</v>
      </c>
      <c r="AD2713">
        <v>-1.121914058957</v>
      </c>
      <c r="AE2713">
        <v>-19.218899999999898</v>
      </c>
      <c r="AF2713">
        <v>-5.7962261196376499</v>
      </c>
      <c r="AG2713">
        <v>-1.121914058957</v>
      </c>
      <c r="AH2713">
        <v>19.189385178434499</v>
      </c>
      <c r="AI2713">
        <v>93.203383073770894</v>
      </c>
      <c r="AJ2713">
        <v>106.807139357178</v>
      </c>
      <c r="AK2713">
        <v>20.077037428664099</v>
      </c>
      <c r="AL2713">
        <v>79.608478157133803</v>
      </c>
      <c r="AM2713">
        <v>99.287904333074394</v>
      </c>
      <c r="AN2713">
        <v>0.99999998626942399</v>
      </c>
    </row>
    <row r="2714" spans="1:40" x14ac:dyDescent="0.25">
      <c r="A2714" t="str">
        <f>"20190303162831713"</f>
        <v>20190303162831713</v>
      </c>
      <c r="B2714" t="str">
        <f>"1551601711704620"</f>
        <v>1551601711704620</v>
      </c>
      <c r="C2714" t="s">
        <v>40</v>
      </c>
      <c r="D2714">
        <v>4.6335959999999998</v>
      </c>
      <c r="E2714">
        <v>0.4482331</v>
      </c>
      <c r="F2714" t="s">
        <v>47</v>
      </c>
      <c r="G2714">
        <v>-486.86579999999998</v>
      </c>
      <c r="H2714" s="1">
        <v>2.932727E-6</v>
      </c>
      <c r="I2714">
        <v>218.38579999999999</v>
      </c>
      <c r="J2714">
        <v>-492.78250000000003</v>
      </c>
      <c r="K2714">
        <v>1.1218900000000001</v>
      </c>
      <c r="L2714">
        <v>237.52709999999999</v>
      </c>
      <c r="M2714">
        <v>6.2586259999999998E-3</v>
      </c>
      <c r="N2714">
        <v>-1.0681909999999999E-2</v>
      </c>
      <c r="O2714">
        <v>-0.99992340000000002</v>
      </c>
      <c r="P2714">
        <v>0.16718369999999999</v>
      </c>
      <c r="Q2714">
        <v>0.170532399999999</v>
      </c>
      <c r="R2714">
        <v>-0.97106530000000002</v>
      </c>
      <c r="S2714">
        <v>0.905304</v>
      </c>
      <c r="T2714">
        <v>-0.17158909999999999</v>
      </c>
      <c r="U2714">
        <v>-2.9648590000000001</v>
      </c>
      <c r="V2714">
        <v>-0.1614534</v>
      </c>
      <c r="W2714">
        <v>0.18059359999999999</v>
      </c>
      <c r="X2714">
        <v>0.97021590000000002</v>
      </c>
      <c r="Y2714">
        <v>-0.28565249999999998</v>
      </c>
      <c r="Z2714">
        <v>4.4657959999999997E-2</v>
      </c>
      <c r="AA2714">
        <v>0.95729219999999904</v>
      </c>
      <c r="AB2714">
        <v>26</v>
      </c>
      <c r="AC2714">
        <v>5.9167000000000396</v>
      </c>
      <c r="AD2714">
        <v>-1.1218870672729999</v>
      </c>
      <c r="AE2714">
        <v>-19.141300000000001</v>
      </c>
      <c r="AF2714">
        <v>-5.77865931381442</v>
      </c>
      <c r="AG2714">
        <v>-1.1218870672729999</v>
      </c>
      <c r="AH2714">
        <v>19.1180106291167</v>
      </c>
      <c r="AI2714">
        <v>93.215054738831199</v>
      </c>
      <c r="AJ2714">
        <v>106.81810268364499</v>
      </c>
      <c r="AK2714">
        <v>20.0037462609349</v>
      </c>
      <c r="AL2714">
        <v>79.5956635166892</v>
      </c>
      <c r="AM2714">
        <v>99.448000056228494</v>
      </c>
      <c r="AN2714">
        <v>1.0000000706726599</v>
      </c>
    </row>
    <row r="2715" spans="1:40" x14ac:dyDescent="0.25">
      <c r="A2715" t="str">
        <f>"20190303162831735"</f>
        <v>20190303162831735</v>
      </c>
      <c r="B2715" t="str">
        <f>"1551601711724140"</f>
        <v>1551601711724140</v>
      </c>
      <c r="C2715" t="s">
        <v>40</v>
      </c>
      <c r="D2715">
        <v>4.6919449999999996</v>
      </c>
      <c r="E2715">
        <v>0.44886609999999999</v>
      </c>
      <c r="F2715" t="s">
        <v>47</v>
      </c>
      <c r="G2715">
        <v>-486.91039999999998</v>
      </c>
      <c r="H2715" s="1">
        <v>2.9457769999999998E-6</v>
      </c>
      <c r="I2715">
        <v>218.5034</v>
      </c>
      <c r="J2715">
        <v>-492.77960000000002</v>
      </c>
      <c r="K2715">
        <v>1.1218619999999999</v>
      </c>
      <c r="L2715">
        <v>237.25980000000001</v>
      </c>
      <c r="M2715">
        <v>7.469453E-3</v>
      </c>
      <c r="N2715">
        <v>-1.0424070000000001E-2</v>
      </c>
      <c r="O2715">
        <v>-0.99991790000000003</v>
      </c>
      <c r="P2715">
        <v>0.1712611</v>
      </c>
      <c r="Q2715">
        <v>0.17055409999999999</v>
      </c>
      <c r="R2715">
        <v>-0.97035119999999997</v>
      </c>
      <c r="S2715">
        <v>0.91448969999999896</v>
      </c>
      <c r="T2715">
        <v>-0.17471529999999999</v>
      </c>
      <c r="U2715">
        <v>-2.962631</v>
      </c>
      <c r="V2715">
        <v>-0.16436029999999999</v>
      </c>
      <c r="W2715">
        <v>0.1803525</v>
      </c>
      <c r="X2715">
        <v>0.96977250000000004</v>
      </c>
      <c r="Y2715">
        <v>-0.2873889</v>
      </c>
      <c r="Z2715">
        <v>4.5922089999999999E-2</v>
      </c>
      <c r="AA2715">
        <v>0.95671249999999997</v>
      </c>
      <c r="AB2715">
        <v>26</v>
      </c>
      <c r="AC2715">
        <v>5.8692000000000304</v>
      </c>
      <c r="AD2715">
        <v>-1.121859054223</v>
      </c>
      <c r="AE2715">
        <v>-18.756399999999999</v>
      </c>
      <c r="AF2715">
        <v>-5.7103219389387299</v>
      </c>
      <c r="AG2715">
        <v>-1.121859054223</v>
      </c>
      <c r="AH2715">
        <v>18.738660226909701</v>
      </c>
      <c r="AI2715">
        <v>93.277671016979895</v>
      </c>
      <c r="AJ2715">
        <v>106.94780339202001</v>
      </c>
      <c r="AK2715">
        <v>19.621511957120799</v>
      </c>
      <c r="AL2715">
        <v>79.609707579222501</v>
      </c>
      <c r="AM2715">
        <v>99.619272919718199</v>
      </c>
      <c r="AN2715">
        <v>1.00000001711429</v>
      </c>
    </row>
    <row r="2716" spans="1:40" x14ac:dyDescent="0.25">
      <c r="A2716" t="str">
        <f>"20190303162831758"</f>
        <v>20190303162831758</v>
      </c>
      <c r="B2716" t="str">
        <f>"1551601711744636"</f>
        <v>1551601711744636</v>
      </c>
      <c r="C2716" t="s">
        <v>40</v>
      </c>
      <c r="D2716">
        <v>4.6476129999999998</v>
      </c>
      <c r="E2716">
        <v>0.44920529999999997</v>
      </c>
      <c r="F2716" t="s">
        <v>47</v>
      </c>
      <c r="G2716">
        <v>-486.92809999999997</v>
      </c>
      <c r="H2716" s="1">
        <v>2.9461820000000002E-6</v>
      </c>
      <c r="I2716">
        <v>218.4408</v>
      </c>
      <c r="J2716">
        <v>-492.77640000000002</v>
      </c>
      <c r="K2716">
        <v>1.1218440000000001</v>
      </c>
      <c r="L2716">
        <v>237.00309999999999</v>
      </c>
      <c r="M2716">
        <v>8.6315899999999997E-3</v>
      </c>
      <c r="N2716">
        <v>-1.0194999999999999E-2</v>
      </c>
      <c r="O2716">
        <v>-0.99991099999999999</v>
      </c>
      <c r="P2716">
        <v>0.17442369999999999</v>
      </c>
      <c r="Q2716">
        <v>0.16980120000000001</v>
      </c>
      <c r="R2716">
        <v>-0.9699198</v>
      </c>
      <c r="S2716">
        <v>0.9204407</v>
      </c>
      <c r="T2716">
        <v>-0.17646899999999999</v>
      </c>
      <c r="U2716">
        <v>-2.9602360000000001</v>
      </c>
      <c r="V2716">
        <v>-0.16639679999999901</v>
      </c>
      <c r="W2716">
        <v>0.17936930000000001</v>
      </c>
      <c r="X2716">
        <v>0.96960749999999996</v>
      </c>
      <c r="Y2716">
        <v>-0.28823870000000001</v>
      </c>
      <c r="Z2716">
        <v>4.673538E-2</v>
      </c>
      <c r="AA2716">
        <v>0.95641739999999997</v>
      </c>
      <c r="AB2716">
        <v>26</v>
      </c>
      <c r="AC2716">
        <v>5.8483000000000498</v>
      </c>
      <c r="AD2716">
        <v>-1.1218410538179999</v>
      </c>
      <c r="AE2716">
        <v>-18.5623</v>
      </c>
      <c r="AF2716">
        <v>-5.6690149787400497</v>
      </c>
      <c r="AG2716">
        <v>-1.1218410538179999</v>
      </c>
      <c r="AH2716">
        <v>18.550452786629599</v>
      </c>
      <c r="AI2716">
        <v>93.310001056803898</v>
      </c>
      <c r="AJ2716">
        <v>106.99314270979799</v>
      </c>
      <c r="AK2716">
        <v>19.4297595653725</v>
      </c>
      <c r="AL2716">
        <v>79.666974233711301</v>
      </c>
      <c r="AM2716">
        <v>99.737817601064094</v>
      </c>
      <c r="AN2716">
        <v>0.99999997244448902</v>
      </c>
    </row>
    <row r="2717" spans="1:40" x14ac:dyDescent="0.25">
      <c r="A2717" t="str">
        <f>"20190303162831778"</f>
        <v>20190303162831778</v>
      </c>
      <c r="B2717" t="str">
        <f>"1551601711765134"</f>
        <v>1551601711765134</v>
      </c>
      <c r="C2717" t="s">
        <v>40</v>
      </c>
      <c r="D2717">
        <v>4.6064220000000002</v>
      </c>
      <c r="E2717">
        <v>0.47643740000000001</v>
      </c>
      <c r="F2717" t="s">
        <v>47</v>
      </c>
      <c r="G2717">
        <v>-486.98149999999998</v>
      </c>
      <c r="H2717" s="1">
        <v>2.9583219999999999E-6</v>
      </c>
      <c r="I2717">
        <v>218.5016</v>
      </c>
      <c r="J2717">
        <v>-492.7731</v>
      </c>
      <c r="K2717">
        <v>1.121821</v>
      </c>
      <c r="L2717">
        <v>236.7628</v>
      </c>
      <c r="M2717">
        <v>9.7196469999999997E-3</v>
      </c>
      <c r="N2717">
        <v>-9.9994679999999992E-3</v>
      </c>
      <c r="O2717">
        <v>-0.99990290000000004</v>
      </c>
      <c r="P2717">
        <v>0.1768496</v>
      </c>
      <c r="Q2717">
        <v>0.16883010000000001</v>
      </c>
      <c r="R2717">
        <v>-0.96964969999999995</v>
      </c>
      <c r="S2717">
        <v>0.92642210000000003</v>
      </c>
      <c r="T2717">
        <v>-0.1793497</v>
      </c>
      <c r="U2717">
        <v>-2.9578549999999999</v>
      </c>
      <c r="V2717">
        <v>-0.1677681</v>
      </c>
      <c r="W2717">
        <v>0.17820349999999999</v>
      </c>
      <c r="X2717">
        <v>0.96958619999999995</v>
      </c>
      <c r="Y2717">
        <v>-0.28916170000000002</v>
      </c>
      <c r="Z2717">
        <v>4.7876589999999997E-2</v>
      </c>
      <c r="AA2717">
        <v>0.95608230000000005</v>
      </c>
      <c r="AB2717">
        <v>26</v>
      </c>
      <c r="AC2717">
        <v>5.7916000000000096</v>
      </c>
      <c r="AD2717">
        <v>-1.1218180416779999</v>
      </c>
      <c r="AE2717">
        <v>-18.261199999999999</v>
      </c>
      <c r="AF2717">
        <v>-5.5946413382445197</v>
      </c>
      <c r="AG2717">
        <v>-1.1218180416779999</v>
      </c>
      <c r="AH2717">
        <v>18.254040092672302</v>
      </c>
      <c r="AI2717">
        <v>93.362724420527897</v>
      </c>
      <c r="AJ2717">
        <v>107.039665294782</v>
      </c>
      <c r="AK2717">
        <v>19.125074303832601</v>
      </c>
      <c r="AL2717">
        <v>79.734863897634995</v>
      </c>
      <c r="AM2717">
        <v>99.816724731568996</v>
      </c>
      <c r="AN2717">
        <v>1.0000000110101499</v>
      </c>
    </row>
    <row r="2718" spans="1:40" x14ac:dyDescent="0.25">
      <c r="A2718" t="str">
        <f>"20190303162831792"</f>
        <v>20190303162831792</v>
      </c>
      <c r="B2718" t="str">
        <f>"1551601711784653"</f>
        <v>1551601711784653</v>
      </c>
      <c r="C2718" t="s">
        <v>40</v>
      </c>
      <c r="D2718">
        <v>4.5703639999999996</v>
      </c>
      <c r="E2718">
        <v>0.48084939999999998</v>
      </c>
      <c r="F2718" t="s">
        <v>47</v>
      </c>
      <c r="G2718">
        <v>-488.04450000000003</v>
      </c>
      <c r="H2718" s="1">
        <v>3.0851750000000001E-6</v>
      </c>
      <c r="I2718">
        <v>217.09020000000001</v>
      </c>
      <c r="J2718">
        <v>-492.77069999999998</v>
      </c>
      <c r="K2718">
        <v>1.1218140000000001</v>
      </c>
      <c r="L2718">
        <v>236.59469999999999</v>
      </c>
      <c r="M2718">
        <v>1.0480430000000001E-2</v>
      </c>
      <c r="N2718">
        <v>-9.8748889999999995E-3</v>
      </c>
      <c r="O2718">
        <v>-0.99989649999999997</v>
      </c>
      <c r="P2718">
        <v>0.17784069999999999</v>
      </c>
      <c r="Q2718">
        <v>0.16839499999999999</v>
      </c>
      <c r="R2718">
        <v>-0.96954410000000002</v>
      </c>
      <c r="S2718">
        <v>0.71926880000000004</v>
      </c>
      <c r="T2718">
        <v>-0.1706387</v>
      </c>
      <c r="U2718">
        <v>-2.9923860000000002</v>
      </c>
      <c r="V2718">
        <v>-0.16802149999999999</v>
      </c>
      <c r="W2718">
        <v>0.17764649999999901</v>
      </c>
      <c r="X2718">
        <v>0.96964450000000002</v>
      </c>
      <c r="Y2718">
        <v>-0.22319249999999999</v>
      </c>
      <c r="Z2718">
        <v>4.5572689999999999E-2</v>
      </c>
      <c r="AA2718">
        <v>0.97370849999999998</v>
      </c>
      <c r="AB2718">
        <v>26</v>
      </c>
      <c r="AC2718">
        <v>4.7261999999999498</v>
      </c>
      <c r="AD2718">
        <v>-1.1218109148249999</v>
      </c>
      <c r="AE2718">
        <v>-19.504499999999901</v>
      </c>
      <c r="AF2718">
        <v>-4.5074311432475396</v>
      </c>
      <c r="AG2718">
        <v>-1.1218109148249999</v>
      </c>
      <c r="AH2718">
        <v>19.492059388523</v>
      </c>
      <c r="AI2718">
        <v>93.209357631131198</v>
      </c>
      <c r="AJ2718">
        <v>103.020467103426</v>
      </c>
      <c r="AK2718">
        <v>20.037858529429901</v>
      </c>
      <c r="AL2718">
        <v>79.767294796078204</v>
      </c>
      <c r="AM2718">
        <v>99.830683403936902</v>
      </c>
      <c r="AN2718">
        <v>0.99999997990237399</v>
      </c>
    </row>
    <row r="2719" spans="1:40" x14ac:dyDescent="0.25">
      <c r="A2719" t="str">
        <f>"20190303162831814"</f>
        <v>20190303162831814</v>
      </c>
      <c r="B2719" t="str">
        <f>"1551601711804173"</f>
        <v>1551601711804173</v>
      </c>
      <c r="C2719" t="s">
        <v>40</v>
      </c>
      <c r="D2719">
        <v>4.5398870000000002</v>
      </c>
      <c r="E2719">
        <v>0.48275679999999999</v>
      </c>
      <c r="F2719" t="s">
        <v>47</v>
      </c>
      <c r="G2719">
        <v>-487.61720000000003</v>
      </c>
      <c r="H2719" s="1">
        <v>2.8807100000000001E-6</v>
      </c>
      <c r="I2719">
        <v>214.1465</v>
      </c>
      <c r="J2719">
        <v>-492.76690000000002</v>
      </c>
      <c r="K2719">
        <v>1.1218030000000001</v>
      </c>
      <c r="L2719">
        <v>236.3449</v>
      </c>
      <c r="M2719">
        <v>1.1611059999999999E-2</v>
      </c>
      <c r="N2719">
        <v>-9.7060589999999995E-3</v>
      </c>
      <c r="O2719">
        <v>-0.99988549999999998</v>
      </c>
      <c r="P2719">
        <v>0.17949660000000001</v>
      </c>
      <c r="Q2719">
        <v>0.1684861</v>
      </c>
      <c r="R2719">
        <v>-0.96922339999999996</v>
      </c>
      <c r="S2719">
        <v>0.68737789999999999</v>
      </c>
      <c r="T2719">
        <v>-0.14962899999999901</v>
      </c>
      <c r="U2719">
        <v>-2.994186</v>
      </c>
      <c r="V2719">
        <v>-0.1685846</v>
      </c>
      <c r="W2719">
        <v>0.17756959999999999</v>
      </c>
      <c r="X2719">
        <v>0.96956089999999995</v>
      </c>
      <c r="Y2719">
        <v>-0.2121885</v>
      </c>
      <c r="Z2719">
        <v>3.9021960000000001E-2</v>
      </c>
      <c r="AA2719">
        <v>0.97644940000000002</v>
      </c>
      <c r="AB2719">
        <v>26</v>
      </c>
      <c r="AC2719">
        <v>5.1496999999999904</v>
      </c>
      <c r="AD2719">
        <v>-1.12180011929</v>
      </c>
      <c r="AE2719">
        <v>-22.1983999999999</v>
      </c>
      <c r="AF2719">
        <v>-4.8797681759529503</v>
      </c>
      <c r="AG2719">
        <v>-1.12180011929</v>
      </c>
      <c r="AH2719">
        <v>22.2028935891469</v>
      </c>
      <c r="AI2719">
        <v>92.825093673662494</v>
      </c>
      <c r="AJ2719">
        <v>102.395434756664</v>
      </c>
      <c r="AK2719">
        <v>22.760471363521098</v>
      </c>
      <c r="AL2719">
        <v>79.771772588184902</v>
      </c>
      <c r="AM2719">
        <v>99.863817298392405</v>
      </c>
      <c r="AN2719">
        <v>1.0000000345050599</v>
      </c>
    </row>
    <row r="2720" spans="1:40" x14ac:dyDescent="0.25">
      <c r="A2720" t="str">
        <f>"20190303162831834"</f>
        <v>20190303162831834</v>
      </c>
      <c r="B2720" t="str">
        <f>"1551601711823692"</f>
        <v>1551601711823692</v>
      </c>
      <c r="C2720" t="s">
        <v>40</v>
      </c>
      <c r="D2720">
        <v>4.5722440000000004</v>
      </c>
      <c r="E2720">
        <v>0.48393770000000003</v>
      </c>
      <c r="F2720" t="s">
        <v>47</v>
      </c>
      <c r="G2720">
        <v>-487.48009999999999</v>
      </c>
      <c r="H2720" s="1">
        <v>2.804829E-6</v>
      </c>
      <c r="I2720">
        <v>212.96680000000001</v>
      </c>
      <c r="J2720">
        <v>-492.7629</v>
      </c>
      <c r="K2720">
        <v>1.121801</v>
      </c>
      <c r="L2720">
        <v>236.10390000000001</v>
      </c>
      <c r="M2720">
        <v>1.270336E-2</v>
      </c>
      <c r="N2720">
        <v>-9.5613790000000001E-3</v>
      </c>
      <c r="O2720">
        <v>-0.99987389999999998</v>
      </c>
      <c r="P2720">
        <v>0.1809142</v>
      </c>
      <c r="Q2720">
        <v>0.1683712</v>
      </c>
      <c r="R2720">
        <v>-0.96897979999999995</v>
      </c>
      <c r="S2720">
        <v>0.67724609999999996</v>
      </c>
      <c r="T2720">
        <v>-0.143706</v>
      </c>
      <c r="U2720">
        <v>-2.994812</v>
      </c>
      <c r="V2720">
        <v>-0.16894579999999901</v>
      </c>
      <c r="W2720">
        <v>0.177311</v>
      </c>
      <c r="X2720">
        <v>0.96954530000000005</v>
      </c>
      <c r="Y2720">
        <v>-0.2079529</v>
      </c>
      <c r="Z2720">
        <v>3.7271310000000002E-2</v>
      </c>
      <c r="AA2720">
        <v>0.97742850000000003</v>
      </c>
      <c r="AB2720">
        <v>26</v>
      </c>
      <c r="AC2720">
        <v>5.2827999999999999</v>
      </c>
      <c r="AD2720">
        <v>-1.1217981951710001</v>
      </c>
      <c r="AE2720">
        <v>-23.1371</v>
      </c>
      <c r="AF2720">
        <v>-4.97732061302146</v>
      </c>
      <c r="AG2720">
        <v>-1.1217981951710001</v>
      </c>
      <c r="AH2720">
        <v>23.150619850359199</v>
      </c>
      <c r="AI2720">
        <v>92.712300858082003</v>
      </c>
      <c r="AJ2720">
        <v>102.133731956525</v>
      </c>
      <c r="AK2720">
        <v>23.706188034590099</v>
      </c>
      <c r="AL2720">
        <v>79.786827636890806</v>
      </c>
      <c r="AM2720">
        <v>99.884690466343798</v>
      </c>
      <c r="AN2720">
        <v>0.99999998140536495</v>
      </c>
    </row>
    <row r="2721" spans="1:40" x14ac:dyDescent="0.25">
      <c r="A2721" t="str">
        <f>"20190303162831849"</f>
        <v>20190303162831849</v>
      </c>
      <c r="B2721" t="str">
        <f>"1551601711834429"</f>
        <v>1551601711834429</v>
      </c>
      <c r="C2721" t="s">
        <v>40</v>
      </c>
      <c r="D2721">
        <v>4.5525580000000003</v>
      </c>
      <c r="E2721">
        <v>0.48421599999999998</v>
      </c>
      <c r="F2721" t="s">
        <v>47</v>
      </c>
      <c r="G2721">
        <v>-487.2319</v>
      </c>
      <c r="H2721" s="1">
        <v>2.6951650000000001E-6</v>
      </c>
      <c r="I2721">
        <v>211.46520000000001</v>
      </c>
      <c r="J2721">
        <v>-492.75990000000002</v>
      </c>
      <c r="K2721">
        <v>1.121801</v>
      </c>
      <c r="L2721">
        <v>235.93450000000001</v>
      </c>
      <c r="M2721">
        <v>1.3472960000000001E-2</v>
      </c>
      <c r="N2721">
        <v>-9.4692289999999991E-3</v>
      </c>
      <c r="O2721">
        <v>-0.99986459999999999</v>
      </c>
      <c r="P2721">
        <v>0.1820002</v>
      </c>
      <c r="Q2721">
        <v>0.16847100000000001</v>
      </c>
      <c r="R2721">
        <v>-0.96875869999999997</v>
      </c>
      <c r="S2721">
        <v>0.67214969999999996</v>
      </c>
      <c r="T2721">
        <v>-0.1363267</v>
      </c>
      <c r="U2721">
        <v>-2.9942169999999999</v>
      </c>
      <c r="V2721">
        <v>-0.1692891</v>
      </c>
      <c r="W2721">
        <v>0.177318</v>
      </c>
      <c r="X2721">
        <v>0.96948420000000002</v>
      </c>
      <c r="Y2721">
        <v>-0.20567959999999999</v>
      </c>
      <c r="Z2721">
        <v>3.4991179999999997E-2</v>
      </c>
      <c r="AA2721">
        <v>0.97799360000000002</v>
      </c>
      <c r="AB2721">
        <v>26</v>
      </c>
      <c r="AC2721">
        <v>5.5280000000000102</v>
      </c>
      <c r="AD2721">
        <v>-1.121798304835</v>
      </c>
      <c r="AE2721">
        <v>-24.4693</v>
      </c>
      <c r="AF2721">
        <v>-5.18743620127682</v>
      </c>
      <c r="AG2721">
        <v>-1.121798304835</v>
      </c>
      <c r="AH2721">
        <v>24.4925825242568</v>
      </c>
      <c r="AI2721">
        <v>92.565570047573502</v>
      </c>
      <c r="AJ2721">
        <v>101.958311923843</v>
      </c>
      <c r="AK2721">
        <v>25.0610160306117</v>
      </c>
      <c r="AL2721">
        <v>79.786420747537306</v>
      </c>
      <c r="AM2721">
        <v>99.904990765255704</v>
      </c>
      <c r="AN2721">
        <v>1.0000000432762199</v>
      </c>
    </row>
    <row r="2722" spans="1:40" x14ac:dyDescent="0.25">
      <c r="A2722" t="str">
        <f>"20190303162831867"</f>
        <v>20190303162831867</v>
      </c>
      <c r="B2722" t="str">
        <f>"1551601711853948"</f>
        <v>1551601711853948</v>
      </c>
      <c r="C2722" t="s">
        <v>40</v>
      </c>
      <c r="D2722">
        <v>4.5434659999999996</v>
      </c>
      <c r="E2722">
        <v>0.4846954</v>
      </c>
      <c r="F2722" t="s">
        <v>47</v>
      </c>
      <c r="G2722">
        <v>-487.18150000000003</v>
      </c>
      <c r="H2722" s="1">
        <v>2.6704049999999998E-6</v>
      </c>
      <c r="I2722">
        <v>211.1036</v>
      </c>
      <c r="J2722">
        <v>-492.7559</v>
      </c>
      <c r="K2722">
        <v>1.121801</v>
      </c>
      <c r="L2722">
        <v>235.71080000000001</v>
      </c>
      <c r="M2722">
        <v>1.4494460000000001E-2</v>
      </c>
      <c r="N2722">
        <v>-9.3595429999999997E-3</v>
      </c>
      <c r="O2722">
        <v>-0.99985119999999905</v>
      </c>
      <c r="P2722">
        <v>0.18370700000000001</v>
      </c>
      <c r="Q2722">
        <v>0.1685904</v>
      </c>
      <c r="R2722">
        <v>-0.9684159</v>
      </c>
      <c r="S2722">
        <v>0.67260739999999997</v>
      </c>
      <c r="T2722">
        <v>-0.13525680000000001</v>
      </c>
      <c r="U2722">
        <v>-2.9938959999999999</v>
      </c>
      <c r="V2722">
        <v>-0.17001189999999999</v>
      </c>
      <c r="W2722">
        <v>0.17732510000000001</v>
      </c>
      <c r="X2722">
        <v>0.96935640000000001</v>
      </c>
      <c r="Y2722">
        <v>-0.20484749999999999</v>
      </c>
      <c r="Z2722">
        <v>3.4760310000000003E-2</v>
      </c>
      <c r="AA2722">
        <v>0.9781765</v>
      </c>
      <c r="AB2722">
        <v>26</v>
      </c>
      <c r="AC2722">
        <v>5.5743999999999598</v>
      </c>
      <c r="AD2722">
        <v>-1.121798329595</v>
      </c>
      <c r="AE2722">
        <v>-24.607199999999999</v>
      </c>
      <c r="AF2722">
        <v>-5.2068376056577197</v>
      </c>
      <c r="AG2722">
        <v>-1.121798329595</v>
      </c>
      <c r="AH2722">
        <v>24.636713455426101</v>
      </c>
      <c r="AI2722">
        <v>92.550813694389902</v>
      </c>
      <c r="AJ2722">
        <v>101.933547870008</v>
      </c>
      <c r="AK2722">
        <v>25.205896913792799</v>
      </c>
      <c r="AL2722">
        <v>79.786007298555205</v>
      </c>
      <c r="AM2722">
        <v>99.947723642081101</v>
      </c>
      <c r="AN2722">
        <v>1.00000003372628</v>
      </c>
    </row>
    <row r="2723" spans="1:40" x14ac:dyDescent="0.25">
      <c r="A2723" t="str">
        <f>"20190303162831892"</f>
        <v>20190303162831892</v>
      </c>
      <c r="B2723" t="str">
        <f>"1551601711883807"</f>
        <v>1551601711883807</v>
      </c>
      <c r="C2723" t="s">
        <v>40</v>
      </c>
      <c r="D2723">
        <v>4.5300330000000004</v>
      </c>
      <c r="E2723">
        <v>0.48517389999999999</v>
      </c>
      <c r="F2723" t="s">
        <v>47</v>
      </c>
      <c r="G2723">
        <v>-487.09530000000001</v>
      </c>
      <c r="H2723" s="1">
        <v>2.6313090000000002E-6</v>
      </c>
      <c r="I2723">
        <v>210.55869999999999</v>
      </c>
      <c r="J2723">
        <v>-492.75009999999997</v>
      </c>
      <c r="K2723">
        <v>1.1218079999999999</v>
      </c>
      <c r="L2723">
        <v>235.41929999999999</v>
      </c>
      <c r="M2723">
        <v>1.5841170000000002E-2</v>
      </c>
      <c r="N2723">
        <v>-9.2357289999999998E-3</v>
      </c>
      <c r="O2723">
        <v>-0.99983200000000005</v>
      </c>
      <c r="P2723">
        <v>0.1858592</v>
      </c>
      <c r="Q2723">
        <v>0.1686674</v>
      </c>
      <c r="R2723">
        <v>-0.96799179999999996</v>
      </c>
      <c r="S2723">
        <v>0.67364499999999905</v>
      </c>
      <c r="T2723">
        <v>-0.13350239999999999</v>
      </c>
      <c r="U2723">
        <v>-2.9932859999999999</v>
      </c>
      <c r="V2723">
        <v>-0.17086860000000001</v>
      </c>
      <c r="W2723">
        <v>0.1772725</v>
      </c>
      <c r="X2723">
        <v>0.9692153</v>
      </c>
      <c r="Y2723">
        <v>-0.20389930000000001</v>
      </c>
      <c r="Z2723">
        <v>3.4324199999999999E-2</v>
      </c>
      <c r="AA2723">
        <v>0.97838999999999998</v>
      </c>
      <c r="AB2723">
        <v>27</v>
      </c>
      <c r="AC2723">
        <v>5.6547999999999599</v>
      </c>
      <c r="AD2723">
        <v>-1.1218053686909999</v>
      </c>
      <c r="AE2723">
        <v>-24.860600000000002</v>
      </c>
      <c r="AF2723">
        <v>-5.2500885011074603</v>
      </c>
      <c r="AG2723">
        <v>-1.1218053686909999</v>
      </c>
      <c r="AH2723">
        <v>24.898858644133401</v>
      </c>
      <c r="AI2723">
        <v>92.524257077984501</v>
      </c>
      <c r="AJ2723">
        <v>101.906777199104</v>
      </c>
      <c r="AK2723">
        <v>25.471062764149</v>
      </c>
      <c r="AL2723">
        <v>79.789068787609196</v>
      </c>
      <c r="AM2723">
        <v>99.998268101379907</v>
      </c>
      <c r="AN2723">
        <v>0.99999995773814898</v>
      </c>
    </row>
    <row r="2724" spans="1:40" x14ac:dyDescent="0.25">
      <c r="A2724" t="str">
        <f>"20190303162831915"</f>
        <v>20190303162831915</v>
      </c>
      <c r="B2724" t="str">
        <f>"1551601711904302"</f>
        <v>1551601711904302</v>
      </c>
      <c r="C2724" t="s">
        <v>40</v>
      </c>
      <c r="D2724">
        <v>4.5508059999999997</v>
      </c>
      <c r="E2724">
        <v>0.485564</v>
      </c>
      <c r="F2724" t="s">
        <v>47</v>
      </c>
      <c r="G2724">
        <v>-486.92</v>
      </c>
      <c r="H2724" s="1">
        <v>2.560656E-6</v>
      </c>
      <c r="I2724">
        <v>209.65389999999999</v>
      </c>
      <c r="J2724">
        <v>-492.74459999999999</v>
      </c>
      <c r="K2724">
        <v>1.1218189999999999</v>
      </c>
      <c r="L2724">
        <v>235.15289999999999</v>
      </c>
      <c r="M2724">
        <v>1.7091820000000001E-2</v>
      </c>
      <c r="N2724">
        <v>-9.1408289999999996E-3</v>
      </c>
      <c r="O2724">
        <v>-0.99981229999999999</v>
      </c>
      <c r="P2724">
        <v>0.18816459999999999</v>
      </c>
      <c r="Q2724">
        <v>0.16894790000000001</v>
      </c>
      <c r="R2724">
        <v>-0.9674973</v>
      </c>
      <c r="S2724">
        <v>0.67700199999999999</v>
      </c>
      <c r="T2724">
        <v>-0.13026499999999999</v>
      </c>
      <c r="U2724">
        <v>-2.9918979999999999</v>
      </c>
      <c r="V2724">
        <v>-0.1719762</v>
      </c>
      <c r="W2724">
        <v>0.17744939999999901</v>
      </c>
      <c r="X2724">
        <v>0.96898700000000004</v>
      </c>
      <c r="Y2724">
        <v>-0.20382529999999999</v>
      </c>
      <c r="Z2724">
        <v>3.337913E-2</v>
      </c>
      <c r="AA2724">
        <v>0.97843809999999998</v>
      </c>
      <c r="AB2724">
        <v>27</v>
      </c>
      <c r="AC2724">
        <v>5.82459999999997</v>
      </c>
      <c r="AD2724">
        <v>-1.121816439344</v>
      </c>
      <c r="AE2724">
        <v>-25.498999999999899</v>
      </c>
      <c r="AF2724">
        <v>-5.3780135921871901</v>
      </c>
      <c r="AG2724">
        <v>-1.121816439344</v>
      </c>
      <c r="AH2724">
        <v>25.547835910939099</v>
      </c>
      <c r="AI2724">
        <v>92.460411859228998</v>
      </c>
      <c r="AJ2724">
        <v>101.887631144523</v>
      </c>
      <c r="AK2724">
        <v>26.131846893275601</v>
      </c>
      <c r="AL2724">
        <v>79.778769850634106</v>
      </c>
      <c r="AM2724">
        <v>100.064080632216</v>
      </c>
      <c r="AN2724">
        <v>0.99999995454789903</v>
      </c>
    </row>
    <row r="2725" spans="1:40" x14ac:dyDescent="0.25">
      <c r="A2725" t="str">
        <f>"20190303162831928"</f>
        <v>20190303162831928</v>
      </c>
      <c r="B2725" t="str">
        <f>"1551601711914061"</f>
        <v>1551601711914061</v>
      </c>
      <c r="C2725" t="s">
        <v>40</v>
      </c>
      <c r="D2725">
        <v>4.5203569999999997</v>
      </c>
      <c r="E2725">
        <v>0.48572979999999999</v>
      </c>
      <c r="F2725" t="s">
        <v>47</v>
      </c>
      <c r="G2725">
        <v>-486.93849999999998</v>
      </c>
      <c r="H2725" s="1">
        <v>2.5627850000000001E-6</v>
      </c>
      <c r="I2725">
        <v>209.62739999999999</v>
      </c>
      <c r="J2725">
        <v>-492.74090000000001</v>
      </c>
      <c r="K2725">
        <v>1.1218319999999999</v>
      </c>
      <c r="L2725">
        <v>234.9888</v>
      </c>
      <c r="M2725">
        <v>1.7875160000000001E-2</v>
      </c>
      <c r="N2725">
        <v>-9.0913729999999998E-3</v>
      </c>
      <c r="O2725">
        <v>-0.99979899999999999</v>
      </c>
      <c r="P2725">
        <v>0.18966369999999999</v>
      </c>
      <c r="Q2725">
        <v>0.16940469999999999</v>
      </c>
      <c r="R2725">
        <v>-0.9671246</v>
      </c>
      <c r="S2725">
        <v>0.68041989999999997</v>
      </c>
      <c r="T2725">
        <v>-0.13146749999999999</v>
      </c>
      <c r="U2725">
        <v>-2.9913789999999998</v>
      </c>
      <c r="V2725">
        <v>-0.1727282</v>
      </c>
      <c r="W2725">
        <v>0.177848799999999</v>
      </c>
      <c r="X2725">
        <v>0.96877999999999997</v>
      </c>
      <c r="Y2725">
        <v>-0.20415459999999999</v>
      </c>
      <c r="Z2725">
        <v>3.3820549999999998E-2</v>
      </c>
      <c r="AA2725">
        <v>0.97835430000000001</v>
      </c>
      <c r="AB2725">
        <v>27</v>
      </c>
      <c r="AC2725">
        <v>5.8024000000000298</v>
      </c>
      <c r="AD2725">
        <v>-1.1218294372149999</v>
      </c>
      <c r="AE2725">
        <v>-25.3614</v>
      </c>
      <c r="AF2725">
        <v>-5.3381897895202801</v>
      </c>
      <c r="AG2725">
        <v>-1.1218294372149999</v>
      </c>
      <c r="AH2725">
        <v>25.413818787217</v>
      </c>
      <c r="AI2725">
        <v>92.473626448359596</v>
      </c>
      <c r="AJ2725">
        <v>101.86255991937399</v>
      </c>
      <c r="AK2725">
        <v>25.992632742079898</v>
      </c>
      <c r="AL2725">
        <v>79.755516068770106</v>
      </c>
      <c r="AM2725">
        <v>100.10929751494299</v>
      </c>
      <c r="AN2725">
        <v>0.99999995756833904</v>
      </c>
    </row>
    <row r="2726" spans="1:40" x14ac:dyDescent="0.25">
      <c r="A2726" t="str">
        <f>"20190303162831947"</f>
        <v>20190303162831947</v>
      </c>
      <c r="B2726" t="str">
        <f>"1551601711934558"</f>
        <v>1551601711934558</v>
      </c>
      <c r="C2726" t="s">
        <v>40</v>
      </c>
      <c r="D2726">
        <v>4.6005229999999999</v>
      </c>
      <c r="E2726">
        <v>0.4862805</v>
      </c>
      <c r="F2726" t="s">
        <v>47</v>
      </c>
      <c r="G2726">
        <v>-486.85919999999999</v>
      </c>
      <c r="H2726" s="1">
        <v>2.4435329999999998E-6</v>
      </c>
      <c r="I2726">
        <v>209.2784</v>
      </c>
      <c r="J2726">
        <v>-492.73590000000002</v>
      </c>
      <c r="K2726">
        <v>1.121856</v>
      </c>
      <c r="L2726">
        <v>234.7681</v>
      </c>
      <c r="M2726">
        <v>1.8950089999999999E-2</v>
      </c>
      <c r="N2726">
        <v>-9.0358130000000002E-3</v>
      </c>
      <c r="O2726">
        <v>-0.9997798</v>
      </c>
      <c r="P2726">
        <v>0.1926155</v>
      </c>
      <c r="Q2726">
        <v>0.170157</v>
      </c>
      <c r="R2726">
        <v>-0.96640910000000002</v>
      </c>
      <c r="S2726">
        <v>0.68417359999999905</v>
      </c>
      <c r="T2726">
        <v>-0.1304922</v>
      </c>
      <c r="U2726">
        <v>-2.9906619999999999</v>
      </c>
      <c r="V2726">
        <v>-0.17466099999999901</v>
      </c>
      <c r="W2726">
        <v>0.1785291</v>
      </c>
      <c r="X2726">
        <v>0.96830830000000001</v>
      </c>
      <c r="Y2726">
        <v>-0.20432259999999999</v>
      </c>
      <c r="Z2726">
        <v>3.3561559999999997E-2</v>
      </c>
      <c r="AA2726">
        <v>0.97832810000000003</v>
      </c>
      <c r="AB2726">
        <v>27</v>
      </c>
      <c r="AC2726">
        <v>5.87670000000002</v>
      </c>
      <c r="AD2726">
        <v>-1.121853556467</v>
      </c>
      <c r="AE2726">
        <v>-25.489699999999999</v>
      </c>
      <c r="AF2726">
        <v>-5.3826925593458297</v>
      </c>
      <c r="AG2726">
        <v>-1.121853556467</v>
      </c>
      <c r="AH2726">
        <v>25.549497970647</v>
      </c>
      <c r="AI2726">
        <v>92.4602493429676</v>
      </c>
      <c r="AJ2726">
        <v>101.896927040701</v>
      </c>
      <c r="AK2726">
        <v>26.134436690747499</v>
      </c>
      <c r="AL2726">
        <v>79.715904600427294</v>
      </c>
      <c r="AM2726">
        <v>100.224920965772</v>
      </c>
      <c r="AN2726">
        <v>1.0000000341583399</v>
      </c>
    </row>
    <row r="2727" spans="1:40" x14ac:dyDescent="0.25">
      <c r="A2727" t="str">
        <f>"20190303162831970"</f>
        <v>20190303162831970</v>
      </c>
      <c r="B2727" t="str">
        <f>"1551601711963838"</f>
        <v>1551601711963838</v>
      </c>
      <c r="C2727" t="s">
        <v>40</v>
      </c>
      <c r="D2727">
        <v>4.6114100000000002</v>
      </c>
      <c r="E2727">
        <v>0.46047169999999998</v>
      </c>
      <c r="F2727" t="s">
        <v>47</v>
      </c>
      <c r="G2727">
        <v>-486.72770000000003</v>
      </c>
      <c r="H2727" s="1">
        <v>2.2447919999999999E-6</v>
      </c>
      <c r="I2727">
        <v>208.71209999999999</v>
      </c>
      <c r="J2727">
        <v>-492.72890000000001</v>
      </c>
      <c r="K2727">
        <v>1.121893</v>
      </c>
      <c r="L2727">
        <v>234.4821</v>
      </c>
      <c r="M2727">
        <v>2.0389669999999999E-2</v>
      </c>
      <c r="N2727">
        <v>-8.9820679999999993E-3</v>
      </c>
      <c r="O2727">
        <v>-0.99975190000000003</v>
      </c>
      <c r="P2727">
        <v>0.19739470000000001</v>
      </c>
      <c r="Q2727">
        <v>0.17060819999999999</v>
      </c>
      <c r="R2727">
        <v>-0.96536429999999995</v>
      </c>
      <c r="S2727">
        <v>0.68936160000000002</v>
      </c>
      <c r="T2727">
        <v>-0.12871740000000001</v>
      </c>
      <c r="U2727">
        <v>-2.989563</v>
      </c>
      <c r="V2727">
        <v>-0.17808070000000001</v>
      </c>
      <c r="W2727">
        <v>0.17889840000000001</v>
      </c>
      <c r="X2727">
        <v>0.96761699999999995</v>
      </c>
      <c r="Y2727">
        <v>-0.2046086</v>
      </c>
      <c r="Z2727">
        <v>3.3042530000000001E-2</v>
      </c>
      <c r="AA2727">
        <v>0.97828599999999999</v>
      </c>
      <c r="AB2727">
        <v>27</v>
      </c>
      <c r="AC2727">
        <v>6.0011999999999803</v>
      </c>
      <c r="AD2727">
        <v>-1.121890755208</v>
      </c>
      <c r="AE2727">
        <v>-25.77</v>
      </c>
      <c r="AF2727">
        <v>-5.4646651193759599</v>
      </c>
      <c r="AG2727">
        <v>-1.121890755208</v>
      </c>
      <c r="AH2727">
        <v>25.840553996996899</v>
      </c>
      <c r="AI2727">
        <v>92.432259874570903</v>
      </c>
      <c r="AJ2727">
        <v>101.940768886995</v>
      </c>
      <c r="AK2727">
        <v>26.435874008726401</v>
      </c>
      <c r="AL2727">
        <v>79.694398864682398</v>
      </c>
      <c r="AM2727">
        <v>100.428052054982</v>
      </c>
      <c r="AN2727">
        <v>1.0000000159620199</v>
      </c>
    </row>
    <row r="2728" spans="1:40" x14ac:dyDescent="0.25">
      <c r="A2728" t="str">
        <f>"20190303162831994"</f>
        <v>20190303162831994</v>
      </c>
      <c r="B2728" t="str">
        <f>"1551601711983906"</f>
        <v>1551601711983906</v>
      </c>
      <c r="C2728" t="s">
        <v>40</v>
      </c>
      <c r="D2728">
        <v>4.6116859999999997</v>
      </c>
      <c r="E2728">
        <v>0.39087290000000002</v>
      </c>
      <c r="F2728" t="s">
        <v>47</v>
      </c>
      <c r="G2728">
        <v>-485.49770000000001</v>
      </c>
      <c r="H2728" s="1">
        <v>2.3652889999999999E-6</v>
      </c>
      <c r="I2728">
        <v>210.9563</v>
      </c>
      <c r="J2728">
        <v>-492.72140000000002</v>
      </c>
      <c r="K2728">
        <v>1.121931</v>
      </c>
      <c r="L2728">
        <v>234.19710000000001</v>
      </c>
      <c r="M2728">
        <v>2.1878720000000001E-2</v>
      </c>
      <c r="N2728">
        <v>-8.9420550000000008E-3</v>
      </c>
      <c r="O2728">
        <v>-0.99972079999999997</v>
      </c>
      <c r="P2728">
        <v>0.20276040000000001</v>
      </c>
      <c r="Q2728">
        <v>0.1697919</v>
      </c>
      <c r="R2728">
        <v>-0.96439600000000003</v>
      </c>
      <c r="S2728">
        <v>0.90591429999999995</v>
      </c>
      <c r="T2728">
        <v>-0.14054849999999999</v>
      </c>
      <c r="U2728">
        <v>-2.9472659999999999</v>
      </c>
      <c r="V2728">
        <v>-0.18203920000000001</v>
      </c>
      <c r="W2728">
        <v>0.17801020000000001</v>
      </c>
      <c r="X2728">
        <v>0.96704400000000001</v>
      </c>
      <c r="Y2728">
        <v>-0.27256089999999999</v>
      </c>
      <c r="Z2728">
        <v>3.6758260000000001E-2</v>
      </c>
      <c r="AA2728">
        <v>0.96143610000000002</v>
      </c>
      <c r="AB2728">
        <v>27</v>
      </c>
      <c r="AC2728">
        <v>7.2237</v>
      </c>
      <c r="AD2728">
        <v>-1.121928634711</v>
      </c>
      <c r="AE2728">
        <v>-23.2408</v>
      </c>
      <c r="AF2728">
        <v>-6.6992350835062799</v>
      </c>
      <c r="AG2728">
        <v>-1.121928634711</v>
      </c>
      <c r="AH2728">
        <v>23.343680727678699</v>
      </c>
      <c r="AI2728">
        <v>92.644990861528001</v>
      </c>
      <c r="AJ2728">
        <v>106.01256906735399</v>
      </c>
      <c r="AK2728">
        <v>24.3118469985574</v>
      </c>
      <c r="AL2728">
        <v>79.746119013579104</v>
      </c>
      <c r="AM2728">
        <v>100.660771055333</v>
      </c>
      <c r="AN2728">
        <v>0.99999999978833998</v>
      </c>
    </row>
    <row r="2729" spans="1:40" x14ac:dyDescent="0.25">
      <c r="A2729" t="str">
        <f>"20190303162832013"</f>
        <v>20190303162832013</v>
      </c>
      <c r="B2729" t="str">
        <f>"1551601712004402"</f>
        <v>1551601712004402</v>
      </c>
      <c r="C2729" t="s">
        <v>40</v>
      </c>
      <c r="D2729">
        <v>4.6148930000000004</v>
      </c>
      <c r="E2729">
        <v>0.38365899999999997</v>
      </c>
      <c r="F2729" t="s">
        <v>44</v>
      </c>
      <c r="G2729">
        <v>-492.27289999999999</v>
      </c>
      <c r="H2729">
        <v>1.05914</v>
      </c>
      <c r="I2729">
        <v>233.3289</v>
      </c>
      <c r="J2729">
        <v>-492.71510000000001</v>
      </c>
      <c r="K2729">
        <v>1.1219619999999999</v>
      </c>
      <c r="L2729">
        <v>233.96690000000001</v>
      </c>
      <c r="M2729">
        <v>2.313204E-2</v>
      </c>
      <c r="N2729">
        <v>-8.9163969999999995E-3</v>
      </c>
      <c r="O2729">
        <v>-0.9996929</v>
      </c>
      <c r="P2729">
        <v>0.2079309</v>
      </c>
      <c r="Q2729">
        <v>0.16874229999999901</v>
      </c>
      <c r="R2729">
        <v>-0.96347899999999997</v>
      </c>
      <c r="S2729">
        <v>1.4661249999999999</v>
      </c>
      <c r="T2729">
        <v>-0.20529720000000001</v>
      </c>
      <c r="U2729">
        <v>-2.8385929999999999</v>
      </c>
      <c r="V2729">
        <v>-0.186029</v>
      </c>
      <c r="W2729">
        <v>0.17690320000000001</v>
      </c>
      <c r="X2729">
        <v>0.96648769999999995</v>
      </c>
      <c r="Y2729">
        <v>-0.43738280000000002</v>
      </c>
      <c r="Z2729">
        <v>5.5601650000000002E-2</v>
      </c>
      <c r="AA2729">
        <v>0.89755490000000004</v>
      </c>
      <c r="AB2729">
        <v>27</v>
      </c>
      <c r="AC2729">
        <v>0.44220000000001303</v>
      </c>
      <c r="AD2729">
        <v>-6.28220000000001E-2</v>
      </c>
      <c r="AE2729">
        <v>-0.63800000000000501</v>
      </c>
      <c r="AF2729">
        <v>-0.42454231972721601</v>
      </c>
      <c r="AG2729">
        <v>-6.28220000000001E-2</v>
      </c>
      <c r="AH2729">
        <v>0.64384184709121095</v>
      </c>
      <c r="AI2729">
        <v>94.656960656677995</v>
      </c>
      <c r="AJ2729">
        <v>123.400424362702</v>
      </c>
      <c r="AK2729">
        <v>0.77376683115082401</v>
      </c>
      <c r="AL2729">
        <v>79.8105683749924</v>
      </c>
      <c r="AM2729">
        <v>100.895015584257</v>
      </c>
      <c r="AN2729">
        <v>1.0000000026312601</v>
      </c>
    </row>
    <row r="2730" spans="1:40" x14ac:dyDescent="0.25">
      <c r="A2730" t="str">
        <f>"20190303162832026"</f>
        <v>20190303162832026</v>
      </c>
      <c r="B2730" t="str">
        <f>"1551601712014162"</f>
        <v>1551601712014162</v>
      </c>
      <c r="C2730" t="s">
        <v>40</v>
      </c>
      <c r="D2730">
        <v>4.608225</v>
      </c>
      <c r="E2730">
        <v>0.3829166</v>
      </c>
      <c r="F2730" t="s">
        <v>44</v>
      </c>
      <c r="G2730">
        <v>-492.25979999999998</v>
      </c>
      <c r="H2730">
        <v>1.054038</v>
      </c>
      <c r="I2730">
        <v>233.13030000000001</v>
      </c>
      <c r="J2730">
        <v>-492.71039999999999</v>
      </c>
      <c r="K2730">
        <v>1.12199</v>
      </c>
      <c r="L2730">
        <v>233.80500000000001</v>
      </c>
      <c r="M2730">
        <v>2.4044389999999999E-2</v>
      </c>
      <c r="N2730">
        <v>-8.9010110000000003E-3</v>
      </c>
      <c r="O2730">
        <v>-0.99967139999999999</v>
      </c>
      <c r="P2730">
        <v>0.2108207</v>
      </c>
      <c r="Q2730">
        <v>0.16827259999999999</v>
      </c>
      <c r="R2730">
        <v>-0.96293260000000003</v>
      </c>
      <c r="S2730">
        <v>1.5365599999999999</v>
      </c>
      <c r="T2730">
        <v>-0.22908870000000001</v>
      </c>
      <c r="U2730">
        <v>-2.8221889999999998</v>
      </c>
      <c r="V2730">
        <v>-0.18806039999999999</v>
      </c>
      <c r="W2730">
        <v>0.17639630000000001</v>
      </c>
      <c r="X2730">
        <v>0.96618720000000002</v>
      </c>
      <c r="Y2730">
        <v>-0.45583040000000002</v>
      </c>
      <c r="Z2730">
        <v>6.2678639999999994E-2</v>
      </c>
      <c r="AA2730">
        <v>0.88785700000000001</v>
      </c>
      <c r="AB2730">
        <v>27</v>
      </c>
      <c r="AC2730">
        <v>0.45060000000000799</v>
      </c>
      <c r="AD2730">
        <v>-6.7951999999999999E-2</v>
      </c>
      <c r="AE2730">
        <v>-0.67470000000000097</v>
      </c>
      <c r="AF2730">
        <v>-0.43122145456517402</v>
      </c>
      <c r="AG2730">
        <v>-6.7951999999999999E-2</v>
      </c>
      <c r="AH2730">
        <v>0.68056581434569097</v>
      </c>
      <c r="AI2730">
        <v>94.820978296960106</v>
      </c>
      <c r="AJ2730">
        <v>122.35924536221199</v>
      </c>
      <c r="AK2730">
        <v>0.808541430501442</v>
      </c>
      <c r="AL2730">
        <v>79.840075997462606</v>
      </c>
      <c r="AM2730">
        <v>101.014435238323</v>
      </c>
      <c r="AN2730">
        <v>1.0000000370728399</v>
      </c>
    </row>
    <row r="2731" spans="1:40" x14ac:dyDescent="0.25">
      <c r="A2731" t="str">
        <f>"20190303162832046"</f>
        <v>20190303162832046</v>
      </c>
      <c r="B2731" t="str">
        <f>"1551601712033682"</f>
        <v>1551601712033682</v>
      </c>
      <c r="C2731" t="s">
        <v>40</v>
      </c>
      <c r="D2731">
        <v>4.5798899999999998</v>
      </c>
      <c r="E2731">
        <v>0.38282559999999999</v>
      </c>
      <c r="F2731" t="s">
        <v>44</v>
      </c>
      <c r="G2731">
        <v>-492.21210000000002</v>
      </c>
      <c r="H2731">
        <v>1.044702</v>
      </c>
      <c r="I2731">
        <v>232.89940000000001</v>
      </c>
      <c r="J2731">
        <v>-492.70359999999999</v>
      </c>
      <c r="K2731">
        <v>1.1220429999999999</v>
      </c>
      <c r="L2731">
        <v>233.5763</v>
      </c>
      <c r="M2731">
        <v>2.539307E-2</v>
      </c>
      <c r="N2731">
        <v>-8.8839639999999994E-3</v>
      </c>
      <c r="O2731">
        <v>-0.99963829999999998</v>
      </c>
      <c r="P2731">
        <v>0.2160078</v>
      </c>
      <c r="Q2731">
        <v>0.16781299999999999</v>
      </c>
      <c r="R2731">
        <v>-0.96186269999999996</v>
      </c>
      <c r="S2731">
        <v>1.5509949999999999</v>
      </c>
      <c r="T2731">
        <v>-0.24049319999999999</v>
      </c>
      <c r="U2731">
        <v>-2.8179470000000002</v>
      </c>
      <c r="V2731">
        <v>-0.1919893</v>
      </c>
      <c r="W2731">
        <v>0.17587849999999999</v>
      </c>
      <c r="X2731">
        <v>0.96550860000000005</v>
      </c>
      <c r="Y2731">
        <v>-0.4585709</v>
      </c>
      <c r="Z2731">
        <v>6.6192100000000004E-2</v>
      </c>
      <c r="AA2731">
        <v>0.88618920000000001</v>
      </c>
      <c r="AB2731">
        <v>27</v>
      </c>
      <c r="AC2731">
        <v>0.49149999999997301</v>
      </c>
      <c r="AD2731">
        <v>-7.7341000000000104E-2</v>
      </c>
      <c r="AE2731">
        <v>-0.67689999999998895</v>
      </c>
      <c r="AF2731">
        <v>-0.47013353424732801</v>
      </c>
      <c r="AG2731">
        <v>-7.7341000000000104E-2</v>
      </c>
      <c r="AH2731">
        <v>0.68332183000117397</v>
      </c>
      <c r="AI2731">
        <v>95.3271956501749</v>
      </c>
      <c r="AJ2731">
        <v>124.528433494864</v>
      </c>
      <c r="AK2731">
        <v>0.833028146980063</v>
      </c>
      <c r="AL2731">
        <v>79.8702145497777</v>
      </c>
      <c r="AM2731">
        <v>101.246443546018</v>
      </c>
      <c r="AN2731">
        <v>0.99999999737534995</v>
      </c>
    </row>
    <row r="2732" spans="1:40" x14ac:dyDescent="0.25">
      <c r="A2732" t="str">
        <f>"20190303162832060"</f>
        <v>20190303162832060</v>
      </c>
      <c r="B2732" t="str">
        <f>"1551601712054177"</f>
        <v>1551601712054177</v>
      </c>
      <c r="C2732" t="s">
        <v>40</v>
      </c>
      <c r="D2732">
        <v>4.5712929999999998</v>
      </c>
      <c r="E2732">
        <v>0.38350420000000002</v>
      </c>
      <c r="F2732" t="s">
        <v>44</v>
      </c>
      <c r="G2732">
        <v>-492.19389999999999</v>
      </c>
      <c r="H2732">
        <v>1.0417940000000001</v>
      </c>
      <c r="I2732">
        <v>232.6609</v>
      </c>
      <c r="J2732">
        <v>-492.69810000000001</v>
      </c>
      <c r="K2732">
        <v>1.1220909999999999</v>
      </c>
      <c r="L2732">
        <v>233.40289999999999</v>
      </c>
      <c r="M2732">
        <v>2.6468510000000001E-2</v>
      </c>
      <c r="N2732">
        <v>-8.8767039999999992E-3</v>
      </c>
      <c r="O2732">
        <v>-0.99961049999999996</v>
      </c>
      <c r="P2732">
        <v>0.21921180000000001</v>
      </c>
      <c r="Q2732">
        <v>0.16789570000000001</v>
      </c>
      <c r="R2732">
        <v>-0.96112339999999996</v>
      </c>
      <c r="S2732">
        <v>1.5659179999999999</v>
      </c>
      <c r="T2732">
        <v>-0.2463331</v>
      </c>
      <c r="U2732">
        <v>-2.8102719999999999</v>
      </c>
      <c r="V2732">
        <v>-0.19419210000000001</v>
      </c>
      <c r="W2732">
        <v>0.17592179999999999</v>
      </c>
      <c r="X2732">
        <v>0.96506009999999998</v>
      </c>
      <c r="Y2732">
        <v>-0.46216810000000003</v>
      </c>
      <c r="Z2732">
        <v>6.8024230000000005E-2</v>
      </c>
      <c r="AA2732">
        <v>0.88417950000000001</v>
      </c>
      <c r="AB2732">
        <v>27</v>
      </c>
      <c r="AC2732">
        <v>0.50420000000002496</v>
      </c>
      <c r="AD2732">
        <v>-8.0296999999999799E-2</v>
      </c>
      <c r="AE2732">
        <v>-0.74199999999999</v>
      </c>
      <c r="AF2732">
        <v>-0.480533084894115</v>
      </c>
      <c r="AG2732">
        <v>-8.0296999999999799E-2</v>
      </c>
      <c r="AH2732">
        <v>0.74908457892392</v>
      </c>
      <c r="AI2732">
        <v>95.155539746871497</v>
      </c>
      <c r="AJ2732">
        <v>122.679918612593</v>
      </c>
      <c r="AK2732">
        <v>0.893581199594352</v>
      </c>
      <c r="AL2732">
        <v>79.867694620327796</v>
      </c>
      <c r="AM2732">
        <v>101.377283477132</v>
      </c>
      <c r="AN2732">
        <v>1.0000000240148199</v>
      </c>
    </row>
    <row r="2733" spans="1:40" x14ac:dyDescent="0.25">
      <c r="A2733" t="str">
        <f>"20190303162832072"</f>
        <v>20190303162832072</v>
      </c>
      <c r="B2733" t="str">
        <f>"1551601712063938"</f>
        <v>1551601712063938</v>
      </c>
      <c r="C2733" t="s">
        <v>40</v>
      </c>
      <c r="D2733">
        <v>4.597512</v>
      </c>
      <c r="E2733">
        <v>0.38398890000000002</v>
      </c>
      <c r="F2733" t="s">
        <v>44</v>
      </c>
      <c r="G2733">
        <v>-492.24360000000001</v>
      </c>
      <c r="H2733">
        <v>1.049237</v>
      </c>
      <c r="I2733">
        <v>232.58959999999999</v>
      </c>
      <c r="J2733">
        <v>-492.69299999999998</v>
      </c>
      <c r="K2733">
        <v>1.1221380000000001</v>
      </c>
      <c r="L2733">
        <v>233.2499</v>
      </c>
      <c r="M2733">
        <v>2.7459709999999998E-2</v>
      </c>
      <c r="N2733">
        <v>-8.8738970000000004E-3</v>
      </c>
      <c r="O2733">
        <v>-0.99958389999999997</v>
      </c>
      <c r="P2733">
        <v>0.2226988</v>
      </c>
      <c r="Q2733">
        <v>0.1679997</v>
      </c>
      <c r="R2733">
        <v>-0.96030309999999997</v>
      </c>
      <c r="S2733">
        <v>1.569885</v>
      </c>
      <c r="T2733">
        <v>-0.2514113</v>
      </c>
      <c r="U2733">
        <v>-2.80722</v>
      </c>
      <c r="V2733">
        <v>-0.1967623</v>
      </c>
      <c r="W2733">
        <v>0.17598839999999999</v>
      </c>
      <c r="X2733">
        <v>0.96452720000000003</v>
      </c>
      <c r="Y2733">
        <v>-0.46259299999999998</v>
      </c>
      <c r="Z2733">
        <v>6.9639740000000006E-2</v>
      </c>
      <c r="AA2733">
        <v>0.88383140000000004</v>
      </c>
      <c r="AB2733">
        <v>27</v>
      </c>
      <c r="AC2733">
        <v>0.449400000000025</v>
      </c>
      <c r="AD2733">
        <v>-7.2900999999999799E-2</v>
      </c>
      <c r="AE2733">
        <v>-0.66030000000000599</v>
      </c>
      <c r="AF2733">
        <v>-0.42753653634979399</v>
      </c>
      <c r="AG2733">
        <v>-7.2900999999999799E-2</v>
      </c>
      <c r="AH2733">
        <v>0.66683671810296097</v>
      </c>
      <c r="AI2733">
        <v>95.258257736057402</v>
      </c>
      <c r="AJ2733">
        <v>122.66560780803199</v>
      </c>
      <c r="AK2733">
        <v>0.79547046100110297</v>
      </c>
      <c r="AL2733">
        <v>79.863818197669403</v>
      </c>
      <c r="AM2733">
        <v>101.530059170188</v>
      </c>
      <c r="AN2733">
        <v>1.00000001958784</v>
      </c>
    </row>
    <row r="2734" spans="1:40" x14ac:dyDescent="0.25">
      <c r="A2734" t="str">
        <f>"20190303162832093"</f>
        <v>20190303162832093</v>
      </c>
      <c r="B2734" t="str">
        <f>"1551601712084382"</f>
        <v>1551601712084382</v>
      </c>
      <c r="C2734" t="s">
        <v>40</v>
      </c>
      <c r="D2734">
        <v>4.598484</v>
      </c>
      <c r="E2734">
        <v>0.3849418</v>
      </c>
      <c r="F2734" t="s">
        <v>44</v>
      </c>
      <c r="G2734">
        <v>-492.22129999999999</v>
      </c>
      <c r="H2734">
        <v>1.0470520000000001</v>
      </c>
      <c r="I2734">
        <v>232.4109</v>
      </c>
      <c r="J2734">
        <v>-492.68450000000001</v>
      </c>
      <c r="K2734">
        <v>1.1222259999999999</v>
      </c>
      <c r="L2734">
        <v>233.0052</v>
      </c>
      <c r="M2734">
        <v>2.9131649999999999E-2</v>
      </c>
      <c r="N2734">
        <v>-8.8753500000000006E-3</v>
      </c>
      <c r="O2734">
        <v>-0.99953630000000004</v>
      </c>
      <c r="P2734">
        <v>0.22895160000000001</v>
      </c>
      <c r="Q2734">
        <v>0.16805610000000001</v>
      </c>
      <c r="R2734">
        <v>-0.95882149999999999</v>
      </c>
      <c r="S2734">
        <v>1.5758970000000001</v>
      </c>
      <c r="T2734">
        <v>-0.2507778</v>
      </c>
      <c r="U2734">
        <v>-2.8024439999999999</v>
      </c>
      <c r="V2734">
        <v>-0.2014772</v>
      </c>
      <c r="W2734">
        <v>0.17598039999999901</v>
      </c>
      <c r="X2734">
        <v>0.96355480000000004</v>
      </c>
      <c r="Y2734">
        <v>-0.46319909999999997</v>
      </c>
      <c r="Z2734">
        <v>6.9504629999999998E-2</v>
      </c>
      <c r="AA2734">
        <v>0.88352459999999899</v>
      </c>
      <c r="AB2734">
        <v>27</v>
      </c>
      <c r="AC2734">
        <v>0.46320000000002798</v>
      </c>
      <c r="AD2734">
        <v>-7.5173999999999797E-2</v>
      </c>
      <c r="AE2734">
        <v>-0.59430000000000405</v>
      </c>
      <c r="AF2734">
        <v>-0.44129727381424999</v>
      </c>
      <c r="AG2734">
        <v>-7.5173999999999797E-2</v>
      </c>
      <c r="AH2734">
        <v>0.60155442068136999</v>
      </c>
      <c r="AI2734">
        <v>95.753751000864497</v>
      </c>
      <c r="AJ2734">
        <v>126.263583346015</v>
      </c>
      <c r="AK2734">
        <v>0.74984140669423505</v>
      </c>
      <c r="AL2734">
        <v>79.8642837118893</v>
      </c>
      <c r="AM2734">
        <v>101.810261873104</v>
      </c>
      <c r="AN2734">
        <v>1.0000000079535201</v>
      </c>
    </row>
    <row r="2735" spans="1:40" x14ac:dyDescent="0.25">
      <c r="A2735" t="str">
        <f>"20190303162832113"</f>
        <v>20190303162832113</v>
      </c>
      <c r="B2735" t="str">
        <f>"1551601712103902"</f>
        <v>1551601712103902</v>
      </c>
      <c r="C2735" t="s">
        <v>40</v>
      </c>
      <c r="D2735">
        <v>4.6156389999999998</v>
      </c>
      <c r="E2735">
        <v>0.38568649999999999</v>
      </c>
      <c r="F2735" t="s">
        <v>44</v>
      </c>
      <c r="G2735">
        <v>-492.21039999999999</v>
      </c>
      <c r="H2735">
        <v>1.047253</v>
      </c>
      <c r="I2735">
        <v>232.1696</v>
      </c>
      <c r="J2735">
        <v>-492.67520000000002</v>
      </c>
      <c r="K2735">
        <v>1.1223320000000001</v>
      </c>
      <c r="L2735">
        <v>232.7527</v>
      </c>
      <c r="M2735">
        <v>3.1001460000000002E-2</v>
      </c>
      <c r="N2735">
        <v>-8.8871719999999901E-3</v>
      </c>
      <c r="O2735">
        <v>-0.99947989999999998</v>
      </c>
      <c r="P2735">
        <v>0.23483680000000001</v>
      </c>
      <c r="Q2735">
        <v>0.16769020000000001</v>
      </c>
      <c r="R2735">
        <v>-0.95746140000000002</v>
      </c>
      <c r="S2735">
        <v>1.5861510000000001</v>
      </c>
      <c r="T2735">
        <v>-0.25070350000000002</v>
      </c>
      <c r="U2735">
        <v>-2.7940369999999999</v>
      </c>
      <c r="V2735">
        <v>-0.2056431</v>
      </c>
      <c r="W2735">
        <v>0.1755495</v>
      </c>
      <c r="X2735">
        <v>0.96275299999999997</v>
      </c>
      <c r="Y2735">
        <v>-0.46512949999999997</v>
      </c>
      <c r="Z2735">
        <v>6.9564100000000004E-2</v>
      </c>
      <c r="AA2735">
        <v>0.88250519999999999</v>
      </c>
      <c r="AB2735">
        <v>27</v>
      </c>
      <c r="AC2735">
        <v>0.46480000000002503</v>
      </c>
      <c r="AD2735">
        <v>-7.5078999999999896E-2</v>
      </c>
      <c r="AE2735">
        <v>-0.58310000000000095</v>
      </c>
      <c r="AF2735">
        <v>-0.44201798684076499</v>
      </c>
      <c r="AG2735">
        <v>-7.5078999999999896E-2</v>
      </c>
      <c r="AH2735">
        <v>0.59123614417570902</v>
      </c>
      <c r="AI2735">
        <v>95.807322711437394</v>
      </c>
      <c r="AJ2735">
        <v>126.78240192974</v>
      </c>
      <c r="AK2735">
        <v>0.742008716331232</v>
      </c>
      <c r="AL2735">
        <v>79.889363068801302</v>
      </c>
      <c r="AM2735">
        <v>102.057134586117</v>
      </c>
      <c r="AN2735">
        <v>1.00000002526842</v>
      </c>
    </row>
    <row r="2736" spans="1:40" x14ac:dyDescent="0.25">
      <c r="A2736" t="str">
        <f>"20190303162832136"</f>
        <v>20190303162832136</v>
      </c>
      <c r="B2736" t="str">
        <f>"1551601712124398"</f>
        <v>1551601712124398</v>
      </c>
      <c r="C2736" t="s">
        <v>40</v>
      </c>
      <c r="D2736">
        <v>4.6342470000000002</v>
      </c>
      <c r="E2736">
        <v>0.38630940000000002</v>
      </c>
      <c r="F2736" t="s">
        <v>44</v>
      </c>
      <c r="G2736">
        <v>-492.20150000000001</v>
      </c>
      <c r="H2736">
        <v>1.049091</v>
      </c>
      <c r="I2736">
        <v>231.92750000000001</v>
      </c>
      <c r="J2736">
        <v>-492.66489999999999</v>
      </c>
      <c r="K2736">
        <v>1.122463</v>
      </c>
      <c r="L2736">
        <v>232.49090000000001</v>
      </c>
      <c r="M2736">
        <v>3.3109449999999999E-2</v>
      </c>
      <c r="N2736">
        <v>-8.9119070000000002E-3</v>
      </c>
      <c r="O2736">
        <v>-0.99941210000000003</v>
      </c>
      <c r="P2736">
        <v>0.24144090000000001</v>
      </c>
      <c r="Q2736">
        <v>0.16742789999999999</v>
      </c>
      <c r="R2736">
        <v>-0.95586329999999997</v>
      </c>
      <c r="S2736">
        <v>1.5980219999999901</v>
      </c>
      <c r="T2736">
        <v>-0.24716160000000001</v>
      </c>
      <c r="U2736">
        <v>-2.7846220000000002</v>
      </c>
      <c r="V2736">
        <v>-0.2103188</v>
      </c>
      <c r="W2736">
        <v>0.1752176</v>
      </c>
      <c r="X2736">
        <v>0.96180290000000002</v>
      </c>
      <c r="Y2736">
        <v>-0.46741379999999999</v>
      </c>
      <c r="Z2736">
        <v>6.8537260000000003E-2</v>
      </c>
      <c r="AA2736">
        <v>0.88137790000000005</v>
      </c>
      <c r="AB2736">
        <v>27</v>
      </c>
      <c r="AC2736">
        <v>0.463399999999978</v>
      </c>
      <c r="AD2736">
        <v>-7.3371999999999896E-2</v>
      </c>
      <c r="AE2736">
        <v>-0.56340000000000101</v>
      </c>
      <c r="AF2736">
        <v>-0.44003976070697398</v>
      </c>
      <c r="AG2736">
        <v>-7.3371999999999896E-2</v>
      </c>
      <c r="AH2736">
        <v>0.57264162692444298</v>
      </c>
      <c r="AI2736">
        <v>95.801175112233594</v>
      </c>
      <c r="AJ2736">
        <v>127.54005534618599</v>
      </c>
      <c r="AK2736">
        <v>0.72590417706039101</v>
      </c>
      <c r="AL2736">
        <v>79.908678791740897</v>
      </c>
      <c r="AM2736">
        <v>102.33479017362799</v>
      </c>
      <c r="AN2736">
        <v>1.0000000117158001</v>
      </c>
    </row>
    <row r="2737" spans="1:40" x14ac:dyDescent="0.25">
      <c r="A2737" t="str">
        <f>"20190303162832152"</f>
        <v>20190303162832152</v>
      </c>
      <c r="B2737" t="str">
        <f>"1551601712143919"</f>
        <v>1551601712143919</v>
      </c>
      <c r="C2737" t="s">
        <v>40</v>
      </c>
      <c r="D2737">
        <v>4.6141639999999997</v>
      </c>
      <c r="E2737">
        <v>0.38721929999999999</v>
      </c>
      <c r="F2737" t="s">
        <v>44</v>
      </c>
      <c r="G2737">
        <v>-492.19619999999998</v>
      </c>
      <c r="H2737">
        <v>1.052117</v>
      </c>
      <c r="I2737">
        <v>231.684</v>
      </c>
      <c r="J2737">
        <v>-492.65609999999998</v>
      </c>
      <c r="K2737">
        <v>1.12259</v>
      </c>
      <c r="L2737">
        <v>232.2801</v>
      </c>
      <c r="M2737">
        <v>3.4950189999999999E-2</v>
      </c>
      <c r="N2737">
        <v>-8.9410440000000004E-3</v>
      </c>
      <c r="O2737">
        <v>-0.99934909999999999</v>
      </c>
      <c r="P2737">
        <v>0.2452356</v>
      </c>
      <c r="Q2737">
        <v>0.16728470000000001</v>
      </c>
      <c r="R2737">
        <v>-0.95492189999999999</v>
      </c>
      <c r="S2737">
        <v>1.612274</v>
      </c>
      <c r="T2737">
        <v>-0.24180090000000001</v>
      </c>
      <c r="U2737">
        <v>-2.7736360000000002</v>
      </c>
      <c r="V2737">
        <v>-0.21242059999999999</v>
      </c>
      <c r="W2737">
        <v>0.17502889999999999</v>
      </c>
      <c r="X2737">
        <v>0.96137519999999999</v>
      </c>
      <c r="Y2737">
        <v>-0.47073769999999998</v>
      </c>
      <c r="Z2737">
        <v>6.6935499999999995E-2</v>
      </c>
      <c r="AA2737">
        <v>0.87973049999999997</v>
      </c>
      <c r="AB2737">
        <v>27</v>
      </c>
      <c r="AC2737">
        <v>0.45990000000000397</v>
      </c>
      <c r="AD2737">
        <v>-7.0472999999999994E-2</v>
      </c>
      <c r="AE2737">
        <v>-0.59609999999997798</v>
      </c>
      <c r="AF2737">
        <v>-0.43497330935462097</v>
      </c>
      <c r="AG2737">
        <v>-7.0472999999999994E-2</v>
      </c>
      <c r="AH2737">
        <v>0.60649615492439601</v>
      </c>
      <c r="AI2737">
        <v>95.394071706155202</v>
      </c>
      <c r="AJ2737">
        <v>125.64773319701099</v>
      </c>
      <c r="AK2737">
        <v>0.74967046728411801</v>
      </c>
      <c r="AL2737">
        <v>79.919659589480403</v>
      </c>
      <c r="AM2737">
        <v>102.459596204394</v>
      </c>
      <c r="AN2737">
        <v>0.999999951157303</v>
      </c>
    </row>
    <row r="2738" spans="1:40" x14ac:dyDescent="0.25">
      <c r="A2738" t="str">
        <f>"20190303162832174"</f>
        <v>20190303162832174</v>
      </c>
      <c r="B2738" t="str">
        <f>"1551601712165390"</f>
        <v>1551601712165390</v>
      </c>
      <c r="C2738" t="s">
        <v>40</v>
      </c>
      <c r="D2738">
        <v>4.6508390000000004</v>
      </c>
      <c r="E2738">
        <v>0.3879126</v>
      </c>
      <c r="F2738" t="s">
        <v>44</v>
      </c>
      <c r="G2738">
        <v>-492.16890000000001</v>
      </c>
      <c r="H2738">
        <v>1.05169</v>
      </c>
      <c r="I2738">
        <v>231.44569999999999</v>
      </c>
      <c r="J2738">
        <v>-492.64449999999999</v>
      </c>
      <c r="K2738">
        <v>1.122765</v>
      </c>
      <c r="L2738">
        <v>232.02019999999999</v>
      </c>
      <c r="M2738">
        <v>3.7415740000000003E-2</v>
      </c>
      <c r="N2738">
        <v>-8.9873230000000002E-3</v>
      </c>
      <c r="O2738">
        <v>-0.99925949999999997</v>
      </c>
      <c r="P2738">
        <v>0.25231219999999999</v>
      </c>
      <c r="Q2738">
        <v>0.16714560000000001</v>
      </c>
      <c r="R2738">
        <v>-0.95310070000000002</v>
      </c>
      <c r="S2738">
        <v>1.615448</v>
      </c>
      <c r="T2738">
        <v>-0.23518459999999999</v>
      </c>
      <c r="U2738">
        <v>-2.76796</v>
      </c>
      <c r="V2738">
        <v>-0.2172538</v>
      </c>
      <c r="W2738">
        <v>0.17481759999999999</v>
      </c>
      <c r="X2738">
        <v>0.96033299999999999</v>
      </c>
      <c r="Y2738">
        <v>-0.47016809999999998</v>
      </c>
      <c r="Z2738">
        <v>6.4945989999999995E-2</v>
      </c>
      <c r="AA2738">
        <v>0.88018410000000002</v>
      </c>
      <c r="AB2738">
        <v>27</v>
      </c>
      <c r="AC2738">
        <v>0.47559999999998498</v>
      </c>
      <c r="AD2738">
        <v>-7.1074999999999999E-2</v>
      </c>
      <c r="AE2738">
        <v>-0.57450000000000001</v>
      </c>
      <c r="AF2738">
        <v>-0.44968682268869298</v>
      </c>
      <c r="AG2738">
        <v>-7.1074999999999999E-2</v>
      </c>
      <c r="AH2738">
        <v>0.586566317851132</v>
      </c>
      <c r="AI2738">
        <v>95.492868070375593</v>
      </c>
      <c r="AJ2738">
        <v>127.475316980721</v>
      </c>
      <c r="AK2738">
        <v>0.74251595226115397</v>
      </c>
      <c r="AL2738">
        <v>79.931955645121903</v>
      </c>
      <c r="AM2738">
        <v>102.74731127660699</v>
      </c>
      <c r="AN2738">
        <v>0.99999993888659799</v>
      </c>
    </row>
    <row r="2739" spans="1:40" x14ac:dyDescent="0.25">
      <c r="A2739" t="str">
        <f>"20190303162832192"</f>
        <v>20190303162832192</v>
      </c>
      <c r="B2739" t="str">
        <f>"1551601712183934"</f>
        <v>1551601712183934</v>
      </c>
      <c r="C2739" t="s">
        <v>40</v>
      </c>
      <c r="D2739">
        <v>4.5921750000000001</v>
      </c>
      <c r="E2739">
        <v>0.38875369999999998</v>
      </c>
      <c r="F2739" t="s">
        <v>44</v>
      </c>
      <c r="G2739">
        <v>-492.16070000000002</v>
      </c>
      <c r="H2739">
        <v>1.0536019999999999</v>
      </c>
      <c r="I2739">
        <v>231.2021</v>
      </c>
      <c r="J2739">
        <v>-492.63350000000003</v>
      </c>
      <c r="K2739">
        <v>1.1229209999999901</v>
      </c>
      <c r="L2739">
        <v>231.7937</v>
      </c>
      <c r="M2739">
        <v>3.9754339999999999E-2</v>
      </c>
      <c r="N2739">
        <v>-9.0342410000000001E-3</v>
      </c>
      <c r="O2739">
        <v>-0.99916859999999996</v>
      </c>
      <c r="P2739">
        <v>0.25878099999999998</v>
      </c>
      <c r="Q2739">
        <v>0.1674049</v>
      </c>
      <c r="R2739">
        <v>-0.95131889999999997</v>
      </c>
      <c r="S2739">
        <v>1.6307370000000001</v>
      </c>
      <c r="T2739">
        <v>-0.2330325</v>
      </c>
      <c r="U2739">
        <v>-2.7567750000000002</v>
      </c>
      <c r="V2739">
        <v>-0.2216041</v>
      </c>
      <c r="W2739">
        <v>0.1750101</v>
      </c>
      <c r="X2739">
        <v>0.95930340000000003</v>
      </c>
      <c r="Y2739">
        <v>-0.47329890000000002</v>
      </c>
      <c r="Z2739">
        <v>6.4318529999999999E-2</v>
      </c>
      <c r="AA2739">
        <v>0.87855059999999996</v>
      </c>
      <c r="AB2739">
        <v>27</v>
      </c>
      <c r="AC2739">
        <v>0.47280000000000599</v>
      </c>
      <c r="AD2739">
        <v>-6.9318999999999603E-2</v>
      </c>
      <c r="AE2739">
        <v>-0.59159999999999902</v>
      </c>
      <c r="AF2739">
        <v>-0.44517682675725101</v>
      </c>
      <c r="AG2739">
        <v>-6.9318999999999603E-2</v>
      </c>
      <c r="AH2739">
        <v>0.60486129350205098</v>
      </c>
      <c r="AI2739">
        <v>95.273408151058604</v>
      </c>
      <c r="AJ2739">
        <v>126.353001611007</v>
      </c>
      <c r="AK2739">
        <v>0.75421794941490905</v>
      </c>
      <c r="AL2739">
        <v>79.920753754863597</v>
      </c>
      <c r="AM2739">
        <v>103.00745405833899</v>
      </c>
      <c r="AN2739">
        <v>0.99999996274518899</v>
      </c>
    </row>
    <row r="2740" spans="1:40" x14ac:dyDescent="0.25">
      <c r="A2740" t="str">
        <f>"20190303162832208"</f>
        <v>20190303162832208</v>
      </c>
      <c r="B2740" t="str">
        <f>"1551601712204430"</f>
        <v>1551601712204430</v>
      </c>
      <c r="C2740" t="s">
        <v>40</v>
      </c>
      <c r="D2740">
        <v>4.6299950000000001</v>
      </c>
      <c r="E2740">
        <v>0.38871620000000001</v>
      </c>
      <c r="F2740" t="s">
        <v>44</v>
      </c>
      <c r="G2740">
        <v>-492.13600000000002</v>
      </c>
      <c r="H2740">
        <v>1.0549710000000001</v>
      </c>
      <c r="I2740">
        <v>230.9624</v>
      </c>
      <c r="J2740">
        <v>-492.62419999999997</v>
      </c>
      <c r="K2740">
        <v>1.1230560000000001</v>
      </c>
      <c r="L2740">
        <v>231.60939999999999</v>
      </c>
      <c r="M2740">
        <v>4.1783729999999998E-2</v>
      </c>
      <c r="N2740">
        <v>-9.0751709999999999E-3</v>
      </c>
      <c r="O2740">
        <v>-0.99908540000000001</v>
      </c>
      <c r="P2740">
        <v>0.26288289999999997</v>
      </c>
      <c r="Q2740">
        <v>0.16736500000000001</v>
      </c>
      <c r="R2740">
        <v>-0.9502005</v>
      </c>
      <c r="S2740">
        <v>1.64349399999999</v>
      </c>
      <c r="T2740">
        <v>-0.22446849999999999</v>
      </c>
      <c r="U2740">
        <v>-2.7459560000000001</v>
      </c>
      <c r="V2740">
        <v>-0.22385260000000001</v>
      </c>
      <c r="W2740">
        <v>0.1749233</v>
      </c>
      <c r="X2740">
        <v>0.95879709999999996</v>
      </c>
      <c r="Y2740">
        <v>-0.47612310000000002</v>
      </c>
      <c r="Z2740">
        <v>6.1700360000000003E-2</v>
      </c>
      <c r="AA2740">
        <v>0.87721150000000003</v>
      </c>
      <c r="AB2740">
        <v>27</v>
      </c>
      <c r="AC2740">
        <v>0.48820000000000602</v>
      </c>
      <c r="AD2740">
        <v>-6.8085000000000104E-2</v>
      </c>
      <c r="AE2740">
        <v>-0.64699999999999103</v>
      </c>
      <c r="AF2740">
        <v>-0.45751013170421201</v>
      </c>
      <c r="AG2740">
        <v>-6.8085000000000104E-2</v>
      </c>
      <c r="AH2740">
        <v>0.66216221460476199</v>
      </c>
      <c r="AI2740">
        <v>94.835367101028595</v>
      </c>
      <c r="AJ2740">
        <v>124.641898555042</v>
      </c>
      <c r="AK2740">
        <v>0.80771894015634405</v>
      </c>
      <c r="AL2740">
        <v>79.9258054601097</v>
      </c>
      <c r="AM2740">
        <v>103.14157519325001</v>
      </c>
      <c r="AN2740">
        <v>1.0000000131890201</v>
      </c>
    </row>
    <row r="2741" spans="1:40" x14ac:dyDescent="0.25">
      <c r="A2741" t="str">
        <f>"20190303162832224"</f>
        <v>20190303162832224</v>
      </c>
      <c r="B2741" t="str">
        <f>"1551601712214190"</f>
        <v>1551601712214190</v>
      </c>
      <c r="C2741" t="s">
        <v>40</v>
      </c>
      <c r="D2741">
        <v>4.4844559999999998</v>
      </c>
      <c r="E2741">
        <v>0.38871620000000001</v>
      </c>
      <c r="F2741" t="s">
        <v>44</v>
      </c>
      <c r="G2741">
        <v>-492.09120000000001</v>
      </c>
      <c r="H2741">
        <v>1.051749</v>
      </c>
      <c r="I2741">
        <v>230.7277</v>
      </c>
      <c r="J2741">
        <v>-492.61329999999998</v>
      </c>
      <c r="K2741">
        <v>1.123213</v>
      </c>
      <c r="L2741">
        <v>231.404</v>
      </c>
      <c r="M2741">
        <v>4.4187089999999998E-2</v>
      </c>
      <c r="N2741">
        <v>-9.1236790000000009E-3</v>
      </c>
      <c r="O2741">
        <v>-0.99898189999999998</v>
      </c>
      <c r="P2741">
        <v>0.27010849999999997</v>
      </c>
      <c r="Q2741">
        <v>0.16656199999999999</v>
      </c>
      <c r="R2741">
        <v>-0.94831370000000004</v>
      </c>
      <c r="S2741">
        <v>1.6563110000000001</v>
      </c>
      <c r="T2741">
        <v>-0.22143109999999999</v>
      </c>
      <c r="U2741">
        <v>-2.7379910000000001</v>
      </c>
      <c r="V2741">
        <v>-0.2289032</v>
      </c>
      <c r="W2741">
        <v>0.17404810000000001</v>
      </c>
      <c r="X2741">
        <v>0.95776329999999998</v>
      </c>
      <c r="Y2741">
        <v>-0.4781744</v>
      </c>
      <c r="Z2741">
        <v>6.0750949999999998E-2</v>
      </c>
      <c r="AA2741">
        <v>0.87616130000000003</v>
      </c>
      <c r="AB2741">
        <v>27</v>
      </c>
      <c r="AC2741">
        <v>0.52209999999996604</v>
      </c>
      <c r="AD2741">
        <v>-7.1463999999999903E-2</v>
      </c>
      <c r="AE2741">
        <v>-0.67630000000002599</v>
      </c>
      <c r="AF2741">
        <v>-0.48828882063465701</v>
      </c>
      <c r="AG2741">
        <v>-7.1463999999999903E-2</v>
      </c>
      <c r="AH2741">
        <v>0.69385598112797198</v>
      </c>
      <c r="AI2741">
        <v>94.814613195278795</v>
      </c>
      <c r="AJ2741">
        <v>125.135286371647</v>
      </c>
      <c r="AK2741">
        <v>0.85145123066435502</v>
      </c>
      <c r="AL2741">
        <v>79.976731592896698</v>
      </c>
      <c r="AM2741">
        <v>103.44141959481</v>
      </c>
      <c r="AN2741">
        <v>0.99999997745536895</v>
      </c>
    </row>
    <row r="2742" spans="1:40" x14ac:dyDescent="0.25">
      <c r="A2742" t="str">
        <f>"20190303162832239"</f>
        <v>20190303162832239</v>
      </c>
      <c r="B2742" t="str">
        <f>"1551601712234686"</f>
        <v>1551601712234686</v>
      </c>
      <c r="C2742" t="s">
        <v>40</v>
      </c>
      <c r="D2742">
        <v>4.4424429999999999</v>
      </c>
      <c r="E2742">
        <v>0.34201150000000002</v>
      </c>
      <c r="F2742" t="s">
        <v>44</v>
      </c>
      <c r="G2742">
        <v>-492.05169999999998</v>
      </c>
      <c r="H2742">
        <v>1.048144</v>
      </c>
      <c r="I2742">
        <v>230.4914</v>
      </c>
      <c r="J2742">
        <v>-492.60309999999998</v>
      </c>
      <c r="K2742">
        <v>1.123345</v>
      </c>
      <c r="L2742">
        <v>231.226</v>
      </c>
      <c r="M2742">
        <v>4.6413969999999999E-2</v>
      </c>
      <c r="N2742">
        <v>-9.1673840000000006E-3</v>
      </c>
      <c r="O2742">
        <v>-0.99888030000000005</v>
      </c>
      <c r="P2742">
        <v>0.27504329999999999</v>
      </c>
      <c r="Q2742">
        <v>0.1657855</v>
      </c>
      <c r="R2742">
        <v>-0.94703020000000004</v>
      </c>
      <c r="S2742">
        <v>1.67654399999999</v>
      </c>
      <c r="T2742">
        <v>-0.22420010000000001</v>
      </c>
      <c r="U2742">
        <v>-2.7253569999999998</v>
      </c>
      <c r="V2742">
        <v>-0.23180419999999999</v>
      </c>
      <c r="W2742">
        <v>0.17321879999999901</v>
      </c>
      <c r="X2742">
        <v>0.95721579999999995</v>
      </c>
      <c r="Y2742">
        <v>-0.48271009999999998</v>
      </c>
      <c r="Z2742">
        <v>6.1630699999999997E-2</v>
      </c>
      <c r="AA2742">
        <v>0.87360890000000002</v>
      </c>
      <c r="AB2742">
        <v>27</v>
      </c>
      <c r="AC2742">
        <v>0.551400000000001</v>
      </c>
      <c r="AD2742">
        <v>-7.5201000000000004E-2</v>
      </c>
      <c r="AE2742">
        <v>-0.73460000000000003</v>
      </c>
      <c r="AF2742">
        <v>-0.51326812687808898</v>
      </c>
      <c r="AG2742">
        <v>-7.5201000000000004E-2</v>
      </c>
      <c r="AH2742">
        <v>0.75434559826913805</v>
      </c>
      <c r="AI2742">
        <v>94.711708733852802</v>
      </c>
      <c r="AJ2742">
        <v>124.23196185574</v>
      </c>
      <c r="AK2742">
        <v>0.91549802954346504</v>
      </c>
      <c r="AL2742">
        <v>80.024980225932893</v>
      </c>
      <c r="AM2742">
        <v>103.612967032947</v>
      </c>
      <c r="AN2742">
        <v>1.00000001379036</v>
      </c>
    </row>
    <row r="2743" spans="1:40" x14ac:dyDescent="0.25">
      <c r="A2743" t="str">
        <f>"20190303162832260"</f>
        <v>20190303162832260</v>
      </c>
      <c r="B2743" t="str">
        <f>"1551601712254207"</f>
        <v>1551601712254207</v>
      </c>
      <c r="C2743" t="s">
        <v>40</v>
      </c>
      <c r="D2743">
        <v>4.3951449999999896</v>
      </c>
      <c r="E2743">
        <v>0.34221119999999999</v>
      </c>
      <c r="F2743" t="s">
        <v>44</v>
      </c>
      <c r="G2743">
        <v>-492.03620000000001</v>
      </c>
      <c r="H2743">
        <v>1.0113259999999999</v>
      </c>
      <c r="I2743">
        <v>230.4958</v>
      </c>
      <c r="J2743">
        <v>-492.5883</v>
      </c>
      <c r="K2743">
        <v>1.123523</v>
      </c>
      <c r="L2743">
        <v>230.97829999999999</v>
      </c>
      <c r="M2743">
        <v>4.9679960000000002E-2</v>
      </c>
      <c r="N2743">
        <v>-9.2270440000000002E-3</v>
      </c>
      <c r="O2743">
        <v>-0.99872269999999996</v>
      </c>
      <c r="P2743">
        <v>0.28338469999999999</v>
      </c>
      <c r="Q2743">
        <v>0.1646483</v>
      </c>
      <c r="R2743">
        <v>-0.94476680000000002</v>
      </c>
      <c r="S2743">
        <v>2.0514830000000002</v>
      </c>
      <c r="T2743">
        <v>-0.40547929999999999</v>
      </c>
      <c r="U2743">
        <v>-2.6429900000000002</v>
      </c>
      <c r="V2743">
        <v>-0.2371798</v>
      </c>
      <c r="W2743">
        <v>0.17199429999999999</v>
      </c>
      <c r="X2743">
        <v>0.9561191</v>
      </c>
      <c r="Y2743">
        <v>-0.56894869999999897</v>
      </c>
      <c r="Z2743">
        <v>0.1130357</v>
      </c>
      <c r="AA2743">
        <v>0.81456759999999995</v>
      </c>
      <c r="AB2743">
        <v>27</v>
      </c>
      <c r="AC2743">
        <v>0.55209999999999504</v>
      </c>
      <c r="AD2743">
        <v>-0.11219700000000001</v>
      </c>
      <c r="AE2743">
        <v>-0.48249999999998699</v>
      </c>
      <c r="AF2743">
        <v>-0.51537921221285499</v>
      </c>
      <c r="AG2743">
        <v>-0.11219700000000001</v>
      </c>
      <c r="AH2743">
        <v>0.49768063517521799</v>
      </c>
      <c r="AI2743">
        <v>98.900296537448895</v>
      </c>
      <c r="AJ2743">
        <v>136.00087928749599</v>
      </c>
      <c r="AK2743">
        <v>0.72518267617101295</v>
      </c>
      <c r="AL2743">
        <v>80.096207992596604</v>
      </c>
      <c r="AM2743">
        <v>103.931856846106</v>
      </c>
      <c r="AN2743">
        <v>1.00000001507267</v>
      </c>
    </row>
    <row r="2744" spans="1:40" x14ac:dyDescent="0.25">
      <c r="A2744" t="str">
        <f>"20190303162832285"</f>
        <v>20190303162832285</v>
      </c>
      <c r="B2744" t="str">
        <f>"1551601712273728"</f>
        <v>1551601712273728</v>
      </c>
      <c r="C2744" t="s">
        <v>40</v>
      </c>
      <c r="D2744">
        <v>4.3557790000000001</v>
      </c>
      <c r="E2744">
        <v>0.34326980000000001</v>
      </c>
      <c r="F2744" t="s">
        <v>44</v>
      </c>
      <c r="G2744">
        <v>-492.01679999999999</v>
      </c>
      <c r="H2744">
        <v>1.0101830000000001</v>
      </c>
      <c r="I2744">
        <v>230.25389999999999</v>
      </c>
      <c r="J2744">
        <v>-492.5686</v>
      </c>
      <c r="K2744">
        <v>1.123739</v>
      </c>
      <c r="L2744">
        <v>230.67449999999999</v>
      </c>
      <c r="M2744">
        <v>5.3989830000000003E-2</v>
      </c>
      <c r="N2744">
        <v>-9.2975360000000003E-3</v>
      </c>
      <c r="O2744">
        <v>-0.99849829999999995</v>
      </c>
      <c r="P2744">
        <v>0.29219479999999998</v>
      </c>
      <c r="Q2744">
        <v>0.1637344</v>
      </c>
      <c r="R2744">
        <v>-0.94223889999999999</v>
      </c>
      <c r="S2744">
        <v>2.0722960000000001</v>
      </c>
      <c r="T2744">
        <v>-0.41071669999999999</v>
      </c>
      <c r="U2744">
        <v>-2.6253359999999999</v>
      </c>
      <c r="V2744">
        <v>-0.24206520000000001</v>
      </c>
      <c r="W2744">
        <v>0.1709772</v>
      </c>
      <c r="X2744">
        <v>0.95507660000000005</v>
      </c>
      <c r="Y2744">
        <v>-0.5719225</v>
      </c>
      <c r="Z2744">
        <v>0.1147277</v>
      </c>
      <c r="AA2744">
        <v>0.812245199999999</v>
      </c>
      <c r="AB2744">
        <v>27</v>
      </c>
      <c r="AC2744">
        <v>0.55180000000001395</v>
      </c>
      <c r="AD2744">
        <v>-0.113556</v>
      </c>
      <c r="AE2744">
        <v>-0.42060000000000702</v>
      </c>
      <c r="AF2744">
        <v>-0.51450396481725302</v>
      </c>
      <c r="AG2744">
        <v>-0.113556</v>
      </c>
      <c r="AH2744">
        <v>0.43804541398442198</v>
      </c>
      <c r="AI2744">
        <v>99.539519184461</v>
      </c>
      <c r="AJ2744">
        <v>139.589137752878</v>
      </c>
      <c r="AK2744">
        <v>0.68519565064400201</v>
      </c>
      <c r="AL2744">
        <v>80.155359997942696</v>
      </c>
      <c r="AM2744">
        <v>104.222193065469</v>
      </c>
      <c r="AN2744">
        <v>1.00000003791921</v>
      </c>
    </row>
    <row r="2745" spans="1:40" x14ac:dyDescent="0.25">
      <c r="A2745" t="str">
        <f>"20190303162832298"</f>
        <v>20190303162832298</v>
      </c>
      <c r="B2745" t="str">
        <f>"1551601712284462"</f>
        <v>1551601712284462</v>
      </c>
      <c r="C2745" t="s">
        <v>40</v>
      </c>
      <c r="D2745">
        <v>4.4180970000000004</v>
      </c>
      <c r="E2745">
        <v>0.34444799999999998</v>
      </c>
      <c r="F2745" t="s">
        <v>47</v>
      </c>
      <c r="G2745">
        <v>-486.87619999999998</v>
      </c>
      <c r="H2745" s="1">
        <v>4.0722669999999997E-6</v>
      </c>
      <c r="I2745">
        <v>223.55629999999999</v>
      </c>
      <c r="J2745">
        <v>-492.5573</v>
      </c>
      <c r="K2745">
        <v>1.123861</v>
      </c>
      <c r="L2745">
        <v>230.51089999999999</v>
      </c>
      <c r="M2745">
        <v>5.6479580000000001E-2</v>
      </c>
      <c r="N2745">
        <v>-9.3342100000000008E-3</v>
      </c>
      <c r="O2745">
        <v>-0.99836009999999997</v>
      </c>
      <c r="P2745">
        <v>0.29704730000000001</v>
      </c>
      <c r="Q2745">
        <v>0.16277329999999901</v>
      </c>
      <c r="R2745">
        <v>-0.94088640000000001</v>
      </c>
      <c r="S2745">
        <v>2.0860599999999998</v>
      </c>
      <c r="T2745">
        <v>-0.41181020000000002</v>
      </c>
      <c r="U2745">
        <v>-2.6085660000000002</v>
      </c>
      <c r="V2745">
        <v>-0.24464540000000001</v>
      </c>
      <c r="W2745">
        <v>0.169955299999999</v>
      </c>
      <c r="X2745">
        <v>0.95460140000000004</v>
      </c>
      <c r="Y2745">
        <v>-0.57499060000000002</v>
      </c>
      <c r="Z2745">
        <v>0.115288</v>
      </c>
      <c r="AA2745">
        <v>0.80999659999999996</v>
      </c>
      <c r="AB2745">
        <v>28</v>
      </c>
      <c r="AC2745">
        <v>5.6811000000000096</v>
      </c>
      <c r="AD2745">
        <v>-1.1238569277329999</v>
      </c>
      <c r="AE2745">
        <v>-6.9545999999999903</v>
      </c>
      <c r="AF2745">
        <v>-5.1978094920962903</v>
      </c>
      <c r="AG2745">
        <v>-1.1238569277329999</v>
      </c>
      <c r="AH2745">
        <v>7.1523533667519104</v>
      </c>
      <c r="AI2745">
        <v>97.244050107695003</v>
      </c>
      <c r="AJ2745">
        <v>126.00692342111201</v>
      </c>
      <c r="AK2745">
        <v>8.91271207843198</v>
      </c>
      <c r="AL2745">
        <v>80.214779927234105</v>
      </c>
      <c r="AM2745">
        <v>104.374400261611</v>
      </c>
      <c r="AN2745">
        <v>1.0000000043106001</v>
      </c>
    </row>
    <row r="2746" spans="1:40" x14ac:dyDescent="0.25">
      <c r="A2746" t="str">
        <f>"20190303162832315"</f>
        <v>20190303162832315</v>
      </c>
      <c r="B2746" t="str">
        <f>"1551601712303983"</f>
        <v>1551601712303983</v>
      </c>
      <c r="C2746" t="s">
        <v>40</v>
      </c>
      <c r="D2746">
        <v>4.4375460000000002</v>
      </c>
      <c r="E2746">
        <v>0.34649439999999998</v>
      </c>
      <c r="F2746" t="s">
        <v>44</v>
      </c>
      <c r="G2746">
        <v>-491.96449999999999</v>
      </c>
      <c r="H2746">
        <v>1.006902</v>
      </c>
      <c r="I2746">
        <v>229.77289999999999</v>
      </c>
      <c r="J2746">
        <v>-492.54160000000002</v>
      </c>
      <c r="K2746">
        <v>1.124004</v>
      </c>
      <c r="L2746">
        <v>230.2953</v>
      </c>
      <c r="M2746">
        <v>5.9872469999999997E-2</v>
      </c>
      <c r="N2746">
        <v>-9.3806940000000002E-3</v>
      </c>
      <c r="O2746">
        <v>-0.99816199999999999</v>
      </c>
      <c r="P2746">
        <v>0.30626920000000002</v>
      </c>
      <c r="Q2746">
        <v>0.1604855</v>
      </c>
      <c r="R2746">
        <v>-0.93831960000000003</v>
      </c>
      <c r="S2746">
        <v>2.0896910000000002</v>
      </c>
      <c r="T2746">
        <v>-0.41202080000000002</v>
      </c>
      <c r="U2746">
        <v>-2.6000369999999999</v>
      </c>
      <c r="V2746">
        <v>-0.25080000000000002</v>
      </c>
      <c r="W2746">
        <v>0.1675625</v>
      </c>
      <c r="X2746">
        <v>0.95342649999999995</v>
      </c>
      <c r="Y2746">
        <v>-0.57418029999999998</v>
      </c>
      <c r="Z2746">
        <v>0.1155825</v>
      </c>
      <c r="AA2746">
        <v>0.81052919999999995</v>
      </c>
      <c r="AB2746">
        <v>28</v>
      </c>
      <c r="AC2746">
        <v>0.57710000000002903</v>
      </c>
      <c r="AD2746">
        <v>-0.117102</v>
      </c>
      <c r="AE2746">
        <v>-0.52240000000000397</v>
      </c>
      <c r="AF2746">
        <v>-0.53272990220156502</v>
      </c>
      <c r="AG2746">
        <v>-0.117102</v>
      </c>
      <c r="AH2746">
        <v>0.54371218052648995</v>
      </c>
      <c r="AI2746">
        <v>98.745753782568002</v>
      </c>
      <c r="AJ2746">
        <v>134.41546658503799</v>
      </c>
      <c r="AK2746">
        <v>0.77015385628883304</v>
      </c>
      <c r="AL2746">
        <v>80.353871835225704</v>
      </c>
      <c r="AM2746">
        <v>104.73784630480201</v>
      </c>
      <c r="AN2746">
        <v>0.99999996115424905</v>
      </c>
    </row>
    <row r="2747" spans="1:40" x14ac:dyDescent="0.25">
      <c r="A2747" t="str">
        <f>"20190303162832330"</f>
        <v>20190303162832330</v>
      </c>
      <c r="B2747" t="str">
        <f>"1551601712324478"</f>
        <v>1551601712324478</v>
      </c>
      <c r="C2747" t="s">
        <v>40</v>
      </c>
      <c r="D2747">
        <v>4.4138339999999996</v>
      </c>
      <c r="E2747">
        <v>0.34795300000000001</v>
      </c>
      <c r="F2747" t="s">
        <v>44</v>
      </c>
      <c r="G2747">
        <v>-491.92509999999999</v>
      </c>
      <c r="H2747">
        <v>1.0021450000000001</v>
      </c>
      <c r="I2747">
        <v>229.53559999999999</v>
      </c>
      <c r="J2747">
        <v>-492.52820000000003</v>
      </c>
      <c r="K2747">
        <v>1.124123</v>
      </c>
      <c r="L2747">
        <v>230.11959999999999</v>
      </c>
      <c r="M2747">
        <v>6.2752370000000002E-2</v>
      </c>
      <c r="N2747">
        <v>-9.4169539999999999E-3</v>
      </c>
      <c r="O2747">
        <v>-0.99798489999999995</v>
      </c>
      <c r="P2747">
        <v>0.3121447</v>
      </c>
      <c r="Q2747">
        <v>0.15878699999999901</v>
      </c>
      <c r="R2747">
        <v>-0.93667109999999998</v>
      </c>
      <c r="S2747">
        <v>2.0968019999999998</v>
      </c>
      <c r="T2747">
        <v>-0.41438390000000003</v>
      </c>
      <c r="U2747">
        <v>-2.5836790000000001</v>
      </c>
      <c r="V2747">
        <v>-0.25405</v>
      </c>
      <c r="W2747">
        <v>0.16579050000000001</v>
      </c>
      <c r="X2747">
        <v>0.95287569999999999</v>
      </c>
      <c r="Y2747">
        <v>-0.57558900000000002</v>
      </c>
      <c r="Z2747">
        <v>0.11666889999999901</v>
      </c>
      <c r="AA2747">
        <v>0.80937360000000003</v>
      </c>
      <c r="AB2747">
        <v>28</v>
      </c>
      <c r="AC2747">
        <v>0.60310000000004005</v>
      </c>
      <c r="AD2747">
        <v>-0.121977999999999</v>
      </c>
      <c r="AE2747">
        <v>-0.58400000000000296</v>
      </c>
      <c r="AF2747">
        <v>-0.55357579733732398</v>
      </c>
      <c r="AG2747">
        <v>-0.121977999999999</v>
      </c>
      <c r="AH2747">
        <v>0.60786400026478504</v>
      </c>
      <c r="AI2747">
        <v>98.439019812393994</v>
      </c>
      <c r="AJ2747">
        <v>132.323819466554</v>
      </c>
      <c r="AK2747">
        <v>0.83115789035511201</v>
      </c>
      <c r="AL2747">
        <v>80.456840672236098</v>
      </c>
      <c r="AM2747">
        <v>104.92859979505801</v>
      </c>
      <c r="AN2747">
        <v>0.99999999602037004</v>
      </c>
    </row>
    <row r="2748" spans="1:40" x14ac:dyDescent="0.25">
      <c r="A2748" t="str">
        <f>"20190303162832349"</f>
        <v>20190303162832349</v>
      </c>
      <c r="B2748" t="str">
        <f>"1551601712334239"</f>
        <v>1551601712334239</v>
      </c>
      <c r="C2748" t="s">
        <v>40</v>
      </c>
      <c r="D2748">
        <v>4.3861299999999996</v>
      </c>
      <c r="E2748">
        <v>0.348641799999999</v>
      </c>
      <c r="F2748" t="s">
        <v>47</v>
      </c>
      <c r="G2748">
        <v>-486.82709999999997</v>
      </c>
      <c r="H2748" s="1">
        <v>3.931817E-6</v>
      </c>
      <c r="I2748">
        <v>223.13810000000001</v>
      </c>
      <c r="J2748">
        <v>-492.50889999999998</v>
      </c>
      <c r="K2748">
        <v>1.1242920000000001</v>
      </c>
      <c r="L2748">
        <v>229.8792</v>
      </c>
      <c r="M2748">
        <v>6.6882689999999995E-2</v>
      </c>
      <c r="N2748">
        <v>-9.4658699999999995E-3</v>
      </c>
      <c r="O2748">
        <v>-0.99771609999999999</v>
      </c>
      <c r="P2748">
        <v>0.3216657</v>
      </c>
      <c r="Q2748">
        <v>0.15598000000000001</v>
      </c>
      <c r="R2748">
        <v>-0.9339172</v>
      </c>
      <c r="S2748">
        <v>2.1010439999999999</v>
      </c>
      <c r="T2748">
        <v>-0.41427330000000001</v>
      </c>
      <c r="U2748">
        <v>-2.5728909999999998</v>
      </c>
      <c r="V2748">
        <v>-0.25983129999999999</v>
      </c>
      <c r="W2748">
        <v>0.16286059999999999</v>
      </c>
      <c r="X2748">
        <v>0.95182140000000004</v>
      </c>
      <c r="Y2748">
        <v>-0.57465549999999999</v>
      </c>
      <c r="Z2748">
        <v>0.1169396</v>
      </c>
      <c r="AA2748">
        <v>0.80999759999999998</v>
      </c>
      <c r="AB2748">
        <v>28</v>
      </c>
      <c r="AC2748">
        <v>5.6818000000000097</v>
      </c>
      <c r="AD2748">
        <v>-1.1242880681829901</v>
      </c>
      <c r="AE2748">
        <v>-6.7410999999999799</v>
      </c>
      <c r="AF2748">
        <v>-5.1346894427570398</v>
      </c>
      <c r="AG2748">
        <v>-1.1242880681829901</v>
      </c>
      <c r="AH2748">
        <v>6.9923212349960302</v>
      </c>
      <c r="AI2748">
        <v>97.384330520576995</v>
      </c>
      <c r="AJ2748">
        <v>126.29105154624899</v>
      </c>
      <c r="AK2748">
        <v>8.7476634358664995</v>
      </c>
      <c r="AL2748">
        <v>80.627024465384096</v>
      </c>
      <c r="AM2748">
        <v>105.26876891113901</v>
      </c>
      <c r="AN2748">
        <v>0.99999992849500197</v>
      </c>
    </row>
    <row r="2749" spans="1:40" x14ac:dyDescent="0.25">
      <c r="A2749" t="str">
        <f>"20190303162832379"</f>
        <v>20190303162832379</v>
      </c>
      <c r="B2749" t="str">
        <f>"1551601712365470"</f>
        <v>1551601712365470</v>
      </c>
      <c r="C2749" t="s">
        <v>40</v>
      </c>
      <c r="D2749">
        <v>4.4071009999999999</v>
      </c>
      <c r="E2749">
        <v>0.35069349999999999</v>
      </c>
      <c r="F2749" t="s">
        <v>47</v>
      </c>
      <c r="G2749">
        <v>-486.85700000000003</v>
      </c>
      <c r="H2749" s="1">
        <v>3.9180009999999998E-6</v>
      </c>
      <c r="I2749">
        <v>223.07210000000001</v>
      </c>
      <c r="J2749">
        <v>-492.47829999999999</v>
      </c>
      <c r="K2749">
        <v>1.124566</v>
      </c>
      <c r="L2749">
        <v>229.52699999999999</v>
      </c>
      <c r="M2749">
        <v>7.3340790000000003E-2</v>
      </c>
      <c r="N2749">
        <v>-9.5428449999999995E-3</v>
      </c>
      <c r="O2749">
        <v>-0.99726130000000002</v>
      </c>
      <c r="P2749">
        <v>0.33167429999999998</v>
      </c>
      <c r="Q2749">
        <v>0.153997</v>
      </c>
      <c r="R2749">
        <v>-0.93074009999999996</v>
      </c>
      <c r="S2749">
        <v>2.1194760000000001</v>
      </c>
      <c r="T2749">
        <v>-0.42161080000000001</v>
      </c>
      <c r="U2749">
        <v>-2.552689</v>
      </c>
      <c r="V2749">
        <v>-0.26396320000000001</v>
      </c>
      <c r="W2749">
        <v>0.16072899999999901</v>
      </c>
      <c r="X2749">
        <v>0.95104659999999996</v>
      </c>
      <c r="Y2749">
        <v>-0.5757854</v>
      </c>
      <c r="Z2749">
        <v>0.1194479</v>
      </c>
      <c r="AA2749">
        <v>0.8088284</v>
      </c>
      <c r="AB2749">
        <v>28</v>
      </c>
      <c r="AC2749">
        <v>5.6213000000000104</v>
      </c>
      <c r="AD2749">
        <v>-1.1245620819990001</v>
      </c>
      <c r="AE2749">
        <v>-6.4549000000000003</v>
      </c>
      <c r="AF2749">
        <v>-5.0456371782138199</v>
      </c>
      <c r="AG2749">
        <v>-1.1245620819990001</v>
      </c>
      <c r="AH2749">
        <v>6.7335745191507002</v>
      </c>
      <c r="AI2749">
        <v>97.6124596326964</v>
      </c>
      <c r="AJ2749">
        <v>126.84514575889899</v>
      </c>
      <c r="AK2749">
        <v>8.4890588533358091</v>
      </c>
      <c r="AL2749">
        <v>80.750787574108799</v>
      </c>
      <c r="AM2749">
        <v>105.51200653584699</v>
      </c>
      <c r="AN2749">
        <v>1.0000000088834</v>
      </c>
    </row>
    <row r="2750" spans="1:40" x14ac:dyDescent="0.25">
      <c r="A2750" t="str">
        <f>"20190303162832394"</f>
        <v>20190303162832394</v>
      </c>
      <c r="B2750" t="str">
        <f>"1551601712384015"</f>
        <v>1551601712384015</v>
      </c>
      <c r="C2750" t="s">
        <v>40</v>
      </c>
      <c r="D2750">
        <v>4.4423309999999896</v>
      </c>
      <c r="E2750">
        <v>0.35144690000000001</v>
      </c>
      <c r="F2750" t="s">
        <v>44</v>
      </c>
      <c r="G2750">
        <v>-491.87020000000001</v>
      </c>
      <c r="H2750">
        <v>1.0049360000000001</v>
      </c>
      <c r="I2750">
        <v>228.80369999999999</v>
      </c>
      <c r="J2750">
        <v>-492.45949999999999</v>
      </c>
      <c r="K2750">
        <v>1.1247290000000001</v>
      </c>
      <c r="L2750">
        <v>229.3253</v>
      </c>
      <c r="M2750">
        <v>7.7270839999999993E-2</v>
      </c>
      <c r="N2750">
        <v>-9.5905220000000006E-3</v>
      </c>
      <c r="O2750">
        <v>-0.99696419999999997</v>
      </c>
      <c r="P2750">
        <v>0.33792909999999998</v>
      </c>
      <c r="Q2750">
        <v>0.15167020000000001</v>
      </c>
      <c r="R2750">
        <v>-0.92887059999999999</v>
      </c>
      <c r="S2750">
        <v>2.1307369999999999</v>
      </c>
      <c r="T2750">
        <v>-0.41892459999999998</v>
      </c>
      <c r="U2750">
        <v>-2.5332789999999998</v>
      </c>
      <c r="V2750">
        <v>-0.26663219999999999</v>
      </c>
      <c r="W2750">
        <v>0.15831039999999999</v>
      </c>
      <c r="X2750">
        <v>0.95070770000000004</v>
      </c>
      <c r="Y2750">
        <v>-0.5777525</v>
      </c>
      <c r="Z2750">
        <v>0.1190348</v>
      </c>
      <c r="AA2750">
        <v>0.80748549999999997</v>
      </c>
      <c r="AB2750">
        <v>28</v>
      </c>
      <c r="AC2750">
        <v>0.58929999999997995</v>
      </c>
      <c r="AD2750">
        <v>-0.119793</v>
      </c>
      <c r="AE2750">
        <v>-0.52160000000000595</v>
      </c>
      <c r="AF2750">
        <v>-0.53483917412080695</v>
      </c>
      <c r="AG2750">
        <v>-0.119793</v>
      </c>
      <c r="AH2750">
        <v>0.552770244654604</v>
      </c>
      <c r="AI2750">
        <v>98.852419221232495</v>
      </c>
      <c r="AJ2750">
        <v>134.055468279899</v>
      </c>
      <c r="AK2750">
        <v>0.77843320098691704</v>
      </c>
      <c r="AL2750">
        <v>80.891160815068901</v>
      </c>
      <c r="AM2750">
        <v>105.666500156843</v>
      </c>
      <c r="AN2750">
        <v>1.0000000218321401</v>
      </c>
    </row>
    <row r="2751" spans="1:40" x14ac:dyDescent="0.25">
      <c r="A2751" t="str">
        <f>"20190303162832417"</f>
        <v>20190303162832417</v>
      </c>
      <c r="B2751" t="str">
        <f>"1551601712404510"</f>
        <v>1551601712404510</v>
      </c>
      <c r="C2751" t="s">
        <v>40</v>
      </c>
      <c r="D2751">
        <v>4.4332739999999999</v>
      </c>
      <c r="E2751">
        <v>0.36476330000000001</v>
      </c>
      <c r="F2751" t="s">
        <v>44</v>
      </c>
      <c r="G2751">
        <v>-491.81650000000002</v>
      </c>
      <c r="H2751">
        <v>0.99805310000000003</v>
      </c>
      <c r="I2751">
        <v>228.56950000000001</v>
      </c>
      <c r="J2751">
        <v>-492.43299999999999</v>
      </c>
      <c r="K2751">
        <v>1.124965</v>
      </c>
      <c r="L2751">
        <v>229.05699999999999</v>
      </c>
      <c r="M2751">
        <v>8.2765290000000005E-2</v>
      </c>
      <c r="N2751">
        <v>-9.663016E-3</v>
      </c>
      <c r="O2751">
        <v>-0.99652220000000002</v>
      </c>
      <c r="P2751">
        <v>0.34595870000000001</v>
      </c>
      <c r="Q2751">
        <v>0.1502744</v>
      </c>
      <c r="R2751">
        <v>-0.92613699999999999</v>
      </c>
      <c r="S2751">
        <v>2.1425169999999998</v>
      </c>
      <c r="T2751">
        <v>-0.42220809999999998</v>
      </c>
      <c r="U2751">
        <v>-2.5192260000000002</v>
      </c>
      <c r="V2751">
        <v>-0.26968779999999998</v>
      </c>
      <c r="W2751">
        <v>0.15679000000000001</v>
      </c>
      <c r="X2751">
        <v>0.95009759999999999</v>
      </c>
      <c r="Y2751">
        <v>-0.57758279999999995</v>
      </c>
      <c r="Z2751">
        <v>0.12026299999999999</v>
      </c>
      <c r="AA2751">
        <v>0.8074249</v>
      </c>
      <c r="AB2751">
        <v>28</v>
      </c>
      <c r="AC2751">
        <v>0.61650000000003002</v>
      </c>
      <c r="AD2751">
        <v>-0.12691189999999999</v>
      </c>
      <c r="AE2751">
        <v>-0.48750000000001098</v>
      </c>
      <c r="AF2751">
        <v>-0.55944765118520701</v>
      </c>
      <c r="AG2751">
        <v>-0.12691189999999999</v>
      </c>
      <c r="AH2751">
        <v>0.52321223196927602</v>
      </c>
      <c r="AI2751">
        <v>99.407567069324003</v>
      </c>
      <c r="AJ2751">
        <v>136.91691032132201</v>
      </c>
      <c r="AK2751">
        <v>0.77642729502544305</v>
      </c>
      <c r="AL2751">
        <v>80.979375123124399</v>
      </c>
      <c r="AM2751">
        <v>105.846738094846</v>
      </c>
      <c r="AN2751">
        <v>1.0000000315472899</v>
      </c>
    </row>
    <row r="2752" spans="1:40" x14ac:dyDescent="0.25">
      <c r="A2752" t="str">
        <f>"20190303162832438"</f>
        <v>20190303162832438</v>
      </c>
      <c r="B2752" t="str">
        <f>"1551601712424031"</f>
        <v>1551601712424031</v>
      </c>
      <c r="C2752" t="s">
        <v>40</v>
      </c>
      <c r="D2752">
        <v>4.481751</v>
      </c>
      <c r="E2752">
        <v>0.3666198</v>
      </c>
      <c r="F2752" t="s">
        <v>44</v>
      </c>
      <c r="G2752">
        <v>-491.8279</v>
      </c>
      <c r="H2752">
        <v>1.0175479999999999</v>
      </c>
      <c r="I2752">
        <v>228.31530000000001</v>
      </c>
      <c r="J2752">
        <v>-492.40449999999998</v>
      </c>
      <c r="K2752">
        <v>1.125237</v>
      </c>
      <c r="L2752">
        <v>228.78700000000001</v>
      </c>
      <c r="M2752">
        <v>8.8633870000000003E-2</v>
      </c>
      <c r="N2752">
        <v>-9.7507410000000003E-3</v>
      </c>
      <c r="O2752">
        <v>-0.99601669999999998</v>
      </c>
      <c r="P2752">
        <v>0.35465200000000002</v>
      </c>
      <c r="Q2752">
        <v>0.14963979999999999</v>
      </c>
      <c r="R2752">
        <v>-0.92294679999999996</v>
      </c>
      <c r="S2752">
        <v>2.063599</v>
      </c>
      <c r="T2752">
        <v>-0.36604759999999997</v>
      </c>
      <c r="U2752">
        <v>-2.5278019999999999</v>
      </c>
      <c r="V2752">
        <v>-0.27311390000000002</v>
      </c>
      <c r="W2752">
        <v>0.1560223</v>
      </c>
      <c r="X2752">
        <v>0.94924489999999995</v>
      </c>
      <c r="Y2752">
        <v>-0.55750239999999995</v>
      </c>
      <c r="Z2752">
        <v>0.104674</v>
      </c>
      <c r="AA2752">
        <v>0.82354989999999995</v>
      </c>
      <c r="AB2752">
        <v>28</v>
      </c>
      <c r="AC2752">
        <v>0.57659999999998401</v>
      </c>
      <c r="AD2752">
        <v>-0.10768900000000001</v>
      </c>
      <c r="AE2752">
        <v>-0.47169999999999801</v>
      </c>
      <c r="AF2752">
        <v>-0.52161981723780204</v>
      </c>
      <c r="AG2752">
        <v>-0.10768900000000001</v>
      </c>
      <c r="AH2752">
        <v>0.51028878259745403</v>
      </c>
      <c r="AI2752">
        <v>98.394949594508802</v>
      </c>
      <c r="AJ2752">
        <v>135.62912003173801</v>
      </c>
      <c r="AK2752">
        <v>0.73761697113135205</v>
      </c>
      <c r="AL2752">
        <v>81.023909079698498</v>
      </c>
      <c r="AM2752">
        <v>106.051426891698</v>
      </c>
      <c r="AN2752">
        <v>1.00000002032325</v>
      </c>
    </row>
    <row r="2753" spans="1:40" x14ac:dyDescent="0.25">
      <c r="A2753" t="str">
        <f>"20190303162832464"</f>
        <v>20190303162832464</v>
      </c>
      <c r="B2753" t="str">
        <f>"1551601712455262"</f>
        <v>1551601712455262</v>
      </c>
      <c r="C2753" t="s">
        <v>40</v>
      </c>
      <c r="D2753">
        <v>4.52318</v>
      </c>
      <c r="E2753">
        <v>0.3684093</v>
      </c>
      <c r="F2753" t="s">
        <v>44</v>
      </c>
      <c r="G2753">
        <v>-491.81200000000001</v>
      </c>
      <c r="H2753">
        <v>1.0214730000000001</v>
      </c>
      <c r="I2753">
        <v>228.06890000000001</v>
      </c>
      <c r="J2753">
        <v>-492.37009999999998</v>
      </c>
      <c r="K2753">
        <v>1.125567</v>
      </c>
      <c r="L2753">
        <v>228.483</v>
      </c>
      <c r="M2753">
        <v>9.5645229999999998E-2</v>
      </c>
      <c r="N2753">
        <v>-9.8635010000000002E-3</v>
      </c>
      <c r="O2753">
        <v>-0.99536690000000005</v>
      </c>
      <c r="P2753">
        <v>0.36315530000000001</v>
      </c>
      <c r="Q2753">
        <v>0.14981410000000001</v>
      </c>
      <c r="R2753">
        <v>-0.91960549999999996</v>
      </c>
      <c r="S2753">
        <v>2.0730590000000002</v>
      </c>
      <c r="T2753">
        <v>-0.36311979999999999</v>
      </c>
      <c r="U2753">
        <v>-2.512756</v>
      </c>
      <c r="V2753">
        <v>-0.27531689999999998</v>
      </c>
      <c r="W2753">
        <v>0.1560674</v>
      </c>
      <c r="X2753">
        <v>0.94860080000000002</v>
      </c>
      <c r="Y2753">
        <v>-0.55597280000000004</v>
      </c>
      <c r="Z2753">
        <v>0.1040382</v>
      </c>
      <c r="AA2753">
        <v>0.82466379999999995</v>
      </c>
      <c r="AB2753">
        <v>28</v>
      </c>
      <c r="AC2753">
        <v>0.55810000000002402</v>
      </c>
      <c r="AD2753">
        <v>-0.10409400000000001</v>
      </c>
      <c r="AE2753">
        <v>-0.41409999999998998</v>
      </c>
      <c r="AF2753">
        <v>-0.50461107991820497</v>
      </c>
      <c r="AG2753">
        <v>-0.10409400000000001</v>
      </c>
      <c r="AH2753">
        <v>0.45536694483176798</v>
      </c>
      <c r="AI2753">
        <v>98.707030927433607</v>
      </c>
      <c r="AJ2753">
        <v>137.93653617149801</v>
      </c>
      <c r="AK2753">
        <v>0.68762413952510104</v>
      </c>
      <c r="AL2753">
        <v>81.021292385878596</v>
      </c>
      <c r="AM2753">
        <v>106.18456411761299</v>
      </c>
      <c r="AN2753">
        <v>0.99999995326450397</v>
      </c>
    </row>
    <row r="2754" spans="1:40" x14ac:dyDescent="0.25">
      <c r="A2754" t="str">
        <f>"20190303162832484"</f>
        <v>20190303162832484</v>
      </c>
      <c r="B2754" t="str">
        <f>"1551601712473806"</f>
        <v>1551601712473806</v>
      </c>
      <c r="C2754" t="s">
        <v>40</v>
      </c>
      <c r="D2754">
        <v>4.5098320000000003</v>
      </c>
      <c r="E2754">
        <v>0.36910569999999998</v>
      </c>
      <c r="F2754" t="s">
        <v>47</v>
      </c>
      <c r="G2754">
        <v>-485.8442</v>
      </c>
      <c r="H2754" s="1">
        <v>3.0365640000000001E-6</v>
      </c>
      <c r="I2754">
        <v>220.66229999999999</v>
      </c>
      <c r="J2754">
        <v>-492.33940000000001</v>
      </c>
      <c r="K2754">
        <v>1.1258490000000001</v>
      </c>
      <c r="L2754">
        <v>228.22980000000001</v>
      </c>
      <c r="M2754">
        <v>0.1018656</v>
      </c>
      <c r="N2754">
        <v>-9.9718140000000007E-3</v>
      </c>
      <c r="O2754">
        <v>-0.99474819999999997</v>
      </c>
      <c r="P2754">
        <v>0.37066130000000003</v>
      </c>
      <c r="Q2754">
        <v>0.15022849999999999</v>
      </c>
      <c r="R2754">
        <v>-0.91653770000000001</v>
      </c>
      <c r="S2754">
        <v>2.0842290000000001</v>
      </c>
      <c r="T2754">
        <v>-0.3594791</v>
      </c>
      <c r="U2754">
        <v>-2.497757</v>
      </c>
      <c r="V2754">
        <v>-0.27725929999999999</v>
      </c>
      <c r="W2754">
        <v>0.15637789999999999</v>
      </c>
      <c r="X2754">
        <v>0.94798380000000004</v>
      </c>
      <c r="Y2754">
        <v>-0.55545619999999996</v>
      </c>
      <c r="Z2754">
        <v>0.1031205</v>
      </c>
      <c r="AA2754">
        <v>0.82512700000000005</v>
      </c>
      <c r="AB2754">
        <v>28</v>
      </c>
      <c r="AC2754">
        <v>6.4952000000000103</v>
      </c>
      <c r="AD2754">
        <v>-1.1258459634360001</v>
      </c>
      <c r="AE2754">
        <v>-7.5675000000000203</v>
      </c>
      <c r="AF2754">
        <v>-5.6188918531665397</v>
      </c>
      <c r="AG2754">
        <v>-1.1258459634360001</v>
      </c>
      <c r="AH2754">
        <v>8.0867377806543299</v>
      </c>
      <c r="AI2754">
        <v>96.5223984102564</v>
      </c>
      <c r="AJ2754">
        <v>124.792654926973</v>
      </c>
      <c r="AK2754">
        <v>9.9113471699879696</v>
      </c>
      <c r="AL2754">
        <v>81.003281558237006</v>
      </c>
      <c r="AM2754">
        <v>106.302752556171</v>
      </c>
      <c r="AN2754">
        <v>1.0000000260536599</v>
      </c>
    </row>
    <row r="2755" spans="1:40" x14ac:dyDescent="0.25">
      <c r="A2755" t="str">
        <f>"20190303162832506"</f>
        <v>20190303162832506</v>
      </c>
      <c r="B2755" t="str">
        <f>"1551601712494302"</f>
        <v>1551601712494302</v>
      </c>
      <c r="C2755" t="s">
        <v>40</v>
      </c>
      <c r="D2755">
        <v>4.6543700000000001</v>
      </c>
      <c r="E2755">
        <v>0.36673889999999998</v>
      </c>
      <c r="F2755" t="s">
        <v>47</v>
      </c>
      <c r="G2755">
        <v>-485.6925</v>
      </c>
      <c r="H2755" s="1">
        <v>2.945477E-6</v>
      </c>
      <c r="I2755">
        <v>220.37209999999999</v>
      </c>
      <c r="J2755">
        <v>-492.30509999999998</v>
      </c>
      <c r="K2755">
        <v>1.1261219999999901</v>
      </c>
      <c r="L2755">
        <v>227.9649</v>
      </c>
      <c r="M2755">
        <v>0.1086747</v>
      </c>
      <c r="N2755">
        <v>-1.0090160000000001E-2</v>
      </c>
      <c r="O2755">
        <v>-0.99402619999999997</v>
      </c>
      <c r="P2755">
        <v>0.37916800000000001</v>
      </c>
      <c r="Q2755">
        <v>0.15091949999999901</v>
      </c>
      <c r="R2755">
        <v>-0.91293769999999996</v>
      </c>
      <c r="S2755">
        <v>2.0997919999999999</v>
      </c>
      <c r="T2755">
        <v>-0.35566170000000003</v>
      </c>
      <c r="U2755">
        <v>-2.4823149999999998</v>
      </c>
      <c r="V2755">
        <v>-0.27970509999999998</v>
      </c>
      <c r="W2755">
        <v>0.15697120000000001</v>
      </c>
      <c r="X2755">
        <v>0.94716690000000003</v>
      </c>
      <c r="Y2755">
        <v>-0.55539179999999999</v>
      </c>
      <c r="Z2755">
        <v>0.1020596</v>
      </c>
      <c r="AA2755">
        <v>0.82530219999999899</v>
      </c>
      <c r="AB2755">
        <v>28</v>
      </c>
      <c r="AC2755">
        <v>6.61259999999998</v>
      </c>
      <c r="AD2755">
        <v>-1.12611905452299</v>
      </c>
      <c r="AE2755">
        <v>-7.5928000000000102</v>
      </c>
      <c r="AF2755">
        <v>-5.6772273106175302</v>
      </c>
      <c r="AG2755">
        <v>-1.12611905452299</v>
      </c>
      <c r="AH2755">
        <v>8.16435552942486</v>
      </c>
      <c r="AI2755">
        <v>96.460851439097397</v>
      </c>
      <c r="AJ2755">
        <v>124.81349534076899</v>
      </c>
      <c r="AK2755">
        <v>10.007784733507799</v>
      </c>
      <c r="AL2755">
        <v>80.9688628435824</v>
      </c>
      <c r="AM2755">
        <v>106.452244164969</v>
      </c>
      <c r="AN2755">
        <v>1.00000001852552</v>
      </c>
    </row>
    <row r="2756" spans="1:40" x14ac:dyDescent="0.25">
      <c r="A2756" t="str">
        <f>"20190303162832526"</f>
        <v>20190303162832526</v>
      </c>
      <c r="B2756" t="str">
        <f>"1551601712513823"</f>
        <v>1551601712513823</v>
      </c>
      <c r="C2756" t="s">
        <v>40</v>
      </c>
      <c r="D2756">
        <v>4.5672969999999999</v>
      </c>
      <c r="E2756">
        <v>0.32604119999999998</v>
      </c>
      <c r="F2756" t="s">
        <v>47</v>
      </c>
      <c r="G2756">
        <v>-485.61430000000001</v>
      </c>
      <c r="H2756" s="1">
        <v>2.9119929999999998E-6</v>
      </c>
      <c r="I2756">
        <v>220.2833</v>
      </c>
      <c r="J2756">
        <v>-492.27080000000001</v>
      </c>
      <c r="K2756">
        <v>1.126369</v>
      </c>
      <c r="L2756">
        <v>227.71520000000001</v>
      </c>
      <c r="M2756">
        <v>0.1153715</v>
      </c>
      <c r="N2756">
        <v>-1.0207620000000001E-2</v>
      </c>
      <c r="O2756">
        <v>-0.99327010000000004</v>
      </c>
      <c r="P2756">
        <v>0.38796740000000002</v>
      </c>
      <c r="Q2756">
        <v>0.15090719999999999</v>
      </c>
      <c r="R2756">
        <v>-0.90923509999999996</v>
      </c>
      <c r="S2756">
        <v>2.139923</v>
      </c>
      <c r="T2756">
        <v>-0.36017189999999999</v>
      </c>
      <c r="U2756">
        <v>-2.456833</v>
      </c>
      <c r="V2756">
        <v>-0.28256019999999998</v>
      </c>
      <c r="W2756">
        <v>0.15687000000000001</v>
      </c>
      <c r="X2756">
        <v>0.94633590000000001</v>
      </c>
      <c r="Y2756">
        <v>-0.56162199999999995</v>
      </c>
      <c r="Z2756">
        <v>0.1033424</v>
      </c>
      <c r="AA2756">
        <v>0.82091479999999994</v>
      </c>
      <c r="AB2756">
        <v>28</v>
      </c>
      <c r="AC2756">
        <v>6.6564999999999896</v>
      </c>
      <c r="AD2756">
        <v>-1.1263660880070001</v>
      </c>
      <c r="AE2756">
        <v>-7.4319000000000104</v>
      </c>
      <c r="AF2756">
        <v>-5.68215092543561</v>
      </c>
      <c r="AG2756">
        <v>-1.1263660880070001</v>
      </c>
      <c r="AH2756">
        <v>8.04770702140903</v>
      </c>
      <c r="AI2756">
        <v>96.522547044120898</v>
      </c>
      <c r="AJ2756">
        <v>125.22432364252001</v>
      </c>
      <c r="AK2756">
        <v>9.9157010849499301</v>
      </c>
      <c r="AL2756">
        <v>80.974734194306805</v>
      </c>
      <c r="AM2756">
        <v>106.624752269222</v>
      </c>
      <c r="AN2756">
        <v>1.0000000495764201</v>
      </c>
    </row>
    <row r="2757" spans="1:40" x14ac:dyDescent="0.25">
      <c r="A2757" t="str">
        <f>"20190303162832549"</f>
        <v>20190303162832549</v>
      </c>
      <c r="B2757" t="str">
        <f>"1551601712544079"</f>
        <v>1551601712544079</v>
      </c>
      <c r="C2757" t="s">
        <v>40</v>
      </c>
      <c r="D2757">
        <v>4.6151470000000003</v>
      </c>
      <c r="E2757">
        <v>0.31752960000000002</v>
      </c>
      <c r="F2757" t="s">
        <v>47</v>
      </c>
      <c r="G2757">
        <v>-486.18799999999999</v>
      </c>
      <c r="H2757" s="1">
        <v>3.4306529999999998E-6</v>
      </c>
      <c r="I2757">
        <v>221.9777</v>
      </c>
      <c r="J2757">
        <v>-492.2269</v>
      </c>
      <c r="K2757">
        <v>1.12666</v>
      </c>
      <c r="L2757">
        <v>227.41640000000001</v>
      </c>
      <c r="M2757">
        <v>0.123792899999999</v>
      </c>
      <c r="N2757">
        <v>-1.03684E-2</v>
      </c>
      <c r="O2757">
        <v>-0.99225379999999996</v>
      </c>
      <c r="P2757">
        <v>0.40115230000000002</v>
      </c>
      <c r="Q2757">
        <v>0.15056889999999901</v>
      </c>
      <c r="R2757">
        <v>-0.90355189999999996</v>
      </c>
      <c r="S2757">
        <v>2.4637449999999999</v>
      </c>
      <c r="T2757">
        <v>-0.45622469999999998</v>
      </c>
      <c r="U2757">
        <v>-2.3239290000000001</v>
      </c>
      <c r="V2757">
        <v>-0.28839730000000002</v>
      </c>
      <c r="W2757">
        <v>0.15639810000000001</v>
      </c>
      <c r="X2757">
        <v>0.94465160000000004</v>
      </c>
      <c r="Y2757">
        <v>-0.63052569999999997</v>
      </c>
      <c r="Z2757">
        <v>0.1286506</v>
      </c>
      <c r="AA2757">
        <v>0.76543209999999995</v>
      </c>
      <c r="AB2757">
        <v>28</v>
      </c>
      <c r="AC2757">
        <v>6.0388999999999502</v>
      </c>
      <c r="AD2757">
        <v>-1.1266565693469901</v>
      </c>
      <c r="AE2757">
        <v>-5.4387000000000096</v>
      </c>
      <c r="AF2757">
        <v>-5.2188360486370096</v>
      </c>
      <c r="AG2757">
        <v>-1.1266565693469901</v>
      </c>
      <c r="AH2757">
        <v>6.0286122786141698</v>
      </c>
      <c r="AI2757">
        <v>98.042425380401497</v>
      </c>
      <c r="AJ2757">
        <v>130.882013261027</v>
      </c>
      <c r="AK2757">
        <v>8.0529355351737095</v>
      </c>
      <c r="AL2757">
        <v>81.002109591264002</v>
      </c>
      <c r="AM2757">
        <v>106.977162238525</v>
      </c>
      <c r="AN2757">
        <v>1.0000000068567301</v>
      </c>
    </row>
    <row r="2758" spans="1:40" x14ac:dyDescent="0.25">
      <c r="A2758" t="str">
        <f>"20190303162832576"</f>
        <v>20190303162832576</v>
      </c>
      <c r="B2758" t="str">
        <f>"1551601712564574"</f>
        <v>1551601712564574</v>
      </c>
      <c r="C2758" t="s">
        <v>40</v>
      </c>
      <c r="D2758">
        <v>4.6491300000000004</v>
      </c>
      <c r="E2758">
        <v>0.31770279999999901</v>
      </c>
      <c r="F2758" t="s">
        <v>47</v>
      </c>
      <c r="G2758">
        <v>-486.15300000000002</v>
      </c>
      <c r="H2758" s="1">
        <v>3.4412390000000002E-6</v>
      </c>
      <c r="I2758">
        <v>222.03700000000001</v>
      </c>
      <c r="J2758">
        <v>-492.17860000000002</v>
      </c>
      <c r="K2758">
        <v>1.1269800000000001</v>
      </c>
      <c r="L2758">
        <v>227.108</v>
      </c>
      <c r="M2758">
        <v>0.13293479999999999</v>
      </c>
      <c r="N2758">
        <v>-1.0562490000000001E-2</v>
      </c>
      <c r="O2758">
        <v>-0.99106859999999997</v>
      </c>
      <c r="P2758">
        <v>0.41333959999999997</v>
      </c>
      <c r="Q2758">
        <v>0.14943890000000001</v>
      </c>
      <c r="R2758">
        <v>-0.89823059999999999</v>
      </c>
      <c r="S2758">
        <v>2.5565190000000002</v>
      </c>
      <c r="T2758">
        <v>-0.47421350000000001</v>
      </c>
      <c r="U2758">
        <v>-2.2642060000000002</v>
      </c>
      <c r="V2758">
        <v>-0.29254869999999999</v>
      </c>
      <c r="W2758">
        <v>0.15517020000000001</v>
      </c>
      <c r="X2758">
        <v>0.94357690000000005</v>
      </c>
      <c r="Y2758">
        <v>-0.64679900000000001</v>
      </c>
      <c r="Z2758">
        <v>0.13324179999999999</v>
      </c>
      <c r="AA2758">
        <v>0.75093129999999997</v>
      </c>
      <c r="AB2758">
        <v>28</v>
      </c>
      <c r="AC2758">
        <v>6.0255999999999901</v>
      </c>
      <c r="AD2758">
        <v>-1.1269765587609999</v>
      </c>
      <c r="AE2758">
        <v>-5.07099999999999</v>
      </c>
      <c r="AF2758">
        <v>-5.1916533342624804</v>
      </c>
      <c r="AG2758">
        <v>-1.1269765587609999</v>
      </c>
      <c r="AH2758">
        <v>5.7101161707593304</v>
      </c>
      <c r="AI2758">
        <v>98.308182427793895</v>
      </c>
      <c r="AJ2758">
        <v>132.27719731926501</v>
      </c>
      <c r="AK2758">
        <v>7.7992799148846199</v>
      </c>
      <c r="AL2758">
        <v>81.073332120903402</v>
      </c>
      <c r="AM2758">
        <v>107.225644389858</v>
      </c>
      <c r="AN2758">
        <v>0.99999994952666804</v>
      </c>
    </row>
    <row r="2759" spans="1:40" x14ac:dyDescent="0.25">
      <c r="A2759" t="str">
        <f>"20190303162832601"</f>
        <v>20190303162832601</v>
      </c>
      <c r="B2759" t="str">
        <f>"1551601712593855"</f>
        <v>1551601712593855</v>
      </c>
      <c r="C2759" t="s">
        <v>40</v>
      </c>
      <c r="D2759">
        <v>4.2203799999999996</v>
      </c>
      <c r="E2759">
        <v>0.31806679999999998</v>
      </c>
      <c r="F2759" t="s">
        <v>47</v>
      </c>
      <c r="G2759">
        <v>-486.14109999999999</v>
      </c>
      <c r="H2759" s="1">
        <v>3.3951260000000002E-6</v>
      </c>
      <c r="I2759">
        <v>221.89660000000001</v>
      </c>
      <c r="J2759">
        <v>-492.1268</v>
      </c>
      <c r="K2759">
        <v>1.1273260000000001</v>
      </c>
      <c r="L2759">
        <v>226.7978</v>
      </c>
      <c r="M2759">
        <v>0.14261559999999901</v>
      </c>
      <c r="N2759">
        <v>-1.0774540000000001E-2</v>
      </c>
      <c r="O2759">
        <v>-0.98971969999999998</v>
      </c>
      <c r="P2759">
        <v>0.42674800000000002</v>
      </c>
      <c r="Q2759">
        <v>0.14662249999999999</v>
      </c>
      <c r="R2759">
        <v>-0.89240589999999997</v>
      </c>
      <c r="S2759">
        <v>2.5845340000000001</v>
      </c>
      <c r="T2759">
        <v>-0.48243330000000001</v>
      </c>
      <c r="U2759">
        <v>-2.2308500000000002</v>
      </c>
      <c r="V2759">
        <v>-0.29748239999999998</v>
      </c>
      <c r="W2759">
        <v>0.15223239999999999</v>
      </c>
      <c r="X2759">
        <v>0.94251229999999997</v>
      </c>
      <c r="Y2759">
        <v>-0.64868870000000001</v>
      </c>
      <c r="Z2759">
        <v>0.13591639999999999</v>
      </c>
      <c r="AA2759">
        <v>0.74881889999999995</v>
      </c>
      <c r="AB2759">
        <v>28</v>
      </c>
      <c r="AC2759">
        <v>5.9856999999999996</v>
      </c>
      <c r="AD2759">
        <v>-1.1273226048739999</v>
      </c>
      <c r="AE2759">
        <v>-4.9011999999999798</v>
      </c>
      <c r="AF2759">
        <v>-5.1168297340297402</v>
      </c>
      <c r="AG2759">
        <v>-1.1273226048739999</v>
      </c>
      <c r="AH2759">
        <v>5.5861820490975598</v>
      </c>
      <c r="AI2759">
        <v>98.464224353007495</v>
      </c>
      <c r="AJ2759">
        <v>132.48905362442201</v>
      </c>
      <c r="AK2759">
        <v>7.6588662782536296</v>
      </c>
      <c r="AL2759">
        <v>81.243680001009196</v>
      </c>
      <c r="AM2759">
        <v>107.517106954357</v>
      </c>
      <c r="AN2759">
        <v>0.99999995878540404</v>
      </c>
    </row>
    <row r="2760" spans="1:40" x14ac:dyDescent="0.25">
      <c r="A2760" t="str">
        <f>"20190303162832619"</f>
        <v>20190303162832619</v>
      </c>
      <c r="B2760" t="str">
        <f>"1551601712614350"</f>
        <v>1551601712614350</v>
      </c>
      <c r="C2760" t="s">
        <v>40</v>
      </c>
      <c r="D2760">
        <v>4.680491</v>
      </c>
      <c r="E2760">
        <v>0.31935540000000001</v>
      </c>
      <c r="F2760" t="s">
        <v>47</v>
      </c>
      <c r="G2760">
        <v>-486.0711</v>
      </c>
      <c r="H2760" s="1">
        <v>3.326991E-6</v>
      </c>
      <c r="I2760">
        <v>221.7268</v>
      </c>
      <c r="J2760">
        <v>-492.08870000000002</v>
      </c>
      <c r="K2760">
        <v>1.127594</v>
      </c>
      <c r="L2760">
        <v>226.5839</v>
      </c>
      <c r="M2760">
        <v>0.1496469</v>
      </c>
      <c r="N2760">
        <v>-1.0930759999999999E-2</v>
      </c>
      <c r="O2760">
        <v>-0.98867910000000003</v>
      </c>
      <c r="P2760">
        <v>0.43765480000000001</v>
      </c>
      <c r="Q2760">
        <v>0.14616179999999901</v>
      </c>
      <c r="R2760">
        <v>-0.88718349999999901</v>
      </c>
      <c r="S2760">
        <v>2.6160580000000002</v>
      </c>
      <c r="T2760">
        <v>-0.48700789999999999</v>
      </c>
      <c r="U2760">
        <v>-2.1906889999999999</v>
      </c>
      <c r="V2760">
        <v>-0.30241649999999998</v>
      </c>
      <c r="W2760">
        <v>0.15164279999999999</v>
      </c>
      <c r="X2760">
        <v>0.94103599999999998</v>
      </c>
      <c r="Y2760">
        <v>-0.65431010000000001</v>
      </c>
      <c r="Z2760">
        <v>0.137576799999999</v>
      </c>
      <c r="AA2760">
        <v>0.74360669999999995</v>
      </c>
      <c r="AB2760">
        <v>28</v>
      </c>
      <c r="AC2760">
        <v>6.0176000000000096</v>
      </c>
      <c r="AD2760">
        <v>-1.127590673009</v>
      </c>
      <c r="AE2760">
        <v>-4.8571</v>
      </c>
      <c r="AF2760">
        <v>-5.1142050126824703</v>
      </c>
      <c r="AG2760">
        <v>-1.127590673009</v>
      </c>
      <c r="AH2760">
        <v>5.5842433187633702</v>
      </c>
      <c r="AI2760">
        <v>98.469736537335294</v>
      </c>
      <c r="AJ2760">
        <v>132.484317172668</v>
      </c>
      <c r="AK2760">
        <v>7.6557381800030697</v>
      </c>
      <c r="AL2760">
        <v>81.277858903806305</v>
      </c>
      <c r="AM2760">
        <v>107.815613265832</v>
      </c>
      <c r="AN2760">
        <v>1.0000000157800399</v>
      </c>
    </row>
    <row r="2761" spans="1:40" x14ac:dyDescent="0.25">
      <c r="A2761" t="str">
        <f>"20190303162832640"</f>
        <v>20190303162832640</v>
      </c>
      <c r="B2761" t="str">
        <f>"1551601712633871"</f>
        <v>1551601712633871</v>
      </c>
      <c r="C2761" t="s">
        <v>40</v>
      </c>
      <c r="D2761">
        <v>4.7095640000000003</v>
      </c>
      <c r="E2761">
        <v>0.321965</v>
      </c>
      <c r="F2761" t="s">
        <v>47</v>
      </c>
      <c r="G2761">
        <v>-485.96980000000002</v>
      </c>
      <c r="H2761" s="1">
        <v>3.2571440000000001E-6</v>
      </c>
      <c r="I2761">
        <v>221.5592</v>
      </c>
      <c r="J2761">
        <v>-492.0385</v>
      </c>
      <c r="K2761">
        <v>1.12795499999999</v>
      </c>
      <c r="L2761">
        <v>226.31639999999999</v>
      </c>
      <c r="M2761">
        <v>0.15881770000000001</v>
      </c>
      <c r="N2761">
        <v>-1.113549E-2</v>
      </c>
      <c r="O2761">
        <v>-0.98724520000000004</v>
      </c>
      <c r="P2761">
        <v>0.449322</v>
      </c>
      <c r="Q2761">
        <v>0.14726620000000001</v>
      </c>
      <c r="R2761">
        <v>-0.88114840000000005</v>
      </c>
      <c r="S2761">
        <v>2.63327</v>
      </c>
      <c r="T2761">
        <v>-0.48526079999999999</v>
      </c>
      <c r="U2761">
        <v>-2.1623839999999999</v>
      </c>
      <c r="V2761">
        <v>-0.3062763</v>
      </c>
      <c r="W2761">
        <v>0.15261369999999999</v>
      </c>
      <c r="X2761">
        <v>0.93962970000000001</v>
      </c>
      <c r="Y2761">
        <v>-0.65450779999999997</v>
      </c>
      <c r="Z2761">
        <v>0.13741529999999999</v>
      </c>
      <c r="AA2761">
        <v>0.74346259999999997</v>
      </c>
      <c r="AB2761">
        <v>28</v>
      </c>
      <c r="AC2761">
        <v>6.0686999999999696</v>
      </c>
      <c r="AD2761">
        <v>-1.12795174285599</v>
      </c>
      <c r="AE2761">
        <v>-4.7571999999999797</v>
      </c>
      <c r="AF2761">
        <v>-5.1264013483372199</v>
      </c>
      <c r="AG2761">
        <v>-1.12795174285599</v>
      </c>
      <c r="AH2761">
        <v>5.5421052299760003</v>
      </c>
      <c r="AI2761">
        <v>98.497562807007</v>
      </c>
      <c r="AJ2761">
        <v>132.76856916956501</v>
      </c>
      <c r="AK2761">
        <v>7.6332952450807801</v>
      </c>
      <c r="AL2761">
        <v>81.221575575094406</v>
      </c>
      <c r="AM2761">
        <v>108.05359926246</v>
      </c>
      <c r="AN2761">
        <v>1.0000000432457301</v>
      </c>
    </row>
    <row r="2762" spans="1:40" x14ac:dyDescent="0.25">
      <c r="A2762" t="str">
        <f>"20190303162832667"</f>
        <v>20190303162832667</v>
      </c>
      <c r="B2762" t="str">
        <f>"1551601712654366"</f>
        <v>1551601712654366</v>
      </c>
      <c r="C2762" t="s">
        <v>40</v>
      </c>
      <c r="D2762">
        <v>4.712288</v>
      </c>
      <c r="E2762">
        <v>0.32330819999999999</v>
      </c>
      <c r="F2762" t="s">
        <v>47</v>
      </c>
      <c r="G2762">
        <v>-485.7321</v>
      </c>
      <c r="H2762" s="1">
        <v>3.1403240000000001E-6</v>
      </c>
      <c r="I2762">
        <v>221.2216</v>
      </c>
      <c r="J2762">
        <v>-491.97680000000003</v>
      </c>
      <c r="K2762">
        <v>1.128387</v>
      </c>
      <c r="L2762">
        <v>226.0085</v>
      </c>
      <c r="M2762">
        <v>0.1699696</v>
      </c>
      <c r="N2762">
        <v>-1.138201E-2</v>
      </c>
      <c r="O2762">
        <v>-0.98538369999999997</v>
      </c>
      <c r="P2762">
        <v>0.46154840000000003</v>
      </c>
      <c r="Q2762">
        <v>0.1490456</v>
      </c>
      <c r="R2762">
        <v>-0.87450469999999902</v>
      </c>
      <c r="S2762">
        <v>2.6435550000000001</v>
      </c>
      <c r="T2762">
        <v>-0.47281859999999998</v>
      </c>
      <c r="U2762">
        <v>-2.1356510000000002</v>
      </c>
      <c r="V2762">
        <v>-0.30897580000000002</v>
      </c>
      <c r="W2762">
        <v>0.1542666</v>
      </c>
      <c r="X2762">
        <v>0.93847530000000001</v>
      </c>
      <c r="Y2762">
        <v>-0.65231749999999999</v>
      </c>
      <c r="Z2762">
        <v>0.1341861</v>
      </c>
      <c r="AA2762">
        <v>0.7459732</v>
      </c>
      <c r="AB2762">
        <v>28</v>
      </c>
      <c r="AC2762">
        <v>6.2447000000000203</v>
      </c>
      <c r="AD2762">
        <v>-1.1283838596760001</v>
      </c>
      <c r="AE2762">
        <v>-4.7869000000000002</v>
      </c>
      <c r="AF2762">
        <v>-5.2325315495109201</v>
      </c>
      <c r="AG2762">
        <v>-1.1283838596760001</v>
      </c>
      <c r="AH2762">
        <v>5.66226629606534</v>
      </c>
      <c r="AI2762">
        <v>98.326552207571396</v>
      </c>
      <c r="AJ2762">
        <v>132.741194437807</v>
      </c>
      <c r="AK2762">
        <v>7.7919122273651196</v>
      </c>
      <c r="AL2762">
        <v>81.125736580024693</v>
      </c>
      <c r="AM2762">
        <v>108.223182544783</v>
      </c>
      <c r="AN2762">
        <v>1.0000000587856399</v>
      </c>
    </row>
    <row r="2763" spans="1:40" x14ac:dyDescent="0.25">
      <c r="A2763" t="str">
        <f>"20190303162832685"</f>
        <v>20190303162832685</v>
      </c>
      <c r="B2763" t="str">
        <f>"1551601712673886"</f>
        <v>1551601712673886</v>
      </c>
      <c r="C2763" t="s">
        <v>40</v>
      </c>
      <c r="D2763">
        <v>4.7558400000000001</v>
      </c>
      <c r="E2763">
        <v>0.32473000000000002</v>
      </c>
      <c r="F2763" t="s">
        <v>47</v>
      </c>
      <c r="G2763">
        <v>-485.46519999999998</v>
      </c>
      <c r="H2763" s="1">
        <v>3.0157519999999999E-6</v>
      </c>
      <c r="I2763">
        <v>220.87219999999999</v>
      </c>
      <c r="J2763">
        <v>-491.92930000000001</v>
      </c>
      <c r="K2763">
        <v>1.1286940000000001</v>
      </c>
      <c r="L2763">
        <v>225.7841</v>
      </c>
      <c r="M2763">
        <v>0.17846879999999901</v>
      </c>
      <c r="N2763">
        <v>-1.156391E-2</v>
      </c>
      <c r="O2763">
        <v>-0.98387780000000002</v>
      </c>
      <c r="P2763">
        <v>0.47013480000000002</v>
      </c>
      <c r="Q2763">
        <v>0.15045149999999999</v>
      </c>
      <c r="R2763">
        <v>-0.86967689999999997</v>
      </c>
      <c r="S2763">
        <v>2.6654049999999998</v>
      </c>
      <c r="T2763">
        <v>-0.46188639999999997</v>
      </c>
      <c r="U2763">
        <v>-2.1024479999999999</v>
      </c>
      <c r="V2763">
        <v>-0.31029640000000003</v>
      </c>
      <c r="W2763">
        <v>0.15559410000000001</v>
      </c>
      <c r="X2763">
        <v>0.93782010000000005</v>
      </c>
      <c r="Y2763">
        <v>-0.65482949999999995</v>
      </c>
      <c r="Z2763">
        <v>0.13120999999999999</v>
      </c>
      <c r="AA2763">
        <v>0.74429990000000001</v>
      </c>
      <c r="AB2763">
        <v>28</v>
      </c>
      <c r="AC2763">
        <v>6.4641000000000197</v>
      </c>
      <c r="AD2763">
        <v>-1.128690984248</v>
      </c>
      <c r="AE2763">
        <v>-4.9119000000000002</v>
      </c>
      <c r="AF2763">
        <v>-5.3796506520462204</v>
      </c>
      <c r="AG2763">
        <v>-1.128690984248</v>
      </c>
      <c r="AH2763">
        <v>5.8732301786718102</v>
      </c>
      <c r="AI2763">
        <v>98.065835240765693</v>
      </c>
      <c r="AJ2763">
        <v>132.48847349392699</v>
      </c>
      <c r="AK2763">
        <v>8.0442163824480293</v>
      </c>
      <c r="AL2763">
        <v>81.048745917568894</v>
      </c>
      <c r="AM2763">
        <v>108.30782283177901</v>
      </c>
      <c r="AN2763">
        <v>0.99999995988588897</v>
      </c>
    </row>
    <row r="2764" spans="1:40" x14ac:dyDescent="0.25">
      <c r="A2764" t="str">
        <f>"20190303162832709"</f>
        <v>20190303162832709</v>
      </c>
      <c r="B2764" t="str">
        <f>"1551601712704143"</f>
        <v>1551601712704143</v>
      </c>
      <c r="C2764" t="s">
        <v>40</v>
      </c>
      <c r="D2764">
        <v>4.7943210000000001</v>
      </c>
      <c r="E2764">
        <v>0.32637899999999997</v>
      </c>
      <c r="F2764" t="s">
        <v>47</v>
      </c>
      <c r="G2764">
        <v>-485.2568</v>
      </c>
      <c r="H2764" s="1">
        <v>2.9181169999999999E-6</v>
      </c>
      <c r="I2764">
        <v>220.59780000000001</v>
      </c>
      <c r="J2764">
        <v>-491.86439999999999</v>
      </c>
      <c r="K2764">
        <v>1.1290469999999999</v>
      </c>
      <c r="L2764">
        <v>225.4957</v>
      </c>
      <c r="M2764">
        <v>0.1898532</v>
      </c>
      <c r="N2764">
        <v>-1.178952E-2</v>
      </c>
      <c r="O2764">
        <v>-0.9817418</v>
      </c>
      <c r="P2764">
        <v>0.48152279999999997</v>
      </c>
      <c r="Q2764">
        <v>0.1508072</v>
      </c>
      <c r="R2764">
        <v>-0.86336139999999995</v>
      </c>
      <c r="S2764">
        <v>2.6770320000000001</v>
      </c>
      <c r="T2764">
        <v>-0.45283649999999998</v>
      </c>
      <c r="U2764">
        <v>-2.0807500000000001</v>
      </c>
      <c r="V2764">
        <v>-0.31191029999999997</v>
      </c>
      <c r="W2764">
        <v>0.15587110000000001</v>
      </c>
      <c r="X2764">
        <v>0.93723860000000003</v>
      </c>
      <c r="Y2764">
        <v>-0.65170989999999995</v>
      </c>
      <c r="Z2764">
        <v>0.1287364</v>
      </c>
      <c r="AA2764">
        <v>0.74746319999999999</v>
      </c>
      <c r="AB2764">
        <v>28</v>
      </c>
      <c r="AC2764">
        <v>6.6075999999999899</v>
      </c>
      <c r="AD2764">
        <v>-1.1290440818830001</v>
      </c>
      <c r="AE2764">
        <v>-4.8978999999999902</v>
      </c>
      <c r="AF2764">
        <v>-5.4546771162927703</v>
      </c>
      <c r="AG2764">
        <v>-1.1290440818830001</v>
      </c>
      <c r="AH2764">
        <v>5.9512276506127799</v>
      </c>
      <c r="AI2764">
        <v>97.961588692967197</v>
      </c>
      <c r="AJ2764">
        <v>132.507230032157</v>
      </c>
      <c r="AK2764">
        <v>8.1514019365543007</v>
      </c>
      <c r="AL2764">
        <v>81.032679447986297</v>
      </c>
      <c r="AM2764">
        <v>108.407293515501</v>
      </c>
      <c r="AN2764">
        <v>1.00000001419563</v>
      </c>
    </row>
    <row r="2765" spans="1:40" x14ac:dyDescent="0.25">
      <c r="A2765" t="str">
        <f>"20190303162832732"</f>
        <v>20190303162832732</v>
      </c>
      <c r="B2765" t="str">
        <f>"1551601712724638"</f>
        <v>1551601712724638</v>
      </c>
      <c r="C2765" t="s">
        <v>40</v>
      </c>
      <c r="D2765">
        <v>4.8016430000000003</v>
      </c>
      <c r="E2765">
        <v>0.3273586</v>
      </c>
      <c r="F2765" t="s">
        <v>47</v>
      </c>
      <c r="G2765">
        <v>-485.08969999999999</v>
      </c>
      <c r="H2765" s="1">
        <v>2.8306040000000002E-6</v>
      </c>
      <c r="I2765">
        <v>220.33609999999999</v>
      </c>
      <c r="J2765">
        <v>-491.7987</v>
      </c>
      <c r="K2765">
        <v>1.1293470000000001</v>
      </c>
      <c r="L2765">
        <v>225.21969999999999</v>
      </c>
      <c r="M2765">
        <v>0.2011722</v>
      </c>
      <c r="N2765">
        <v>-1.199162E-2</v>
      </c>
      <c r="O2765">
        <v>-0.97948259999999998</v>
      </c>
      <c r="P2765">
        <v>0.49221300000000001</v>
      </c>
      <c r="Q2765">
        <v>0.14916570000000001</v>
      </c>
      <c r="R2765">
        <v>-0.857599</v>
      </c>
      <c r="S2765">
        <v>2.6932070000000001</v>
      </c>
      <c r="T2765">
        <v>-0.4488355</v>
      </c>
      <c r="U2765">
        <v>-2.0511170000000001</v>
      </c>
      <c r="V2765">
        <v>-0.31276340000000002</v>
      </c>
      <c r="W2765">
        <v>0.15417990000000001</v>
      </c>
      <c r="X2765">
        <v>0.93723400000000001</v>
      </c>
      <c r="Y2765">
        <v>-0.65046009999999999</v>
      </c>
      <c r="Z2765">
        <v>0.12786259999999999</v>
      </c>
      <c r="AA2765">
        <v>0.7487007</v>
      </c>
      <c r="AB2765">
        <v>28</v>
      </c>
      <c r="AC2765">
        <v>6.7089999999999996</v>
      </c>
      <c r="AD2765">
        <v>-1.12934416939599</v>
      </c>
      <c r="AE2765">
        <v>-4.8836000000000004</v>
      </c>
      <c r="AF2765">
        <v>-5.4876638454059501</v>
      </c>
      <c r="AG2765">
        <v>-1.12934416939599</v>
      </c>
      <c r="AH2765">
        <v>6.0219679278104703</v>
      </c>
      <c r="AI2765">
        <v>97.891805853643206</v>
      </c>
      <c r="AJ2765">
        <v>132.34210381861399</v>
      </c>
      <c r="AK2765">
        <v>8.2252033687138795</v>
      </c>
      <c r="AL2765">
        <v>81.130763555864107</v>
      </c>
      <c r="AM2765">
        <v>108.454317192313</v>
      </c>
      <c r="AN2765">
        <v>0.99999997834978405</v>
      </c>
    </row>
    <row r="2766" spans="1:40" x14ac:dyDescent="0.25">
      <c r="A2766" t="str">
        <f>"20190303162832754"</f>
        <v>20190303162832754</v>
      </c>
      <c r="B2766" t="str">
        <f>"1551601712744159"</f>
        <v>1551601712744159</v>
      </c>
      <c r="C2766" t="s">
        <v>40</v>
      </c>
      <c r="D2766">
        <v>4.8244800000000003</v>
      </c>
      <c r="E2766">
        <v>0.32819549999999997</v>
      </c>
      <c r="F2766" t="s">
        <v>47</v>
      </c>
      <c r="G2766">
        <v>-485.1062</v>
      </c>
      <c r="H2766" s="1">
        <v>2.8085479999999999E-6</v>
      </c>
      <c r="I2766">
        <v>220.22309999999999</v>
      </c>
      <c r="J2766">
        <v>-491.73160000000001</v>
      </c>
      <c r="K2766">
        <v>1.1295949999999999</v>
      </c>
      <c r="L2766">
        <v>224.95310000000001</v>
      </c>
      <c r="M2766">
        <v>0.21249390000000001</v>
      </c>
      <c r="N2766">
        <v>-1.217856E-2</v>
      </c>
      <c r="O2766">
        <v>-0.97708669999999997</v>
      </c>
      <c r="P2766">
        <v>0.50359739999999997</v>
      </c>
      <c r="Q2766">
        <v>0.14584469999999999</v>
      </c>
      <c r="R2766">
        <v>-0.85153899999999905</v>
      </c>
      <c r="S2766">
        <v>2.7092290000000001</v>
      </c>
      <c r="T2766">
        <v>-0.4571788</v>
      </c>
      <c r="U2766">
        <v>-2.0227360000000001</v>
      </c>
      <c r="V2766">
        <v>-0.31431989999999999</v>
      </c>
      <c r="W2766">
        <v>0.15080289999999999</v>
      </c>
      <c r="X2766">
        <v>0.93726279999999995</v>
      </c>
      <c r="Y2766">
        <v>-0.64857109999999996</v>
      </c>
      <c r="Z2766">
        <v>0.130693</v>
      </c>
      <c r="AA2766">
        <v>0.74984989999999996</v>
      </c>
      <c r="AB2766">
        <v>28</v>
      </c>
      <c r="AC2766">
        <v>6.6254000000000097</v>
      </c>
      <c r="AD2766">
        <v>-1.129592191452</v>
      </c>
      <c r="AE2766">
        <v>-4.7300000000000102</v>
      </c>
      <c r="AF2766">
        <v>-5.3655864548442898</v>
      </c>
      <c r="AG2766">
        <v>-1.129592191452</v>
      </c>
      <c r="AH2766">
        <v>5.9160128219752197</v>
      </c>
      <c r="AI2766">
        <v>98.050102095375493</v>
      </c>
      <c r="AJ2766">
        <v>132.206768418292</v>
      </c>
      <c r="AK2766">
        <v>8.0662695363577495</v>
      </c>
      <c r="AL2766">
        <v>81.326541664313993</v>
      </c>
      <c r="AM2766">
        <v>108.53936234083299</v>
      </c>
      <c r="AN2766">
        <v>1.0000000352241201</v>
      </c>
    </row>
    <row r="2767" spans="1:40" x14ac:dyDescent="0.25">
      <c r="A2767" t="str">
        <f>"20190303162832777"</f>
        <v>20190303162832777</v>
      </c>
      <c r="B2767" t="str">
        <f>"1551601712774415"</f>
        <v>1551601712774415</v>
      </c>
      <c r="C2767" t="s">
        <v>40</v>
      </c>
      <c r="D2767">
        <v>4.8343629999999997</v>
      </c>
      <c r="E2767">
        <v>0.33948729999999999</v>
      </c>
      <c r="F2767" t="s">
        <v>47</v>
      </c>
      <c r="G2767">
        <v>-485.24340000000001</v>
      </c>
      <c r="H2767" s="1">
        <v>2.8298859999999998E-6</v>
      </c>
      <c r="I2767">
        <v>220.20949999999999</v>
      </c>
      <c r="J2767">
        <v>-491.66129999999998</v>
      </c>
      <c r="K2767">
        <v>1.129829</v>
      </c>
      <c r="L2767">
        <v>224.68790000000001</v>
      </c>
      <c r="M2767">
        <v>0.22411410000000001</v>
      </c>
      <c r="N2767">
        <v>-1.235635E-2</v>
      </c>
      <c r="O2767">
        <v>-0.97448469999999998</v>
      </c>
      <c r="P2767">
        <v>0.51663249999999905</v>
      </c>
      <c r="Q2767">
        <v>0.14154410000000001</v>
      </c>
      <c r="R2767">
        <v>-0.84442680000000003</v>
      </c>
      <c r="S2767">
        <v>2.7253720000000001</v>
      </c>
      <c r="T2767">
        <v>-0.4744873</v>
      </c>
      <c r="U2767">
        <v>-1.992569</v>
      </c>
      <c r="V2767">
        <v>-0.31741370000000002</v>
      </c>
      <c r="W2767">
        <v>0.14641179999999901</v>
      </c>
      <c r="X2767">
        <v>0.93691630000000004</v>
      </c>
      <c r="Y2767">
        <v>-0.64645509999999995</v>
      </c>
      <c r="Z2767">
        <v>0.1362932</v>
      </c>
      <c r="AA2767">
        <v>0.750679599999999</v>
      </c>
      <c r="AB2767">
        <v>28</v>
      </c>
      <c r="AC2767">
        <v>6.4178999999999702</v>
      </c>
      <c r="AD2767">
        <v>-1.129826170114</v>
      </c>
      <c r="AE2767">
        <v>-4.4784000000000201</v>
      </c>
      <c r="AF2767">
        <v>-5.14366633450976</v>
      </c>
      <c r="AG2767">
        <v>-1.129826170114</v>
      </c>
      <c r="AH2767">
        <v>5.6844387756905004</v>
      </c>
      <c r="AI2767">
        <v>98.383796701959994</v>
      </c>
      <c r="AJ2767">
        <v>132.14093490379599</v>
      </c>
      <c r="AK2767">
        <v>7.7489776570859501</v>
      </c>
      <c r="AL2767">
        <v>81.580958153280804</v>
      </c>
      <c r="AM2767">
        <v>108.71563734519199</v>
      </c>
      <c r="AN2767">
        <v>1.00000001266631</v>
      </c>
    </row>
    <row r="2768" spans="1:40" x14ac:dyDescent="0.25">
      <c r="A2768" t="str">
        <f>"20190303162832799"</f>
        <v>20190303162832799</v>
      </c>
      <c r="B2768" t="str">
        <f>"1551601712793935"</f>
        <v>1551601712793935</v>
      </c>
      <c r="C2768" t="s">
        <v>40</v>
      </c>
      <c r="D2768">
        <v>4.8554170000000001</v>
      </c>
      <c r="E2768">
        <v>0.33991850000000001</v>
      </c>
      <c r="F2768" t="s">
        <v>47</v>
      </c>
      <c r="G2768">
        <v>-485.49540000000002</v>
      </c>
      <c r="H2768" s="1">
        <v>2.8456549999999999E-6</v>
      </c>
      <c r="I2768">
        <v>220.0787</v>
      </c>
      <c r="J2768">
        <v>-491.59050000000002</v>
      </c>
      <c r="K2768">
        <v>1.1300490000000001</v>
      </c>
      <c r="L2768">
        <v>224.43360000000001</v>
      </c>
      <c r="M2768">
        <v>0.2355614</v>
      </c>
      <c r="N2768">
        <v>-1.2516609999999999E-2</v>
      </c>
      <c r="O2768">
        <v>-0.97177880000000005</v>
      </c>
      <c r="P2768">
        <v>0.53037979999999996</v>
      </c>
      <c r="Q2768">
        <v>0.1390895</v>
      </c>
      <c r="R2768">
        <v>-0.83627220000000002</v>
      </c>
      <c r="S2768">
        <v>2.67395</v>
      </c>
      <c r="T2768">
        <v>-0.48996909999999999</v>
      </c>
      <c r="U2768">
        <v>-1.998856</v>
      </c>
      <c r="V2768">
        <v>-0.32165860000000002</v>
      </c>
      <c r="W2768">
        <v>0.14383070000000001</v>
      </c>
      <c r="X2768">
        <v>0.93586780000000003</v>
      </c>
      <c r="Y2768">
        <v>-0.62871160000000004</v>
      </c>
      <c r="Z2768">
        <v>0.14237669999999999</v>
      </c>
      <c r="AA2768">
        <v>0.76449369999999905</v>
      </c>
      <c r="AB2768">
        <v>28</v>
      </c>
      <c r="AC2768">
        <v>6.0951000000000004</v>
      </c>
      <c r="AD2768">
        <v>-1.130046154345</v>
      </c>
      <c r="AE2768">
        <v>-4.3549000000000104</v>
      </c>
      <c r="AF2768">
        <v>-4.7886524042467196</v>
      </c>
      <c r="AG2768">
        <v>-1.130046154345</v>
      </c>
      <c r="AH2768">
        <v>5.5420940921577602</v>
      </c>
      <c r="AI2768">
        <v>98.7707990402929</v>
      </c>
      <c r="AJ2768">
        <v>130.82869132807801</v>
      </c>
      <c r="AK2768">
        <v>7.4110055381154503</v>
      </c>
      <c r="AL2768">
        <v>81.730426786134799</v>
      </c>
      <c r="AM2768">
        <v>108.96789155878299</v>
      </c>
      <c r="AN2768">
        <v>1.00000003214664</v>
      </c>
    </row>
    <row r="2769" spans="1:40" x14ac:dyDescent="0.25">
      <c r="A2769" t="str">
        <f>"20190303162832822"</f>
        <v>20190303162832822</v>
      </c>
      <c r="B2769" t="str">
        <f>"1551601712814431"</f>
        <v>1551601712814431</v>
      </c>
      <c r="C2769" t="s">
        <v>40</v>
      </c>
      <c r="D2769">
        <v>4.7655269999999996</v>
      </c>
      <c r="E2769">
        <v>0.34014870000000003</v>
      </c>
      <c r="F2769" t="s">
        <v>47</v>
      </c>
      <c r="G2769">
        <v>-485.48500000000001</v>
      </c>
      <c r="H2769" s="1">
        <v>2.8287300000000001E-6</v>
      </c>
      <c r="I2769">
        <v>220.0104</v>
      </c>
      <c r="J2769">
        <v>-491.51240000000001</v>
      </c>
      <c r="K2769">
        <v>1.1302639999999999</v>
      </c>
      <c r="L2769">
        <v>224.1671</v>
      </c>
      <c r="M2769">
        <v>0.24785799999999999</v>
      </c>
      <c r="N2769">
        <v>-1.2672279999999999E-2</v>
      </c>
      <c r="O2769">
        <v>-0.96871359999999995</v>
      </c>
      <c r="P2769">
        <v>0.54655290000000001</v>
      </c>
      <c r="Q2769">
        <v>0.13735439999999999</v>
      </c>
      <c r="R2769">
        <v>-0.82608369999999998</v>
      </c>
      <c r="S2769">
        <v>2.701508</v>
      </c>
      <c r="T2769">
        <v>-0.50002049999999998</v>
      </c>
      <c r="U2769">
        <v>-1.9571689999999999</v>
      </c>
      <c r="V2769">
        <v>-0.32798270000000002</v>
      </c>
      <c r="W2769">
        <v>0.14190469999999999</v>
      </c>
      <c r="X2769">
        <v>0.93396489999999999</v>
      </c>
      <c r="Y2769">
        <v>-0.62994640000000002</v>
      </c>
      <c r="Z2769">
        <v>0.1457775</v>
      </c>
      <c r="AA2769">
        <v>0.76283449999999997</v>
      </c>
      <c r="AB2769">
        <v>28</v>
      </c>
      <c r="AC2769">
        <v>6.0274000000000001</v>
      </c>
      <c r="AD2769">
        <v>-1.1302611712699999</v>
      </c>
      <c r="AE2769">
        <v>-4.1566999999999998</v>
      </c>
      <c r="AF2769">
        <v>-4.6970073097430696</v>
      </c>
      <c r="AG2769">
        <v>-1.1302611712699999</v>
      </c>
      <c r="AH2769">
        <v>5.3925280373180904</v>
      </c>
      <c r="AI2769">
        <v>98.981279431415004</v>
      </c>
      <c r="AJ2769">
        <v>131.05656187177999</v>
      </c>
      <c r="AK2769">
        <v>7.2400778045765701</v>
      </c>
      <c r="AL2769">
        <v>81.841922073748606</v>
      </c>
      <c r="AM2769">
        <v>109.34986740366</v>
      </c>
      <c r="AN2769">
        <v>1.0000000149066901</v>
      </c>
    </row>
    <row r="2770" spans="1:40" x14ac:dyDescent="0.25">
      <c r="A2770" t="str">
        <f>"20190303162832842"</f>
        <v>20190303162832842</v>
      </c>
      <c r="B2770" t="str">
        <f>"1551601712833951"</f>
        <v>1551601712833951</v>
      </c>
      <c r="C2770" t="s">
        <v>40</v>
      </c>
      <c r="D2770">
        <v>4.7318369999999996</v>
      </c>
      <c r="E2770">
        <v>0.338418099999999</v>
      </c>
      <c r="F2770" t="s">
        <v>47</v>
      </c>
      <c r="G2770">
        <v>-485.3381</v>
      </c>
      <c r="H2770" s="1">
        <v>2.7709739999999999E-6</v>
      </c>
      <c r="I2770">
        <v>219.86709999999999</v>
      </c>
      <c r="J2770">
        <v>-491.43759999999997</v>
      </c>
      <c r="K2770">
        <v>1.1304379999999901</v>
      </c>
      <c r="L2770">
        <v>223.92400000000001</v>
      </c>
      <c r="M2770">
        <v>0.25932509999999998</v>
      </c>
      <c r="N2770">
        <v>-1.280265E-2</v>
      </c>
      <c r="O2770">
        <v>-0.96570529999999999</v>
      </c>
      <c r="P2770">
        <v>0.56159079999999995</v>
      </c>
      <c r="Q2770">
        <v>0.1357003</v>
      </c>
      <c r="R2770">
        <v>-0.81621189999999999</v>
      </c>
      <c r="S2770">
        <v>2.7354430000000001</v>
      </c>
      <c r="T2770">
        <v>-0.50074819999999998</v>
      </c>
      <c r="U2770">
        <v>-1.9050450000000001</v>
      </c>
      <c r="V2770">
        <v>-0.33397549999999998</v>
      </c>
      <c r="W2770">
        <v>0.140065</v>
      </c>
      <c r="X2770">
        <v>0.93211699999999997</v>
      </c>
      <c r="Y2770">
        <v>-0.63493230000000001</v>
      </c>
      <c r="Z2770">
        <v>0.14641799999999999</v>
      </c>
      <c r="AA2770">
        <v>0.75856630000000003</v>
      </c>
      <c r="AB2770">
        <v>28</v>
      </c>
      <c r="AC2770">
        <v>6.0994999999999697</v>
      </c>
      <c r="AD2770">
        <v>-1.13043522902599</v>
      </c>
      <c r="AE2770">
        <v>-4.0569000000000104</v>
      </c>
      <c r="AF2770">
        <v>-4.726114742639</v>
      </c>
      <c r="AG2770">
        <v>-1.13043522902599</v>
      </c>
      <c r="AH2770">
        <v>5.3720468425120798</v>
      </c>
      <c r="AI2770">
        <v>98.977994810765594</v>
      </c>
      <c r="AJ2770">
        <v>131.34004355182199</v>
      </c>
      <c r="AK2770">
        <v>7.2438202383657204</v>
      </c>
      <c r="AL2770">
        <v>81.948392225654899</v>
      </c>
      <c r="AM2770">
        <v>109.712491864545</v>
      </c>
      <c r="AN2770">
        <v>0.99999997025712395</v>
      </c>
    </row>
    <row r="2771" spans="1:40" x14ac:dyDescent="0.25">
      <c r="A2771" t="str">
        <f>"20190303162832865"</f>
        <v>20190303162832865</v>
      </c>
      <c r="B2771" t="str">
        <f>"1551601712854447"</f>
        <v>1551601712854447</v>
      </c>
      <c r="C2771" t="s">
        <v>40</v>
      </c>
      <c r="D2771">
        <v>4.7219449999999998</v>
      </c>
      <c r="E2771">
        <v>0.33796199999999998</v>
      </c>
      <c r="F2771" t="s">
        <v>47</v>
      </c>
      <c r="G2771">
        <v>-485.28129999999999</v>
      </c>
      <c r="H2771" s="1">
        <v>2.7526690000000001E-6</v>
      </c>
      <c r="I2771">
        <v>219.82990000000001</v>
      </c>
      <c r="J2771">
        <v>-491.35390000000001</v>
      </c>
      <c r="K2771">
        <v>1.1306179999999999</v>
      </c>
      <c r="L2771">
        <v>223.66399999999999</v>
      </c>
      <c r="M2771">
        <v>0.27184160000000002</v>
      </c>
      <c r="N2771">
        <v>-1.2930820000000001E-2</v>
      </c>
      <c r="O2771">
        <v>-0.96225510000000003</v>
      </c>
      <c r="P2771">
        <v>0.57528279999999998</v>
      </c>
      <c r="Q2771">
        <v>0.13550690000000001</v>
      </c>
      <c r="R2771">
        <v>-0.80665249999999999</v>
      </c>
      <c r="S2771">
        <v>2.779175</v>
      </c>
      <c r="T2771">
        <v>-0.51031210000000005</v>
      </c>
      <c r="U2771">
        <v>-1.84816</v>
      </c>
      <c r="V2771">
        <v>-0.33765679999999998</v>
      </c>
      <c r="W2771">
        <v>0.13973969999999999</v>
      </c>
      <c r="X2771">
        <v>0.93083870000000002</v>
      </c>
      <c r="Y2771">
        <v>-0.64085049999999999</v>
      </c>
      <c r="Z2771">
        <v>0.14953350000000001</v>
      </c>
      <c r="AA2771">
        <v>0.75296109999999905</v>
      </c>
      <c r="AB2771">
        <v>28</v>
      </c>
      <c r="AC2771">
        <v>6.07260000000002</v>
      </c>
      <c r="AD2771">
        <v>-1.1306152473310001</v>
      </c>
      <c r="AE2771">
        <v>-3.8340999999999998</v>
      </c>
      <c r="AF2771">
        <v>-4.6854000202536197</v>
      </c>
      <c r="AG2771">
        <v>-1.1306152473310001</v>
      </c>
      <c r="AH2771">
        <v>5.2114524440815604</v>
      </c>
      <c r="AI2771">
        <v>99.164665752064195</v>
      </c>
      <c r="AJ2771">
        <v>131.95739160837701</v>
      </c>
      <c r="AK2771">
        <v>7.0986266815640899</v>
      </c>
      <c r="AL2771">
        <v>81.967215841008297</v>
      </c>
      <c r="AM2771">
        <v>109.937971319299</v>
      </c>
      <c r="AN2771">
        <v>0.99999999188000999</v>
      </c>
    </row>
    <row r="2772" spans="1:40" x14ac:dyDescent="0.25">
      <c r="A2772" t="str">
        <f>"20190303162832887"</f>
        <v>20190303162832887</v>
      </c>
      <c r="B2772" t="str">
        <f>"1551601712883726"</f>
        <v>1551601712883726</v>
      </c>
      <c r="C2772" t="s">
        <v>40</v>
      </c>
      <c r="D2772">
        <v>4.6898999999999997</v>
      </c>
      <c r="E2772">
        <v>0.33770230000000001</v>
      </c>
      <c r="F2772" t="s">
        <v>47</v>
      </c>
      <c r="G2772">
        <v>-485.13709999999998</v>
      </c>
      <c r="H2772" s="1">
        <v>2.6951650000000001E-6</v>
      </c>
      <c r="I2772">
        <v>219.68539999999999</v>
      </c>
      <c r="J2772">
        <v>-491.26710000000003</v>
      </c>
      <c r="K2772">
        <v>1.13079</v>
      </c>
      <c r="L2772">
        <v>223.40719999999999</v>
      </c>
      <c r="M2772">
        <v>0.2844583</v>
      </c>
      <c r="N2772">
        <v>-1.3047919999999999E-2</v>
      </c>
      <c r="O2772">
        <v>-0.95860000000000001</v>
      </c>
      <c r="P2772">
        <v>0.58751339999999996</v>
      </c>
      <c r="Q2772">
        <v>0.136879799999999</v>
      </c>
      <c r="R2772">
        <v>-0.7975544</v>
      </c>
      <c r="S2772">
        <v>2.8119809999999998</v>
      </c>
      <c r="T2772">
        <v>-0.5114052</v>
      </c>
      <c r="U2772">
        <v>-1.7996220000000001</v>
      </c>
      <c r="V2772">
        <v>-0.33978180000000002</v>
      </c>
      <c r="W2772">
        <v>0.14102010000000001</v>
      </c>
      <c r="X2772">
        <v>0.92987189999999997</v>
      </c>
      <c r="Y2772">
        <v>-0.64398630000000001</v>
      </c>
      <c r="Z2772">
        <v>0.15009710000000001</v>
      </c>
      <c r="AA2772">
        <v>0.75016839999999996</v>
      </c>
      <c r="AB2772">
        <v>28</v>
      </c>
      <c r="AC2772">
        <v>6.1300000000000496</v>
      </c>
      <c r="AD2772">
        <v>-1.1307873048349999</v>
      </c>
      <c r="AE2772">
        <v>-3.7218</v>
      </c>
      <c r="AF2772">
        <v>-4.70104659510472</v>
      </c>
      <c r="AG2772">
        <v>-1.1307873048349999</v>
      </c>
      <c r="AH2772">
        <v>5.1830305790364903</v>
      </c>
      <c r="AI2772">
        <v>99.179695571324601</v>
      </c>
      <c r="AJ2772">
        <v>132.20825832179301</v>
      </c>
      <c r="AK2772">
        <v>7.08818206604127</v>
      </c>
      <c r="AL2772">
        <v>81.8931210427899</v>
      </c>
      <c r="AM2772">
        <v>110.072662702299</v>
      </c>
      <c r="AN2772">
        <v>1.00000004531242</v>
      </c>
    </row>
    <row r="2773" spans="1:40" x14ac:dyDescent="0.25">
      <c r="A2773" t="str">
        <f>"20190303162832909"</f>
        <v>20190303162832909</v>
      </c>
      <c r="B2773" t="str">
        <f>"1551601712904222"</f>
        <v>1551601712904222</v>
      </c>
      <c r="C2773" t="s">
        <v>40</v>
      </c>
      <c r="D2773">
        <v>4.5141839999999904</v>
      </c>
      <c r="E2773">
        <v>0.33704909999999999</v>
      </c>
      <c r="F2773" t="s">
        <v>47</v>
      </c>
      <c r="G2773">
        <v>-484.80590000000001</v>
      </c>
      <c r="H2773" s="1">
        <v>2.6124690000000002E-6</v>
      </c>
      <c r="I2773">
        <v>219.41839999999999</v>
      </c>
      <c r="J2773">
        <v>-491.18099999999998</v>
      </c>
      <c r="K2773">
        <v>1.130935</v>
      </c>
      <c r="L2773">
        <v>223.16319999999999</v>
      </c>
      <c r="M2773">
        <v>0.2966222</v>
      </c>
      <c r="N2773">
        <v>-1.3149950000000001E-2</v>
      </c>
      <c r="O2773">
        <v>-0.95490439999999999</v>
      </c>
      <c r="P2773">
        <v>0.59904269999999904</v>
      </c>
      <c r="Q2773">
        <v>0.1382729</v>
      </c>
      <c r="R2773">
        <v>-0.788688099999999</v>
      </c>
      <c r="S2773">
        <v>2.8410639999999998</v>
      </c>
      <c r="T2773">
        <v>-0.4972222</v>
      </c>
      <c r="U2773">
        <v>-1.753922</v>
      </c>
      <c r="V2773">
        <v>-0.34163379999999999</v>
      </c>
      <c r="W2773">
        <v>0.14233509999999999</v>
      </c>
      <c r="X2773">
        <v>0.9289925</v>
      </c>
      <c r="Y2773">
        <v>-0.64706079999999999</v>
      </c>
      <c r="Z2773">
        <v>0.1459462</v>
      </c>
      <c r="AA2773">
        <v>0.74833959999999999</v>
      </c>
      <c r="AB2773">
        <v>28</v>
      </c>
      <c r="AC2773">
        <v>6.3750999999999696</v>
      </c>
      <c r="AD2773">
        <v>-1.130932387531</v>
      </c>
      <c r="AE2773">
        <v>-3.7447999999999899</v>
      </c>
      <c r="AF2773">
        <v>-4.8634599539720798</v>
      </c>
      <c r="AG2773">
        <v>-1.130932387531</v>
      </c>
      <c r="AH2773">
        <v>5.3423985412930897</v>
      </c>
      <c r="AI2773">
        <v>98.896859819324902</v>
      </c>
      <c r="AJ2773">
        <v>132.313205697542</v>
      </c>
      <c r="AK2773">
        <v>7.3125558434153</v>
      </c>
      <c r="AL2773">
        <v>81.817008963203506</v>
      </c>
      <c r="AM2773">
        <v>110.19082523527101</v>
      </c>
      <c r="AN2773">
        <v>0.99999999952535001</v>
      </c>
    </row>
    <row r="2774" spans="1:40" x14ac:dyDescent="0.25">
      <c r="A2774" t="str">
        <f>"20190303162832932"</f>
        <v>20190303162832932</v>
      </c>
      <c r="B2774" t="str">
        <f>"1551601712923743"</f>
        <v>1551601712923743</v>
      </c>
      <c r="C2774" t="s">
        <v>40</v>
      </c>
      <c r="D2774">
        <v>4.5886690000000003</v>
      </c>
      <c r="E2774">
        <v>0.33688639999999997</v>
      </c>
      <c r="F2774" t="s">
        <v>47</v>
      </c>
      <c r="G2774">
        <v>-484.51940000000002</v>
      </c>
      <c r="H2774" s="1">
        <v>2.5521090000000001E-6</v>
      </c>
      <c r="I2774">
        <v>219.2</v>
      </c>
      <c r="J2774">
        <v>-491.07929999999999</v>
      </c>
      <c r="K2774">
        <v>1.1310739999999999</v>
      </c>
      <c r="L2774">
        <v>222.8879</v>
      </c>
      <c r="M2774">
        <v>0.31056810000000001</v>
      </c>
      <c r="N2774">
        <v>-1.325426E-2</v>
      </c>
      <c r="O2774">
        <v>-0.95045880000000005</v>
      </c>
      <c r="P2774">
        <v>0.61097690000000004</v>
      </c>
      <c r="Q2774">
        <v>0.13878260000000001</v>
      </c>
      <c r="R2774">
        <v>-0.779389</v>
      </c>
      <c r="S2774">
        <v>2.871429</v>
      </c>
      <c r="T2774">
        <v>-0.487483</v>
      </c>
      <c r="U2774">
        <v>-1.7083279999999901</v>
      </c>
      <c r="V2774">
        <v>-0.3422692</v>
      </c>
      <c r="W2774">
        <v>0.1427996</v>
      </c>
      <c r="X2774">
        <v>0.92868729999999999</v>
      </c>
      <c r="Y2774">
        <v>-0.64863590000000004</v>
      </c>
      <c r="Z2774">
        <v>0.14302619999999999</v>
      </c>
      <c r="AA2774">
        <v>0.74753930000000002</v>
      </c>
      <c r="AB2774">
        <v>28</v>
      </c>
      <c r="AC2774">
        <v>6.5598999999999696</v>
      </c>
      <c r="AD2774">
        <v>-1.131071447891</v>
      </c>
      <c r="AE2774">
        <v>-3.6879000000000102</v>
      </c>
      <c r="AF2774">
        <v>-4.9775751661099497</v>
      </c>
      <c r="AG2774">
        <v>-1.131071447891</v>
      </c>
      <c r="AH2774">
        <v>5.42053076852382</v>
      </c>
      <c r="AI2774">
        <v>98.737649420185207</v>
      </c>
      <c r="AJ2774">
        <v>132.56069508406901</v>
      </c>
      <c r="AK2774">
        <v>7.4456518161288097</v>
      </c>
      <c r="AL2774">
        <v>81.790120546605905</v>
      </c>
      <c r="AM2774">
        <v>110.23144556267</v>
      </c>
      <c r="AN2774">
        <v>1.00000001610504</v>
      </c>
    </row>
    <row r="2775" spans="1:40" x14ac:dyDescent="0.25">
      <c r="A2775" t="str">
        <f>"20190303162832955"</f>
        <v>20190303162832955</v>
      </c>
      <c r="B2775" t="str">
        <f>"1551601712944239"</f>
        <v>1551601712944239</v>
      </c>
      <c r="C2775" t="s">
        <v>40</v>
      </c>
      <c r="D2775">
        <v>4.5732410000000003</v>
      </c>
      <c r="E2775">
        <v>0.3366131</v>
      </c>
      <c r="F2775" t="s">
        <v>47</v>
      </c>
      <c r="G2775">
        <v>-484.25389999999999</v>
      </c>
      <c r="H2775" s="1">
        <v>2.4951289999999998E-6</v>
      </c>
      <c r="I2775">
        <v>218.97409999999999</v>
      </c>
      <c r="J2775">
        <v>-490.9794</v>
      </c>
      <c r="K2775">
        <v>1.1311910000000001</v>
      </c>
      <c r="L2775">
        <v>222.6292</v>
      </c>
      <c r="M2775">
        <v>0.3238877</v>
      </c>
      <c r="N2775">
        <v>-1.334491E-2</v>
      </c>
      <c r="O2775">
        <v>-0.94600139999999999</v>
      </c>
      <c r="P2775">
        <v>0.62154039999999999</v>
      </c>
      <c r="Q2775">
        <v>0.1387505</v>
      </c>
      <c r="R2775">
        <v>-0.77099689999999999</v>
      </c>
      <c r="S2775">
        <v>2.8988649999999998</v>
      </c>
      <c r="T2775">
        <v>-0.48038009999999898</v>
      </c>
      <c r="U2775">
        <v>-1.6622619999999999</v>
      </c>
      <c r="V2775">
        <v>-0.34192539999999999</v>
      </c>
      <c r="W2775">
        <v>0.14274909999999999</v>
      </c>
      <c r="X2775">
        <v>0.92882169999999997</v>
      </c>
      <c r="Y2775">
        <v>-0.65028969999999997</v>
      </c>
      <c r="Z2775">
        <v>0.14098769999999999</v>
      </c>
      <c r="AA2775">
        <v>0.74648899999999996</v>
      </c>
      <c r="AB2775">
        <v>28</v>
      </c>
      <c r="AC2775">
        <v>6.72550000000001</v>
      </c>
      <c r="AD2775">
        <v>-1.131188504871</v>
      </c>
      <c r="AE2775">
        <v>-3.6551</v>
      </c>
      <c r="AF2775">
        <v>-5.0682663268250199</v>
      </c>
      <c r="AG2775">
        <v>-1.131188504871</v>
      </c>
      <c r="AH2775">
        <v>5.5160734223033403</v>
      </c>
      <c r="AI2775">
        <v>98.587199727829997</v>
      </c>
      <c r="AJ2775">
        <v>132.57734873989901</v>
      </c>
      <c r="AK2775">
        <v>7.5758812684348502</v>
      </c>
      <c r="AL2775">
        <v>81.7930439447086</v>
      </c>
      <c r="AM2775">
        <v>110.210080840533</v>
      </c>
      <c r="AN2775">
        <v>1.0000000175534201</v>
      </c>
    </row>
    <row r="2776" spans="1:40" x14ac:dyDescent="0.25">
      <c r="A2776" t="str">
        <f>"20190303162832979"</f>
        <v>20190303162832979</v>
      </c>
      <c r="B2776" t="str">
        <f>"1551601712974495"</f>
        <v>1551601712974495</v>
      </c>
      <c r="C2776" t="s">
        <v>40</v>
      </c>
      <c r="D2776">
        <v>4.716577</v>
      </c>
      <c r="E2776">
        <v>0.33660069999999997</v>
      </c>
      <c r="F2776" t="s">
        <v>47</v>
      </c>
      <c r="G2776">
        <v>-484.11970000000002</v>
      </c>
      <c r="H2776" s="1">
        <v>2.4647209999999998E-6</v>
      </c>
      <c r="I2776">
        <v>218.82300000000001</v>
      </c>
      <c r="J2776">
        <v>-490.87259999999998</v>
      </c>
      <c r="K2776">
        <v>1.1313260000000001</v>
      </c>
      <c r="L2776">
        <v>222.3638</v>
      </c>
      <c r="M2776">
        <v>0.33776919999999999</v>
      </c>
      <c r="N2776">
        <v>-1.3433769999999999E-2</v>
      </c>
      <c r="O2776">
        <v>-0.94113329999999995</v>
      </c>
      <c r="P2776">
        <v>0.63162890000000005</v>
      </c>
      <c r="Q2776">
        <v>0.13751240000000001</v>
      </c>
      <c r="R2776">
        <v>-0.7629783</v>
      </c>
      <c r="S2776">
        <v>2.9226679999999998</v>
      </c>
      <c r="T2776">
        <v>-0.48195460000000001</v>
      </c>
      <c r="U2776">
        <v>-1.6216740000000001</v>
      </c>
      <c r="V2776">
        <v>-0.34042349999999999</v>
      </c>
      <c r="W2776">
        <v>0.14152039999999999</v>
      </c>
      <c r="X2776">
        <v>0.92956110000000003</v>
      </c>
      <c r="Y2776">
        <v>-0.64963780000000004</v>
      </c>
      <c r="Z2776">
        <v>0.1415293</v>
      </c>
      <c r="AA2776">
        <v>0.74695400000000001</v>
      </c>
      <c r="AB2776">
        <v>28</v>
      </c>
      <c r="AC2776">
        <v>6.7528999999999497</v>
      </c>
      <c r="AD2776">
        <v>-1.1313235352789901</v>
      </c>
      <c r="AE2776">
        <v>-3.5408000000000102</v>
      </c>
      <c r="AF2776">
        <v>-5.0487258700727802</v>
      </c>
      <c r="AG2776">
        <v>-1.1313235352789901</v>
      </c>
      <c r="AH2776">
        <v>5.4928697277023701</v>
      </c>
      <c r="AI2776">
        <v>98.622573653472003</v>
      </c>
      <c r="AJ2776">
        <v>132.58741202076399</v>
      </c>
      <c r="AK2776">
        <v>7.5459355747400503</v>
      </c>
      <c r="AL2776">
        <v>81.864165290193498</v>
      </c>
      <c r="AM2776">
        <v>110.11372111733201</v>
      </c>
      <c r="AN2776">
        <v>1.00000001080081</v>
      </c>
    </row>
    <row r="2777" spans="1:40" x14ac:dyDescent="0.25">
      <c r="A2777" t="str">
        <f>"20190303162833001"</f>
        <v>20190303162833001</v>
      </c>
      <c r="B2777" t="str">
        <f>"1551601712994016"</f>
        <v>1551601712994016</v>
      </c>
      <c r="C2777" t="s">
        <v>40</v>
      </c>
      <c r="D2777">
        <v>4.9557949999999904</v>
      </c>
      <c r="E2777">
        <v>0.3362002</v>
      </c>
      <c r="F2777" t="s">
        <v>47</v>
      </c>
      <c r="G2777">
        <v>-483.88319999999999</v>
      </c>
      <c r="H2777" s="1">
        <v>2.4134090000000001E-6</v>
      </c>
      <c r="I2777">
        <v>218.6088</v>
      </c>
      <c r="J2777">
        <v>-490.76749999999998</v>
      </c>
      <c r="K2777">
        <v>1.1314740000000001</v>
      </c>
      <c r="L2777">
        <v>222.11359999999999</v>
      </c>
      <c r="M2777">
        <v>0.35107189999999999</v>
      </c>
      <c r="N2777">
        <v>-1.35152E-2</v>
      </c>
      <c r="O2777">
        <v>-0.93625119999999895</v>
      </c>
      <c r="P2777">
        <v>0.64148000000000005</v>
      </c>
      <c r="Q2777">
        <v>0.13708049999999999</v>
      </c>
      <c r="R2777">
        <v>-0.75479309999999999</v>
      </c>
      <c r="S2777">
        <v>2.943298</v>
      </c>
      <c r="T2777">
        <v>-0.47641129999999998</v>
      </c>
      <c r="U2777">
        <v>-1.5812379999999999</v>
      </c>
      <c r="V2777">
        <v>-0.33932879999999999</v>
      </c>
      <c r="W2777">
        <v>0.1410777</v>
      </c>
      <c r="X2777">
        <v>0.93002850000000004</v>
      </c>
      <c r="Y2777">
        <v>-0.64929999999999999</v>
      </c>
      <c r="Z2777">
        <v>0.1399292</v>
      </c>
      <c r="AA2777">
        <v>0.74754889999999996</v>
      </c>
      <c r="AB2777">
        <v>28</v>
      </c>
      <c r="AC2777">
        <v>6.8842999999999899</v>
      </c>
      <c r="AD2777">
        <v>-1.1314715865909999</v>
      </c>
      <c r="AE2777">
        <v>-3.5047999999999799</v>
      </c>
      <c r="AF2777">
        <v>-5.1059371812801704</v>
      </c>
      <c r="AG2777">
        <v>-1.1314715865909999</v>
      </c>
      <c r="AH2777">
        <v>5.5790910077859603</v>
      </c>
      <c r="AI2777">
        <v>98.508852218639802</v>
      </c>
      <c r="AJ2777">
        <v>132.46448788637099</v>
      </c>
      <c r="AK2777">
        <v>7.6470307259484898</v>
      </c>
      <c r="AL2777">
        <v>81.889786957173101</v>
      </c>
      <c r="AM2777">
        <v>110.044927401102</v>
      </c>
      <c r="AN2777">
        <v>0.99999998137948898</v>
      </c>
    </row>
    <row r="2778" spans="1:40" x14ac:dyDescent="0.25">
      <c r="A2778" t="str">
        <f>"20190303162833021"</f>
        <v>20190303162833021</v>
      </c>
      <c r="B2778" t="str">
        <f>"1551601713014511"</f>
        <v>1551601713014511</v>
      </c>
      <c r="C2778" t="s">
        <v>40</v>
      </c>
      <c r="D2778">
        <v>4.8629449999999999</v>
      </c>
      <c r="E2778">
        <v>0.29662040000000001</v>
      </c>
      <c r="F2778" t="s">
        <v>47</v>
      </c>
      <c r="G2778">
        <v>-483.68209999999999</v>
      </c>
      <c r="H2778" s="1">
        <v>2.3704950000000001E-6</v>
      </c>
      <c r="I2778">
        <v>218.44309999999999</v>
      </c>
      <c r="J2778">
        <v>-490.67079999999999</v>
      </c>
      <c r="K2778">
        <v>1.13161</v>
      </c>
      <c r="L2778">
        <v>221.8929</v>
      </c>
      <c r="M2778">
        <v>0.36300719999999997</v>
      </c>
      <c r="N2778">
        <v>-1.358587E-2</v>
      </c>
      <c r="O2778">
        <v>-0.93168740000000005</v>
      </c>
      <c r="P2778">
        <v>0.6509762</v>
      </c>
      <c r="Q2778">
        <v>0.13641210000000001</v>
      </c>
      <c r="R2778">
        <v>-0.74674110000000005</v>
      </c>
      <c r="S2778">
        <v>2.9685060000000001</v>
      </c>
      <c r="T2778">
        <v>-0.47404400000000002</v>
      </c>
      <c r="U2778">
        <v>-1.5377959999999999</v>
      </c>
      <c r="V2778">
        <v>-0.33919539999999998</v>
      </c>
      <c r="W2778">
        <v>0.1403672</v>
      </c>
      <c r="X2778">
        <v>0.93018469999999998</v>
      </c>
      <c r="Y2778">
        <v>-0.65097109999999903</v>
      </c>
      <c r="Z2778">
        <v>0.13922760000000001</v>
      </c>
      <c r="AA2778">
        <v>0.74622540000000004</v>
      </c>
      <c r="AB2778">
        <v>28</v>
      </c>
      <c r="AC2778">
        <v>6.9886999999999899</v>
      </c>
      <c r="AD2778">
        <v>-1.1316076295049999</v>
      </c>
      <c r="AE2778">
        <v>-3.44980000000001</v>
      </c>
      <c r="AF2778">
        <v>-5.1508796566186303</v>
      </c>
      <c r="AG2778">
        <v>-1.1316076295049999</v>
      </c>
      <c r="AH2778">
        <v>5.6328662899932302</v>
      </c>
      <c r="AI2778">
        <v>98.432930994560195</v>
      </c>
      <c r="AJ2778">
        <v>132.440830612837</v>
      </c>
      <c r="AK2778">
        <v>7.7162996121887204</v>
      </c>
      <c r="AL2778">
        <v>81.930905109472306</v>
      </c>
      <c r="AM2778">
        <v>110.03457713121099</v>
      </c>
      <c r="AN2778">
        <v>1.0000000231655399</v>
      </c>
    </row>
    <row r="2779" spans="1:40" x14ac:dyDescent="0.25">
      <c r="A2779" t="str">
        <f>"20190303162833043"</f>
        <v>20190303162833043</v>
      </c>
      <c r="B2779" t="str">
        <f>"1551601713034031"</f>
        <v>1551601713034031</v>
      </c>
      <c r="C2779" t="s">
        <v>40</v>
      </c>
      <c r="D2779">
        <v>4.852176</v>
      </c>
      <c r="E2779">
        <v>0.29034929999999998</v>
      </c>
      <c r="F2779" t="s">
        <v>47</v>
      </c>
      <c r="G2779">
        <v>-483.85579999999999</v>
      </c>
      <c r="H2779" s="1">
        <v>2.4321450000000002E-6</v>
      </c>
      <c r="I2779">
        <v>219.14840000000001</v>
      </c>
      <c r="J2779">
        <v>-490.55930000000001</v>
      </c>
      <c r="K2779">
        <v>1.131767</v>
      </c>
      <c r="L2779">
        <v>221.6474</v>
      </c>
      <c r="M2779">
        <v>0.3764924</v>
      </c>
      <c r="N2779">
        <v>-1.366301E-2</v>
      </c>
      <c r="O2779">
        <v>-0.926319</v>
      </c>
      <c r="P2779">
        <v>0.66335049999999995</v>
      </c>
      <c r="Q2779">
        <v>0.134217</v>
      </c>
      <c r="R2779">
        <v>-0.736174199999999</v>
      </c>
      <c r="S2779">
        <v>3.2290649999999999</v>
      </c>
      <c r="T2779">
        <v>-0.53617569999999903</v>
      </c>
      <c r="U2779">
        <v>-1.3004150000000001</v>
      </c>
      <c r="V2779">
        <v>-0.34107140000000002</v>
      </c>
      <c r="W2779">
        <v>0.13805719999999999</v>
      </c>
      <c r="X2779">
        <v>0.92984429999999996</v>
      </c>
      <c r="Y2779">
        <v>-0.70663160000000003</v>
      </c>
      <c r="Z2779">
        <v>0.15479999999999999</v>
      </c>
      <c r="AA2779">
        <v>0.69044099999999997</v>
      </c>
      <c r="AB2779">
        <v>28</v>
      </c>
      <c r="AC2779">
        <v>6.7035000000000098</v>
      </c>
      <c r="AD2779">
        <v>-1.1317645678549999</v>
      </c>
      <c r="AE2779">
        <v>-2.4989999999999899</v>
      </c>
      <c r="AF2779">
        <v>-5.1405674117865896</v>
      </c>
      <c r="AG2779">
        <v>-1.1317645678549999</v>
      </c>
      <c r="AH2779">
        <v>4.7209907897057004</v>
      </c>
      <c r="AI2779">
        <v>99.210678292484801</v>
      </c>
      <c r="AJ2779">
        <v>137.43627619385001</v>
      </c>
      <c r="AK2779">
        <v>7.0706490783138403</v>
      </c>
      <c r="AL2779">
        <v>82.064559308040401</v>
      </c>
      <c r="AM2779">
        <v>110.143282201649</v>
      </c>
      <c r="AN2779">
        <v>0.99999995630614402</v>
      </c>
    </row>
    <row r="2780" spans="1:40" x14ac:dyDescent="0.25">
      <c r="A2780" t="str">
        <f>"20190303162833067"</f>
        <v>20190303162833067</v>
      </c>
      <c r="B2780" t="str">
        <f>"1551601713064288"</f>
        <v>1551601713064288</v>
      </c>
      <c r="C2780" t="s">
        <v>40</v>
      </c>
      <c r="D2780">
        <v>4.844309</v>
      </c>
      <c r="E2780">
        <v>0.29036109999999998</v>
      </c>
      <c r="F2780" t="s">
        <v>47</v>
      </c>
      <c r="G2780">
        <v>-483.88639999999998</v>
      </c>
      <c r="H2780" s="1">
        <v>2.4390019999999999E-6</v>
      </c>
      <c r="I2780">
        <v>219.18119999999999</v>
      </c>
      <c r="J2780">
        <v>-490.43869999999998</v>
      </c>
      <c r="K2780">
        <v>1.1319330000000001</v>
      </c>
      <c r="L2780">
        <v>221.39359999999999</v>
      </c>
      <c r="M2780">
        <v>0.39070470000000002</v>
      </c>
      <c r="N2780">
        <v>-1.3741700000000001E-2</v>
      </c>
      <c r="O2780">
        <v>-0.92041360000000005</v>
      </c>
      <c r="P2780">
        <v>0.67686469999999999</v>
      </c>
      <c r="Q2780">
        <v>0.1329921</v>
      </c>
      <c r="R2780">
        <v>-0.72399449999999999</v>
      </c>
      <c r="S2780">
        <v>3.2870789999999999</v>
      </c>
      <c r="T2780">
        <v>-0.55751189999999995</v>
      </c>
      <c r="U2780">
        <v>-1.214844</v>
      </c>
      <c r="V2780">
        <v>-0.343914099999999</v>
      </c>
      <c r="W2780">
        <v>0.13667850000000001</v>
      </c>
      <c r="X2780">
        <v>0.92900059999999995</v>
      </c>
      <c r="Y2780">
        <v>-0.71480129999999997</v>
      </c>
      <c r="Z2780">
        <v>0.1607344</v>
      </c>
      <c r="AA2780">
        <v>0.68060540000000003</v>
      </c>
      <c r="AB2780">
        <v>28</v>
      </c>
      <c r="AC2780">
        <v>6.5522999999999998</v>
      </c>
      <c r="AD2780">
        <v>-1.1319305609979999</v>
      </c>
      <c r="AE2780">
        <v>-2.2124000000000001</v>
      </c>
      <c r="AF2780">
        <v>-5.0321110059145902</v>
      </c>
      <c r="AG2780">
        <v>-1.1319305609979999</v>
      </c>
      <c r="AH2780">
        <v>4.4768391374716296</v>
      </c>
      <c r="AI2780">
        <v>99.539950113749498</v>
      </c>
      <c r="AJ2780">
        <v>138.34197212142001</v>
      </c>
      <c r="AK2780">
        <v>6.8297508471075101</v>
      </c>
      <c r="AL2780">
        <v>82.144309513786297</v>
      </c>
      <c r="AM2780">
        <v>110.314448095795</v>
      </c>
      <c r="AN2780">
        <v>1.0000000176707</v>
      </c>
    </row>
    <row r="2781" spans="1:40" x14ac:dyDescent="0.25">
      <c r="A2781" t="str">
        <f>"20190303162833088"</f>
        <v>20190303162833088</v>
      </c>
      <c r="B2781" t="str">
        <f>"1551601713083807"</f>
        <v>1551601713083807</v>
      </c>
      <c r="C2781" t="s">
        <v>40</v>
      </c>
      <c r="D2781">
        <v>4.8875830000000002</v>
      </c>
      <c r="E2781">
        <v>0.29199079999999999</v>
      </c>
      <c r="F2781" t="s">
        <v>47</v>
      </c>
      <c r="G2781">
        <v>-483.80650000000003</v>
      </c>
      <c r="H2781" s="1">
        <v>2.42041E-6</v>
      </c>
      <c r="I2781">
        <v>219.07990000000001</v>
      </c>
      <c r="J2781">
        <v>-490.32260000000002</v>
      </c>
      <c r="K2781">
        <v>1.132088</v>
      </c>
      <c r="L2781">
        <v>221.1585</v>
      </c>
      <c r="M2781">
        <v>0.40406009999999998</v>
      </c>
      <c r="N2781">
        <v>-1.381136E-2</v>
      </c>
      <c r="O2781">
        <v>-0.91462810000000005</v>
      </c>
      <c r="P2781">
        <v>0.68953980000000004</v>
      </c>
      <c r="Q2781">
        <v>0.13420660000000001</v>
      </c>
      <c r="R2781">
        <v>-0.71170459999999902</v>
      </c>
      <c r="S2781">
        <v>3.3085629999999999</v>
      </c>
      <c r="T2781">
        <v>-0.56468529999999995</v>
      </c>
      <c r="U2781">
        <v>-1.154236</v>
      </c>
      <c r="V2781">
        <v>-0.34696959999999999</v>
      </c>
      <c r="W2781">
        <v>0.137737</v>
      </c>
      <c r="X2781">
        <v>0.92770719999999995</v>
      </c>
      <c r="Y2781">
        <v>-0.71686090000000002</v>
      </c>
      <c r="Z2781">
        <v>0.1631408</v>
      </c>
      <c r="AA2781">
        <v>0.67786099999999905</v>
      </c>
      <c r="AB2781">
        <v>28</v>
      </c>
      <c r="AC2781">
        <v>6.51609999999999</v>
      </c>
      <c r="AD2781">
        <v>-1.13208557959</v>
      </c>
      <c r="AE2781">
        <v>-2.07859999999999</v>
      </c>
      <c r="AF2781">
        <v>-4.9838761658662696</v>
      </c>
      <c r="AG2781">
        <v>-1.13208557959</v>
      </c>
      <c r="AH2781">
        <v>4.41355817687647</v>
      </c>
      <c r="AI2781">
        <v>99.651047883006896</v>
      </c>
      <c r="AJ2781">
        <v>138.47294628186299</v>
      </c>
      <c r="AK2781">
        <v>6.7527872154302804</v>
      </c>
      <c r="AL2781">
        <v>82.083082857850002</v>
      </c>
      <c r="AM2781">
        <v>110.506181876658</v>
      </c>
      <c r="AN2781">
        <v>1.0000000167124901</v>
      </c>
    </row>
    <row r="2782" spans="1:40" x14ac:dyDescent="0.25">
      <c r="A2782" t="str">
        <f>"20190303162833111"</f>
        <v>20190303162833111</v>
      </c>
      <c r="B2782" t="str">
        <f>"1551601713104303"</f>
        <v>1551601713104303</v>
      </c>
      <c r="C2782" t="s">
        <v>40</v>
      </c>
      <c r="D2782">
        <v>4.8524949999999896</v>
      </c>
      <c r="E2782">
        <v>0.29377130000000001</v>
      </c>
      <c r="F2782" t="s">
        <v>47</v>
      </c>
      <c r="G2782">
        <v>-483.5924</v>
      </c>
      <c r="H2782" s="1">
        <v>2.375518E-6</v>
      </c>
      <c r="I2782">
        <v>218.92189999999999</v>
      </c>
      <c r="J2782">
        <v>-490.19569999999999</v>
      </c>
      <c r="K2782">
        <v>1.1322430000000001</v>
      </c>
      <c r="L2782">
        <v>220.91159999999999</v>
      </c>
      <c r="M2782">
        <v>0.41831170000000001</v>
      </c>
      <c r="N2782">
        <v>-1.3880429999999999E-2</v>
      </c>
      <c r="O2782">
        <v>-0.9081977</v>
      </c>
      <c r="P2782">
        <v>0.70339580000000002</v>
      </c>
      <c r="Q2782">
        <v>0.1365249</v>
      </c>
      <c r="R2782">
        <v>-0.69756450000000003</v>
      </c>
      <c r="S2782">
        <v>3.320465</v>
      </c>
      <c r="T2782">
        <v>-0.55853549999999996</v>
      </c>
      <c r="U2782">
        <v>-1.10347</v>
      </c>
      <c r="V2782">
        <v>-0.35100510000000001</v>
      </c>
      <c r="W2782">
        <v>0.13986199999999999</v>
      </c>
      <c r="X2782">
        <v>0.92586930000000001</v>
      </c>
      <c r="Y2782">
        <v>-0.716423699999999</v>
      </c>
      <c r="Z2782">
        <v>0.1615876</v>
      </c>
      <c r="AA2782">
        <v>0.67869469999999898</v>
      </c>
      <c r="AB2782">
        <v>28</v>
      </c>
      <c r="AC2782">
        <v>6.6032999999999902</v>
      </c>
      <c r="AD2782">
        <v>-1.132240624482</v>
      </c>
      <c r="AE2782">
        <v>-1.98969999999999</v>
      </c>
      <c r="AF2782">
        <v>-5.0297158729689198</v>
      </c>
      <c r="AG2782">
        <v>-1.132240624482</v>
      </c>
      <c r="AH2782">
        <v>4.4497813356730598</v>
      </c>
      <c r="AI2782">
        <v>99.570058814353999</v>
      </c>
      <c r="AJ2782">
        <v>138.500865011493</v>
      </c>
      <c r="AK2782">
        <v>6.8103277843160601</v>
      </c>
      <c r="AL2782">
        <v>81.960138812490499</v>
      </c>
      <c r="AM2782">
        <v>110.762153429059</v>
      </c>
      <c r="AN2782">
        <v>0.99999995997624902</v>
      </c>
    </row>
    <row r="2783" spans="1:40" x14ac:dyDescent="0.25">
      <c r="A2783" t="str">
        <f>"20190303162833133"</f>
        <v>20190303162833133</v>
      </c>
      <c r="B2783" t="str">
        <f>"1551601713123823"</f>
        <v>1551601713123823</v>
      </c>
      <c r="C2783" t="s">
        <v>40</v>
      </c>
      <c r="D2783">
        <v>4.8927880000000004</v>
      </c>
      <c r="E2783">
        <v>0.2951743</v>
      </c>
      <c r="F2783" t="s">
        <v>47</v>
      </c>
      <c r="G2783">
        <v>-483.32690000000002</v>
      </c>
      <c r="H2783" s="1">
        <v>2.3211039999999998E-6</v>
      </c>
      <c r="I2783">
        <v>218.7544</v>
      </c>
      <c r="J2783">
        <v>-490.06869999999998</v>
      </c>
      <c r="K2783">
        <v>1.132387</v>
      </c>
      <c r="L2783">
        <v>220.67359999999999</v>
      </c>
      <c r="M2783">
        <v>0.43226439999999999</v>
      </c>
      <c r="N2783">
        <v>-1.3945559999999999E-2</v>
      </c>
      <c r="O2783">
        <v>-0.90163919999999997</v>
      </c>
      <c r="P2783">
        <v>0.71651480000000001</v>
      </c>
      <c r="Q2783">
        <v>0.1383276</v>
      </c>
      <c r="R2783">
        <v>-0.68371959999999998</v>
      </c>
      <c r="S2783">
        <v>3.3334959999999998</v>
      </c>
      <c r="T2783">
        <v>-0.5494888</v>
      </c>
      <c r="U2783">
        <v>-1.046875</v>
      </c>
      <c r="V2783">
        <v>-0.35457050000000001</v>
      </c>
      <c r="W2783">
        <v>0.1414851</v>
      </c>
      <c r="X2783">
        <v>0.92426280000000005</v>
      </c>
      <c r="Y2783">
        <v>-0.71745009999999998</v>
      </c>
      <c r="Z2783">
        <v>0.1592037</v>
      </c>
      <c r="AA2783">
        <v>0.67817360000000004</v>
      </c>
      <c r="AB2783">
        <v>28</v>
      </c>
      <c r="AC2783">
        <v>6.7417999999999498</v>
      </c>
      <c r="AD2783">
        <v>-1.1323846788959999</v>
      </c>
      <c r="AE2783">
        <v>-1.91919999999998</v>
      </c>
      <c r="AF2783">
        <v>-5.1160638296668202</v>
      </c>
      <c r="AG2783">
        <v>-1.1323846788959999</v>
      </c>
      <c r="AH2783">
        <v>4.52697548804358</v>
      </c>
      <c r="AI2783">
        <v>99.411907645640497</v>
      </c>
      <c r="AJ2783">
        <v>138.49582547534101</v>
      </c>
      <c r="AK2783">
        <v>6.9245874418315303</v>
      </c>
      <c r="AL2783">
        <v>81.866208286173702</v>
      </c>
      <c r="AM2783">
        <v>110.988072160215</v>
      </c>
      <c r="AN2783">
        <v>0.99999999822804997</v>
      </c>
    </row>
    <row r="2784" spans="1:40" x14ac:dyDescent="0.25">
      <c r="A2784" t="str">
        <f>"20190303162833156"</f>
        <v>20190303162833156</v>
      </c>
      <c r="B2784" t="str">
        <f>"1551601713144319"</f>
        <v>1551601713144319</v>
      </c>
      <c r="C2784" t="s">
        <v>40</v>
      </c>
      <c r="D2784">
        <v>4.857856</v>
      </c>
      <c r="E2784">
        <v>0.29672870000000001</v>
      </c>
      <c r="F2784" t="s">
        <v>47</v>
      </c>
      <c r="G2784">
        <v>-483.08699999999999</v>
      </c>
      <c r="H2784" s="1">
        <v>2.2719849999999998E-6</v>
      </c>
      <c r="I2784">
        <v>218.6044</v>
      </c>
      <c r="J2784">
        <v>-489.93869999999998</v>
      </c>
      <c r="K2784">
        <v>1.1325379999999901</v>
      </c>
      <c r="L2784">
        <v>220.4393</v>
      </c>
      <c r="M2784">
        <v>0.44623679999999899</v>
      </c>
      <c r="N2784">
        <v>-1.4011350000000001E-2</v>
      </c>
      <c r="O2784">
        <v>-0.89480530000000003</v>
      </c>
      <c r="P2784">
        <v>0.72842839999999998</v>
      </c>
      <c r="Q2784">
        <v>0.13923669999999999</v>
      </c>
      <c r="R2784">
        <v>-0.67082439999999999</v>
      </c>
      <c r="S2784">
        <v>3.34552</v>
      </c>
      <c r="T2784">
        <v>-0.54262330000000003</v>
      </c>
      <c r="U2784">
        <v>-0.9915619</v>
      </c>
      <c r="V2784">
        <v>-0.35661290000000001</v>
      </c>
      <c r="W2784">
        <v>0.1422601</v>
      </c>
      <c r="X2784">
        <v>0.92335769999999995</v>
      </c>
      <c r="Y2784">
        <v>-0.7180223</v>
      </c>
      <c r="Z2784">
        <v>0.15739420000000001</v>
      </c>
      <c r="AA2784">
        <v>0.67799039999999999</v>
      </c>
      <c r="AB2784">
        <v>28</v>
      </c>
      <c r="AC2784">
        <v>6.8516999999999904</v>
      </c>
      <c r="AD2784">
        <v>-1.1325357280149999</v>
      </c>
      <c r="AE2784">
        <v>-1.8349</v>
      </c>
      <c r="AF2784">
        <v>-5.1805882860728101</v>
      </c>
      <c r="AG2784">
        <v>-1.1325357280149999</v>
      </c>
      <c r="AH2784">
        <v>4.58298443754994</v>
      </c>
      <c r="AI2784">
        <v>99.298909952985994</v>
      </c>
      <c r="AJ2784">
        <v>138.50256166614301</v>
      </c>
      <c r="AK2784">
        <v>7.0089142183258497</v>
      </c>
      <c r="AL2784">
        <v>81.821350899477807</v>
      </c>
      <c r="AM2784">
        <v>111.11721721630499</v>
      </c>
      <c r="AN2784">
        <v>1.00000006932385</v>
      </c>
    </row>
    <row r="2785" spans="1:40" x14ac:dyDescent="0.25">
      <c r="A2785" t="str">
        <f>"20190303162833180"</f>
        <v>20190303162833180</v>
      </c>
      <c r="B2785" t="str">
        <f>"1551601713174576"</f>
        <v>1551601713174576</v>
      </c>
      <c r="C2785" t="s">
        <v>40</v>
      </c>
      <c r="D2785">
        <v>4.9027710000000004</v>
      </c>
      <c r="E2785">
        <v>0.2985834</v>
      </c>
      <c r="F2785" t="s">
        <v>47</v>
      </c>
      <c r="G2785">
        <v>-482.7944</v>
      </c>
      <c r="H2785" s="1">
        <v>2.2127769999999998E-6</v>
      </c>
      <c r="I2785">
        <v>218.43729999999999</v>
      </c>
      <c r="J2785">
        <v>-489.79259999999999</v>
      </c>
      <c r="K2785">
        <v>1.132719</v>
      </c>
      <c r="L2785">
        <v>220.18600000000001</v>
      </c>
      <c r="M2785">
        <v>0.46161360000000001</v>
      </c>
      <c r="N2785">
        <v>-1.408617E-2</v>
      </c>
      <c r="O2785">
        <v>-0.88696929999999996</v>
      </c>
      <c r="P2785">
        <v>0.73922659999999996</v>
      </c>
      <c r="Q2785">
        <v>0.14071120000000001</v>
      </c>
      <c r="R2785">
        <v>-0.65859319999999999</v>
      </c>
      <c r="S2785">
        <v>3.3544309999999999</v>
      </c>
      <c r="T2785">
        <v>-0.53175430000000001</v>
      </c>
      <c r="U2785">
        <v>-0.94000240000000002</v>
      </c>
      <c r="V2785">
        <v>-0.35591889999999998</v>
      </c>
      <c r="W2785">
        <v>0.14367449999999901</v>
      </c>
      <c r="X2785">
        <v>0.92340639999999996</v>
      </c>
      <c r="Y2785">
        <v>-0.71679759999999904</v>
      </c>
      <c r="Z2785">
        <v>0.15425349999999999</v>
      </c>
      <c r="AA2785">
        <v>0.68000519999999998</v>
      </c>
      <c r="AB2785">
        <v>28</v>
      </c>
      <c r="AC2785">
        <v>6.99819999999999</v>
      </c>
      <c r="AD2785">
        <v>-1.132716787223</v>
      </c>
      <c r="AE2785">
        <v>-1.7486999999999799</v>
      </c>
      <c r="AF2785">
        <v>-5.2705371602760902</v>
      </c>
      <c r="AG2785">
        <v>-1.132716787223</v>
      </c>
      <c r="AH2785">
        <v>4.6669031562566099</v>
      </c>
      <c r="AI2785">
        <v>99.140673270341694</v>
      </c>
      <c r="AJ2785">
        <v>138.47606989169</v>
      </c>
      <c r="AK2785">
        <v>7.1303291893001601</v>
      </c>
      <c r="AL2785">
        <v>81.739470068740502</v>
      </c>
      <c r="AM2785">
        <v>111.078719536102</v>
      </c>
      <c r="AN2785">
        <v>1.0000000024442099</v>
      </c>
    </row>
    <row r="2786" spans="1:40" x14ac:dyDescent="0.25">
      <c r="A2786" t="str">
        <f>"20190303162833202"</f>
        <v>20190303162833202</v>
      </c>
      <c r="B2786" t="str">
        <f>"1551601713194095"</f>
        <v>1551601713194095</v>
      </c>
      <c r="C2786" t="s">
        <v>40</v>
      </c>
      <c r="D2786">
        <v>4.8928739999999999</v>
      </c>
      <c r="E2786">
        <v>0.29942180000000002</v>
      </c>
      <c r="F2786" t="s">
        <v>47</v>
      </c>
      <c r="G2786">
        <v>-482.39</v>
      </c>
      <c r="H2786" s="1">
        <v>2.131605E-6</v>
      </c>
      <c r="I2786">
        <v>218.22139999999999</v>
      </c>
      <c r="J2786">
        <v>-489.65539999999999</v>
      </c>
      <c r="K2786">
        <v>1.1329</v>
      </c>
      <c r="L2786">
        <v>219.95740000000001</v>
      </c>
      <c r="M2786">
        <v>0.47576819999999997</v>
      </c>
      <c r="N2786">
        <v>-1.41581E-2</v>
      </c>
      <c r="O2786">
        <v>-0.87945689999999999</v>
      </c>
      <c r="P2786">
        <v>0.74820379999999997</v>
      </c>
      <c r="Q2786">
        <v>0.1415419</v>
      </c>
      <c r="R2786">
        <v>-0.64819539999999998</v>
      </c>
      <c r="S2786">
        <v>3.361389</v>
      </c>
      <c r="T2786">
        <v>-0.51434469999999999</v>
      </c>
      <c r="U2786">
        <v>-0.89208980000000004</v>
      </c>
      <c r="V2786">
        <v>-0.3539737</v>
      </c>
      <c r="W2786">
        <v>0.14448559999999999</v>
      </c>
      <c r="X2786">
        <v>0.9240273</v>
      </c>
      <c r="Y2786">
        <v>-0.71598249999999997</v>
      </c>
      <c r="Z2786">
        <v>0.14910880000000001</v>
      </c>
      <c r="AA2786">
        <v>0.68200850000000002</v>
      </c>
      <c r="AB2786">
        <v>28</v>
      </c>
      <c r="AC2786">
        <v>7.2653999999999996</v>
      </c>
      <c r="AD2786">
        <v>-1.132897868395</v>
      </c>
      <c r="AE2786">
        <v>-1.73600000000001</v>
      </c>
      <c r="AF2786">
        <v>-5.4391234694862796</v>
      </c>
      <c r="AG2786">
        <v>-1.132897868395</v>
      </c>
      <c r="AH2786">
        <v>4.8718247894216402</v>
      </c>
      <c r="AI2786">
        <v>98.819106282132495</v>
      </c>
      <c r="AJ2786">
        <v>138.14918485776599</v>
      </c>
      <c r="AK2786">
        <v>7.3893300423890702</v>
      </c>
      <c r="AL2786">
        <v>81.692507099561993</v>
      </c>
      <c r="AM2786">
        <v>110.960692237404</v>
      </c>
      <c r="AN2786">
        <v>0.99999996002216895</v>
      </c>
    </row>
    <row r="2787" spans="1:40" x14ac:dyDescent="0.25">
      <c r="A2787" t="str">
        <f>"20190303162833224"</f>
        <v>20190303162833224</v>
      </c>
      <c r="B2787" t="str">
        <f>"1551601713214592"</f>
        <v>1551601713214592</v>
      </c>
      <c r="C2787" t="s">
        <v>40</v>
      </c>
      <c r="D2787">
        <v>4.9252440000000002</v>
      </c>
      <c r="E2787">
        <v>0.31677640000000001</v>
      </c>
      <c r="F2787" t="s">
        <v>47</v>
      </c>
      <c r="G2787">
        <v>-482.09100000000001</v>
      </c>
      <c r="H2787" s="1">
        <v>2.0712970000000001E-6</v>
      </c>
      <c r="I2787">
        <v>218.05510000000001</v>
      </c>
      <c r="J2787">
        <v>-489.51979999999998</v>
      </c>
      <c r="K2787">
        <v>1.133095</v>
      </c>
      <c r="L2787">
        <v>219.74</v>
      </c>
      <c r="M2787">
        <v>0.4895002</v>
      </c>
      <c r="N2787">
        <v>-1.423135E-2</v>
      </c>
      <c r="O2787">
        <v>-0.87188709999999903</v>
      </c>
      <c r="P2787">
        <v>0.75689499999999998</v>
      </c>
      <c r="Q2787">
        <v>0.1413806</v>
      </c>
      <c r="R2787">
        <v>-0.63806070000000004</v>
      </c>
      <c r="S2787">
        <v>3.3707579999999999</v>
      </c>
      <c r="T2787">
        <v>-0.50482879999999997</v>
      </c>
      <c r="U2787">
        <v>-0.84767150000000002</v>
      </c>
      <c r="V2787">
        <v>-0.35201110000000002</v>
      </c>
      <c r="W2787">
        <v>0.14430399999999999</v>
      </c>
      <c r="X2787">
        <v>0.92480519999999999</v>
      </c>
      <c r="Y2787">
        <v>-0.71452950000000004</v>
      </c>
      <c r="Z2787">
        <v>0.14610899999999999</v>
      </c>
      <c r="AA2787">
        <v>0.68417819999999996</v>
      </c>
      <c r="AB2787">
        <v>28</v>
      </c>
      <c r="AC2787">
        <v>7.4287999999999599</v>
      </c>
      <c r="AD2787">
        <v>-1.133092928703</v>
      </c>
      <c r="AE2787">
        <v>-1.6848999999999901</v>
      </c>
      <c r="AF2787">
        <v>-5.5305183206012503</v>
      </c>
      <c r="AG2787">
        <v>-1.133092928703</v>
      </c>
      <c r="AH2787">
        <v>4.9954281804024303</v>
      </c>
      <c r="AI2787">
        <v>98.645063673420097</v>
      </c>
      <c r="AJ2787">
        <v>137.910145712749</v>
      </c>
      <c r="AK2787">
        <v>7.5382249359608204</v>
      </c>
      <c r="AL2787">
        <v>81.703023032620607</v>
      </c>
      <c r="AM2787">
        <v>110.838461238307</v>
      </c>
      <c r="AN2787">
        <v>1.0000000584431199</v>
      </c>
    </row>
    <row r="2788" spans="1:40" x14ac:dyDescent="0.25">
      <c r="A2788" t="str">
        <f>"20190303162833246"</f>
        <v>20190303162833246</v>
      </c>
      <c r="B2788" t="str">
        <f>"1551601713234111"</f>
        <v>1551601713234111</v>
      </c>
      <c r="C2788" t="s">
        <v>40</v>
      </c>
      <c r="D2788">
        <v>4.97905</v>
      </c>
      <c r="E2788">
        <v>0.31805529999999999</v>
      </c>
      <c r="F2788" t="s">
        <v>47</v>
      </c>
      <c r="G2788">
        <v>-481.57940000000002</v>
      </c>
      <c r="H2788" s="1">
        <v>1.9588720000000001E-6</v>
      </c>
      <c r="I2788">
        <v>217.559</v>
      </c>
      <c r="J2788">
        <v>-489.37360000000001</v>
      </c>
      <c r="K2788">
        <v>1.133302</v>
      </c>
      <c r="L2788">
        <v>219.5147</v>
      </c>
      <c r="M2788">
        <v>0.50404369999999998</v>
      </c>
      <c r="N2788">
        <v>-1.431254E-2</v>
      </c>
      <c r="O2788">
        <v>-0.86355959999999998</v>
      </c>
      <c r="P2788">
        <v>0.76635659999999906</v>
      </c>
      <c r="Q2788">
        <v>0.14022179999999901</v>
      </c>
      <c r="R2788">
        <v>-0.62692550000000002</v>
      </c>
      <c r="S2788">
        <v>3.2895810000000001</v>
      </c>
      <c r="T2788">
        <v>-0.4694257</v>
      </c>
      <c r="U2788">
        <v>-0.90357969999999999</v>
      </c>
      <c r="V2788">
        <v>-0.35025260000000003</v>
      </c>
      <c r="W2788">
        <v>0.1431125</v>
      </c>
      <c r="X2788">
        <v>0.92565759999999997</v>
      </c>
      <c r="Y2788">
        <v>-0.68901639999999997</v>
      </c>
      <c r="Z2788">
        <v>0.13625880000000001</v>
      </c>
      <c r="AA2788">
        <v>0.71182159999999906</v>
      </c>
      <c r="AB2788">
        <v>28</v>
      </c>
      <c r="AC2788">
        <v>7.7941999999999796</v>
      </c>
      <c r="AD2788">
        <v>-1.1333000411280001</v>
      </c>
      <c r="AE2788">
        <v>-1.95569999999997</v>
      </c>
      <c r="AF2788">
        <v>-5.6335364457808002</v>
      </c>
      <c r="AG2788">
        <v>-1.1333000411280001</v>
      </c>
      <c r="AH2788">
        <v>5.5084934127420997</v>
      </c>
      <c r="AI2788">
        <v>98.185069397553505</v>
      </c>
      <c r="AJ2788">
        <v>135.64298313527601</v>
      </c>
      <c r="AK2788">
        <v>7.9601885371757701</v>
      </c>
      <c r="AL2788">
        <v>81.772006781541606</v>
      </c>
      <c r="AM2788">
        <v>110.725763446999</v>
      </c>
      <c r="AN2788">
        <v>1.0000000319503799</v>
      </c>
    </row>
    <row r="2789" spans="1:40" x14ac:dyDescent="0.25">
      <c r="A2789" t="str">
        <f>"20190303162833269"</f>
        <v>20190303162833269</v>
      </c>
      <c r="B2789" t="str">
        <f>"1551601713264367"</f>
        <v>1551601713264367</v>
      </c>
      <c r="C2789" t="s">
        <v>40</v>
      </c>
      <c r="D2789">
        <v>4.9934940000000001</v>
      </c>
      <c r="E2789">
        <v>0.31878040000000002</v>
      </c>
      <c r="F2789" t="s">
        <v>47</v>
      </c>
      <c r="G2789">
        <v>-481.48410000000001</v>
      </c>
      <c r="H2789" s="1">
        <v>1.9370549999999999E-6</v>
      </c>
      <c r="I2789">
        <v>217.44659999999999</v>
      </c>
      <c r="J2789">
        <v>-489.22500000000002</v>
      </c>
      <c r="K2789">
        <v>1.1334900000000001</v>
      </c>
      <c r="L2789">
        <v>219.2945</v>
      </c>
      <c r="M2789">
        <v>0.51851759999999902</v>
      </c>
      <c r="N2789">
        <v>-1.439316E-2</v>
      </c>
      <c r="O2789">
        <v>-0.85494609999999904</v>
      </c>
      <c r="P2789">
        <v>0.77487309999999998</v>
      </c>
      <c r="Q2789">
        <v>0.13974020000000001</v>
      </c>
      <c r="R2789">
        <v>-0.61647799999999997</v>
      </c>
      <c r="S2789">
        <v>3.2947389999999999</v>
      </c>
      <c r="T2789">
        <v>-0.47328229999999999</v>
      </c>
      <c r="U2789">
        <v>-0.86369319999999905</v>
      </c>
      <c r="V2789">
        <v>-0.34733249999999999</v>
      </c>
      <c r="W2789">
        <v>0.1426481</v>
      </c>
      <c r="X2789">
        <v>0.92682880000000001</v>
      </c>
      <c r="Y2789">
        <v>-0.68506849999999997</v>
      </c>
      <c r="Z2789">
        <v>0.1371986</v>
      </c>
      <c r="AA2789">
        <v>0.71544229999999998</v>
      </c>
      <c r="AB2789">
        <v>27</v>
      </c>
      <c r="AC2789">
        <v>7.7409000000000097</v>
      </c>
      <c r="AD2789">
        <v>-1.1334880629449999</v>
      </c>
      <c r="AE2789">
        <v>-1.8479000000000001</v>
      </c>
      <c r="AF2789">
        <v>-5.5479271643087902</v>
      </c>
      <c r="AG2789">
        <v>-1.1334880629449999</v>
      </c>
      <c r="AH2789">
        <v>5.4830015500997504</v>
      </c>
      <c r="AI2789">
        <v>98.268098668931302</v>
      </c>
      <c r="AJ2789">
        <v>135.33722643102101</v>
      </c>
      <c r="AK2789">
        <v>7.8821061276609603</v>
      </c>
      <c r="AL2789">
        <v>81.798890385687201</v>
      </c>
      <c r="AM2789">
        <v>110.543670900728</v>
      </c>
      <c r="AN2789">
        <v>0.99999998524964895</v>
      </c>
    </row>
    <row r="2790" spans="1:40" x14ac:dyDescent="0.25">
      <c r="A2790" t="str">
        <f>"20190303162833291"</f>
        <v>20190303162833291</v>
      </c>
      <c r="B2790" t="str">
        <f>"1551601713283888"</f>
        <v>1551601713283888</v>
      </c>
      <c r="C2790" t="s">
        <v>40</v>
      </c>
      <c r="D2790">
        <v>5.0102149999999996</v>
      </c>
      <c r="E2790">
        <v>0.3190732</v>
      </c>
      <c r="F2790" t="s">
        <v>47</v>
      </c>
      <c r="G2790">
        <v>-481.31029999999998</v>
      </c>
      <c r="H2790" s="1">
        <v>1.9007460000000001E-6</v>
      </c>
      <c r="I2790">
        <v>217.32130000000001</v>
      </c>
      <c r="J2790">
        <v>-489.06169999999997</v>
      </c>
      <c r="K2790">
        <v>1.133683</v>
      </c>
      <c r="L2790">
        <v>219.0616</v>
      </c>
      <c r="M2790">
        <v>0.53411469999999905</v>
      </c>
      <c r="N2790">
        <v>-1.4477240000000001E-2</v>
      </c>
      <c r="O2790">
        <v>-0.84528819999999905</v>
      </c>
      <c r="P2790">
        <v>0.78401209999999999</v>
      </c>
      <c r="Q2790">
        <v>0.13943539999999999</v>
      </c>
      <c r="R2790">
        <v>-0.604882699999999</v>
      </c>
      <c r="S2790">
        <v>3.301971</v>
      </c>
      <c r="T2790">
        <v>-0.47288809999999898</v>
      </c>
      <c r="U2790">
        <v>-0.82322689999999998</v>
      </c>
      <c r="V2790">
        <v>-0.34421489999999999</v>
      </c>
      <c r="W2790">
        <v>0.142371</v>
      </c>
      <c r="X2790">
        <v>0.92803369999999996</v>
      </c>
      <c r="Y2790">
        <v>-0.68048260000000005</v>
      </c>
      <c r="Z2790">
        <v>0.13661989999999999</v>
      </c>
      <c r="AA2790">
        <v>0.71991559999999999</v>
      </c>
      <c r="AB2790">
        <v>27</v>
      </c>
      <c r="AC2790">
        <v>7.7513999999999896</v>
      </c>
      <c r="AD2790">
        <v>-1.1336810992540001</v>
      </c>
      <c r="AE2790">
        <v>-1.74029999999999</v>
      </c>
      <c r="AF2790">
        <v>-5.5110093315283599</v>
      </c>
      <c r="AG2790">
        <v>-1.1336810992540001</v>
      </c>
      <c r="AH2790">
        <v>5.4997813777925399</v>
      </c>
      <c r="AI2790">
        <v>98.284539148067495</v>
      </c>
      <c r="AJ2790">
        <v>135.05842578935801</v>
      </c>
      <c r="AK2790">
        <v>7.8679128039469397</v>
      </c>
      <c r="AL2790">
        <v>81.8149306684208</v>
      </c>
      <c r="AM2790">
        <v>110.350208067529</v>
      </c>
      <c r="AN2790">
        <v>0.99999997367934901</v>
      </c>
    </row>
    <row r="2791" spans="1:40" x14ac:dyDescent="0.25">
      <c r="A2791" t="str">
        <f>"20190303162833312"</f>
        <v>20190303162833312</v>
      </c>
      <c r="B2791" t="str">
        <f>"1551601713304383"</f>
        <v>1551601713304383</v>
      </c>
      <c r="C2791" t="s">
        <v>40</v>
      </c>
      <c r="D2791">
        <v>5.0081429999999996</v>
      </c>
      <c r="E2791">
        <v>0.32006570000000001</v>
      </c>
      <c r="F2791" t="s">
        <v>47</v>
      </c>
      <c r="G2791">
        <v>-481.19920000000002</v>
      </c>
      <c r="H2791" s="1">
        <v>1.8765749999999999E-6</v>
      </c>
      <c r="I2791">
        <v>217.2192</v>
      </c>
      <c r="J2791">
        <v>-488.91759999999999</v>
      </c>
      <c r="K2791">
        <v>1.1338239999999999</v>
      </c>
      <c r="L2791">
        <v>218.8639</v>
      </c>
      <c r="M2791">
        <v>0.54759789999999997</v>
      </c>
      <c r="N2791">
        <v>-1.4548220000000001E-2</v>
      </c>
      <c r="O2791">
        <v>-0.83661549999999996</v>
      </c>
      <c r="P2791">
        <v>0.79329039999999995</v>
      </c>
      <c r="Q2791">
        <v>0.13541919999999999</v>
      </c>
      <c r="R2791">
        <v>-0.59359289999999998</v>
      </c>
      <c r="S2791">
        <v>3.3125</v>
      </c>
      <c r="T2791">
        <v>-0.47762660000000001</v>
      </c>
      <c r="U2791">
        <v>-0.77624510000000002</v>
      </c>
      <c r="V2791">
        <v>-0.34313900000000003</v>
      </c>
      <c r="W2791">
        <v>0.13833110000000001</v>
      </c>
      <c r="X2791">
        <v>0.92904260000000005</v>
      </c>
      <c r="Y2791">
        <v>-0.67883090000000001</v>
      </c>
      <c r="Z2791">
        <v>0.1376925</v>
      </c>
      <c r="AA2791">
        <v>0.72126939999999995</v>
      </c>
      <c r="AB2791">
        <v>27</v>
      </c>
      <c r="AC2791">
        <v>7.7183999999999697</v>
      </c>
      <c r="AD2791">
        <v>-1.1338221234250001</v>
      </c>
      <c r="AE2791">
        <v>-1.6447000000000001</v>
      </c>
      <c r="AF2791">
        <v>-5.4448922369417501</v>
      </c>
      <c r="AG2791">
        <v>-1.1338221234250001</v>
      </c>
      <c r="AH2791">
        <v>5.4898317740935996</v>
      </c>
      <c r="AI2791">
        <v>98.342319711771495</v>
      </c>
      <c r="AJ2791">
        <v>134.76452708702601</v>
      </c>
      <c r="AK2791">
        <v>7.8147717169041</v>
      </c>
      <c r="AL2791">
        <v>82.048714386012904</v>
      </c>
      <c r="AM2791">
        <v>110.271552530726</v>
      </c>
      <c r="AN2791">
        <v>1.0000000095814801</v>
      </c>
    </row>
    <row r="2792" spans="1:40" x14ac:dyDescent="0.25">
      <c r="A2792" t="str">
        <f>"20190303162833335"</f>
        <v>20190303162833335</v>
      </c>
      <c r="B2792" t="str">
        <f>"1551601713324879"</f>
        <v>1551601713324879</v>
      </c>
      <c r="C2792" t="s">
        <v>40</v>
      </c>
      <c r="D2792">
        <v>5.0097110000000002</v>
      </c>
      <c r="E2792">
        <v>0.32117040000000002</v>
      </c>
      <c r="F2792" t="s">
        <v>47</v>
      </c>
      <c r="G2792">
        <v>-481.22460000000001</v>
      </c>
      <c r="H2792" s="1">
        <v>1.878704E-6</v>
      </c>
      <c r="I2792">
        <v>217.16499999999999</v>
      </c>
      <c r="J2792">
        <v>-488.75479999999999</v>
      </c>
      <c r="K2792">
        <v>1.1339760000000001</v>
      </c>
      <c r="L2792">
        <v>218.64850000000001</v>
      </c>
      <c r="M2792">
        <v>0.56253679999999995</v>
      </c>
      <c r="N2792">
        <v>-1.462747E-2</v>
      </c>
      <c r="O2792">
        <v>-0.82664300000000002</v>
      </c>
      <c r="P2792">
        <v>0.80494060000000001</v>
      </c>
      <c r="Q2792">
        <v>0.131609</v>
      </c>
      <c r="R2792">
        <v>-0.57857599999999998</v>
      </c>
      <c r="S2792">
        <v>3.3170470000000001</v>
      </c>
      <c r="T2792">
        <v>-0.48887609999999898</v>
      </c>
      <c r="U2792">
        <v>-0.73251339999999998</v>
      </c>
      <c r="V2792">
        <v>-0.34437980000000001</v>
      </c>
      <c r="W2792">
        <v>0.1344099</v>
      </c>
      <c r="X2792">
        <v>0.92915899999999996</v>
      </c>
      <c r="Y2792">
        <v>-0.67450369999999904</v>
      </c>
      <c r="Z2792">
        <v>0.1406464</v>
      </c>
      <c r="AA2792">
        <v>0.72475049999999996</v>
      </c>
      <c r="AB2792">
        <v>27</v>
      </c>
      <c r="AC2792">
        <v>7.5301999999999696</v>
      </c>
      <c r="AD2792">
        <v>-1.1339741212959999</v>
      </c>
      <c r="AE2792">
        <v>-1.48350000000002</v>
      </c>
      <c r="AF2792">
        <v>-5.2756711925564597</v>
      </c>
      <c r="AG2792">
        <v>-1.1339741212959999</v>
      </c>
      <c r="AH2792">
        <v>5.34621464784425</v>
      </c>
      <c r="AI2792">
        <v>98.585428820799194</v>
      </c>
      <c r="AJ2792">
        <v>134.61948538162699</v>
      </c>
      <c r="AK2792">
        <v>7.5960920808375896</v>
      </c>
      <c r="AL2792">
        <v>82.275501011003399</v>
      </c>
      <c r="AM2792">
        <v>110.33652059564599</v>
      </c>
      <c r="AN2792">
        <v>0.999999957573524</v>
      </c>
    </row>
    <row r="2793" spans="1:40" x14ac:dyDescent="0.25">
      <c r="A2793" t="str">
        <f>"20190303162833358"</f>
        <v>20190303162833358</v>
      </c>
      <c r="B2793" t="str">
        <f>"1551601713354159"</f>
        <v>1551601713354159</v>
      </c>
      <c r="C2793" t="s">
        <v>40</v>
      </c>
      <c r="D2793">
        <v>4.995965</v>
      </c>
      <c r="E2793">
        <v>0.33226420000000001</v>
      </c>
      <c r="F2793" t="s">
        <v>47</v>
      </c>
      <c r="G2793">
        <v>-481.17290000000003</v>
      </c>
      <c r="H2793" s="1">
        <v>1.867197E-6</v>
      </c>
      <c r="I2793">
        <v>217.1113</v>
      </c>
      <c r="J2793">
        <v>-488.58589999999998</v>
      </c>
      <c r="K2793">
        <v>1.134131</v>
      </c>
      <c r="L2793">
        <v>218.43350000000001</v>
      </c>
      <c r="M2793">
        <v>0.57772460000000003</v>
      </c>
      <c r="N2793">
        <v>-1.4709450000000001E-2</v>
      </c>
      <c r="O2793">
        <v>-0.81609919999999903</v>
      </c>
      <c r="P2793">
        <v>0.81773859999999998</v>
      </c>
      <c r="Q2793">
        <v>0.1291525</v>
      </c>
      <c r="R2793">
        <v>-0.56091329999999995</v>
      </c>
      <c r="S2793">
        <v>3.323944</v>
      </c>
      <c r="T2793">
        <v>-0.49714000000000003</v>
      </c>
      <c r="U2793">
        <v>-0.67391969999999901</v>
      </c>
      <c r="V2793">
        <v>-0.34773419999999999</v>
      </c>
      <c r="W2793">
        <v>0.13176289999999999</v>
      </c>
      <c r="X2793">
        <v>0.92828849999999996</v>
      </c>
      <c r="Y2793">
        <v>-0.67312709999999998</v>
      </c>
      <c r="Z2793">
        <v>0.14282030000000001</v>
      </c>
      <c r="AA2793">
        <v>0.72560480000000005</v>
      </c>
      <c r="AB2793">
        <v>27</v>
      </c>
      <c r="AC2793">
        <v>7.4129999999999496</v>
      </c>
      <c r="AD2793">
        <v>-1.1341291328030001</v>
      </c>
      <c r="AE2793">
        <v>-1.3222</v>
      </c>
      <c r="AF2793">
        <v>-5.1691856654037096</v>
      </c>
      <c r="AG2793">
        <v>-1.1341291328030001</v>
      </c>
      <c r="AH2793">
        <v>5.2433542865748501</v>
      </c>
      <c r="AI2793">
        <v>98.7565411807403</v>
      </c>
      <c r="AJ2793">
        <v>134.59188851932001</v>
      </c>
      <c r="AK2793">
        <v>7.4497982192694696</v>
      </c>
      <c r="AL2793">
        <v>82.428524828968307</v>
      </c>
      <c r="AM2793">
        <v>110.53580517931501</v>
      </c>
      <c r="AN2793">
        <v>1.00000003744914</v>
      </c>
    </row>
    <row r="2794" spans="1:40" x14ac:dyDescent="0.25">
      <c r="A2794" t="str">
        <f>"20190303162833379"</f>
        <v>20190303162833379</v>
      </c>
      <c r="B2794" t="str">
        <f>"1551601713374656"</f>
        <v>1551601713374656</v>
      </c>
      <c r="C2794" t="s">
        <v>40</v>
      </c>
      <c r="D2794">
        <v>5.0126200000000001</v>
      </c>
      <c r="E2794">
        <v>0.33419589999999999</v>
      </c>
      <c r="F2794" t="s">
        <v>47</v>
      </c>
      <c r="G2794">
        <v>-480.76089999999999</v>
      </c>
      <c r="H2794" s="1">
        <v>1.78212E-6</v>
      </c>
      <c r="I2794">
        <v>216.83699999999999</v>
      </c>
      <c r="J2794">
        <v>-488.42809999999997</v>
      </c>
      <c r="K2794">
        <v>1.13427099999999</v>
      </c>
      <c r="L2794">
        <v>218.24019999999999</v>
      </c>
      <c r="M2794">
        <v>0.59161140000000001</v>
      </c>
      <c r="N2794">
        <v>-1.4785120000000001E-2</v>
      </c>
      <c r="O2794">
        <v>-0.80608780000000002</v>
      </c>
      <c r="P2794">
        <v>0.82940800000000003</v>
      </c>
      <c r="Q2794">
        <v>0.12703499999999901</v>
      </c>
      <c r="R2794">
        <v>-0.54400809999999999</v>
      </c>
      <c r="S2794">
        <v>3.2842410000000002</v>
      </c>
      <c r="T2794">
        <v>-0.47600419999999999</v>
      </c>
      <c r="U2794">
        <v>-0.67004390000000003</v>
      </c>
      <c r="V2794">
        <v>-0.35114869999999998</v>
      </c>
      <c r="W2794">
        <v>0.12945770000000001</v>
      </c>
      <c r="X2794">
        <v>0.92732700000000001</v>
      </c>
      <c r="Y2794">
        <v>-0.660504599999999</v>
      </c>
      <c r="Z2794">
        <v>0.1367815</v>
      </c>
      <c r="AA2794">
        <v>0.73825769999999902</v>
      </c>
      <c r="AB2794">
        <v>27</v>
      </c>
      <c r="AC2794">
        <v>7.6671999999999798</v>
      </c>
      <c r="AD2794">
        <v>-1.13426921787999</v>
      </c>
      <c r="AE2794">
        <v>-1.40319999999996</v>
      </c>
      <c r="AF2794">
        <v>-5.2399095583384696</v>
      </c>
      <c r="AG2794">
        <v>-1.13426921787999</v>
      </c>
      <c r="AH2794">
        <v>5.5501915893096996</v>
      </c>
      <c r="AI2794">
        <v>98.452441155582704</v>
      </c>
      <c r="AJ2794">
        <v>133.35284648886599</v>
      </c>
      <c r="AK2794">
        <v>7.7167250512274403</v>
      </c>
      <c r="AL2794">
        <v>82.561744256262401</v>
      </c>
      <c r="AM2794">
        <v>110.74005385506899</v>
      </c>
      <c r="AN2794">
        <v>1.00000003526498</v>
      </c>
    </row>
    <row r="2795" spans="1:40" x14ac:dyDescent="0.25">
      <c r="A2795" t="str">
        <f>"20190303162833404"</f>
        <v>20190303162833404</v>
      </c>
      <c r="B2795" t="str">
        <f>"1551601713394175"</f>
        <v>1551601713394175</v>
      </c>
      <c r="C2795" t="s">
        <v>40</v>
      </c>
      <c r="D2795">
        <v>5.0725089999999904</v>
      </c>
      <c r="E2795">
        <v>0.335223299999999</v>
      </c>
      <c r="F2795" t="s">
        <v>47</v>
      </c>
      <c r="G2795">
        <v>-480.57010000000002</v>
      </c>
      <c r="H2795" s="1">
        <v>1.745504E-6</v>
      </c>
      <c r="I2795">
        <v>216.77379999999999</v>
      </c>
      <c r="J2795">
        <v>-488.23590000000002</v>
      </c>
      <c r="K2795">
        <v>1.1344449999999999</v>
      </c>
      <c r="L2795">
        <v>218.0136</v>
      </c>
      <c r="M2795">
        <v>0.60815730000000001</v>
      </c>
      <c r="N2795">
        <v>-1.487452E-2</v>
      </c>
      <c r="O2795">
        <v>-0.79367719999999997</v>
      </c>
      <c r="P2795">
        <v>0.8420048</v>
      </c>
      <c r="Q2795">
        <v>0.12507119999999999</v>
      </c>
      <c r="R2795">
        <v>-0.52477180000000001</v>
      </c>
      <c r="S2795">
        <v>3.2873230000000002</v>
      </c>
      <c r="T2795">
        <v>-0.4745085</v>
      </c>
      <c r="U2795">
        <v>-0.61346440000000002</v>
      </c>
      <c r="V2795">
        <v>-0.35354580000000002</v>
      </c>
      <c r="W2795">
        <v>0.127333</v>
      </c>
      <c r="X2795">
        <v>0.92671009999999998</v>
      </c>
      <c r="Y2795">
        <v>-0.65756930000000002</v>
      </c>
      <c r="Z2795">
        <v>0.135827799999999</v>
      </c>
      <c r="AA2795">
        <v>0.74104879999999995</v>
      </c>
      <c r="AB2795">
        <v>27</v>
      </c>
      <c r="AC2795">
        <v>7.6657999999999902</v>
      </c>
      <c r="AD2795">
        <v>-1.1344432544959999</v>
      </c>
      <c r="AE2795">
        <v>-1.2398</v>
      </c>
      <c r="AF2795">
        <v>-5.2193745616509997</v>
      </c>
      <c r="AG2795">
        <v>-1.1344432544959999</v>
      </c>
      <c r="AH2795">
        <v>5.5286449881897202</v>
      </c>
      <c r="AI2795">
        <v>98.486332587777198</v>
      </c>
      <c r="AJ2795">
        <v>133.351789188434</v>
      </c>
      <c r="AK2795">
        <v>7.6873108248539301</v>
      </c>
      <c r="AL2795">
        <v>82.684496134401897</v>
      </c>
      <c r="AM2795">
        <v>110.88217117308101</v>
      </c>
      <c r="AN2795">
        <v>0.99999996751432396</v>
      </c>
    </row>
    <row r="2796" spans="1:40" x14ac:dyDescent="0.25">
      <c r="A2796" t="str">
        <f>"20190303162833436"</f>
        <v>20190303162833436</v>
      </c>
      <c r="B2796" t="str">
        <f>"1551601713424431"</f>
        <v>1551601713424431</v>
      </c>
      <c r="C2796" t="s">
        <v>40</v>
      </c>
      <c r="D2796">
        <v>5.093337</v>
      </c>
      <c r="E2796">
        <v>0.34765200000000002</v>
      </c>
      <c r="F2796" t="s">
        <v>47</v>
      </c>
      <c r="G2796">
        <v>-480.37729999999999</v>
      </c>
      <c r="H2796" s="1">
        <v>1.709042E-6</v>
      </c>
      <c r="I2796">
        <v>216.7217</v>
      </c>
      <c r="J2796">
        <v>-487.98169999999999</v>
      </c>
      <c r="K2796">
        <v>1.134649</v>
      </c>
      <c r="L2796">
        <v>217.72980000000001</v>
      </c>
      <c r="M2796">
        <v>0.62936950000000003</v>
      </c>
      <c r="N2796">
        <v>-1.498791E-2</v>
      </c>
      <c r="O2796">
        <v>-0.77696169999999998</v>
      </c>
      <c r="P2796">
        <v>0.85699899999999996</v>
      </c>
      <c r="Q2796">
        <v>0.1237721</v>
      </c>
      <c r="R2796">
        <v>-0.50023339999999905</v>
      </c>
      <c r="S2796">
        <v>3.2958980000000002</v>
      </c>
      <c r="T2796">
        <v>-0.4757884</v>
      </c>
      <c r="U2796">
        <v>-0.54183959999999998</v>
      </c>
      <c r="V2796">
        <v>-0.3554619</v>
      </c>
      <c r="W2796">
        <v>0.12587760000000001</v>
      </c>
      <c r="X2796">
        <v>0.92617579999999999</v>
      </c>
      <c r="Y2796">
        <v>-0.65337230000000002</v>
      </c>
      <c r="Z2796">
        <v>0.1351579</v>
      </c>
      <c r="AA2796">
        <v>0.74487380000000003</v>
      </c>
      <c r="AB2796">
        <v>27</v>
      </c>
      <c r="AC2796">
        <v>7.6043999999999903</v>
      </c>
      <c r="AD2796">
        <v>-1.1346472909579901</v>
      </c>
      <c r="AE2796">
        <v>-1.00810000000001</v>
      </c>
      <c r="AF2796">
        <v>-5.16152384864938</v>
      </c>
      <c r="AG2796">
        <v>-1.1346472909579901</v>
      </c>
      <c r="AH2796">
        <v>5.45060460150704</v>
      </c>
      <c r="AI2796">
        <v>98.595275946609902</v>
      </c>
      <c r="AJ2796">
        <v>133.43961443816201</v>
      </c>
      <c r="AK2796">
        <v>7.5919591303578802</v>
      </c>
      <c r="AL2796">
        <v>82.768560913306402</v>
      </c>
      <c r="AM2796">
        <v>110.99656644545399</v>
      </c>
      <c r="AN2796">
        <v>0.99999997251950401</v>
      </c>
    </row>
    <row r="2797" spans="1:40" x14ac:dyDescent="0.25">
      <c r="A2797" t="str">
        <f>"20190303162833459"</f>
        <v>20190303162833459</v>
      </c>
      <c r="B2797" t="str">
        <f>"1551601713453712"</f>
        <v>1551601713453712</v>
      </c>
      <c r="C2797" t="s">
        <v>40</v>
      </c>
      <c r="D2797">
        <v>5.3123209999999998</v>
      </c>
      <c r="E2797">
        <v>0.37218639999999997</v>
      </c>
      <c r="F2797" t="s">
        <v>47</v>
      </c>
      <c r="G2797">
        <v>-479.89569999999998</v>
      </c>
      <c r="H2797" s="1">
        <v>1.6487420000000001E-6</v>
      </c>
      <c r="I2797">
        <v>216.41480000000001</v>
      </c>
      <c r="J2797">
        <v>-487.79430000000002</v>
      </c>
      <c r="K2797">
        <v>1.1347780000000001</v>
      </c>
      <c r="L2797">
        <v>217.52969999999999</v>
      </c>
      <c r="M2797">
        <v>0.644545699999999</v>
      </c>
      <c r="N2797">
        <v>-1.5064849999999999E-2</v>
      </c>
      <c r="O2797">
        <v>-0.76441740000000002</v>
      </c>
      <c r="P2797">
        <v>0.86726819999999905</v>
      </c>
      <c r="Q2797">
        <v>0.12349690000000001</v>
      </c>
      <c r="R2797">
        <v>-0.4822804</v>
      </c>
      <c r="S2797">
        <v>3.2574160000000001</v>
      </c>
      <c r="T2797">
        <v>-0.45708700000000002</v>
      </c>
      <c r="U2797">
        <v>-0.52972410000000003</v>
      </c>
      <c r="V2797">
        <v>-0.3565778</v>
      </c>
      <c r="W2797">
        <v>0.1255067</v>
      </c>
      <c r="X2797">
        <v>0.92579719999999999</v>
      </c>
      <c r="Y2797">
        <v>-0.64058570000000004</v>
      </c>
      <c r="Z2797">
        <v>0.12957739999999901</v>
      </c>
      <c r="AA2797">
        <v>0.75687490000000002</v>
      </c>
      <c r="AB2797">
        <v>27</v>
      </c>
      <c r="AC2797">
        <v>7.89860000000004</v>
      </c>
      <c r="AD2797">
        <v>-1.134776351258</v>
      </c>
      <c r="AE2797">
        <v>-1.11489999999997</v>
      </c>
      <c r="AF2797">
        <v>-5.2143033600568103</v>
      </c>
      <c r="AG2797">
        <v>-1.134776351258</v>
      </c>
      <c r="AH2797">
        <v>5.82602884006032</v>
      </c>
      <c r="AI2797">
        <v>98.258062852772596</v>
      </c>
      <c r="AJ2797">
        <v>131.82858400043301</v>
      </c>
      <c r="AK2797">
        <v>7.9005878859290402</v>
      </c>
      <c r="AL2797">
        <v>82.789982416395105</v>
      </c>
      <c r="AM2797">
        <v>111.064567836631</v>
      </c>
      <c r="AN2797">
        <v>1.0000000573627801</v>
      </c>
    </row>
    <row r="2798" spans="1:40" x14ac:dyDescent="0.25">
      <c r="A2798" t="str">
        <f>"20190303162833481"</f>
        <v>20190303162833481</v>
      </c>
      <c r="B2798" t="str">
        <f>"1551601713474208"</f>
        <v>1551601713474208</v>
      </c>
      <c r="C2798" t="s">
        <v>40</v>
      </c>
      <c r="D2798">
        <v>5.2198089999999997</v>
      </c>
      <c r="E2798">
        <v>0.4217476</v>
      </c>
      <c r="F2798" t="s">
        <v>44</v>
      </c>
      <c r="G2798">
        <v>-486.8603</v>
      </c>
      <c r="H2798">
        <v>1.016824</v>
      </c>
      <c r="I2798">
        <v>217.34399999999999</v>
      </c>
      <c r="J2798">
        <v>-487.60860000000002</v>
      </c>
      <c r="K2798">
        <v>1.1349009999999999</v>
      </c>
      <c r="L2798">
        <v>217.33940000000001</v>
      </c>
      <c r="M2798">
        <v>0.65919479999999997</v>
      </c>
      <c r="N2798">
        <v>-1.513597E-2</v>
      </c>
      <c r="O2798">
        <v>-0.75181989999999999</v>
      </c>
      <c r="P2798">
        <v>0.87657169999999895</v>
      </c>
      <c r="Q2798">
        <v>0.1226872</v>
      </c>
      <c r="R2798">
        <v>-0.46537149999999999</v>
      </c>
      <c r="S2798">
        <v>3.1662599999999999</v>
      </c>
      <c r="T2798">
        <v>-0.3996847</v>
      </c>
      <c r="U2798">
        <v>-0.62901309999999999</v>
      </c>
      <c r="V2798">
        <v>-0.35674450000000002</v>
      </c>
      <c r="W2798">
        <v>0.1246438</v>
      </c>
      <c r="X2798">
        <v>0.92584949999999999</v>
      </c>
      <c r="Y2798">
        <v>-0.60103490000000004</v>
      </c>
      <c r="Z2798">
        <v>0.11183899999999999</v>
      </c>
      <c r="AA2798">
        <v>0.79135900000000003</v>
      </c>
      <c r="AB2798">
        <v>27</v>
      </c>
      <c r="AC2798">
        <v>0.74830000000002805</v>
      </c>
      <c r="AD2798">
        <v>-0.118077</v>
      </c>
      <c r="AE2798">
        <v>4.6000000000105904E-3</v>
      </c>
      <c r="AF2798">
        <v>-0.55194172698065802</v>
      </c>
      <c r="AG2798">
        <v>-0.118077</v>
      </c>
      <c r="AH2798">
        <v>0.47797268791604097</v>
      </c>
      <c r="AI2798">
        <v>99.186303123755494</v>
      </c>
      <c r="AJ2798">
        <v>139.10796194062701</v>
      </c>
      <c r="AK2798">
        <v>0.73962134792410905</v>
      </c>
      <c r="AL2798">
        <v>82.839813889510495</v>
      </c>
      <c r="AM2798">
        <v>111.07246535512201</v>
      </c>
      <c r="AN2798">
        <v>1.00000000590446</v>
      </c>
    </row>
    <row r="2799" spans="1:40" x14ac:dyDescent="0.25">
      <c r="A2799" t="str">
        <f>"20190303162833504"</f>
        <v>20190303162833504</v>
      </c>
      <c r="B2799" t="str">
        <f>"1551601713493728"</f>
        <v>1551601713493728</v>
      </c>
      <c r="C2799" t="s">
        <v>40</v>
      </c>
      <c r="D2799">
        <v>5.2179650000000004</v>
      </c>
      <c r="E2799">
        <v>0.42897390000000002</v>
      </c>
      <c r="F2799" t="s">
        <v>44</v>
      </c>
      <c r="G2799">
        <v>-486.77019999999999</v>
      </c>
      <c r="H2799">
        <v>1.0579620000000001</v>
      </c>
      <c r="I2799">
        <v>217.08459999999999</v>
      </c>
      <c r="J2799">
        <v>-487.42129999999997</v>
      </c>
      <c r="K2799">
        <v>1.1350229999999999</v>
      </c>
      <c r="L2799">
        <v>217.15479999999999</v>
      </c>
      <c r="M2799">
        <v>0.67359969999999902</v>
      </c>
      <c r="N2799">
        <v>-1.5205110000000001E-2</v>
      </c>
      <c r="O2799">
        <v>-0.73894019999999905</v>
      </c>
      <c r="P2799">
        <v>0.8841639</v>
      </c>
      <c r="Q2799">
        <v>0.1231468</v>
      </c>
      <c r="R2799">
        <v>-0.45065440000000001</v>
      </c>
      <c r="S2799">
        <v>2.9801030000000002</v>
      </c>
      <c r="T2799">
        <v>-0.27337939999999999</v>
      </c>
      <c r="U2799">
        <v>-0.90510559999999995</v>
      </c>
      <c r="V2799">
        <v>-0.35433239999999999</v>
      </c>
      <c r="W2799">
        <v>0.12515519999999999</v>
      </c>
      <c r="X2799">
        <v>0.92670640000000004</v>
      </c>
      <c r="Y2799">
        <v>-0.5078973</v>
      </c>
      <c r="Z2799">
        <v>7.2388510000000003E-2</v>
      </c>
      <c r="AA2799">
        <v>0.85837070000000004</v>
      </c>
      <c r="AB2799">
        <v>27</v>
      </c>
      <c r="AC2799">
        <v>0.65109999999998502</v>
      </c>
      <c r="AD2799">
        <v>-7.7060999999999796E-2</v>
      </c>
      <c r="AE2799">
        <v>-7.0199999999999804E-2</v>
      </c>
      <c r="AF2799">
        <v>-0.42796137925074301</v>
      </c>
      <c r="AG2799">
        <v>-7.7060999999999796E-2</v>
      </c>
      <c r="AH2799">
        <v>0.48381165942786197</v>
      </c>
      <c r="AI2799">
        <v>96.803375366106707</v>
      </c>
      <c r="AJ2799">
        <v>131.49475040206099</v>
      </c>
      <c r="AK2799">
        <v>0.65050984746546303</v>
      </c>
      <c r="AL2799">
        <v>82.810281621644904</v>
      </c>
      <c r="AM2799">
        <v>110.92468958777</v>
      </c>
      <c r="AN2799">
        <v>1.00000001278888</v>
      </c>
    </row>
    <row r="2800" spans="1:40" x14ac:dyDescent="0.25">
      <c r="A2800" t="str">
        <f>"20190303162833526"</f>
        <v>20190303162833526</v>
      </c>
      <c r="B2800" t="str">
        <f>"1551601713515200"</f>
        <v>1551601713515200</v>
      </c>
      <c r="C2800" t="s">
        <v>40</v>
      </c>
      <c r="D2800">
        <v>5.2029430000000003</v>
      </c>
      <c r="E2800">
        <v>0.43219099999999999</v>
      </c>
      <c r="F2800" t="s">
        <v>44</v>
      </c>
      <c r="G2800">
        <v>-486.38470000000001</v>
      </c>
      <c r="H2800">
        <v>1.043868</v>
      </c>
      <c r="I2800">
        <v>216.8389</v>
      </c>
      <c r="J2800">
        <v>-487.22519999999997</v>
      </c>
      <c r="K2800">
        <v>1.135159</v>
      </c>
      <c r="L2800">
        <v>216.96979999999999</v>
      </c>
      <c r="M2800">
        <v>0.68827689999999997</v>
      </c>
      <c r="N2800">
        <v>-1.5276329999999999E-2</v>
      </c>
      <c r="O2800">
        <v>-0.72528740000000003</v>
      </c>
      <c r="P2800">
        <v>0.89149429999999996</v>
      </c>
      <c r="Q2800">
        <v>0.1249591</v>
      </c>
      <c r="R2800">
        <v>-0.4354577</v>
      </c>
      <c r="S2800">
        <v>2.9682010000000001</v>
      </c>
      <c r="T2800">
        <v>-0.26104699999999997</v>
      </c>
      <c r="U2800">
        <v>-0.90486149999999999</v>
      </c>
      <c r="V2800">
        <v>-0.35152879999999997</v>
      </c>
      <c r="W2800">
        <v>0.12703739999999999</v>
      </c>
      <c r="X2800">
        <v>0.9275177</v>
      </c>
      <c r="Y2800">
        <v>-0.49002560000000001</v>
      </c>
      <c r="Z2800">
        <v>6.7707080000000003E-2</v>
      </c>
      <c r="AA2800">
        <v>0.86907459999999903</v>
      </c>
      <c r="AB2800">
        <v>27</v>
      </c>
      <c r="AC2800">
        <v>0.84049999999996305</v>
      </c>
      <c r="AD2800">
        <v>-9.1290999999999997E-2</v>
      </c>
      <c r="AE2800">
        <v>-0.13089999999999599</v>
      </c>
      <c r="AF2800">
        <v>-0.51365298131329495</v>
      </c>
      <c r="AG2800">
        <v>-9.1290999999999997E-2</v>
      </c>
      <c r="AH2800">
        <v>0.66584622347202305</v>
      </c>
      <c r="AI2800">
        <v>96.195623233029806</v>
      </c>
      <c r="AJ2800">
        <v>127.647630369244</v>
      </c>
      <c r="AK2800">
        <v>0.84588688676736901</v>
      </c>
      <c r="AL2800">
        <v>82.701571975600302</v>
      </c>
      <c r="AM2800">
        <v>110.756686123549</v>
      </c>
      <c r="AN2800">
        <v>1.0000000410207399</v>
      </c>
    </row>
    <row r="2801" spans="1:40" x14ac:dyDescent="0.25">
      <c r="A2801" t="str">
        <f>"20190303162833549"</f>
        <v>20190303162833549</v>
      </c>
      <c r="B2801" t="str">
        <f>"1551601713544479"</f>
        <v>1551601713544479</v>
      </c>
      <c r="C2801" t="s">
        <v>40</v>
      </c>
      <c r="D2801">
        <v>5.1173760000000001</v>
      </c>
      <c r="E2801">
        <v>0.43586609999999998</v>
      </c>
      <c r="F2801" t="s">
        <v>44</v>
      </c>
      <c r="G2801">
        <v>-486.22199999999998</v>
      </c>
      <c r="H2801">
        <v>1.050381</v>
      </c>
      <c r="I2801">
        <v>216.67330000000001</v>
      </c>
      <c r="J2801">
        <v>-487.03190000000001</v>
      </c>
      <c r="K2801">
        <v>1.135275</v>
      </c>
      <c r="L2801">
        <v>216.79470000000001</v>
      </c>
      <c r="M2801">
        <v>0.70233780000000001</v>
      </c>
      <c r="N2801">
        <v>-1.534319E-2</v>
      </c>
      <c r="O2801">
        <v>-0.71167840000000004</v>
      </c>
      <c r="P2801">
        <v>0.89902000000000004</v>
      </c>
      <c r="Q2801">
        <v>0.1260085</v>
      </c>
      <c r="R2801">
        <v>-0.41938700000000001</v>
      </c>
      <c r="S2801">
        <v>2.9717709999999999</v>
      </c>
      <c r="T2801">
        <v>-0.25102590000000002</v>
      </c>
      <c r="U2801">
        <v>-0.87734990000000002</v>
      </c>
      <c r="V2801">
        <v>-0.34999130000000001</v>
      </c>
      <c r="W2801">
        <v>0.12811529999999999</v>
      </c>
      <c r="X2801">
        <v>0.92795070000000002</v>
      </c>
      <c r="Y2801">
        <v>-0.48091800000000001</v>
      </c>
      <c r="Z2801">
        <v>6.3956760000000001E-2</v>
      </c>
      <c r="AA2801">
        <v>0.87442980000000003</v>
      </c>
      <c r="AB2801">
        <v>27</v>
      </c>
      <c r="AC2801">
        <v>0.80990000000002704</v>
      </c>
      <c r="AD2801">
        <v>-8.4893999999999997E-2</v>
      </c>
      <c r="AE2801">
        <v>-0.121399999999994</v>
      </c>
      <c r="AF2801">
        <v>-0.485960297753882</v>
      </c>
      <c r="AG2801">
        <v>-8.4893999999999997E-2</v>
      </c>
      <c r="AH2801">
        <v>0.64833141818558004</v>
      </c>
      <c r="AI2801">
        <v>95.981409036945095</v>
      </c>
      <c r="AJ2801">
        <v>126.853589992417</v>
      </c>
      <c r="AK2801">
        <v>0.81467664139557106</v>
      </c>
      <c r="AL2801">
        <v>82.639303528622605</v>
      </c>
      <c r="AM2801">
        <v>110.66476168659401</v>
      </c>
      <c r="AN2801">
        <v>0.99999997090013404</v>
      </c>
    </row>
    <row r="2802" spans="1:40" x14ac:dyDescent="0.25">
      <c r="A2802" t="str">
        <f>"20190303162833570"</f>
        <v>20190303162833570</v>
      </c>
      <c r="B2802" t="str">
        <f>"1551601713563999"</f>
        <v>1551601713563999</v>
      </c>
      <c r="C2802" t="s">
        <v>40</v>
      </c>
      <c r="D2802">
        <v>5.2527299999999997</v>
      </c>
      <c r="E2802">
        <v>0.43727159999999898</v>
      </c>
      <c r="F2802" t="s">
        <v>44</v>
      </c>
      <c r="G2802">
        <v>-486.05369999999999</v>
      </c>
      <c r="H2802">
        <v>1.05724</v>
      </c>
      <c r="I2802">
        <v>216.5146</v>
      </c>
      <c r="J2802">
        <v>-486.83530000000002</v>
      </c>
      <c r="K2802">
        <v>1.135381</v>
      </c>
      <c r="L2802">
        <v>216.62360000000001</v>
      </c>
      <c r="M2802">
        <v>0.7162328</v>
      </c>
      <c r="N2802">
        <v>-1.540656E-2</v>
      </c>
      <c r="O2802">
        <v>-0.69769139999999996</v>
      </c>
      <c r="P2802">
        <v>0.90659350000000005</v>
      </c>
      <c r="Q2802">
        <v>0.1266379</v>
      </c>
      <c r="R2802">
        <v>-0.40255629999999998</v>
      </c>
      <c r="S2802">
        <v>2.9732059999999998</v>
      </c>
      <c r="T2802">
        <v>-0.2371366</v>
      </c>
      <c r="U2802">
        <v>-0.85096740000000004</v>
      </c>
      <c r="V2802">
        <v>-0.34898570000000001</v>
      </c>
      <c r="W2802">
        <v>0.1287565</v>
      </c>
      <c r="X2802">
        <v>0.92824070000000003</v>
      </c>
      <c r="Y2802">
        <v>-0.4712459</v>
      </c>
      <c r="Z2802">
        <v>5.9165710000000003E-2</v>
      </c>
      <c r="AA2802">
        <v>0.8800152</v>
      </c>
      <c r="AB2802">
        <v>27</v>
      </c>
      <c r="AC2802">
        <v>0.78160000000002505</v>
      </c>
      <c r="AD2802">
        <v>-7.8141000000000002E-2</v>
      </c>
      <c r="AE2802">
        <v>-0.10900000000000799</v>
      </c>
      <c r="AF2802">
        <v>-0.462764513416342</v>
      </c>
      <c r="AG2802">
        <v>-7.8141000000000002E-2</v>
      </c>
      <c r="AH2802">
        <v>0.62975694716481601</v>
      </c>
      <c r="AI2802">
        <v>95.709927957883593</v>
      </c>
      <c r="AJ2802">
        <v>126.309574733158</v>
      </c>
      <c r="AK2802">
        <v>0.78539851238770098</v>
      </c>
      <c r="AL2802">
        <v>82.602259071257606</v>
      </c>
      <c r="AM2802">
        <v>110.60448660999</v>
      </c>
      <c r="AN2802">
        <v>1.00000002611661</v>
      </c>
    </row>
    <row r="2803" spans="1:40" x14ac:dyDescent="0.25">
      <c r="A2803" t="str">
        <f>"20190303162833605"</f>
        <v>20190303162833605</v>
      </c>
      <c r="B2803" t="str">
        <f>"1551601713593964"</f>
        <v>1551601713593964</v>
      </c>
      <c r="C2803" t="s">
        <v>40</v>
      </c>
      <c r="D2803">
        <v>5.3088759999999997</v>
      </c>
      <c r="E2803">
        <v>0.44041219999999998</v>
      </c>
      <c r="F2803" t="s">
        <v>44</v>
      </c>
      <c r="G2803">
        <v>-485.87880000000001</v>
      </c>
      <c r="H2803">
        <v>1.057831</v>
      </c>
      <c r="I2803">
        <v>216.3648</v>
      </c>
      <c r="J2803">
        <v>-486.52339999999998</v>
      </c>
      <c r="K2803">
        <v>1.135537</v>
      </c>
      <c r="L2803">
        <v>216.36539999999999</v>
      </c>
      <c r="M2803">
        <v>0.73747890000000005</v>
      </c>
      <c r="N2803">
        <v>-1.549817E-2</v>
      </c>
      <c r="O2803">
        <v>-0.67519259999999903</v>
      </c>
      <c r="P2803">
        <v>0.91869290000000003</v>
      </c>
      <c r="Q2803">
        <v>0.12974069999999999</v>
      </c>
      <c r="R2803">
        <v>-0.37305630000000001</v>
      </c>
      <c r="S2803">
        <v>2.9846499999999998</v>
      </c>
      <c r="T2803">
        <v>-0.2419087</v>
      </c>
      <c r="U2803">
        <v>-0.806778</v>
      </c>
      <c r="V2803">
        <v>-0.3501203</v>
      </c>
      <c r="W2803">
        <v>0.131768</v>
      </c>
      <c r="X2803">
        <v>0.92739039999999995</v>
      </c>
      <c r="Y2803">
        <v>-0.45686100000000002</v>
      </c>
      <c r="Z2803">
        <v>5.8979620000000003E-2</v>
      </c>
      <c r="AA2803">
        <v>0.887580699999999</v>
      </c>
      <c r="AB2803">
        <v>27</v>
      </c>
      <c r="AC2803">
        <v>0.64459999999996798</v>
      </c>
      <c r="AD2803">
        <v>-7.7705999999999997E-2</v>
      </c>
      <c r="AE2803">
        <v>-5.9999999999149601E-4</v>
      </c>
      <c r="AF2803">
        <v>-0.42861020554718698</v>
      </c>
      <c r="AG2803">
        <v>-7.7705999999999997E-2</v>
      </c>
      <c r="AH2803">
        <v>0.46902516057429</v>
      </c>
      <c r="AI2803">
        <v>96.972701444592801</v>
      </c>
      <c r="AJ2803">
        <v>132.42206729825699</v>
      </c>
      <c r="AK2803">
        <v>0.64010118886543299</v>
      </c>
      <c r="AL2803">
        <v>82.428229705331603</v>
      </c>
      <c r="AM2803">
        <v>110.683166856819</v>
      </c>
      <c r="AN2803">
        <v>0.99999999215412405</v>
      </c>
    </row>
    <row r="2804" spans="1:40" x14ac:dyDescent="0.25">
      <c r="A2804" t="str">
        <f>"20190303162833629"</f>
        <v>20190303162833629</v>
      </c>
      <c r="B2804" t="str">
        <f>"1551601713614461"</f>
        <v>1551601713614461</v>
      </c>
      <c r="C2804" t="s">
        <v>40</v>
      </c>
      <c r="D2804">
        <v>5.3679300000000003</v>
      </c>
      <c r="E2804">
        <v>0.44226599999999999</v>
      </c>
      <c r="F2804" t="s">
        <v>44</v>
      </c>
      <c r="G2804">
        <v>-485.4984</v>
      </c>
      <c r="H2804">
        <v>1.0583260000000001</v>
      </c>
      <c r="I2804">
        <v>216.1147</v>
      </c>
      <c r="J2804">
        <v>-486.30529999999999</v>
      </c>
      <c r="K2804">
        <v>1.135634</v>
      </c>
      <c r="L2804">
        <v>216.1951</v>
      </c>
      <c r="M2804">
        <v>0.75173780000000001</v>
      </c>
      <c r="N2804">
        <v>-1.5557919999999999E-2</v>
      </c>
      <c r="O2804">
        <v>-0.65927849999999999</v>
      </c>
      <c r="P2804">
        <v>0.92685090000000003</v>
      </c>
      <c r="Q2804">
        <v>0.13174820000000001</v>
      </c>
      <c r="R2804">
        <v>-0.35155320000000001</v>
      </c>
      <c r="S2804">
        <v>2.9998170000000002</v>
      </c>
      <c r="T2804">
        <v>-0.22587689999999999</v>
      </c>
      <c r="U2804">
        <v>-0.73278809999999905</v>
      </c>
      <c r="V2804">
        <v>-0.35182649999999999</v>
      </c>
      <c r="W2804">
        <v>0.13367889999999999</v>
      </c>
      <c r="X2804">
        <v>0.92647080000000004</v>
      </c>
      <c r="Y2804">
        <v>-0.45989170000000001</v>
      </c>
      <c r="Z2804">
        <v>5.4132520000000003E-2</v>
      </c>
      <c r="AA2804">
        <v>0.88632350000000004</v>
      </c>
      <c r="AB2804">
        <v>27</v>
      </c>
      <c r="AC2804">
        <v>0.80689999999998396</v>
      </c>
      <c r="AD2804">
        <v>-7.7307999999999905E-2</v>
      </c>
      <c r="AE2804">
        <v>-8.0399999999997293E-2</v>
      </c>
      <c r="AF2804">
        <v>-0.46734150662192497</v>
      </c>
      <c r="AG2804">
        <v>-7.7307999999999905E-2</v>
      </c>
      <c r="AH2804">
        <v>0.65372138007342995</v>
      </c>
      <c r="AI2804">
        <v>95.495119384447605</v>
      </c>
      <c r="AJ2804">
        <v>125.56074979545799</v>
      </c>
      <c r="AK2804">
        <v>0.80730183540034195</v>
      </c>
      <c r="AL2804">
        <v>82.317766281211206</v>
      </c>
      <c r="AM2804">
        <v>110.79423092087499</v>
      </c>
      <c r="AN2804">
        <v>1.0000000388300401</v>
      </c>
    </row>
    <row r="2805" spans="1:40" x14ac:dyDescent="0.25">
      <c r="A2805" t="str">
        <f>"20190303162833649"</f>
        <v>20190303162833649</v>
      </c>
      <c r="B2805" t="str">
        <f>"1551601713633981"</f>
        <v>1551601713633981</v>
      </c>
      <c r="C2805" t="s">
        <v>40</v>
      </c>
      <c r="D2805">
        <v>5.3659210000000002</v>
      </c>
      <c r="E2805">
        <v>0.44405169999999999</v>
      </c>
      <c r="F2805" t="s">
        <v>44</v>
      </c>
      <c r="G2805">
        <v>-485.31760000000003</v>
      </c>
      <c r="H2805">
        <v>1.0639019999999999</v>
      </c>
      <c r="I2805">
        <v>215.9726</v>
      </c>
      <c r="J2805">
        <v>-486.1173</v>
      </c>
      <c r="K2805">
        <v>1.1357060000000001</v>
      </c>
      <c r="L2805">
        <v>216.05410000000001</v>
      </c>
      <c r="M2805">
        <v>0.76365490000000003</v>
      </c>
      <c r="N2805">
        <v>-1.560599E-2</v>
      </c>
      <c r="O2805">
        <v>-0.64543619999999902</v>
      </c>
      <c r="P2805">
        <v>0.93354729999999997</v>
      </c>
      <c r="Q2805">
        <v>0.13160039999999901</v>
      </c>
      <c r="R2805">
        <v>-0.33342349999999998</v>
      </c>
      <c r="S2805">
        <v>3.0104980000000001</v>
      </c>
      <c r="T2805">
        <v>-0.21866189999999999</v>
      </c>
      <c r="U2805">
        <v>-0.67832950000000003</v>
      </c>
      <c r="V2805">
        <v>-0.35299340000000001</v>
      </c>
      <c r="W2805">
        <v>0.13346720000000001</v>
      </c>
      <c r="X2805">
        <v>0.92605729999999997</v>
      </c>
      <c r="Y2805">
        <v>-0.45976820000000002</v>
      </c>
      <c r="Z2805">
        <v>5.1672349999999999E-2</v>
      </c>
      <c r="AA2805">
        <v>0.88653439999999994</v>
      </c>
      <c r="AB2805">
        <v>27</v>
      </c>
      <c r="AC2805">
        <v>0.79969999999997299</v>
      </c>
      <c r="AD2805">
        <v>-7.1803999999999701E-2</v>
      </c>
      <c r="AE2805">
        <v>-8.1500000000005401E-2</v>
      </c>
      <c r="AF2805">
        <v>-0.45037905139074702</v>
      </c>
      <c r="AG2805">
        <v>-7.1803999999999701E-2</v>
      </c>
      <c r="AH2805">
        <v>0.65812729616944998</v>
      </c>
      <c r="AI2805">
        <v>95.144965753602193</v>
      </c>
      <c r="AJ2805">
        <v>124.38517298958</v>
      </c>
      <c r="AK2805">
        <v>0.80070509072375695</v>
      </c>
      <c r="AL2805">
        <v>82.3300050067661</v>
      </c>
      <c r="AM2805">
        <v>110.865785398437</v>
      </c>
      <c r="AN2805">
        <v>0.99999997840134403</v>
      </c>
    </row>
    <row r="2806" spans="1:40" x14ac:dyDescent="0.25">
      <c r="A2806" t="str">
        <f>"20190303162833672"</f>
        <v>20190303162833672</v>
      </c>
      <c r="B2806" t="str">
        <f>"1551601713664236"</f>
        <v>1551601713664236</v>
      </c>
      <c r="C2806" t="s">
        <v>40</v>
      </c>
      <c r="D2806">
        <v>5.3678229999999996</v>
      </c>
      <c r="E2806">
        <v>0.46129389999999998</v>
      </c>
      <c r="F2806" t="s">
        <v>44</v>
      </c>
      <c r="G2806">
        <v>-485.12790000000001</v>
      </c>
      <c r="H2806">
        <v>1.0641320000000001</v>
      </c>
      <c r="I2806">
        <v>215.846</v>
      </c>
      <c r="J2806">
        <v>-485.8965</v>
      </c>
      <c r="K2806">
        <v>1.1357740000000001</v>
      </c>
      <c r="L2806">
        <v>215.8955</v>
      </c>
      <c r="M2806">
        <v>0.7771998</v>
      </c>
      <c r="N2806">
        <v>-1.5657870000000001E-2</v>
      </c>
      <c r="O2806">
        <v>-0.62905929999999999</v>
      </c>
      <c r="P2806">
        <v>0.94033310000000003</v>
      </c>
      <c r="Q2806">
        <v>0.13183629999999999</v>
      </c>
      <c r="R2806">
        <v>-0.31367679999999998</v>
      </c>
      <c r="S2806">
        <v>3.0178829999999999</v>
      </c>
      <c r="T2806">
        <v>-0.21823119999999999</v>
      </c>
      <c r="U2806">
        <v>-0.63403319999999996</v>
      </c>
      <c r="V2806">
        <v>-0.35283890000000001</v>
      </c>
      <c r="W2806">
        <v>0.13369400000000001</v>
      </c>
      <c r="X2806">
        <v>0.92608349999999995</v>
      </c>
      <c r="Y2806">
        <v>-0.45382440000000002</v>
      </c>
      <c r="Z2806">
        <v>5.072231E-2</v>
      </c>
      <c r="AA2806">
        <v>0.88964639999999995</v>
      </c>
      <c r="AB2806">
        <v>27</v>
      </c>
      <c r="AC2806">
        <v>0.76859999999999196</v>
      </c>
      <c r="AD2806">
        <v>-7.16419999999999E-2</v>
      </c>
      <c r="AE2806">
        <v>-4.9500000000023102E-2</v>
      </c>
      <c r="AF2806">
        <v>-0.44126012090306099</v>
      </c>
      <c r="AG2806">
        <v>-7.16419999999999E-2</v>
      </c>
      <c r="AH2806">
        <v>0.62317916387148098</v>
      </c>
      <c r="AI2806">
        <v>95.359980149563498</v>
      </c>
      <c r="AJ2806">
        <v>125.301511244133</v>
      </c>
      <c r="AK2806">
        <v>0.766938941994043</v>
      </c>
      <c r="AL2806">
        <v>82.316893071091997</v>
      </c>
      <c r="AM2806">
        <v>110.856899298253</v>
      </c>
      <c r="AN2806">
        <v>1.00000001198073</v>
      </c>
    </row>
    <row r="2807" spans="1:40" x14ac:dyDescent="0.25">
      <c r="A2807" t="str">
        <f>"20190303162833694"</f>
        <v>20190303162833694</v>
      </c>
      <c r="B2807" t="str">
        <f>"1551601713683757"</f>
        <v>1551601713683757</v>
      </c>
      <c r="C2807" t="s">
        <v>40</v>
      </c>
      <c r="D2807">
        <v>5.3617419999999996</v>
      </c>
      <c r="E2807">
        <v>0.4623718</v>
      </c>
      <c r="F2807" t="s">
        <v>44</v>
      </c>
      <c r="G2807">
        <v>-484.87439999999998</v>
      </c>
      <c r="H2807">
        <v>1.061844</v>
      </c>
      <c r="I2807">
        <v>215.6558</v>
      </c>
      <c r="J2807">
        <v>-485.67939999999999</v>
      </c>
      <c r="K2807">
        <v>1.135834</v>
      </c>
      <c r="L2807">
        <v>215.74629999999999</v>
      </c>
      <c r="M2807">
        <v>0.79006339999999997</v>
      </c>
      <c r="N2807">
        <v>-1.57037999999999E-2</v>
      </c>
      <c r="O2807">
        <v>-0.61282429999999999</v>
      </c>
      <c r="P2807">
        <v>0.94667129999999999</v>
      </c>
      <c r="Q2807">
        <v>0.13138469999999999</v>
      </c>
      <c r="R2807">
        <v>-0.29419709999999899</v>
      </c>
      <c r="S2807">
        <v>2.9870000000000001</v>
      </c>
      <c r="T2807">
        <v>-0.21601799999999999</v>
      </c>
      <c r="U2807">
        <v>-0.70031739999999998</v>
      </c>
      <c r="V2807">
        <v>-0.35281820000000003</v>
      </c>
      <c r="W2807">
        <v>0.1332332</v>
      </c>
      <c r="X2807">
        <v>0.92615780000000003</v>
      </c>
      <c r="Y2807">
        <v>-0.41444059999999999</v>
      </c>
      <c r="Z2807">
        <v>4.8224980000000001E-2</v>
      </c>
      <c r="AA2807">
        <v>0.90879770000000004</v>
      </c>
      <c r="AB2807">
        <v>27</v>
      </c>
      <c r="AC2807">
        <v>0.80500000000000604</v>
      </c>
      <c r="AD2807">
        <v>-7.399E-2</v>
      </c>
      <c r="AE2807">
        <v>-9.0499999999991601E-2</v>
      </c>
      <c r="AF2807">
        <v>-0.41838436023745501</v>
      </c>
      <c r="AG2807">
        <v>-7.399E-2</v>
      </c>
      <c r="AH2807">
        <v>0.68582522790781697</v>
      </c>
      <c r="AI2807">
        <v>95.262076369396198</v>
      </c>
      <c r="AJ2807">
        <v>121.38507675773</v>
      </c>
      <c r="AK2807">
        <v>0.80676901045225702</v>
      </c>
      <c r="AL2807">
        <v>82.343533352609001</v>
      </c>
      <c r="AM2807">
        <v>110.85425171996</v>
      </c>
      <c r="AN2807">
        <v>1.0000000191671501</v>
      </c>
    </row>
    <row r="2808" spans="1:40" x14ac:dyDescent="0.25">
      <c r="A2808" t="str">
        <f>"20190303162833716"</f>
        <v>20190303162833716</v>
      </c>
      <c r="B2808" t="str">
        <f>"1551601713705229"</f>
        <v>1551601713705229</v>
      </c>
      <c r="C2808" t="s">
        <v>40</v>
      </c>
      <c r="D2808">
        <v>5.4269980000000002</v>
      </c>
      <c r="E2808">
        <v>0.46352660000000001</v>
      </c>
      <c r="F2808" t="s">
        <v>47</v>
      </c>
      <c r="G2808">
        <v>-470.3304</v>
      </c>
      <c r="H2808" s="1">
        <v>5.7166670000000004E-6</v>
      </c>
      <c r="I2808">
        <v>212.4375</v>
      </c>
      <c r="J2808">
        <v>-485.46</v>
      </c>
      <c r="K2808">
        <v>1.1358820000000001</v>
      </c>
      <c r="L2808">
        <v>215.60210000000001</v>
      </c>
      <c r="M2808">
        <v>0.8026025</v>
      </c>
      <c r="N2808">
        <v>-1.5745200000000001E-2</v>
      </c>
      <c r="O2808">
        <v>-0.59630649999999996</v>
      </c>
      <c r="P2808">
        <v>0.95287860000000002</v>
      </c>
      <c r="Q2808">
        <v>0.1306737</v>
      </c>
      <c r="R2808">
        <v>-0.27376509999999998</v>
      </c>
      <c r="S2808">
        <v>2.9989319999999999</v>
      </c>
      <c r="T2808">
        <v>-0.2219217</v>
      </c>
      <c r="U2808">
        <v>-0.64648439999999996</v>
      </c>
      <c r="V2808">
        <v>-0.35358469999999997</v>
      </c>
      <c r="W2808">
        <v>0.13248460000000001</v>
      </c>
      <c r="X2808">
        <v>0.92597280000000004</v>
      </c>
      <c r="Y2808">
        <v>-0.4118192</v>
      </c>
      <c r="Z2808">
        <v>4.8914310000000003E-2</v>
      </c>
      <c r="AA2808">
        <v>0.90995190000000004</v>
      </c>
      <c r="AB2808">
        <v>27</v>
      </c>
      <c r="AC2808">
        <v>15.1295999999999</v>
      </c>
      <c r="AD2808">
        <v>-1.1358762833329901</v>
      </c>
      <c r="AE2808">
        <v>-3.1646000000000001</v>
      </c>
      <c r="AF2808">
        <v>-6.4479459179803102</v>
      </c>
      <c r="AG2808">
        <v>-1.1358762833329901</v>
      </c>
      <c r="AH2808">
        <v>13.956496898961401</v>
      </c>
      <c r="AI2808">
        <v>94.225503664396101</v>
      </c>
      <c r="AJ2808">
        <v>114.797087132031</v>
      </c>
      <c r="AK2808">
        <v>15.4159017635348</v>
      </c>
      <c r="AL2808">
        <v>82.3868082170073</v>
      </c>
      <c r="AM2808">
        <v>110.899463837921</v>
      </c>
      <c r="AN2808">
        <v>0.99999996782554401</v>
      </c>
    </row>
    <row r="2809" spans="1:40" x14ac:dyDescent="0.25">
      <c r="A2809" t="str">
        <f>"20190303162833741"</f>
        <v>20190303162833741</v>
      </c>
      <c r="B2809" t="str">
        <f>"1551601713734508"</f>
        <v>1551601713734508</v>
      </c>
      <c r="C2809" t="s">
        <v>40</v>
      </c>
      <c r="D2809">
        <v>5.2786119999999999</v>
      </c>
      <c r="E2809">
        <v>0.422232</v>
      </c>
      <c r="F2809" t="s">
        <v>47</v>
      </c>
      <c r="G2809">
        <v>-470.44409999999999</v>
      </c>
      <c r="H2809" s="1">
        <v>5.675786E-6</v>
      </c>
      <c r="I2809">
        <v>212.655</v>
      </c>
      <c r="J2809">
        <v>-485.21539999999999</v>
      </c>
      <c r="K2809">
        <v>1.135915</v>
      </c>
      <c r="L2809">
        <v>215.4487</v>
      </c>
      <c r="M2809">
        <v>0.81604889999999997</v>
      </c>
      <c r="N2809">
        <v>-1.578541E-2</v>
      </c>
      <c r="O2809">
        <v>-0.57776729999999998</v>
      </c>
      <c r="P2809">
        <v>0.95899429999999997</v>
      </c>
      <c r="Q2809">
        <v>0.1301882</v>
      </c>
      <c r="R2809">
        <v>-0.25175649999999999</v>
      </c>
      <c r="S2809">
        <v>3.009827</v>
      </c>
      <c r="T2809">
        <v>-0.2276772</v>
      </c>
      <c r="U2809">
        <v>-0.5907135</v>
      </c>
      <c r="V2809">
        <v>-0.35373059999999901</v>
      </c>
      <c r="W2809">
        <v>0.1319912</v>
      </c>
      <c r="X2809">
        <v>0.92598760000000002</v>
      </c>
      <c r="Y2809">
        <v>-0.40773120000000002</v>
      </c>
      <c r="Z2809">
        <v>4.9353679999999997E-2</v>
      </c>
      <c r="AA2809">
        <v>0.9117672</v>
      </c>
      <c r="AB2809">
        <v>27</v>
      </c>
      <c r="AC2809">
        <v>14.771299999999901</v>
      </c>
      <c r="AD2809">
        <v>-1.1359093242139999</v>
      </c>
      <c r="AE2809">
        <v>-2.7936999999999999</v>
      </c>
      <c r="AF2809">
        <v>-6.2198463223382099</v>
      </c>
      <c r="AG2809">
        <v>-1.1359093242139999</v>
      </c>
      <c r="AH2809">
        <v>13.5923113640577</v>
      </c>
      <c r="AI2809">
        <v>94.345647082291606</v>
      </c>
      <c r="AJ2809">
        <v>114.588848601056</v>
      </c>
      <c r="AK2809">
        <v>14.9909208017331</v>
      </c>
      <c r="AL2809">
        <v>82.415328854773506</v>
      </c>
      <c r="AM2809">
        <v>110.907037065827</v>
      </c>
      <c r="AN2809">
        <v>1.0000000248037699</v>
      </c>
    </row>
    <row r="2810" spans="1:40" x14ac:dyDescent="0.25">
      <c r="A2810" t="str">
        <f>"20190303162833784"</f>
        <v>20190303162833784</v>
      </c>
      <c r="B2810" t="str">
        <f>"1551601713774525"</f>
        <v>1551601713774525</v>
      </c>
      <c r="C2810" t="s">
        <v>40</v>
      </c>
      <c r="D2810">
        <v>5.2451270000000001</v>
      </c>
      <c r="E2810">
        <v>0.40772900000000001</v>
      </c>
      <c r="F2810" t="s">
        <v>44</v>
      </c>
      <c r="G2810">
        <v>-484.34160000000003</v>
      </c>
      <c r="H2810">
        <v>1.05369</v>
      </c>
      <c r="I2810">
        <v>215.39019999999999</v>
      </c>
      <c r="J2810">
        <v>-484.79090000000002</v>
      </c>
      <c r="K2810">
        <v>1.1359779999999999</v>
      </c>
      <c r="L2810">
        <v>215.2011</v>
      </c>
      <c r="M2810">
        <v>0.83803890000000003</v>
      </c>
      <c r="N2810">
        <v>-1.5840819999999999E-2</v>
      </c>
      <c r="O2810">
        <v>-0.54538069999999905</v>
      </c>
      <c r="P2810">
        <v>0.96746189999999999</v>
      </c>
      <c r="Q2810">
        <v>0.13236049999999999</v>
      </c>
      <c r="R2810">
        <v>-0.2156343</v>
      </c>
      <c r="S2810">
        <v>3.1136469999999998</v>
      </c>
      <c r="T2810">
        <v>-0.292935</v>
      </c>
      <c r="U2810">
        <v>-0.20732120000000001</v>
      </c>
      <c r="V2810">
        <v>-0.35212579999999999</v>
      </c>
      <c r="W2810">
        <v>0.13423460000000001</v>
      </c>
      <c r="X2810">
        <v>0.92627669999999995</v>
      </c>
      <c r="Y2810">
        <v>-0.48468929999999999</v>
      </c>
      <c r="Z2810">
        <v>6.6202280000000002E-2</v>
      </c>
      <c r="AA2810">
        <v>0.87217749999999905</v>
      </c>
      <c r="AB2810">
        <v>27</v>
      </c>
      <c r="AC2810">
        <v>0.44929999999999298</v>
      </c>
      <c r="AD2810">
        <v>-8.2288000000000097E-2</v>
      </c>
      <c r="AE2810">
        <v>0.18909999999999599</v>
      </c>
      <c r="AF2810">
        <v>-0.39238224862447002</v>
      </c>
      <c r="AG2810">
        <v>-8.2288000000000097E-2</v>
      </c>
      <c r="AH2810">
        <v>0.26585796482788299</v>
      </c>
      <c r="AI2810">
        <v>99.849265796941296</v>
      </c>
      <c r="AJ2810">
        <v>145.88045931346099</v>
      </c>
      <c r="AK2810">
        <v>0.48105675490737998</v>
      </c>
      <c r="AL2810">
        <v>82.285637268048504</v>
      </c>
      <c r="AM2810">
        <v>110.81439312414</v>
      </c>
      <c r="AN2810">
        <v>1.0000000159128399</v>
      </c>
    </row>
    <row r="2811" spans="1:40" x14ac:dyDescent="0.25">
      <c r="A2811" t="str">
        <f>"20190303162833806"</f>
        <v>20190303162833806</v>
      </c>
      <c r="B2811" t="str">
        <f>"1551601713794045"</f>
        <v>1551601713794045</v>
      </c>
      <c r="C2811" t="s">
        <v>40</v>
      </c>
      <c r="D2811">
        <v>5.247071</v>
      </c>
      <c r="E2811">
        <v>0.4082983</v>
      </c>
      <c r="F2811" t="s">
        <v>44</v>
      </c>
      <c r="G2811">
        <v>-483.68950000000001</v>
      </c>
      <c r="H2811">
        <v>1.0221039999999999</v>
      </c>
      <c r="I2811">
        <v>215.20779999999999</v>
      </c>
      <c r="J2811">
        <v>-484.5566</v>
      </c>
      <c r="K2811">
        <v>1.135993</v>
      </c>
      <c r="L2811">
        <v>215.07419999999999</v>
      </c>
      <c r="M2811">
        <v>0.84946969999999999</v>
      </c>
      <c r="N2811">
        <v>-1.586456E-2</v>
      </c>
      <c r="O2811">
        <v>-0.5273989</v>
      </c>
      <c r="P2811">
        <v>0.97169439999999996</v>
      </c>
      <c r="Q2811">
        <v>0.1319861</v>
      </c>
      <c r="R2811">
        <v>-0.19593340000000001</v>
      </c>
      <c r="S2811">
        <v>3.1497190000000002</v>
      </c>
      <c r="T2811">
        <v>-0.32562219999999997</v>
      </c>
      <c r="U2811">
        <v>1.9103999999999999E-2</v>
      </c>
      <c r="V2811">
        <v>-0.35122579999999998</v>
      </c>
      <c r="W2811">
        <v>0.13390569999999999</v>
      </c>
      <c r="X2811">
        <v>0.92666590000000004</v>
      </c>
      <c r="Y2811">
        <v>-0.52760890000000005</v>
      </c>
      <c r="Z2811">
        <v>7.4895760000000006E-2</v>
      </c>
      <c r="AA2811">
        <v>0.84617940000000003</v>
      </c>
      <c r="AB2811">
        <v>27</v>
      </c>
      <c r="AC2811">
        <v>0.86709999999999299</v>
      </c>
      <c r="AD2811">
        <v>-0.113888999999999</v>
      </c>
      <c r="AE2811">
        <v>0.133600000000001</v>
      </c>
      <c r="AF2811">
        <v>-0.56140806157177603</v>
      </c>
      <c r="AG2811">
        <v>-0.113888999999999</v>
      </c>
      <c r="AH2811">
        <v>0.65515818235357104</v>
      </c>
      <c r="AI2811">
        <v>97.519593995832693</v>
      </c>
      <c r="AJ2811">
        <v>130.593424314147</v>
      </c>
      <c r="AK2811">
        <v>0.87027694432497404</v>
      </c>
      <c r="AL2811">
        <v>82.304653366904006</v>
      </c>
      <c r="AM2811">
        <v>110.757758307896</v>
      </c>
      <c r="AN2811">
        <v>0.99999999465046996</v>
      </c>
    </row>
    <row r="2812" spans="1:40" x14ac:dyDescent="0.25">
      <c r="A2812" t="str">
        <f>"20190303162833850"</f>
        <v>20190303162833850</v>
      </c>
      <c r="B2812" t="str">
        <f>"1551601713844797"</f>
        <v>1551601713844797</v>
      </c>
      <c r="C2812" t="s">
        <v>40</v>
      </c>
      <c r="D2812">
        <v>5.263191</v>
      </c>
      <c r="E2812">
        <v>0.4126649</v>
      </c>
      <c r="F2812" t="s">
        <v>44</v>
      </c>
      <c r="G2812">
        <v>-483.4905</v>
      </c>
      <c r="H2812">
        <v>1.023015</v>
      </c>
      <c r="I2812">
        <v>215.10040000000001</v>
      </c>
      <c r="J2812">
        <v>-484.10210000000001</v>
      </c>
      <c r="K2812">
        <v>1.1360030000000001</v>
      </c>
      <c r="L2812">
        <v>214.8459</v>
      </c>
      <c r="M2812">
        <v>0.87026819999999905</v>
      </c>
      <c r="N2812">
        <v>-1.5899920000000001E-2</v>
      </c>
      <c r="O2812">
        <v>-0.49232160000000003</v>
      </c>
      <c r="P2812">
        <v>0.97860579999999997</v>
      </c>
      <c r="Q2812">
        <v>0.13115550000000001</v>
      </c>
      <c r="R2812">
        <v>-0.1585222</v>
      </c>
      <c r="S2812">
        <v>3.1483460000000001</v>
      </c>
      <c r="T2812">
        <v>-0.33357779999999998</v>
      </c>
      <c r="U2812">
        <v>7.7468869999999995E-2</v>
      </c>
      <c r="V2812">
        <v>-0.34900569999999997</v>
      </c>
      <c r="W2812">
        <v>0.13318829999999901</v>
      </c>
      <c r="X2812">
        <v>0.92760770000000003</v>
      </c>
      <c r="Y2812">
        <v>-0.50858639999999999</v>
      </c>
      <c r="Z2812">
        <v>7.3134560000000001E-2</v>
      </c>
      <c r="AA2812">
        <v>0.85789930000000003</v>
      </c>
      <c r="AB2812">
        <v>27</v>
      </c>
      <c r="AC2812">
        <v>0.61160000000000903</v>
      </c>
      <c r="AD2812">
        <v>-0.11298800000000001</v>
      </c>
      <c r="AE2812">
        <v>0.254500000000007</v>
      </c>
      <c r="AF2812">
        <v>-0.50787800622831203</v>
      </c>
      <c r="AG2812">
        <v>-0.11298800000000001</v>
      </c>
      <c r="AH2812">
        <v>0.395505568455288</v>
      </c>
      <c r="AI2812">
        <v>99.9554731982996</v>
      </c>
      <c r="AJ2812">
        <v>142.090635701194</v>
      </c>
      <c r="AK2812">
        <v>0.65355260846666796</v>
      </c>
      <c r="AL2812">
        <v>82.346129485058995</v>
      </c>
      <c r="AM2812">
        <v>110.618446930372</v>
      </c>
      <c r="AN2812">
        <v>1.00000007349433</v>
      </c>
    </row>
    <row r="2813" spans="1:40" x14ac:dyDescent="0.25">
      <c r="A2813" t="str">
        <f>"20190303162833872"</f>
        <v>20190303162833872</v>
      </c>
      <c r="B2813" t="str">
        <f>"1551601713864317"</f>
        <v>1551601713864317</v>
      </c>
      <c r="C2813" t="s">
        <v>40</v>
      </c>
      <c r="D2813">
        <v>5.7914620000000001</v>
      </c>
      <c r="E2813">
        <v>0.43353239999999998</v>
      </c>
      <c r="F2813" t="s">
        <v>44</v>
      </c>
      <c r="G2813">
        <v>-483.08569999999997</v>
      </c>
      <c r="H2813">
        <v>1.029876</v>
      </c>
      <c r="I2813">
        <v>214.89930000000001</v>
      </c>
      <c r="J2813">
        <v>-483.87180000000001</v>
      </c>
      <c r="K2813">
        <v>1.1360129999999999</v>
      </c>
      <c r="L2813">
        <v>214.7389</v>
      </c>
      <c r="M2813">
        <v>0.880127399999999</v>
      </c>
      <c r="N2813">
        <v>-1.591352E-2</v>
      </c>
      <c r="O2813">
        <v>-0.47447070000000002</v>
      </c>
      <c r="P2813">
        <v>0.98131219999999997</v>
      </c>
      <c r="Q2813">
        <v>0.1323329</v>
      </c>
      <c r="R2813">
        <v>-0.13969409999999999</v>
      </c>
      <c r="S2813">
        <v>3.1362000000000001</v>
      </c>
      <c r="T2813">
        <v>-0.32744630000000002</v>
      </c>
      <c r="U2813">
        <v>0.16499330000000001</v>
      </c>
      <c r="V2813">
        <v>-0.34787439999999997</v>
      </c>
      <c r="W2813">
        <v>0.13442170000000001</v>
      </c>
      <c r="X2813">
        <v>0.92785470000000003</v>
      </c>
      <c r="Y2813">
        <v>-0.51521059999999996</v>
      </c>
      <c r="Z2813">
        <v>7.1123210000000006E-2</v>
      </c>
      <c r="AA2813">
        <v>0.85410739999999996</v>
      </c>
      <c r="AB2813">
        <v>27</v>
      </c>
      <c r="AC2813">
        <v>0.78610000000003299</v>
      </c>
      <c r="AD2813">
        <v>-0.106136999999999</v>
      </c>
      <c r="AE2813">
        <v>0.16040000000000901</v>
      </c>
      <c r="AF2813">
        <v>-0.50537443185164099</v>
      </c>
      <c r="AG2813">
        <v>-0.106136999999999</v>
      </c>
      <c r="AH2813">
        <v>0.605248603357049</v>
      </c>
      <c r="AI2813">
        <v>97.666306846566698</v>
      </c>
      <c r="AJ2813">
        <v>129.861426734144</v>
      </c>
      <c r="AK2813">
        <v>0.79560935829339496</v>
      </c>
      <c r="AL2813">
        <v>82.2748195870345</v>
      </c>
      <c r="AM2813">
        <v>110.552195255627</v>
      </c>
      <c r="AN2813">
        <v>1.0000000679591601</v>
      </c>
    </row>
    <row r="2814" spans="1:40" x14ac:dyDescent="0.25">
      <c r="A2814" t="str">
        <f>"20190303162833895"</f>
        <v>20190303162833895</v>
      </c>
      <c r="B2814" t="str">
        <f>"1551601713883837"</f>
        <v>1551601713883837</v>
      </c>
      <c r="C2814" t="s">
        <v>40</v>
      </c>
      <c r="D2814">
        <v>5.3108279999999999</v>
      </c>
      <c r="E2814">
        <v>0.43310379999999998</v>
      </c>
      <c r="F2814" t="s">
        <v>44</v>
      </c>
      <c r="G2814">
        <v>-482.89280000000002</v>
      </c>
      <c r="H2814">
        <v>1.0561510000000001</v>
      </c>
      <c r="I2814">
        <v>214.75919999999999</v>
      </c>
      <c r="J2814">
        <v>-483.62329999999997</v>
      </c>
      <c r="K2814">
        <v>1.136012</v>
      </c>
      <c r="L2814">
        <v>214.62979999999999</v>
      </c>
      <c r="M2814">
        <v>0.89027670000000003</v>
      </c>
      <c r="N2814">
        <v>-1.592551E-2</v>
      </c>
      <c r="O2814">
        <v>-0.45514149999999998</v>
      </c>
      <c r="P2814">
        <v>0.98399530000000002</v>
      </c>
      <c r="Q2814">
        <v>0.13268269999999999</v>
      </c>
      <c r="R2814">
        <v>-0.118949</v>
      </c>
      <c r="S2814">
        <v>3.1003419999999999</v>
      </c>
      <c r="T2814">
        <v>-0.25292100000000001</v>
      </c>
      <c r="U2814">
        <v>6.4163209999999998E-2</v>
      </c>
      <c r="V2814">
        <v>-0.34719250000000001</v>
      </c>
      <c r="W2814">
        <v>0.1348115</v>
      </c>
      <c r="X2814">
        <v>0.92805349999999998</v>
      </c>
      <c r="Y2814">
        <v>-0.47077550000000001</v>
      </c>
      <c r="Z2814">
        <v>5.1517100000000003E-2</v>
      </c>
      <c r="AA2814">
        <v>0.88074759999999996</v>
      </c>
      <c r="AB2814">
        <v>27</v>
      </c>
      <c r="AC2814">
        <v>0.73049999999994897</v>
      </c>
      <c r="AD2814">
        <v>-7.9860999999999904E-2</v>
      </c>
      <c r="AE2814">
        <v>0.12940000000000301</v>
      </c>
      <c r="AF2814">
        <v>-0.44261044974695402</v>
      </c>
      <c r="AG2814">
        <v>-7.9860999999999904E-2</v>
      </c>
      <c r="AH2814">
        <v>0.58475070141763497</v>
      </c>
      <c r="AI2814">
        <v>96.214754652895607</v>
      </c>
      <c r="AJ2814">
        <v>127.12286658671501</v>
      </c>
      <c r="AK2814">
        <v>0.73770940915418504</v>
      </c>
      <c r="AL2814">
        <v>82.252280286469002</v>
      </c>
      <c r="AM2814">
        <v>110.51123936268399</v>
      </c>
      <c r="AN2814">
        <v>1.00000003572537</v>
      </c>
    </row>
    <row r="2815" spans="1:40" x14ac:dyDescent="0.25">
      <c r="A2815" t="str">
        <f>"20190303162833919"</f>
        <v>20190303162833919</v>
      </c>
      <c r="B2815" t="str">
        <f>"1551601713914093"</f>
        <v>1551601713914093</v>
      </c>
      <c r="C2815" t="s">
        <v>40</v>
      </c>
      <c r="D2815">
        <v>5.2427720000000004</v>
      </c>
      <c r="E2815">
        <v>0.43653140000000001</v>
      </c>
      <c r="F2815" t="s">
        <v>44</v>
      </c>
      <c r="G2815">
        <v>-482.68459999999999</v>
      </c>
      <c r="H2815">
        <v>1.050063</v>
      </c>
      <c r="I2815">
        <v>214.6686</v>
      </c>
      <c r="J2815">
        <v>-483.3646</v>
      </c>
      <c r="K2815">
        <v>1.135996</v>
      </c>
      <c r="L2815">
        <v>214.52269999999999</v>
      </c>
      <c r="M2815">
        <v>0.90030719999999997</v>
      </c>
      <c r="N2815">
        <v>-1.5935350000000001E-2</v>
      </c>
      <c r="O2815">
        <v>-0.4349634</v>
      </c>
      <c r="P2815">
        <v>0.98649160000000002</v>
      </c>
      <c r="Q2815">
        <v>0.13159009999999999</v>
      </c>
      <c r="R2815">
        <v>-9.7563559999999994E-2</v>
      </c>
      <c r="S2815">
        <v>3.1027529999999999</v>
      </c>
      <c r="T2815">
        <v>-0.2839468</v>
      </c>
      <c r="U2815">
        <v>0.12966920000000001</v>
      </c>
      <c r="V2815">
        <v>-0.34644370000000002</v>
      </c>
      <c r="W2815">
        <v>0.13376299999999999</v>
      </c>
      <c r="X2815">
        <v>0.92848489999999995</v>
      </c>
      <c r="Y2815">
        <v>-0.4687982</v>
      </c>
      <c r="Z2815">
        <v>5.681369E-2</v>
      </c>
      <c r="AA2815">
        <v>0.88147629999999999</v>
      </c>
      <c r="AB2815">
        <v>27</v>
      </c>
      <c r="AC2815">
        <v>0.68000000000000604</v>
      </c>
      <c r="AD2815">
        <v>-8.5932999999999995E-2</v>
      </c>
      <c r="AE2815">
        <v>0.14590000000001099</v>
      </c>
      <c r="AF2815">
        <v>-0.42076036462941702</v>
      </c>
      <c r="AG2815">
        <v>-8.5932999999999995E-2</v>
      </c>
      <c r="AH2815">
        <v>0.54056454466460502</v>
      </c>
      <c r="AI2815">
        <v>97.150197479445296</v>
      </c>
      <c r="AJ2815">
        <v>127.896194970642</v>
      </c>
      <c r="AK2815">
        <v>0.69038669735195002</v>
      </c>
      <c r="AL2815">
        <v>82.312903687972295</v>
      </c>
      <c r="AM2815">
        <v>110.461952501998</v>
      </c>
      <c r="AN2815">
        <v>0.999999993483349</v>
      </c>
    </row>
    <row r="2816" spans="1:40" x14ac:dyDescent="0.25">
      <c r="A2816" t="str">
        <f>"20190303162833939"</f>
        <v>20190303162833939</v>
      </c>
      <c r="B2816" t="str">
        <f>"1551601713934589"</f>
        <v>1551601713934589</v>
      </c>
      <c r="C2816" t="s">
        <v>40</v>
      </c>
      <c r="D2816">
        <v>5.2418979999999999</v>
      </c>
      <c r="E2816">
        <v>0.43920039999999999</v>
      </c>
      <c r="F2816" t="s">
        <v>44</v>
      </c>
      <c r="G2816">
        <v>-482.476</v>
      </c>
      <c r="H2816">
        <v>1.0544690000000001</v>
      </c>
      <c r="I2816">
        <v>214.57149999999999</v>
      </c>
      <c r="J2816">
        <v>-483.14120000000003</v>
      </c>
      <c r="K2816">
        <v>1.135996</v>
      </c>
      <c r="L2816">
        <v>214.4359</v>
      </c>
      <c r="M2816">
        <v>0.90853830000000002</v>
      </c>
      <c r="N2816">
        <v>-1.5942020000000001E-2</v>
      </c>
      <c r="O2816">
        <v>-0.41749750000000002</v>
      </c>
      <c r="P2816">
        <v>0.98810299999999995</v>
      </c>
      <c r="Q2816">
        <v>0.1313889</v>
      </c>
      <c r="R2816">
        <v>-7.993567E-2</v>
      </c>
      <c r="S2816">
        <v>3.0957949999999999</v>
      </c>
      <c r="T2816">
        <v>-0.2840183</v>
      </c>
      <c r="U2816">
        <v>0.16986080000000001</v>
      </c>
      <c r="V2816">
        <v>-0.34509129999999999</v>
      </c>
      <c r="W2816">
        <v>0.13362969999999999</v>
      </c>
      <c r="X2816">
        <v>0.92900760000000004</v>
      </c>
      <c r="Y2816">
        <v>-0.46331250000000002</v>
      </c>
      <c r="Z2816">
        <v>5.5505260000000001E-2</v>
      </c>
      <c r="AA2816">
        <v>0.88445499999999899</v>
      </c>
      <c r="AB2816">
        <v>27</v>
      </c>
      <c r="AC2816">
        <v>0.66520000000002699</v>
      </c>
      <c r="AD2816">
        <v>-8.1526999999999905E-2</v>
      </c>
      <c r="AE2816">
        <v>0.13559999999998201</v>
      </c>
      <c r="AF2816">
        <v>-0.39526762309526497</v>
      </c>
      <c r="AG2816">
        <v>-8.1526999999999905E-2</v>
      </c>
      <c r="AH2816">
        <v>0.54002846143263705</v>
      </c>
      <c r="AI2816">
        <v>96.945679404885396</v>
      </c>
      <c r="AJ2816">
        <v>126.201833395802</v>
      </c>
      <c r="AK2816">
        <v>0.67417644927250397</v>
      </c>
      <c r="AL2816">
        <v>82.320610542547001</v>
      </c>
      <c r="AM2816">
        <v>110.37813342502599</v>
      </c>
      <c r="AN2816">
        <v>1.0000000114577601</v>
      </c>
    </row>
    <row r="2817" spans="1:40" x14ac:dyDescent="0.25">
      <c r="A2817" t="str">
        <f>"20190303162833961"</f>
        <v>20190303162833961</v>
      </c>
      <c r="B2817" t="str">
        <f>"1551601713954109"</f>
        <v>1551601713954109</v>
      </c>
      <c r="C2817" t="s">
        <v>40</v>
      </c>
      <c r="D2817">
        <v>5.3593590000000004</v>
      </c>
      <c r="E2817">
        <v>0.44152599999999997</v>
      </c>
      <c r="F2817" t="s">
        <v>44</v>
      </c>
      <c r="G2817">
        <v>-482.23790000000002</v>
      </c>
      <c r="H2817">
        <v>1.0569980000000001</v>
      </c>
      <c r="I2817">
        <v>214.4958</v>
      </c>
      <c r="J2817">
        <v>-482.8997</v>
      </c>
      <c r="K2817">
        <v>1.135996</v>
      </c>
      <c r="L2817">
        <v>214.34739999999999</v>
      </c>
      <c r="M2817">
        <v>0.91699980000000003</v>
      </c>
      <c r="N2817">
        <v>-1.594752E-2</v>
      </c>
      <c r="O2817">
        <v>-0.3985688</v>
      </c>
      <c r="P2817">
        <v>0.98947439999999998</v>
      </c>
      <c r="Q2817">
        <v>0.1312479</v>
      </c>
      <c r="R2817">
        <v>-6.0947939999999999E-2</v>
      </c>
      <c r="S2817">
        <v>3.0886840000000002</v>
      </c>
      <c r="T2817">
        <v>-0.2700688</v>
      </c>
      <c r="U2817">
        <v>0.2054443</v>
      </c>
      <c r="V2817">
        <v>-0.34366419999999998</v>
      </c>
      <c r="W2817">
        <v>0.13355929999999999</v>
      </c>
      <c r="X2817">
        <v>0.92954650000000005</v>
      </c>
      <c r="Y2817">
        <v>-0.45560650000000003</v>
      </c>
      <c r="Z2817">
        <v>5.1156699999999902E-2</v>
      </c>
      <c r="AA2817">
        <v>0.88871009999999995</v>
      </c>
      <c r="AB2817">
        <v>27</v>
      </c>
      <c r="AC2817">
        <v>0.66179999999997097</v>
      </c>
      <c r="AD2817">
        <v>-7.8998000000000096E-2</v>
      </c>
      <c r="AE2817">
        <v>0.148400000000009</v>
      </c>
      <c r="AF2817">
        <v>-0.394553677048193</v>
      </c>
      <c r="AG2817">
        <v>-7.8998000000000096E-2</v>
      </c>
      <c r="AH2817">
        <v>0.54046027203161795</v>
      </c>
      <c r="AI2817">
        <v>96.732955340731607</v>
      </c>
      <c r="AJ2817">
        <v>126.13066673882599</v>
      </c>
      <c r="AK2817">
        <v>0.67380308230278996</v>
      </c>
      <c r="AL2817">
        <v>82.3246800384305</v>
      </c>
      <c r="AM2817">
        <v>110.289942128333</v>
      </c>
      <c r="AN2817">
        <v>0.99999993232018702</v>
      </c>
    </row>
    <row r="2818" spans="1:40" x14ac:dyDescent="0.25">
      <c r="A2818" t="str">
        <f>"20190303162833985"</f>
        <v>20190303162833985</v>
      </c>
      <c r="B2818" t="str">
        <f>"1551601713974606"</f>
        <v>1551601713974606</v>
      </c>
      <c r="C2818" t="s">
        <v>40</v>
      </c>
      <c r="D2818">
        <v>5.2956699999999897</v>
      </c>
      <c r="E2818">
        <v>0.44363380000000002</v>
      </c>
      <c r="F2818" t="s">
        <v>44</v>
      </c>
      <c r="G2818">
        <v>-481.96899999999999</v>
      </c>
      <c r="H2818">
        <v>1.0566599999999999</v>
      </c>
      <c r="I2818">
        <v>214.4222</v>
      </c>
      <c r="J2818">
        <v>-482.6497</v>
      </c>
      <c r="K2818">
        <v>1.1359900000000001</v>
      </c>
      <c r="L2818">
        <v>214.2619</v>
      </c>
      <c r="M2818">
        <v>0.925284</v>
      </c>
      <c r="N2818">
        <v>-1.595185E-2</v>
      </c>
      <c r="O2818">
        <v>-0.37893959999999999</v>
      </c>
      <c r="P2818">
        <v>0.99059620000000004</v>
      </c>
      <c r="Q2818">
        <v>0.1304033</v>
      </c>
      <c r="R2818">
        <v>-4.1404700000000003E-2</v>
      </c>
      <c r="S2818">
        <v>3.0820620000000001</v>
      </c>
      <c r="T2818">
        <v>-0.26267669999999999</v>
      </c>
      <c r="U2818">
        <v>0.24830630000000001</v>
      </c>
      <c r="V2818">
        <v>-0.34221249999999998</v>
      </c>
      <c r="W2818">
        <v>0.1327885</v>
      </c>
      <c r="X2818">
        <v>0.93019240000000003</v>
      </c>
      <c r="Y2818">
        <v>-0.44929560000000002</v>
      </c>
      <c r="Z2818">
        <v>4.8241850000000003E-2</v>
      </c>
      <c r="AA2818">
        <v>0.89207969999999903</v>
      </c>
      <c r="AB2818">
        <v>27</v>
      </c>
      <c r="AC2818">
        <v>0.68070000000000097</v>
      </c>
      <c r="AD2818">
        <v>-7.9330000000000095E-2</v>
      </c>
      <c r="AE2818">
        <v>0.16030000000000599</v>
      </c>
      <c r="AF2818">
        <v>-0.40115665271712397</v>
      </c>
      <c r="AG2818">
        <v>-7.9330000000000095E-2</v>
      </c>
      <c r="AH2818">
        <v>0.56193796002415297</v>
      </c>
      <c r="AI2818">
        <v>96.554458144300199</v>
      </c>
      <c r="AJ2818">
        <v>125.522308192388</v>
      </c>
      <c r="AK2818">
        <v>0.694977826865947</v>
      </c>
      <c r="AL2818">
        <v>82.369241377795106</v>
      </c>
      <c r="AM2818">
        <v>110.198282134902</v>
      </c>
      <c r="AN2818">
        <v>1.00000004095312</v>
      </c>
    </row>
    <row r="2819" spans="1:40" x14ac:dyDescent="0.25">
      <c r="A2819" t="str">
        <f>"20190303162834007"</f>
        <v>20190303162834007</v>
      </c>
      <c r="B2819" t="str">
        <f>"1551601713994125"</f>
        <v>1551601713994125</v>
      </c>
      <c r="C2819" t="s">
        <v>40</v>
      </c>
      <c r="D2819">
        <v>5.3569940000000003</v>
      </c>
      <c r="E2819">
        <v>0.45758840000000001</v>
      </c>
      <c r="F2819" t="s">
        <v>44</v>
      </c>
      <c r="G2819">
        <v>-481.60390000000001</v>
      </c>
      <c r="H2819">
        <v>1.046983</v>
      </c>
      <c r="I2819">
        <v>214.3613</v>
      </c>
      <c r="J2819">
        <v>-482.3954</v>
      </c>
      <c r="K2819">
        <v>1.13598</v>
      </c>
      <c r="L2819">
        <v>214.18129999999999</v>
      </c>
      <c r="M2819">
        <v>0.93322799999999995</v>
      </c>
      <c r="N2819">
        <v>-1.5954869999999999E-2</v>
      </c>
      <c r="O2819">
        <v>-0.35893019999999998</v>
      </c>
      <c r="P2819">
        <v>0.99125890000000005</v>
      </c>
      <c r="Q2819">
        <v>0.1299015</v>
      </c>
      <c r="R2819">
        <v>-2.3054180000000001E-2</v>
      </c>
      <c r="S2819">
        <v>3.0751650000000001</v>
      </c>
      <c r="T2819">
        <v>-0.2617468</v>
      </c>
      <c r="U2819">
        <v>0.292099</v>
      </c>
      <c r="V2819">
        <v>-0.33940599999999999</v>
      </c>
      <c r="W2819">
        <v>0.13241700000000001</v>
      </c>
      <c r="X2819">
        <v>0.93127289999999996</v>
      </c>
      <c r="Y2819">
        <v>-0.44291970000000003</v>
      </c>
      <c r="Z2819">
        <v>4.6574940000000002E-2</v>
      </c>
      <c r="AA2819">
        <v>0.89535069999999894</v>
      </c>
      <c r="AB2819">
        <v>27</v>
      </c>
      <c r="AC2819">
        <v>0.79149999999998499</v>
      </c>
      <c r="AD2819">
        <v>-8.8996999999999896E-2</v>
      </c>
      <c r="AE2819">
        <v>0.18000000000000599</v>
      </c>
      <c r="AF2819">
        <v>-0.44676122891016701</v>
      </c>
      <c r="AG2819">
        <v>-8.8996999999999896E-2</v>
      </c>
      <c r="AH2819">
        <v>0.66612074987778402</v>
      </c>
      <c r="AI2819">
        <v>96.331609391023306</v>
      </c>
      <c r="AJ2819">
        <v>123.849403817183</v>
      </c>
      <c r="AK2819">
        <v>0.80699003406737602</v>
      </c>
      <c r="AL2819">
        <v>82.390715737621903</v>
      </c>
      <c r="AM2819">
        <v>110.024464319225</v>
      </c>
      <c r="AN2819">
        <v>0.99999995449970303</v>
      </c>
    </row>
    <row r="2820" spans="1:40" x14ac:dyDescent="0.25">
      <c r="A2820" t="str">
        <f>"20190303162834032"</f>
        <v>20190303162834032</v>
      </c>
      <c r="B2820" t="str">
        <f>"1551601714024380"</f>
        <v>1551601714024380</v>
      </c>
      <c r="C2820" t="s">
        <v>40</v>
      </c>
      <c r="D2820">
        <v>5.2970470000000001</v>
      </c>
      <c r="E2820">
        <v>0.4591906</v>
      </c>
      <c r="F2820" t="s">
        <v>44</v>
      </c>
      <c r="G2820">
        <v>-481.334</v>
      </c>
      <c r="H2820">
        <v>1.0556749999999999</v>
      </c>
      <c r="I2820">
        <v>214.26410000000001</v>
      </c>
      <c r="J2820">
        <v>-482.13139999999999</v>
      </c>
      <c r="K2820">
        <v>1.1359600000000001</v>
      </c>
      <c r="L2820">
        <v>214.10390000000001</v>
      </c>
      <c r="M2820">
        <v>0.94097030000000004</v>
      </c>
      <c r="N2820">
        <v>-1.59569E-2</v>
      </c>
      <c r="O2820">
        <v>-0.338113</v>
      </c>
      <c r="P2820">
        <v>0.99153789999999997</v>
      </c>
      <c r="Q2820">
        <v>0.12972439999999999</v>
      </c>
      <c r="R2820">
        <v>-4.9425040000000003E-3</v>
      </c>
      <c r="S2820">
        <v>3.0623779999999998</v>
      </c>
      <c r="T2820">
        <v>-0.23168549999999999</v>
      </c>
      <c r="U2820">
        <v>0.23913570000000001</v>
      </c>
      <c r="V2820">
        <v>-0.33572210000000002</v>
      </c>
      <c r="W2820">
        <v>0.13240759999999999</v>
      </c>
      <c r="X2820">
        <v>0.93260869999999996</v>
      </c>
      <c r="Y2820">
        <v>-0.40841379999999999</v>
      </c>
      <c r="Z2820">
        <v>3.8429629999999999E-2</v>
      </c>
      <c r="AA2820">
        <v>0.91198760000000001</v>
      </c>
      <c r="AB2820">
        <v>27</v>
      </c>
      <c r="AC2820">
        <v>0.79739999999998101</v>
      </c>
      <c r="AD2820">
        <v>-8.0285000000000106E-2</v>
      </c>
      <c r="AE2820">
        <v>0.16020000000000301</v>
      </c>
      <c r="AF2820">
        <v>-0.41635136990906901</v>
      </c>
      <c r="AG2820">
        <v>-8.0285000000000106E-2</v>
      </c>
      <c r="AH2820">
        <v>0.68953388148514505</v>
      </c>
      <c r="AI2820">
        <v>95.692037650524696</v>
      </c>
      <c r="AJ2820">
        <v>121.12423771783099</v>
      </c>
      <c r="AK2820">
        <v>0.80947582926615402</v>
      </c>
      <c r="AL2820">
        <v>82.391259788545696</v>
      </c>
      <c r="AM2820">
        <v>109.797950022534</v>
      </c>
      <c r="AN2820">
        <v>1.00000004414092</v>
      </c>
    </row>
    <row r="2821" spans="1:40" x14ac:dyDescent="0.25">
      <c r="A2821" t="str">
        <f>"20190303162834053"</f>
        <v>20190303162834053</v>
      </c>
      <c r="B2821" t="str">
        <f>"1551601714044877"</f>
        <v>1551601714044877</v>
      </c>
      <c r="C2821" t="s">
        <v>40</v>
      </c>
      <c r="D2821">
        <v>5.3572949999999997</v>
      </c>
      <c r="E2821">
        <v>0.46090829999999999</v>
      </c>
      <c r="F2821" t="s">
        <v>48</v>
      </c>
      <c r="G2821">
        <v>-467.50319999999999</v>
      </c>
      <c r="H2821" s="1">
        <v>2.419173E-6</v>
      </c>
      <c r="I2821">
        <v>215.4598</v>
      </c>
      <c r="J2821">
        <v>-481.89060000000001</v>
      </c>
      <c r="K2821">
        <v>1.1359520000000001</v>
      </c>
      <c r="L2821">
        <v>214.0386</v>
      </c>
      <c r="M2821">
        <v>0.94759349999999998</v>
      </c>
      <c r="N2821">
        <v>-1.595796E-2</v>
      </c>
      <c r="O2821">
        <v>-0.31908009999999998</v>
      </c>
      <c r="P2821">
        <v>0.99151500000000004</v>
      </c>
      <c r="Q2821">
        <v>0.12940979999999999</v>
      </c>
      <c r="R2821">
        <v>1.2309270000000001E-2</v>
      </c>
      <c r="S2821">
        <v>3.0580750000000001</v>
      </c>
      <c r="T2821">
        <v>-0.23747579999999999</v>
      </c>
      <c r="U2821">
        <v>0.28346250000000001</v>
      </c>
      <c r="V2821">
        <v>-0.33314490000000002</v>
      </c>
      <c r="W2821">
        <v>0.13221289999999999</v>
      </c>
      <c r="X2821">
        <v>0.93355999999999995</v>
      </c>
      <c r="Y2821">
        <v>-0.40319300000000002</v>
      </c>
      <c r="Z2821">
        <v>3.8151409999999997E-2</v>
      </c>
      <c r="AA2821">
        <v>0.91431929999999995</v>
      </c>
      <c r="AB2821">
        <v>27</v>
      </c>
      <c r="AC2821">
        <v>14.3874</v>
      </c>
      <c r="AD2821">
        <v>-1.1359495808269999</v>
      </c>
      <c r="AE2821">
        <v>1.42119999999999</v>
      </c>
      <c r="AF2821">
        <v>-5.9017734387373899</v>
      </c>
      <c r="AG2821">
        <v>-1.1359495808269999</v>
      </c>
      <c r="AH2821">
        <v>13.1007289545564</v>
      </c>
      <c r="AI2821">
        <v>94.520238528759094</v>
      </c>
      <c r="AJ2821">
        <v>114.25118288912699</v>
      </c>
      <c r="AK2821">
        <v>14.413549538997</v>
      </c>
      <c r="AL2821">
        <v>82.402514070943496</v>
      </c>
      <c r="AM2821">
        <v>109.6391598558</v>
      </c>
      <c r="AN2821">
        <v>1.0000000244612</v>
      </c>
    </row>
    <row r="2822" spans="1:40" x14ac:dyDescent="0.25">
      <c r="A2822" t="str">
        <f>"20190303162834073"</f>
        <v>20190303162834073</v>
      </c>
      <c r="B2822" t="str">
        <f>"1551601714064397"</f>
        <v>1551601714064397</v>
      </c>
      <c r="C2822" t="s">
        <v>40</v>
      </c>
      <c r="D2822">
        <v>5.2999749999999999</v>
      </c>
      <c r="E2822">
        <v>0.46240540000000002</v>
      </c>
      <c r="F2822" t="s">
        <v>48</v>
      </c>
      <c r="G2822">
        <v>-467.36369999999999</v>
      </c>
      <c r="H2822" s="1">
        <v>2.339598E-6</v>
      </c>
      <c r="I2822">
        <v>215.58160000000001</v>
      </c>
      <c r="J2822">
        <v>-481.66809999999998</v>
      </c>
      <c r="K2822">
        <v>1.135945</v>
      </c>
      <c r="L2822">
        <v>213.9829</v>
      </c>
      <c r="M2822">
        <v>0.95334680000000005</v>
      </c>
      <c r="N2822">
        <v>-1.5958389999999999E-2</v>
      </c>
      <c r="O2822">
        <v>-0.30145549999999999</v>
      </c>
      <c r="P2822">
        <v>0.99131040000000004</v>
      </c>
      <c r="Q2822">
        <v>0.1286321</v>
      </c>
      <c r="R2822">
        <v>2.7527019999999999E-2</v>
      </c>
      <c r="S2822">
        <v>3.052765</v>
      </c>
      <c r="T2822">
        <v>-0.2387145</v>
      </c>
      <c r="U2822">
        <v>0.32424930000000002</v>
      </c>
      <c r="V2822">
        <v>-0.33015699999999998</v>
      </c>
      <c r="W2822">
        <v>0.13157189999999999</v>
      </c>
      <c r="X2822">
        <v>0.93471130000000002</v>
      </c>
      <c r="Y2822">
        <v>-0.3984974</v>
      </c>
      <c r="Z2822">
        <v>3.7163359999999999E-2</v>
      </c>
      <c r="AA2822">
        <v>0.91641620000000001</v>
      </c>
      <c r="AB2822">
        <v>27</v>
      </c>
      <c r="AC2822">
        <v>14.3043999999999</v>
      </c>
      <c r="AD2822">
        <v>-1.135942660402</v>
      </c>
      <c r="AE2822">
        <v>1.5987</v>
      </c>
      <c r="AF2822">
        <v>-5.8008676589422299</v>
      </c>
      <c r="AG2822">
        <v>-1.135942660402</v>
      </c>
      <c r="AH2822">
        <v>13.0753514820926</v>
      </c>
      <c r="AI2822">
        <v>94.540461381792397</v>
      </c>
      <c r="AJ2822">
        <v>113.924423600022</v>
      </c>
      <c r="AK2822">
        <v>14.349398862131601</v>
      </c>
      <c r="AL2822">
        <v>82.439564239765502</v>
      </c>
      <c r="AM2822">
        <v>109.45414538150401</v>
      </c>
      <c r="AN2822">
        <v>1.00000001193315</v>
      </c>
    </row>
    <row r="2823" spans="1:40" x14ac:dyDescent="0.25">
      <c r="A2823" t="str">
        <f>"20190303162834095"</f>
        <v>20190303162834095</v>
      </c>
      <c r="B2823" t="str">
        <f>"1551601714084892"</f>
        <v>1551601714084892</v>
      </c>
      <c r="C2823" t="s">
        <v>40</v>
      </c>
      <c r="D2823">
        <v>5.3413500000000003</v>
      </c>
      <c r="E2823">
        <v>0.47161700000000001</v>
      </c>
      <c r="F2823" t="s">
        <v>48</v>
      </c>
      <c r="G2823">
        <v>-467.30029999999999</v>
      </c>
      <c r="H2823" s="1">
        <v>2.301534E-6</v>
      </c>
      <c r="I2823">
        <v>215.6806</v>
      </c>
      <c r="J2823">
        <v>-481.41629999999998</v>
      </c>
      <c r="K2823">
        <v>1.1359349999999999</v>
      </c>
      <c r="L2823">
        <v>213.92519999999999</v>
      </c>
      <c r="M2823">
        <v>0.95943449999999997</v>
      </c>
      <c r="N2823">
        <v>-1.595821E-2</v>
      </c>
      <c r="O2823">
        <v>-0.28147939999999999</v>
      </c>
      <c r="P2823">
        <v>0.99071909999999996</v>
      </c>
      <c r="Q2823">
        <v>0.12902919999999901</v>
      </c>
      <c r="R2823">
        <v>4.274261E-2</v>
      </c>
      <c r="S2823">
        <v>3.0476070000000002</v>
      </c>
      <c r="T2823">
        <v>-0.24094930000000001</v>
      </c>
      <c r="U2823">
        <v>0.36010740000000002</v>
      </c>
      <c r="V2823">
        <v>-0.32496799999999998</v>
      </c>
      <c r="W2823">
        <v>0.13219719999999999</v>
      </c>
      <c r="X2823">
        <v>0.93643989999999999</v>
      </c>
      <c r="Y2823">
        <v>-0.390177</v>
      </c>
      <c r="Z2823">
        <v>3.5984490000000001E-2</v>
      </c>
      <c r="AA2823">
        <v>0.92003639999999998</v>
      </c>
      <c r="AB2823">
        <v>27</v>
      </c>
      <c r="AC2823">
        <v>14.1159999999999</v>
      </c>
      <c r="AD2823">
        <v>-1.1359326984659901</v>
      </c>
      <c r="AE2823">
        <v>1.7554000000000001</v>
      </c>
      <c r="AF2823">
        <v>-5.6224211571328402</v>
      </c>
      <c r="AG2823">
        <v>-1.1359326984659901</v>
      </c>
      <c r="AH2823">
        <v>12.9682325962098</v>
      </c>
      <c r="AI2823">
        <v>94.594725812616204</v>
      </c>
      <c r="AJ2823">
        <v>113.439306828824</v>
      </c>
      <c r="AK2823">
        <v>14.1801628845729</v>
      </c>
      <c r="AL2823">
        <v>82.4034213439285</v>
      </c>
      <c r="AM2823">
        <v>109.138049552415</v>
      </c>
      <c r="AN2823">
        <v>0.99999999351192503</v>
      </c>
    </row>
    <row r="2824" spans="1:40" x14ac:dyDescent="0.25">
      <c r="A2824" t="str">
        <f>"20190303162834119"</f>
        <v>20190303162834119</v>
      </c>
      <c r="B2824" t="str">
        <f>"1551601714104412"</f>
        <v>1551601714104412</v>
      </c>
      <c r="C2824" t="s">
        <v>40</v>
      </c>
      <c r="D2824">
        <v>5.2871269999999999</v>
      </c>
      <c r="E2824">
        <v>0.47265289999999999</v>
      </c>
      <c r="F2824" t="s">
        <v>48</v>
      </c>
      <c r="G2824">
        <v>-466.98090000000002</v>
      </c>
      <c r="H2824" s="1">
        <v>2.1388850000000002E-6</v>
      </c>
      <c r="I2824">
        <v>215.51339999999999</v>
      </c>
      <c r="J2824">
        <v>-481.1508</v>
      </c>
      <c r="K2824">
        <v>1.135929</v>
      </c>
      <c r="L2824">
        <v>213.87010000000001</v>
      </c>
      <c r="M2824">
        <v>0.96537700000000004</v>
      </c>
      <c r="N2824">
        <v>-1.595748E-2</v>
      </c>
      <c r="O2824">
        <v>-0.26037060000000001</v>
      </c>
      <c r="P2824">
        <v>0.99021760000000003</v>
      </c>
      <c r="Q2824">
        <v>0.12848960000000001</v>
      </c>
      <c r="R2824">
        <v>5.4403670000000001E-2</v>
      </c>
      <c r="S2824">
        <v>3.044861</v>
      </c>
      <c r="T2824">
        <v>-0.23960300000000001</v>
      </c>
      <c r="U2824">
        <v>0.33500669999999999</v>
      </c>
      <c r="V2824">
        <v>-0.31541789999999997</v>
      </c>
      <c r="W2824">
        <v>0.1320701</v>
      </c>
      <c r="X2824">
        <v>0.93971749999999998</v>
      </c>
      <c r="Y2824">
        <v>-0.36259710000000001</v>
      </c>
      <c r="Z2824">
        <v>3.3239860000000003E-2</v>
      </c>
      <c r="AA2824">
        <v>0.93135299999999999</v>
      </c>
      <c r="AB2824">
        <v>27</v>
      </c>
      <c r="AC2824">
        <v>14.169899999999901</v>
      </c>
      <c r="AD2824">
        <v>-1.135926861115</v>
      </c>
      <c r="AE2824">
        <v>1.64329999999998</v>
      </c>
      <c r="AF2824">
        <v>-5.2432525690668497</v>
      </c>
      <c r="AG2824">
        <v>-1.135926861115</v>
      </c>
      <c r="AH2824">
        <v>13.1696045570378</v>
      </c>
      <c r="AI2824">
        <v>94.581665110961893</v>
      </c>
      <c r="AJ2824">
        <v>111.709127574009</v>
      </c>
      <c r="AK2824">
        <v>14.2204258559854</v>
      </c>
      <c r="AL2824">
        <v>82.410767885226804</v>
      </c>
      <c r="AM2824">
        <v>108.554421695912</v>
      </c>
      <c r="AN2824">
        <v>0.99999997138033403</v>
      </c>
    </row>
    <row r="2825" spans="1:40" x14ac:dyDescent="0.25">
      <c r="A2825" t="str">
        <f>"20190303162834139"</f>
        <v>20190303162834139</v>
      </c>
      <c r="B2825" t="str">
        <f>"1551601714134669"</f>
        <v>1551601714134669</v>
      </c>
      <c r="C2825" t="s">
        <v>40</v>
      </c>
      <c r="D2825">
        <v>5.2934729999999997</v>
      </c>
      <c r="E2825">
        <v>0.48832979999999998</v>
      </c>
      <c r="F2825" t="s">
        <v>48</v>
      </c>
      <c r="G2825">
        <v>-466.86329999999998</v>
      </c>
      <c r="H2825" s="1">
        <v>2.0733539999999999E-6</v>
      </c>
      <c r="I2825">
        <v>215.58080000000001</v>
      </c>
      <c r="J2825">
        <v>-480.92380000000003</v>
      </c>
      <c r="K2825">
        <v>1.135929</v>
      </c>
      <c r="L2825">
        <v>213.828</v>
      </c>
      <c r="M2825">
        <v>0.97007149999999998</v>
      </c>
      <c r="N2825">
        <v>-1.5956350000000001E-2</v>
      </c>
      <c r="O2825">
        <v>-0.2422946</v>
      </c>
      <c r="P2825">
        <v>0.98996390000000001</v>
      </c>
      <c r="Q2825">
        <v>0.12809219999999999</v>
      </c>
      <c r="R2825">
        <v>5.9698180000000003E-2</v>
      </c>
      <c r="S2825">
        <v>3.040985</v>
      </c>
      <c r="T2825">
        <v>-0.24177399999999999</v>
      </c>
      <c r="U2825">
        <v>0.36410520000000002</v>
      </c>
      <c r="V2825">
        <v>-0.30283890000000002</v>
      </c>
      <c r="W2825">
        <v>0.1322062</v>
      </c>
      <c r="X2825">
        <v>0.94382739999999998</v>
      </c>
      <c r="Y2825">
        <v>-0.3541415</v>
      </c>
      <c r="Z2825">
        <v>3.2073570000000003E-2</v>
      </c>
      <c r="AA2825">
        <v>0.93464170000000002</v>
      </c>
      <c r="AB2825">
        <v>27</v>
      </c>
      <c r="AC2825">
        <v>14.060499999999999</v>
      </c>
      <c r="AD2825">
        <v>-1.1359269266459999</v>
      </c>
      <c r="AE2825">
        <v>1.7527999999999999</v>
      </c>
      <c r="AF2825">
        <v>-5.0751572739458801</v>
      </c>
      <c r="AG2825">
        <v>-1.1359269266459999</v>
      </c>
      <c r="AH2825">
        <v>13.1322790776631</v>
      </c>
      <c r="AI2825">
        <v>94.612816212010699</v>
      </c>
      <c r="AJ2825">
        <v>111.129738321281</v>
      </c>
      <c r="AK2825">
        <v>14.124599290301701</v>
      </c>
      <c r="AL2825">
        <v>82.402901316911894</v>
      </c>
      <c r="AM2825">
        <v>107.789492141368</v>
      </c>
      <c r="AN2825">
        <v>1.0000000198312</v>
      </c>
    </row>
    <row r="2826" spans="1:40" x14ac:dyDescent="0.25">
      <c r="A2826" t="str">
        <f>"20190303162834161"</f>
        <v>20190303162834161</v>
      </c>
      <c r="B2826" t="str">
        <f>"1551601714154189"</f>
        <v>1551601714154189</v>
      </c>
      <c r="C2826" t="s">
        <v>40</v>
      </c>
      <c r="D2826">
        <v>5.1273090000000003</v>
      </c>
      <c r="E2826">
        <v>0.4913324</v>
      </c>
      <c r="F2826" t="s">
        <v>48</v>
      </c>
      <c r="G2826">
        <v>-454.50630000000001</v>
      </c>
      <c r="H2826" s="1">
        <v>7.9660859999999999E-7</v>
      </c>
      <c r="I2826">
        <v>216.0942</v>
      </c>
      <c r="J2826">
        <v>-480.66559999999998</v>
      </c>
      <c r="K2826">
        <v>1.1359360000000001</v>
      </c>
      <c r="L2826">
        <v>213.7851</v>
      </c>
      <c r="M2826">
        <v>0.97498430000000003</v>
      </c>
      <c r="N2826">
        <v>-1.5954650000000001E-2</v>
      </c>
      <c r="O2826">
        <v>-0.22170039999999999</v>
      </c>
      <c r="P2826">
        <v>0.98945519999999998</v>
      </c>
      <c r="Q2826">
        <v>0.12931699999999999</v>
      </c>
      <c r="R2826">
        <v>6.5233189999999996E-2</v>
      </c>
      <c r="S2826">
        <v>3.0316160000000001</v>
      </c>
      <c r="T2826">
        <v>-0.13035659999999999</v>
      </c>
      <c r="U2826">
        <v>0.26007079999999999</v>
      </c>
      <c r="V2826">
        <v>-0.28807870000000002</v>
      </c>
      <c r="W2826">
        <v>0.134049799999999</v>
      </c>
      <c r="X2826">
        <v>0.94817790000000002</v>
      </c>
      <c r="Y2826">
        <v>-0.30380069999999998</v>
      </c>
      <c r="Z2826">
        <v>1.4876250000000001E-2</v>
      </c>
      <c r="AA2826">
        <v>0.95261940000000001</v>
      </c>
      <c r="AB2826">
        <v>27</v>
      </c>
      <c r="AC2826">
        <v>26.159299999999899</v>
      </c>
      <c r="AD2826">
        <v>-1.1359352033913901</v>
      </c>
      <c r="AE2826">
        <v>2.3090999999999999</v>
      </c>
      <c r="AF2826">
        <v>-8.0368510744031401</v>
      </c>
      <c r="AG2826">
        <v>-1.1359352033913901</v>
      </c>
      <c r="AH2826">
        <v>24.949478379477501</v>
      </c>
      <c r="AI2826">
        <v>92.4814461229562</v>
      </c>
      <c r="AJ2826">
        <v>107.85504819553501</v>
      </c>
      <c r="AK2826">
        <v>26.236573621310701</v>
      </c>
      <c r="AL2826">
        <v>82.296322036350503</v>
      </c>
      <c r="AM2826">
        <v>106.900012603444</v>
      </c>
      <c r="AN2826">
        <v>1.00000000816106</v>
      </c>
    </row>
    <row r="2827" spans="1:40" x14ac:dyDescent="0.25">
      <c r="A2827" t="str">
        <f>"20190303162834184"</f>
        <v>20190303162834184</v>
      </c>
      <c r="B2827" t="str">
        <f>"1551601714174685"</f>
        <v>1551601714174685</v>
      </c>
      <c r="C2827" t="s">
        <v>40</v>
      </c>
      <c r="D2827">
        <v>5.0244210000000002</v>
      </c>
      <c r="E2827">
        <v>0.49264170000000002</v>
      </c>
      <c r="F2827" t="s">
        <v>48</v>
      </c>
      <c r="G2827">
        <v>-452.899</v>
      </c>
      <c r="H2827" s="1">
        <v>-6.0066179999999995E-8</v>
      </c>
      <c r="I2827">
        <v>216.12540000000001</v>
      </c>
      <c r="J2827">
        <v>-480.40989999999999</v>
      </c>
      <c r="K2827">
        <v>1.13595</v>
      </c>
      <c r="L2827">
        <v>213.7484</v>
      </c>
      <c r="M2827">
        <v>0.97940890000000003</v>
      </c>
      <c r="N2827">
        <v>-1.595268E-2</v>
      </c>
      <c r="O2827">
        <v>-0.20125509999999999</v>
      </c>
      <c r="P2827">
        <v>0.98898509999999995</v>
      </c>
      <c r="Q2827">
        <v>0.13265839999999901</v>
      </c>
      <c r="R2827">
        <v>6.564979E-2</v>
      </c>
      <c r="S2827">
        <v>3.031342</v>
      </c>
      <c r="T2827">
        <v>-0.12401239999999999</v>
      </c>
      <c r="U2827">
        <v>0.25549319999999998</v>
      </c>
      <c r="V2827">
        <v>-0.2685805</v>
      </c>
      <c r="W2827">
        <v>0.13819509999999999</v>
      </c>
      <c r="X2827">
        <v>0.95329249999999999</v>
      </c>
      <c r="Y2827">
        <v>-0.28244920000000001</v>
      </c>
      <c r="Z2827">
        <v>1.2999510000000001E-2</v>
      </c>
      <c r="AA2827">
        <v>0.9591942</v>
      </c>
      <c r="AB2827">
        <v>27</v>
      </c>
      <c r="AC2827">
        <v>27.5108999999999</v>
      </c>
      <c r="AD2827">
        <v>-1.1359500600661701</v>
      </c>
      <c r="AE2827">
        <v>2.3769999999999998</v>
      </c>
      <c r="AF2827">
        <v>-7.8524764381307097</v>
      </c>
      <c r="AG2827">
        <v>-1.1359500600661701</v>
      </c>
      <c r="AH2827">
        <v>26.424687943934099</v>
      </c>
      <c r="AI2827">
        <v>92.359667012801395</v>
      </c>
      <c r="AJ2827">
        <v>106.550074823393</v>
      </c>
      <c r="AK2827">
        <v>27.590141385731599</v>
      </c>
      <c r="AL2827">
        <v>82.056581946194697</v>
      </c>
      <c r="AM2827">
        <v>105.73464427520901</v>
      </c>
      <c r="AN2827">
        <v>0.99999998060025397</v>
      </c>
    </row>
    <row r="2828" spans="1:40" x14ac:dyDescent="0.25">
      <c r="A2828" t="str">
        <f>"20190303162834207"</f>
        <v>20190303162834207</v>
      </c>
      <c r="B2828" t="str">
        <f>"1551601714194205"</f>
        <v>1551601714194205</v>
      </c>
      <c r="C2828" t="s">
        <v>40</v>
      </c>
      <c r="D2828">
        <v>5.2689700000000004</v>
      </c>
      <c r="E2828">
        <v>0.49344100000000002</v>
      </c>
      <c r="F2828" t="s">
        <v>48</v>
      </c>
      <c r="G2828">
        <v>-449.77120000000002</v>
      </c>
      <c r="H2828" s="1">
        <v>3.591E-6</v>
      </c>
      <c r="I2828">
        <v>216.26230000000001</v>
      </c>
      <c r="J2828">
        <v>-480.14100000000002</v>
      </c>
      <c r="K2828">
        <v>1.135966</v>
      </c>
      <c r="L2828">
        <v>213.71600000000001</v>
      </c>
      <c r="M2828">
        <v>0.98358800000000002</v>
      </c>
      <c r="N2828">
        <v>-1.5949939999999999E-2</v>
      </c>
      <c r="O2828">
        <v>-0.17972279999999999</v>
      </c>
      <c r="P2828">
        <v>0.98836179999999996</v>
      </c>
      <c r="Q2828">
        <v>0.13736880000000001</v>
      </c>
      <c r="R2828">
        <v>6.5352779999999999E-2</v>
      </c>
      <c r="S2828">
        <v>3.031952</v>
      </c>
      <c r="T2828">
        <v>-0.1124111</v>
      </c>
      <c r="U2828">
        <v>0.24877929999999901</v>
      </c>
      <c r="V2828">
        <v>-0.24733550000000001</v>
      </c>
      <c r="W2828">
        <v>0.14377029999999999</v>
      </c>
      <c r="X2828">
        <v>0.95820419999999995</v>
      </c>
      <c r="Y2828">
        <v>-0.25929679999999999</v>
      </c>
      <c r="Z2828">
        <v>1.063654E-2</v>
      </c>
      <c r="AA2828">
        <v>0.96573909999999996</v>
      </c>
      <c r="AB2828">
        <v>27</v>
      </c>
      <c r="AC2828">
        <v>30.369799999999898</v>
      </c>
      <c r="AD2828">
        <v>-1.135962409</v>
      </c>
      <c r="AE2828">
        <v>2.54630000000002</v>
      </c>
      <c r="AF2828">
        <v>-7.9526197842556297</v>
      </c>
      <c r="AG2828">
        <v>-1.135962409</v>
      </c>
      <c r="AH2828">
        <v>29.376670702030399</v>
      </c>
      <c r="AI2828">
        <v>92.137592508594906</v>
      </c>
      <c r="AJ2828">
        <v>105.147595595014</v>
      </c>
      <c r="AK2828">
        <v>30.455268075706101</v>
      </c>
      <c r="AL2828">
        <v>81.733923685578006</v>
      </c>
      <c r="AM2828">
        <v>104.473489374103</v>
      </c>
      <c r="AN2828">
        <v>1.00000001880998</v>
      </c>
    </row>
    <row r="2829" spans="1:40" x14ac:dyDescent="0.25">
      <c r="A2829" t="str">
        <f>"20190303162834231"</f>
        <v>20190303162834231</v>
      </c>
      <c r="B2829" t="str">
        <f>"1551601714224462"</f>
        <v>1551601714224462</v>
      </c>
      <c r="C2829" t="s">
        <v>40</v>
      </c>
      <c r="D2829">
        <v>5.2109240000000003</v>
      </c>
      <c r="E2829">
        <v>0.4940814</v>
      </c>
      <c r="F2829" t="s">
        <v>48</v>
      </c>
      <c r="G2829">
        <v>-445.08120000000002</v>
      </c>
      <c r="H2829" s="1">
        <v>1.0828569999999999E-6</v>
      </c>
      <c r="I2829">
        <v>216.54570000000001</v>
      </c>
      <c r="J2829">
        <v>-479.87400000000002</v>
      </c>
      <c r="K2829">
        <v>1.135991</v>
      </c>
      <c r="L2829">
        <v>213.68960000000001</v>
      </c>
      <c r="M2829">
        <v>0.98726100000000006</v>
      </c>
      <c r="N2829">
        <v>-1.5946410000000001E-2</v>
      </c>
      <c r="O2829">
        <v>-0.15830900000000001</v>
      </c>
      <c r="P2829">
        <v>0.98778520000000003</v>
      </c>
      <c r="Q2829">
        <v>0.14210639999999999</v>
      </c>
      <c r="R2829">
        <v>6.3924400000000006E-2</v>
      </c>
      <c r="S2829">
        <v>3.0328059999999999</v>
      </c>
      <c r="T2829">
        <v>-9.8265409999999997E-2</v>
      </c>
      <c r="U2829">
        <v>0.24478150000000001</v>
      </c>
      <c r="V2829">
        <v>-0.2250886</v>
      </c>
      <c r="W2829">
        <v>0.14940220000000001</v>
      </c>
      <c r="X2829">
        <v>0.96281570000000005</v>
      </c>
      <c r="Y2829">
        <v>-0.23704510000000001</v>
      </c>
      <c r="Z2829">
        <v>8.3143750000000006E-3</v>
      </c>
      <c r="AA2829">
        <v>0.97146310000000002</v>
      </c>
      <c r="AB2829">
        <v>27</v>
      </c>
      <c r="AC2829">
        <v>34.7928</v>
      </c>
      <c r="AD2829">
        <v>-1.1359899171429999</v>
      </c>
      <c r="AE2829">
        <v>2.8560999999999899</v>
      </c>
      <c r="AF2829">
        <v>-8.3199772563054797</v>
      </c>
      <c r="AG2829">
        <v>-1.1359899171429999</v>
      </c>
      <c r="AH2829">
        <v>33.865873161232798</v>
      </c>
      <c r="AI2829">
        <v>91.865758625334706</v>
      </c>
      <c r="AJ2829">
        <v>103.802745930971</v>
      </c>
      <c r="AK2829">
        <v>34.891400940776201</v>
      </c>
      <c r="AL2829">
        <v>81.4077150856168</v>
      </c>
      <c r="AM2829">
        <v>103.158377828944</v>
      </c>
      <c r="AN2829">
        <v>0.99999998369064402</v>
      </c>
    </row>
    <row r="2830" spans="1:40" x14ac:dyDescent="0.25">
      <c r="A2830" t="str">
        <f>"20190303162834254"</f>
        <v>20190303162834254</v>
      </c>
      <c r="B2830" t="str">
        <f>"1551601714243981"</f>
        <v>1551601714243981</v>
      </c>
      <c r="C2830" t="s">
        <v>40</v>
      </c>
      <c r="D2830">
        <v>5.2611400000000001</v>
      </c>
      <c r="E2830">
        <v>0.49446649999999998</v>
      </c>
      <c r="F2830" t="s">
        <v>49</v>
      </c>
      <c r="G2830">
        <v>-439.84960000000001</v>
      </c>
      <c r="H2830" s="1">
        <v>6.3938749999999998E-6</v>
      </c>
      <c r="I2830">
        <v>216.8014</v>
      </c>
      <c r="J2830">
        <v>-479.6062</v>
      </c>
      <c r="K2830">
        <v>1.1359939999999999</v>
      </c>
      <c r="L2830">
        <v>213.66890000000001</v>
      </c>
      <c r="M2830">
        <v>0.99046979999999996</v>
      </c>
      <c r="N2830">
        <v>-1.593909E-2</v>
      </c>
      <c r="O2830">
        <v>-0.136804799999999</v>
      </c>
      <c r="P2830">
        <v>0.9873054</v>
      </c>
      <c r="Q2830">
        <v>0.14556659999999999</v>
      </c>
      <c r="R2830">
        <v>6.3547960000000001E-2</v>
      </c>
      <c r="S2830">
        <v>3.0341800000000001</v>
      </c>
      <c r="T2830">
        <v>-8.6117029999999997E-2</v>
      </c>
      <c r="U2830">
        <v>0.2359009</v>
      </c>
      <c r="V2830">
        <v>-0.2037437</v>
      </c>
      <c r="W2830">
        <v>0.15371109999999999</v>
      </c>
      <c r="X2830">
        <v>0.96688229999999997</v>
      </c>
      <c r="Y2830">
        <v>-0.21305180000000001</v>
      </c>
      <c r="Z2830">
        <v>6.4121680000000002E-3</v>
      </c>
      <c r="AA2830">
        <v>0.97701979999999999</v>
      </c>
      <c r="AB2830">
        <v>26</v>
      </c>
      <c r="AC2830">
        <v>39.756599999999899</v>
      </c>
      <c r="AD2830">
        <v>-1.135987606125</v>
      </c>
      <c r="AE2830">
        <v>3.1324999999999901</v>
      </c>
      <c r="AF2830">
        <v>-8.5356994762519207</v>
      </c>
      <c r="AG2830">
        <v>-1.135987606125</v>
      </c>
      <c r="AH2830">
        <v>38.922536357267099</v>
      </c>
      <c r="AI2830">
        <v>91.632968114459004</v>
      </c>
      <c r="AJ2830">
        <v>102.36913952946399</v>
      </c>
      <c r="AK2830">
        <v>39.863673562191202</v>
      </c>
      <c r="AL2830">
        <v>81.157947975239594</v>
      </c>
      <c r="AM2830">
        <v>101.89941226882701</v>
      </c>
      <c r="AN2830">
        <v>0.99999998980309401</v>
      </c>
    </row>
    <row r="2831" spans="1:40" x14ac:dyDescent="0.25">
      <c r="A2831" t="str">
        <f>"20190303162834275"</f>
        <v>20190303162834275</v>
      </c>
      <c r="B2831" t="str">
        <f>"1551601714264477"</f>
        <v>1551601714264477</v>
      </c>
      <c r="C2831" t="s">
        <v>40</v>
      </c>
      <c r="D2831">
        <v>5.1512539999999998</v>
      </c>
      <c r="E2831">
        <v>0.49477779999999999</v>
      </c>
      <c r="F2831" t="s">
        <v>49</v>
      </c>
      <c r="G2831">
        <v>-434.15069999999997</v>
      </c>
      <c r="H2831" s="1">
        <v>3.8375509999999996E-6</v>
      </c>
      <c r="I2831">
        <v>217.13380000000001</v>
      </c>
      <c r="J2831">
        <v>-479.3691</v>
      </c>
      <c r="K2831">
        <v>1.1359889999999999</v>
      </c>
      <c r="L2831">
        <v>213.65539999999999</v>
      </c>
      <c r="M2831">
        <v>0.99291249999999998</v>
      </c>
      <c r="N2831">
        <v>-1.5924629999999999E-2</v>
      </c>
      <c r="O2831">
        <v>-0.11777559999999999</v>
      </c>
      <c r="P2831">
        <v>0.98730490000000004</v>
      </c>
      <c r="Q2831">
        <v>0.14737259999999999</v>
      </c>
      <c r="R2831">
        <v>5.9249400000000001E-2</v>
      </c>
      <c r="S2831">
        <v>3.0348510000000002</v>
      </c>
      <c r="T2831">
        <v>-7.584465E-2</v>
      </c>
      <c r="U2831">
        <v>0.2313385</v>
      </c>
      <c r="V2831">
        <v>-0.18090909999999999</v>
      </c>
      <c r="W2831">
        <v>0.15641360000000001</v>
      </c>
      <c r="X2831">
        <v>0.97098229999999996</v>
      </c>
      <c r="Y2831">
        <v>-0.19282460000000001</v>
      </c>
      <c r="Z2831">
        <v>5.0064439999999997E-3</v>
      </c>
      <c r="AA2831">
        <v>0.98122050000000005</v>
      </c>
      <c r="AB2831">
        <v>26</v>
      </c>
      <c r="AC2831">
        <v>45.218400000000003</v>
      </c>
      <c r="AD2831">
        <v>-1.1359851624489901</v>
      </c>
      <c r="AE2831">
        <v>3.4784000000000201</v>
      </c>
      <c r="AF2831">
        <v>-8.7749792732713292</v>
      </c>
      <c r="AG2831">
        <v>-1.1359851624489901</v>
      </c>
      <c r="AH2831">
        <v>44.465989320133197</v>
      </c>
      <c r="AI2831">
        <v>91.435755293178005</v>
      </c>
      <c r="AJ2831">
        <v>101.16338839853699</v>
      </c>
      <c r="AK2831">
        <v>45.337786996652703</v>
      </c>
      <c r="AL2831">
        <v>81.001210122825697</v>
      </c>
      <c r="AM2831">
        <v>100.554081993026</v>
      </c>
      <c r="AN2831">
        <v>0.99999997182052902</v>
      </c>
    </row>
    <row r="2832" spans="1:40" x14ac:dyDescent="0.25">
      <c r="A2832" t="str">
        <f>"20190303162834297"</f>
        <v>20190303162834297</v>
      </c>
      <c r="B2832" t="str">
        <f>"1551601714283998"</f>
        <v>1551601714283998</v>
      </c>
      <c r="C2832" t="s">
        <v>40</v>
      </c>
      <c r="D2832">
        <v>5.2735190000000003</v>
      </c>
      <c r="E2832">
        <v>0.49464819999999998</v>
      </c>
      <c r="F2832" t="s">
        <v>49</v>
      </c>
      <c r="G2832">
        <v>-432.06810000000002</v>
      </c>
      <c r="H2832" s="1">
        <v>2.923682E-6</v>
      </c>
      <c r="I2832">
        <v>217.023</v>
      </c>
      <c r="J2832">
        <v>-479.11430000000001</v>
      </c>
      <c r="K2832">
        <v>1.1359539999999999</v>
      </c>
      <c r="L2832">
        <v>213.64590000000001</v>
      </c>
      <c r="M2832">
        <v>0.99511870000000002</v>
      </c>
      <c r="N2832">
        <v>-1.589776E-2</v>
      </c>
      <c r="O2832">
        <v>-9.73966E-2</v>
      </c>
      <c r="P2832">
        <v>0.98712270000000002</v>
      </c>
      <c r="Q2832">
        <v>0.150115</v>
      </c>
      <c r="R2832">
        <v>5.5262550000000001E-2</v>
      </c>
      <c r="S2832">
        <v>3.0364689999999999</v>
      </c>
      <c r="T2832">
        <v>-7.2924139999999998E-2</v>
      </c>
      <c r="U2832">
        <v>0.2161865</v>
      </c>
      <c r="V2832">
        <v>-0.1570222</v>
      </c>
      <c r="W2832">
        <v>0.16007669999999999</v>
      </c>
      <c r="X2832">
        <v>0.9745355</v>
      </c>
      <c r="Y2832">
        <v>-0.16775889999999999</v>
      </c>
      <c r="Z2832">
        <v>4.1352860000000002E-3</v>
      </c>
      <c r="AA2832">
        <v>0.98581940000000001</v>
      </c>
      <c r="AB2832">
        <v>26</v>
      </c>
      <c r="AC2832">
        <v>47.046199999999999</v>
      </c>
      <c r="AD2832">
        <v>-1.1359510763179901</v>
      </c>
      <c r="AE2832">
        <v>3.37709999999998</v>
      </c>
      <c r="AF2832">
        <v>-7.93915412716039</v>
      </c>
      <c r="AG2832">
        <v>-1.1359510763179901</v>
      </c>
      <c r="AH2832">
        <v>46.466558345613301</v>
      </c>
      <c r="AI2832">
        <v>91.3804143310184</v>
      </c>
      <c r="AJ2832">
        <v>99.695782636884502</v>
      </c>
      <c r="AK2832">
        <v>47.153595807625102</v>
      </c>
      <c r="AL2832">
        <v>80.788651633202505</v>
      </c>
      <c r="AM2832">
        <v>99.153124291462404</v>
      </c>
      <c r="AN2832">
        <v>0.99999998096798903</v>
      </c>
    </row>
    <row r="2833" spans="1:40" x14ac:dyDescent="0.25">
      <c r="A2833" t="str">
        <f>"20190303162834319"</f>
        <v>20190303162834319</v>
      </c>
      <c r="B2833" t="str">
        <f>"1551601714314254"</f>
        <v>1551601714314254</v>
      </c>
      <c r="C2833" t="s">
        <v>40</v>
      </c>
      <c r="D2833">
        <v>5.2673160000000001</v>
      </c>
      <c r="E2833">
        <v>0.49440400000000001</v>
      </c>
      <c r="F2833" t="s">
        <v>49</v>
      </c>
      <c r="G2833">
        <v>-428.35680000000002</v>
      </c>
      <c r="H2833" s="1">
        <v>2.2643929999999999E-6</v>
      </c>
      <c r="I2833">
        <v>217.10830000000001</v>
      </c>
      <c r="J2833">
        <v>-478.8596</v>
      </c>
      <c r="K2833">
        <v>1.135858</v>
      </c>
      <c r="L2833">
        <v>213.6414</v>
      </c>
      <c r="M2833">
        <v>0.99689300000000003</v>
      </c>
      <c r="N2833">
        <v>-1.585626E-2</v>
      </c>
      <c r="O2833">
        <v>-7.7154260000000002E-2</v>
      </c>
      <c r="P2833">
        <v>0.98698160000000001</v>
      </c>
      <c r="Q2833">
        <v>0.15322810000000001</v>
      </c>
      <c r="R2833">
        <v>4.8874510000000003E-2</v>
      </c>
      <c r="S2833">
        <v>3.0378720000000001</v>
      </c>
      <c r="T2833">
        <v>-6.7987439999999996E-2</v>
      </c>
      <c r="U2833">
        <v>0.20722960000000001</v>
      </c>
      <c r="V2833">
        <v>-0.1308445</v>
      </c>
      <c r="W2833">
        <v>0.1641764</v>
      </c>
      <c r="X2833">
        <v>0.97771459999999999</v>
      </c>
      <c r="Y2833">
        <v>-0.14477599999999999</v>
      </c>
      <c r="Z2833">
        <v>3.269648E-3</v>
      </c>
      <c r="AA2833">
        <v>0.98945899999999998</v>
      </c>
      <c r="AB2833">
        <v>26</v>
      </c>
      <c r="AC2833">
        <v>50.502799999999901</v>
      </c>
      <c r="AD2833">
        <v>-1.135855735607</v>
      </c>
      <c r="AE2833">
        <v>3.4668999999999999</v>
      </c>
      <c r="AF2833">
        <v>-7.3498590833894202</v>
      </c>
      <c r="AG2833">
        <v>-1.135855735607</v>
      </c>
      <c r="AH2833">
        <v>50.059498457095501</v>
      </c>
      <c r="AI2833">
        <v>91.286041857584493</v>
      </c>
      <c r="AJ2833">
        <v>98.352630136338504</v>
      </c>
      <c r="AK2833">
        <v>50.608931845809003</v>
      </c>
      <c r="AL2833">
        <v>80.550606838049902</v>
      </c>
      <c r="AM2833">
        <v>97.622426089365504</v>
      </c>
      <c r="AN2833">
        <v>1.0000000062751799</v>
      </c>
    </row>
    <row r="2834" spans="1:40" x14ac:dyDescent="0.25">
      <c r="A2834" t="str">
        <f>"20190303162834340"</f>
        <v>20190303162834340</v>
      </c>
      <c r="B2834" t="str">
        <f>"1551601714334749"</f>
        <v>1551601714334749</v>
      </c>
      <c r="C2834" t="s">
        <v>40</v>
      </c>
      <c r="D2834">
        <v>5.3235769999999896</v>
      </c>
      <c r="E2834">
        <v>0.49403639999999999</v>
      </c>
      <c r="F2834" t="s">
        <v>49</v>
      </c>
      <c r="G2834">
        <v>-426.28179999999998</v>
      </c>
      <c r="H2834" s="1">
        <v>2.6464160000000002E-6</v>
      </c>
      <c r="I2834">
        <v>216.9486</v>
      </c>
      <c r="J2834">
        <v>-478.61689999999999</v>
      </c>
      <c r="K2834">
        <v>1.1357029999999999</v>
      </c>
      <c r="L2834">
        <v>213.64189999999999</v>
      </c>
      <c r="M2834">
        <v>0.99818589999999996</v>
      </c>
      <c r="N2834">
        <v>-1.579908E-2</v>
      </c>
      <c r="O2834">
        <v>-5.8097389999999999E-2</v>
      </c>
      <c r="P2834">
        <v>0.98712279999999997</v>
      </c>
      <c r="Q2834">
        <v>0.15512889999999999</v>
      </c>
      <c r="R2834">
        <v>3.9032509999999999E-2</v>
      </c>
      <c r="S2834">
        <v>3.0402830000000001</v>
      </c>
      <c r="T2834">
        <v>-6.5680269999999999E-2</v>
      </c>
      <c r="U2834">
        <v>0.1912384</v>
      </c>
      <c r="V2834">
        <v>-0.1023024</v>
      </c>
      <c r="W2834">
        <v>0.16712679999999999</v>
      </c>
      <c r="X2834">
        <v>0.98061350000000003</v>
      </c>
      <c r="Y2834">
        <v>-0.12061189999999999</v>
      </c>
      <c r="Z2834">
        <v>2.5921210000000002E-3</v>
      </c>
      <c r="AA2834">
        <v>0.99269629999999998</v>
      </c>
      <c r="AB2834">
        <v>26</v>
      </c>
      <c r="AC2834">
        <v>52.335099999999997</v>
      </c>
      <c r="AD2834">
        <v>-1.135700353584</v>
      </c>
      <c r="AE2834">
        <v>3.3067000000000002</v>
      </c>
      <c r="AF2834">
        <v>-6.33905229500788</v>
      </c>
      <c r="AG2834">
        <v>-1.135700353584</v>
      </c>
      <c r="AH2834">
        <v>52.030140842693399</v>
      </c>
      <c r="AI2834">
        <v>91.241263219902194</v>
      </c>
      <c r="AJ2834">
        <v>96.946352758276404</v>
      </c>
      <c r="AK2834">
        <v>52.427177641014502</v>
      </c>
      <c r="AL2834">
        <v>80.379192973428005</v>
      </c>
      <c r="AM2834">
        <v>95.955831384448402</v>
      </c>
      <c r="AN2834">
        <v>0.99999999235312498</v>
      </c>
    </row>
    <row r="2835" spans="1:40" x14ac:dyDescent="0.25">
      <c r="A2835" t="str">
        <f>"20190303162834364"</f>
        <v>20190303162834364</v>
      </c>
      <c r="B2835" t="str">
        <f>"1551601714354270"</f>
        <v>1551601714354270</v>
      </c>
      <c r="C2835" t="s">
        <v>40</v>
      </c>
      <c r="D2835">
        <v>5.2730920000000001</v>
      </c>
      <c r="E2835">
        <v>0.48819069999999998</v>
      </c>
      <c r="F2835" t="s">
        <v>49</v>
      </c>
      <c r="G2835">
        <v>-425.05709999999999</v>
      </c>
      <c r="H2835" s="1">
        <v>2.8966540000000002E-6</v>
      </c>
      <c r="I2835">
        <v>216.5712</v>
      </c>
      <c r="J2835">
        <v>-478.3544</v>
      </c>
      <c r="K2835">
        <v>1.1354409999999999</v>
      </c>
      <c r="L2835">
        <v>213.6472</v>
      </c>
      <c r="M2835">
        <v>0.99916020000000005</v>
      </c>
      <c r="N2835">
        <v>-1.571297E-2</v>
      </c>
      <c r="O2835">
        <v>-3.7845379999999998E-2</v>
      </c>
      <c r="P2835">
        <v>0.98746999999999996</v>
      </c>
      <c r="Q2835">
        <v>0.15485589999999999</v>
      </c>
      <c r="R2835">
        <v>3.038134E-2</v>
      </c>
      <c r="S2835">
        <v>3.0427249999999999</v>
      </c>
      <c r="T2835">
        <v>-6.4518930000000002E-2</v>
      </c>
      <c r="U2835">
        <v>0.16641239999999999</v>
      </c>
      <c r="V2835">
        <v>-7.3618130000000004E-2</v>
      </c>
      <c r="W2835">
        <v>0.16786479999999901</v>
      </c>
      <c r="X2835">
        <v>0.98305739999999997</v>
      </c>
      <c r="Y2835">
        <v>-9.2328090000000002E-2</v>
      </c>
      <c r="Z2835">
        <v>1.9118080000000001E-3</v>
      </c>
      <c r="AA2835">
        <v>0.99572680000000002</v>
      </c>
      <c r="AB2835">
        <v>26</v>
      </c>
      <c r="AC2835">
        <v>53.2973</v>
      </c>
      <c r="AD2835">
        <v>-1.1354381033459999</v>
      </c>
      <c r="AE2835">
        <v>2.9239999999999999</v>
      </c>
      <c r="AF2835">
        <v>-4.9369761483202899</v>
      </c>
      <c r="AG2835">
        <v>-1.1354381033459999</v>
      </c>
      <c r="AH2835">
        <v>53.124396838543198</v>
      </c>
      <c r="AI2835">
        <v>91.219155799835306</v>
      </c>
      <c r="AJ2835">
        <v>95.309382976078297</v>
      </c>
      <c r="AK2835">
        <v>53.365386653097801</v>
      </c>
      <c r="AL2835">
        <v>80.336303192824204</v>
      </c>
      <c r="AM2835">
        <v>94.282709878362795</v>
      </c>
      <c r="AN2835">
        <v>1.00000003591924</v>
      </c>
    </row>
    <row r="2836" spans="1:40" x14ac:dyDescent="0.25">
      <c r="A2836" t="str">
        <f>"20190303162834386"</f>
        <v>20190303162834386</v>
      </c>
      <c r="B2836" t="str">
        <f>"1551601714374765"</f>
        <v>1551601714374765</v>
      </c>
      <c r="C2836" t="s">
        <v>40</v>
      </c>
      <c r="D2836">
        <v>5.2643690000000003</v>
      </c>
      <c r="E2836">
        <v>0.4865527</v>
      </c>
      <c r="F2836" t="s">
        <v>48</v>
      </c>
      <c r="G2836">
        <v>-450.89100000000002</v>
      </c>
      <c r="H2836" s="1">
        <v>-1.0953680000000001E-6</v>
      </c>
      <c r="I2836">
        <v>215.3647</v>
      </c>
      <c r="J2836">
        <v>-478.09339999999997</v>
      </c>
      <c r="K2836">
        <v>1.1350370000000001</v>
      </c>
      <c r="L2836">
        <v>213.65770000000001</v>
      </c>
      <c r="M2836">
        <v>0.99970979999999998</v>
      </c>
      <c r="N2836">
        <v>-1.5588100000000001E-2</v>
      </c>
      <c r="O2836">
        <v>-1.8368880000000001E-2</v>
      </c>
      <c r="P2836">
        <v>0.98817529999999998</v>
      </c>
      <c r="Q2836">
        <v>0.15160170000000001</v>
      </c>
      <c r="R2836">
        <v>2.295088E-2</v>
      </c>
      <c r="S2836">
        <v>3.0520019999999999</v>
      </c>
      <c r="T2836">
        <v>-0.1261815</v>
      </c>
      <c r="U2836">
        <v>0.19087219999999999</v>
      </c>
      <c r="V2836">
        <v>-4.6726379999999998E-2</v>
      </c>
      <c r="W2836">
        <v>0.1654919</v>
      </c>
      <c r="X2836">
        <v>0.98510359999999997</v>
      </c>
      <c r="Y2836">
        <v>-8.0642130000000006E-2</v>
      </c>
      <c r="Z2836">
        <v>2.7667239999999999E-3</v>
      </c>
      <c r="AA2836">
        <v>0.99673929999999999</v>
      </c>
      <c r="AB2836">
        <v>26</v>
      </c>
      <c r="AC2836">
        <v>27.202400000000001</v>
      </c>
      <c r="AD2836">
        <v>-1.1350380953679999</v>
      </c>
      <c r="AE2836">
        <v>1.7069999999999901</v>
      </c>
      <c r="AF2836">
        <v>-2.2026304339732801</v>
      </c>
      <c r="AG2836">
        <v>-1.1350380953679999</v>
      </c>
      <c r="AH2836">
        <v>27.1194192062997</v>
      </c>
      <c r="AI2836">
        <v>92.388763836441598</v>
      </c>
      <c r="AJ2836">
        <v>94.643352363767704</v>
      </c>
      <c r="AK2836">
        <v>27.232384956033901</v>
      </c>
      <c r="AL2836">
        <v>80.474189002871199</v>
      </c>
      <c r="AM2836">
        <v>92.715673007076404</v>
      </c>
      <c r="AN2836">
        <v>1.0000000131432301</v>
      </c>
    </row>
    <row r="2837" spans="1:40" x14ac:dyDescent="0.25">
      <c r="A2837" t="str">
        <f>"20190303162834409"</f>
        <v>20190303162834409</v>
      </c>
      <c r="B2837" t="str">
        <f>"1551601714404045"</f>
        <v>1551601714404045</v>
      </c>
      <c r="C2837" t="s">
        <v>40</v>
      </c>
      <c r="D2837">
        <v>5.2759119999999999</v>
      </c>
      <c r="E2837">
        <v>0.48455510000000002</v>
      </c>
      <c r="F2837" t="s">
        <v>48</v>
      </c>
      <c r="G2837">
        <v>-453.21449999999999</v>
      </c>
      <c r="H2837" s="1">
        <v>1.4992389999999999E-7</v>
      </c>
      <c r="I2837">
        <v>215.16319999999999</v>
      </c>
      <c r="J2837">
        <v>-477.82470000000001</v>
      </c>
      <c r="K2837">
        <v>1.1345459999999901</v>
      </c>
      <c r="L2837">
        <v>213.673</v>
      </c>
      <c r="M2837">
        <v>0.99988049999999995</v>
      </c>
      <c r="N2837">
        <v>-1.5431159999999999E-2</v>
      </c>
      <c r="O2837">
        <v>1.0073090000000001E-3</v>
      </c>
      <c r="P2837">
        <v>0.9889964</v>
      </c>
      <c r="Q2837">
        <v>0.14675189999999999</v>
      </c>
      <c r="R2837">
        <v>1.8719739999999999E-2</v>
      </c>
      <c r="S2837">
        <v>3.0530089999999999</v>
      </c>
      <c r="T2837">
        <v>-0.139286299999999</v>
      </c>
      <c r="U2837">
        <v>0.18475340000000001</v>
      </c>
      <c r="V2837">
        <v>-2.300257E-2</v>
      </c>
      <c r="W2837">
        <v>0.16133140000000001</v>
      </c>
      <c r="X2837">
        <v>0.98663219999999996</v>
      </c>
      <c r="Y2837">
        <v>-5.9317179999999997E-2</v>
      </c>
      <c r="Z2837">
        <v>1.779231E-3</v>
      </c>
      <c r="AA2837">
        <v>0.99823759999999995</v>
      </c>
      <c r="AB2837">
        <v>26</v>
      </c>
      <c r="AC2837">
        <v>24.610199999999999</v>
      </c>
      <c r="AD2837">
        <v>-1.1345458500761001</v>
      </c>
      <c r="AE2837">
        <v>1.49019999999998</v>
      </c>
      <c r="AF2837">
        <v>-1.46230976998674</v>
      </c>
      <c r="AG2837">
        <v>-1.1345458500761001</v>
      </c>
      <c r="AH2837">
        <v>24.5596835390634</v>
      </c>
      <c r="AI2837">
        <v>92.640255192065496</v>
      </c>
      <c r="AJ2837">
        <v>93.407429059586903</v>
      </c>
      <c r="AK2837">
        <v>24.629323979522201</v>
      </c>
      <c r="AL2837">
        <v>80.715816291387398</v>
      </c>
      <c r="AM2837">
        <v>91.335565030957994</v>
      </c>
      <c r="AN2837">
        <v>1.0000000184647</v>
      </c>
    </row>
    <row r="2838" spans="1:40" x14ac:dyDescent="0.25">
      <c r="A2838" t="str">
        <f>"20190303162834431"</f>
        <v>20190303162834431</v>
      </c>
      <c r="B2838" t="str">
        <f>"1551601714424542"</f>
        <v>1551601714424542</v>
      </c>
      <c r="C2838" t="s">
        <v>40</v>
      </c>
      <c r="D2838">
        <v>5.2147360000000003</v>
      </c>
      <c r="E2838">
        <v>0.48420239999999998</v>
      </c>
      <c r="F2838" t="s">
        <v>48</v>
      </c>
      <c r="G2838">
        <v>-455.47820000000002</v>
      </c>
      <c r="H2838" s="1">
        <v>1.359864E-6</v>
      </c>
      <c r="I2838">
        <v>215.04159999999999</v>
      </c>
      <c r="J2838">
        <v>-477.57769999999999</v>
      </c>
      <c r="K2838">
        <v>1.1339649999999999</v>
      </c>
      <c r="L2838">
        <v>213.6909</v>
      </c>
      <c r="M2838">
        <v>0.99972139999999998</v>
      </c>
      <c r="N2838">
        <v>-1.526189E-2</v>
      </c>
      <c r="O2838">
        <v>1.800914E-2</v>
      </c>
      <c r="P2838">
        <v>0.99000849999999996</v>
      </c>
      <c r="Q2838">
        <v>0.1399909</v>
      </c>
      <c r="R2838">
        <v>1.6912900000000002E-2</v>
      </c>
      <c r="S2838">
        <v>3.052826</v>
      </c>
      <c r="T2838">
        <v>-0.15499389999999999</v>
      </c>
      <c r="U2838">
        <v>0.18696589999999999</v>
      </c>
      <c r="V2838">
        <v>-3.929966E-3</v>
      </c>
      <c r="W2838">
        <v>0.15503919999999999</v>
      </c>
      <c r="X2838">
        <v>0.98790049999999996</v>
      </c>
      <c r="Y2838">
        <v>-4.3080889999999997E-2</v>
      </c>
      <c r="Z2838">
        <v>7.8305390000000001E-4</v>
      </c>
      <c r="AA2838">
        <v>0.9990713</v>
      </c>
      <c r="AB2838">
        <v>26</v>
      </c>
      <c r="AC2838">
        <v>22.0994999999999</v>
      </c>
      <c r="AD2838">
        <v>-1.13396364013599</v>
      </c>
      <c r="AE2838">
        <v>1.35069999999998</v>
      </c>
      <c r="AF2838">
        <v>-0.94994976426565703</v>
      </c>
      <c r="AG2838">
        <v>-1.13396364013599</v>
      </c>
      <c r="AH2838">
        <v>22.062371194924101</v>
      </c>
      <c r="AI2838">
        <v>92.939585367952006</v>
      </c>
      <c r="AJ2838">
        <v>92.465488117614598</v>
      </c>
      <c r="AK2838">
        <v>22.111908575118498</v>
      </c>
      <c r="AL2838">
        <v>81.080930251606304</v>
      </c>
      <c r="AM2838">
        <v>90.227927081367596</v>
      </c>
      <c r="AN2838">
        <v>0.99999999803482498</v>
      </c>
    </row>
    <row r="2839" spans="1:40" x14ac:dyDescent="0.25">
      <c r="A2839" t="str">
        <f>"20190303162834454"</f>
        <v>20190303162834454</v>
      </c>
      <c r="B2839" t="str">
        <f>"1551601714444062"</f>
        <v>1551601714444062</v>
      </c>
      <c r="C2839" t="s">
        <v>40</v>
      </c>
      <c r="D2839">
        <v>5.166169</v>
      </c>
      <c r="E2839">
        <v>0.47736840000000003</v>
      </c>
      <c r="F2839" t="s">
        <v>48</v>
      </c>
      <c r="G2839">
        <v>-458.20100000000002</v>
      </c>
      <c r="H2839" s="1">
        <v>2.817379E-6</v>
      </c>
      <c r="I2839">
        <v>214.84469999999999</v>
      </c>
      <c r="J2839">
        <v>-477.30360000000002</v>
      </c>
      <c r="K2839">
        <v>1.133114</v>
      </c>
      <c r="L2839">
        <v>213.71449999999999</v>
      </c>
      <c r="M2839">
        <v>0.99925350000000002</v>
      </c>
      <c r="N2839">
        <v>-1.503647E-2</v>
      </c>
      <c r="O2839">
        <v>3.5586970000000002E-2</v>
      </c>
      <c r="P2839">
        <v>0.99114880000000005</v>
      </c>
      <c r="Q2839">
        <v>0.13107659999999999</v>
      </c>
      <c r="R2839">
        <v>2.1052540000000002E-2</v>
      </c>
      <c r="S2839">
        <v>3.0524290000000001</v>
      </c>
      <c r="T2839">
        <v>-0.17863399999999999</v>
      </c>
      <c r="U2839">
        <v>0.1817474</v>
      </c>
      <c r="V2839">
        <v>9.9550219999999991E-3</v>
      </c>
      <c r="W2839">
        <v>0.146321799999999</v>
      </c>
      <c r="X2839">
        <v>0.98918689999999998</v>
      </c>
      <c r="Y2839">
        <v>-2.385321E-2</v>
      </c>
      <c r="Z2839">
        <v>-6.6712490000000004E-4</v>
      </c>
      <c r="AA2839">
        <v>0.99971529999999997</v>
      </c>
      <c r="AB2839">
        <v>26</v>
      </c>
      <c r="AC2839">
        <v>19.102599999999999</v>
      </c>
      <c r="AD2839">
        <v>-1.1331111826210001</v>
      </c>
      <c r="AE2839">
        <v>1.1302000000000001</v>
      </c>
      <c r="AF2839">
        <v>-0.44803255016180499</v>
      </c>
      <c r="AG2839">
        <v>-1.1331111826210001</v>
      </c>
      <c r="AH2839">
        <v>19.063879623773499</v>
      </c>
      <c r="AI2839">
        <v>93.400584736784097</v>
      </c>
      <c r="AJ2839">
        <v>91.346297297865704</v>
      </c>
      <c r="AK2839">
        <v>19.102779390128401</v>
      </c>
      <c r="AL2839">
        <v>81.586170359437403</v>
      </c>
      <c r="AM2839">
        <v>89.423403716227199</v>
      </c>
      <c r="AN2839">
        <v>0.99999994737493303</v>
      </c>
    </row>
    <row r="2840" spans="1:40" x14ac:dyDescent="0.25">
      <c r="A2840" t="str">
        <f>"20190303162834475"</f>
        <v>20190303162834475</v>
      </c>
      <c r="B2840" t="str">
        <f>"1551601714464557"</f>
        <v>1551601714464557</v>
      </c>
      <c r="C2840" t="s">
        <v>40</v>
      </c>
      <c r="D2840">
        <v>5.2353839999999998</v>
      </c>
      <c r="E2840">
        <v>0.47672379999999998</v>
      </c>
      <c r="F2840" t="s">
        <v>48</v>
      </c>
      <c r="G2840">
        <v>-461.88080000000002</v>
      </c>
      <c r="H2840" s="1">
        <v>-5.5052259999999999E-7</v>
      </c>
      <c r="I2840">
        <v>214.95050000000001</v>
      </c>
      <c r="J2840">
        <v>-477.0668</v>
      </c>
      <c r="K2840">
        <v>1.132185</v>
      </c>
      <c r="L2840">
        <v>213.73740000000001</v>
      </c>
      <c r="M2840">
        <v>0.99866750000000004</v>
      </c>
      <c r="N2840">
        <v>-1.480921E-2</v>
      </c>
      <c r="O2840">
        <v>4.9437429999999997E-2</v>
      </c>
      <c r="P2840">
        <v>0.99155369999999998</v>
      </c>
      <c r="Q2840">
        <v>0.12573129999999999</v>
      </c>
      <c r="R2840">
        <v>3.1827010000000003E-2</v>
      </c>
      <c r="S2840">
        <v>3.0512079999999999</v>
      </c>
      <c r="T2840">
        <v>-0.22417190000000001</v>
      </c>
      <c r="U2840">
        <v>0.24452209999999999</v>
      </c>
      <c r="V2840">
        <v>1.3422079999999999E-2</v>
      </c>
      <c r="W2840">
        <v>0.140822799999999</v>
      </c>
      <c r="X2840">
        <v>0.98994389999999999</v>
      </c>
      <c r="Y2840">
        <v>-3.0486829999999999E-2</v>
      </c>
      <c r="Z2840">
        <v>-1.5446710000000001E-3</v>
      </c>
      <c r="AA2840">
        <v>0.99953400000000003</v>
      </c>
      <c r="AB2840">
        <v>26</v>
      </c>
      <c r="AC2840">
        <v>15.1859999999999</v>
      </c>
      <c r="AD2840">
        <v>-1.1321855505225999</v>
      </c>
      <c r="AE2840">
        <v>1.2130999999999901</v>
      </c>
      <c r="AF2840">
        <v>-0.45824627081888097</v>
      </c>
      <c r="AG2840">
        <v>-1.1321855505225999</v>
      </c>
      <c r="AH2840">
        <v>15.143764848639901</v>
      </c>
      <c r="AI2840">
        <v>94.273671924663503</v>
      </c>
      <c r="AJ2840">
        <v>91.733226070635496</v>
      </c>
      <c r="AK2840">
        <v>15.192940714569801</v>
      </c>
      <c r="AL2840">
        <v>81.904539640936406</v>
      </c>
      <c r="AM2840">
        <v>89.2232070749142</v>
      </c>
      <c r="AN2840">
        <v>1.0000000691892801</v>
      </c>
    </row>
    <row r="2841" spans="1:40" x14ac:dyDescent="0.25">
      <c r="A2841" t="str">
        <f>"20190303162834498"</f>
        <v>20190303162834498</v>
      </c>
      <c r="B2841" t="str">
        <f>"1551601714484077"</f>
        <v>1551601714484077</v>
      </c>
      <c r="C2841" t="s">
        <v>40</v>
      </c>
      <c r="D2841">
        <v>5.184679</v>
      </c>
      <c r="E2841">
        <v>0.47339979999999998</v>
      </c>
      <c r="F2841" t="s">
        <v>48</v>
      </c>
      <c r="G2841">
        <v>-462.54640000000001</v>
      </c>
      <c r="H2841" s="1">
        <v>-2.0047490000000001E-7</v>
      </c>
      <c r="I2841">
        <v>215.04560000000001</v>
      </c>
      <c r="J2841">
        <v>-476.803</v>
      </c>
      <c r="K2841">
        <v>1.130978</v>
      </c>
      <c r="L2841">
        <v>213.76519999999999</v>
      </c>
      <c r="M2841">
        <v>0.99789240000000001</v>
      </c>
      <c r="N2841">
        <v>-1.453863E-2</v>
      </c>
      <c r="O2841">
        <v>6.3240889999999994E-2</v>
      </c>
      <c r="P2841">
        <v>0.99109159999999996</v>
      </c>
      <c r="Q2841">
        <v>0.12446069999999999</v>
      </c>
      <c r="R2841">
        <v>4.740436E-2</v>
      </c>
      <c r="S2841">
        <v>3.0468440000000001</v>
      </c>
      <c r="T2841">
        <v>-0.23756840000000001</v>
      </c>
      <c r="U2841">
        <v>0.27449040000000002</v>
      </c>
      <c r="V2841">
        <v>1.1997870000000001E-2</v>
      </c>
      <c r="W2841">
        <v>0.13920379999999999</v>
      </c>
      <c r="X2841">
        <v>0.99019100000000004</v>
      </c>
      <c r="Y2841">
        <v>-2.6585129999999998E-2</v>
      </c>
      <c r="Z2841">
        <v>-2.7632759999999998E-3</v>
      </c>
      <c r="AA2841">
        <v>0.9996427</v>
      </c>
      <c r="AB2841">
        <v>26</v>
      </c>
      <c r="AC2841">
        <v>14.256600000000001</v>
      </c>
      <c r="AD2841">
        <v>-1.1309782004748901</v>
      </c>
      <c r="AE2841">
        <v>1.28040000000001</v>
      </c>
      <c r="AF2841">
        <v>-0.37380745805416599</v>
      </c>
      <c r="AG2841">
        <v>-1.1309782004748901</v>
      </c>
      <c r="AH2841">
        <v>14.220262677773601</v>
      </c>
      <c r="AI2841">
        <v>94.545761776286994</v>
      </c>
      <c r="AJ2841">
        <v>91.505785020412802</v>
      </c>
      <c r="AK2841">
        <v>14.2700635713555</v>
      </c>
      <c r="AL2841">
        <v>81.998223234234501</v>
      </c>
      <c r="AM2841">
        <v>89.305796886087094</v>
      </c>
      <c r="AN2841">
        <v>0.99999993164998602</v>
      </c>
    </row>
    <row r="2842" spans="1:40" x14ac:dyDescent="0.25">
      <c r="A2842" t="str">
        <f>"20190303162834521"</f>
        <v>20190303162834521</v>
      </c>
      <c r="B2842" t="str">
        <f>"1551601714514333"</f>
        <v>1551601714514333</v>
      </c>
      <c r="C2842" t="s">
        <v>40</v>
      </c>
      <c r="D2842">
        <v>5.3014419999999998</v>
      </c>
      <c r="E2842">
        <v>0.47296680000000002</v>
      </c>
      <c r="F2842" t="s">
        <v>48</v>
      </c>
      <c r="G2842">
        <v>-459.67349999999999</v>
      </c>
      <c r="H2842" s="1">
        <v>3.563428E-6</v>
      </c>
      <c r="I2842">
        <v>215.70359999999999</v>
      </c>
      <c r="J2842">
        <v>-476.54109999999997</v>
      </c>
      <c r="K2842">
        <v>1.129659</v>
      </c>
      <c r="L2842">
        <v>213.7944</v>
      </c>
      <c r="M2842">
        <v>0.99707449999999997</v>
      </c>
      <c r="N2842">
        <v>-1.4273950000000001E-2</v>
      </c>
      <c r="O2842">
        <v>7.5092099999999995E-2</v>
      </c>
      <c r="P2842">
        <v>0.98993549999999997</v>
      </c>
      <c r="Q2842">
        <v>0.12643360000000001</v>
      </c>
      <c r="R2842">
        <v>6.3579259999999999E-2</v>
      </c>
      <c r="S2842">
        <v>3.0357059999999998</v>
      </c>
      <c r="T2842">
        <v>-0.2004319</v>
      </c>
      <c r="U2842">
        <v>0.34352110000000002</v>
      </c>
      <c r="V2842">
        <v>7.9689600000000006E-3</v>
      </c>
      <c r="W2842">
        <v>0.14077979999999901</v>
      </c>
      <c r="X2842">
        <v>0.99000889999999997</v>
      </c>
      <c r="Y2842">
        <v>-3.750212E-2</v>
      </c>
      <c r="Z2842">
        <v>-2.3570100000000001E-3</v>
      </c>
      <c r="AA2842">
        <v>0.99929369999999995</v>
      </c>
      <c r="AB2842">
        <v>27</v>
      </c>
      <c r="AC2842">
        <v>16.8675999999999</v>
      </c>
      <c r="AD2842">
        <v>-1.129655436572</v>
      </c>
      <c r="AE2842">
        <v>1.90919999999999</v>
      </c>
      <c r="AF2842">
        <v>-0.634247225758508</v>
      </c>
      <c r="AG2842">
        <v>-1.129655436572</v>
      </c>
      <c r="AH2842">
        <v>16.888555782179498</v>
      </c>
      <c r="AI2842">
        <v>93.824058625873704</v>
      </c>
      <c r="AJ2842">
        <v>92.150723840191404</v>
      </c>
      <c r="AK2842">
        <v>16.938173082022399</v>
      </c>
      <c r="AL2842">
        <v>81.907027906161503</v>
      </c>
      <c r="AM2842">
        <v>89.538814333558705</v>
      </c>
      <c r="AN2842">
        <v>1.0000000392453601</v>
      </c>
    </row>
    <row r="2843" spans="1:40" x14ac:dyDescent="0.25">
      <c r="A2843" t="str">
        <f>"20190303162834541"</f>
        <v>20190303162834541</v>
      </c>
      <c r="B2843" t="str">
        <f>"1551601714533853"</f>
        <v>1551601714533853</v>
      </c>
      <c r="C2843" t="s">
        <v>40</v>
      </c>
      <c r="D2843">
        <v>5.3626199999999997</v>
      </c>
      <c r="E2843">
        <v>0.4735684</v>
      </c>
      <c r="F2843" t="s">
        <v>48</v>
      </c>
      <c r="G2843">
        <v>-455.19029999999998</v>
      </c>
      <c r="H2843" s="1">
        <v>1.1403469999999999E-6</v>
      </c>
      <c r="I2843">
        <v>216.5581</v>
      </c>
      <c r="J2843">
        <v>-476.29239999999999</v>
      </c>
      <c r="K2843">
        <v>1.1283650000000001</v>
      </c>
      <c r="L2843">
        <v>213.82310000000001</v>
      </c>
      <c r="M2843">
        <v>0.99632299999999996</v>
      </c>
      <c r="N2843">
        <v>-1.40369E-2</v>
      </c>
      <c r="O2843">
        <v>8.4518990000000002E-2</v>
      </c>
      <c r="P2843">
        <v>0.98909159999999996</v>
      </c>
      <c r="Q2843">
        <v>0.12620729999999999</v>
      </c>
      <c r="R2843">
        <v>7.5960230000000004E-2</v>
      </c>
      <c r="S2843">
        <v>3.0258180000000001</v>
      </c>
      <c r="T2843">
        <v>-0.16009429999999999</v>
      </c>
      <c r="U2843">
        <v>0.39167790000000002</v>
      </c>
      <c r="V2843">
        <v>5.3851740000000004E-3</v>
      </c>
      <c r="W2843">
        <v>0.14023920000000001</v>
      </c>
      <c r="X2843">
        <v>0.99010299999999996</v>
      </c>
      <c r="Y2843">
        <v>-4.4072380000000001E-2</v>
      </c>
      <c r="Z2843">
        <v>-1.7853999999999999E-3</v>
      </c>
      <c r="AA2843">
        <v>0.99902670000000005</v>
      </c>
      <c r="AB2843">
        <v>27</v>
      </c>
      <c r="AC2843">
        <v>21.1021</v>
      </c>
      <c r="AD2843">
        <v>-1.1283638596529999</v>
      </c>
      <c r="AE2843">
        <v>2.7349999999999799</v>
      </c>
      <c r="AF2843">
        <v>-0.93886790102404405</v>
      </c>
      <c r="AG2843">
        <v>-1.1283638596529999</v>
      </c>
      <c r="AH2843">
        <v>21.1981524436979</v>
      </c>
      <c r="AI2843">
        <v>93.043963077488399</v>
      </c>
      <c r="AJ2843">
        <v>92.535977414517404</v>
      </c>
      <c r="AK2843">
        <v>21.2489139713445</v>
      </c>
      <c r="AL2843">
        <v>81.938311982813701</v>
      </c>
      <c r="AM2843">
        <v>89.688371109235305</v>
      </c>
      <c r="AN2843">
        <v>0.99999999196232503</v>
      </c>
    </row>
    <row r="2844" spans="1:40" x14ac:dyDescent="0.25">
      <c r="A2844" t="str">
        <f>"20190303162834566"</f>
        <v>20190303162834566</v>
      </c>
      <c r="B2844" t="str">
        <f>"1551601714554349"</f>
        <v>1551601714554349</v>
      </c>
      <c r="C2844" t="s">
        <v>40</v>
      </c>
      <c r="D2844">
        <v>5.3560589999999904</v>
      </c>
      <c r="E2844">
        <v>0.47799700000000001</v>
      </c>
      <c r="F2844" t="s">
        <v>48</v>
      </c>
      <c r="G2844">
        <v>-455.10070000000002</v>
      </c>
      <c r="H2844" s="1">
        <v>1.0832850000000001E-6</v>
      </c>
      <c r="I2844">
        <v>216.7724</v>
      </c>
      <c r="J2844">
        <v>-476.02409999999998</v>
      </c>
      <c r="K2844">
        <v>1.127014</v>
      </c>
      <c r="L2844">
        <v>213.85470000000001</v>
      </c>
      <c r="M2844">
        <v>0.99560859999999995</v>
      </c>
      <c r="N2844">
        <v>-1.379909E-2</v>
      </c>
      <c r="O2844">
        <v>9.2591549999999995E-2</v>
      </c>
      <c r="P2844">
        <v>0.98859649999999999</v>
      </c>
      <c r="Q2844">
        <v>0.12238</v>
      </c>
      <c r="R2844">
        <v>8.774991E-2</v>
      </c>
      <c r="S2844">
        <v>3.0213320000000001</v>
      </c>
      <c r="T2844">
        <v>-0.16087209999999999</v>
      </c>
      <c r="U2844">
        <v>0.42048649999999999</v>
      </c>
      <c r="V2844">
        <v>2.1605270000000002E-3</v>
      </c>
      <c r="W2844">
        <v>0.13611019999999999</v>
      </c>
      <c r="X2844">
        <v>0.9906914</v>
      </c>
      <c r="Y2844">
        <v>-4.5525589999999998E-2</v>
      </c>
      <c r="Z2844">
        <v>-2.094247E-3</v>
      </c>
      <c r="AA2844">
        <v>0.99896099999999999</v>
      </c>
      <c r="AB2844">
        <v>27</v>
      </c>
      <c r="AC2844">
        <v>20.923399999999901</v>
      </c>
      <c r="AD2844">
        <v>-1.127012916715</v>
      </c>
      <c r="AE2844">
        <v>2.9176999999999902</v>
      </c>
      <c r="AF2844">
        <v>-0.96490318196948999</v>
      </c>
      <c r="AG2844">
        <v>-1.127012916715</v>
      </c>
      <c r="AH2844">
        <v>21.0437898187601</v>
      </c>
      <c r="AI2844">
        <v>93.062370158596707</v>
      </c>
      <c r="AJ2844">
        <v>92.6252963568664</v>
      </c>
      <c r="AK2844">
        <v>21.096025365010501</v>
      </c>
      <c r="AL2844">
        <v>82.177178144408302</v>
      </c>
      <c r="AM2844">
        <v>89.875047989336196</v>
      </c>
      <c r="AN2844">
        <v>1.0000000522274499</v>
      </c>
    </row>
    <row r="2845" spans="1:40" x14ac:dyDescent="0.25">
      <c r="A2845" t="str">
        <f>"20190303162834586"</f>
        <v>20190303162834586</v>
      </c>
      <c r="B2845" t="str">
        <f>"1551601714573869"</f>
        <v>1551601714573869</v>
      </c>
      <c r="C2845" t="s">
        <v>40</v>
      </c>
      <c r="D2845">
        <v>5.3344079999999998</v>
      </c>
      <c r="E2845">
        <v>0.47883920000000002</v>
      </c>
      <c r="F2845" t="s">
        <v>48</v>
      </c>
      <c r="G2845">
        <v>-455.71940000000001</v>
      </c>
      <c r="H2845" s="1">
        <v>1.4164429999999901E-6</v>
      </c>
      <c r="I2845">
        <v>216.6831</v>
      </c>
      <c r="J2845">
        <v>-475.77440000000001</v>
      </c>
      <c r="K2845">
        <v>1.125791</v>
      </c>
      <c r="L2845">
        <v>213.8843</v>
      </c>
      <c r="M2845">
        <v>0.99507520000000005</v>
      </c>
      <c r="N2845">
        <v>-1.360071E-2</v>
      </c>
      <c r="O2845">
        <v>9.8185679999999997E-2</v>
      </c>
      <c r="P2845">
        <v>0.9883615</v>
      </c>
      <c r="Q2845">
        <v>0.1186533</v>
      </c>
      <c r="R2845">
        <v>9.5199900000000004E-2</v>
      </c>
      <c r="S2845">
        <v>3.0180359999999999</v>
      </c>
      <c r="T2845">
        <v>-0.1675162</v>
      </c>
      <c r="U2845">
        <v>0.42039490000000002</v>
      </c>
      <c r="V2845">
        <v>7.452499E-4</v>
      </c>
      <c r="W2845">
        <v>0.13216510000000001</v>
      </c>
      <c r="X2845">
        <v>0.99122739999999998</v>
      </c>
      <c r="Y2845">
        <v>-4.0048060000000003E-2</v>
      </c>
      <c r="Z2845">
        <v>-2.6924010000000001E-3</v>
      </c>
      <c r="AA2845">
        <v>0.99919409999999997</v>
      </c>
      <c r="AB2845">
        <v>27</v>
      </c>
      <c r="AC2845">
        <v>20.055</v>
      </c>
      <c r="AD2845">
        <v>-1.125789583557</v>
      </c>
      <c r="AE2845">
        <v>2.7988</v>
      </c>
      <c r="AF2845">
        <v>-0.81346372897194796</v>
      </c>
      <c r="AG2845">
        <v>-1.125789583557</v>
      </c>
      <c r="AH2845">
        <v>20.170559809160999</v>
      </c>
      <c r="AI2845">
        <v>93.1919743211119</v>
      </c>
      <c r="AJ2845">
        <v>92.309444804384697</v>
      </c>
      <c r="AK2845">
        <v>20.218323581339298</v>
      </c>
      <c r="AL2845">
        <v>82.405276592074699</v>
      </c>
      <c r="AM2845">
        <v>89.956922431818398</v>
      </c>
      <c r="AN2845">
        <v>0.99999996378309097</v>
      </c>
    </row>
    <row r="2846" spans="1:40" x14ac:dyDescent="0.25">
      <c r="A2846" t="str">
        <f>"20190303162834609"</f>
        <v>20190303162834609</v>
      </c>
      <c r="B2846" t="str">
        <f>"1551601714604126"</f>
        <v>1551601714604126</v>
      </c>
      <c r="C2846" t="s">
        <v>40</v>
      </c>
      <c r="D2846">
        <v>5.3348570000000004</v>
      </c>
      <c r="E2846">
        <v>0.484454</v>
      </c>
      <c r="F2846" t="s">
        <v>48</v>
      </c>
      <c r="G2846">
        <v>-456.08089999999999</v>
      </c>
      <c r="H2846" s="1">
        <v>1.6066209999999999E-6</v>
      </c>
      <c r="I2846">
        <v>216.73390000000001</v>
      </c>
      <c r="J2846">
        <v>-475.505</v>
      </c>
      <c r="K2846">
        <v>1.1246039999999999</v>
      </c>
      <c r="L2846">
        <v>213.9161</v>
      </c>
      <c r="M2846">
        <v>0.99465729999999997</v>
      </c>
      <c r="N2846">
        <v>-1.3411309999999999E-2</v>
      </c>
      <c r="O2846">
        <v>0.1023569</v>
      </c>
      <c r="P2846">
        <v>0.98859390000000003</v>
      </c>
      <c r="Q2846">
        <v>0.1153513</v>
      </c>
      <c r="R2846">
        <v>9.6831219999999996E-2</v>
      </c>
      <c r="S2846">
        <v>3.0140380000000002</v>
      </c>
      <c r="T2846">
        <v>-0.17229939999999999</v>
      </c>
      <c r="U2846">
        <v>0.43612669999999998</v>
      </c>
      <c r="V2846">
        <v>3.7248569999999998E-3</v>
      </c>
      <c r="W2846">
        <v>0.12870119999999999</v>
      </c>
      <c r="X2846">
        <v>0.99167640000000001</v>
      </c>
      <c r="Y2846">
        <v>-4.1157369999999999E-2</v>
      </c>
      <c r="Z2846">
        <v>-2.9817210000000001E-3</v>
      </c>
      <c r="AA2846">
        <v>0.99914820000000004</v>
      </c>
      <c r="AB2846">
        <v>27</v>
      </c>
      <c r="AC2846">
        <v>19.424099999999999</v>
      </c>
      <c r="AD2846">
        <v>-1.1246023933789999</v>
      </c>
      <c r="AE2846">
        <v>2.8178000000000001</v>
      </c>
      <c r="AF2846">
        <v>-0.81196228995577002</v>
      </c>
      <c r="AG2846">
        <v>-1.1246023933789999</v>
      </c>
      <c r="AH2846">
        <v>19.5463376582452</v>
      </c>
      <c r="AI2846">
        <v>93.290062486057195</v>
      </c>
      <c r="AJ2846">
        <v>92.378720828037203</v>
      </c>
      <c r="AK2846">
        <v>19.5954925723657</v>
      </c>
      <c r="AL2846">
        <v>82.605453752369797</v>
      </c>
      <c r="AM2846">
        <v>89.784791105515893</v>
      </c>
      <c r="AN2846">
        <v>0.99999997787903505</v>
      </c>
    </row>
    <row r="2847" spans="1:40" x14ac:dyDescent="0.25">
      <c r="A2847" t="str">
        <f>"20190303162834632"</f>
        <v>20190303162834632</v>
      </c>
      <c r="B2847" t="str">
        <f>"1551601714624622"</f>
        <v>1551601714624622</v>
      </c>
      <c r="C2847" t="s">
        <v>40</v>
      </c>
      <c r="D2847">
        <v>5.3377109999999997</v>
      </c>
      <c r="E2847">
        <v>0.48588300000000001</v>
      </c>
      <c r="F2847" t="s">
        <v>48</v>
      </c>
      <c r="G2847">
        <v>-452.87520000000001</v>
      </c>
      <c r="H2847" s="1">
        <v>-1.0650290000000001E-7</v>
      </c>
      <c r="I2847">
        <v>216.89869999999999</v>
      </c>
      <c r="J2847">
        <v>-475.23669999999998</v>
      </c>
      <c r="K2847">
        <v>1.123559</v>
      </c>
      <c r="L2847">
        <v>213.94730000000001</v>
      </c>
      <c r="M2847">
        <v>0.99440070000000003</v>
      </c>
      <c r="N2847">
        <v>-1.3250110000000001E-2</v>
      </c>
      <c r="O2847">
        <v>0.1048409</v>
      </c>
      <c r="P2847">
        <v>0.98888169999999997</v>
      </c>
      <c r="Q2847">
        <v>0.1154869</v>
      </c>
      <c r="R2847">
        <v>9.3679250000000006E-2</v>
      </c>
      <c r="S2847">
        <v>3.0132140000000001</v>
      </c>
      <c r="T2847">
        <v>-0.14974399999999999</v>
      </c>
      <c r="U2847">
        <v>0.39714050000000001</v>
      </c>
      <c r="V2847">
        <v>9.7130510000000003E-3</v>
      </c>
      <c r="W2847">
        <v>0.12870119999999999</v>
      </c>
      <c r="X2847">
        <v>0.99163590000000001</v>
      </c>
      <c r="Y2847">
        <v>-2.6025860000000001E-2</v>
      </c>
      <c r="Z2847">
        <v>-2.9647599999999999E-3</v>
      </c>
      <c r="AA2847">
        <v>0.99965689999999996</v>
      </c>
      <c r="AB2847">
        <v>27</v>
      </c>
      <c r="AC2847">
        <v>22.3614999999999</v>
      </c>
      <c r="AD2847">
        <v>-1.1235591065029</v>
      </c>
      <c r="AE2847">
        <v>2.9513999999999698</v>
      </c>
      <c r="AF2847">
        <v>-0.58906462019972505</v>
      </c>
      <c r="AG2847">
        <v>-1.1235591065029</v>
      </c>
      <c r="AH2847">
        <v>22.491888387789398</v>
      </c>
      <c r="AI2847">
        <v>92.858795784770507</v>
      </c>
      <c r="AJ2847">
        <v>91.500238769226996</v>
      </c>
      <c r="AK2847">
        <v>22.527636925371301</v>
      </c>
      <c r="AL2847">
        <v>82.605454290176695</v>
      </c>
      <c r="AM2847">
        <v>89.438807094601003</v>
      </c>
      <c r="AN2847">
        <v>1.00000005020498</v>
      </c>
    </row>
    <row r="2848" spans="1:40" x14ac:dyDescent="0.25">
      <c r="A2848" t="str">
        <f>"20190303162834656"</f>
        <v>20190303162834656</v>
      </c>
      <c r="B2848" t="str">
        <f>"1551601714645118"</f>
        <v>1551601714645118</v>
      </c>
      <c r="C2848" t="s">
        <v>40</v>
      </c>
      <c r="D2848">
        <v>5.4066519999999896</v>
      </c>
      <c r="E2848">
        <v>0.48626160000000002</v>
      </c>
      <c r="F2848" t="s">
        <v>48</v>
      </c>
      <c r="G2848">
        <v>-452.24619999999999</v>
      </c>
      <c r="H2848" s="1">
        <v>-4.381695E-7</v>
      </c>
      <c r="I2848">
        <v>216.82810000000001</v>
      </c>
      <c r="J2848">
        <v>-474.95479999999998</v>
      </c>
      <c r="K2848">
        <v>1.122566</v>
      </c>
      <c r="L2848">
        <v>213.97929999999999</v>
      </c>
      <c r="M2848">
        <v>0.99428910000000004</v>
      </c>
      <c r="N2848">
        <v>-1.310969E-2</v>
      </c>
      <c r="O2848">
        <v>0.1059124</v>
      </c>
      <c r="P2848">
        <v>0.98915569999999997</v>
      </c>
      <c r="Q2848">
        <v>0.116925</v>
      </c>
      <c r="R2848">
        <v>8.8880120000000007E-2</v>
      </c>
      <c r="S2848">
        <v>3.0151059999999998</v>
      </c>
      <c r="T2848">
        <v>-0.14735000000000001</v>
      </c>
      <c r="U2848">
        <v>0.37780760000000002</v>
      </c>
      <c r="V2848">
        <v>1.5909779999999998E-2</v>
      </c>
      <c r="W2848">
        <v>0.129993</v>
      </c>
      <c r="X2848">
        <v>0.99138720000000002</v>
      </c>
      <c r="Y2848">
        <v>-1.8571819999999999E-2</v>
      </c>
      <c r="Z2848">
        <v>-3.176173E-3</v>
      </c>
      <c r="AA2848">
        <v>0.99982249999999995</v>
      </c>
      <c r="AB2848">
        <v>27</v>
      </c>
      <c r="AC2848">
        <v>22.708599999999901</v>
      </c>
      <c r="AD2848">
        <v>-1.1225664381695</v>
      </c>
      <c r="AE2848">
        <v>2.84880000000001</v>
      </c>
      <c r="AF2848">
        <v>-0.42641928482448599</v>
      </c>
      <c r="AG2848">
        <v>-1.1225664381695</v>
      </c>
      <c r="AH2848">
        <v>22.827682694112301</v>
      </c>
      <c r="AI2848">
        <v>92.814799804597001</v>
      </c>
      <c r="AJ2848">
        <v>91.070156111774594</v>
      </c>
      <c r="AK2848">
        <v>22.859245088096099</v>
      </c>
      <c r="AL2848">
        <v>82.530811741291103</v>
      </c>
      <c r="AM2848">
        <v>89.080596355351105</v>
      </c>
      <c r="AN2848">
        <v>0.99999994073624199</v>
      </c>
    </row>
    <row r="2849" spans="1:40" x14ac:dyDescent="0.25">
      <c r="A2849" t="str">
        <f>"20190303162834677"</f>
        <v>20190303162834677</v>
      </c>
      <c r="B2849" t="str">
        <f>"1551601714665614"</f>
        <v>1551601714665614</v>
      </c>
      <c r="C2849" t="s">
        <v>40</v>
      </c>
      <c r="D2849">
        <v>5.3997469999999996</v>
      </c>
      <c r="E2849">
        <v>0.49067569999999999</v>
      </c>
      <c r="F2849" t="s">
        <v>48</v>
      </c>
      <c r="G2849">
        <v>-451.46210000000002</v>
      </c>
      <c r="H2849" s="1">
        <v>-8.5378779999999998E-7</v>
      </c>
      <c r="I2849">
        <v>216.79060000000001</v>
      </c>
      <c r="J2849">
        <v>-474.70600000000002</v>
      </c>
      <c r="K2849">
        <v>1.121777</v>
      </c>
      <c r="L2849">
        <v>214.0067</v>
      </c>
      <c r="M2849">
        <v>0.99430629999999998</v>
      </c>
      <c r="N2849">
        <v>-1.30054E-2</v>
      </c>
      <c r="O2849">
        <v>0.1057636</v>
      </c>
      <c r="P2849">
        <v>0.98955930000000003</v>
      </c>
      <c r="Q2849">
        <v>0.1188167</v>
      </c>
      <c r="R2849">
        <v>8.1579349999999995E-2</v>
      </c>
      <c r="S2849">
        <v>3.0174560000000001</v>
      </c>
      <c r="T2849">
        <v>-0.1441847</v>
      </c>
      <c r="U2849">
        <v>0.36108400000000002</v>
      </c>
      <c r="V2849">
        <v>2.3328459999999999E-2</v>
      </c>
      <c r="W2849">
        <v>0.13175479999999901</v>
      </c>
      <c r="X2849">
        <v>0.99100779999999999</v>
      </c>
      <c r="Y2849">
        <v>-1.317108E-2</v>
      </c>
      <c r="Z2849">
        <v>-3.2443519999999998E-3</v>
      </c>
      <c r="AA2849">
        <v>0.99990800000000002</v>
      </c>
      <c r="AB2849">
        <v>27</v>
      </c>
      <c r="AC2849">
        <v>23.243899999999901</v>
      </c>
      <c r="AD2849">
        <v>-1.1217778537878</v>
      </c>
      <c r="AE2849">
        <v>2.7839000000000098</v>
      </c>
      <c r="AF2849">
        <v>-0.30900740174776098</v>
      </c>
      <c r="AG2849">
        <v>-1.1217778537878</v>
      </c>
      <c r="AH2849">
        <v>23.354343745861801</v>
      </c>
      <c r="AI2849">
        <v>92.749731000609799</v>
      </c>
      <c r="AJ2849">
        <v>90.758051139756503</v>
      </c>
      <c r="AK2849">
        <v>23.3833112053759</v>
      </c>
      <c r="AL2849">
        <v>82.428992736584604</v>
      </c>
      <c r="AM2849">
        <v>88.651498513443102</v>
      </c>
      <c r="AN2849">
        <v>1.00000000201492</v>
      </c>
    </row>
    <row r="2850" spans="1:40" x14ac:dyDescent="0.25">
      <c r="A2850" t="str">
        <f>"20190303162834699"</f>
        <v>20190303162834699</v>
      </c>
      <c r="B2850" t="str">
        <f>"1551601714684159"</f>
        <v>1551601714684159</v>
      </c>
      <c r="C2850" t="s">
        <v>40</v>
      </c>
      <c r="D2850">
        <v>5.0755710000000001</v>
      </c>
      <c r="E2850">
        <v>0.49134109999999998</v>
      </c>
      <c r="F2850" t="s">
        <v>48</v>
      </c>
      <c r="G2850">
        <v>-445.96050000000002</v>
      </c>
      <c r="H2850" s="1">
        <v>1.534665E-6</v>
      </c>
      <c r="I2850">
        <v>216.91399999999999</v>
      </c>
      <c r="J2850">
        <v>-474.45490000000001</v>
      </c>
      <c r="K2850">
        <v>1.1210469999999999</v>
      </c>
      <c r="L2850">
        <v>214.0334</v>
      </c>
      <c r="M2850">
        <v>0.99441040000000003</v>
      </c>
      <c r="N2850">
        <v>-1.291379E-2</v>
      </c>
      <c r="O2850">
        <v>0.10479280000000001</v>
      </c>
      <c r="P2850">
        <v>0.99002559999999995</v>
      </c>
      <c r="Q2850">
        <v>0.11934110000000001</v>
      </c>
      <c r="R2850">
        <v>7.4883169999999999E-2</v>
      </c>
      <c r="S2850">
        <v>3.0206300000000001</v>
      </c>
      <c r="T2850">
        <v>-0.1178782</v>
      </c>
      <c r="U2850">
        <v>0.3054962</v>
      </c>
      <c r="V2850">
        <v>2.931104E-2</v>
      </c>
      <c r="W2850">
        <v>0.1321415</v>
      </c>
      <c r="X2850">
        <v>0.99079740000000005</v>
      </c>
      <c r="Y2850">
        <v>4.1612819999999997E-3</v>
      </c>
      <c r="Z2850">
        <v>-2.821231E-3</v>
      </c>
      <c r="AA2850">
        <v>0.99998739999999997</v>
      </c>
      <c r="AB2850">
        <v>27</v>
      </c>
      <c r="AC2850">
        <v>28.494399999999899</v>
      </c>
      <c r="AD2850">
        <v>-1.1210454653349999</v>
      </c>
      <c r="AE2850">
        <v>2.88060000000001</v>
      </c>
      <c r="AF2850">
        <v>0.12133356886775699</v>
      </c>
      <c r="AG2850">
        <v>-1.1210454653349999</v>
      </c>
      <c r="AH2850">
        <v>28.595563378390299</v>
      </c>
      <c r="AI2850">
        <v>92.245023819309196</v>
      </c>
      <c r="AJ2850">
        <v>89.756890270088903</v>
      </c>
      <c r="AK2850">
        <v>28.617786596762201</v>
      </c>
      <c r="AL2850">
        <v>82.406641017240901</v>
      </c>
      <c r="AM2850">
        <v>88.3054969441406</v>
      </c>
      <c r="AN2850">
        <v>1.0000000004674401</v>
      </c>
    </row>
    <row r="2851" spans="1:40" x14ac:dyDescent="0.25">
      <c r="A2851" t="str">
        <f>"20190303162834720"</f>
        <v>20190303162834720</v>
      </c>
      <c r="B2851" t="str">
        <f>"1551601714714413"</f>
        <v>1551601714714413</v>
      </c>
      <c r="C2851" t="s">
        <v>40</v>
      </c>
      <c r="D2851">
        <v>5.4567360000000003</v>
      </c>
      <c r="E2851">
        <v>0.49248700000000001</v>
      </c>
      <c r="F2851" t="s">
        <v>48</v>
      </c>
      <c r="G2851">
        <v>-445.06509999999997</v>
      </c>
      <c r="H2851" s="1">
        <v>1.0646740000000001E-6</v>
      </c>
      <c r="I2851">
        <v>216.7653</v>
      </c>
      <c r="J2851">
        <v>-474.19279999999998</v>
      </c>
      <c r="K2851">
        <v>1.1203970000000001</v>
      </c>
      <c r="L2851">
        <v>214.06020000000001</v>
      </c>
      <c r="M2851">
        <v>0.99458670000000005</v>
      </c>
      <c r="N2851">
        <v>-1.282879E-2</v>
      </c>
      <c r="O2851">
        <v>0.103116</v>
      </c>
      <c r="P2851">
        <v>0.99048440000000004</v>
      </c>
      <c r="Q2851">
        <v>0.1185152</v>
      </c>
      <c r="R2851">
        <v>6.9964509999999994E-2</v>
      </c>
      <c r="S2851">
        <v>3.022888</v>
      </c>
      <c r="T2851">
        <v>-0.1153052</v>
      </c>
      <c r="U2851">
        <v>0.28099059999999998</v>
      </c>
      <c r="V2851">
        <v>3.279166E-2</v>
      </c>
      <c r="W2851">
        <v>0.13117719999999999</v>
      </c>
      <c r="X2851">
        <v>0.99081649999999999</v>
      </c>
      <c r="Y2851">
        <v>1.0577319999999999E-2</v>
      </c>
      <c r="Z2851">
        <v>-2.8596149999999998E-3</v>
      </c>
      <c r="AA2851">
        <v>0.99994000000000005</v>
      </c>
      <c r="AB2851">
        <v>27</v>
      </c>
      <c r="AC2851">
        <v>29.127700000000001</v>
      </c>
      <c r="AD2851">
        <v>-1.12039593532599</v>
      </c>
      <c r="AE2851">
        <v>2.7050999999999799</v>
      </c>
      <c r="AF2851">
        <v>0.31264255107377997</v>
      </c>
      <c r="AG2851">
        <v>-1.12039593532599</v>
      </c>
      <c r="AH2851">
        <v>29.2085204554153</v>
      </c>
      <c r="AI2851">
        <v>92.196579253462204</v>
      </c>
      <c r="AJ2851">
        <v>89.386740090577803</v>
      </c>
      <c r="AK2851">
        <v>29.231672884237199</v>
      </c>
      <c r="AL2851">
        <v>82.462376844033798</v>
      </c>
      <c r="AM2851">
        <v>88.104454052100806</v>
      </c>
      <c r="AN2851">
        <v>1.0000000437188199</v>
      </c>
    </row>
    <row r="2852" spans="1:40" x14ac:dyDescent="0.25">
      <c r="A2852" t="str">
        <f>"20190303162834745"</f>
        <v>20190303162834745</v>
      </c>
      <c r="B2852" t="str">
        <f>"1551601714733934"</f>
        <v>1551601714733934</v>
      </c>
      <c r="C2852" t="s">
        <v>40</v>
      </c>
      <c r="D2852">
        <v>5.3945780000000001</v>
      </c>
      <c r="E2852">
        <v>0.49285259999999997</v>
      </c>
      <c r="F2852" t="s">
        <v>48</v>
      </c>
      <c r="G2852">
        <v>-444.94159999999999</v>
      </c>
      <c r="H2852" s="1">
        <v>1.0091119999999999E-6</v>
      </c>
      <c r="I2852">
        <v>216.53290000000001</v>
      </c>
      <c r="J2852">
        <v>-473.89490000000001</v>
      </c>
      <c r="K2852">
        <v>1.11982</v>
      </c>
      <c r="L2852">
        <v>214.0891</v>
      </c>
      <c r="M2852">
        <v>0.9948456</v>
      </c>
      <c r="N2852">
        <v>-1.27435E-2</v>
      </c>
      <c r="O2852">
        <v>0.1005992</v>
      </c>
      <c r="P2852">
        <v>0.99076529999999996</v>
      </c>
      <c r="Q2852">
        <v>0.1194393</v>
      </c>
      <c r="R2852">
        <v>6.4177949999999997E-2</v>
      </c>
      <c r="S2852">
        <v>3.0246279999999999</v>
      </c>
      <c r="T2852">
        <v>-0.1158512</v>
      </c>
      <c r="U2852">
        <v>0.25569150000000002</v>
      </c>
      <c r="V2852">
        <v>3.6255999999999997E-2</v>
      </c>
      <c r="W2852">
        <v>0.1319562</v>
      </c>
      <c r="X2852">
        <v>0.99059229999999998</v>
      </c>
      <c r="Y2852">
        <v>1.6392899999999998E-2</v>
      </c>
      <c r="Z2852">
        <v>-2.9715179999999998E-3</v>
      </c>
      <c r="AA2852">
        <v>0.99986120000000001</v>
      </c>
      <c r="AB2852">
        <v>27</v>
      </c>
      <c r="AC2852">
        <v>28.953299999999999</v>
      </c>
      <c r="AD2852">
        <v>-1.1198189908880001</v>
      </c>
      <c r="AE2852">
        <v>2.4438</v>
      </c>
      <c r="AF2852">
        <v>0.48080001621815599</v>
      </c>
      <c r="AG2852">
        <v>-1.1198189908880001</v>
      </c>
      <c r="AH2852">
        <v>29.009173690203401</v>
      </c>
      <c r="AI2852">
        <v>92.210344360631296</v>
      </c>
      <c r="AJ2852">
        <v>89.050462796005405</v>
      </c>
      <c r="AK2852">
        <v>29.034760571018001</v>
      </c>
      <c r="AL2852">
        <v>82.417351869615402</v>
      </c>
      <c r="AM2852">
        <v>87.903891492649294</v>
      </c>
      <c r="AN2852">
        <v>1.00000002053686</v>
      </c>
    </row>
    <row r="2853" spans="1:40" x14ac:dyDescent="0.25">
      <c r="A2853" t="str">
        <f>"20190303162834767"</f>
        <v>20190303162834767</v>
      </c>
      <c r="B2853" t="str">
        <f>"1551601714754431"</f>
        <v>1551601714754431</v>
      </c>
      <c r="C2853" t="s">
        <v>40</v>
      </c>
      <c r="D2853">
        <v>5.2476539999999998</v>
      </c>
      <c r="E2853">
        <v>0.49318380000000001</v>
      </c>
      <c r="F2853" t="s">
        <v>48</v>
      </c>
      <c r="G2853">
        <v>-442.74209999999999</v>
      </c>
      <c r="H2853" s="1">
        <v>-1.603615E-7</v>
      </c>
      <c r="I2853">
        <v>216.50980000000001</v>
      </c>
      <c r="J2853">
        <v>-473.63929999999999</v>
      </c>
      <c r="K2853">
        <v>1.1194550000000001</v>
      </c>
      <c r="L2853">
        <v>214.11259999999999</v>
      </c>
      <c r="M2853">
        <v>0.99509879999999995</v>
      </c>
      <c r="N2853">
        <v>-1.267981E-2</v>
      </c>
      <c r="O2853">
        <v>9.8069749999999997E-2</v>
      </c>
      <c r="P2853">
        <v>0.99109720000000001</v>
      </c>
      <c r="Q2853">
        <v>0.1200126</v>
      </c>
      <c r="R2853">
        <v>5.7648659999999997E-2</v>
      </c>
      <c r="S2853">
        <v>3.0258180000000001</v>
      </c>
      <c r="T2853">
        <v>-0.108766</v>
      </c>
      <c r="U2853">
        <v>0.23512269999999999</v>
      </c>
      <c r="V2853">
        <v>4.0382399999999999E-2</v>
      </c>
      <c r="W2853">
        <v>0.13241510000000001</v>
      </c>
      <c r="X2853">
        <v>0.99037140000000001</v>
      </c>
      <c r="Y2853">
        <v>2.0640370000000002E-2</v>
      </c>
      <c r="Z2853">
        <v>-2.7684799999999998E-3</v>
      </c>
      <c r="AA2853">
        <v>0.99978319999999998</v>
      </c>
      <c r="AB2853">
        <v>27</v>
      </c>
      <c r="AC2853">
        <v>30.897200000000002</v>
      </c>
      <c r="AD2853">
        <v>-1.1194551603614999</v>
      </c>
      <c r="AE2853">
        <v>2.3972000000000202</v>
      </c>
      <c r="AF2853">
        <v>0.64384150707850696</v>
      </c>
      <c r="AG2853">
        <v>-1.1194551603614999</v>
      </c>
      <c r="AH2853">
        <v>30.942972405494601</v>
      </c>
      <c r="AI2853">
        <v>92.071495653538605</v>
      </c>
      <c r="AJ2853">
        <v>88.807998203209607</v>
      </c>
      <c r="AK2853">
        <v>30.969908831468999</v>
      </c>
      <c r="AL2853">
        <v>82.390825941322404</v>
      </c>
      <c r="AM2853">
        <v>87.665057686382497</v>
      </c>
      <c r="AN2853">
        <v>1.00000000343786</v>
      </c>
    </row>
    <row r="2854" spans="1:40" x14ac:dyDescent="0.25">
      <c r="A2854" t="str">
        <f>"20190303162834790"</f>
        <v>20190303162834790</v>
      </c>
      <c r="B2854" t="str">
        <f>"1551601714784686"</f>
        <v>1551601714784686</v>
      </c>
      <c r="C2854" t="s">
        <v>40</v>
      </c>
      <c r="D2854">
        <v>5.2382530000000003</v>
      </c>
      <c r="E2854">
        <v>0.49386849999999999</v>
      </c>
      <c r="F2854" t="s">
        <v>48</v>
      </c>
      <c r="G2854">
        <v>-441.65679999999998</v>
      </c>
      <c r="H2854" s="1">
        <v>-7.3149699999999897E-7</v>
      </c>
      <c r="I2854">
        <v>216.36359999999999</v>
      </c>
      <c r="J2854">
        <v>-473.36149999999998</v>
      </c>
      <c r="K2854">
        <v>1.119183</v>
      </c>
      <c r="L2854">
        <v>214.1371</v>
      </c>
      <c r="M2854">
        <v>0.99538800000000005</v>
      </c>
      <c r="N2854">
        <v>-1.2616799999999999E-2</v>
      </c>
      <c r="O2854">
        <v>9.5098210000000002E-2</v>
      </c>
      <c r="P2854">
        <v>0.99179289999999998</v>
      </c>
      <c r="Q2854">
        <v>0.116658999999999</v>
      </c>
      <c r="R2854">
        <v>5.2323769999999999E-2</v>
      </c>
      <c r="S2854">
        <v>3.0274049999999999</v>
      </c>
      <c r="T2854">
        <v>-0.1059655</v>
      </c>
      <c r="U2854">
        <v>0.2130737</v>
      </c>
      <c r="V2854">
        <v>4.2855740000000003E-2</v>
      </c>
      <c r="W2854">
        <v>0.12896550000000001</v>
      </c>
      <c r="X2854">
        <v>0.99072260000000001</v>
      </c>
      <c r="Y2854">
        <v>2.4937210000000001E-2</v>
      </c>
      <c r="Z2854">
        <v>-2.7097649999999998E-3</v>
      </c>
      <c r="AA2854">
        <v>0.9996853</v>
      </c>
      <c r="AB2854">
        <v>27</v>
      </c>
      <c r="AC2854">
        <v>31.704699999999999</v>
      </c>
      <c r="AD2854">
        <v>-1.1191837314969999</v>
      </c>
      <c r="AE2854">
        <v>2.2264999999999802</v>
      </c>
      <c r="AF2854">
        <v>0.79790298157313799</v>
      </c>
      <c r="AG2854">
        <v>-1.1191837314969999</v>
      </c>
      <c r="AH2854">
        <v>31.733391917183901</v>
      </c>
      <c r="AI2854">
        <v>92.019251567239905</v>
      </c>
      <c r="AJ2854">
        <v>88.5596609775953</v>
      </c>
      <c r="AK2854">
        <v>31.7631450577937</v>
      </c>
      <c r="AL2854">
        <v>82.590183324929598</v>
      </c>
      <c r="AM2854">
        <v>87.523097563777398</v>
      </c>
      <c r="AN2854">
        <v>0.99999999239597803</v>
      </c>
    </row>
    <row r="2855" spans="1:40" x14ac:dyDescent="0.25">
      <c r="A2855" t="str">
        <f>"20190303162834811"</f>
        <v>20190303162834811</v>
      </c>
      <c r="B2855" t="str">
        <f>"1551601714804206"</f>
        <v>1551601714804206</v>
      </c>
      <c r="C2855" t="s">
        <v>40</v>
      </c>
      <c r="D2855">
        <v>5.5062639999999998</v>
      </c>
      <c r="E2855">
        <v>0.49405120000000002</v>
      </c>
      <c r="F2855" t="s">
        <v>48</v>
      </c>
      <c r="G2855">
        <v>-443.57209999999998</v>
      </c>
      <c r="H2855" s="1">
        <v>3.029047E-7</v>
      </c>
      <c r="I2855">
        <v>216.0163</v>
      </c>
      <c r="J2855">
        <v>-473.12169999999998</v>
      </c>
      <c r="K2855">
        <v>1.1190089999999999</v>
      </c>
      <c r="L2855">
        <v>214.15729999999999</v>
      </c>
      <c r="M2855">
        <v>0.99564280000000005</v>
      </c>
      <c r="N2855">
        <v>-1.256036E-2</v>
      </c>
      <c r="O2855">
        <v>9.2400430000000006E-2</v>
      </c>
      <c r="P2855">
        <v>0.99240870000000003</v>
      </c>
      <c r="Q2855">
        <v>0.1128195</v>
      </c>
      <c r="R2855">
        <v>4.8956300000000001E-2</v>
      </c>
      <c r="S2855">
        <v>3.0281370000000001</v>
      </c>
      <c r="T2855">
        <v>-0.1137664</v>
      </c>
      <c r="U2855">
        <v>0.19102479999999999</v>
      </c>
      <c r="V2855">
        <v>4.3605770000000002E-2</v>
      </c>
      <c r="W2855">
        <v>0.12505539999999901</v>
      </c>
      <c r="X2855">
        <v>0.99119100000000004</v>
      </c>
      <c r="Y2855">
        <v>2.9479479999999999E-2</v>
      </c>
      <c r="Z2855">
        <v>-3.0377049999999999E-3</v>
      </c>
      <c r="AA2855">
        <v>0.99956080000000003</v>
      </c>
      <c r="AB2855">
        <v>27</v>
      </c>
      <c r="AC2855">
        <v>29.549600000000002</v>
      </c>
      <c r="AD2855">
        <v>-1.1190086970952999</v>
      </c>
      <c r="AE2855">
        <v>1.859</v>
      </c>
      <c r="AF2855">
        <v>0.87831050862176197</v>
      </c>
      <c r="AG2855">
        <v>-1.1190086970952999</v>
      </c>
      <c r="AH2855">
        <v>29.552737715903199</v>
      </c>
      <c r="AI2855">
        <v>92.167501531030496</v>
      </c>
      <c r="AJ2855">
        <v>88.2976644356321</v>
      </c>
      <c r="AK2855">
        <v>29.586955171472098</v>
      </c>
      <c r="AL2855">
        <v>82.816044620417799</v>
      </c>
      <c r="AM2855">
        <v>87.480993446188094</v>
      </c>
      <c r="AN2855">
        <v>0.99999995736372504</v>
      </c>
    </row>
    <row r="2856" spans="1:40" x14ac:dyDescent="0.25">
      <c r="A2856" t="str">
        <f>"20190303162834835"</f>
        <v>20190303162834835</v>
      </c>
      <c r="B2856" t="str">
        <f>"1551601714824702"</f>
        <v>1551601714824702</v>
      </c>
      <c r="C2856" t="s">
        <v>40</v>
      </c>
      <c r="D2856">
        <v>5.3877660000000001</v>
      </c>
      <c r="E2856">
        <v>0.49416110000000002</v>
      </c>
      <c r="F2856" t="s">
        <v>48</v>
      </c>
      <c r="G2856">
        <v>-445.81119999999999</v>
      </c>
      <c r="H2856" s="1">
        <v>1.5052899999999999E-6</v>
      </c>
      <c r="I2856">
        <v>215.7687</v>
      </c>
      <c r="J2856">
        <v>-472.82870000000003</v>
      </c>
      <c r="K2856">
        <v>1.118849</v>
      </c>
      <c r="L2856">
        <v>214.1808</v>
      </c>
      <c r="M2856">
        <v>0.99595610000000001</v>
      </c>
      <c r="N2856">
        <v>-1.2494089999999999E-2</v>
      </c>
      <c r="O2856">
        <v>8.8967530000000003E-2</v>
      </c>
      <c r="P2856">
        <v>0.99299870000000001</v>
      </c>
      <c r="Q2856">
        <v>0.10911170000000001</v>
      </c>
      <c r="R2856">
        <v>4.5258119999999999E-2</v>
      </c>
      <c r="S2856">
        <v>3.0281980000000002</v>
      </c>
      <c r="T2856">
        <v>-0.12407609999999999</v>
      </c>
      <c r="U2856">
        <v>0.17868039999999999</v>
      </c>
      <c r="V2856">
        <v>4.3941109999999999E-2</v>
      </c>
      <c r="W2856">
        <v>0.121270699999999</v>
      </c>
      <c r="X2856">
        <v>0.99164640000000004</v>
      </c>
      <c r="Y2856">
        <v>3.0082020000000001E-2</v>
      </c>
      <c r="Z2856">
        <v>-3.3261580000000001E-3</v>
      </c>
      <c r="AA2856">
        <v>0.99954189999999998</v>
      </c>
      <c r="AB2856">
        <v>27</v>
      </c>
      <c r="AC2856">
        <v>27.017499999999998</v>
      </c>
      <c r="AD2856">
        <v>-1.11884749471</v>
      </c>
      <c r="AE2856">
        <v>1.5878999999999901</v>
      </c>
      <c r="AF2856">
        <v>0.82086288966599497</v>
      </c>
      <c r="AG2856">
        <v>-1.11884749471</v>
      </c>
      <c r="AH2856">
        <v>27.005475019033099</v>
      </c>
      <c r="AI2856">
        <v>92.371336018378898</v>
      </c>
      <c r="AJ2856">
        <v>88.258964064702894</v>
      </c>
      <c r="AK2856">
        <v>27.0411042045932</v>
      </c>
      <c r="AL2856">
        <v>83.034556000819506</v>
      </c>
      <c r="AM2856">
        <v>87.462811035468206</v>
      </c>
      <c r="AN2856">
        <v>0.99999999322974098</v>
      </c>
    </row>
    <row r="2857" spans="1:40" x14ac:dyDescent="0.25">
      <c r="A2857" t="str">
        <f>"20190303162834856"</f>
        <v>20190303162834856</v>
      </c>
      <c r="B2857" t="str">
        <f>"1551601714844222"</f>
        <v>1551601714844222</v>
      </c>
      <c r="C2857" t="s">
        <v>40</v>
      </c>
      <c r="D2857">
        <v>5.4456889999999998</v>
      </c>
      <c r="E2857">
        <v>0.49435879999999999</v>
      </c>
      <c r="F2857" t="s">
        <v>48</v>
      </c>
      <c r="G2857">
        <v>-447.57749999999999</v>
      </c>
      <c r="H2857" s="1">
        <v>2.4535520000000001E-6</v>
      </c>
      <c r="I2857">
        <v>215.57749999999999</v>
      </c>
      <c r="J2857">
        <v>-472.57889999999998</v>
      </c>
      <c r="K2857">
        <v>1.1187180000000001</v>
      </c>
      <c r="L2857">
        <v>214.19990000000001</v>
      </c>
      <c r="M2857">
        <v>0.99622330000000003</v>
      </c>
      <c r="N2857">
        <v>-1.244557E-2</v>
      </c>
      <c r="O2857">
        <v>8.5932430000000004E-2</v>
      </c>
      <c r="P2857">
        <v>0.99333950000000004</v>
      </c>
      <c r="Q2857">
        <v>0.107097499999999</v>
      </c>
      <c r="R2857">
        <v>4.2506479999999999E-2</v>
      </c>
      <c r="S2857">
        <v>3.0282290000000001</v>
      </c>
      <c r="T2857">
        <v>-0.1341764</v>
      </c>
      <c r="U2857">
        <v>0.1674957</v>
      </c>
      <c r="V2857">
        <v>4.3704069999999998E-2</v>
      </c>
      <c r="W2857">
        <v>0.1192025</v>
      </c>
      <c r="X2857">
        <v>0.9919076</v>
      </c>
      <c r="Y2857">
        <v>3.070353E-2</v>
      </c>
      <c r="Z2857">
        <v>-3.5977359999999998E-3</v>
      </c>
      <c r="AA2857">
        <v>0.99952209999999997</v>
      </c>
      <c r="AB2857">
        <v>27</v>
      </c>
      <c r="AC2857">
        <v>25.001399999999901</v>
      </c>
      <c r="AD2857">
        <v>-1.1187155464480001</v>
      </c>
      <c r="AE2857">
        <v>1.37759999999997</v>
      </c>
      <c r="AF2857">
        <v>0.77454777455125501</v>
      </c>
      <c r="AG2857">
        <v>-1.1187155464480001</v>
      </c>
      <c r="AH2857">
        <v>24.977435523437901</v>
      </c>
      <c r="AI2857">
        <v>92.563278953552697</v>
      </c>
      <c r="AJ2857">
        <v>88.223832797515101</v>
      </c>
      <c r="AK2857">
        <v>25.014470493225001</v>
      </c>
      <c r="AL2857">
        <v>83.1539210563989</v>
      </c>
      <c r="AM2857">
        <v>87.477143803923994</v>
      </c>
      <c r="AN2857">
        <v>0.99999998433928705</v>
      </c>
    </row>
    <row r="2858" spans="1:40" x14ac:dyDescent="0.25">
      <c r="A2858" t="str">
        <f>"20190303162834881"</f>
        <v>20190303162834881</v>
      </c>
      <c r="B2858" t="str">
        <f>"1551601714874478"</f>
        <v>1551601714874478</v>
      </c>
      <c r="C2858" t="s">
        <v>40</v>
      </c>
      <c r="D2858">
        <v>5.4598389999999997</v>
      </c>
      <c r="E2858">
        <v>0.4946315</v>
      </c>
      <c r="F2858" t="s">
        <v>48</v>
      </c>
      <c r="G2858">
        <v>-448.13139999999999</v>
      </c>
      <c r="H2858" s="1">
        <v>2.7528070000000001E-6</v>
      </c>
      <c r="I2858">
        <v>215.47550000000001</v>
      </c>
      <c r="J2858">
        <v>-472.28039999999999</v>
      </c>
      <c r="K2858">
        <v>1.1186100000000001</v>
      </c>
      <c r="L2858">
        <v>214.22149999999999</v>
      </c>
      <c r="M2858">
        <v>0.99654050000000005</v>
      </c>
      <c r="N2858">
        <v>-1.239703E-2</v>
      </c>
      <c r="O2858">
        <v>8.2179790000000003E-2</v>
      </c>
      <c r="P2858">
        <v>0.99341449999999998</v>
      </c>
      <c r="Q2858">
        <v>0.10647959999999999</v>
      </c>
      <c r="R2858">
        <v>4.230544E-2</v>
      </c>
      <c r="S2858">
        <v>3.0282589999999998</v>
      </c>
      <c r="T2858">
        <v>-0.1385731</v>
      </c>
      <c r="U2858">
        <v>0.158004799999999</v>
      </c>
      <c r="V2858">
        <v>4.0199289999999999E-2</v>
      </c>
      <c r="W2858">
        <v>0.11854770000000001</v>
      </c>
      <c r="X2858">
        <v>0.99213430000000002</v>
      </c>
      <c r="Y2858">
        <v>3.0059639999999999E-2</v>
      </c>
      <c r="Z2858">
        <v>-3.6052020000000001E-3</v>
      </c>
      <c r="AA2858">
        <v>0.99954160000000003</v>
      </c>
      <c r="AB2858">
        <v>27</v>
      </c>
      <c r="AC2858">
        <v>24.149000000000001</v>
      </c>
      <c r="AD2858">
        <v>-1.118607247193</v>
      </c>
      <c r="AE2858">
        <v>1.25400000000001</v>
      </c>
      <c r="AF2858">
        <v>0.73338502786851201</v>
      </c>
      <c r="AG2858">
        <v>-1.118607247193</v>
      </c>
      <c r="AH2858">
        <v>24.118754299120202</v>
      </c>
      <c r="AI2858">
        <v>92.654201499386204</v>
      </c>
      <c r="AJ2858">
        <v>88.258329473508397</v>
      </c>
      <c r="AK2858">
        <v>24.155815960424601</v>
      </c>
      <c r="AL2858">
        <v>83.191706399896702</v>
      </c>
      <c r="AM2858">
        <v>87.679759206378705</v>
      </c>
      <c r="AN2858">
        <v>1.00000000466414</v>
      </c>
    </row>
    <row r="2859" spans="1:40" x14ac:dyDescent="0.25">
      <c r="A2859" t="str">
        <f>"20190303162834900"</f>
        <v>20190303162834900</v>
      </c>
      <c r="B2859" t="str">
        <f>"1551601714894000"</f>
        <v>1551601714894000</v>
      </c>
      <c r="C2859" t="s">
        <v>40</v>
      </c>
      <c r="D2859">
        <v>5.5183600000000004</v>
      </c>
      <c r="E2859">
        <v>0.49495040000000001</v>
      </c>
      <c r="F2859" t="s">
        <v>48</v>
      </c>
      <c r="G2859">
        <v>-447.83069999999998</v>
      </c>
      <c r="H2859" s="1">
        <v>2.592625E-6</v>
      </c>
      <c r="I2859">
        <v>215.47829999999999</v>
      </c>
      <c r="J2859">
        <v>-472.05040000000002</v>
      </c>
      <c r="K2859">
        <v>1.118547</v>
      </c>
      <c r="L2859">
        <v>214.2371</v>
      </c>
      <c r="M2859">
        <v>0.99678370000000005</v>
      </c>
      <c r="N2859">
        <v>-1.2365350000000001E-2</v>
      </c>
      <c r="O2859">
        <v>7.9179470000000002E-2</v>
      </c>
      <c r="P2859">
        <v>0.99304029999999999</v>
      </c>
      <c r="Q2859">
        <v>0.109906</v>
      </c>
      <c r="R2859">
        <v>4.2331609999999999E-2</v>
      </c>
      <c r="S2859">
        <v>3.0281069999999999</v>
      </c>
      <c r="T2859">
        <v>-0.13853989999999999</v>
      </c>
      <c r="U2859">
        <v>0.15565489999999901</v>
      </c>
      <c r="V2859">
        <v>3.7198349999999998E-2</v>
      </c>
      <c r="W2859">
        <v>0.1219499</v>
      </c>
      <c r="X2859">
        <v>0.99183889999999997</v>
      </c>
      <c r="Y2859">
        <v>2.782606E-2</v>
      </c>
      <c r="Z2859">
        <v>-3.442297E-3</v>
      </c>
      <c r="AA2859">
        <v>0.99960680000000002</v>
      </c>
      <c r="AB2859">
        <v>27</v>
      </c>
      <c r="AC2859">
        <v>24.2197</v>
      </c>
      <c r="AD2859">
        <v>-1.1185444073749999</v>
      </c>
      <c r="AE2859">
        <v>1.2411999999999901</v>
      </c>
      <c r="AF2859">
        <v>0.67910244138351294</v>
      </c>
      <c r="AG2859">
        <v>-1.1185444073749999</v>
      </c>
      <c r="AH2859">
        <v>24.1904721804822</v>
      </c>
      <c r="AI2859">
        <v>92.646375494415693</v>
      </c>
      <c r="AJ2859">
        <v>88.391950074546699</v>
      </c>
      <c r="AK2859">
        <v>24.225838809664399</v>
      </c>
      <c r="AL2859">
        <v>82.995349406091506</v>
      </c>
      <c r="AM2859">
        <v>87.852161257645804</v>
      </c>
      <c r="AN2859">
        <v>0.99999994945296899</v>
      </c>
    </row>
    <row r="2860" spans="1:40" x14ac:dyDescent="0.25">
      <c r="A2860" t="str">
        <f>"20190303162834921"</f>
        <v>20190303162834921</v>
      </c>
      <c r="B2860" t="str">
        <f>"1551601714914493"</f>
        <v>1551601714914493</v>
      </c>
      <c r="C2860" t="s">
        <v>40</v>
      </c>
      <c r="D2860">
        <v>5.4647180000000004</v>
      </c>
      <c r="E2860">
        <v>0.49509500000000001</v>
      </c>
      <c r="F2860" t="s">
        <v>48</v>
      </c>
      <c r="G2860">
        <v>-445.41230000000002</v>
      </c>
      <c r="H2860" s="1">
        <v>1.300012E-6</v>
      </c>
      <c r="I2860">
        <v>215.60769999999999</v>
      </c>
      <c r="J2860">
        <v>-471.80470000000003</v>
      </c>
      <c r="K2860">
        <v>1.1184909999999999</v>
      </c>
      <c r="L2860">
        <v>214.25299999999999</v>
      </c>
      <c r="M2860">
        <v>0.99704029999999999</v>
      </c>
      <c r="N2860">
        <v>-1.2335499999999999E-2</v>
      </c>
      <c r="O2860">
        <v>7.5885460000000002E-2</v>
      </c>
      <c r="P2860">
        <v>0.99242540000000001</v>
      </c>
      <c r="Q2860">
        <v>0.11560579999999999</v>
      </c>
      <c r="R2860">
        <v>4.1557360000000002E-2</v>
      </c>
      <c r="S2860">
        <v>3.028473</v>
      </c>
      <c r="T2860">
        <v>-0.1271669</v>
      </c>
      <c r="U2860">
        <v>0.15582279999999901</v>
      </c>
      <c r="V2860">
        <v>3.4701889999999999E-2</v>
      </c>
      <c r="W2860">
        <v>0.12762200000000001</v>
      </c>
      <c r="X2860">
        <v>0.99121559999999997</v>
      </c>
      <c r="Y2860">
        <v>2.4493600000000001E-2</v>
      </c>
      <c r="Z2860">
        <v>-2.9077080000000002E-3</v>
      </c>
      <c r="AA2860">
        <v>0.99969580000000002</v>
      </c>
      <c r="AB2860">
        <v>27</v>
      </c>
      <c r="AC2860">
        <v>26.392399999999999</v>
      </c>
      <c r="AD2860">
        <v>-1.1184896999880001</v>
      </c>
      <c r="AE2860">
        <v>1.3547</v>
      </c>
      <c r="AF2860">
        <v>0.65099238846688601</v>
      </c>
      <c r="AG2860">
        <v>-1.1184896999880001</v>
      </c>
      <c r="AH2860">
        <v>26.371857482907</v>
      </c>
      <c r="AI2860">
        <v>92.427848485498203</v>
      </c>
      <c r="AJ2860">
        <v>88.585934152996003</v>
      </c>
      <c r="AK2860">
        <v>26.403592130571599</v>
      </c>
      <c r="AL2860">
        <v>82.667801547755303</v>
      </c>
      <c r="AM2860">
        <v>87.994926512542904</v>
      </c>
      <c r="AN2860">
        <v>0.99999998086846498</v>
      </c>
    </row>
    <row r="2861" spans="1:40" x14ac:dyDescent="0.25">
      <c r="A2861" t="str">
        <f>"20190303162834944"</f>
        <v>20190303162834944</v>
      </c>
      <c r="B2861" t="str">
        <f>"1551601714934014"</f>
        <v>1551601714934014</v>
      </c>
      <c r="C2861" t="s">
        <v>40</v>
      </c>
      <c r="D2861">
        <v>5.5218660000000002</v>
      </c>
      <c r="E2861">
        <v>0.49531160000000002</v>
      </c>
      <c r="F2861" t="s">
        <v>48</v>
      </c>
      <c r="G2861">
        <v>-440.39409999999998</v>
      </c>
      <c r="H2861" s="1">
        <v>-1.3821559999999999E-6</v>
      </c>
      <c r="I2861">
        <v>215.87649999999999</v>
      </c>
      <c r="J2861">
        <v>-471.53550000000001</v>
      </c>
      <c r="K2861">
        <v>1.118444</v>
      </c>
      <c r="L2861">
        <v>214.26929999999999</v>
      </c>
      <c r="M2861">
        <v>0.99731519999999996</v>
      </c>
      <c r="N2861">
        <v>-1.230652E-2</v>
      </c>
      <c r="O2861">
        <v>7.2188589999999997E-2</v>
      </c>
      <c r="P2861">
        <v>0.99197659999999999</v>
      </c>
      <c r="Q2861">
        <v>0.11975089999999999</v>
      </c>
      <c r="R2861">
        <v>4.0525119999999998E-2</v>
      </c>
      <c r="S2861">
        <v>3.028931</v>
      </c>
      <c r="T2861">
        <v>-0.10785649999999999</v>
      </c>
      <c r="U2861">
        <v>0.15655520000000001</v>
      </c>
      <c r="V2861">
        <v>3.2065049999999998E-2</v>
      </c>
      <c r="W2861">
        <v>0.131744899999999</v>
      </c>
      <c r="X2861">
        <v>0.99076489999999995</v>
      </c>
      <c r="Y2861">
        <v>2.0577850000000002E-2</v>
      </c>
      <c r="Z2861">
        <v>-2.169285E-3</v>
      </c>
      <c r="AA2861">
        <v>0.99978590000000001</v>
      </c>
      <c r="AB2861">
        <v>27</v>
      </c>
      <c r="AC2861">
        <v>31.141400000000001</v>
      </c>
      <c r="AD2861">
        <v>-1.1184453821560001</v>
      </c>
      <c r="AE2861">
        <v>1.6072</v>
      </c>
      <c r="AF2861">
        <v>0.64438856376018905</v>
      </c>
      <c r="AG2861">
        <v>-1.1184453821560001</v>
      </c>
      <c r="AH2861">
        <v>31.136114538603501</v>
      </c>
      <c r="AI2861">
        <v>92.056806322120806</v>
      </c>
      <c r="AJ2861">
        <v>88.814384013802794</v>
      </c>
      <c r="AK2861">
        <v>31.162859067405901</v>
      </c>
      <c r="AL2861">
        <v>82.429564835352593</v>
      </c>
      <c r="AM2861">
        <v>88.146330175937806</v>
      </c>
      <c r="AN2861">
        <v>0.99999998658976097</v>
      </c>
    </row>
    <row r="2862" spans="1:40" x14ac:dyDescent="0.25">
      <c r="A2862" t="str">
        <f>"20190303162834967"</f>
        <v>20190303162834967</v>
      </c>
      <c r="B2862" t="str">
        <f>"1551601714954510"</f>
        <v>1551601714954510</v>
      </c>
      <c r="C2862" t="s">
        <v>40</v>
      </c>
      <c r="D2862">
        <v>5.2959370000000003</v>
      </c>
      <c r="E2862">
        <v>0.49538670000000001</v>
      </c>
      <c r="F2862" t="s">
        <v>49</v>
      </c>
      <c r="G2862">
        <v>-435.6746</v>
      </c>
      <c r="H2862" s="1">
        <v>4.6049730000000003E-6</v>
      </c>
      <c r="I2862">
        <v>216.0856</v>
      </c>
      <c r="J2862">
        <v>-471.26839999999999</v>
      </c>
      <c r="K2862">
        <v>1.118431</v>
      </c>
      <c r="L2862">
        <v>214.28440000000001</v>
      </c>
      <c r="M2862">
        <v>0.99757839999999998</v>
      </c>
      <c r="N2862">
        <v>-1.22811E-2</v>
      </c>
      <c r="O2862">
        <v>6.8458920000000006E-2</v>
      </c>
      <c r="P2862">
        <v>0.99152390000000001</v>
      </c>
      <c r="Q2862">
        <v>0.1231857</v>
      </c>
      <c r="R2862">
        <v>4.130321E-2</v>
      </c>
      <c r="S2862">
        <v>3.029388</v>
      </c>
      <c r="T2862">
        <v>-9.4481350000000006E-2</v>
      </c>
      <c r="U2862">
        <v>0.15342709999999901</v>
      </c>
      <c r="V2862">
        <v>2.7578499999999999E-2</v>
      </c>
      <c r="W2862">
        <v>0.13517860000000001</v>
      </c>
      <c r="X2862">
        <v>0.99043740000000002</v>
      </c>
      <c r="Y2862">
        <v>1.7889479999999999E-2</v>
      </c>
      <c r="Z2862">
        <v>-1.6787620000000001E-3</v>
      </c>
      <c r="AA2862">
        <v>0.99983860000000002</v>
      </c>
      <c r="AB2862">
        <v>27</v>
      </c>
      <c r="AC2862">
        <v>35.593799999999902</v>
      </c>
      <c r="AD2862">
        <v>-1.1184263950269999</v>
      </c>
      <c r="AE2862">
        <v>1.8011999999999899</v>
      </c>
      <c r="AF2862">
        <v>0.63929352960278596</v>
      </c>
      <c r="AG2862">
        <v>-1.1184263950269999</v>
      </c>
      <c r="AH2862">
        <v>35.598541532896498</v>
      </c>
      <c r="AI2862">
        <v>91.7992231423448</v>
      </c>
      <c r="AJ2862">
        <v>88.971168968057498</v>
      </c>
      <c r="AK2862">
        <v>35.6218434824398</v>
      </c>
      <c r="AL2862">
        <v>82.231052692632304</v>
      </c>
      <c r="AM2862">
        <v>88.405024416397595</v>
      </c>
      <c r="AN2862">
        <v>1.00000003543948</v>
      </c>
    </row>
    <row r="2863" spans="1:40" x14ac:dyDescent="0.25">
      <c r="A2863" t="str">
        <f>"20190303162834989"</f>
        <v>20190303162834989</v>
      </c>
      <c r="B2863" t="str">
        <f>"1551601714974030"</f>
        <v>1551601714974030</v>
      </c>
      <c r="C2863" t="s">
        <v>40</v>
      </c>
      <c r="D2863">
        <v>5.2843280000000004</v>
      </c>
      <c r="E2863">
        <v>0.4957027</v>
      </c>
      <c r="F2863" t="s">
        <v>49</v>
      </c>
      <c r="G2863">
        <v>-430.84519999999998</v>
      </c>
      <c r="H2863" s="1">
        <v>2.4382560000000001E-6</v>
      </c>
      <c r="I2863">
        <v>216.37270000000001</v>
      </c>
      <c r="J2863">
        <v>-470.9991</v>
      </c>
      <c r="K2863">
        <v>1.1184480000000001</v>
      </c>
      <c r="L2863">
        <v>214.29859999999999</v>
      </c>
      <c r="M2863">
        <v>0.99783149999999998</v>
      </c>
      <c r="N2863">
        <v>-1.225799E-2</v>
      </c>
      <c r="O2863">
        <v>6.4670240000000004E-2</v>
      </c>
      <c r="P2863">
        <v>0.99110069999999995</v>
      </c>
      <c r="Q2863">
        <v>0.12633820000000001</v>
      </c>
      <c r="R2863">
        <v>4.1930879999999997E-2</v>
      </c>
      <c r="S2863">
        <v>3.0295100000000001</v>
      </c>
      <c r="T2863">
        <v>-8.3820459999999999E-2</v>
      </c>
      <c r="U2863">
        <v>0.15650939999999999</v>
      </c>
      <c r="V2863">
        <v>2.3178199999999999E-2</v>
      </c>
      <c r="W2863">
        <v>0.13833399999999901</v>
      </c>
      <c r="X2863">
        <v>0.99011439999999995</v>
      </c>
      <c r="Y2863">
        <v>1.308934E-2</v>
      </c>
      <c r="Z2863">
        <v>-1.254415E-3</v>
      </c>
      <c r="AA2863">
        <v>0.99991359999999996</v>
      </c>
      <c r="AB2863">
        <v>27</v>
      </c>
      <c r="AC2863">
        <v>40.1539</v>
      </c>
      <c r="AD2863">
        <v>-1.1184455617439999</v>
      </c>
      <c r="AE2863">
        <v>2.0741000000000098</v>
      </c>
      <c r="AF2863">
        <v>0.52679197178783599</v>
      </c>
      <c r="AG2863">
        <v>-1.1184455617439999</v>
      </c>
      <c r="AH2863">
        <v>40.172890437519101</v>
      </c>
      <c r="AI2863">
        <v>91.594611583964607</v>
      </c>
      <c r="AJ2863">
        <v>89.248716572582495</v>
      </c>
      <c r="AK2863">
        <v>40.191909090773898</v>
      </c>
      <c r="AL2863">
        <v>82.048546737065394</v>
      </c>
      <c r="AM2863">
        <v>88.658972611443303</v>
      </c>
      <c r="AN2863">
        <v>1.00000002479929</v>
      </c>
    </row>
    <row r="2864" spans="1:40" x14ac:dyDescent="0.25">
      <c r="A2864" t="str">
        <f>"20190303162835011"</f>
        <v>20190303162835011</v>
      </c>
      <c r="B2864" t="str">
        <f>"1551601715004108"</f>
        <v>1551601715004108</v>
      </c>
      <c r="C2864" t="s">
        <v>40</v>
      </c>
      <c r="D2864">
        <v>5.3914070000000001</v>
      </c>
      <c r="E2864">
        <v>0.49972030000000001</v>
      </c>
      <c r="F2864" t="s">
        <v>49</v>
      </c>
      <c r="G2864">
        <v>-424.83210000000003</v>
      </c>
      <c r="H2864" s="1">
        <v>2.9257819999999999E-6</v>
      </c>
      <c r="I2864">
        <v>216.69450000000001</v>
      </c>
      <c r="J2864">
        <v>-470.72789999999998</v>
      </c>
      <c r="K2864">
        <v>1.1184829999999999</v>
      </c>
      <c r="L2864">
        <v>214.31190000000001</v>
      </c>
      <c r="M2864">
        <v>0.99807020000000002</v>
      </c>
      <c r="N2864">
        <v>-1.223715E-2</v>
      </c>
      <c r="O2864">
        <v>6.0877010000000002E-2</v>
      </c>
      <c r="P2864">
        <v>0.99074879999999999</v>
      </c>
      <c r="Q2864">
        <v>0.12952269999999999</v>
      </c>
      <c r="R2864">
        <v>4.0507260000000003E-2</v>
      </c>
      <c r="S2864">
        <v>3.0296630000000002</v>
      </c>
      <c r="T2864">
        <v>-7.3396920000000004E-2</v>
      </c>
      <c r="U2864">
        <v>0.15722659999999999</v>
      </c>
      <c r="V2864">
        <v>2.0819589999999999E-2</v>
      </c>
      <c r="W2864">
        <v>0.14151059999999999</v>
      </c>
      <c r="X2864">
        <v>0.98971779999999998</v>
      </c>
      <c r="Y2864">
        <v>9.0615799999999996E-3</v>
      </c>
      <c r="Z2864">
        <v>-8.9243489999999998E-4</v>
      </c>
      <c r="AA2864">
        <v>0.99995849999999997</v>
      </c>
      <c r="AB2864">
        <v>27</v>
      </c>
      <c r="AC2864">
        <v>45.895799999999902</v>
      </c>
      <c r="AD2864">
        <v>-1.1184800742180001</v>
      </c>
      <c r="AE2864">
        <v>2.3825999999999898</v>
      </c>
      <c r="AF2864">
        <v>0.41578192469189701</v>
      </c>
      <c r="AG2864">
        <v>-1.1184800742180001</v>
      </c>
      <c r="AH2864">
        <v>45.928516104725396</v>
      </c>
      <c r="AI2864">
        <v>91.394969945429494</v>
      </c>
      <c r="AJ2864">
        <v>89.481326618922296</v>
      </c>
      <c r="AK2864">
        <v>45.944014450930801</v>
      </c>
      <c r="AL2864">
        <v>81.864732526968893</v>
      </c>
      <c r="AM2864">
        <v>88.794910294106899</v>
      </c>
      <c r="AN2864">
        <v>1.00000001443848</v>
      </c>
    </row>
    <row r="2865" spans="1:40" x14ac:dyDescent="0.25">
      <c r="A2865" t="str">
        <f>"20190303162835036"</f>
        <v>20190303162835036</v>
      </c>
      <c r="B2865" t="str">
        <f>"1551601715024604"</f>
        <v>1551601715024604</v>
      </c>
      <c r="C2865" t="s">
        <v>40</v>
      </c>
      <c r="D2865">
        <v>5.300681</v>
      </c>
      <c r="E2865">
        <v>0.50023499999999999</v>
      </c>
      <c r="F2865" t="s">
        <v>49</v>
      </c>
      <c r="G2865">
        <v>-430.87520000000001</v>
      </c>
      <c r="H2865" s="1">
        <v>2.4906540000000001E-6</v>
      </c>
      <c r="I2865">
        <v>215.92529999999999</v>
      </c>
      <c r="J2865">
        <v>-470.4341</v>
      </c>
      <c r="K2865">
        <v>1.118557</v>
      </c>
      <c r="L2865">
        <v>214.3252</v>
      </c>
      <c r="M2865">
        <v>0.99830790000000003</v>
      </c>
      <c r="N2865">
        <v>-1.221645E-2</v>
      </c>
      <c r="O2865">
        <v>5.6851199999999998E-2</v>
      </c>
      <c r="P2865">
        <v>0.99059240000000004</v>
      </c>
      <c r="Q2865">
        <v>0.1314111</v>
      </c>
      <c r="R2865">
        <v>3.8179900000000003E-2</v>
      </c>
      <c r="S2865">
        <v>3.034119</v>
      </c>
      <c r="T2865">
        <v>-8.5153580000000006E-2</v>
      </c>
      <c r="U2865">
        <v>0.12283330000000001</v>
      </c>
      <c r="V2865">
        <v>1.912778E-2</v>
      </c>
      <c r="W2865">
        <v>0.1433895</v>
      </c>
      <c r="X2865">
        <v>0.98948139999999996</v>
      </c>
      <c r="Y2865">
        <v>1.6407120000000001E-2</v>
      </c>
      <c r="Z2865">
        <v>-1.2292010000000001E-3</v>
      </c>
      <c r="AA2865">
        <v>0.99986459999999999</v>
      </c>
      <c r="AB2865">
        <v>27</v>
      </c>
      <c r="AC2865">
        <v>39.558900000000001</v>
      </c>
      <c r="AD2865">
        <v>-1.1185545093459901</v>
      </c>
      <c r="AE2865">
        <v>1.6000999999999901</v>
      </c>
      <c r="AF2865">
        <v>0.65110738450517103</v>
      </c>
      <c r="AG2865">
        <v>-1.1185545093459901</v>
      </c>
      <c r="AH2865">
        <v>39.554312190890201</v>
      </c>
      <c r="AI2865">
        <v>91.619613617502694</v>
      </c>
      <c r="AJ2865">
        <v>89.056933768377206</v>
      </c>
      <c r="AK2865">
        <v>39.575481272006598</v>
      </c>
      <c r="AL2865">
        <v>81.755969619112904</v>
      </c>
      <c r="AM2865">
        <v>88.892546559003804</v>
      </c>
      <c r="AN2865">
        <v>0.99999993081196603</v>
      </c>
    </row>
    <row r="2866" spans="1:40" x14ac:dyDescent="0.25">
      <c r="A2866" t="str">
        <f>"20190303162835079"</f>
        <v>20190303162835079</v>
      </c>
      <c r="B2866" t="str">
        <f>"1551601715064620"</f>
        <v>1551601715064620</v>
      </c>
      <c r="C2866" t="s">
        <v>40</v>
      </c>
      <c r="D2866">
        <v>5.4456790000000002</v>
      </c>
      <c r="E2866">
        <v>0.50061880000000003</v>
      </c>
      <c r="F2866" t="s">
        <v>49</v>
      </c>
      <c r="G2866">
        <v>-430.25979999999998</v>
      </c>
      <c r="H2866" s="1">
        <v>2.2275840000000001E-6</v>
      </c>
      <c r="I2866">
        <v>215.81299999999999</v>
      </c>
      <c r="J2866">
        <v>-469.92290000000003</v>
      </c>
      <c r="K2866">
        <v>1.1187689999999999</v>
      </c>
      <c r="L2866">
        <v>214.346</v>
      </c>
      <c r="M2866">
        <v>0.99866319999999997</v>
      </c>
      <c r="N2866">
        <v>-1.218262E-2</v>
      </c>
      <c r="O2866">
        <v>5.023387E-2</v>
      </c>
      <c r="P2866">
        <v>0.98999630000000005</v>
      </c>
      <c r="Q2866">
        <v>0.13652210000000001</v>
      </c>
      <c r="R2866">
        <v>3.5624259999999998E-2</v>
      </c>
      <c r="S2866">
        <v>3.035339</v>
      </c>
      <c r="T2866">
        <v>-8.4511639999999999E-2</v>
      </c>
      <c r="U2866">
        <v>0.1124115</v>
      </c>
      <c r="V2866">
        <v>1.504781E-2</v>
      </c>
      <c r="W2866">
        <v>0.1484917</v>
      </c>
      <c r="X2866">
        <v>0.98879919999999999</v>
      </c>
      <c r="Y2866">
        <v>1.3227549999999999E-2</v>
      </c>
      <c r="Z2866">
        <v>-1.049733E-3</v>
      </c>
      <c r="AA2866">
        <v>0.99991200000000002</v>
      </c>
      <c r="AB2866">
        <v>27</v>
      </c>
      <c r="AC2866">
        <v>39.6631</v>
      </c>
      <c r="AD2866">
        <v>-1.118766772416</v>
      </c>
      <c r="AE2866">
        <v>1.4670000000000101</v>
      </c>
      <c r="AF2866">
        <v>0.52701249509690795</v>
      </c>
      <c r="AG2866">
        <v>-1.118766772416</v>
      </c>
      <c r="AH2866">
        <v>39.655208365449901</v>
      </c>
      <c r="AI2866">
        <v>91.615877532912293</v>
      </c>
      <c r="AJ2866">
        <v>89.238591462976004</v>
      </c>
      <c r="AK2866">
        <v>39.674487164528003</v>
      </c>
      <c r="AL2866">
        <v>81.460471864456906</v>
      </c>
      <c r="AM2866">
        <v>89.128124846352307</v>
      </c>
      <c r="AN2866">
        <v>1.0000000397376601</v>
      </c>
    </row>
    <row r="2867" spans="1:40" x14ac:dyDescent="0.25">
      <c r="A2867" t="str">
        <f>"20190303162835100"</f>
        <v>20190303162835100</v>
      </c>
      <c r="B2867" t="str">
        <f>"1551601715093899"</f>
        <v>1551601715093899</v>
      </c>
      <c r="C2867" t="s">
        <v>40</v>
      </c>
      <c r="D2867">
        <v>5.2219759999999997</v>
      </c>
      <c r="E2867">
        <v>0.50071659999999996</v>
      </c>
      <c r="F2867" t="s">
        <v>49</v>
      </c>
      <c r="G2867">
        <v>-426.9778</v>
      </c>
      <c r="H2867" s="1">
        <v>2.6271199999999999E-6</v>
      </c>
      <c r="I2867">
        <v>215.75729999999999</v>
      </c>
      <c r="J2867">
        <v>-469.6617</v>
      </c>
      <c r="K2867">
        <v>1.1189129999999901</v>
      </c>
      <c r="L2867">
        <v>214.35560000000001</v>
      </c>
      <c r="M2867">
        <v>0.99881549999999997</v>
      </c>
      <c r="N2867">
        <v>-1.216619E-2</v>
      </c>
      <c r="O2867">
        <v>4.7112710000000002E-2</v>
      </c>
      <c r="P2867">
        <v>0.98962439999999996</v>
      </c>
      <c r="Q2867">
        <v>0.13977699999999901</v>
      </c>
      <c r="R2867">
        <v>3.3260119999999997E-2</v>
      </c>
      <c r="S2867">
        <v>3.0376280000000002</v>
      </c>
      <c r="T2867">
        <v>-7.9133510000000004E-2</v>
      </c>
      <c r="U2867">
        <v>9.9822999999999995E-2</v>
      </c>
      <c r="V2867">
        <v>1.426696E-2</v>
      </c>
      <c r="W2867">
        <v>0.1517338</v>
      </c>
      <c r="X2867">
        <v>0.98831840000000004</v>
      </c>
      <c r="Y2867">
        <v>1.4271209999999999E-2</v>
      </c>
      <c r="Z2867">
        <v>-9.2562259999999996E-4</v>
      </c>
      <c r="AA2867">
        <v>0.9998977</v>
      </c>
      <c r="AB2867">
        <v>27</v>
      </c>
      <c r="AC2867">
        <v>42.683900000000001</v>
      </c>
      <c r="AD2867">
        <v>-1.1189103728799901</v>
      </c>
      <c r="AE2867">
        <v>1.40169999999997</v>
      </c>
      <c r="AF2867">
        <v>0.61054063397007796</v>
      </c>
      <c r="AG2867">
        <v>-1.1189103728799901</v>
      </c>
      <c r="AH2867">
        <v>42.673246620918</v>
      </c>
      <c r="AI2867">
        <v>91.501821522766605</v>
      </c>
      <c r="AJ2867">
        <v>89.180305748603701</v>
      </c>
      <c r="AK2867">
        <v>42.692279131687997</v>
      </c>
      <c r="AL2867">
        <v>81.272583598226106</v>
      </c>
      <c r="AM2867">
        <v>89.172959017333994</v>
      </c>
      <c r="AN2867">
        <v>0.99999997599432</v>
      </c>
    </row>
    <row r="2868" spans="1:40" x14ac:dyDescent="0.25">
      <c r="A2868" t="str">
        <f>"20190303162835122"</f>
        <v>20190303162835122</v>
      </c>
      <c r="B2868" t="str">
        <f>"1551601715114474"</f>
        <v>1551601715114474</v>
      </c>
      <c r="C2868" t="s">
        <v>40</v>
      </c>
      <c r="D2868">
        <v>5.4419240000000002</v>
      </c>
      <c r="E2868">
        <v>0.50130070000000004</v>
      </c>
      <c r="F2868" t="s">
        <v>49</v>
      </c>
      <c r="G2868">
        <v>-426.12090000000001</v>
      </c>
      <c r="H2868" s="1">
        <v>2.7861779999999999E-6</v>
      </c>
      <c r="I2868">
        <v>215.6763</v>
      </c>
      <c r="J2868">
        <v>-469.40309999999999</v>
      </c>
      <c r="K2868">
        <v>1.119065</v>
      </c>
      <c r="L2868">
        <v>214.36449999999999</v>
      </c>
      <c r="M2868">
        <v>0.99894799999999995</v>
      </c>
      <c r="N2868">
        <v>-1.2150909999999999E-2</v>
      </c>
      <c r="O2868">
        <v>4.4218680000000003E-2</v>
      </c>
      <c r="P2868">
        <v>0.98955360000000003</v>
      </c>
      <c r="Q2868">
        <v>0.1408567</v>
      </c>
      <c r="R2868">
        <v>3.0706979999999998E-2</v>
      </c>
      <c r="S2868">
        <v>3.0393979999999998</v>
      </c>
      <c r="T2868">
        <v>-7.8106399999999895E-2</v>
      </c>
      <c r="U2868">
        <v>9.2193600000000001E-2</v>
      </c>
      <c r="V2868">
        <v>1.389814E-2</v>
      </c>
      <c r="W2868">
        <v>0.1528031</v>
      </c>
      <c r="X2868">
        <v>0.98815889999999995</v>
      </c>
      <c r="Y2868">
        <v>1.390158E-2</v>
      </c>
      <c r="Z2868">
        <v>-8.6109779999999996E-4</v>
      </c>
      <c r="AA2868">
        <v>0.99990299999999999</v>
      </c>
      <c r="AB2868">
        <v>27</v>
      </c>
      <c r="AC2868">
        <v>43.282199999999897</v>
      </c>
      <c r="AD2868">
        <v>-1.1190622138220001</v>
      </c>
      <c r="AE2868">
        <v>1.3118000000000001</v>
      </c>
      <c r="AF2868">
        <v>0.60310351207045099</v>
      </c>
      <c r="AG2868">
        <v>-1.1190622138220001</v>
      </c>
      <c r="AH2868">
        <v>43.268970737014698</v>
      </c>
      <c r="AI2868">
        <v>91.481362447080002</v>
      </c>
      <c r="AJ2868">
        <v>89.2014358624604</v>
      </c>
      <c r="AK2868">
        <v>43.287640992843599</v>
      </c>
      <c r="AL2868">
        <v>81.210594394363994</v>
      </c>
      <c r="AM2868">
        <v>89.194206251408502</v>
      </c>
      <c r="AN2868">
        <v>0.99999997865713897</v>
      </c>
    </row>
    <row r="2869" spans="1:40" x14ac:dyDescent="0.25">
      <c r="A2869" t="str">
        <f>"20190303162835145"</f>
        <v>20190303162835145</v>
      </c>
      <c r="B2869" t="str">
        <f>"1551601715133995"</f>
        <v>1551601715133995</v>
      </c>
      <c r="C2869" t="s">
        <v>40</v>
      </c>
      <c r="D2869">
        <v>5.3569440000000004</v>
      </c>
      <c r="E2869">
        <v>0.51272859999999998</v>
      </c>
      <c r="F2869" t="s">
        <v>49</v>
      </c>
      <c r="G2869">
        <v>-427.21210000000002</v>
      </c>
      <c r="H2869" s="1">
        <v>2.6102060000000002E-6</v>
      </c>
      <c r="I2869">
        <v>215.4752</v>
      </c>
      <c r="J2869">
        <v>-469.13400000000001</v>
      </c>
      <c r="K2869">
        <v>1.119224</v>
      </c>
      <c r="L2869">
        <v>214.37309999999999</v>
      </c>
      <c r="M2869">
        <v>0.99906779999999995</v>
      </c>
      <c r="N2869">
        <v>-1.213624E-2</v>
      </c>
      <c r="O2869">
        <v>4.1430939999999999E-2</v>
      </c>
      <c r="P2869">
        <v>0.98955020000000005</v>
      </c>
      <c r="Q2869">
        <v>0.1413555</v>
      </c>
      <c r="R2869">
        <v>2.8444090000000002E-2</v>
      </c>
      <c r="S2869">
        <v>3.040619</v>
      </c>
      <c r="T2869">
        <v>-8.0648540000000005E-2</v>
      </c>
      <c r="U2869">
        <v>8.0047610000000005E-2</v>
      </c>
      <c r="V2869">
        <v>1.334112E-2</v>
      </c>
      <c r="W2869">
        <v>0.15329409999999999</v>
      </c>
      <c r="X2869">
        <v>0.98809049999999998</v>
      </c>
      <c r="Y2869">
        <v>1.511325E-2</v>
      </c>
      <c r="Z2869">
        <v>-8.8736969999999996E-4</v>
      </c>
      <c r="AA2869">
        <v>0.99988540000000004</v>
      </c>
      <c r="AB2869">
        <v>27</v>
      </c>
      <c r="AC2869">
        <v>41.921900000000001</v>
      </c>
      <c r="AD2869">
        <v>-1.119221389794</v>
      </c>
      <c r="AE2869">
        <v>1.1021000000000001</v>
      </c>
      <c r="AF2869">
        <v>0.63538526814044605</v>
      </c>
      <c r="AG2869">
        <v>-1.119221389794</v>
      </c>
      <c r="AH2869">
        <v>41.901717992519202</v>
      </c>
      <c r="AI2869">
        <v>91.529866911536899</v>
      </c>
      <c r="AJ2869">
        <v>89.131250314559495</v>
      </c>
      <c r="AK2869">
        <v>41.921478285992599</v>
      </c>
      <c r="AL2869">
        <v>81.182126536723004</v>
      </c>
      <c r="AM2869">
        <v>89.226443908573401</v>
      </c>
      <c r="AN2869">
        <v>0.99999995138395503</v>
      </c>
    </row>
    <row r="2870" spans="1:40" x14ac:dyDescent="0.25">
      <c r="A2870" t="str">
        <f>"20190303162835168"</f>
        <v>20190303162835168</v>
      </c>
      <c r="B2870" t="str">
        <f>"1551601715164250"</f>
        <v>1551601715164250</v>
      </c>
      <c r="C2870" t="s">
        <v>40</v>
      </c>
      <c r="D2870">
        <v>5.309069</v>
      </c>
      <c r="E2870">
        <v>0.52905930000000001</v>
      </c>
      <c r="F2870" t="s">
        <v>44</v>
      </c>
      <c r="G2870">
        <v>-468.17680000000001</v>
      </c>
      <c r="H2870">
        <v>1.051288</v>
      </c>
      <c r="I2870">
        <v>214.36689999999999</v>
      </c>
      <c r="J2870">
        <v>-468.86160000000001</v>
      </c>
      <c r="K2870">
        <v>1.1193789999999999</v>
      </c>
      <c r="L2870">
        <v>214.38130000000001</v>
      </c>
      <c r="M2870">
        <v>0.99917270000000002</v>
      </c>
      <c r="N2870">
        <v>-1.21227E-2</v>
      </c>
      <c r="O2870">
        <v>3.8819260000000001E-2</v>
      </c>
      <c r="P2870">
        <v>0.98963319999999999</v>
      </c>
      <c r="Q2870">
        <v>0.14127719999999999</v>
      </c>
      <c r="R2870">
        <v>2.5830499999999999E-2</v>
      </c>
      <c r="S2870">
        <v>3.0632929999999998</v>
      </c>
      <c r="T2870">
        <v>-0.21739649999999999</v>
      </c>
      <c r="U2870">
        <v>-1.9378659999999999E-2</v>
      </c>
      <c r="V2870">
        <v>1.3313210000000001E-2</v>
      </c>
      <c r="W2870">
        <v>0.15320739999999999</v>
      </c>
      <c r="X2870">
        <v>0.98810430000000005</v>
      </c>
      <c r="Y2870">
        <v>4.4943039999999997E-2</v>
      </c>
      <c r="Z2870">
        <v>-4.1463940000000003E-3</v>
      </c>
      <c r="AA2870">
        <v>0.99898089999999995</v>
      </c>
      <c r="AB2870">
        <v>27</v>
      </c>
      <c r="AC2870">
        <v>0.68479999999999497</v>
      </c>
      <c r="AD2870">
        <v>-6.8091000000000096E-2</v>
      </c>
      <c r="AE2870">
        <v>-1.44000000000232E-2</v>
      </c>
      <c r="AF2870">
        <v>4.0573565573435298E-2</v>
      </c>
      <c r="AG2870">
        <v>-6.8091000000000096E-2</v>
      </c>
      <c r="AH2870">
        <v>0.67703403398656403</v>
      </c>
      <c r="AI2870">
        <v>95.732851306139594</v>
      </c>
      <c r="AJ2870">
        <v>86.570457387168204</v>
      </c>
      <c r="AK2870">
        <v>0.68165803866782204</v>
      </c>
      <c r="AL2870">
        <v>81.187153257632801</v>
      </c>
      <c r="AM2870">
        <v>89.228072793429106</v>
      </c>
      <c r="AN2870">
        <v>0.99999992832687401</v>
      </c>
    </row>
    <row r="2871" spans="1:40" x14ac:dyDescent="0.25">
      <c r="A2871" t="str">
        <f>"20190303162835189"</f>
        <v>20190303162835189</v>
      </c>
      <c r="B2871" t="str">
        <f>"1551601715184746"</f>
        <v>1551601715184746</v>
      </c>
      <c r="C2871" t="s">
        <v>40</v>
      </c>
      <c r="D2871">
        <v>5.2603400000000002</v>
      </c>
      <c r="E2871">
        <v>0.52993829999999997</v>
      </c>
      <c r="F2871" t="s">
        <v>44</v>
      </c>
      <c r="G2871">
        <v>-468.01830000000001</v>
      </c>
      <c r="H2871">
        <v>0.89588699999999999</v>
      </c>
      <c r="I2871">
        <v>214.3372</v>
      </c>
      <c r="J2871">
        <v>-468.6078</v>
      </c>
      <c r="K2871">
        <v>1.1194949999999999</v>
      </c>
      <c r="L2871">
        <v>214.38849999999999</v>
      </c>
      <c r="M2871">
        <v>0.99925929999999996</v>
      </c>
      <c r="N2871">
        <v>-1.211135E-2</v>
      </c>
      <c r="O2871">
        <v>3.6531880000000003E-2</v>
      </c>
      <c r="P2871">
        <v>0.98962939999999999</v>
      </c>
      <c r="Q2871">
        <v>0.1419349</v>
      </c>
      <c r="R2871">
        <v>2.2107399999999999E-2</v>
      </c>
      <c r="S2871">
        <v>3.1549680000000002</v>
      </c>
      <c r="T2871">
        <v>-0.83571459999999997</v>
      </c>
      <c r="U2871">
        <v>-0.16226199999999999</v>
      </c>
      <c r="V2871">
        <v>1.4728659999999999E-2</v>
      </c>
      <c r="W2871">
        <v>0.15385009999999999</v>
      </c>
      <c r="X2871">
        <v>0.98798439999999998</v>
      </c>
      <c r="Y2871">
        <v>8.3654870000000006E-2</v>
      </c>
      <c r="Z2871">
        <v>-2.0473290000000002E-2</v>
      </c>
      <c r="AA2871">
        <v>0.99628439999999996</v>
      </c>
      <c r="AB2871">
        <v>27</v>
      </c>
      <c r="AC2871">
        <v>0.58949999999998604</v>
      </c>
      <c r="AD2871">
        <v>-0.223608</v>
      </c>
      <c r="AE2871">
        <v>-5.1299999999997598E-2</v>
      </c>
      <c r="AF2871">
        <v>6.3705653850357397E-2</v>
      </c>
      <c r="AG2871">
        <v>-0.223608</v>
      </c>
      <c r="AH2871">
        <v>0.51385354163851105</v>
      </c>
      <c r="AI2871">
        <v>113.357239174208</v>
      </c>
      <c r="AJ2871">
        <v>82.932743000725395</v>
      </c>
      <c r="AK2871">
        <v>0.56400745584694401</v>
      </c>
      <c r="AL2871">
        <v>81.149887906917201</v>
      </c>
      <c r="AM2871">
        <v>89.145910048522296</v>
      </c>
      <c r="AN2871">
        <v>0.999999980669382</v>
      </c>
    </row>
    <row r="2872" spans="1:40" x14ac:dyDescent="0.25">
      <c r="A2872" t="str">
        <f>"20190303162835213"</f>
        <v>20190303162835213</v>
      </c>
      <c r="B2872" t="str">
        <f>"1551601715204267"</f>
        <v>1551601715204267</v>
      </c>
      <c r="C2872" t="s">
        <v>40</v>
      </c>
      <c r="D2872">
        <v>5.2740549999999997</v>
      </c>
      <c r="E2872">
        <v>0.53028940000000002</v>
      </c>
      <c r="F2872" t="s">
        <v>44</v>
      </c>
      <c r="G2872">
        <v>-467.78640000000001</v>
      </c>
      <c r="H2872">
        <v>0.88027219999999995</v>
      </c>
      <c r="I2872">
        <v>214.34129999999999</v>
      </c>
      <c r="J2872">
        <v>-468.32859999999999</v>
      </c>
      <c r="K2872">
        <v>1.119594</v>
      </c>
      <c r="L2872">
        <v>214.39590000000001</v>
      </c>
      <c r="M2872">
        <v>0.99934339999999999</v>
      </c>
      <c r="N2872">
        <v>-1.210025E-2</v>
      </c>
      <c r="O2872">
        <v>3.4155230000000002E-2</v>
      </c>
      <c r="P2872">
        <v>0.98941389999999996</v>
      </c>
      <c r="Q2872">
        <v>0.1439655</v>
      </c>
      <c r="R2872">
        <v>1.8285300000000001E-2</v>
      </c>
      <c r="S2872">
        <v>3.1677550000000001</v>
      </c>
      <c r="T2872">
        <v>-0.9225044</v>
      </c>
      <c r="U2872">
        <v>-0.181427</v>
      </c>
      <c r="V2872">
        <v>1.6159719999999999E-2</v>
      </c>
      <c r="W2872">
        <v>0.15586259999999999</v>
      </c>
      <c r="X2872">
        <v>0.98764660000000004</v>
      </c>
      <c r="Y2872">
        <v>8.6221430000000002E-2</v>
      </c>
      <c r="Z2872">
        <v>-2.215547E-2</v>
      </c>
      <c r="AA2872">
        <v>0.99602959999999996</v>
      </c>
      <c r="AB2872">
        <v>27</v>
      </c>
      <c r="AC2872">
        <v>0.54219999999997903</v>
      </c>
      <c r="AD2872">
        <v>-0.2393218</v>
      </c>
      <c r="AE2872">
        <v>-5.4600000000021902E-2</v>
      </c>
      <c r="AF2872">
        <v>6.1271124409427197E-2</v>
      </c>
      <c r="AG2872">
        <v>-0.2393218</v>
      </c>
      <c r="AH2872">
        <v>0.452705490639012</v>
      </c>
      <c r="AI2872">
        <v>117.64876157550999</v>
      </c>
      <c r="AJ2872">
        <v>82.292177194492595</v>
      </c>
      <c r="AK2872">
        <v>0.51572408892385901</v>
      </c>
      <c r="AL2872">
        <v>81.033172780605298</v>
      </c>
      <c r="AM2872">
        <v>89.062619013099706</v>
      </c>
      <c r="AN2872">
        <v>1.00000004656039</v>
      </c>
    </row>
    <row r="2873" spans="1:40" x14ac:dyDescent="0.25">
      <c r="A2873" t="str">
        <f>"20190303162835236"</f>
        <v>20190303162835236</v>
      </c>
      <c r="B2873" t="str">
        <f>"1551601715224762"</f>
        <v>1551601715224762</v>
      </c>
      <c r="C2873" t="s">
        <v>40</v>
      </c>
      <c r="D2873">
        <v>5.2213039999999999</v>
      </c>
      <c r="E2873">
        <v>0.53050359999999996</v>
      </c>
      <c r="F2873" t="s">
        <v>44</v>
      </c>
      <c r="G2873">
        <v>-467.54539999999997</v>
      </c>
      <c r="H2873">
        <v>0.8875402</v>
      </c>
      <c r="I2873">
        <v>214.3477</v>
      </c>
      <c r="J2873">
        <v>-468.05149999999998</v>
      </c>
      <c r="K2873">
        <v>1.1196740000000001</v>
      </c>
      <c r="L2873">
        <v>214.40270000000001</v>
      </c>
      <c r="M2873">
        <v>0.99941789999999997</v>
      </c>
      <c r="N2873">
        <v>-1.2090429999999999E-2</v>
      </c>
      <c r="O2873">
        <v>3.1905280000000001E-2</v>
      </c>
      <c r="P2873">
        <v>0.98930499999999999</v>
      </c>
      <c r="Q2873">
        <v>0.1449172</v>
      </c>
      <c r="R2873">
        <v>1.658196E-2</v>
      </c>
      <c r="S2873">
        <v>3.1724239999999999</v>
      </c>
      <c r="T2873">
        <v>-0.93979230000000002</v>
      </c>
      <c r="U2873">
        <v>-0.19422909999999999</v>
      </c>
      <c r="V2873">
        <v>1.5607340000000001E-2</v>
      </c>
      <c r="W2873">
        <v>0.1568078</v>
      </c>
      <c r="X2873">
        <v>0.98750579999999999</v>
      </c>
      <c r="Y2873">
        <v>8.77521E-2</v>
      </c>
      <c r="Z2873">
        <v>-2.2123960000000002E-2</v>
      </c>
      <c r="AA2873">
        <v>0.99589660000000002</v>
      </c>
      <c r="AB2873">
        <v>27</v>
      </c>
      <c r="AC2873">
        <v>0.50610000000000299</v>
      </c>
      <c r="AD2873">
        <v>-0.2321338</v>
      </c>
      <c r="AE2873">
        <v>-5.50000000000068E-2</v>
      </c>
      <c r="AF2873">
        <v>5.8878226213167899E-2</v>
      </c>
      <c r="AG2873">
        <v>-0.2321338</v>
      </c>
      <c r="AH2873">
        <v>0.41731706126362</v>
      </c>
      <c r="AI2873">
        <v>118.84587846654</v>
      </c>
      <c r="AJ2873">
        <v>81.969286657812603</v>
      </c>
      <c r="AK2873">
        <v>0.48115099111001902</v>
      </c>
      <c r="AL2873">
        <v>80.978342108239502</v>
      </c>
      <c r="AM2873">
        <v>89.094526568823099</v>
      </c>
      <c r="AN2873">
        <v>0.99999999011817697</v>
      </c>
    </row>
    <row r="2874" spans="1:40" x14ac:dyDescent="0.25">
      <c r="A2874" t="str">
        <f>"20190303162835260"</f>
        <v>20190303162835260</v>
      </c>
      <c r="B2874" t="str">
        <f>"1551601715254042"</f>
        <v>1551601715254042</v>
      </c>
      <c r="C2874" t="s">
        <v>40</v>
      </c>
      <c r="D2874">
        <v>5.1845080000000001</v>
      </c>
      <c r="E2874">
        <v>0.53082700000000005</v>
      </c>
      <c r="F2874" t="s">
        <v>44</v>
      </c>
      <c r="G2874">
        <v>-467.3032</v>
      </c>
      <c r="H2874">
        <v>0.89761939999999996</v>
      </c>
      <c r="I2874">
        <v>214.35560000000001</v>
      </c>
      <c r="J2874">
        <v>-467.76409999999998</v>
      </c>
      <c r="K2874">
        <v>1.11972</v>
      </c>
      <c r="L2874">
        <v>214.4093</v>
      </c>
      <c r="M2874">
        <v>0.99948780000000004</v>
      </c>
      <c r="N2874">
        <v>-1.208148E-2</v>
      </c>
      <c r="O2874">
        <v>2.9642129999999999E-2</v>
      </c>
      <c r="P2874">
        <v>0.98955970000000004</v>
      </c>
      <c r="Q2874">
        <v>0.1433141</v>
      </c>
      <c r="R2874">
        <v>1.525992E-2</v>
      </c>
      <c r="S2874">
        <v>3.173737</v>
      </c>
      <c r="T2874">
        <v>-0.94157769999999996</v>
      </c>
      <c r="U2874">
        <v>-0.19908139999999999</v>
      </c>
      <c r="V2874">
        <v>1.4669669999999999E-2</v>
      </c>
      <c r="W2874">
        <v>0.15520499999999901</v>
      </c>
      <c r="X2874">
        <v>0.98777340000000002</v>
      </c>
      <c r="Y2874">
        <v>8.7093699999999996E-2</v>
      </c>
      <c r="Z2874">
        <v>-2.1424749999999999E-2</v>
      </c>
      <c r="AA2874">
        <v>0.99596969999999996</v>
      </c>
      <c r="AB2874">
        <v>27</v>
      </c>
      <c r="AC2874">
        <v>0.46089999999998099</v>
      </c>
      <c r="AD2874">
        <v>-0.22210060000000001</v>
      </c>
      <c r="AE2874">
        <v>-5.3699999999991997E-2</v>
      </c>
      <c r="AF2874">
        <v>5.4787489055032203E-2</v>
      </c>
      <c r="AG2874">
        <v>-0.22210060000000001</v>
      </c>
      <c r="AH2874">
        <v>0.37352902985610198</v>
      </c>
      <c r="AI2874">
        <v>120.46855497264799</v>
      </c>
      <c r="AJ2874">
        <v>81.655623197108397</v>
      </c>
      <c r="AK2874">
        <v>0.438011736854797</v>
      </c>
      <c r="AL2874">
        <v>81.071314594323496</v>
      </c>
      <c r="AM2874">
        <v>89.149148588309899</v>
      </c>
      <c r="AN2874">
        <v>1.0000000404952301</v>
      </c>
    </row>
    <row r="2875" spans="1:40" x14ac:dyDescent="0.25">
      <c r="A2875" t="str">
        <f>"20190303162835281"</f>
        <v>20190303162835281</v>
      </c>
      <c r="B2875" t="str">
        <f>"1551601715274539"</f>
        <v>1551601715274539</v>
      </c>
      <c r="C2875" t="s">
        <v>40</v>
      </c>
      <c r="D2875">
        <v>5.208005</v>
      </c>
      <c r="E2875">
        <v>0.53105259999999999</v>
      </c>
      <c r="F2875" t="s">
        <v>44</v>
      </c>
      <c r="G2875">
        <v>-467.05990000000003</v>
      </c>
      <c r="H2875">
        <v>0.90948399999999996</v>
      </c>
      <c r="I2875">
        <v>214.3631</v>
      </c>
      <c r="J2875">
        <v>-467.51010000000002</v>
      </c>
      <c r="K2875">
        <v>1.1197280000000001</v>
      </c>
      <c r="L2875">
        <v>214.4145</v>
      </c>
      <c r="M2875">
        <v>0.99954419999999999</v>
      </c>
      <c r="N2875">
        <v>-1.207477E-2</v>
      </c>
      <c r="O2875">
        <v>2.7669510000000001E-2</v>
      </c>
      <c r="P2875">
        <v>0.99024999999999996</v>
      </c>
      <c r="Q2875">
        <v>0.13865420000000001</v>
      </c>
      <c r="R2875">
        <v>1.342313E-2</v>
      </c>
      <c r="S2875">
        <v>3.1719360000000001</v>
      </c>
      <c r="T2875">
        <v>-0.94666050000000002</v>
      </c>
      <c r="U2875">
        <v>-0.20642089999999999</v>
      </c>
      <c r="V2875">
        <v>1.454283E-2</v>
      </c>
      <c r="W2875">
        <v>0.1505483</v>
      </c>
      <c r="X2875">
        <v>0.98849569999999998</v>
      </c>
      <c r="Y2875">
        <v>8.7463009999999994E-2</v>
      </c>
      <c r="Z2875">
        <v>-2.104878E-2</v>
      </c>
      <c r="AA2875">
        <v>0.99594539999999998</v>
      </c>
      <c r="AB2875">
        <v>27</v>
      </c>
      <c r="AC2875">
        <v>0.45019999999999499</v>
      </c>
      <c r="AD2875">
        <v>-0.21024399999999999</v>
      </c>
      <c r="AE2875">
        <v>-5.1400000000000903E-2</v>
      </c>
      <c r="AF2875">
        <v>5.2529317780373397E-2</v>
      </c>
      <c r="AG2875">
        <v>-0.21024399999999999</v>
      </c>
      <c r="AH2875">
        <v>0.36913617873823601</v>
      </c>
      <c r="AI2875">
        <v>119.417609819517</v>
      </c>
      <c r="AJ2875">
        <v>81.900995000169203</v>
      </c>
      <c r="AK2875">
        <v>0.42804601062962699</v>
      </c>
      <c r="AL2875">
        <v>81.341297472972997</v>
      </c>
      <c r="AM2875">
        <v>89.157120590606894</v>
      </c>
      <c r="AN2875">
        <v>1.00000001672789</v>
      </c>
    </row>
    <row r="2876" spans="1:40" x14ac:dyDescent="0.25">
      <c r="A2876" t="str">
        <f>"20190303162835300"</f>
        <v>20190303162835300</v>
      </c>
      <c r="B2876" t="str">
        <f>"1551601715294059"</f>
        <v>1551601715294059</v>
      </c>
      <c r="C2876" t="s">
        <v>40</v>
      </c>
      <c r="D2876">
        <v>5.1765990000000004</v>
      </c>
      <c r="E2876">
        <v>0.53111260000000005</v>
      </c>
      <c r="F2876" t="s">
        <v>44</v>
      </c>
      <c r="G2876">
        <v>-466.82119999999998</v>
      </c>
      <c r="H2876">
        <v>0.91066469999999999</v>
      </c>
      <c r="I2876">
        <v>214.36760000000001</v>
      </c>
      <c r="J2876">
        <v>-467.27499999999998</v>
      </c>
      <c r="K2876">
        <v>1.1197250000000001</v>
      </c>
      <c r="L2876">
        <v>214.41900000000001</v>
      </c>
      <c r="M2876">
        <v>0.99959310000000001</v>
      </c>
      <c r="N2876">
        <v>-1.2069689999999999E-2</v>
      </c>
      <c r="O2876">
        <v>2.584929E-2</v>
      </c>
      <c r="P2876">
        <v>0.99076220000000004</v>
      </c>
      <c r="Q2876">
        <v>0.13513059999999999</v>
      </c>
      <c r="R2876">
        <v>1.14074E-2</v>
      </c>
      <c r="S2876">
        <v>3.167084</v>
      </c>
      <c r="T2876">
        <v>-0.96102790000000005</v>
      </c>
      <c r="U2876">
        <v>-0.215332</v>
      </c>
      <c r="V2876">
        <v>1.474922E-2</v>
      </c>
      <c r="W2876">
        <v>0.1470255</v>
      </c>
      <c r="X2876">
        <v>0.98902270000000003</v>
      </c>
      <c r="Y2876">
        <v>8.8404769999999994E-2</v>
      </c>
      <c r="Z2876">
        <v>-2.1008499999999999E-2</v>
      </c>
      <c r="AA2876">
        <v>0.9958631</v>
      </c>
      <c r="AB2876">
        <v>27</v>
      </c>
      <c r="AC2876">
        <v>0.45380000000000098</v>
      </c>
      <c r="AD2876">
        <v>-0.2090603</v>
      </c>
      <c r="AE2876">
        <v>-5.1400000000000903E-2</v>
      </c>
      <c r="AF2876">
        <v>5.2180006863370598E-2</v>
      </c>
      <c r="AG2876">
        <v>-0.2090603</v>
      </c>
      <c r="AH2876">
        <v>0.37395836487715201</v>
      </c>
      <c r="AI2876">
        <v>118.97255032509101</v>
      </c>
      <c r="AJ2876">
        <v>82.0565627701653</v>
      </c>
      <c r="AK2876">
        <v>0.43159450971246699</v>
      </c>
      <c r="AL2876">
        <v>81.545410681103803</v>
      </c>
      <c r="AM2876">
        <v>89.145615748675496</v>
      </c>
      <c r="AN2876">
        <v>0.99999996912807299</v>
      </c>
    </row>
    <row r="2877" spans="1:40" x14ac:dyDescent="0.25">
      <c r="A2877" t="str">
        <f>"20190303162835323"</f>
        <v>20190303162835323</v>
      </c>
      <c r="B2877" t="str">
        <f>"1551601715314555"</f>
        <v>1551601715314555</v>
      </c>
      <c r="C2877" t="s">
        <v>40</v>
      </c>
      <c r="D2877">
        <v>5.1901549999999999</v>
      </c>
      <c r="E2877">
        <v>0.53132219999999997</v>
      </c>
      <c r="F2877" t="s">
        <v>44</v>
      </c>
      <c r="G2877">
        <v>-466.58440000000002</v>
      </c>
      <c r="H2877">
        <v>0.90761049999999999</v>
      </c>
      <c r="I2877">
        <v>214.3699</v>
      </c>
      <c r="J2877">
        <v>-467.01010000000002</v>
      </c>
      <c r="K2877">
        <v>1.119718</v>
      </c>
      <c r="L2877">
        <v>214.42349999999999</v>
      </c>
      <c r="M2877">
        <v>0.99964419999999998</v>
      </c>
      <c r="N2877">
        <v>-1.205988E-2</v>
      </c>
      <c r="O2877">
        <v>2.3794409999999998E-2</v>
      </c>
      <c r="P2877">
        <v>0.99107109999999998</v>
      </c>
      <c r="Q2877">
        <v>0.13300909999999999</v>
      </c>
      <c r="R2877">
        <v>9.3183239999999994E-3</v>
      </c>
      <c r="S2877">
        <v>3.1630250000000002</v>
      </c>
      <c r="T2877">
        <v>-0.97128110000000001</v>
      </c>
      <c r="U2877">
        <v>-0.22334290000000001</v>
      </c>
      <c r="V2877">
        <v>1.479784E-2</v>
      </c>
      <c r="W2877">
        <v>0.144898</v>
      </c>
      <c r="X2877">
        <v>0.98933599999999999</v>
      </c>
      <c r="Y2877">
        <v>8.8897820000000002E-2</v>
      </c>
      <c r="Z2877">
        <v>-2.0729709999999998E-2</v>
      </c>
      <c r="AA2877">
        <v>0.99582499999999996</v>
      </c>
      <c r="AB2877">
        <v>27</v>
      </c>
      <c r="AC2877">
        <v>0.42570000000000602</v>
      </c>
      <c r="AD2877">
        <v>-0.21210749999999901</v>
      </c>
      <c r="AE2877">
        <v>-5.3599999999988698E-2</v>
      </c>
      <c r="AF2877">
        <v>5.1201888862244201E-2</v>
      </c>
      <c r="AG2877">
        <v>-0.21210749999999901</v>
      </c>
      <c r="AH2877">
        <v>0.34097497314127601</v>
      </c>
      <c r="AI2877">
        <v>121.598365335591</v>
      </c>
      <c r="AJ2877">
        <v>81.460090392561497</v>
      </c>
      <c r="AK2877">
        <v>0.40481496672925199</v>
      </c>
      <c r="AL2877">
        <v>81.668627893253898</v>
      </c>
      <c r="AM2877">
        <v>89.143071152268604</v>
      </c>
      <c r="AN2877">
        <v>1.00000006368433</v>
      </c>
    </row>
    <row r="2878" spans="1:40" x14ac:dyDescent="0.25">
      <c r="A2878" t="str">
        <f>"20190303162835345"</f>
        <v>20190303162835345</v>
      </c>
      <c r="B2878" t="str">
        <f>"1551601715334075"</f>
        <v>1551601715334075</v>
      </c>
      <c r="C2878" t="s">
        <v>40</v>
      </c>
      <c r="D2878">
        <v>5.1801969999999997</v>
      </c>
      <c r="E2878">
        <v>0.53141369999999999</v>
      </c>
      <c r="F2878" t="s">
        <v>44</v>
      </c>
      <c r="G2878">
        <v>-466.13260000000002</v>
      </c>
      <c r="H2878">
        <v>0.84594309999999995</v>
      </c>
      <c r="I2878">
        <v>214.35830000000001</v>
      </c>
      <c r="J2878">
        <v>-466.74169999999998</v>
      </c>
      <c r="K2878">
        <v>1.1197109999999999</v>
      </c>
      <c r="L2878">
        <v>214.42750000000001</v>
      </c>
      <c r="M2878">
        <v>0.99969209999999997</v>
      </c>
      <c r="N2878">
        <v>-1.2045760000000001E-2</v>
      </c>
      <c r="O2878">
        <v>2.170211E-2</v>
      </c>
      <c r="P2878">
        <v>0.99126820000000004</v>
      </c>
      <c r="Q2878">
        <v>0.13166459999999999</v>
      </c>
      <c r="R2878">
        <v>7.23897E-3</v>
      </c>
      <c r="S2878">
        <v>3.1615600000000001</v>
      </c>
      <c r="T2878">
        <v>-0.98615909999999996</v>
      </c>
      <c r="U2878">
        <v>-0.23371890000000001</v>
      </c>
      <c r="V2878">
        <v>1.4801770000000001E-2</v>
      </c>
      <c r="W2878">
        <v>0.1435419</v>
      </c>
      <c r="X2878">
        <v>0.98953349999999995</v>
      </c>
      <c r="Y2878">
        <v>8.9975540000000007E-2</v>
      </c>
      <c r="Z2878">
        <v>-2.0594769999999998E-2</v>
      </c>
      <c r="AA2878">
        <v>0.99573100000000003</v>
      </c>
      <c r="AB2878">
        <v>27</v>
      </c>
      <c r="AC2878">
        <v>0.60909999999995501</v>
      </c>
      <c r="AD2878">
        <v>-0.27376790000000001</v>
      </c>
      <c r="AE2878">
        <v>-6.9199999999995002E-2</v>
      </c>
      <c r="AF2878">
        <v>6.8701415495630705E-2</v>
      </c>
      <c r="AG2878">
        <v>-0.27376790000000001</v>
      </c>
      <c r="AH2878">
        <v>0.50644739259917104</v>
      </c>
      <c r="AI2878">
        <v>118.176138561537</v>
      </c>
      <c r="AJ2878">
        <v>82.274776797380497</v>
      </c>
      <c r="AK2878">
        <v>0.57979109085256997</v>
      </c>
      <c r="AL2878">
        <v>81.747146699159003</v>
      </c>
      <c r="AM2878">
        <v>89.143014657124198</v>
      </c>
      <c r="AN2878">
        <v>0.99999995853649504</v>
      </c>
    </row>
    <row r="2879" spans="1:40" x14ac:dyDescent="0.25">
      <c r="A2879" t="str">
        <f>"20190303162835370"</f>
        <v>20190303162835370</v>
      </c>
      <c r="B2879" t="str">
        <f>"1551601715364333"</f>
        <v>1551601715364333</v>
      </c>
      <c r="C2879" t="s">
        <v>40</v>
      </c>
      <c r="D2879">
        <v>5.1416839999999997</v>
      </c>
      <c r="E2879">
        <v>0.53149809999999997</v>
      </c>
      <c r="F2879" t="s">
        <v>44</v>
      </c>
      <c r="G2879">
        <v>-465.89249999999998</v>
      </c>
      <c r="H2879">
        <v>0.8505625</v>
      </c>
      <c r="I2879">
        <v>214.36240000000001</v>
      </c>
      <c r="J2879">
        <v>-466.4588</v>
      </c>
      <c r="K2879">
        <v>1.119712</v>
      </c>
      <c r="L2879">
        <v>214.43109999999999</v>
      </c>
      <c r="M2879">
        <v>0.99973789999999996</v>
      </c>
      <c r="N2879">
        <v>-1.2029710000000001E-2</v>
      </c>
      <c r="O2879">
        <v>1.948447E-2</v>
      </c>
      <c r="P2879">
        <v>0.99125799999999997</v>
      </c>
      <c r="Q2879">
        <v>0.13184219999999999</v>
      </c>
      <c r="R2879">
        <v>5.0273569999999997E-3</v>
      </c>
      <c r="S2879">
        <v>3.1612550000000001</v>
      </c>
      <c r="T2879">
        <v>-1.0017830000000001</v>
      </c>
      <c r="U2879">
        <v>-0.2416382</v>
      </c>
      <c r="V2879">
        <v>1.4815999999999999E-2</v>
      </c>
      <c r="W2879">
        <v>0.14370279999999999</v>
      </c>
      <c r="X2879">
        <v>0.98951</v>
      </c>
      <c r="Y2879">
        <v>9.0178679999999997E-2</v>
      </c>
      <c r="Z2879">
        <v>-2.0275310000000001E-2</v>
      </c>
      <c r="AA2879">
        <v>0.99571920000000003</v>
      </c>
      <c r="AB2879">
        <v>27</v>
      </c>
      <c r="AC2879">
        <v>0.56630000000001202</v>
      </c>
      <c r="AD2879">
        <v>-0.26914949999999999</v>
      </c>
      <c r="AE2879">
        <v>-6.8699999999978403E-2</v>
      </c>
      <c r="AF2879">
        <v>6.5206125641868007E-2</v>
      </c>
      <c r="AG2879">
        <v>-0.26914949999999999</v>
      </c>
      <c r="AH2879">
        <v>0.46200567124527903</v>
      </c>
      <c r="AI2879">
        <v>119.978520101391</v>
      </c>
      <c r="AJ2879">
        <v>81.966502810978497</v>
      </c>
      <c r="AK2879">
        <v>0.53864880249961899</v>
      </c>
      <c r="AL2879">
        <v>81.737831777845003</v>
      </c>
      <c r="AM2879">
        <v>89.142170529705396</v>
      </c>
      <c r="AN2879">
        <v>1.00000002434191</v>
      </c>
    </row>
    <row r="2880" spans="1:40" x14ac:dyDescent="0.25">
      <c r="A2880" t="str">
        <f>"20190303162835389"</f>
        <v>20190303162835389</v>
      </c>
      <c r="B2880" t="str">
        <f>"1551601715383851"</f>
        <v>1551601715383851</v>
      </c>
      <c r="C2880" t="s">
        <v>40</v>
      </c>
      <c r="D2880">
        <v>5.0870980000000001</v>
      </c>
      <c r="E2880">
        <v>0.53135069999999995</v>
      </c>
      <c r="F2880" t="s">
        <v>44</v>
      </c>
      <c r="G2880">
        <v>-465.65019999999998</v>
      </c>
      <c r="H2880">
        <v>0.86075100000000004</v>
      </c>
      <c r="I2880">
        <v>214.3672</v>
      </c>
      <c r="J2880">
        <v>-466.22129999999999</v>
      </c>
      <c r="K2880">
        <v>1.119704</v>
      </c>
      <c r="L2880">
        <v>214.43369999999999</v>
      </c>
      <c r="M2880">
        <v>0.99977269999999896</v>
      </c>
      <c r="N2880">
        <v>-1.201285E-2</v>
      </c>
      <c r="O2880">
        <v>1.7613589999999998E-2</v>
      </c>
      <c r="P2880">
        <v>0.99103189999999997</v>
      </c>
      <c r="Q2880">
        <v>0.13358239999999999</v>
      </c>
      <c r="R2880">
        <v>3.4117140000000002E-3</v>
      </c>
      <c r="S2880">
        <v>3.1623839999999999</v>
      </c>
      <c r="T2880">
        <v>-1.012532</v>
      </c>
      <c r="U2880">
        <v>-0.2485504</v>
      </c>
      <c r="V2880">
        <v>1.458021E-2</v>
      </c>
      <c r="W2880">
        <v>0.14542449999999901</v>
      </c>
      <c r="X2880">
        <v>0.98926190000000003</v>
      </c>
      <c r="Y2880">
        <v>9.0417529999999996E-2</v>
      </c>
      <c r="Z2880">
        <v>-1.9947759999999998E-2</v>
      </c>
      <c r="AA2880">
        <v>0.99570420000000004</v>
      </c>
      <c r="AB2880">
        <v>27</v>
      </c>
      <c r="AC2880">
        <v>0.57110000000000105</v>
      </c>
      <c r="AD2880">
        <v>-0.25895299999999999</v>
      </c>
      <c r="AE2880">
        <v>-6.6499999999990594E-2</v>
      </c>
      <c r="AF2880">
        <v>6.3640286305222699E-2</v>
      </c>
      <c r="AG2880">
        <v>-0.25895299999999999</v>
      </c>
      <c r="AH2880">
        <v>0.47374270283134701</v>
      </c>
      <c r="AI2880">
        <v>118.44638840715101</v>
      </c>
      <c r="AJ2880">
        <v>82.348968077291403</v>
      </c>
      <c r="AK2880">
        <v>0.54363488734256304</v>
      </c>
      <c r="AL2880">
        <v>81.638138082343602</v>
      </c>
      <c r="AM2880">
        <v>89.155608825965899</v>
      </c>
      <c r="AN2880">
        <v>0.99999998725775197</v>
      </c>
    </row>
    <row r="2881" spans="1:40" x14ac:dyDescent="0.25">
      <c r="A2881" t="str">
        <f>"20190303162835413"</f>
        <v>20190303162835413</v>
      </c>
      <c r="B2881" t="str">
        <f>"1551601715404346"</f>
        <v>1551601715404346</v>
      </c>
      <c r="C2881" t="s">
        <v>40</v>
      </c>
      <c r="D2881">
        <v>5.0872979999999997</v>
      </c>
      <c r="E2881">
        <v>0.53124959999999999</v>
      </c>
      <c r="F2881" t="s">
        <v>44</v>
      </c>
      <c r="G2881">
        <v>-465.4117</v>
      </c>
      <c r="H2881">
        <v>0.86122180000000004</v>
      </c>
      <c r="I2881">
        <v>214.36920000000001</v>
      </c>
      <c r="J2881">
        <v>-465.94490000000002</v>
      </c>
      <c r="K2881">
        <v>1.119699</v>
      </c>
      <c r="L2881">
        <v>214.43610000000001</v>
      </c>
      <c r="M2881">
        <v>0.99980919999999895</v>
      </c>
      <c r="N2881">
        <v>-1.1990839999999999E-2</v>
      </c>
      <c r="O2881">
        <v>1.542613E-2</v>
      </c>
      <c r="P2881">
        <v>0.99085380000000001</v>
      </c>
      <c r="Q2881">
        <v>0.13491259999999999</v>
      </c>
      <c r="R2881">
        <v>2.75742E-3</v>
      </c>
      <c r="S2881">
        <v>3.1641539999999999</v>
      </c>
      <c r="T2881">
        <v>-1.0100260000000001</v>
      </c>
      <c r="U2881">
        <v>-0.25109860000000001</v>
      </c>
      <c r="V2881">
        <v>1.3070139999999999E-2</v>
      </c>
      <c r="W2881">
        <v>0.1467359</v>
      </c>
      <c r="X2881">
        <v>0.98908940000000001</v>
      </c>
      <c r="Y2881">
        <v>8.9189190000000002E-2</v>
      </c>
      <c r="Z2881">
        <v>-1.9036379999999999E-2</v>
      </c>
      <c r="AA2881">
        <v>0.99583270000000002</v>
      </c>
      <c r="AB2881">
        <v>27</v>
      </c>
      <c r="AC2881">
        <v>0.53320000000002199</v>
      </c>
      <c r="AD2881">
        <v>-0.25847720000000002</v>
      </c>
      <c r="AE2881">
        <v>-6.6900000000003901E-2</v>
      </c>
      <c r="AF2881">
        <v>6.1004166897056802E-2</v>
      </c>
      <c r="AG2881">
        <v>-0.25847720000000002</v>
      </c>
      <c r="AH2881">
        <v>0.43212888980762199</v>
      </c>
      <c r="AI2881">
        <v>120.637227568467</v>
      </c>
      <c r="AJ2881">
        <v>81.964583685149904</v>
      </c>
      <c r="AK2881">
        <v>0.50721528831947904</v>
      </c>
      <c r="AL2881">
        <v>81.562186137546405</v>
      </c>
      <c r="AM2881">
        <v>89.242919521931995</v>
      </c>
      <c r="AN2881">
        <v>1.00000004705039</v>
      </c>
    </row>
    <row r="2882" spans="1:40" x14ac:dyDescent="0.25">
      <c r="A2882" t="str">
        <f>"20190303162835436"</f>
        <v>20190303162835436</v>
      </c>
      <c r="B2882" t="str">
        <f>"1551601715423867"</f>
        <v>1551601715423867</v>
      </c>
      <c r="C2882" t="s">
        <v>40</v>
      </c>
      <c r="D2882">
        <v>5.0647510000000002</v>
      </c>
      <c r="E2882">
        <v>0.53112910000000002</v>
      </c>
      <c r="F2882" t="s">
        <v>44</v>
      </c>
      <c r="G2882">
        <v>-465.16879999999998</v>
      </c>
      <c r="H2882">
        <v>0.87259449999999905</v>
      </c>
      <c r="I2882">
        <v>214.3742</v>
      </c>
      <c r="J2882">
        <v>-465.66019999999997</v>
      </c>
      <c r="K2882">
        <v>1.11971</v>
      </c>
      <c r="L2882">
        <v>214.43799999999999</v>
      </c>
      <c r="M2882">
        <v>0.99984170000000006</v>
      </c>
      <c r="N2882">
        <v>-1.196915E-2</v>
      </c>
      <c r="O2882">
        <v>1.316608E-2</v>
      </c>
      <c r="P2882">
        <v>0.99040189999999995</v>
      </c>
      <c r="Q2882">
        <v>0.13817380000000001</v>
      </c>
      <c r="R2882">
        <v>3.5336619999999999E-3</v>
      </c>
      <c r="S2882">
        <v>3.1655579999999999</v>
      </c>
      <c r="T2882">
        <v>-1.007571</v>
      </c>
      <c r="U2882">
        <v>-0.25138850000000001</v>
      </c>
      <c r="V2882">
        <v>1.006218E-2</v>
      </c>
      <c r="W2882">
        <v>0.1499817</v>
      </c>
      <c r="X2882">
        <v>0.98863760000000001</v>
      </c>
      <c r="Y2882">
        <v>8.7227319999999997E-2</v>
      </c>
      <c r="Z2882">
        <v>-1.7993439999999999E-2</v>
      </c>
      <c r="AA2882">
        <v>0.99602590000000002</v>
      </c>
      <c r="AB2882">
        <v>27</v>
      </c>
      <c r="AC2882">
        <v>0.49139999999999801</v>
      </c>
      <c r="AD2882">
        <v>-0.24711549999999999</v>
      </c>
      <c r="AE2882">
        <v>-6.3799999999986298E-2</v>
      </c>
      <c r="AF2882">
        <v>5.6270467443963301E-2</v>
      </c>
      <c r="AG2882">
        <v>-0.24711549999999999</v>
      </c>
      <c r="AH2882">
        <v>0.39282346432369197</v>
      </c>
      <c r="AI2882">
        <v>121.911294511409</v>
      </c>
      <c r="AJ2882">
        <v>81.848053487053093</v>
      </c>
      <c r="AK2882">
        <v>0.46748551846006903</v>
      </c>
      <c r="AL2882">
        <v>81.374134220385002</v>
      </c>
      <c r="AM2882">
        <v>89.416873745192404</v>
      </c>
      <c r="AN2882">
        <v>1.0000000309674999</v>
      </c>
    </row>
    <row r="2883" spans="1:40" x14ac:dyDescent="0.25">
      <c r="A2883" t="str">
        <f>"20190303162835459"</f>
        <v>20190303162835459</v>
      </c>
      <c r="B2883" t="str">
        <f>"1551601715454123"</f>
        <v>1551601715454123</v>
      </c>
      <c r="C2883" t="s">
        <v>40</v>
      </c>
      <c r="D2883">
        <v>4.9911149999999997</v>
      </c>
      <c r="E2883">
        <v>0.51749750000000005</v>
      </c>
      <c r="F2883" t="s">
        <v>44</v>
      </c>
      <c r="G2883">
        <v>-464.92439999999999</v>
      </c>
      <c r="H2883">
        <v>0.88778649999999903</v>
      </c>
      <c r="I2883">
        <v>214.38030000000001</v>
      </c>
      <c r="J2883">
        <v>-465.38420000000002</v>
      </c>
      <c r="K2883">
        <v>1.119721</v>
      </c>
      <c r="L2883">
        <v>214.4392</v>
      </c>
      <c r="M2883">
        <v>0.99986850000000005</v>
      </c>
      <c r="N2883">
        <v>-1.195013E-2</v>
      </c>
      <c r="O2883">
        <v>1.0973180000000001E-2</v>
      </c>
      <c r="P2883">
        <v>0.98981710000000001</v>
      </c>
      <c r="Q2883">
        <v>0.14227039999999999</v>
      </c>
      <c r="R2883">
        <v>4.6040029999999997E-3</v>
      </c>
      <c r="S2883">
        <v>3.1693730000000002</v>
      </c>
      <c r="T2883">
        <v>-0.99896010000000002</v>
      </c>
      <c r="U2883">
        <v>-0.2480774</v>
      </c>
      <c r="V2883">
        <v>6.830147E-3</v>
      </c>
      <c r="W2883">
        <v>0.15406400000000001</v>
      </c>
      <c r="X2883">
        <v>0.98803730000000001</v>
      </c>
      <c r="Y2883">
        <v>8.4255700000000003E-2</v>
      </c>
      <c r="Z2883">
        <v>-1.670642E-2</v>
      </c>
      <c r="AA2883">
        <v>0.99630410000000003</v>
      </c>
      <c r="AB2883">
        <v>27</v>
      </c>
      <c r="AC2883">
        <v>0.45980000000002902</v>
      </c>
      <c r="AD2883">
        <v>-0.23193449999999999</v>
      </c>
      <c r="AE2883">
        <v>-5.8899999999994103E-2</v>
      </c>
      <c r="AF2883">
        <v>5.1140059761244701E-2</v>
      </c>
      <c r="AG2883">
        <v>-0.23193449999999999</v>
      </c>
      <c r="AH2883">
        <v>0.36720191881751701</v>
      </c>
      <c r="AI2883">
        <v>122.02963508271</v>
      </c>
      <c r="AJ2883">
        <v>82.071438785996506</v>
      </c>
      <c r="AK2883">
        <v>0.437317009943473</v>
      </c>
      <c r="AL2883">
        <v>81.137484959476296</v>
      </c>
      <c r="AM2883">
        <v>89.603929565161394</v>
      </c>
      <c r="AN2883">
        <v>1.00000003659766</v>
      </c>
    </row>
    <row r="2884" spans="1:40" x14ac:dyDescent="0.25">
      <c r="A2884" t="str">
        <f>"20190303162835482"</f>
        <v>20190303162835482</v>
      </c>
      <c r="B2884" t="str">
        <f>"1551601715474620"</f>
        <v>1551601715474620</v>
      </c>
      <c r="C2884" t="s">
        <v>40</v>
      </c>
      <c r="D2884">
        <v>5.0138129999999999</v>
      </c>
      <c r="E2884">
        <v>0.51312789999999997</v>
      </c>
      <c r="F2884" t="s">
        <v>44</v>
      </c>
      <c r="G2884">
        <v>-464.6302</v>
      </c>
      <c r="H2884">
        <v>1.005028</v>
      </c>
      <c r="I2884">
        <v>214.4068</v>
      </c>
      <c r="J2884">
        <v>-465.11689999999999</v>
      </c>
      <c r="K2884">
        <v>1.1197140000000001</v>
      </c>
      <c r="L2884">
        <v>214.43979999999999</v>
      </c>
      <c r="M2884">
        <v>0.99988969999999999</v>
      </c>
      <c r="N2884">
        <v>-1.1928630000000001E-2</v>
      </c>
      <c r="O2884">
        <v>8.8485019999999994E-3</v>
      </c>
      <c r="P2884">
        <v>0.9894212</v>
      </c>
      <c r="Q2884">
        <v>0.1449676</v>
      </c>
      <c r="R2884">
        <v>5.5054689999999998E-3</v>
      </c>
      <c r="S2884">
        <v>3.0992130000000002</v>
      </c>
      <c r="T2884">
        <v>-0.47122959999999903</v>
      </c>
      <c r="U2884">
        <v>-0.1317902</v>
      </c>
      <c r="V2884">
        <v>3.8331709999999998E-3</v>
      </c>
      <c r="W2884">
        <v>0.1567471</v>
      </c>
      <c r="X2884">
        <v>0.98763129999999999</v>
      </c>
      <c r="Y2884">
        <v>5.0611759999999999E-2</v>
      </c>
      <c r="Z2884">
        <v>-5.3601179999999997E-3</v>
      </c>
      <c r="AA2884">
        <v>0.99870400000000004</v>
      </c>
      <c r="AB2884">
        <v>27</v>
      </c>
      <c r="AC2884">
        <v>0.48669999999998398</v>
      </c>
      <c r="AD2884">
        <v>-0.114685999999999</v>
      </c>
      <c r="AE2884">
        <v>-3.2999999999986998E-2</v>
      </c>
      <c r="AF2884">
        <v>3.5351621297112397E-2</v>
      </c>
      <c r="AG2884">
        <v>-0.114685999999999</v>
      </c>
      <c r="AH2884">
        <v>0.460913269904279</v>
      </c>
      <c r="AI2884">
        <v>103.93345420420501</v>
      </c>
      <c r="AJ2884">
        <v>85.614053751627495</v>
      </c>
      <c r="AK2884">
        <v>0.476281070480645</v>
      </c>
      <c r="AL2884">
        <v>80.981863285367595</v>
      </c>
      <c r="AM2884">
        <v>89.777626106332804</v>
      </c>
      <c r="AN2884">
        <v>0.99999996564900695</v>
      </c>
    </row>
    <row r="2885" spans="1:40" x14ac:dyDescent="0.25">
      <c r="A2885" t="str">
        <f>"20190303162835526"</f>
        <v>20190303162835526</v>
      </c>
      <c r="B2885" t="str">
        <f>"1551601715514635"</f>
        <v>1551601715514635</v>
      </c>
      <c r="C2885" t="s">
        <v>40</v>
      </c>
      <c r="D2885">
        <v>4.9649039999999998</v>
      </c>
      <c r="E2885">
        <v>0.50958359999999903</v>
      </c>
      <c r="F2885" t="s">
        <v>44</v>
      </c>
      <c r="G2885">
        <v>-464.36849999999998</v>
      </c>
      <c r="H2885">
        <v>1.0469170000000001</v>
      </c>
      <c r="I2885">
        <v>214.41720000000001</v>
      </c>
      <c r="J2885">
        <v>-464.60070000000002</v>
      </c>
      <c r="K2885">
        <v>1.1196630000000001</v>
      </c>
      <c r="L2885">
        <v>214.43940000000001</v>
      </c>
      <c r="M2885">
        <v>0.99991819999999998</v>
      </c>
      <c r="N2885">
        <v>-1.188114E-2</v>
      </c>
      <c r="O2885">
        <v>4.7483480000000003E-3</v>
      </c>
      <c r="P2885">
        <v>0.99018649999999997</v>
      </c>
      <c r="Q2885">
        <v>0.13934050000000001</v>
      </c>
      <c r="R2885">
        <v>1.0733380000000001E-2</v>
      </c>
      <c r="S2885">
        <v>3.076416</v>
      </c>
      <c r="T2885">
        <v>-0.29918719999999999</v>
      </c>
      <c r="U2885">
        <v>-9.2132569999999997E-2</v>
      </c>
      <c r="V2885">
        <v>-5.4675879999999998E-3</v>
      </c>
      <c r="W2885">
        <v>0.15111729999999901</v>
      </c>
      <c r="X2885">
        <v>0.98850070000000001</v>
      </c>
      <c r="Y2885">
        <v>3.4481070000000003E-2</v>
      </c>
      <c r="Z2885">
        <v>-2.2821030000000002E-3</v>
      </c>
      <c r="AA2885">
        <v>0.99940280000000004</v>
      </c>
      <c r="AB2885">
        <v>27</v>
      </c>
      <c r="AC2885">
        <v>0.23220000000003399</v>
      </c>
      <c r="AD2885">
        <v>-7.27459999999997E-2</v>
      </c>
      <c r="AE2885">
        <v>-2.2199999999997999E-2</v>
      </c>
      <c r="AF2885">
        <v>2.1236859786166101E-2</v>
      </c>
      <c r="AG2885">
        <v>-7.27459999999997E-2</v>
      </c>
      <c r="AH2885">
        <v>0.211519231270034</v>
      </c>
      <c r="AI2885">
        <v>108.89099770332599</v>
      </c>
      <c r="AJ2885">
        <v>84.266628144149905</v>
      </c>
      <c r="AK2885">
        <v>0.22468504606814299</v>
      </c>
      <c r="AL2885">
        <v>81.308318583871298</v>
      </c>
      <c r="AM2885">
        <v>90.316910773902904</v>
      </c>
      <c r="AN2885">
        <v>0.99999998338915796</v>
      </c>
    </row>
    <row r="2886" spans="1:40" x14ac:dyDescent="0.25">
      <c r="A2886" t="str">
        <f>"20190303162835548"</f>
        <v>20190303162835548</v>
      </c>
      <c r="B2886" t="str">
        <f>"1551601715534155"</f>
        <v>1551601715534155</v>
      </c>
      <c r="C2886" t="s">
        <v>40</v>
      </c>
      <c r="D2886">
        <v>4.879346</v>
      </c>
      <c r="E2886">
        <v>0.50965930000000004</v>
      </c>
      <c r="F2886" t="s">
        <v>48</v>
      </c>
      <c r="G2886">
        <v>-449.22039999999998</v>
      </c>
      <c r="H2886" s="1">
        <v>3.3885779999999999E-6</v>
      </c>
      <c r="I2886">
        <v>214.18780000000001</v>
      </c>
      <c r="J2886">
        <v>-464.33199999999999</v>
      </c>
      <c r="K2886">
        <v>1.1196569999999999</v>
      </c>
      <c r="L2886">
        <v>214.4384</v>
      </c>
      <c r="M2886">
        <v>0.99992630000000005</v>
      </c>
      <c r="N2886">
        <v>-1.1859430000000001E-2</v>
      </c>
      <c r="O2886">
        <v>2.614711E-3</v>
      </c>
      <c r="P2886">
        <v>0.99016789999999999</v>
      </c>
      <c r="Q2886">
        <v>0.1390895</v>
      </c>
      <c r="R2886">
        <v>1.4895449999999999E-2</v>
      </c>
      <c r="S2886">
        <v>3.0616460000000001</v>
      </c>
      <c r="T2886">
        <v>-0.22288189999999999</v>
      </c>
      <c r="U2886">
        <v>-5.0079350000000002E-2</v>
      </c>
      <c r="V2886">
        <v>-1.1742549999999999E-2</v>
      </c>
      <c r="W2886">
        <v>0.1508679</v>
      </c>
      <c r="X2886">
        <v>0.98848420000000004</v>
      </c>
      <c r="Y2886">
        <v>1.8906269999999999E-2</v>
      </c>
      <c r="Z2886">
        <v>-9.5861670000000005E-4</v>
      </c>
      <c r="AA2886">
        <v>0.99982079999999995</v>
      </c>
      <c r="AB2886">
        <v>27</v>
      </c>
      <c r="AC2886">
        <v>15.111599999999999</v>
      </c>
      <c r="AD2886">
        <v>-1.1196536114219999</v>
      </c>
      <c r="AE2886">
        <v>-0.250599999999991</v>
      </c>
      <c r="AF2886">
        <v>0.288530882464545</v>
      </c>
      <c r="AG2886">
        <v>-1.1196536114219999</v>
      </c>
      <c r="AH2886">
        <v>15.0284146438762</v>
      </c>
      <c r="AI2886">
        <v>94.260021681805796</v>
      </c>
      <c r="AJ2886">
        <v>88.900112123025096</v>
      </c>
      <c r="AK2886">
        <v>15.072827239372799</v>
      </c>
      <c r="AL2886">
        <v>81.322774134959602</v>
      </c>
      <c r="AM2886">
        <v>90.680604616836106</v>
      </c>
      <c r="AN2886">
        <v>1.0000000121902699</v>
      </c>
    </row>
    <row r="2887" spans="1:40" x14ac:dyDescent="0.25">
      <c r="A2887" t="str">
        <f>"20190303162835570"</f>
        <v>20190303162835570</v>
      </c>
      <c r="B2887" t="str">
        <f>"1551601715564410"</f>
        <v>1551601715564410</v>
      </c>
      <c r="C2887" t="s">
        <v>40</v>
      </c>
      <c r="D2887">
        <v>4.9309000000000003</v>
      </c>
      <c r="E2887">
        <v>0.51033459999999997</v>
      </c>
      <c r="F2887" t="s">
        <v>48</v>
      </c>
      <c r="G2887">
        <v>-447.30220000000003</v>
      </c>
      <c r="H2887" s="1">
        <v>2.3667480000000002E-6</v>
      </c>
      <c r="I2887">
        <v>214.2115</v>
      </c>
      <c r="J2887">
        <v>-464.07459999999998</v>
      </c>
      <c r="K2887">
        <v>1.1196680000000001</v>
      </c>
      <c r="L2887">
        <v>214.43680000000001</v>
      </c>
      <c r="M2887">
        <v>0.99992970000000003</v>
      </c>
      <c r="N2887">
        <v>-1.18406E-2</v>
      </c>
      <c r="O2887">
        <v>5.7448449999999995E-4</v>
      </c>
      <c r="P2887">
        <v>0.98978109999999997</v>
      </c>
      <c r="Q2887">
        <v>0.14145750000000001</v>
      </c>
      <c r="R2887">
        <v>1.7985080000000001E-2</v>
      </c>
      <c r="S2887">
        <v>3.0586549999999999</v>
      </c>
      <c r="T2887">
        <v>-0.20109579999999999</v>
      </c>
      <c r="U2887">
        <v>-4.0740970000000001E-2</v>
      </c>
      <c r="V2887">
        <v>-1.6844620000000001E-2</v>
      </c>
      <c r="W2887">
        <v>0.15323139999999999</v>
      </c>
      <c r="X2887">
        <v>0.9880468</v>
      </c>
      <c r="Y2887">
        <v>1.3857039999999999E-2</v>
      </c>
      <c r="Z2887">
        <v>-5.6809519999999997E-4</v>
      </c>
      <c r="AA2887">
        <v>0.99990380000000001</v>
      </c>
      <c r="AB2887">
        <v>27</v>
      </c>
      <c r="AC2887">
        <v>16.772399999999902</v>
      </c>
      <c r="AD2887">
        <v>-1.1196656332520001</v>
      </c>
      <c r="AE2887">
        <v>-0.225300000000004</v>
      </c>
      <c r="AF2887">
        <v>0.23389398032537301</v>
      </c>
      <c r="AG2887">
        <v>-1.1196656332520001</v>
      </c>
      <c r="AH2887">
        <v>16.697868473691301</v>
      </c>
      <c r="AI2887">
        <v>93.835816560923206</v>
      </c>
      <c r="AJ2887">
        <v>89.197486698276293</v>
      </c>
      <c r="AK2887">
        <v>16.737000002659201</v>
      </c>
      <c r="AL2887">
        <v>81.185762729656801</v>
      </c>
      <c r="AM2887">
        <v>90.976706918989194</v>
      </c>
      <c r="AN2887">
        <v>1.00000004107957</v>
      </c>
    </row>
    <row r="2888" spans="1:40" x14ac:dyDescent="0.25">
      <c r="A2888" t="str">
        <f>"20190303162835592"</f>
        <v>20190303162835592</v>
      </c>
      <c r="B2888" t="str">
        <f>"1551601715583930"</f>
        <v>1551601715583930</v>
      </c>
      <c r="C2888" t="s">
        <v>40</v>
      </c>
      <c r="D2888">
        <v>4.9307420000000004</v>
      </c>
      <c r="E2888">
        <v>0.51044299999999998</v>
      </c>
      <c r="F2888" t="s">
        <v>48</v>
      </c>
      <c r="G2888">
        <v>-445.53109999999998</v>
      </c>
      <c r="H2888" s="1">
        <v>1.424412E-6</v>
      </c>
      <c r="I2888">
        <v>214.20830000000001</v>
      </c>
      <c r="J2888">
        <v>-463.80040000000002</v>
      </c>
      <c r="K2888">
        <v>1.1196919999999999</v>
      </c>
      <c r="L2888">
        <v>214.43459999999999</v>
      </c>
      <c r="M2888">
        <v>0.99992899999999996</v>
      </c>
      <c r="N2888">
        <v>-1.182211E-2</v>
      </c>
      <c r="O2888">
        <v>-1.580471E-3</v>
      </c>
      <c r="P2888">
        <v>0.98916040000000005</v>
      </c>
      <c r="Q2888">
        <v>0.1455137</v>
      </c>
      <c r="R2888">
        <v>1.969023E-2</v>
      </c>
      <c r="S2888">
        <v>3.058014</v>
      </c>
      <c r="T2888">
        <v>-0.1846448</v>
      </c>
      <c r="U2888">
        <v>-3.7689210000000001E-2</v>
      </c>
      <c r="V2888">
        <v>-2.066954E-2</v>
      </c>
      <c r="W2888">
        <v>0.157275</v>
      </c>
      <c r="X2888">
        <v>0.98733850000000001</v>
      </c>
      <c r="Y2888">
        <v>1.072183E-2</v>
      </c>
      <c r="Z2888">
        <v>-3.101712E-4</v>
      </c>
      <c r="AA2888">
        <v>0.99994249999999996</v>
      </c>
      <c r="AB2888">
        <v>27</v>
      </c>
      <c r="AC2888">
        <v>18.269300000000001</v>
      </c>
      <c r="AD2888">
        <v>-1.119690575588</v>
      </c>
      <c r="AE2888">
        <v>-0.22629999999997999</v>
      </c>
      <c r="AF2888">
        <v>0.19668492378404301</v>
      </c>
      <c r="AG2888">
        <v>-1.119690575588</v>
      </c>
      <c r="AH2888">
        <v>18.201277161703199</v>
      </c>
      <c r="AI2888">
        <v>93.520031541336706</v>
      </c>
      <c r="AJ2888">
        <v>89.380879851746997</v>
      </c>
      <c r="AK2888">
        <v>18.236745385661401</v>
      </c>
      <c r="AL2888">
        <v>80.951237151542401</v>
      </c>
      <c r="AM2888">
        <v>91.199289246550194</v>
      </c>
      <c r="AN2888">
        <v>0.99999998454552996</v>
      </c>
    </row>
    <row r="2889" spans="1:40" x14ac:dyDescent="0.25">
      <c r="A2889" t="str">
        <f>"20190303162835613"</f>
        <v>20190303162835613</v>
      </c>
      <c r="B2889" t="str">
        <f>"1551601715604427"</f>
        <v>1551601715604427</v>
      </c>
      <c r="C2889" t="s">
        <v>40</v>
      </c>
      <c r="D2889">
        <v>4.9157140000000004</v>
      </c>
      <c r="E2889">
        <v>0.51064849999999995</v>
      </c>
      <c r="F2889" t="s">
        <v>48</v>
      </c>
      <c r="G2889">
        <v>-442.59280000000001</v>
      </c>
      <c r="H2889" s="1">
        <v>-1.3915220000000001E-7</v>
      </c>
      <c r="I2889">
        <v>214.2073</v>
      </c>
      <c r="J2889">
        <v>-463.54680000000002</v>
      </c>
      <c r="K2889">
        <v>1.119739</v>
      </c>
      <c r="L2889">
        <v>214.43199999999999</v>
      </c>
      <c r="M2889">
        <v>0.99992400000000004</v>
      </c>
      <c r="N2889">
        <v>-1.180639E-2</v>
      </c>
      <c r="O2889">
        <v>-3.5451390000000001E-3</v>
      </c>
      <c r="P2889">
        <v>0.98820949999999996</v>
      </c>
      <c r="Q2889">
        <v>0.15154089999999901</v>
      </c>
      <c r="R2889">
        <v>2.184701E-2</v>
      </c>
      <c r="S2889">
        <v>3.057312</v>
      </c>
      <c r="T2889">
        <v>-0.16141610000000001</v>
      </c>
      <c r="U2889">
        <v>-3.2760619999999997E-2</v>
      </c>
      <c r="V2889">
        <v>-2.475022E-2</v>
      </c>
      <c r="W2889">
        <v>0.16328870000000001</v>
      </c>
      <c r="X2889">
        <v>0.98626780000000003</v>
      </c>
      <c r="Y2889">
        <v>7.1604019999999997E-3</v>
      </c>
      <c r="Z2889" s="1">
        <v>-8.5992099999999898E-5</v>
      </c>
      <c r="AA2889">
        <v>0.99997440000000004</v>
      </c>
      <c r="AB2889">
        <v>27</v>
      </c>
      <c r="AC2889">
        <v>20.954000000000001</v>
      </c>
      <c r="AD2889">
        <v>-1.1197391391522</v>
      </c>
      <c r="AE2889">
        <v>-0.224700000000012</v>
      </c>
      <c r="AF2889">
        <v>0.149980328993923</v>
      </c>
      <c r="AG2889">
        <v>-1.1197391391522</v>
      </c>
      <c r="AH2889">
        <v>20.8950037038448</v>
      </c>
      <c r="AI2889">
        <v>93.0674017333275</v>
      </c>
      <c r="AJ2889">
        <v>89.588748946377095</v>
      </c>
      <c r="AK2889">
        <v>20.925522445628999</v>
      </c>
      <c r="AL2889">
        <v>80.602163765790493</v>
      </c>
      <c r="AM2889">
        <v>91.437525975190795</v>
      </c>
      <c r="AN2889">
        <v>0.99999997312728806</v>
      </c>
    </row>
    <row r="2890" spans="1:40" x14ac:dyDescent="0.25">
      <c r="A2890" t="str">
        <f>"20190303162835637"</f>
        <v>20190303162835637</v>
      </c>
      <c r="B2890" t="str">
        <f>"1551601715623947"</f>
        <v>1551601715623947</v>
      </c>
      <c r="C2890" t="s">
        <v>40</v>
      </c>
      <c r="D2890">
        <v>4.8857860000000004</v>
      </c>
      <c r="E2890">
        <v>0.51096160000000002</v>
      </c>
      <c r="F2890" t="s">
        <v>49</v>
      </c>
      <c r="G2890">
        <v>-438.2826</v>
      </c>
      <c r="H2890" s="1">
        <v>5.9249340000000003E-6</v>
      </c>
      <c r="I2890">
        <v>214.21619999999999</v>
      </c>
      <c r="J2890">
        <v>-463.2629</v>
      </c>
      <c r="K2890">
        <v>1.1198090000000001</v>
      </c>
      <c r="L2890">
        <v>214.42859999999999</v>
      </c>
      <c r="M2890">
        <v>0.99991430000000003</v>
      </c>
      <c r="N2890">
        <v>-1.178702E-2</v>
      </c>
      <c r="O2890">
        <v>-5.6957860000000004E-3</v>
      </c>
      <c r="P2890">
        <v>0.98712429999999995</v>
      </c>
      <c r="Q2890">
        <v>0.15822939999999999</v>
      </c>
      <c r="R2890">
        <v>2.3425990000000001E-2</v>
      </c>
      <c r="S2890">
        <v>3.057159</v>
      </c>
      <c r="T2890">
        <v>-0.1354957</v>
      </c>
      <c r="U2890">
        <v>-2.6107789999999999E-2</v>
      </c>
      <c r="V2890">
        <v>-2.8437520000000001E-2</v>
      </c>
      <c r="W2890">
        <v>0.169955299999999</v>
      </c>
      <c r="X2890">
        <v>0.98504139999999996</v>
      </c>
      <c r="Y2890">
        <v>2.8429390000000001E-3</v>
      </c>
      <c r="Z2890">
        <v>1.0546189999999999E-4</v>
      </c>
      <c r="AA2890">
        <v>0.99999590000000005</v>
      </c>
      <c r="AB2890">
        <v>27</v>
      </c>
      <c r="AC2890">
        <v>24.9803</v>
      </c>
      <c r="AD2890">
        <v>-1.119803075066</v>
      </c>
      <c r="AE2890">
        <v>-0.212400000000002</v>
      </c>
      <c r="AF2890">
        <v>6.9963643210123605E-2</v>
      </c>
      <c r="AG2890">
        <v>-1.119803075066</v>
      </c>
      <c r="AH2890">
        <v>24.931009362418202</v>
      </c>
      <c r="AI2890">
        <v>92.571762842614405</v>
      </c>
      <c r="AJ2890">
        <v>89.839211846817193</v>
      </c>
      <c r="AK2890">
        <v>24.956243340440501</v>
      </c>
      <c r="AL2890">
        <v>80.214780162584205</v>
      </c>
      <c r="AM2890">
        <v>91.653633488687603</v>
      </c>
      <c r="AN2890">
        <v>1.00000002812789</v>
      </c>
    </row>
    <row r="2891" spans="1:40" x14ac:dyDescent="0.25">
      <c r="A2891" t="str">
        <f>"20190303162835681"</f>
        <v>20190303162835681</v>
      </c>
      <c r="B2891" t="str">
        <f>"1551601715674700"</f>
        <v>1551601715674700</v>
      </c>
      <c r="C2891" t="s">
        <v>40</v>
      </c>
      <c r="D2891">
        <v>4.9479870000000004</v>
      </c>
      <c r="E2891">
        <v>0.51088769999999994</v>
      </c>
      <c r="F2891" t="s">
        <v>49</v>
      </c>
      <c r="G2891">
        <v>-431.99439999999998</v>
      </c>
      <c r="H2891" s="1">
        <v>3.1387269999999998E-6</v>
      </c>
      <c r="I2891">
        <v>214.18969999999999</v>
      </c>
      <c r="J2891">
        <v>-462.73869999999999</v>
      </c>
      <c r="K2891">
        <v>1.119936</v>
      </c>
      <c r="L2891">
        <v>214.42089999999999</v>
      </c>
      <c r="M2891">
        <v>0.99988659999999996</v>
      </c>
      <c r="N2891">
        <v>-1.172661E-2</v>
      </c>
      <c r="O2891">
        <v>-9.4541999999999994E-3</v>
      </c>
      <c r="P2891">
        <v>0.98591689999999998</v>
      </c>
      <c r="Q2891">
        <v>0.1654612</v>
      </c>
      <c r="R2891">
        <v>2.4299870000000001E-2</v>
      </c>
      <c r="S2891">
        <v>3.0571899999999999</v>
      </c>
      <c r="T2891">
        <v>-0.109486</v>
      </c>
      <c r="U2891">
        <v>-2.336121E-2</v>
      </c>
      <c r="V2891">
        <v>-3.3028929999999998E-2</v>
      </c>
      <c r="W2891">
        <v>0.17711959999999999</v>
      </c>
      <c r="X2891">
        <v>0.98363489999999998</v>
      </c>
      <c r="Y2891">
        <v>-1.8094599999999999E-3</v>
      </c>
      <c r="Z2891">
        <v>2.7061750000000002E-4</v>
      </c>
      <c r="AA2891">
        <v>0.99999830000000001</v>
      </c>
      <c r="AB2891">
        <v>27</v>
      </c>
      <c r="AC2891">
        <v>30.744299999999999</v>
      </c>
      <c r="AD2891">
        <v>-1.119932861273</v>
      </c>
      <c r="AE2891">
        <v>-0.23120000000000099</v>
      </c>
      <c r="AF2891">
        <v>-5.9414231318020101E-2</v>
      </c>
      <c r="AG2891">
        <v>-1.119932861273</v>
      </c>
      <c r="AH2891">
        <v>30.704370870167899</v>
      </c>
      <c r="AI2891">
        <v>92.088916691297499</v>
      </c>
      <c r="AJ2891">
        <v>90.110869571732295</v>
      </c>
      <c r="AK2891">
        <v>30.724846137897199</v>
      </c>
      <c r="AL2891">
        <v>79.797969986092696</v>
      </c>
      <c r="AM2891">
        <v>91.923180572586801</v>
      </c>
      <c r="AN2891">
        <v>0.99999993970955503</v>
      </c>
    </row>
    <row r="2892" spans="1:40" x14ac:dyDescent="0.25">
      <c r="A2892" t="str">
        <f>"20190303162835703"</f>
        <v>20190303162835703</v>
      </c>
      <c r="B2892" t="str">
        <f>"1551601715694219"</f>
        <v>1551601715694219</v>
      </c>
      <c r="C2892" t="s">
        <v>40</v>
      </c>
      <c r="D2892">
        <v>5.0711370000000002</v>
      </c>
      <c r="E2892">
        <v>0.51057410000000003</v>
      </c>
      <c r="F2892" t="s">
        <v>49</v>
      </c>
      <c r="G2892">
        <v>-420.2321</v>
      </c>
      <c r="H2892" s="1">
        <v>3.964267E-6</v>
      </c>
      <c r="I2892">
        <v>214.1491</v>
      </c>
      <c r="J2892">
        <v>-462.46859999999998</v>
      </c>
      <c r="K2892">
        <v>1.11999</v>
      </c>
      <c r="L2892">
        <v>214.41630000000001</v>
      </c>
      <c r="M2892">
        <v>0.99986839999999999</v>
      </c>
      <c r="N2892">
        <v>-1.1685910000000001E-2</v>
      </c>
      <c r="O2892">
        <v>-1.1270759999999999E-2</v>
      </c>
      <c r="P2892">
        <v>0.98586249999999997</v>
      </c>
      <c r="Q2892">
        <v>0.16597870000000001</v>
      </c>
      <c r="R2892">
        <v>2.2947309999999999E-2</v>
      </c>
      <c r="S2892">
        <v>3.056854</v>
      </c>
      <c r="T2892">
        <v>-8.0539819999999998E-2</v>
      </c>
      <c r="U2892">
        <v>-1.954651E-2</v>
      </c>
      <c r="V2892">
        <v>-3.3491779999999999E-2</v>
      </c>
      <c r="W2892">
        <v>0.1775921</v>
      </c>
      <c r="X2892">
        <v>0.98353409999999997</v>
      </c>
      <c r="Y2892">
        <v>-4.873858E-3</v>
      </c>
      <c r="Z2892">
        <v>2.5787E-4</v>
      </c>
      <c r="AA2892">
        <v>0.99998810000000005</v>
      </c>
      <c r="AB2892">
        <v>27</v>
      </c>
      <c r="AC2892">
        <v>42.2364999999999</v>
      </c>
      <c r="AD2892">
        <v>-1.119986035733</v>
      </c>
      <c r="AE2892">
        <v>-0.26720000000000199</v>
      </c>
      <c r="AF2892">
        <v>-0.20874006881743601</v>
      </c>
      <c r="AG2892">
        <v>-1.119986035733</v>
      </c>
      <c r="AH2892">
        <v>42.207151783619302</v>
      </c>
      <c r="AI2892">
        <v>91.519994383437805</v>
      </c>
      <c r="AJ2892">
        <v>90.283360211363998</v>
      </c>
      <c r="AK2892">
        <v>42.222524827656201</v>
      </c>
      <c r="AL2892">
        <v>79.770462148280302</v>
      </c>
      <c r="AM2892">
        <v>91.9503100530236</v>
      </c>
      <c r="AN2892">
        <v>0.99999998958639402</v>
      </c>
    </row>
    <row r="2893" spans="1:40" x14ac:dyDescent="0.25">
      <c r="A2893" t="str">
        <f>"20190303162835728"</f>
        <v>20190303162835728</v>
      </c>
      <c r="B2893" t="str">
        <f>"1551601715715692"</f>
        <v>1551601715715692</v>
      </c>
      <c r="C2893" t="s">
        <v>40</v>
      </c>
      <c r="D2893">
        <v>4.9564620000000001</v>
      </c>
      <c r="E2893">
        <v>0.51035019999999998</v>
      </c>
      <c r="F2893" t="s">
        <v>49</v>
      </c>
      <c r="G2893">
        <v>-417.19850000000002</v>
      </c>
      <c r="H2893" s="1">
        <v>3.5270330000000001E-6</v>
      </c>
      <c r="I2893">
        <v>214.1087</v>
      </c>
      <c r="J2893">
        <v>-462.1814</v>
      </c>
      <c r="K2893">
        <v>1.120058</v>
      </c>
      <c r="L2893">
        <v>214.4109</v>
      </c>
      <c r="M2893">
        <v>0.99984689999999998</v>
      </c>
      <c r="N2893">
        <v>-1.163259E-2</v>
      </c>
      <c r="O2893">
        <v>-1.30768E-2</v>
      </c>
      <c r="P2893">
        <v>0.98572329999999997</v>
      </c>
      <c r="Q2893">
        <v>0.16701179999999999</v>
      </c>
      <c r="R2893">
        <v>2.1379840000000001E-2</v>
      </c>
      <c r="S2893">
        <v>3.0562130000000001</v>
      </c>
      <c r="T2893">
        <v>-7.5611109999999995E-2</v>
      </c>
      <c r="U2893">
        <v>-2.0767210000000001E-2</v>
      </c>
      <c r="V2893">
        <v>-3.3731949999999997E-2</v>
      </c>
      <c r="W2893">
        <v>0.17856520000000001</v>
      </c>
      <c r="X2893">
        <v>0.98334969999999999</v>
      </c>
      <c r="Y2893">
        <v>-6.2790950000000002E-3</v>
      </c>
      <c r="Z2893">
        <v>2.8553589999999999E-4</v>
      </c>
      <c r="AA2893">
        <v>0.99998030000000004</v>
      </c>
      <c r="AB2893">
        <v>27</v>
      </c>
      <c r="AC2893">
        <v>44.982899999999901</v>
      </c>
      <c r="AD2893">
        <v>-1.1200544729669999</v>
      </c>
      <c r="AE2893">
        <v>-0.30219999999999902</v>
      </c>
      <c r="AF2893">
        <v>-0.28592073121384598</v>
      </c>
      <c r="AG2893">
        <v>-1.1200544729669999</v>
      </c>
      <c r="AH2893">
        <v>44.9551348999697</v>
      </c>
      <c r="AI2893">
        <v>91.427196765069297</v>
      </c>
      <c r="AJ2893">
        <v>90.364403984634905</v>
      </c>
      <c r="AK2893">
        <v>44.9699947360617</v>
      </c>
      <c r="AL2893">
        <v>79.713802128346799</v>
      </c>
      <c r="AM2893">
        <v>91.964652893835506</v>
      </c>
      <c r="AN2893">
        <v>1.00000000379596</v>
      </c>
    </row>
    <row r="2894" spans="1:40" x14ac:dyDescent="0.25">
      <c r="A2894" t="str">
        <f>"20190303162835749"</f>
        <v>20190303162835749</v>
      </c>
      <c r="B2894" t="str">
        <f>"1551601715743996"</f>
        <v>1551601715743996</v>
      </c>
      <c r="C2894" t="s">
        <v>40</v>
      </c>
      <c r="D2894">
        <v>4.9208080000000001</v>
      </c>
      <c r="E2894">
        <v>0.51017309999999905</v>
      </c>
      <c r="F2894" t="s">
        <v>49</v>
      </c>
      <c r="G2894">
        <v>-413.80099999999999</v>
      </c>
      <c r="H2894" s="1">
        <v>2.9312859999999998E-6</v>
      </c>
      <c r="I2894">
        <v>214.02950000000001</v>
      </c>
      <c r="J2894">
        <v>-461.91969999999998</v>
      </c>
      <c r="K2894">
        <v>1.1201129999999999</v>
      </c>
      <c r="L2894">
        <v>214.4057</v>
      </c>
      <c r="M2894">
        <v>0.99982599999999999</v>
      </c>
      <c r="N2894">
        <v>-1.1578059999999999E-2</v>
      </c>
      <c r="O2894">
        <v>-1.4628739999999999E-2</v>
      </c>
      <c r="P2894">
        <v>0.98554010000000003</v>
      </c>
      <c r="Q2894">
        <v>0.16818039999999901</v>
      </c>
      <c r="R2894">
        <v>2.064098E-2</v>
      </c>
      <c r="S2894">
        <v>3.0559080000000001</v>
      </c>
      <c r="T2894">
        <v>-7.0747379999999999E-2</v>
      </c>
      <c r="U2894">
        <v>-2.4093630000000001E-2</v>
      </c>
      <c r="V2894">
        <v>-3.4544940000000003E-2</v>
      </c>
      <c r="W2894">
        <v>0.17967469999999999</v>
      </c>
      <c r="X2894">
        <v>0.98311939999999998</v>
      </c>
      <c r="Y2894">
        <v>-6.7423889999999997E-3</v>
      </c>
      <c r="Z2894">
        <v>2.8631110000000001E-4</v>
      </c>
      <c r="AA2894">
        <v>0.99997720000000001</v>
      </c>
      <c r="AB2894">
        <v>27</v>
      </c>
      <c r="AC2894">
        <v>48.118699999999897</v>
      </c>
      <c r="AD2894">
        <v>-1.120110068714</v>
      </c>
      <c r="AE2894">
        <v>-0.37619999999998199</v>
      </c>
      <c r="AF2894">
        <v>-0.327625849666413</v>
      </c>
      <c r="AG2894">
        <v>-1.120110068714</v>
      </c>
      <c r="AH2894">
        <v>48.092995563414199</v>
      </c>
      <c r="AI2894">
        <v>91.3341753806546</v>
      </c>
      <c r="AJ2894">
        <v>90.390312307432097</v>
      </c>
      <c r="AK2894">
        <v>48.107153392463204</v>
      </c>
      <c r="AL2894">
        <v>79.649187971723705</v>
      </c>
      <c r="AM2894">
        <v>92.012436406655894</v>
      </c>
      <c r="AN2894">
        <v>1.0000000526780199</v>
      </c>
    </row>
    <row r="2895" spans="1:40" x14ac:dyDescent="0.25">
      <c r="A2895" t="str">
        <f>"20190303162835771"</f>
        <v>20190303162835771</v>
      </c>
      <c r="B2895" t="str">
        <f>"1551601715764491"</f>
        <v>1551601715764491</v>
      </c>
      <c r="C2895" t="s">
        <v>40</v>
      </c>
      <c r="D2895">
        <v>4.8922059999999998</v>
      </c>
      <c r="E2895">
        <v>0.51002919999999996</v>
      </c>
      <c r="F2895" t="s">
        <v>49</v>
      </c>
      <c r="G2895">
        <v>-409.89210000000003</v>
      </c>
      <c r="H2895" s="1">
        <v>4.1510599999999997E-6</v>
      </c>
      <c r="I2895">
        <v>213.96039999999999</v>
      </c>
      <c r="J2895">
        <v>-461.66680000000002</v>
      </c>
      <c r="K2895">
        <v>1.120158</v>
      </c>
      <c r="L2895">
        <v>214.40039999999999</v>
      </c>
      <c r="M2895">
        <v>0.99980500000000005</v>
      </c>
      <c r="N2895">
        <v>-1.152068E-2</v>
      </c>
      <c r="O2895">
        <v>-1.6039580000000001E-2</v>
      </c>
      <c r="P2895">
        <v>0.98563610000000001</v>
      </c>
      <c r="Q2895">
        <v>0.167789299999999</v>
      </c>
      <c r="R2895">
        <v>1.9196589999999999E-2</v>
      </c>
      <c r="S2895">
        <v>3.0558169999999998</v>
      </c>
      <c r="T2895">
        <v>-6.5788979999999997E-2</v>
      </c>
      <c r="U2895">
        <v>-2.6153559999999999E-2</v>
      </c>
      <c r="V2895">
        <v>-3.4521120000000002E-2</v>
      </c>
      <c r="W2895">
        <v>0.17922249999999901</v>
      </c>
      <c r="X2895">
        <v>0.98320269999999999</v>
      </c>
      <c r="Y2895">
        <v>-7.479393E-3</v>
      </c>
      <c r="Z2895">
        <v>2.8406090000000002E-4</v>
      </c>
      <c r="AA2895">
        <v>0.99997199999999997</v>
      </c>
      <c r="AB2895">
        <v>27</v>
      </c>
      <c r="AC2895">
        <v>51.774700000000003</v>
      </c>
      <c r="AD2895">
        <v>-1.12015384894</v>
      </c>
      <c r="AE2895">
        <v>-0.439999999999997</v>
      </c>
      <c r="AF2895">
        <v>-0.39037344284491299</v>
      </c>
      <c r="AG2895">
        <v>-1.12015384894</v>
      </c>
      <c r="AH2895">
        <v>51.750874776291397</v>
      </c>
      <c r="AI2895">
        <v>91.239945082460807</v>
      </c>
      <c r="AJ2895">
        <v>90.432192239935901</v>
      </c>
      <c r="AK2895">
        <v>51.764468278748502</v>
      </c>
      <c r="AL2895">
        <v>79.675523885237496</v>
      </c>
      <c r="AM2895">
        <v>92.010879655396906</v>
      </c>
      <c r="AN2895">
        <v>0.99999998075979701</v>
      </c>
    </row>
    <row r="2896" spans="1:40" x14ac:dyDescent="0.25">
      <c r="A2896" t="str">
        <f>"20190303162835792"</f>
        <v>20190303162835792</v>
      </c>
      <c r="B2896" t="str">
        <f>"1551601715784011"</f>
        <v>1551601715784011</v>
      </c>
      <c r="C2896" t="s">
        <v>40</v>
      </c>
      <c r="D2896">
        <v>4.9137550000000001</v>
      </c>
      <c r="E2896">
        <v>0.50983149999999999</v>
      </c>
      <c r="F2896" t="s">
        <v>49</v>
      </c>
      <c r="G2896">
        <v>-410.1542</v>
      </c>
      <c r="H2896" s="1">
        <v>2.2971640000000001E-6</v>
      </c>
      <c r="I2896">
        <v>213.8836</v>
      </c>
      <c r="J2896">
        <v>-461.40030000000002</v>
      </c>
      <c r="K2896">
        <v>1.120214</v>
      </c>
      <c r="L2896">
        <v>214.39449999999999</v>
      </c>
      <c r="M2896">
        <v>0.99978259999999997</v>
      </c>
      <c r="N2896">
        <v>-1.1453690000000001E-2</v>
      </c>
      <c r="O2896">
        <v>-1.742788E-2</v>
      </c>
      <c r="P2896">
        <v>0.98586399999999996</v>
      </c>
      <c r="Q2896">
        <v>0.1666707</v>
      </c>
      <c r="R2896">
        <v>1.712559E-2</v>
      </c>
      <c r="S2896">
        <v>3.0556640000000002</v>
      </c>
      <c r="T2896">
        <v>-6.64463E-2</v>
      </c>
      <c r="U2896">
        <v>-3.065491E-2</v>
      </c>
      <c r="V2896">
        <v>-3.3854839999999997E-2</v>
      </c>
      <c r="W2896">
        <v>0.17803269999999999</v>
      </c>
      <c r="X2896">
        <v>0.98344200000000004</v>
      </c>
      <c r="Y2896">
        <v>-7.3944229999999998E-3</v>
      </c>
      <c r="Z2896">
        <v>3.0202370000000003E-4</v>
      </c>
      <c r="AA2896">
        <v>0.99997259999999999</v>
      </c>
      <c r="AB2896">
        <v>27</v>
      </c>
      <c r="AC2896">
        <v>51.246099999999998</v>
      </c>
      <c r="AD2896">
        <v>-1.1202117028359999</v>
      </c>
      <c r="AE2896">
        <v>-0.51089999999999203</v>
      </c>
      <c r="AF2896">
        <v>-0.382164405993491</v>
      </c>
      <c r="AG2896">
        <v>-1.1202117028359999</v>
      </c>
      <c r="AH2896">
        <v>51.222746738295498</v>
      </c>
      <c r="AI2896">
        <v>91.252790839346801</v>
      </c>
      <c r="AJ2896">
        <v>90.427466363491405</v>
      </c>
      <c r="AK2896">
        <v>51.236419735457197</v>
      </c>
      <c r="AL2896">
        <v>79.744808726056405</v>
      </c>
      <c r="AM2896">
        <v>91.971619831242094</v>
      </c>
      <c r="AN2896">
        <v>0.99999997991235701</v>
      </c>
    </row>
    <row r="2897" spans="1:40" x14ac:dyDescent="0.25">
      <c r="A2897" t="str">
        <f>"20190303162835817"</f>
        <v>20190303162835817</v>
      </c>
      <c r="B2897" t="str">
        <f>"1551601715804507"</f>
        <v>1551601715804507</v>
      </c>
      <c r="C2897" t="s">
        <v>40</v>
      </c>
      <c r="D2897">
        <v>4.8380390000000002</v>
      </c>
      <c r="E2897">
        <v>0.50974960000000002</v>
      </c>
      <c r="F2897" t="s">
        <v>49</v>
      </c>
      <c r="G2897">
        <v>-412.09050000000002</v>
      </c>
      <c r="H2897" s="1">
        <v>2.646433E-6</v>
      </c>
      <c r="I2897">
        <v>213.81710000000001</v>
      </c>
      <c r="J2897">
        <v>-461.1189</v>
      </c>
      <c r="K2897">
        <v>1.1202719999999999</v>
      </c>
      <c r="L2897">
        <v>214.38800000000001</v>
      </c>
      <c r="M2897">
        <v>0.99975879999999995</v>
      </c>
      <c r="N2897">
        <v>-1.1375710000000001E-2</v>
      </c>
      <c r="O2897">
        <v>-1.8789699999999999E-2</v>
      </c>
      <c r="P2897">
        <v>0.98591779999999996</v>
      </c>
      <c r="Q2897">
        <v>0.16653979999999999</v>
      </c>
      <c r="R2897">
        <v>1.5183820000000001E-2</v>
      </c>
      <c r="S2897">
        <v>3.0553590000000002</v>
      </c>
      <c r="T2897">
        <v>-6.9411039999999993E-2</v>
      </c>
      <c r="U2897">
        <v>-3.5781859999999999E-2</v>
      </c>
      <c r="V2897">
        <v>-3.3288720000000001E-2</v>
      </c>
      <c r="W2897">
        <v>0.17781830000000001</v>
      </c>
      <c r="X2897">
        <v>0.98350009999999999</v>
      </c>
      <c r="Y2897">
        <v>-7.0773669999999898E-3</v>
      </c>
      <c r="Z2897">
        <v>3.3365659999999998E-4</v>
      </c>
      <c r="AA2897">
        <v>0.9999749</v>
      </c>
      <c r="AB2897">
        <v>27</v>
      </c>
      <c r="AC2897">
        <v>49.028399999999898</v>
      </c>
      <c r="AD2897">
        <v>-1.1202693535670001</v>
      </c>
      <c r="AE2897">
        <v>-0.57089999999999397</v>
      </c>
      <c r="AF2897">
        <v>-0.35030641808920798</v>
      </c>
      <c r="AG2897">
        <v>-1.1202693535670001</v>
      </c>
      <c r="AH2897">
        <v>49.004889307022196</v>
      </c>
      <c r="AI2897">
        <v>91.309540537955996</v>
      </c>
      <c r="AJ2897">
        <v>90.409566019075996</v>
      </c>
      <c r="AK2897">
        <v>49.018944235923698</v>
      </c>
      <c r="AL2897">
        <v>79.757291990283207</v>
      </c>
      <c r="AM2897">
        <v>91.938561374211801</v>
      </c>
      <c r="AN2897">
        <v>0.99999996669706803</v>
      </c>
    </row>
    <row r="2898" spans="1:40" x14ac:dyDescent="0.25">
      <c r="A2898" t="str">
        <f>"20190303162835860"</f>
        <v>20190303162835860</v>
      </c>
      <c r="B2898" t="str">
        <f>"1551601715854283"</f>
        <v>1551601715854283</v>
      </c>
      <c r="C2898" t="s">
        <v>40</v>
      </c>
      <c r="D2898">
        <v>4.9121759999999997</v>
      </c>
      <c r="E2898">
        <v>0.50956449999999998</v>
      </c>
      <c r="F2898" t="s">
        <v>49</v>
      </c>
      <c r="G2898">
        <v>-412.23809999999997</v>
      </c>
      <c r="H2898" s="1">
        <v>2.6807009999999998E-6</v>
      </c>
      <c r="I2898">
        <v>213.72479999999999</v>
      </c>
      <c r="J2898">
        <v>-460.59480000000002</v>
      </c>
      <c r="K2898">
        <v>1.1203700000000001</v>
      </c>
      <c r="L2898">
        <v>214.37520000000001</v>
      </c>
      <c r="M2898">
        <v>0.99971500000000002</v>
      </c>
      <c r="N2898">
        <v>-1.122561E-2</v>
      </c>
      <c r="O2898">
        <v>-2.107382E-2</v>
      </c>
      <c r="P2898">
        <v>0.98589899999999997</v>
      </c>
      <c r="Q2898">
        <v>0.16676869999999999</v>
      </c>
      <c r="R2898">
        <v>1.384151E-2</v>
      </c>
      <c r="S2898">
        <v>3.0553279999999998</v>
      </c>
      <c r="T2898">
        <v>-7.0023299999999997E-2</v>
      </c>
      <c r="U2898">
        <v>-4.1458130000000003E-2</v>
      </c>
      <c r="V2898">
        <v>-3.4252459999999998E-2</v>
      </c>
      <c r="W2898">
        <v>0.1778901</v>
      </c>
      <c r="X2898">
        <v>0.98345400000000005</v>
      </c>
      <c r="Y2898">
        <v>-7.5039709999999999E-3</v>
      </c>
      <c r="Z2898">
        <v>3.7438439999999999E-4</v>
      </c>
      <c r="AA2898">
        <v>0.99997170000000002</v>
      </c>
      <c r="AB2898">
        <v>27</v>
      </c>
      <c r="AC2898">
        <v>48.356699999999996</v>
      </c>
      <c r="AD2898">
        <v>-1.120367319299</v>
      </c>
      <c r="AE2898">
        <v>-0.65040000000001896</v>
      </c>
      <c r="AF2898">
        <v>-0.368671095965794</v>
      </c>
      <c r="AG2898">
        <v>-1.120367319299</v>
      </c>
      <c r="AH2898">
        <v>48.333726427720897</v>
      </c>
      <c r="AI2898">
        <v>91.327829739716506</v>
      </c>
      <c r="AJ2898">
        <v>90.437021718537494</v>
      </c>
      <c r="AK2898">
        <v>48.348115285881804</v>
      </c>
      <c r="AL2898">
        <v>79.753111272144395</v>
      </c>
      <c r="AM2898">
        <v>91.994733290468304</v>
      </c>
      <c r="AN2898">
        <v>0.99999994440502904</v>
      </c>
    </row>
    <row r="2899" spans="1:40" x14ac:dyDescent="0.25">
      <c r="A2899" t="str">
        <f>"20190303162835884"</f>
        <v>20190303162835884</v>
      </c>
      <c r="B2899" t="str">
        <f>"1551601715874779"</f>
        <v>1551601715874779</v>
      </c>
      <c r="C2899" t="s">
        <v>40</v>
      </c>
      <c r="D2899">
        <v>4.753088</v>
      </c>
      <c r="E2899">
        <v>0.50948629999999995</v>
      </c>
      <c r="F2899" t="s">
        <v>49</v>
      </c>
      <c r="G2899">
        <v>-411.41609999999997</v>
      </c>
      <c r="H2899" s="1">
        <v>2.5406759999999998E-6</v>
      </c>
      <c r="I2899">
        <v>213.65860000000001</v>
      </c>
      <c r="J2899">
        <v>-460.30849999999998</v>
      </c>
      <c r="K2899">
        <v>1.1204179999999999</v>
      </c>
      <c r="L2899">
        <v>214.36789999999999</v>
      </c>
      <c r="M2899">
        <v>0.99969140000000001</v>
      </c>
      <c r="N2899">
        <v>-1.1139690000000001E-2</v>
      </c>
      <c r="O2899">
        <v>-2.2205180000000001E-2</v>
      </c>
      <c r="P2899">
        <v>0.98583949999999998</v>
      </c>
      <c r="Q2899">
        <v>0.16716110000000001</v>
      </c>
      <c r="R2899">
        <v>1.3333609999999999E-2</v>
      </c>
      <c r="S2899">
        <v>3.0552980000000001</v>
      </c>
      <c r="T2899">
        <v>-6.9604399999999997E-2</v>
      </c>
      <c r="U2899">
        <v>-4.4525149999999999E-2</v>
      </c>
      <c r="V2899">
        <v>-3.4882179999999999E-2</v>
      </c>
      <c r="W2899">
        <v>0.17819370000000001</v>
      </c>
      <c r="X2899">
        <v>0.98337699999999995</v>
      </c>
      <c r="Y2899">
        <v>-7.6317969999999897E-3</v>
      </c>
      <c r="Z2899">
        <v>3.8779770000000002E-4</v>
      </c>
      <c r="AA2899">
        <v>0.99997080000000005</v>
      </c>
      <c r="AB2899">
        <v>27</v>
      </c>
      <c r="AC2899">
        <v>48.892400000000002</v>
      </c>
      <c r="AD2899">
        <v>-1.1204154593240001</v>
      </c>
      <c r="AE2899">
        <v>-0.70929999999998405</v>
      </c>
      <c r="AF2899">
        <v>-0.37640916341559499</v>
      </c>
      <c r="AG2899">
        <v>-1.1204154593240001</v>
      </c>
      <c r="AH2899">
        <v>48.8704359983034</v>
      </c>
      <c r="AI2899">
        <v>91.313307914072197</v>
      </c>
      <c r="AJ2899">
        <v>90.441293995794993</v>
      </c>
      <c r="AK2899">
        <v>48.884726953559401</v>
      </c>
      <c r="AL2899">
        <v>79.735434857937804</v>
      </c>
      <c r="AM2899">
        <v>92.031534273452493</v>
      </c>
      <c r="AN2899">
        <v>1.0000000426651201</v>
      </c>
    </row>
    <row r="2900" spans="1:40" x14ac:dyDescent="0.25">
      <c r="A2900" t="str">
        <f>"20190303162835905"</f>
        <v>20190303162835905</v>
      </c>
      <c r="B2900" t="str">
        <f>"1551601715894299"</f>
        <v>1551601715894299</v>
      </c>
      <c r="C2900" t="s">
        <v>40</v>
      </c>
      <c r="D2900">
        <v>4.8581339999999997</v>
      </c>
      <c r="E2900">
        <v>0.50940019999999997</v>
      </c>
      <c r="F2900" t="s">
        <v>49</v>
      </c>
      <c r="G2900">
        <v>-410.06369999999998</v>
      </c>
      <c r="H2900" s="1">
        <v>2.3032549999999999E-6</v>
      </c>
      <c r="I2900">
        <v>213.6302</v>
      </c>
      <c r="J2900">
        <v>-460.0575</v>
      </c>
      <c r="K2900">
        <v>1.1204529999999999</v>
      </c>
      <c r="L2900">
        <v>214.3613</v>
      </c>
      <c r="M2900">
        <v>0.99967119999999998</v>
      </c>
      <c r="N2900">
        <v>-1.105481E-2</v>
      </c>
      <c r="O2900">
        <v>-2.3140999999999998E-2</v>
      </c>
      <c r="P2900">
        <v>0.98555789999999999</v>
      </c>
      <c r="Q2900">
        <v>0.16885049999999999</v>
      </c>
      <c r="R2900">
        <v>1.285552E-2</v>
      </c>
      <c r="S2900">
        <v>3.0552980000000001</v>
      </c>
      <c r="T2900">
        <v>-6.8130490000000002E-2</v>
      </c>
      <c r="U2900">
        <v>-4.4860839999999999E-2</v>
      </c>
      <c r="V2900">
        <v>-3.5333120000000003E-2</v>
      </c>
      <c r="W2900">
        <v>0.179793799999999</v>
      </c>
      <c r="X2900">
        <v>0.98306950000000004</v>
      </c>
      <c r="Y2900">
        <v>-8.4578640000000007E-3</v>
      </c>
      <c r="Z2900">
        <v>4.0109789999999998E-4</v>
      </c>
      <c r="AA2900">
        <v>0.99996419999999997</v>
      </c>
      <c r="AB2900">
        <v>27</v>
      </c>
      <c r="AC2900">
        <v>49.9938</v>
      </c>
      <c r="AD2900">
        <v>-1.1204506967450001</v>
      </c>
      <c r="AE2900">
        <v>-0.73109999999999697</v>
      </c>
      <c r="AF2900">
        <v>-0.42585904138950598</v>
      </c>
      <c r="AG2900">
        <v>-1.1204506967450001</v>
      </c>
      <c r="AH2900">
        <v>49.972234893615301</v>
      </c>
      <c r="AI2900">
        <v>91.284393461604907</v>
      </c>
      <c r="AJ2900">
        <v>90.488257832604404</v>
      </c>
      <c r="AK2900">
        <v>49.986608466164498</v>
      </c>
      <c r="AL2900">
        <v>79.642249907874699</v>
      </c>
      <c r="AM2900">
        <v>92.058417644197505</v>
      </c>
      <c r="AN2900">
        <v>0.99999994085881005</v>
      </c>
    </row>
    <row r="2901" spans="1:40" x14ac:dyDescent="0.25">
      <c r="A2901" t="str">
        <f>"20190303162835928"</f>
        <v>20190303162835928</v>
      </c>
      <c r="B2901" t="str">
        <f>"1551601715924556"</f>
        <v>1551601715924556</v>
      </c>
      <c r="C2901" t="s">
        <v>40</v>
      </c>
      <c r="D2901">
        <v>4.8805680000000002</v>
      </c>
      <c r="E2901">
        <v>0.50925819999999999</v>
      </c>
      <c r="F2901" t="s">
        <v>49</v>
      </c>
      <c r="G2901">
        <v>-405.42469999999997</v>
      </c>
      <c r="H2901" s="1">
        <v>6.215988E-6</v>
      </c>
      <c r="I2901">
        <v>213.5547</v>
      </c>
      <c r="J2901">
        <v>-459.77319999999997</v>
      </c>
      <c r="K2901">
        <v>1.120479</v>
      </c>
      <c r="L2901">
        <v>214.3535</v>
      </c>
      <c r="M2901">
        <v>0.99964799999999998</v>
      </c>
      <c r="N2901">
        <v>-1.095486E-2</v>
      </c>
      <c r="O2901">
        <v>-2.4161999999999999E-2</v>
      </c>
      <c r="P2901">
        <v>0.9853075</v>
      </c>
      <c r="Q2901">
        <v>0.17041300000000001</v>
      </c>
      <c r="R2901">
        <v>1.13337E-2</v>
      </c>
      <c r="S2901">
        <v>3.0553279999999998</v>
      </c>
      <c r="T2901">
        <v>-6.2660690000000005E-2</v>
      </c>
      <c r="U2901">
        <v>-4.5104980000000003E-2</v>
      </c>
      <c r="V2901">
        <v>-3.4822069999999997E-2</v>
      </c>
      <c r="W2901">
        <v>0.181252</v>
      </c>
      <c r="X2901">
        <v>0.98282000000000003</v>
      </c>
      <c r="Y2901">
        <v>-9.3998740000000008E-3</v>
      </c>
      <c r="Z2901">
        <v>3.7856370000000002E-4</v>
      </c>
      <c r="AA2901">
        <v>0.99995579999999995</v>
      </c>
      <c r="AB2901">
        <v>27</v>
      </c>
      <c r="AC2901">
        <v>54.348500000000001</v>
      </c>
      <c r="AD2901">
        <v>-1.1204727840119999</v>
      </c>
      <c r="AE2901">
        <v>-0.79879999999999995</v>
      </c>
      <c r="AF2901">
        <v>-0.51446191685804299</v>
      </c>
      <c r="AG2901">
        <v>-1.1204727840119999</v>
      </c>
      <c r="AH2901">
        <v>54.328846331458998</v>
      </c>
      <c r="AI2901">
        <v>91.181442073166295</v>
      </c>
      <c r="AJ2901">
        <v>90.542540796369096</v>
      </c>
      <c r="AK2901">
        <v>54.342834615346497</v>
      </c>
      <c r="AL2901">
        <v>79.557306331860701</v>
      </c>
      <c r="AM2901">
        <v>92.029184801318294</v>
      </c>
      <c r="AN2901">
        <v>1.0000000082315399</v>
      </c>
    </row>
    <row r="2902" spans="1:40" x14ac:dyDescent="0.25">
      <c r="A2902" t="str">
        <f>"20190303162835948"</f>
        <v>20190303162835948</v>
      </c>
      <c r="B2902" t="str">
        <f>"1551601715944075"</f>
        <v>1551601715944075</v>
      </c>
      <c r="C2902" t="s">
        <v>40</v>
      </c>
      <c r="D2902">
        <v>4.9735129999999996</v>
      </c>
      <c r="E2902">
        <v>0.50940879999999999</v>
      </c>
      <c r="F2902" t="s">
        <v>49</v>
      </c>
      <c r="G2902">
        <v>-400.10570000000001</v>
      </c>
      <c r="H2902" s="1">
        <v>8.6018529999999995E-6</v>
      </c>
      <c r="I2902">
        <v>213.42339999999999</v>
      </c>
      <c r="J2902">
        <v>-459.52679999999998</v>
      </c>
      <c r="K2902">
        <v>1.1204860000000001</v>
      </c>
      <c r="L2902">
        <v>214.34649999999999</v>
      </c>
      <c r="M2902">
        <v>0.99962790000000001</v>
      </c>
      <c r="N2902">
        <v>-1.086092E-2</v>
      </c>
      <c r="O2902">
        <v>-2.502648E-2</v>
      </c>
      <c r="P2902">
        <v>0.98531400000000002</v>
      </c>
      <c r="Q2902">
        <v>0.17048070000000001</v>
      </c>
      <c r="R2902">
        <v>9.6295749999999996E-3</v>
      </c>
      <c r="S2902">
        <v>3.055237</v>
      </c>
      <c r="T2902">
        <v>-5.7373050000000002E-2</v>
      </c>
      <c r="U2902">
        <v>-4.7622680000000001E-2</v>
      </c>
      <c r="V2902">
        <v>-3.3977269999999997E-2</v>
      </c>
      <c r="W2902">
        <v>0.18122479999999999</v>
      </c>
      <c r="X2902">
        <v>0.98285449999999996</v>
      </c>
      <c r="Y2902">
        <v>-9.441049E-3</v>
      </c>
      <c r="Z2902">
        <v>3.3791849999999999E-4</v>
      </c>
      <c r="AA2902">
        <v>0.99995540000000005</v>
      </c>
      <c r="AB2902">
        <v>27</v>
      </c>
      <c r="AC2902">
        <v>59.421099999999903</v>
      </c>
      <c r="AD2902">
        <v>-1.120477398147</v>
      </c>
      <c r="AE2902">
        <v>-0.92310000000000503</v>
      </c>
      <c r="AF2902">
        <v>-0.56417712531037201</v>
      </c>
      <c r="AG2902">
        <v>-1.120477398147</v>
      </c>
      <c r="AH2902">
        <v>59.404472407853298</v>
      </c>
      <c r="AI2902">
        <v>91.080526728815798</v>
      </c>
      <c r="AJ2902">
        <v>90.544134053338297</v>
      </c>
      <c r="AK2902">
        <v>59.417717117740999</v>
      </c>
      <c r="AL2902">
        <v>79.558890148241503</v>
      </c>
      <c r="AM2902">
        <v>91.979926036124098</v>
      </c>
      <c r="AN2902">
        <v>0.99999992559096795</v>
      </c>
    </row>
    <row r="2903" spans="1:40" x14ac:dyDescent="0.25">
      <c r="A2903" t="str">
        <f>"20190303162835970"</f>
        <v>20190303162835970</v>
      </c>
      <c r="B2903" t="str">
        <f>"1551601715964572"</f>
        <v>1551601715964572</v>
      </c>
      <c r="C2903" t="s">
        <v>40</v>
      </c>
      <c r="D2903">
        <v>4.9013169999999997</v>
      </c>
      <c r="E2903">
        <v>0.53534409999999999</v>
      </c>
      <c r="F2903" t="s">
        <v>48</v>
      </c>
      <c r="G2903">
        <v>-399.49930000000001</v>
      </c>
      <c r="H2903" s="1">
        <v>3.5182559999999999E-6</v>
      </c>
      <c r="I2903">
        <v>213.30109999999999</v>
      </c>
      <c r="J2903">
        <v>-459.26249999999999</v>
      </c>
      <c r="K2903">
        <v>1.1204750000000001</v>
      </c>
      <c r="L2903">
        <v>214.3389</v>
      </c>
      <c r="M2903">
        <v>0.99960590000000005</v>
      </c>
      <c r="N2903">
        <v>-1.0739800000000001E-2</v>
      </c>
      <c r="O2903">
        <v>-2.5939770000000001E-2</v>
      </c>
      <c r="P2903">
        <v>0.98542620000000003</v>
      </c>
      <c r="Q2903">
        <v>0.1699571</v>
      </c>
      <c r="R2903">
        <v>7.0719609999999999E-3</v>
      </c>
      <c r="S2903">
        <v>3.055145</v>
      </c>
      <c r="T2903">
        <v>-5.702782E-2</v>
      </c>
      <c r="U2903">
        <v>-5.3207400000000002E-2</v>
      </c>
      <c r="V2903">
        <v>-3.2329089999999998E-2</v>
      </c>
      <c r="W2903">
        <v>0.18057999999999999</v>
      </c>
      <c r="X2903">
        <v>0.98302880000000004</v>
      </c>
      <c r="Y2903">
        <v>-8.5270099999999998E-3</v>
      </c>
      <c r="Z2903">
        <v>3.308157E-4</v>
      </c>
      <c r="AA2903">
        <v>0.99996359999999995</v>
      </c>
      <c r="AB2903">
        <v>27</v>
      </c>
      <c r="AC2903">
        <v>59.763199999999898</v>
      </c>
      <c r="AD2903">
        <v>-1.120471481744</v>
      </c>
      <c r="AE2903">
        <v>-1.0378000000000001</v>
      </c>
      <c r="AF2903">
        <v>-0.51270203138602799</v>
      </c>
      <c r="AG2903">
        <v>-1.120471481744</v>
      </c>
      <c r="AH2903">
        <v>59.749013798641002</v>
      </c>
      <c r="AI2903">
        <v>91.074300583074901</v>
      </c>
      <c r="AJ2903">
        <v>90.4916389361249</v>
      </c>
      <c r="AK2903">
        <v>59.761718261982502</v>
      </c>
      <c r="AL2903">
        <v>79.5964546428783</v>
      </c>
      <c r="AM2903">
        <v>91.8836203385288</v>
      </c>
      <c r="AN2903">
        <v>0.99999996404483305</v>
      </c>
    </row>
    <row r="2904" spans="1:40" x14ac:dyDescent="0.25">
      <c r="A2904" t="str">
        <f>"20190303162835994"</f>
        <v>20190303162835994</v>
      </c>
      <c r="B2904" t="str">
        <f>"1551601715984091"</f>
        <v>1551601715984091</v>
      </c>
      <c r="C2904" t="s">
        <v>40</v>
      </c>
      <c r="D2904">
        <v>4.839791</v>
      </c>
      <c r="E2904">
        <v>0.53771749999999996</v>
      </c>
      <c r="F2904" t="s">
        <v>49</v>
      </c>
      <c r="G2904">
        <v>-434.14479999999998</v>
      </c>
      <c r="H2904" s="1">
        <v>4.2706140000000002E-6</v>
      </c>
      <c r="I2904">
        <v>212.15039999999999</v>
      </c>
      <c r="J2904">
        <v>-458.97370000000001</v>
      </c>
      <c r="K2904">
        <v>1.1204590000000001</v>
      </c>
      <c r="L2904">
        <v>214.33029999999999</v>
      </c>
      <c r="M2904">
        <v>0.99958150000000001</v>
      </c>
      <c r="N2904">
        <v>-1.057525E-2</v>
      </c>
      <c r="O2904">
        <v>-2.6929519999999998E-2</v>
      </c>
      <c r="P2904">
        <v>0.98530980000000001</v>
      </c>
      <c r="Q2904">
        <v>0.17071140000000001</v>
      </c>
      <c r="R2904">
        <v>4.7300809999999997E-3</v>
      </c>
      <c r="S2904">
        <v>3.0698850000000002</v>
      </c>
      <c r="T2904">
        <v>-0.13694389999999901</v>
      </c>
      <c r="U2904">
        <v>-0.26747130000000002</v>
      </c>
      <c r="V2904">
        <v>-3.096206E-2</v>
      </c>
      <c r="W2904">
        <v>0.18116850000000001</v>
      </c>
      <c r="X2904">
        <v>0.98296459999999997</v>
      </c>
      <c r="Y2904">
        <v>5.9880049999999997E-2</v>
      </c>
      <c r="Z2904">
        <v>-7.3611670000000001E-4</v>
      </c>
      <c r="AA2904">
        <v>0.99820529999999996</v>
      </c>
      <c r="AB2904">
        <v>27</v>
      </c>
      <c r="AC2904">
        <v>24.828900000000001</v>
      </c>
      <c r="AD2904">
        <v>-1.1204547293860001</v>
      </c>
      <c r="AE2904">
        <v>-2.1798999999999999</v>
      </c>
      <c r="AF2904">
        <v>1.5073954038333599</v>
      </c>
      <c r="AG2904">
        <v>-1.1204547293860001</v>
      </c>
      <c r="AH2904">
        <v>24.828426276779499</v>
      </c>
      <c r="AI2904">
        <v>92.579142524406507</v>
      </c>
      <c r="AJ2904">
        <v>86.525695551200499</v>
      </c>
      <c r="AK2904">
        <v>24.899365676369701</v>
      </c>
      <c r="AL2904">
        <v>79.562171400314696</v>
      </c>
      <c r="AM2904">
        <v>91.804143316341595</v>
      </c>
      <c r="AN2904">
        <v>1.00000003970242</v>
      </c>
    </row>
    <row r="2905" spans="1:40" x14ac:dyDescent="0.25">
      <c r="A2905" t="str">
        <f>"20190303162836016"</f>
        <v>20190303162836016</v>
      </c>
      <c r="B2905" t="str">
        <f>"1551601716004588"</f>
        <v>1551601716004588</v>
      </c>
      <c r="C2905" t="s">
        <v>40</v>
      </c>
      <c r="D2905">
        <v>4.8303890000000003</v>
      </c>
      <c r="E2905">
        <v>0.53766849999999999</v>
      </c>
      <c r="F2905" t="s">
        <v>49</v>
      </c>
      <c r="G2905">
        <v>-430.84300000000002</v>
      </c>
      <c r="H2905" s="1">
        <v>2.8512759999999999E-6</v>
      </c>
      <c r="I2905">
        <v>211.63740000000001</v>
      </c>
      <c r="J2905">
        <v>-458.71519999999998</v>
      </c>
      <c r="K2905">
        <v>1.1204339999999999</v>
      </c>
      <c r="L2905">
        <v>214.32230000000001</v>
      </c>
      <c r="M2905">
        <v>0.99955899999999998</v>
      </c>
      <c r="N2905">
        <v>-1.0406510000000001E-2</v>
      </c>
      <c r="O2905">
        <v>-2.780734E-2</v>
      </c>
      <c r="P2905">
        <v>0.98493869999999895</v>
      </c>
      <c r="Q2905">
        <v>0.172876799999999</v>
      </c>
      <c r="R2905">
        <v>3.070012E-3</v>
      </c>
      <c r="S2905">
        <v>3.067291</v>
      </c>
      <c r="T2905">
        <v>-0.12217160000000001</v>
      </c>
      <c r="U2905">
        <v>-0.29362490000000002</v>
      </c>
      <c r="V2905">
        <v>-3.015578E-2</v>
      </c>
      <c r="W2905">
        <v>0.18316260000000001</v>
      </c>
      <c r="X2905">
        <v>0.98262000000000005</v>
      </c>
      <c r="Y2905">
        <v>6.7517889999999997E-2</v>
      </c>
      <c r="Z2905">
        <v>-8.7795810000000001E-4</v>
      </c>
      <c r="AA2905">
        <v>0.99771770000000004</v>
      </c>
      <c r="AB2905">
        <v>27</v>
      </c>
      <c r="AC2905">
        <v>27.8721999999999</v>
      </c>
      <c r="AD2905">
        <v>-1.120431148724</v>
      </c>
      <c r="AE2905">
        <v>-2.6848999999999901</v>
      </c>
      <c r="AF2905">
        <v>1.90571659630034</v>
      </c>
      <c r="AG2905">
        <v>-1.120431148724</v>
      </c>
      <c r="AH2905">
        <v>27.8914278984027</v>
      </c>
      <c r="AI2905">
        <v>92.295056107064099</v>
      </c>
      <c r="AJ2905">
        <v>86.091269458660193</v>
      </c>
      <c r="AK2905">
        <v>27.9789004772569</v>
      </c>
      <c r="AL2905">
        <v>79.445973068598605</v>
      </c>
      <c r="AM2905">
        <v>91.757807494778305</v>
      </c>
      <c r="AN2905">
        <v>0.99999998675308399</v>
      </c>
    </row>
    <row r="2906" spans="1:40" x14ac:dyDescent="0.25">
      <c r="A2906" t="str">
        <f>"20190303162836037"</f>
        <v>20190303162836037</v>
      </c>
      <c r="B2906" t="str">
        <f>"1551601716024107"</f>
        <v>1551601716024107</v>
      </c>
      <c r="C2906" t="s">
        <v>40</v>
      </c>
      <c r="D2906">
        <v>4.8748969999999998</v>
      </c>
      <c r="E2906">
        <v>0.5372905</v>
      </c>
      <c r="F2906" t="s">
        <v>49</v>
      </c>
      <c r="G2906">
        <v>-428.58049999999997</v>
      </c>
      <c r="H2906" s="1">
        <v>2.7255439999999999E-6</v>
      </c>
      <c r="I2906">
        <v>211.3794</v>
      </c>
      <c r="J2906">
        <v>-458.45049999999998</v>
      </c>
      <c r="K2906">
        <v>1.1204179999999999</v>
      </c>
      <c r="L2906">
        <v>214.31399999999999</v>
      </c>
      <c r="M2906">
        <v>0.99953610000000004</v>
      </c>
      <c r="N2906">
        <v>-1.0222439999999999E-2</v>
      </c>
      <c r="O2906">
        <v>-2.8690980000000001E-2</v>
      </c>
      <c r="P2906">
        <v>0.98469689999999999</v>
      </c>
      <c r="Q2906">
        <v>0.1742631</v>
      </c>
      <c r="R2906">
        <v>2.1144409999999999E-3</v>
      </c>
      <c r="S2906">
        <v>3.0668329999999999</v>
      </c>
      <c r="T2906">
        <v>-0.114027</v>
      </c>
      <c r="U2906">
        <v>-0.29949949999999997</v>
      </c>
      <c r="V2906">
        <v>-3.0066909999999999E-2</v>
      </c>
      <c r="W2906">
        <v>0.18436440000000001</v>
      </c>
      <c r="X2906">
        <v>0.98239799999999999</v>
      </c>
      <c r="Y2906">
        <v>6.8548970000000001E-2</v>
      </c>
      <c r="Z2906">
        <v>-8.5154220000000001E-4</v>
      </c>
      <c r="AA2906">
        <v>0.99764739999999996</v>
      </c>
      <c r="AB2906">
        <v>27</v>
      </c>
      <c r="AC2906">
        <v>29.87</v>
      </c>
      <c r="AD2906">
        <v>-1.1204152744560001</v>
      </c>
      <c r="AE2906">
        <v>-2.9346000000000099</v>
      </c>
      <c r="AF2906">
        <v>2.0734580451185298</v>
      </c>
      <c r="AG2906">
        <v>-1.1204152744560001</v>
      </c>
      <c r="AH2906">
        <v>29.900236226522399</v>
      </c>
      <c r="AI2906">
        <v>92.140834691942302</v>
      </c>
      <c r="AJ2906">
        <v>86.033124603153794</v>
      </c>
      <c r="AK2906">
        <v>29.9929772622516</v>
      </c>
      <c r="AL2906">
        <v>79.375922640627095</v>
      </c>
      <c r="AM2906">
        <v>91.753026226534502</v>
      </c>
      <c r="AN2906">
        <v>1.0000000407341501</v>
      </c>
    </row>
    <row r="2907" spans="1:40" x14ac:dyDescent="0.25">
      <c r="A2907" t="str">
        <f>"20190303162836062"</f>
        <v>20190303162836062</v>
      </c>
      <c r="B2907" t="str">
        <f>"1551601716054363"</f>
        <v>1551601716054363</v>
      </c>
      <c r="C2907" t="s">
        <v>40</v>
      </c>
      <c r="D2907">
        <v>4.8466189999999996</v>
      </c>
      <c r="E2907">
        <v>0.53721669999999999</v>
      </c>
      <c r="F2907" t="s">
        <v>49</v>
      </c>
      <c r="G2907">
        <v>-426.74849999999998</v>
      </c>
      <c r="H2907" s="1">
        <v>3.0659830000000001E-6</v>
      </c>
      <c r="I2907">
        <v>211.20249999999999</v>
      </c>
      <c r="J2907">
        <v>-458.15960000000001</v>
      </c>
      <c r="K2907">
        <v>1.1204130000000001</v>
      </c>
      <c r="L2907">
        <v>214.30459999999999</v>
      </c>
      <c r="M2907">
        <v>0.99951089999999998</v>
      </c>
      <c r="N2907">
        <v>-1.001165E-2</v>
      </c>
      <c r="O2907">
        <v>-2.9626670000000001E-2</v>
      </c>
      <c r="P2907">
        <v>0.9846241</v>
      </c>
      <c r="Q2907">
        <v>0.17467929999999901</v>
      </c>
      <c r="R2907">
        <v>1.6802529999999901E-3</v>
      </c>
      <c r="S2907">
        <v>3.0664370000000001</v>
      </c>
      <c r="T2907">
        <v>-0.1083741</v>
      </c>
      <c r="U2907">
        <v>-0.30096440000000002</v>
      </c>
      <c r="V2907">
        <v>-3.0561310000000001E-2</v>
      </c>
      <c r="W2907">
        <v>0.18457200000000001</v>
      </c>
      <c r="X2907">
        <v>0.98234370000000004</v>
      </c>
      <c r="Y2907">
        <v>6.8104499999999998E-2</v>
      </c>
      <c r="Z2907">
        <v>-7.943421E-4</v>
      </c>
      <c r="AA2907">
        <v>0.99767790000000001</v>
      </c>
      <c r="AB2907">
        <v>27</v>
      </c>
      <c r="AC2907">
        <v>31.411100000000001</v>
      </c>
      <c r="AD2907">
        <v>-1.120409934017</v>
      </c>
      <c r="AE2907">
        <v>-3.1021000000000001</v>
      </c>
      <c r="AF2907">
        <v>2.1673543377881499</v>
      </c>
      <c r="AG2907">
        <v>-1.120409934017</v>
      </c>
      <c r="AH2907">
        <v>31.4495930517148</v>
      </c>
      <c r="AI2907">
        <v>92.035508555362497</v>
      </c>
      <c r="AJ2907">
        <v>86.057684291071993</v>
      </c>
      <c r="AK2907">
        <v>31.5440905141397</v>
      </c>
      <c r="AL2907">
        <v>79.363819699583502</v>
      </c>
      <c r="AM2907">
        <v>91.781931805343902</v>
      </c>
      <c r="AN2907">
        <v>0.99999998089130204</v>
      </c>
    </row>
    <row r="2908" spans="1:40" x14ac:dyDescent="0.25">
      <c r="A2908" t="str">
        <f>"20190303162836109"</f>
        <v>20190303162836109</v>
      </c>
      <c r="B2908" t="str">
        <f>"1551601716104139"</f>
        <v>1551601716104139</v>
      </c>
      <c r="C2908" t="s">
        <v>40</v>
      </c>
      <c r="D2908">
        <v>4.8454839999999999</v>
      </c>
      <c r="E2908">
        <v>0.53742639999999997</v>
      </c>
      <c r="F2908" t="s">
        <v>49</v>
      </c>
      <c r="G2908">
        <v>-426.05959999999999</v>
      </c>
      <c r="H2908" s="1">
        <v>3.1939480000000001E-6</v>
      </c>
      <c r="I2908">
        <v>211.13650000000001</v>
      </c>
      <c r="J2908">
        <v>-457.59190000000001</v>
      </c>
      <c r="K2908">
        <v>1.1204270000000001</v>
      </c>
      <c r="L2908">
        <v>214.28569999999999</v>
      </c>
      <c r="M2908">
        <v>0.99946500000000005</v>
      </c>
      <c r="N2908">
        <v>-9.605087E-3</v>
      </c>
      <c r="O2908">
        <v>-3.1265899999999999E-2</v>
      </c>
      <c r="P2908">
        <v>0.98475429999999997</v>
      </c>
      <c r="Q2908">
        <v>0.17394109999999999</v>
      </c>
      <c r="R2908">
        <v>1.9295709999999999E-3</v>
      </c>
      <c r="S2908">
        <v>3.0663149999999999</v>
      </c>
      <c r="T2908">
        <v>-0.1070257</v>
      </c>
      <c r="U2908">
        <v>-0.3026276</v>
      </c>
      <c r="V2908">
        <v>-3.2465389999999997E-2</v>
      </c>
      <c r="W2908">
        <v>0.1834317</v>
      </c>
      <c r="X2908">
        <v>0.98249620000000004</v>
      </c>
      <c r="Y2908">
        <v>6.701116E-2</v>
      </c>
      <c r="Z2908">
        <v>-7.0092449999999997E-4</v>
      </c>
      <c r="AA2908">
        <v>0.99775199999999997</v>
      </c>
      <c r="AB2908">
        <v>27</v>
      </c>
      <c r="AC2908">
        <v>31.532299999999999</v>
      </c>
      <c r="AD2908">
        <v>-1.120423806052</v>
      </c>
      <c r="AE2908">
        <v>-3.1491999999999698</v>
      </c>
      <c r="AF2908">
        <v>2.15903005889033</v>
      </c>
      <c r="AG2908">
        <v>-1.120423806052</v>
      </c>
      <c r="AH2908">
        <v>31.5758767765433</v>
      </c>
      <c r="AI2908">
        <v>92.027474318715605</v>
      </c>
      <c r="AJ2908">
        <v>86.0884358645053</v>
      </c>
      <c r="AK2908">
        <v>31.669429336630099</v>
      </c>
      <c r="AL2908">
        <v>79.430289046378505</v>
      </c>
      <c r="AM2908">
        <v>91.892580602805396</v>
      </c>
      <c r="AN2908">
        <v>0.99999998656359101</v>
      </c>
    </row>
    <row r="2909" spans="1:40" x14ac:dyDescent="0.25">
      <c r="A2909" t="str">
        <f>"20190303162836127"</f>
        <v>20190303162836127</v>
      </c>
      <c r="B2909" t="str">
        <f>"1551601716114875"</f>
        <v>1551601716114875</v>
      </c>
      <c r="C2909" t="s">
        <v>40</v>
      </c>
      <c r="D2909">
        <v>4.840827</v>
      </c>
      <c r="E2909">
        <v>0.53755129999999995</v>
      </c>
      <c r="F2909" t="s">
        <v>49</v>
      </c>
      <c r="G2909">
        <v>-426.06810000000002</v>
      </c>
      <c r="H2909" s="1">
        <v>3.1892829999999999E-6</v>
      </c>
      <c r="I2909">
        <v>211.17259999999999</v>
      </c>
      <c r="J2909">
        <v>-457.35539999999997</v>
      </c>
      <c r="K2909">
        <v>1.120439</v>
      </c>
      <c r="L2909">
        <v>214.27760000000001</v>
      </c>
      <c r="M2909">
        <v>0.99944730000000004</v>
      </c>
      <c r="N2909">
        <v>-9.4531749999999994E-3</v>
      </c>
      <c r="O2909">
        <v>-3.1871959999999998E-2</v>
      </c>
      <c r="P2909">
        <v>0.98510969999999998</v>
      </c>
      <c r="Q2909">
        <v>0.17191419999999999</v>
      </c>
      <c r="R2909">
        <v>2.1630619999999999E-3</v>
      </c>
      <c r="S2909">
        <v>3.066284</v>
      </c>
      <c r="T2909">
        <v>-0.1089823</v>
      </c>
      <c r="U2909">
        <v>-0.30281069999999999</v>
      </c>
      <c r="V2909">
        <v>-3.3326090000000003E-2</v>
      </c>
      <c r="W2909">
        <v>0.18125669999999999</v>
      </c>
      <c r="X2909">
        <v>0.98287100000000005</v>
      </c>
      <c r="Y2909">
        <v>6.6465880000000005E-2</v>
      </c>
      <c r="Z2909">
        <v>-6.6453159999999999E-4</v>
      </c>
      <c r="AA2909">
        <v>0.99778849999999997</v>
      </c>
      <c r="AB2909">
        <v>27</v>
      </c>
      <c r="AC2909">
        <v>31.287299999999899</v>
      </c>
      <c r="AD2909">
        <v>-1.120435810717</v>
      </c>
      <c r="AE2909">
        <v>-3.1050000000000102</v>
      </c>
      <c r="AF2909">
        <v>2.1035189753313199</v>
      </c>
      <c r="AG2909">
        <v>-1.120435810717</v>
      </c>
      <c r="AH2909">
        <v>31.3305824403458</v>
      </c>
      <c r="AI2909">
        <v>92.043526623791294</v>
      </c>
      <c r="AJ2909">
        <v>86.158955742559897</v>
      </c>
      <c r="AK2909">
        <v>31.421100625802701</v>
      </c>
      <c r="AL2909">
        <v>79.557032536465698</v>
      </c>
      <c r="AM2909">
        <v>91.9419771884873</v>
      </c>
      <c r="AN2909">
        <v>1.00000001110528</v>
      </c>
    </row>
    <row r="2910" spans="1:40" x14ac:dyDescent="0.25">
      <c r="A2910" t="str">
        <f>"20190303162836150"</f>
        <v>20190303162836150</v>
      </c>
      <c r="B2910" t="str">
        <f>"1551601716144155"</f>
        <v>1551601716144155</v>
      </c>
      <c r="C2910" t="s">
        <v>40</v>
      </c>
      <c r="D2910">
        <v>4.8257779999999997</v>
      </c>
      <c r="E2910">
        <v>0.53787700000000005</v>
      </c>
      <c r="F2910" t="s">
        <v>49</v>
      </c>
      <c r="G2910">
        <v>-427.8963</v>
      </c>
      <c r="H2910" s="1">
        <v>2.8479209999999998E-6</v>
      </c>
      <c r="I2910">
        <v>211.36779999999999</v>
      </c>
      <c r="J2910">
        <v>-457.07240000000002</v>
      </c>
      <c r="K2910">
        <v>1.120455</v>
      </c>
      <c r="L2910">
        <v>214.2679</v>
      </c>
      <c r="M2910">
        <v>0.99942739999999997</v>
      </c>
      <c r="N2910">
        <v>-9.2889129999999993E-3</v>
      </c>
      <c r="O2910">
        <v>-3.2538749999999998E-2</v>
      </c>
      <c r="P2910">
        <v>0.98552660000000003</v>
      </c>
      <c r="Q2910">
        <v>0.16950879999999999</v>
      </c>
      <c r="R2910">
        <v>2.041321E-3</v>
      </c>
      <c r="S2910">
        <v>3.066376</v>
      </c>
      <c r="T2910">
        <v>-0.1166254</v>
      </c>
      <c r="U2910">
        <v>-0.30288700000000002</v>
      </c>
      <c r="V2910">
        <v>-3.3895740000000001E-2</v>
      </c>
      <c r="W2910">
        <v>0.1786915</v>
      </c>
      <c r="X2910">
        <v>0.98332109999999995</v>
      </c>
      <c r="Y2910">
        <v>6.5818450000000001E-2</v>
      </c>
      <c r="Z2910">
        <v>-6.2288699999999905E-4</v>
      </c>
      <c r="AA2910">
        <v>0.99783140000000003</v>
      </c>
      <c r="AB2910">
        <v>27</v>
      </c>
      <c r="AC2910">
        <v>29.176100000000002</v>
      </c>
      <c r="AD2910">
        <v>-1.1204521520790001</v>
      </c>
      <c r="AE2910">
        <v>-2.9001000000000001</v>
      </c>
      <c r="AF2910">
        <v>1.9463271408252101</v>
      </c>
      <c r="AG2910">
        <v>-1.1204521520790001</v>
      </c>
      <c r="AH2910">
        <v>29.212358090965701</v>
      </c>
      <c r="AI2910">
        <v>92.191672334626205</v>
      </c>
      <c r="AJ2910">
        <v>86.188196911699094</v>
      </c>
      <c r="AK2910">
        <v>29.298557432048099</v>
      </c>
      <c r="AL2910">
        <v>79.706447129765195</v>
      </c>
      <c r="AM2910">
        <v>91.974242372568895</v>
      </c>
      <c r="AN2910">
        <v>0.99999997953380304</v>
      </c>
    </row>
    <row r="2911" spans="1:40" x14ac:dyDescent="0.25">
      <c r="A2911" t="str">
        <f>"20190303162836172"</f>
        <v>20190303162836172</v>
      </c>
      <c r="B2911" t="str">
        <f>"1551601716164652"</f>
        <v>1551601716164652</v>
      </c>
      <c r="C2911" t="s">
        <v>40</v>
      </c>
      <c r="D2911">
        <v>4.9390260000000001</v>
      </c>
      <c r="E2911">
        <v>0.5383462</v>
      </c>
      <c r="F2911" t="s">
        <v>49</v>
      </c>
      <c r="G2911">
        <v>-429.57170000000002</v>
      </c>
      <c r="H2911" s="1">
        <v>2.5364279999999999E-6</v>
      </c>
      <c r="I2911">
        <v>211.53129999999999</v>
      </c>
      <c r="J2911">
        <v>-456.7978</v>
      </c>
      <c r="K2911">
        <v>1.1204769999999999</v>
      </c>
      <c r="L2911">
        <v>214.25829999999999</v>
      </c>
      <c r="M2911">
        <v>0.99941029999999997</v>
      </c>
      <c r="N2911">
        <v>-9.1459530000000001E-3</v>
      </c>
      <c r="O2911">
        <v>-3.3098429999999998E-2</v>
      </c>
      <c r="P2911">
        <v>0.98583140000000002</v>
      </c>
      <c r="Q2911">
        <v>0.16773740000000001</v>
      </c>
      <c r="R2911">
        <v>8.4033980000000001E-4</v>
      </c>
      <c r="S2911">
        <v>3.0661010000000002</v>
      </c>
      <c r="T2911">
        <v>-0.1249212</v>
      </c>
      <c r="U2911">
        <v>-0.30509950000000002</v>
      </c>
      <c r="V2911">
        <v>-3.3279110000000001E-2</v>
      </c>
      <c r="W2911">
        <v>0.17677789999999999</v>
      </c>
      <c r="X2911">
        <v>0.98368800000000001</v>
      </c>
      <c r="Y2911">
        <v>6.5976809999999997E-2</v>
      </c>
      <c r="Z2911">
        <v>-6.0092469999999999E-4</v>
      </c>
      <c r="AA2911">
        <v>0.99782099999999996</v>
      </c>
      <c r="AB2911">
        <v>28</v>
      </c>
      <c r="AC2911">
        <v>27.226099999999899</v>
      </c>
      <c r="AD2911">
        <v>-1.1204744635720001</v>
      </c>
      <c r="AE2911">
        <v>-2.7269999999999999</v>
      </c>
      <c r="AF2911">
        <v>1.8212729057371</v>
      </c>
      <c r="AG2911">
        <v>-1.1204744635720001</v>
      </c>
      <c r="AH2911">
        <v>27.255740510876301</v>
      </c>
      <c r="AI2911">
        <v>92.348852735634594</v>
      </c>
      <c r="AJ2911">
        <v>86.177086011782393</v>
      </c>
      <c r="AK2911">
        <v>27.339493207024098</v>
      </c>
      <c r="AL2911">
        <v>79.817862501063502</v>
      </c>
      <c r="AM2911">
        <v>91.937632257844697</v>
      </c>
      <c r="AN2911">
        <v>1.0000000032173999</v>
      </c>
    </row>
    <row r="2912" spans="1:40" x14ac:dyDescent="0.25">
      <c r="A2912" t="str">
        <f>"20190303162836194"</f>
        <v>20190303162836194</v>
      </c>
      <c r="B2912" t="str">
        <f>"1551601716184172"</f>
        <v>1551601716184172</v>
      </c>
      <c r="C2912" t="s">
        <v>40</v>
      </c>
      <c r="D2912">
        <v>4.9349119999999997</v>
      </c>
      <c r="E2912">
        <v>0.53383059999999904</v>
      </c>
      <c r="F2912" t="s">
        <v>49</v>
      </c>
      <c r="G2912">
        <v>-430.4246</v>
      </c>
      <c r="H2912" s="1">
        <v>2.6703099999999999E-6</v>
      </c>
      <c r="I2912">
        <v>211.5847</v>
      </c>
      <c r="J2912">
        <v>-456.52019999999999</v>
      </c>
      <c r="K2912">
        <v>1.1205179999999999</v>
      </c>
      <c r="L2912">
        <v>214.24850000000001</v>
      </c>
      <c r="M2912">
        <v>0.99939579999999995</v>
      </c>
      <c r="N2912">
        <v>-9.0175780000000001E-3</v>
      </c>
      <c r="O2912">
        <v>-3.356928E-2</v>
      </c>
      <c r="P2912">
        <v>0.98598580000000002</v>
      </c>
      <c r="Q2912">
        <v>0.16683110000000001</v>
      </c>
      <c r="R2912">
        <v>1.2866409999999999E-4</v>
      </c>
      <c r="S2912">
        <v>3.0655209999999999</v>
      </c>
      <c r="T2912">
        <v>-0.13023970000000001</v>
      </c>
      <c r="U2912">
        <v>-0.3107605</v>
      </c>
      <c r="V2912">
        <v>-3.3062550000000003E-2</v>
      </c>
      <c r="W2912">
        <v>0.17574200000000001</v>
      </c>
      <c r="X2912">
        <v>0.98388089999999995</v>
      </c>
      <c r="Y2912">
        <v>6.7345219999999997E-2</v>
      </c>
      <c r="Z2912">
        <v>-6.1178339999999999E-4</v>
      </c>
      <c r="AA2912">
        <v>0.99772950000000005</v>
      </c>
      <c r="AB2912">
        <v>28</v>
      </c>
      <c r="AC2912">
        <v>26.095599999999902</v>
      </c>
      <c r="AD2912">
        <v>-1.1205153296899999</v>
      </c>
      <c r="AE2912">
        <v>-2.6638000000000002</v>
      </c>
      <c r="AF2912">
        <v>1.7829990018303501</v>
      </c>
      <c r="AG2912">
        <v>-1.1205153296899999</v>
      </c>
      <c r="AH2912">
        <v>26.122649781734602</v>
      </c>
      <c r="AI2912">
        <v>92.450467875199493</v>
      </c>
      <c r="AJ2912">
        <v>86.095338039588697</v>
      </c>
      <c r="AK2912">
        <v>26.207393454209701</v>
      </c>
      <c r="AL2912">
        <v>79.878159237093698</v>
      </c>
      <c r="AM2912">
        <v>91.924655716825299</v>
      </c>
      <c r="AN2912">
        <v>1.00000000408065</v>
      </c>
    </row>
    <row r="2913" spans="1:40" x14ac:dyDescent="0.25">
      <c r="A2913" t="str">
        <f>"20190303162836217"</f>
        <v>20190303162836217</v>
      </c>
      <c r="B2913" t="str">
        <f>"1551601716204668"</f>
        <v>1551601716204668</v>
      </c>
      <c r="C2913" t="s">
        <v>40</v>
      </c>
      <c r="D2913">
        <v>4.8396749999999997</v>
      </c>
      <c r="E2913">
        <v>0.53128330000000001</v>
      </c>
      <c r="F2913" t="s">
        <v>49</v>
      </c>
      <c r="G2913">
        <v>-430.59399999999999</v>
      </c>
      <c r="H2913" s="1">
        <v>2.7166040000000001E-6</v>
      </c>
      <c r="I2913">
        <v>211.91419999999999</v>
      </c>
      <c r="J2913">
        <v>-456.23970000000003</v>
      </c>
      <c r="K2913">
        <v>1.120571</v>
      </c>
      <c r="L2913">
        <v>214.23869999999999</v>
      </c>
      <c r="M2913">
        <v>0.99938389999999999</v>
      </c>
      <c r="N2913">
        <v>-8.9036340000000005E-3</v>
      </c>
      <c r="O2913">
        <v>-3.3948190000000003E-2</v>
      </c>
      <c r="P2913">
        <v>0.98587720000000001</v>
      </c>
      <c r="Q2913">
        <v>0.1674697</v>
      </c>
      <c r="R2913">
        <v>3.7279540000000001E-4</v>
      </c>
      <c r="S2913">
        <v>3.0650940000000002</v>
      </c>
      <c r="T2913">
        <v>-0.13247129999999999</v>
      </c>
      <c r="U2913">
        <v>-0.27597050000000001</v>
      </c>
      <c r="V2913">
        <v>-3.3704900000000003E-2</v>
      </c>
      <c r="W2913">
        <v>0.17626249999999999</v>
      </c>
      <c r="X2913">
        <v>0.98376600000000003</v>
      </c>
      <c r="Y2913">
        <v>5.5766820000000002E-2</v>
      </c>
      <c r="Z2913">
        <v>-2.8991729999999999E-4</v>
      </c>
      <c r="AA2913">
        <v>0.99844379999999999</v>
      </c>
      <c r="AB2913">
        <v>28</v>
      </c>
      <c r="AC2913">
        <v>25.645700000000001</v>
      </c>
      <c r="AD2913">
        <v>-1.120568283396</v>
      </c>
      <c r="AE2913">
        <v>-2.3245</v>
      </c>
      <c r="AF2913">
        <v>1.4497551077809201</v>
      </c>
      <c r="AG2913">
        <v>-1.120568283396</v>
      </c>
      <c r="AH2913">
        <v>25.661239402464201</v>
      </c>
      <c r="AI2913">
        <v>92.496412811024399</v>
      </c>
      <c r="AJ2913">
        <v>86.766460051584502</v>
      </c>
      <c r="AK2913">
        <v>25.726575186388001</v>
      </c>
      <c r="AL2913">
        <v>79.847863987726697</v>
      </c>
      <c r="AM2913">
        <v>91.962248585578905</v>
      </c>
      <c r="AN2913">
        <v>1.0000000159731299</v>
      </c>
    </row>
    <row r="2914" spans="1:40" x14ac:dyDescent="0.25">
      <c r="A2914" t="str">
        <f>"20190303162836239"</f>
        <v>20190303162836239</v>
      </c>
      <c r="B2914" t="str">
        <f>"1551601716234924"</f>
        <v>1551601716234924</v>
      </c>
      <c r="C2914" t="s">
        <v>40</v>
      </c>
      <c r="D2914">
        <v>4.8250229999999998</v>
      </c>
      <c r="E2914">
        <v>0.46682960000000001</v>
      </c>
      <c r="F2914" t="s">
        <v>49</v>
      </c>
      <c r="G2914">
        <v>-429.41430000000003</v>
      </c>
      <c r="H2914" s="1">
        <v>2.522263E-6</v>
      </c>
      <c r="I2914">
        <v>212.0128</v>
      </c>
      <c r="J2914">
        <v>-455.9658</v>
      </c>
      <c r="K2914">
        <v>1.1206339999999999</v>
      </c>
      <c r="L2914">
        <v>214.22900000000001</v>
      </c>
      <c r="M2914">
        <v>0.99937549999999997</v>
      </c>
      <c r="N2914">
        <v>-8.8066510000000004E-3</v>
      </c>
      <c r="O2914">
        <v>-3.4224070000000002E-2</v>
      </c>
      <c r="P2914">
        <v>0.9857979</v>
      </c>
      <c r="Q2914">
        <v>0.1679349</v>
      </c>
      <c r="R2914">
        <v>8.2187489999999998E-4</v>
      </c>
      <c r="S2914">
        <v>3.064819</v>
      </c>
      <c r="T2914">
        <v>-0.1280258</v>
      </c>
      <c r="U2914">
        <v>-0.254303</v>
      </c>
      <c r="V2914">
        <v>-3.4453629999999999E-2</v>
      </c>
      <c r="W2914">
        <v>0.176625799999999</v>
      </c>
      <c r="X2914">
        <v>0.98367490000000002</v>
      </c>
      <c r="Y2914">
        <v>4.8501620000000002E-2</v>
      </c>
      <c r="Z2914" s="1">
        <v>-9.9986440000000005E-5</v>
      </c>
      <c r="AA2914">
        <v>0.99882309999999996</v>
      </c>
      <c r="AB2914">
        <v>28</v>
      </c>
      <c r="AC2914">
        <v>26.551499999999901</v>
      </c>
      <c r="AD2914">
        <v>-1.1206314777369999</v>
      </c>
      <c r="AE2914">
        <v>-2.2162000000000099</v>
      </c>
      <c r="AF2914">
        <v>1.30385953650342</v>
      </c>
      <c r="AG2914">
        <v>-1.1206314777369999</v>
      </c>
      <c r="AH2914">
        <v>26.564801225956199</v>
      </c>
      <c r="AI2914">
        <v>92.412679229758993</v>
      </c>
      <c r="AJ2914">
        <v>87.190050691531496</v>
      </c>
      <c r="AK2914">
        <v>26.620378073468199</v>
      </c>
      <c r="AL2914">
        <v>79.826716657561207</v>
      </c>
      <c r="AM2914">
        <v>92.005988910234294</v>
      </c>
      <c r="AN2914">
        <v>1.00000001736791</v>
      </c>
    </row>
    <row r="2915" spans="1:40" x14ac:dyDescent="0.25">
      <c r="A2915" t="str">
        <f>"20190303162836265"</f>
        <v>20190303162836265</v>
      </c>
      <c r="B2915" t="str">
        <f>"1551601716254444"</f>
        <v>1551601716254444</v>
      </c>
      <c r="C2915" t="s">
        <v>40</v>
      </c>
      <c r="D2915">
        <v>4.6793550000000002</v>
      </c>
      <c r="E2915">
        <v>0.46819630000000001</v>
      </c>
      <c r="F2915" t="s">
        <v>49</v>
      </c>
      <c r="G2915">
        <v>-420.65519999999998</v>
      </c>
      <c r="H2915" s="1">
        <v>3.6183740000000001E-6</v>
      </c>
      <c r="I2915">
        <v>217.2473</v>
      </c>
      <c r="J2915">
        <v>-455.64789999999999</v>
      </c>
      <c r="K2915">
        <v>1.1207009999999999</v>
      </c>
      <c r="L2915">
        <v>214.21780000000001</v>
      </c>
      <c r="M2915">
        <v>0.99936919999999996</v>
      </c>
      <c r="N2915">
        <v>-8.7098539999999995E-3</v>
      </c>
      <c r="O2915">
        <v>-3.4429639999999997E-2</v>
      </c>
      <c r="P2915">
        <v>0.98605390000000004</v>
      </c>
      <c r="Q2915">
        <v>0.16642609999999999</v>
      </c>
      <c r="R2915">
        <v>2.9080039999999999E-4</v>
      </c>
      <c r="S2915">
        <v>3.0595400000000001</v>
      </c>
      <c r="T2915">
        <v>-9.7098710000000005E-2</v>
      </c>
      <c r="U2915">
        <v>0.26152039999999999</v>
      </c>
      <c r="V2915">
        <v>-3.4170449999999998E-2</v>
      </c>
      <c r="W2915">
        <v>0.17501710000000001</v>
      </c>
      <c r="X2915">
        <v>0.98397230000000002</v>
      </c>
      <c r="Y2915">
        <v>-0.1193366</v>
      </c>
      <c r="Z2915">
        <v>3.2019919999999999E-3</v>
      </c>
      <c r="AA2915">
        <v>0.99284870000000003</v>
      </c>
      <c r="AB2915">
        <v>28</v>
      </c>
      <c r="AC2915">
        <v>34.992699999999999</v>
      </c>
      <c r="AD2915">
        <v>-1.120697381626</v>
      </c>
      <c r="AE2915">
        <v>3.0294999999999801</v>
      </c>
      <c r="AF2915">
        <v>-4.2282308289596804</v>
      </c>
      <c r="AG2915">
        <v>-1.120697381626</v>
      </c>
      <c r="AH2915">
        <v>34.832181860141802</v>
      </c>
      <c r="AI2915">
        <v>91.829390129827004</v>
      </c>
      <c r="AJ2915">
        <v>96.921193670497701</v>
      </c>
      <c r="AK2915">
        <v>35.1057657899972</v>
      </c>
      <c r="AL2915">
        <v>79.920347245760894</v>
      </c>
      <c r="AM2915">
        <v>91.988913828671301</v>
      </c>
      <c r="AN2915">
        <v>1.00000004605645</v>
      </c>
    </row>
    <row r="2916" spans="1:40" x14ac:dyDescent="0.25">
      <c r="A2916" t="str">
        <f>"20190303162836286"</f>
        <v>20190303162836286</v>
      </c>
      <c r="B2916" t="str">
        <f>"1551601716273964"</f>
        <v>1551601716273964</v>
      </c>
      <c r="C2916" t="s">
        <v>40</v>
      </c>
      <c r="D2916">
        <v>4.6547390000000002</v>
      </c>
      <c r="E2916">
        <v>0.46944970000000003</v>
      </c>
      <c r="F2916" t="s">
        <v>49</v>
      </c>
      <c r="G2916">
        <v>-420.92439999999999</v>
      </c>
      <c r="H2916" s="1">
        <v>3.5890540000000001E-6</v>
      </c>
      <c r="I2916">
        <v>217.03649999999999</v>
      </c>
      <c r="J2916">
        <v>-455.37740000000002</v>
      </c>
      <c r="K2916">
        <v>1.12076</v>
      </c>
      <c r="L2916">
        <v>214.20840000000001</v>
      </c>
      <c r="M2916">
        <v>0.9993668</v>
      </c>
      <c r="N2916">
        <v>-8.6399400000000005E-3</v>
      </c>
      <c r="O2916">
        <v>-3.4514740000000002E-2</v>
      </c>
      <c r="P2916">
        <v>0.98629029999999995</v>
      </c>
      <c r="Q2916">
        <v>0.1650191</v>
      </c>
      <c r="R2916">
        <v>-1.8663520000000001E-4</v>
      </c>
      <c r="S2916">
        <v>3.0589900000000001</v>
      </c>
      <c r="T2916">
        <v>-9.8728659999999996E-2</v>
      </c>
      <c r="U2916">
        <v>0.24830630000000001</v>
      </c>
      <c r="V2916">
        <v>-3.3811590000000002E-2</v>
      </c>
      <c r="W2916">
        <v>0.1735381</v>
      </c>
      <c r="X2916">
        <v>0.98424659999999997</v>
      </c>
      <c r="Y2916">
        <v>-0.1151759</v>
      </c>
      <c r="Z2916">
        <v>3.1681230000000001E-3</v>
      </c>
      <c r="AA2916">
        <v>0.99334009999999995</v>
      </c>
      <c r="AB2916">
        <v>28</v>
      </c>
      <c r="AC2916">
        <v>34.453000000000003</v>
      </c>
      <c r="AD2916">
        <v>-1.120756410946</v>
      </c>
      <c r="AE2916">
        <v>2.8280999999999699</v>
      </c>
      <c r="AF2916">
        <v>-4.0113791965432304</v>
      </c>
      <c r="AG2916">
        <v>-1.120756410946</v>
      </c>
      <c r="AH2916">
        <v>34.298804076206601</v>
      </c>
      <c r="AI2916">
        <v>91.858884534846595</v>
      </c>
      <c r="AJ2916">
        <v>96.670661258262399</v>
      </c>
      <c r="AK2916">
        <v>34.550762930059001</v>
      </c>
      <c r="AL2916">
        <v>80.006404548110098</v>
      </c>
      <c r="AM2916">
        <v>91.967494612377493</v>
      </c>
      <c r="AN2916">
        <v>1.0000000326907399</v>
      </c>
    </row>
    <row r="2917" spans="1:40" x14ac:dyDescent="0.25">
      <c r="A2917" t="str">
        <f>"20190303162836307"</f>
        <v>20190303162836307</v>
      </c>
      <c r="B2917" t="str">
        <f>"1551601716294459"</f>
        <v>1551601716294459</v>
      </c>
      <c r="C2917" t="s">
        <v>40</v>
      </c>
      <c r="D2917">
        <v>4.8264620000000003</v>
      </c>
      <c r="E2917">
        <v>0.47001310000000002</v>
      </c>
      <c r="F2917" t="s">
        <v>49</v>
      </c>
      <c r="G2917">
        <v>-421.50619999999998</v>
      </c>
      <c r="H2917" s="1">
        <v>3.5044179999999999E-6</v>
      </c>
      <c r="I2917">
        <v>216.82409999999999</v>
      </c>
      <c r="J2917">
        <v>-455.11799999999999</v>
      </c>
      <c r="K2917">
        <v>1.120798</v>
      </c>
      <c r="L2917">
        <v>214.1994</v>
      </c>
      <c r="M2917">
        <v>0.99936650000000005</v>
      </c>
      <c r="N2917">
        <v>-8.5819380000000008E-3</v>
      </c>
      <c r="O2917">
        <v>-3.4545729999999997E-2</v>
      </c>
      <c r="P2917">
        <v>0.98627719999999997</v>
      </c>
      <c r="Q2917">
        <v>0.16509380000000001</v>
      </c>
      <c r="R2917">
        <v>-1.2212810000000001E-3</v>
      </c>
      <c r="S2917">
        <v>3.0586549999999999</v>
      </c>
      <c r="T2917">
        <v>-0.10120709999999999</v>
      </c>
      <c r="U2917">
        <v>0.2362061</v>
      </c>
      <c r="V2917">
        <v>-3.2825899999999998E-2</v>
      </c>
      <c r="W2917">
        <v>0.17355219999999999</v>
      </c>
      <c r="X2917">
        <v>0.98427739999999997</v>
      </c>
      <c r="Y2917">
        <v>-0.111308</v>
      </c>
      <c r="Z2917">
        <v>3.1621420000000002E-3</v>
      </c>
      <c r="AA2917">
        <v>0.99378089999999997</v>
      </c>
      <c r="AB2917">
        <v>28</v>
      </c>
      <c r="AC2917">
        <v>33.611800000000002</v>
      </c>
      <c r="AD2917">
        <v>-1.1207944955819999</v>
      </c>
      <c r="AE2917">
        <v>2.62469999999999</v>
      </c>
      <c r="AF2917">
        <v>-3.7801422207328299</v>
      </c>
      <c r="AG2917">
        <v>-1.1207944955819999</v>
      </c>
      <c r="AH2917">
        <v>33.464077340630901</v>
      </c>
      <c r="AI2917">
        <v>91.906146080303301</v>
      </c>
      <c r="AJ2917">
        <v>96.444879755528802</v>
      </c>
      <c r="AK2917">
        <v>33.695550563390697</v>
      </c>
      <c r="AL2917">
        <v>80.005583425360797</v>
      </c>
      <c r="AM2917">
        <v>91.910120763845299</v>
      </c>
      <c r="AN2917">
        <v>0.99999995299320299</v>
      </c>
    </row>
    <row r="2918" spans="1:40" x14ac:dyDescent="0.25">
      <c r="A2918" t="str">
        <f>"20190303162836328"</f>
        <v>20190303162836328</v>
      </c>
      <c r="B2918" t="str">
        <f>"1551601716313980"</f>
        <v>1551601716313980</v>
      </c>
      <c r="C2918" t="s">
        <v>40</v>
      </c>
      <c r="D2918">
        <v>4.6202160000000001</v>
      </c>
      <c r="E2918">
        <v>0.47047499999999998</v>
      </c>
      <c r="F2918" t="s">
        <v>49</v>
      </c>
      <c r="G2918">
        <v>-420.63240000000002</v>
      </c>
      <c r="H2918" s="1">
        <v>3.6636119999999999E-6</v>
      </c>
      <c r="I2918">
        <v>216.77619999999999</v>
      </c>
      <c r="J2918">
        <v>-454.84699999999998</v>
      </c>
      <c r="K2918">
        <v>1.120825</v>
      </c>
      <c r="L2918">
        <v>214.19</v>
      </c>
      <c r="M2918">
        <v>0.99936700000000001</v>
      </c>
      <c r="N2918">
        <v>-8.5297510000000003E-3</v>
      </c>
      <c r="O2918">
        <v>-3.4537199999999997E-2</v>
      </c>
      <c r="P2918">
        <v>0.98623919999999998</v>
      </c>
      <c r="Q2918">
        <v>0.16530120000000001</v>
      </c>
      <c r="R2918">
        <v>-2.8004649999999998E-3</v>
      </c>
      <c r="S2918">
        <v>3.058624</v>
      </c>
      <c r="T2918">
        <v>-9.9406240000000007E-2</v>
      </c>
      <c r="U2918">
        <v>0.2285461</v>
      </c>
      <c r="V2918">
        <v>-3.1251300000000003E-2</v>
      </c>
      <c r="W2918">
        <v>0.17370569999999999</v>
      </c>
      <c r="X2918">
        <v>0.9843016</v>
      </c>
      <c r="Y2918">
        <v>-0.10883</v>
      </c>
      <c r="Z2918">
        <v>3.0572590000000001E-3</v>
      </c>
      <c r="AA2918">
        <v>0.99405569999999999</v>
      </c>
      <c r="AB2918">
        <v>28</v>
      </c>
      <c r="AC2918">
        <v>34.214599999999898</v>
      </c>
      <c r="AD2918">
        <v>-1.120821336388</v>
      </c>
      <c r="AE2918">
        <v>2.5861999999999901</v>
      </c>
      <c r="AF2918">
        <v>-3.7623619383070999</v>
      </c>
      <c r="AG2918">
        <v>-1.120821336388</v>
      </c>
      <c r="AH2918">
        <v>34.068511134542199</v>
      </c>
      <c r="AI2918">
        <v>91.872918367566697</v>
      </c>
      <c r="AJ2918">
        <v>96.301932838586794</v>
      </c>
      <c r="AK2918">
        <v>34.293950760263101</v>
      </c>
      <c r="AL2918">
        <v>79.996653119201497</v>
      </c>
      <c r="AM2918">
        <v>91.818514061684198</v>
      </c>
      <c r="AN2918">
        <v>0.99999997686336894</v>
      </c>
    </row>
    <row r="2919" spans="1:40" x14ac:dyDescent="0.25">
      <c r="A2919" t="str">
        <f>"20190303162836351"</f>
        <v>20190303162836351</v>
      </c>
      <c r="B2919" t="str">
        <f>"1551601716344236"</f>
        <v>1551601716344236</v>
      </c>
      <c r="C2919" t="s">
        <v>40</v>
      </c>
      <c r="D2919">
        <v>4.6696869999999997</v>
      </c>
      <c r="E2919">
        <v>0.47093459999999998</v>
      </c>
      <c r="F2919" t="s">
        <v>49</v>
      </c>
      <c r="G2919">
        <v>-418.99149999999997</v>
      </c>
      <c r="H2919" s="1">
        <v>3.6118170000000001E-6</v>
      </c>
      <c r="I2919">
        <v>216.77680000000001</v>
      </c>
      <c r="J2919">
        <v>-454.57100000000003</v>
      </c>
      <c r="K2919">
        <v>1.1208450000000001</v>
      </c>
      <c r="L2919">
        <v>214.18049999999999</v>
      </c>
      <c r="M2919">
        <v>0.99936910000000001</v>
      </c>
      <c r="N2919">
        <v>-8.4827600000000006E-3</v>
      </c>
      <c r="O2919">
        <v>-3.4490380000000001E-2</v>
      </c>
      <c r="P2919">
        <v>0.98636230000000003</v>
      </c>
      <c r="Q2919">
        <v>0.16453319999999999</v>
      </c>
      <c r="R2919">
        <v>-4.3077310000000004E-3</v>
      </c>
      <c r="S2919">
        <v>3.0584720000000001</v>
      </c>
      <c r="T2919">
        <v>-9.5605969999999998E-2</v>
      </c>
      <c r="U2919">
        <v>0.2206573</v>
      </c>
      <c r="V2919">
        <v>-2.971377E-2</v>
      </c>
      <c r="W2919">
        <v>0.1728914</v>
      </c>
      <c r="X2919">
        <v>0.98449260000000005</v>
      </c>
      <c r="Y2919">
        <v>-0.10624400000000001</v>
      </c>
      <c r="Z2919">
        <v>2.8939170000000002E-3</v>
      </c>
      <c r="AA2919">
        <v>0.99433590000000005</v>
      </c>
      <c r="AB2919">
        <v>28</v>
      </c>
      <c r="AC2919">
        <v>35.579500000000003</v>
      </c>
      <c r="AD2919">
        <v>-1.1208413881829999</v>
      </c>
      <c r="AE2919">
        <v>2.59630000000001</v>
      </c>
      <c r="AF2919">
        <v>-3.81818060112658</v>
      </c>
      <c r="AG2919">
        <v>-1.1208413881829999</v>
      </c>
      <c r="AH2919">
        <v>35.433800749141199</v>
      </c>
      <c r="AI2919">
        <v>91.801354178499594</v>
      </c>
      <c r="AJ2919">
        <v>96.150194683680198</v>
      </c>
      <c r="AK2919">
        <v>35.656542513963998</v>
      </c>
      <c r="AL2919">
        <v>80.044026208158499</v>
      </c>
      <c r="AM2919">
        <v>91.728765605104897</v>
      </c>
      <c r="AN2919">
        <v>1.00000001188816</v>
      </c>
    </row>
    <row r="2920" spans="1:40" x14ac:dyDescent="0.25">
      <c r="A2920" t="str">
        <f>"20190303162836372"</f>
        <v>20190303162836372</v>
      </c>
      <c r="B2920" t="str">
        <f>"1551601716364731"</f>
        <v>1551601716364731</v>
      </c>
      <c r="C2920" t="s">
        <v>40</v>
      </c>
      <c r="D2920">
        <v>4.7501049999999996</v>
      </c>
      <c r="E2920">
        <v>0.47136260000000002</v>
      </c>
      <c r="F2920" t="s">
        <v>49</v>
      </c>
      <c r="G2920">
        <v>-417.96260000000001</v>
      </c>
      <c r="H2920" s="1">
        <v>3.4342090000000001E-6</v>
      </c>
      <c r="I2920">
        <v>216.7208</v>
      </c>
      <c r="J2920">
        <v>-454.28609999999998</v>
      </c>
      <c r="K2920">
        <v>1.1208549999999999</v>
      </c>
      <c r="L2920">
        <v>214.17070000000001</v>
      </c>
      <c r="M2920">
        <v>0.99937220000000004</v>
      </c>
      <c r="N2920">
        <v>-8.4363110000000002E-3</v>
      </c>
      <c r="O2920">
        <v>-3.440936E-2</v>
      </c>
      <c r="P2920">
        <v>0.98656440000000001</v>
      </c>
      <c r="Q2920">
        <v>0.16327610000000001</v>
      </c>
      <c r="R2920">
        <v>-5.6248369999999997E-3</v>
      </c>
      <c r="S2920">
        <v>3.0579830000000001</v>
      </c>
      <c r="T2920">
        <v>-9.3626500000000001E-2</v>
      </c>
      <c r="U2920">
        <v>0.212204</v>
      </c>
      <c r="V2920">
        <v>-2.8334499999999999E-2</v>
      </c>
      <c r="W2920">
        <v>0.17158889999999999</v>
      </c>
      <c r="X2920">
        <v>0.98476109999999994</v>
      </c>
      <c r="Y2920">
        <v>-0.10344399999999999</v>
      </c>
      <c r="Z2920">
        <v>2.7806179999999999E-3</v>
      </c>
      <c r="AA2920">
        <v>0.99463140000000005</v>
      </c>
      <c r="AB2920">
        <v>28</v>
      </c>
      <c r="AC2920">
        <v>36.323499999999903</v>
      </c>
      <c r="AD2920">
        <v>-1.1208515657910001</v>
      </c>
      <c r="AE2920">
        <v>2.55009999999998</v>
      </c>
      <c r="AF2920">
        <v>-3.7949069410117802</v>
      </c>
      <c r="AG2920">
        <v>-1.1208515657910001</v>
      </c>
      <c r="AH2920">
        <v>36.179957071643003</v>
      </c>
      <c r="AI2920">
        <v>91.764774989224406</v>
      </c>
      <c r="AJ2920">
        <v>95.987845354142394</v>
      </c>
      <c r="AK2920">
        <v>36.395699205117701</v>
      </c>
      <c r="AL2920">
        <v>80.119786173935196</v>
      </c>
      <c r="AM2920">
        <v>91.648114937223397</v>
      </c>
      <c r="AN2920">
        <v>1.0000000092833301</v>
      </c>
    </row>
    <row r="2921" spans="1:40" x14ac:dyDescent="0.25">
      <c r="A2921" t="str">
        <f>"20190303162836394"</f>
        <v>20190303162836394</v>
      </c>
      <c r="B2921" t="str">
        <f>"1551601716384252"</f>
        <v>1551601716384252</v>
      </c>
      <c r="C2921" t="s">
        <v>40</v>
      </c>
      <c r="D2921">
        <v>4.6722270000000004</v>
      </c>
      <c r="E2921">
        <v>0.49786059999999999</v>
      </c>
      <c r="F2921" t="s">
        <v>49</v>
      </c>
      <c r="G2921">
        <v>-420.30849999999998</v>
      </c>
      <c r="H2921" s="1">
        <v>3.7511380000000002E-6</v>
      </c>
      <c r="I2921">
        <v>216.43219999999999</v>
      </c>
      <c r="J2921">
        <v>-454.00139999999999</v>
      </c>
      <c r="K2921">
        <v>1.120859</v>
      </c>
      <c r="L2921">
        <v>214.1609</v>
      </c>
      <c r="M2921">
        <v>0.99937619999999905</v>
      </c>
      <c r="N2921">
        <v>-8.3908179999999995E-3</v>
      </c>
      <c r="O2921">
        <v>-3.430714E-2</v>
      </c>
      <c r="P2921">
        <v>0.98678370000000004</v>
      </c>
      <c r="Q2921">
        <v>0.16193759999999999</v>
      </c>
      <c r="R2921">
        <v>-5.850081E-3</v>
      </c>
      <c r="S2921">
        <v>3.058716</v>
      </c>
      <c r="T2921">
        <v>-0.1009005</v>
      </c>
      <c r="U2921">
        <v>0.20358280000000001</v>
      </c>
      <c r="V2921">
        <v>-2.8024819999999999E-2</v>
      </c>
      <c r="W2921">
        <v>0.1702062</v>
      </c>
      <c r="X2921">
        <v>0.98500980000000005</v>
      </c>
      <c r="Y2921">
        <v>-0.10052609999999999</v>
      </c>
      <c r="Z2921">
        <v>2.9210199999999999E-3</v>
      </c>
      <c r="AA2921">
        <v>0.99493010000000004</v>
      </c>
      <c r="AB2921">
        <v>28</v>
      </c>
      <c r="AC2921">
        <v>33.692900000000002</v>
      </c>
      <c r="AD2921">
        <v>-1.1208552488620001</v>
      </c>
      <c r="AE2921">
        <v>2.2712999999999899</v>
      </c>
      <c r="AF2921">
        <v>-3.4221404214532098</v>
      </c>
      <c r="AG2921">
        <v>-1.1208552488620001</v>
      </c>
      <c r="AH2921">
        <v>33.558170124747797</v>
      </c>
      <c r="AI2921">
        <v>91.903126424913694</v>
      </c>
      <c r="AJ2921">
        <v>95.822687636203597</v>
      </c>
      <c r="AK2921">
        <v>33.750824340667101</v>
      </c>
      <c r="AL2921">
        <v>80.200191071062093</v>
      </c>
      <c r="AM2921">
        <v>91.629700392570697</v>
      </c>
      <c r="AN2921">
        <v>0.99999992357525302</v>
      </c>
    </row>
    <row r="2922" spans="1:40" x14ac:dyDescent="0.25">
      <c r="A2922" t="str">
        <f>"20190303162836417"</f>
        <v>20190303162836417</v>
      </c>
      <c r="B2922" t="str">
        <f>"1551601716404748"</f>
        <v>1551601716404748</v>
      </c>
      <c r="C2922" t="s">
        <v>40</v>
      </c>
      <c r="D2922">
        <v>4.6538349999999999</v>
      </c>
      <c r="E2922">
        <v>0.53626130000000005</v>
      </c>
      <c r="F2922" t="s">
        <v>49</v>
      </c>
      <c r="G2922">
        <v>-438.90570000000002</v>
      </c>
      <c r="H2922" s="1">
        <v>6.2110130000000001E-6</v>
      </c>
      <c r="I2922">
        <v>214.10499999999999</v>
      </c>
      <c r="J2922">
        <v>-453.72030000000001</v>
      </c>
      <c r="K2922">
        <v>1.1208610000000001</v>
      </c>
      <c r="L2922">
        <v>214.1514</v>
      </c>
      <c r="M2922">
        <v>0.99938039999999995</v>
      </c>
      <c r="N2922">
        <v>-8.3434430000000007E-3</v>
      </c>
      <c r="O2922">
        <v>-3.419399E-2</v>
      </c>
      <c r="P2922">
        <v>0.98680970000000001</v>
      </c>
      <c r="Q2922">
        <v>0.16179199999999999</v>
      </c>
      <c r="R2922">
        <v>-5.4924190000000001E-3</v>
      </c>
      <c r="S2922">
        <v>3.0776059999999998</v>
      </c>
      <c r="T2922">
        <v>-0.22851170000000001</v>
      </c>
      <c r="U2922">
        <v>-1.139832E-2</v>
      </c>
      <c r="V2922">
        <v>-2.8279410000000001E-2</v>
      </c>
      <c r="W2922">
        <v>0.17001260000000001</v>
      </c>
      <c r="X2922">
        <v>0.98503600000000002</v>
      </c>
      <c r="Y2922">
        <v>-3.0326510000000001E-2</v>
      </c>
      <c r="Z2922">
        <v>3.5010179999999998E-3</v>
      </c>
      <c r="AA2922">
        <v>0.99953389999999998</v>
      </c>
      <c r="AB2922">
        <v>28</v>
      </c>
      <c r="AC2922">
        <v>14.814599999999899</v>
      </c>
      <c r="AD2922">
        <v>-1.120854788987</v>
      </c>
      <c r="AE2922">
        <v>-4.6400000000005499E-2</v>
      </c>
      <c r="AF2922">
        <v>-0.45759567861621903</v>
      </c>
      <c r="AG2922">
        <v>-1.120854788987</v>
      </c>
      <c r="AH2922">
        <v>14.723243939474401</v>
      </c>
      <c r="AI2922">
        <v>94.351337228284507</v>
      </c>
      <c r="AJ2922">
        <v>91.780169112669697</v>
      </c>
      <c r="AK2922">
        <v>14.7729354349212</v>
      </c>
      <c r="AL2922">
        <v>80.211448008540302</v>
      </c>
      <c r="AM2922">
        <v>91.644453510588207</v>
      </c>
      <c r="AN2922">
        <v>0.99999996524235302</v>
      </c>
    </row>
    <row r="2923" spans="1:40" x14ac:dyDescent="0.25">
      <c r="A2923" t="str">
        <f>"20190303162836440"</f>
        <v>20190303162836440</v>
      </c>
      <c r="B2923" t="str">
        <f>"1551601716434028"</f>
        <v>1551601716434028</v>
      </c>
      <c r="C2923" t="s">
        <v>40</v>
      </c>
      <c r="D2923">
        <v>4.6216679999999997</v>
      </c>
      <c r="E2923">
        <v>0.53615859999999904</v>
      </c>
      <c r="F2923" t="s">
        <v>44</v>
      </c>
      <c r="G2923">
        <v>-452.97410000000002</v>
      </c>
      <c r="H2923">
        <v>0.92771049999999999</v>
      </c>
      <c r="I2923">
        <v>214.07419999999999</v>
      </c>
      <c r="J2923">
        <v>-453.42599999999999</v>
      </c>
      <c r="K2923">
        <v>1.1208629999999999</v>
      </c>
      <c r="L2923">
        <v>214.1414</v>
      </c>
      <c r="M2923">
        <v>0.99938519999999997</v>
      </c>
      <c r="N2923">
        <v>-8.2924260000000003E-3</v>
      </c>
      <c r="O2923">
        <v>-3.4067760000000002E-2</v>
      </c>
      <c r="P2923">
        <v>0.98698850000000005</v>
      </c>
      <c r="Q2923">
        <v>0.16072919999999999</v>
      </c>
      <c r="R2923">
        <v>-4.4574230000000003E-3</v>
      </c>
      <c r="S2923">
        <v>3.172974</v>
      </c>
      <c r="T2923">
        <v>-0.82127209999999995</v>
      </c>
      <c r="U2923">
        <v>-0.32629390000000003</v>
      </c>
      <c r="V2923">
        <v>-2.9200980000000001E-2</v>
      </c>
      <c r="W2923">
        <v>0.16889979999999999</v>
      </c>
      <c r="X2923">
        <v>0.98520059999999998</v>
      </c>
      <c r="Y2923">
        <v>6.7125660000000004E-2</v>
      </c>
      <c r="Z2923">
        <v>-4.3794979999999998E-4</v>
      </c>
      <c r="AA2923">
        <v>0.99774439999999998</v>
      </c>
      <c r="AB2923">
        <v>28</v>
      </c>
      <c r="AC2923">
        <v>0.451899999999966</v>
      </c>
      <c r="AD2923">
        <v>-0.19315249999999901</v>
      </c>
      <c r="AE2923">
        <v>-6.7200000000013901E-2</v>
      </c>
      <c r="AF2923">
        <v>4.3915814814151598E-2</v>
      </c>
      <c r="AG2923">
        <v>-0.19315249999999901</v>
      </c>
      <c r="AH2923">
        <v>0.38509583171121597</v>
      </c>
      <c r="AI2923">
        <v>116.488912536257</v>
      </c>
      <c r="AJ2923">
        <v>83.494170982965798</v>
      </c>
      <c r="AK2923">
        <v>0.43305344548726699</v>
      </c>
      <c r="AL2923">
        <v>80.276143031400196</v>
      </c>
      <c r="AM2923">
        <v>91.697728592660994</v>
      </c>
      <c r="AN2923">
        <v>1.0000000309566699</v>
      </c>
    </row>
    <row r="2924" spans="1:40" x14ac:dyDescent="0.25">
      <c r="A2924" t="str">
        <f>"20190303162836465"</f>
        <v>20190303162836465</v>
      </c>
      <c r="B2924" t="str">
        <f>"1551601716454523"</f>
        <v>1551601716454523</v>
      </c>
      <c r="C2924" t="s">
        <v>40</v>
      </c>
      <c r="D2924">
        <v>4.6157389999999996</v>
      </c>
      <c r="E2924">
        <v>0.53725339999999999</v>
      </c>
      <c r="F2924" t="s">
        <v>44</v>
      </c>
      <c r="G2924">
        <v>-452.71910000000003</v>
      </c>
      <c r="H2924">
        <v>0.9271433</v>
      </c>
      <c r="I2924">
        <v>214.06960000000001</v>
      </c>
      <c r="J2924">
        <v>-453.12150000000003</v>
      </c>
      <c r="K2924">
        <v>1.1208610000000001</v>
      </c>
      <c r="L2924">
        <v>214.1311</v>
      </c>
      <c r="M2924">
        <v>0.99939020000000001</v>
      </c>
      <c r="N2924">
        <v>-8.2433100000000002E-3</v>
      </c>
      <c r="O2924">
        <v>-3.3930639999999998E-2</v>
      </c>
      <c r="P2924">
        <v>0.98703949999999996</v>
      </c>
      <c r="Q2924">
        <v>0.16044739999999999</v>
      </c>
      <c r="R2924">
        <v>-3.1280819999999999E-3</v>
      </c>
      <c r="S2924">
        <v>3.1799620000000002</v>
      </c>
      <c r="T2924">
        <v>-0.8712879</v>
      </c>
      <c r="U2924">
        <v>-0.32249450000000002</v>
      </c>
      <c r="V2924">
        <v>-3.0399720000000002E-2</v>
      </c>
      <c r="W2924">
        <v>0.16856840000000001</v>
      </c>
      <c r="X2924">
        <v>0.98522109999999996</v>
      </c>
      <c r="Y2924">
        <v>6.577036E-2</v>
      </c>
      <c r="Z2924">
        <v>-2.7566400000000001E-4</v>
      </c>
      <c r="AA2924">
        <v>0.99783469999999996</v>
      </c>
      <c r="AB2924">
        <v>28</v>
      </c>
      <c r="AC2924">
        <v>0.40239999999999998</v>
      </c>
      <c r="AD2924">
        <v>-0.19371769999999999</v>
      </c>
      <c r="AE2924">
        <v>-6.1499999999995197E-2</v>
      </c>
      <c r="AF2924">
        <v>3.89824035545146E-2</v>
      </c>
      <c r="AG2924">
        <v>-0.19371769999999999</v>
      </c>
      <c r="AH2924">
        <v>0.32961080204419002</v>
      </c>
      <c r="AI2924">
        <v>120.269921834901</v>
      </c>
      <c r="AJ2924">
        <v>83.255075275852704</v>
      </c>
      <c r="AK2924">
        <v>0.38430385882058399</v>
      </c>
      <c r="AL2924">
        <v>80.295407079432195</v>
      </c>
      <c r="AM2924">
        <v>91.767342581429304</v>
      </c>
      <c r="AN2924">
        <v>1.0000000321699201</v>
      </c>
    </row>
    <row r="2925" spans="1:40" x14ac:dyDescent="0.25">
      <c r="A2925" t="str">
        <f>"20190303162836485"</f>
        <v>20190303162836485</v>
      </c>
      <c r="B2925" t="str">
        <f>"1551601716475020"</f>
        <v>1551601716475020</v>
      </c>
      <c r="C2925" t="s">
        <v>40</v>
      </c>
      <c r="D2925">
        <v>4.6166879999999999</v>
      </c>
      <c r="E2925">
        <v>0.53778199999999998</v>
      </c>
      <c r="F2925" t="s">
        <v>44</v>
      </c>
      <c r="G2925">
        <v>-452.22879999999998</v>
      </c>
      <c r="H2925">
        <v>0.87921689999999997</v>
      </c>
      <c r="I2925">
        <v>214.03890000000001</v>
      </c>
      <c r="J2925">
        <v>-452.84719999999999</v>
      </c>
      <c r="K2925">
        <v>1.1208579999999999</v>
      </c>
      <c r="L2925">
        <v>214.12200000000001</v>
      </c>
      <c r="M2925">
        <v>0.99939480000000003</v>
      </c>
      <c r="N2925">
        <v>-8.2044530000000004E-3</v>
      </c>
      <c r="O2925">
        <v>-3.3803270000000003E-2</v>
      </c>
      <c r="P2925">
        <v>0.98711479999999996</v>
      </c>
      <c r="Q2925">
        <v>0.16000549999999999</v>
      </c>
      <c r="R2925">
        <v>-1.6402159999999999E-3</v>
      </c>
      <c r="S2925">
        <v>3.1781920000000001</v>
      </c>
      <c r="T2925">
        <v>-0.86032869999999995</v>
      </c>
      <c r="U2925">
        <v>-0.328125</v>
      </c>
      <c r="V2925">
        <v>-3.1764720000000003E-2</v>
      </c>
      <c r="W2925">
        <v>0.16808809999999999</v>
      </c>
      <c r="X2925">
        <v>0.98526009999999997</v>
      </c>
      <c r="Y2925">
        <v>6.7659109999999995E-2</v>
      </c>
      <c r="Z2925">
        <v>-5.6746699999999999E-4</v>
      </c>
      <c r="AA2925">
        <v>0.99770829999999999</v>
      </c>
      <c r="AB2925">
        <v>29</v>
      </c>
      <c r="AC2925">
        <v>0.61840000000000805</v>
      </c>
      <c r="AD2925">
        <v>-0.241641099999999</v>
      </c>
      <c r="AE2925">
        <v>-8.31000000000017E-2</v>
      </c>
      <c r="AF2925">
        <v>5.4042607069062901E-2</v>
      </c>
      <c r="AG2925">
        <v>-0.241641099999999</v>
      </c>
      <c r="AH2925">
        <v>0.53988442420351901</v>
      </c>
      <c r="AI2925">
        <v>114.005974525027</v>
      </c>
      <c r="AJ2925">
        <v>84.2837155546746</v>
      </c>
      <c r="AK2925">
        <v>0.59395809286985601</v>
      </c>
      <c r="AL2925">
        <v>80.323324631564802</v>
      </c>
      <c r="AM2925">
        <v>91.846572508497999</v>
      </c>
      <c r="AN2925">
        <v>1.00000003572514</v>
      </c>
    </row>
    <row r="2926" spans="1:40" x14ac:dyDescent="0.25">
      <c r="A2926" t="str">
        <f>"20190303162836508"</f>
        <v>20190303162836508</v>
      </c>
      <c r="B2926" t="str">
        <f>"1551601716504300"</f>
        <v>1551601716504300</v>
      </c>
      <c r="C2926" t="s">
        <v>40</v>
      </c>
      <c r="D2926">
        <v>4.5760399999999999</v>
      </c>
      <c r="E2926">
        <v>0.53786800000000001</v>
      </c>
      <c r="F2926" t="s">
        <v>44</v>
      </c>
      <c r="G2926">
        <v>-451.96940000000001</v>
      </c>
      <c r="H2926">
        <v>0.88566849999999997</v>
      </c>
      <c r="I2926">
        <v>214.03120000000001</v>
      </c>
      <c r="J2926">
        <v>-452.5598</v>
      </c>
      <c r="K2926">
        <v>1.1208480000000001</v>
      </c>
      <c r="L2926">
        <v>214.11240000000001</v>
      </c>
      <c r="M2926">
        <v>0.9993997</v>
      </c>
      <c r="N2926">
        <v>-8.1683019999999901E-3</v>
      </c>
      <c r="O2926">
        <v>-3.3669850000000001E-2</v>
      </c>
      <c r="P2926">
        <v>0.98735019999999996</v>
      </c>
      <c r="Q2926">
        <v>0.15855339999999901</v>
      </c>
      <c r="R2926">
        <v>-7.9496440000000003E-4</v>
      </c>
      <c r="S2926">
        <v>3.1765750000000001</v>
      </c>
      <c r="T2926">
        <v>-0.85110490000000005</v>
      </c>
      <c r="U2926">
        <v>-0.3268585</v>
      </c>
      <c r="V2926">
        <v>-3.248525E-2</v>
      </c>
      <c r="W2926">
        <v>0.1666021</v>
      </c>
      <c r="X2926">
        <v>0.98548899999999995</v>
      </c>
      <c r="Y2926">
        <v>6.7478899999999994E-2</v>
      </c>
      <c r="Z2926">
        <v>-5.7439320000000004E-4</v>
      </c>
      <c r="AA2926">
        <v>0.99772050000000001</v>
      </c>
      <c r="AB2926">
        <v>29</v>
      </c>
      <c r="AC2926">
        <v>0.59039999999998805</v>
      </c>
      <c r="AD2926">
        <v>-0.23517950000000001</v>
      </c>
      <c r="AE2926">
        <v>-8.1199999999995498E-2</v>
      </c>
      <c r="AF2926">
        <v>5.3018176347766399E-2</v>
      </c>
      <c r="AG2926">
        <v>-0.23517950000000001</v>
      </c>
      <c r="AH2926">
        <v>0.51292264787782904</v>
      </c>
      <c r="AI2926">
        <v>114.516720583292</v>
      </c>
      <c r="AJ2926">
        <v>84.098587846474302</v>
      </c>
      <c r="AK2926">
        <v>0.56675388569422003</v>
      </c>
      <c r="AL2926">
        <v>80.4096842085887</v>
      </c>
      <c r="AM2926">
        <v>91.887990642953497</v>
      </c>
      <c r="AN2926">
        <v>1.00000006015648</v>
      </c>
    </row>
    <row r="2927" spans="1:40" x14ac:dyDescent="0.25">
      <c r="A2927" t="str">
        <f>"20190303162836528"</f>
        <v>20190303162836528</v>
      </c>
      <c r="B2927" t="str">
        <f>"1551601716524796"</f>
        <v>1551601716524796</v>
      </c>
      <c r="C2927" t="s">
        <v>40</v>
      </c>
      <c r="D2927">
        <v>4.6088360000000002</v>
      </c>
      <c r="E2927">
        <v>0.53787680000000004</v>
      </c>
      <c r="F2927" t="s">
        <v>44</v>
      </c>
      <c r="G2927">
        <v>-451.70890000000003</v>
      </c>
      <c r="H2927">
        <v>0.89342080000000001</v>
      </c>
      <c r="I2927">
        <v>214.02520000000001</v>
      </c>
      <c r="J2927">
        <v>-452.29410000000001</v>
      </c>
      <c r="K2927">
        <v>1.1208340000000001</v>
      </c>
      <c r="L2927">
        <v>214.1036</v>
      </c>
      <c r="M2927">
        <v>0.99940399999999996</v>
      </c>
      <c r="N2927">
        <v>-8.138724E-3</v>
      </c>
      <c r="O2927">
        <v>-3.354766E-2</v>
      </c>
      <c r="P2927">
        <v>0.98744849999999995</v>
      </c>
      <c r="Q2927">
        <v>0.1579421</v>
      </c>
      <c r="R2927" s="1">
        <v>1.8672550000000001E-5</v>
      </c>
      <c r="S2927">
        <v>3.1744379999999999</v>
      </c>
      <c r="T2927">
        <v>-0.84841699999999998</v>
      </c>
      <c r="U2927">
        <v>-0.32402039999999999</v>
      </c>
      <c r="V2927">
        <v>-3.3181540000000002E-2</v>
      </c>
      <c r="W2927">
        <v>0.1659621</v>
      </c>
      <c r="X2927">
        <v>0.9855737</v>
      </c>
      <c r="Y2927">
        <v>6.6812860000000002E-2</v>
      </c>
      <c r="Z2927">
        <v>-5.1328629999999897E-4</v>
      </c>
      <c r="AA2927">
        <v>0.99776540000000002</v>
      </c>
      <c r="AB2927">
        <v>29</v>
      </c>
      <c r="AC2927">
        <v>0.58519999999998595</v>
      </c>
      <c r="AD2927">
        <v>-0.22741320000000001</v>
      </c>
      <c r="AE2927">
        <v>-7.8399999999987799E-2</v>
      </c>
      <c r="AF2927">
        <v>5.11368154443997E-2</v>
      </c>
      <c r="AG2927">
        <v>-0.22741320000000001</v>
      </c>
      <c r="AH2927">
        <v>0.51160287019255302</v>
      </c>
      <c r="AI2927">
        <v>113.860150304166</v>
      </c>
      <c r="AJ2927">
        <v>84.2920094928444</v>
      </c>
      <c r="AK2927">
        <v>0.56220035060225004</v>
      </c>
      <c r="AL2927">
        <v>80.446870400539794</v>
      </c>
      <c r="AM2927">
        <v>91.928262063434701</v>
      </c>
      <c r="AN2927">
        <v>0.99999997568243504</v>
      </c>
    </row>
    <row r="2928" spans="1:40" x14ac:dyDescent="0.25">
      <c r="A2928" t="str">
        <f>"20190303162836554"</f>
        <v>20190303162836554</v>
      </c>
      <c r="B2928" t="str">
        <f>"1551601716544316"</f>
        <v>1551601716544316</v>
      </c>
      <c r="C2928" t="s">
        <v>40</v>
      </c>
      <c r="D2928">
        <v>4.6415199999999999</v>
      </c>
      <c r="E2928">
        <v>0.53818480000000002</v>
      </c>
      <c r="F2928" t="s">
        <v>44</v>
      </c>
      <c r="G2928">
        <v>-451.44959999999998</v>
      </c>
      <c r="H2928">
        <v>0.89588089999999998</v>
      </c>
      <c r="I2928">
        <v>214.01769999999999</v>
      </c>
      <c r="J2928">
        <v>-451.97030000000001</v>
      </c>
      <c r="K2928">
        <v>1.1208199999999999</v>
      </c>
      <c r="L2928">
        <v>214.09289999999999</v>
      </c>
      <c r="M2928">
        <v>0.99940910000000005</v>
      </c>
      <c r="N2928">
        <v>-8.1100149999999999E-3</v>
      </c>
      <c r="O2928">
        <v>-3.3401880000000002E-2</v>
      </c>
      <c r="P2928">
        <v>0.98755059999999995</v>
      </c>
      <c r="Q2928">
        <v>0.15729969999999999</v>
      </c>
      <c r="R2928">
        <v>8.8680399999999896E-4</v>
      </c>
      <c r="S2928">
        <v>3.1733699999999998</v>
      </c>
      <c r="T2928">
        <v>-0.845282599999999</v>
      </c>
      <c r="U2928">
        <v>-0.32072450000000002</v>
      </c>
      <c r="V2928">
        <v>-3.3908189999999998E-2</v>
      </c>
      <c r="W2928">
        <v>0.16529199999999999</v>
      </c>
      <c r="X2928">
        <v>0.98566160000000003</v>
      </c>
      <c r="Y2928">
        <v>6.5999260000000004E-2</v>
      </c>
      <c r="Z2928">
        <v>-4.3868370000000001E-4</v>
      </c>
      <c r="AA2928">
        <v>0.99781960000000003</v>
      </c>
      <c r="AB2928">
        <v>29</v>
      </c>
      <c r="AC2928">
        <v>0.52070000000003303</v>
      </c>
      <c r="AD2928">
        <v>-0.2249391</v>
      </c>
      <c r="AE2928">
        <v>-7.5199999999995201E-2</v>
      </c>
      <c r="AF2928">
        <v>4.8837358796669103E-2</v>
      </c>
      <c r="AG2928">
        <v>-0.2249391</v>
      </c>
      <c r="AH2928">
        <v>0.44210249258907702</v>
      </c>
      <c r="AI2928">
        <v>116.826535375712</v>
      </c>
      <c r="AJ2928">
        <v>83.696313917467094</v>
      </c>
      <c r="AK2928">
        <v>0.49843485058382397</v>
      </c>
      <c r="AL2928">
        <v>80.485802244680798</v>
      </c>
      <c r="AM2928">
        <v>91.970280991530998</v>
      </c>
      <c r="AN2928">
        <v>1.0000000001638101</v>
      </c>
    </row>
    <row r="2929" spans="1:40" x14ac:dyDescent="0.25">
      <c r="A2929" t="str">
        <f>"20190303162836573"</f>
        <v>20190303162836573</v>
      </c>
      <c r="B2929" t="str">
        <f>"1551601716564813"</f>
        <v>1551601716564813</v>
      </c>
      <c r="C2929" t="s">
        <v>40</v>
      </c>
      <c r="D2929">
        <v>4.6102109999999996</v>
      </c>
      <c r="E2929">
        <v>0.53838369999999902</v>
      </c>
      <c r="F2929" t="s">
        <v>44</v>
      </c>
      <c r="G2929">
        <v>-451.18419999999998</v>
      </c>
      <c r="H2929">
        <v>0.91051939999999998</v>
      </c>
      <c r="I2929">
        <v>214.01320000000001</v>
      </c>
      <c r="J2929">
        <v>-451.71199999999999</v>
      </c>
      <c r="K2929">
        <v>1.120816</v>
      </c>
      <c r="L2929">
        <v>214.08439999999999</v>
      </c>
      <c r="M2929">
        <v>0.99941310000000005</v>
      </c>
      <c r="N2929">
        <v>-8.0974229999999994E-3</v>
      </c>
      <c r="O2929">
        <v>-3.3287869999999997E-2</v>
      </c>
      <c r="P2929">
        <v>0.98757519999999999</v>
      </c>
      <c r="Q2929">
        <v>0.157143</v>
      </c>
      <c r="R2929">
        <v>1.2356800000000001E-3</v>
      </c>
      <c r="S2929">
        <v>3.17334</v>
      </c>
      <c r="T2929">
        <v>-0.84904299999999999</v>
      </c>
      <c r="U2929">
        <v>-0.32073970000000002</v>
      </c>
      <c r="V2929">
        <v>-3.4144639999999997E-2</v>
      </c>
      <c r="W2929">
        <v>0.16512270000000001</v>
      </c>
      <c r="X2929">
        <v>0.98568180000000005</v>
      </c>
      <c r="Y2929">
        <v>6.6101110000000005E-2</v>
      </c>
      <c r="Z2929">
        <v>-4.8015550000000002E-4</v>
      </c>
      <c r="AA2929">
        <v>0.99781280000000006</v>
      </c>
      <c r="AB2929">
        <v>29</v>
      </c>
      <c r="AC2929">
        <v>0.52780000000001304</v>
      </c>
      <c r="AD2929">
        <v>-0.2102966</v>
      </c>
      <c r="AE2929">
        <v>-7.1199999999976102E-2</v>
      </c>
      <c r="AF2929">
        <v>4.6362001407241303E-2</v>
      </c>
      <c r="AG2929">
        <v>-0.2102966</v>
      </c>
      <c r="AH2929">
        <v>0.45840457407738899</v>
      </c>
      <c r="AI2929">
        <v>114.533340985466</v>
      </c>
      <c r="AJ2929">
        <v>84.224872033109605</v>
      </c>
      <c r="AK2929">
        <v>0.50646702625256601</v>
      </c>
      <c r="AL2929">
        <v>80.495637439361005</v>
      </c>
      <c r="AM2929">
        <v>91.983968667967602</v>
      </c>
      <c r="AN2929">
        <v>0.99999998667362899</v>
      </c>
    </row>
    <row r="2930" spans="1:40" x14ac:dyDescent="0.25">
      <c r="A2930" t="str">
        <f>"20190303162836597"</f>
        <v>20190303162836597</v>
      </c>
      <c r="B2930" t="str">
        <f>"1551601716584331"</f>
        <v>1551601716584331</v>
      </c>
      <c r="C2930" t="s">
        <v>40</v>
      </c>
      <c r="D2930">
        <v>4.6423709999999998</v>
      </c>
      <c r="E2930">
        <v>0.5385276</v>
      </c>
      <c r="F2930" t="s">
        <v>44</v>
      </c>
      <c r="G2930">
        <v>-450.92660000000001</v>
      </c>
      <c r="H2930">
        <v>0.90714340000000004</v>
      </c>
      <c r="I2930">
        <v>214.00450000000001</v>
      </c>
      <c r="J2930">
        <v>-451.40899999999999</v>
      </c>
      <c r="K2930">
        <v>1.1208209999999901</v>
      </c>
      <c r="L2930">
        <v>214.0744</v>
      </c>
      <c r="M2930">
        <v>0.99941749999999996</v>
      </c>
      <c r="N2930">
        <v>-8.0938380000000008E-3</v>
      </c>
      <c r="O2930">
        <v>-3.3155410000000003E-2</v>
      </c>
      <c r="P2930">
        <v>0.98768650000000002</v>
      </c>
      <c r="Q2930">
        <v>0.156445</v>
      </c>
      <c r="R2930">
        <v>7.0049049999999996E-4</v>
      </c>
      <c r="S2930">
        <v>3.175659</v>
      </c>
      <c r="T2930">
        <v>-0.86387320000000001</v>
      </c>
      <c r="U2930">
        <v>-0.32077030000000001</v>
      </c>
      <c r="V2930">
        <v>-3.3483069999999997E-2</v>
      </c>
      <c r="W2930">
        <v>0.1644224</v>
      </c>
      <c r="X2930">
        <v>0.98582150000000002</v>
      </c>
      <c r="Y2930">
        <v>6.6124390000000005E-2</v>
      </c>
      <c r="Z2930">
        <v>-5.1639510000000004E-4</v>
      </c>
      <c r="AA2930">
        <v>0.99781129999999996</v>
      </c>
      <c r="AB2930">
        <v>29</v>
      </c>
      <c r="AC2930">
        <v>0.48239999999998401</v>
      </c>
      <c r="AD2930">
        <v>-0.213677599999999</v>
      </c>
      <c r="AE2930">
        <v>-6.9899999999989804E-2</v>
      </c>
      <c r="AF2930">
        <v>4.5183992513400398E-2</v>
      </c>
      <c r="AG2930">
        <v>-0.213677599999999</v>
      </c>
      <c r="AH2930">
        <v>0.406362796342778</v>
      </c>
      <c r="AI2930">
        <v>117.591969763158</v>
      </c>
      <c r="AJ2930">
        <v>83.655271940211705</v>
      </c>
      <c r="AK2930">
        <v>0.46133548765809601</v>
      </c>
      <c r="AL2930">
        <v>80.536317223260795</v>
      </c>
      <c r="AM2930">
        <v>91.945282594168802</v>
      </c>
      <c r="AN2930">
        <v>0.99999993573031498</v>
      </c>
    </row>
    <row r="2931" spans="1:40" x14ac:dyDescent="0.25">
      <c r="A2931" t="str">
        <f>"20190303162836617"</f>
        <v>20190303162836617</v>
      </c>
      <c r="B2931" t="str">
        <f>"1551601716604828"</f>
        <v>1551601716604828</v>
      </c>
      <c r="C2931" t="s">
        <v>40</v>
      </c>
      <c r="D2931">
        <v>4.6281939999999997</v>
      </c>
      <c r="E2931">
        <v>0.53869209999999901</v>
      </c>
      <c r="F2931" t="s">
        <v>44</v>
      </c>
      <c r="G2931">
        <v>-450.66329999999999</v>
      </c>
      <c r="H2931">
        <v>0.91440809999999995</v>
      </c>
      <c r="I2931">
        <v>213.99879999999999</v>
      </c>
      <c r="J2931">
        <v>-451.14499999999998</v>
      </c>
      <c r="K2931">
        <v>1.120816</v>
      </c>
      <c r="L2931">
        <v>214.0658</v>
      </c>
      <c r="M2931">
        <v>0.99942120000000001</v>
      </c>
      <c r="N2931">
        <v>-8.0991559999999997E-3</v>
      </c>
      <c r="O2931">
        <v>-3.3040630000000001E-2</v>
      </c>
      <c r="P2931">
        <v>0.98792250000000004</v>
      </c>
      <c r="Q2931">
        <v>0.15494859999999999</v>
      </c>
      <c r="R2931">
        <v>-2.1659540000000001E-4</v>
      </c>
      <c r="S2931">
        <v>3.1769099999999999</v>
      </c>
      <c r="T2931">
        <v>-0.8794324</v>
      </c>
      <c r="U2931">
        <v>-0.32156370000000001</v>
      </c>
      <c r="V2931">
        <v>-3.2461240000000002E-2</v>
      </c>
      <c r="W2931">
        <v>0.162934</v>
      </c>
      <c r="X2931">
        <v>0.98610279999999995</v>
      </c>
      <c r="Y2931">
        <v>6.6388249999999996E-2</v>
      </c>
      <c r="Z2931">
        <v>-5.8343350000000002E-4</v>
      </c>
      <c r="AA2931">
        <v>0.99779370000000001</v>
      </c>
      <c r="AB2931">
        <v>29</v>
      </c>
      <c r="AC2931">
        <v>0.48169999999998903</v>
      </c>
      <c r="AD2931">
        <v>-0.20640790000000001</v>
      </c>
      <c r="AE2931">
        <v>-6.7000000000007207E-2</v>
      </c>
      <c r="AF2931">
        <v>4.32557210688004E-2</v>
      </c>
      <c r="AG2931">
        <v>-0.20640790000000001</v>
      </c>
      <c r="AH2931">
        <v>0.40982960099078503</v>
      </c>
      <c r="AI2931">
        <v>116.604511174122</v>
      </c>
      <c r="AJ2931">
        <v>83.974987744483499</v>
      </c>
      <c r="AK2931">
        <v>0.46090734474063</v>
      </c>
      <c r="AL2931">
        <v>80.622762473973793</v>
      </c>
      <c r="AM2931">
        <v>91.885422764428</v>
      </c>
      <c r="AN2931">
        <v>0.99999997631308801</v>
      </c>
    </row>
    <row r="2932" spans="1:40" x14ac:dyDescent="0.25">
      <c r="A2932" t="str">
        <f>"20190303162836640"</f>
        <v>20190303162836640</v>
      </c>
      <c r="B2932" t="str">
        <f>"1551601716634108"</f>
        <v>1551601716634108</v>
      </c>
      <c r="C2932" t="s">
        <v>40</v>
      </c>
      <c r="D2932">
        <v>4.6439890000000004</v>
      </c>
      <c r="E2932">
        <v>0.53901739999999998</v>
      </c>
      <c r="F2932" t="s">
        <v>44</v>
      </c>
      <c r="G2932">
        <v>-450.404</v>
      </c>
      <c r="H2932">
        <v>0.91233470000000005</v>
      </c>
      <c r="I2932">
        <v>213.9897</v>
      </c>
      <c r="J2932">
        <v>-450.84440000000001</v>
      </c>
      <c r="K2932">
        <v>1.1208119999999999</v>
      </c>
      <c r="L2932">
        <v>214.05590000000001</v>
      </c>
      <c r="M2932">
        <v>0.99942549999999997</v>
      </c>
      <c r="N2932">
        <v>-8.1157950000000003E-3</v>
      </c>
      <c r="O2932">
        <v>-3.2910399999999999E-2</v>
      </c>
      <c r="P2932">
        <v>0.98822770000000004</v>
      </c>
      <c r="Q2932">
        <v>0.15298819999999999</v>
      </c>
      <c r="R2932">
        <v>-8.7606719999999997E-4</v>
      </c>
      <c r="S2932">
        <v>3.1767270000000001</v>
      </c>
      <c r="T2932">
        <v>-0.89367090000000005</v>
      </c>
      <c r="U2932">
        <v>-0.32424930000000002</v>
      </c>
      <c r="V2932">
        <v>-3.1682920000000003E-2</v>
      </c>
      <c r="W2932">
        <v>0.160993</v>
      </c>
      <c r="X2932">
        <v>0.98644690000000002</v>
      </c>
      <c r="Y2932">
        <v>6.7276580000000002E-2</v>
      </c>
      <c r="Z2932">
        <v>-7.4602659999999999E-4</v>
      </c>
      <c r="AA2932">
        <v>0.99773409999999996</v>
      </c>
      <c r="AB2932">
        <v>29</v>
      </c>
      <c r="AC2932">
        <v>0.44040000000001001</v>
      </c>
      <c r="AD2932">
        <v>-0.2084773</v>
      </c>
      <c r="AE2932">
        <v>-6.6200000000009099E-2</v>
      </c>
      <c r="AF2932">
        <v>4.2382316706158198E-2</v>
      </c>
      <c r="AG2932">
        <v>-0.2084773</v>
      </c>
      <c r="AH2932">
        <v>0.36283005825558601</v>
      </c>
      <c r="AI2932">
        <v>119.713673913522</v>
      </c>
      <c r="AJ2932">
        <v>83.3374515348345</v>
      </c>
      <c r="AK2932">
        <v>0.42060040009303701</v>
      </c>
      <c r="AL2932">
        <v>80.735462007126301</v>
      </c>
      <c r="AM2932">
        <v>91.839606142404094</v>
      </c>
      <c r="AN2932">
        <v>1.0000000199941601</v>
      </c>
    </row>
    <row r="2933" spans="1:40" x14ac:dyDescent="0.25">
      <c r="A2933" t="str">
        <f>"20190303162836664"</f>
        <v>20190303162836664</v>
      </c>
      <c r="B2933" t="str">
        <f>"1551601716654604"</f>
        <v>1551601716654604</v>
      </c>
      <c r="C2933" t="s">
        <v>40</v>
      </c>
      <c r="D2933">
        <v>4.6272719999999996</v>
      </c>
      <c r="E2933">
        <v>0.53924530000000004</v>
      </c>
      <c r="F2933" t="s">
        <v>44</v>
      </c>
      <c r="G2933">
        <v>-450.14</v>
      </c>
      <c r="H2933">
        <v>0.91907499999999998</v>
      </c>
      <c r="I2933">
        <v>213.9829</v>
      </c>
      <c r="J2933">
        <v>-450.54329999999999</v>
      </c>
      <c r="K2933">
        <v>1.1208049999999901</v>
      </c>
      <c r="L2933">
        <v>214.0462</v>
      </c>
      <c r="M2933">
        <v>0.99942960000000003</v>
      </c>
      <c r="N2933">
        <v>-8.1405880000000007E-3</v>
      </c>
      <c r="O2933">
        <v>-3.2779599999999999E-2</v>
      </c>
      <c r="P2933">
        <v>0.98861010000000005</v>
      </c>
      <c r="Q2933">
        <v>0.15048919999999999</v>
      </c>
      <c r="R2933">
        <v>-1.758739E-3</v>
      </c>
      <c r="S2933">
        <v>3.1762700000000001</v>
      </c>
      <c r="T2933">
        <v>-0.90962050000000005</v>
      </c>
      <c r="U2933">
        <v>-0.32785029999999998</v>
      </c>
      <c r="V2933">
        <v>-3.068355E-2</v>
      </c>
      <c r="W2933">
        <v>0.15852179999999999</v>
      </c>
      <c r="X2933">
        <v>0.98687860000000005</v>
      </c>
      <c r="Y2933">
        <v>6.8438570000000004E-2</v>
      </c>
      <c r="Z2933">
        <v>-9.5434860000000003E-4</v>
      </c>
      <c r="AA2933">
        <v>0.99765490000000001</v>
      </c>
      <c r="AB2933">
        <v>29</v>
      </c>
      <c r="AC2933">
        <v>0.40330000000000099</v>
      </c>
      <c r="AD2933">
        <v>-0.20172999999999899</v>
      </c>
      <c r="AE2933">
        <v>-6.3299999999998094E-2</v>
      </c>
      <c r="AF2933">
        <v>4.0223610800403403E-2</v>
      </c>
      <c r="AG2933">
        <v>-0.20172999999999899</v>
      </c>
      <c r="AH2933">
        <v>0.32564203066487202</v>
      </c>
      <c r="AI2933">
        <v>121.583676633927</v>
      </c>
      <c r="AJ2933">
        <v>82.958438742249498</v>
      </c>
      <c r="AK2933">
        <v>0.385169655997671</v>
      </c>
      <c r="AL2933">
        <v>80.878893438781702</v>
      </c>
      <c r="AM2933">
        <v>91.780838854750201</v>
      </c>
      <c r="AN2933">
        <v>1.0000000062269001</v>
      </c>
    </row>
    <row r="2934" spans="1:40" x14ac:dyDescent="0.25">
      <c r="A2934" t="str">
        <f>"20190303162836688"</f>
        <v>20190303162836688</v>
      </c>
      <c r="B2934" t="str">
        <f>"1551601716684861"</f>
        <v>1551601716684861</v>
      </c>
      <c r="C2934" t="s">
        <v>40</v>
      </c>
      <c r="D2934">
        <v>4.5729670000000002</v>
      </c>
      <c r="E2934">
        <v>0.53948009999999902</v>
      </c>
      <c r="F2934" t="s">
        <v>44</v>
      </c>
      <c r="G2934">
        <v>-449.6422</v>
      </c>
      <c r="H2934">
        <v>0.85904340000000001</v>
      </c>
      <c r="I2934">
        <v>213.95230000000001</v>
      </c>
      <c r="J2934">
        <v>-450.22199999999998</v>
      </c>
      <c r="K2934">
        <v>1.1207929999999999</v>
      </c>
      <c r="L2934">
        <v>214.03579999999999</v>
      </c>
      <c r="M2934">
        <v>0.99943380000000004</v>
      </c>
      <c r="N2934">
        <v>-8.1756119999999901E-3</v>
      </c>
      <c r="O2934">
        <v>-3.264003E-2</v>
      </c>
      <c r="P2934">
        <v>0.98895619999999995</v>
      </c>
      <c r="Q2934">
        <v>0.1481885</v>
      </c>
      <c r="R2934">
        <v>-2.4379060000000001E-3</v>
      </c>
      <c r="S2934">
        <v>3.1743769999999998</v>
      </c>
      <c r="T2934">
        <v>-0.9221857</v>
      </c>
      <c r="U2934">
        <v>-0.33024599999999998</v>
      </c>
      <c r="V2934">
        <v>-2.9877520000000001E-2</v>
      </c>
      <c r="W2934">
        <v>0.1562587</v>
      </c>
      <c r="X2934">
        <v>0.98726420000000004</v>
      </c>
      <c r="Y2934">
        <v>6.9298769999999996E-2</v>
      </c>
      <c r="Z2934">
        <v>-1.1265450000000001E-3</v>
      </c>
      <c r="AA2934">
        <v>0.99759529999999996</v>
      </c>
      <c r="AB2934">
        <v>29</v>
      </c>
      <c r="AC2934">
        <v>0.579799999999977</v>
      </c>
      <c r="AD2934">
        <v>-0.26174959999999903</v>
      </c>
      <c r="AE2934">
        <v>-8.3499999999986502E-2</v>
      </c>
      <c r="AF2934">
        <v>5.3790203866761303E-2</v>
      </c>
      <c r="AG2934">
        <v>-0.26174959999999903</v>
      </c>
      <c r="AH2934">
        <v>0.485316264931826</v>
      </c>
      <c r="AI2934">
        <v>118.193785970853</v>
      </c>
      <c r="AJ2934">
        <v>83.675415317252998</v>
      </c>
      <c r="AK2934">
        <v>0.55401996005520104</v>
      </c>
      <c r="AL2934">
        <v>81.010196200717701</v>
      </c>
      <c r="AM2934">
        <v>91.733409847847895</v>
      </c>
      <c r="AN2934">
        <v>1.0000000240643301</v>
      </c>
    </row>
    <row r="2935" spans="1:40" x14ac:dyDescent="0.25">
      <c r="A2935" t="str">
        <f>"20190303162836709"</f>
        <v>20190303162836709</v>
      </c>
      <c r="B2935" t="str">
        <f>"1551601716704101"</f>
        <v>1551601716704101</v>
      </c>
      <c r="C2935" t="s">
        <v>40</v>
      </c>
      <c r="D2935">
        <v>4.5688240000000002</v>
      </c>
      <c r="E2935">
        <v>0.5396685</v>
      </c>
      <c r="F2935" t="s">
        <v>44</v>
      </c>
      <c r="G2935">
        <v>-449.37520000000001</v>
      </c>
      <c r="H2935">
        <v>0.87057709999999999</v>
      </c>
      <c r="I2935">
        <v>213.94649999999999</v>
      </c>
      <c r="J2935">
        <v>-449.93709999999999</v>
      </c>
      <c r="K2935">
        <v>1.120784</v>
      </c>
      <c r="L2935">
        <v>214.0266</v>
      </c>
      <c r="M2935">
        <v>0.99943760000000004</v>
      </c>
      <c r="N2935">
        <v>-8.2112230000000001E-3</v>
      </c>
      <c r="O2935">
        <v>-3.251631E-2</v>
      </c>
      <c r="P2935">
        <v>0.98942439999999998</v>
      </c>
      <c r="Q2935">
        <v>0.14502770000000001</v>
      </c>
      <c r="R2935">
        <v>-2.6188029999999998E-3</v>
      </c>
      <c r="S2935">
        <v>3.1732179999999999</v>
      </c>
      <c r="T2935">
        <v>-0.93759289999999995</v>
      </c>
      <c r="U2935">
        <v>-0.332580599999999</v>
      </c>
      <c r="V2935">
        <v>-2.9588989999999999E-2</v>
      </c>
      <c r="W2935">
        <v>0.1531372</v>
      </c>
      <c r="X2935">
        <v>0.98776189999999997</v>
      </c>
      <c r="Y2935">
        <v>7.0092509999999997E-2</v>
      </c>
      <c r="Z2935">
        <v>-1.2909149999999999E-3</v>
      </c>
      <c r="AA2935">
        <v>0.99753959999999997</v>
      </c>
      <c r="AB2935">
        <v>29</v>
      </c>
      <c r="AC2935">
        <v>0.56189999999997997</v>
      </c>
      <c r="AD2935">
        <v>-0.25020689999999901</v>
      </c>
      <c r="AE2935">
        <v>-8.0100000000015797E-2</v>
      </c>
      <c r="AF2935">
        <v>5.1732791392245903E-2</v>
      </c>
      <c r="AG2935">
        <v>-0.25020689999999901</v>
      </c>
      <c r="AH2935">
        <v>0.472404355273572</v>
      </c>
      <c r="AI2935">
        <v>117.76671799355</v>
      </c>
      <c r="AJ2935">
        <v>83.750467386819494</v>
      </c>
      <c r="AK2935">
        <v>0.53707136340926098</v>
      </c>
      <c r="AL2935">
        <v>81.191224449931596</v>
      </c>
      <c r="AM2935">
        <v>91.715815752070498</v>
      </c>
      <c r="AN2935">
        <v>1.00000004072233</v>
      </c>
    </row>
    <row r="2936" spans="1:40" x14ac:dyDescent="0.25">
      <c r="A2936" t="str">
        <f>"20190303162836731"</f>
        <v>20190303162836731</v>
      </c>
      <c r="B2936" t="str">
        <f>"1551601716724578"</f>
        <v>1551601716724578</v>
      </c>
      <c r="C2936" t="s">
        <v>40</v>
      </c>
      <c r="D2936">
        <v>4.5503359999999997</v>
      </c>
      <c r="E2936">
        <v>0.53981420000000002</v>
      </c>
      <c r="F2936" t="s">
        <v>44</v>
      </c>
      <c r="G2936">
        <v>-449.1112</v>
      </c>
      <c r="H2936">
        <v>0.87318109999999904</v>
      </c>
      <c r="I2936">
        <v>213.93950000000001</v>
      </c>
      <c r="J2936">
        <v>-449.66019999999997</v>
      </c>
      <c r="K2936">
        <v>1.1207800000000001</v>
      </c>
      <c r="L2936">
        <v>214.01769999999999</v>
      </c>
      <c r="M2936">
        <v>0.99944109999999997</v>
      </c>
      <c r="N2936">
        <v>-8.2519059999999998E-3</v>
      </c>
      <c r="O2936">
        <v>-3.2395710000000001E-2</v>
      </c>
      <c r="P2936">
        <v>0.98984830000000001</v>
      </c>
      <c r="Q2936">
        <v>0.14210729999999999</v>
      </c>
      <c r="R2936">
        <v>-2.404425E-3</v>
      </c>
      <c r="S2936">
        <v>3.1705019999999999</v>
      </c>
      <c r="T2936">
        <v>-0.95042899999999997</v>
      </c>
      <c r="U2936">
        <v>-0.33438109999999999</v>
      </c>
      <c r="V2936">
        <v>-2.9696449999999999E-2</v>
      </c>
      <c r="W2936">
        <v>0.1502608</v>
      </c>
      <c r="X2936">
        <v>0.98820030000000003</v>
      </c>
      <c r="Y2936">
        <v>7.0777499999999993E-2</v>
      </c>
      <c r="Z2936">
        <v>-1.441309E-3</v>
      </c>
      <c r="AA2936">
        <v>0.99749109999999996</v>
      </c>
      <c r="AB2936">
        <v>29</v>
      </c>
      <c r="AC2936">
        <v>0.54899999999997795</v>
      </c>
      <c r="AD2936">
        <v>-0.24759890000000001</v>
      </c>
      <c r="AE2936">
        <v>-7.8199999999981104E-2</v>
      </c>
      <c r="AF2936">
        <v>5.03379320673717E-2</v>
      </c>
      <c r="AG2936">
        <v>-0.24759890000000001</v>
      </c>
      <c r="AH2936">
        <v>0.45961769571001199</v>
      </c>
      <c r="AI2936">
        <v>118.16923220253599</v>
      </c>
      <c r="AJ2936">
        <v>83.749801945015406</v>
      </c>
      <c r="AK2936">
        <v>0.52448789203928303</v>
      </c>
      <c r="AL2936">
        <v>81.357959489973496</v>
      </c>
      <c r="AM2936">
        <v>91.721279932849299</v>
      </c>
      <c r="AN2936">
        <v>1.00000001003966</v>
      </c>
    </row>
    <row r="2937" spans="1:40" x14ac:dyDescent="0.25">
      <c r="A2937" t="str">
        <f>"20190303162836753"</f>
        <v>20190303162836753</v>
      </c>
      <c r="B2937" t="str">
        <f>"1551601716744098"</f>
        <v>1551601716744098</v>
      </c>
      <c r="C2937" t="s">
        <v>40</v>
      </c>
      <c r="D2937">
        <v>4.5444950000000004</v>
      </c>
      <c r="E2937">
        <v>0.53996259999999996</v>
      </c>
      <c r="F2937" t="s">
        <v>44</v>
      </c>
      <c r="G2937">
        <v>-448.84739999999999</v>
      </c>
      <c r="H2937">
        <v>0.87385089999999999</v>
      </c>
      <c r="I2937">
        <v>213.9314</v>
      </c>
      <c r="J2937">
        <v>-449.36279999999999</v>
      </c>
      <c r="K2937">
        <v>1.1207819999999999</v>
      </c>
      <c r="L2937">
        <v>214.00829999999999</v>
      </c>
      <c r="M2937">
        <v>0.99944480000000002</v>
      </c>
      <c r="N2937">
        <v>-8.3041829999999997E-3</v>
      </c>
      <c r="O2937">
        <v>-3.226598E-2</v>
      </c>
      <c r="P2937">
        <v>0.99003680000000005</v>
      </c>
      <c r="Q2937">
        <v>0.14079059999999999</v>
      </c>
      <c r="R2937">
        <v>-2.2667360000000001E-3</v>
      </c>
      <c r="S2937">
        <v>3.1681210000000002</v>
      </c>
      <c r="T2937">
        <v>-0.96243259999999997</v>
      </c>
      <c r="U2937">
        <v>-0.3343353</v>
      </c>
      <c r="V2937">
        <v>-2.9711620000000001E-2</v>
      </c>
      <c r="W2937">
        <v>0.1489972</v>
      </c>
      <c r="X2937">
        <v>0.98839120000000003</v>
      </c>
      <c r="Y2937">
        <v>7.0911940000000007E-2</v>
      </c>
      <c r="Z2937">
        <v>-1.514004E-3</v>
      </c>
      <c r="AA2937">
        <v>0.99748139999999996</v>
      </c>
      <c r="AB2937">
        <v>29</v>
      </c>
      <c r="AC2937">
        <v>0.51539999999999897</v>
      </c>
      <c r="AD2937">
        <v>-0.24693109999999999</v>
      </c>
      <c r="AE2937">
        <v>-7.6899999999994806E-2</v>
      </c>
      <c r="AF2937">
        <v>4.9185264151763698E-2</v>
      </c>
      <c r="AG2937">
        <v>-0.24693109999999999</v>
      </c>
      <c r="AH2937">
        <v>0.422698702917085</v>
      </c>
      <c r="AI2937">
        <v>120.124985778888</v>
      </c>
      <c r="AJ2937">
        <v>83.362904564298603</v>
      </c>
      <c r="AK2937">
        <v>0.49200442254584997</v>
      </c>
      <c r="AL2937">
        <v>81.431183162725802</v>
      </c>
      <c r="AM2937">
        <v>91.721826273142696</v>
      </c>
      <c r="AN2937">
        <v>1.0000000551041499</v>
      </c>
    </row>
    <row r="2938" spans="1:40" x14ac:dyDescent="0.25">
      <c r="A2938" t="str">
        <f>"20190303162836777"</f>
        <v>20190303162836777</v>
      </c>
      <c r="B2938" t="str">
        <f>"1551601716764595"</f>
        <v>1551601716764595</v>
      </c>
      <c r="C2938" t="s">
        <v>40</v>
      </c>
      <c r="D2938">
        <v>4.5287410000000001</v>
      </c>
      <c r="E2938">
        <v>0.54006189999999998</v>
      </c>
      <c r="F2938" t="s">
        <v>44</v>
      </c>
      <c r="G2938">
        <v>-448.58049999999997</v>
      </c>
      <c r="H2938">
        <v>0.88129899999999906</v>
      </c>
      <c r="I2938">
        <v>213.9254</v>
      </c>
      <c r="J2938">
        <v>-449.0557</v>
      </c>
      <c r="K2938">
        <v>1.120798</v>
      </c>
      <c r="L2938">
        <v>213.99850000000001</v>
      </c>
      <c r="M2938">
        <v>0.99944860000000002</v>
      </c>
      <c r="N2938">
        <v>-8.3672390000000003E-3</v>
      </c>
      <c r="O2938">
        <v>-3.2132710000000002E-2</v>
      </c>
      <c r="P2938">
        <v>0.98988390000000004</v>
      </c>
      <c r="Q2938">
        <v>0.1418721</v>
      </c>
      <c r="R2938">
        <v>-1.482686E-3</v>
      </c>
      <c r="S2938">
        <v>3.167297</v>
      </c>
      <c r="T2938">
        <v>-0.96959110000000004</v>
      </c>
      <c r="U2938">
        <v>-0.33451839999999999</v>
      </c>
      <c r="V2938">
        <v>-3.0359049999999999E-2</v>
      </c>
      <c r="W2938">
        <v>0.15013959999999901</v>
      </c>
      <c r="X2938">
        <v>0.98819860000000004</v>
      </c>
      <c r="Y2938">
        <v>7.1086529999999995E-2</v>
      </c>
      <c r="Z2938">
        <v>-1.590745E-3</v>
      </c>
      <c r="AA2938">
        <v>0.99746889999999999</v>
      </c>
      <c r="AB2938">
        <v>29</v>
      </c>
      <c r="AC2938">
        <v>0.47520000000002899</v>
      </c>
      <c r="AD2938">
        <v>-0.23949899999999999</v>
      </c>
      <c r="AE2938">
        <v>-7.3100000000010795E-2</v>
      </c>
      <c r="AF2938">
        <v>4.6302689168291403E-2</v>
      </c>
      <c r="AG2938">
        <v>-0.23949899999999999</v>
      </c>
      <c r="AH2938">
        <v>0.382411807119169</v>
      </c>
      <c r="AI2938">
        <v>121.871059985996</v>
      </c>
      <c r="AJ2938">
        <v>83.096193866881805</v>
      </c>
      <c r="AK2938">
        <v>0.45358847014597198</v>
      </c>
      <c r="AL2938">
        <v>81.364983526658406</v>
      </c>
      <c r="AM2938">
        <v>91.759665015928206</v>
      </c>
      <c r="AN2938">
        <v>1.0000000222235099</v>
      </c>
    </row>
    <row r="2939" spans="1:40" x14ac:dyDescent="0.25">
      <c r="A2939" t="str">
        <f>"20190303162836797"</f>
        <v>20190303162836797</v>
      </c>
      <c r="B2939" t="str">
        <f>"1551601716794850"</f>
        <v>1551601716794850</v>
      </c>
      <c r="C2939" t="s">
        <v>40</v>
      </c>
      <c r="D2939">
        <v>4.5463089999999999</v>
      </c>
      <c r="E2939">
        <v>0.54027579999999997</v>
      </c>
      <c r="F2939" t="s">
        <v>44</v>
      </c>
      <c r="G2939">
        <v>-448.31119999999999</v>
      </c>
      <c r="H2939">
        <v>0.89321059999999997</v>
      </c>
      <c r="I2939">
        <v>213.91929999999999</v>
      </c>
      <c r="J2939">
        <v>-448.78699999999998</v>
      </c>
      <c r="K2939">
        <v>1.120808</v>
      </c>
      <c r="L2939">
        <v>213.99</v>
      </c>
      <c r="M2939">
        <v>0.99945189999999995</v>
      </c>
      <c r="N2939">
        <v>-8.426546E-3</v>
      </c>
      <c r="O2939">
        <v>-3.2016120000000002E-2</v>
      </c>
      <c r="P2939">
        <v>0.98961399999999999</v>
      </c>
      <c r="Q2939">
        <v>0.1437513</v>
      </c>
      <c r="R2939" s="1">
        <v>6.9964209999999997E-5</v>
      </c>
      <c r="S2939">
        <v>3.169006</v>
      </c>
      <c r="T2939">
        <v>-0.96876300000000004</v>
      </c>
      <c r="U2939">
        <v>-0.33563229999999999</v>
      </c>
      <c r="V2939">
        <v>-3.1787179999999998E-2</v>
      </c>
      <c r="W2939">
        <v>0.15207409999999999</v>
      </c>
      <c r="X2939">
        <v>0.98785780000000001</v>
      </c>
      <c r="Y2939">
        <v>7.1474309999999999E-2</v>
      </c>
      <c r="Z2939">
        <v>-1.686627E-3</v>
      </c>
      <c r="AA2939">
        <v>0.99744100000000002</v>
      </c>
      <c r="AB2939">
        <v>30</v>
      </c>
      <c r="AC2939">
        <v>0.47579999999999201</v>
      </c>
      <c r="AD2939">
        <v>-0.22759740000000001</v>
      </c>
      <c r="AE2939">
        <v>-7.0700000000016403E-2</v>
      </c>
      <c r="AF2939">
        <v>4.5290614124394599E-2</v>
      </c>
      <c r="AG2939">
        <v>-0.22759740000000001</v>
      </c>
      <c r="AH2939">
        <v>0.39041618270320799</v>
      </c>
      <c r="AI2939">
        <v>120.074169525184</v>
      </c>
      <c r="AJ2939">
        <v>83.382923698093293</v>
      </c>
      <c r="AK2939">
        <v>0.45417685094142501</v>
      </c>
      <c r="AL2939">
        <v>81.252857087246696</v>
      </c>
      <c r="AM2939">
        <v>91.843021389648698</v>
      </c>
      <c r="AN2939">
        <v>0.99999999486200097</v>
      </c>
    </row>
    <row r="2940" spans="1:40" x14ac:dyDescent="0.25">
      <c r="A2940" t="str">
        <f>"20190303162836822"</f>
        <v>20190303162836822</v>
      </c>
      <c r="B2940" t="str">
        <f>"1551601716815210"</f>
        <v>1551601716815210</v>
      </c>
      <c r="C2940" t="s">
        <v>40</v>
      </c>
      <c r="D2940">
        <v>4.5418520000000004</v>
      </c>
      <c r="E2940">
        <v>0.54039950000000003</v>
      </c>
      <c r="F2940" t="s">
        <v>44</v>
      </c>
      <c r="G2940">
        <v>-448.04539999999997</v>
      </c>
      <c r="H2940">
        <v>0.89535259999999905</v>
      </c>
      <c r="I2940">
        <v>213.91139999999999</v>
      </c>
      <c r="J2940">
        <v>-448.45979999999997</v>
      </c>
      <c r="K2940">
        <v>1.1208229999999999</v>
      </c>
      <c r="L2940">
        <v>213.97970000000001</v>
      </c>
      <c r="M2940">
        <v>0.99945580000000001</v>
      </c>
      <c r="N2940">
        <v>-8.4971619999999904E-3</v>
      </c>
      <c r="O2940">
        <v>-3.187371E-2</v>
      </c>
      <c r="P2940">
        <v>0.98924259999999997</v>
      </c>
      <c r="Q2940">
        <v>0.14627670000000001</v>
      </c>
      <c r="R2940">
        <v>1.4813929999999999E-3</v>
      </c>
      <c r="S2940">
        <v>3.17157</v>
      </c>
      <c r="T2940">
        <v>-0.96420899999999998</v>
      </c>
      <c r="U2940">
        <v>-0.33520509999999998</v>
      </c>
      <c r="V2940">
        <v>-3.3045989999999997E-2</v>
      </c>
      <c r="W2940">
        <v>0.15466559999999999</v>
      </c>
      <c r="X2940">
        <v>0.98741409999999996</v>
      </c>
      <c r="Y2940">
        <v>7.1414430000000001E-2</v>
      </c>
      <c r="Z2940">
        <v>-1.717405E-3</v>
      </c>
      <c r="AA2940">
        <v>0.99744520000000003</v>
      </c>
      <c r="AB2940">
        <v>30</v>
      </c>
      <c r="AC2940">
        <v>0.41439999999999999</v>
      </c>
      <c r="AD2940">
        <v>-0.22547039999999999</v>
      </c>
      <c r="AE2940">
        <v>-6.8300000000021996E-2</v>
      </c>
      <c r="AF2940">
        <v>4.2738855621966901E-2</v>
      </c>
      <c r="AG2940">
        <v>-0.22547039999999999</v>
      </c>
      <c r="AH2940">
        <v>0.32321478263004699</v>
      </c>
      <c r="AI2940">
        <v>124.66645945843899</v>
      </c>
      <c r="AJ2940">
        <v>82.467448982117801</v>
      </c>
      <c r="AK2940">
        <v>0.39639791468500901</v>
      </c>
      <c r="AL2940">
        <v>81.102597733360497</v>
      </c>
      <c r="AM2940">
        <v>91.916814161157106</v>
      </c>
      <c r="AN2940">
        <v>1.0000000450786199</v>
      </c>
    </row>
    <row r="2941" spans="1:40" x14ac:dyDescent="0.25">
      <c r="A2941" t="str">
        <f>"20190303162836841"</f>
        <v>20190303162836841</v>
      </c>
      <c r="B2941" t="str">
        <f>"1551601716834730"</f>
        <v>1551601716834730</v>
      </c>
      <c r="C2941" t="s">
        <v>40</v>
      </c>
      <c r="D2941">
        <v>4.5626569999999997</v>
      </c>
      <c r="E2941">
        <v>0.54044179999999997</v>
      </c>
      <c r="F2941" t="s">
        <v>44</v>
      </c>
      <c r="G2941">
        <v>-447.77179999999998</v>
      </c>
      <c r="H2941">
        <v>0.91340699999999997</v>
      </c>
      <c r="I2941">
        <v>213.9074</v>
      </c>
      <c r="J2941">
        <v>-448.19349999999997</v>
      </c>
      <c r="K2941">
        <v>1.1208370000000001</v>
      </c>
      <c r="L2941">
        <v>213.97130000000001</v>
      </c>
      <c r="M2941">
        <v>0.99945910000000004</v>
      </c>
      <c r="N2941">
        <v>-8.5508979999999995E-3</v>
      </c>
      <c r="O2941">
        <v>-3.1758050000000003E-2</v>
      </c>
      <c r="P2941">
        <v>0.98881759999999996</v>
      </c>
      <c r="Q2941">
        <v>0.14911949999999999</v>
      </c>
      <c r="R2941">
        <v>1.8535310000000001E-3</v>
      </c>
      <c r="S2941">
        <v>3.174652</v>
      </c>
      <c r="T2941">
        <v>-0.95712609999999998</v>
      </c>
      <c r="U2941">
        <v>-0.33213809999999999</v>
      </c>
      <c r="V2941">
        <v>-3.3290960000000001E-2</v>
      </c>
      <c r="W2941">
        <v>0.15755749999999999</v>
      </c>
      <c r="X2941">
        <v>0.98694850000000001</v>
      </c>
      <c r="Y2941">
        <v>7.0539009999999999E-2</v>
      </c>
      <c r="Z2941">
        <v>-1.612381E-3</v>
      </c>
      <c r="AA2941">
        <v>0.9975077</v>
      </c>
      <c r="AB2941">
        <v>30</v>
      </c>
      <c r="AC2941">
        <v>0.42169999999998697</v>
      </c>
      <c r="AD2941">
        <v>-0.20743</v>
      </c>
      <c r="AE2941">
        <v>-6.3900000000017998E-2</v>
      </c>
      <c r="AF2941">
        <v>4.0819970233442998E-2</v>
      </c>
      <c r="AG2941">
        <v>-0.20743</v>
      </c>
      <c r="AH2941">
        <v>0.34250560112658202</v>
      </c>
      <c r="AI2941">
        <v>121.02140814641901</v>
      </c>
      <c r="AJ2941">
        <v>83.203521480014501</v>
      </c>
      <c r="AK2941">
        <v>0.402496660449426</v>
      </c>
      <c r="AL2941">
        <v>80.934846864094098</v>
      </c>
      <c r="AM2941">
        <v>91.9319230699478</v>
      </c>
      <c r="AN2941">
        <v>0.99999999773810999</v>
      </c>
    </row>
    <row r="2942" spans="1:40" x14ac:dyDescent="0.25">
      <c r="A2942" t="str">
        <f>"20190303162836864"</f>
        <v>20190303162836864</v>
      </c>
      <c r="B2942" t="str">
        <f>"1551601716854250"</f>
        <v>1551601716854250</v>
      </c>
      <c r="C2942" t="s">
        <v>40</v>
      </c>
      <c r="D2942">
        <v>4.5405309999999997</v>
      </c>
      <c r="E2942">
        <v>0.54052939999999905</v>
      </c>
      <c r="F2942" t="s">
        <v>44</v>
      </c>
      <c r="G2942">
        <v>-447.50529999999998</v>
      </c>
      <c r="H2942">
        <v>0.91501650000000001</v>
      </c>
      <c r="I2942">
        <v>213.89949999999999</v>
      </c>
      <c r="J2942">
        <v>-447.89510000000001</v>
      </c>
      <c r="K2942">
        <v>1.120852</v>
      </c>
      <c r="L2942">
        <v>213.96190000000001</v>
      </c>
      <c r="M2942">
        <v>0.99946270000000004</v>
      </c>
      <c r="N2942">
        <v>-8.6117219999999901E-3</v>
      </c>
      <c r="O2942">
        <v>-3.1628240000000002E-2</v>
      </c>
      <c r="P2942">
        <v>0.9884676</v>
      </c>
      <c r="Q2942">
        <v>0.15141479999999999</v>
      </c>
      <c r="R2942">
        <v>2.344268E-3</v>
      </c>
      <c r="S2942">
        <v>3.1779169999999999</v>
      </c>
      <c r="T2942">
        <v>-0.95046949999999997</v>
      </c>
      <c r="U2942">
        <v>-0.3306732</v>
      </c>
      <c r="V2942">
        <v>-3.3642320000000003E-2</v>
      </c>
      <c r="W2942">
        <v>0.1599091</v>
      </c>
      <c r="X2942">
        <v>0.9865583</v>
      </c>
      <c r="Y2942">
        <v>7.0146379999999994E-2</v>
      </c>
      <c r="Z2942">
        <v>-1.586245E-3</v>
      </c>
      <c r="AA2942">
        <v>0.99753550000000002</v>
      </c>
      <c r="AB2942">
        <v>30</v>
      </c>
      <c r="AC2942">
        <v>0.38980000000003601</v>
      </c>
      <c r="AD2942">
        <v>-0.20583549999999901</v>
      </c>
      <c r="AE2942">
        <v>-6.2400000000025102E-2</v>
      </c>
      <c r="AF2942">
        <v>3.9343231639763297E-2</v>
      </c>
      <c r="AG2942">
        <v>-0.20583549999999901</v>
      </c>
      <c r="AH2942">
        <v>0.30787533256576699</v>
      </c>
      <c r="AI2942">
        <v>123.55133257264301</v>
      </c>
      <c r="AJ2942">
        <v>82.717670929957904</v>
      </c>
      <c r="AK2942">
        <v>0.372429004427141</v>
      </c>
      <c r="AL2942">
        <v>80.798379922719903</v>
      </c>
      <c r="AM2942">
        <v>91.953068875691002</v>
      </c>
      <c r="AN2942">
        <v>1.00000000262834</v>
      </c>
    </row>
    <row r="2943" spans="1:40" x14ac:dyDescent="0.25">
      <c r="A2943" t="str">
        <f>"20190303162837008"</f>
        <v>20190303162837008</v>
      </c>
      <c r="B2943" t="str">
        <f>"1551601717004554"</f>
        <v>1551601717004554</v>
      </c>
      <c r="C2943" t="s">
        <v>40</v>
      </c>
      <c r="D2943">
        <v>4.591755</v>
      </c>
      <c r="E2943">
        <v>0.51342209999999999</v>
      </c>
      <c r="F2943" t="s">
        <v>49</v>
      </c>
      <c r="G2943">
        <v>-422.5761</v>
      </c>
      <c r="H2943" s="1">
        <v>3.6167629999999999E-6</v>
      </c>
      <c r="I2943">
        <v>213.36799999999999</v>
      </c>
      <c r="J2943">
        <v>-445.96679999999998</v>
      </c>
      <c r="K2943">
        <v>1.120989</v>
      </c>
      <c r="L2943">
        <v>213.90260000000001</v>
      </c>
      <c r="M2943">
        <v>0.99948939999999997</v>
      </c>
      <c r="N2943">
        <v>-8.9220069999999992E-3</v>
      </c>
      <c r="O2943">
        <v>-3.0677759999999998E-2</v>
      </c>
      <c r="P2943">
        <v>0.98636279999999998</v>
      </c>
      <c r="Q2943">
        <v>0.1643994</v>
      </c>
      <c r="R2943">
        <v>7.8210999999999992E-3</v>
      </c>
      <c r="S2943">
        <v>3.0638730000000001</v>
      </c>
      <c r="T2943">
        <v>-0.14503489999999999</v>
      </c>
      <c r="U2943">
        <v>-7.0297239999999997E-2</v>
      </c>
      <c r="V2943">
        <v>-3.8130570000000003E-2</v>
      </c>
      <c r="W2943">
        <v>0.17317550000000001</v>
      </c>
      <c r="X2943">
        <v>0.98415260000000004</v>
      </c>
      <c r="Y2943">
        <v>-7.7109730000000003E-3</v>
      </c>
      <c r="Z2943">
        <v>1.394094E-3</v>
      </c>
      <c r="AA2943">
        <v>0.99996929999999995</v>
      </c>
      <c r="AB2943">
        <v>30</v>
      </c>
      <c r="AC2943">
        <v>23.390699999999899</v>
      </c>
      <c r="AD2943">
        <v>-1.120985383237</v>
      </c>
      <c r="AE2943">
        <v>-0.53460000000001096</v>
      </c>
      <c r="AF2943">
        <v>-0.18283485444907799</v>
      </c>
      <c r="AG2943">
        <v>-1.120985383237</v>
      </c>
      <c r="AH2943">
        <v>23.342506849416999</v>
      </c>
      <c r="AI2943">
        <v>92.749338769744895</v>
      </c>
      <c r="AJ2943">
        <v>90.448771477363906</v>
      </c>
      <c r="AK2943">
        <v>23.370123295107199</v>
      </c>
      <c r="AL2943">
        <v>80.027499235617995</v>
      </c>
      <c r="AM2943">
        <v>92.218790585072099</v>
      </c>
      <c r="AN2943">
        <v>1.0000000171277601</v>
      </c>
    </row>
    <row r="2944" spans="1:40" x14ac:dyDescent="0.25">
      <c r="A2944" t="str">
        <f>"20190303162837030"</f>
        <v>20190303162837030</v>
      </c>
      <c r="B2944" t="str">
        <f>"1551601717024074"</f>
        <v>1551601717024074</v>
      </c>
      <c r="C2944" t="s">
        <v>40</v>
      </c>
      <c r="D2944">
        <v>4.5931509999999998</v>
      </c>
      <c r="E2944">
        <v>0.51270000000000004</v>
      </c>
      <c r="F2944" t="s">
        <v>49</v>
      </c>
      <c r="G2944">
        <v>-413.81599999999997</v>
      </c>
      <c r="H2944" s="1">
        <v>3.027444E-6</v>
      </c>
      <c r="I2944">
        <v>212.96010000000001</v>
      </c>
      <c r="J2944">
        <v>-445.65410000000003</v>
      </c>
      <c r="K2944">
        <v>1.1210119999999999</v>
      </c>
      <c r="L2944">
        <v>213.89320000000001</v>
      </c>
      <c r="M2944">
        <v>0.99949529999999998</v>
      </c>
      <c r="N2944">
        <v>-8.9556949999999996E-3</v>
      </c>
      <c r="O2944">
        <v>-3.047774E-2</v>
      </c>
      <c r="P2944">
        <v>0.98578169999999998</v>
      </c>
      <c r="Q2944">
        <v>0.16783709999999999</v>
      </c>
      <c r="R2944">
        <v>8.0737450000000002E-3</v>
      </c>
      <c r="S2944">
        <v>3.0599669999999999</v>
      </c>
      <c r="T2944">
        <v>-0.10669049999999999</v>
      </c>
      <c r="U2944">
        <v>-8.9706419999999995E-2</v>
      </c>
      <c r="V2944">
        <v>-3.8174279999999998E-2</v>
      </c>
      <c r="W2944">
        <v>0.17663989999999999</v>
      </c>
      <c r="X2944">
        <v>0.98353500000000005</v>
      </c>
      <c r="Y2944">
        <v>-1.164843E-3</v>
      </c>
      <c r="Z2944">
        <v>8.1448039999999897E-4</v>
      </c>
      <c r="AA2944">
        <v>0.99999899999999997</v>
      </c>
      <c r="AB2944">
        <v>30</v>
      </c>
      <c r="AC2944">
        <v>31.838100000000001</v>
      </c>
      <c r="AD2944">
        <v>-1.121008972556</v>
      </c>
      <c r="AE2944">
        <v>-0.93309999999999504</v>
      </c>
      <c r="AF2944">
        <v>-3.7679111800100397E-2</v>
      </c>
      <c r="AG2944">
        <v>-1.121008972556</v>
      </c>
      <c r="AH2944">
        <v>31.812343630844701</v>
      </c>
      <c r="AI2944">
        <v>92.018162302736798</v>
      </c>
      <c r="AJ2944">
        <v>90.067862119732098</v>
      </c>
      <c r="AK2944">
        <v>31.8321109592022</v>
      </c>
      <c r="AL2944">
        <v>79.825895837732602</v>
      </c>
      <c r="AM2944">
        <v>92.222724954340194</v>
      </c>
      <c r="AN2944">
        <v>1.00000001307526</v>
      </c>
    </row>
    <row r="2945" spans="1:40" x14ac:dyDescent="0.25">
      <c r="A2945" t="str">
        <f>"20190303162837054"</f>
        <v>20190303162837054</v>
      </c>
      <c r="B2945" t="str">
        <f>"1551601717044570"</f>
        <v>1551601717044570</v>
      </c>
      <c r="C2945" t="s">
        <v>40</v>
      </c>
      <c r="D2945">
        <v>4.5764230000000001</v>
      </c>
      <c r="E2945">
        <v>0.51077950000000005</v>
      </c>
      <c r="F2945" t="s">
        <v>49</v>
      </c>
      <c r="G2945">
        <v>-410.9853</v>
      </c>
      <c r="H2945" s="1">
        <v>2.5256870000000001E-6</v>
      </c>
      <c r="I2945">
        <v>212.95590000000001</v>
      </c>
      <c r="J2945">
        <v>-445.34030000000001</v>
      </c>
      <c r="K2945">
        <v>1.121035</v>
      </c>
      <c r="L2945">
        <v>213.88380000000001</v>
      </c>
      <c r="M2945">
        <v>0.9995018</v>
      </c>
      <c r="N2945">
        <v>-8.9859180000000007E-3</v>
      </c>
      <c r="O2945">
        <v>-3.0258279999999999E-2</v>
      </c>
      <c r="P2945">
        <v>0.98543069999999999</v>
      </c>
      <c r="Q2945">
        <v>0.16986189999999901</v>
      </c>
      <c r="R2945">
        <v>8.5655490000000004E-3</v>
      </c>
      <c r="S2945">
        <v>3.060791</v>
      </c>
      <c r="T2945">
        <v>-9.8970169999999996E-2</v>
      </c>
      <c r="U2945">
        <v>-8.2748409999999994E-2</v>
      </c>
      <c r="V2945">
        <v>-3.8445430000000003E-2</v>
      </c>
      <c r="W2945">
        <v>0.17868999999999999</v>
      </c>
      <c r="X2945">
        <v>0.98315399999999997</v>
      </c>
      <c r="Y2945">
        <v>-3.2253329999999999E-3</v>
      </c>
      <c r="Z2945">
        <v>7.7250970000000002E-4</v>
      </c>
      <c r="AA2945">
        <v>0.99999450000000001</v>
      </c>
      <c r="AB2945">
        <v>30</v>
      </c>
      <c r="AC2945">
        <v>34.354999999999997</v>
      </c>
      <c r="AD2945">
        <v>-1.121032474313</v>
      </c>
      <c r="AE2945">
        <v>-0.92789999999999395</v>
      </c>
      <c r="AF2945">
        <v>-0.111970869343525</v>
      </c>
      <c r="AG2945">
        <v>-1.121032474313</v>
      </c>
      <c r="AH2945">
        <v>34.330817992696097</v>
      </c>
      <c r="AI2945">
        <v>91.870251788987005</v>
      </c>
      <c r="AJ2945">
        <v>90.186871035086995</v>
      </c>
      <c r="AK2945">
        <v>34.349298614843299</v>
      </c>
      <c r="AL2945">
        <v>79.706534457638796</v>
      </c>
      <c r="AM2945">
        <v>92.239363452027405</v>
      </c>
      <c r="AN2945">
        <v>0.99999997745194202</v>
      </c>
    </row>
    <row r="2946" spans="1:40" x14ac:dyDescent="0.25">
      <c r="A2946" t="str">
        <f>"20190303162837077"</f>
        <v>20190303162837077</v>
      </c>
      <c r="B2946" t="str">
        <f>"1551601717064090"</f>
        <v>1551601717064090</v>
      </c>
      <c r="C2946" t="s">
        <v>40</v>
      </c>
      <c r="D2946">
        <v>4.5940190000000003</v>
      </c>
      <c r="E2946">
        <v>0.50971849999999996</v>
      </c>
      <c r="F2946" t="s">
        <v>49</v>
      </c>
      <c r="G2946">
        <v>-408.93990000000002</v>
      </c>
      <c r="H2946" s="1">
        <v>4.74973E-6</v>
      </c>
      <c r="I2946">
        <v>213.10659999999999</v>
      </c>
      <c r="J2946">
        <v>-445.0308</v>
      </c>
      <c r="K2946">
        <v>1.1210549999999999</v>
      </c>
      <c r="L2946">
        <v>213.87469999999999</v>
      </c>
      <c r="M2946">
        <v>0.99950859999999997</v>
      </c>
      <c r="N2946">
        <v>-9.0127330000000002E-3</v>
      </c>
      <c r="O2946">
        <v>-3.0021860000000001E-2</v>
      </c>
      <c r="P2946">
        <v>0.98510299999999995</v>
      </c>
      <c r="Q2946">
        <v>0.1717272</v>
      </c>
      <c r="R2946">
        <v>9.0472199999999999E-3</v>
      </c>
      <c r="S2946">
        <v>3.0612180000000002</v>
      </c>
      <c r="T2946">
        <v>-9.4277020000000003E-2</v>
      </c>
      <c r="U2946">
        <v>-6.536865E-2</v>
      </c>
      <c r="V2946">
        <v>-3.8690189999999999E-2</v>
      </c>
      <c r="W2946">
        <v>0.18057670000000001</v>
      </c>
      <c r="X2946">
        <v>0.9827996</v>
      </c>
      <c r="Y2946">
        <v>-8.6645030000000005E-3</v>
      </c>
      <c r="Z2946">
        <v>8.2596389999999996E-4</v>
      </c>
      <c r="AA2946">
        <v>0.99996220000000002</v>
      </c>
      <c r="AB2946">
        <v>30</v>
      </c>
      <c r="AC2946">
        <v>36.090899999999898</v>
      </c>
      <c r="AD2946">
        <v>-1.1210502502699999</v>
      </c>
      <c r="AE2946">
        <v>-0.768100000000004</v>
      </c>
      <c r="AF2946">
        <v>-0.31550195005181703</v>
      </c>
      <c r="AG2946">
        <v>-1.1210502502699999</v>
      </c>
      <c r="AH2946">
        <v>36.062912014829998</v>
      </c>
      <c r="AI2946">
        <v>91.780452853998995</v>
      </c>
      <c r="AJ2946">
        <v>90.501248179388</v>
      </c>
      <c r="AK2946">
        <v>36.0817116851943</v>
      </c>
      <c r="AL2946">
        <v>79.596646884759195</v>
      </c>
      <c r="AM2946">
        <v>92.254417358885306</v>
      </c>
      <c r="AN2946">
        <v>0.99999996457264195</v>
      </c>
    </row>
    <row r="2947" spans="1:40" x14ac:dyDescent="0.25">
      <c r="A2947" t="str">
        <f>"20190303162837100"</f>
        <v>20190303162837100</v>
      </c>
      <c r="B2947" t="str">
        <f>"1551601717094348"</f>
        <v>1551601717094348</v>
      </c>
      <c r="C2947" t="s">
        <v>40</v>
      </c>
      <c r="D2947">
        <v>4.571726</v>
      </c>
      <c r="E2947">
        <v>0.50869579999999903</v>
      </c>
      <c r="F2947" t="s">
        <v>49</v>
      </c>
      <c r="G2947">
        <v>-407.2398</v>
      </c>
      <c r="H2947" s="1">
        <v>5.4868200000000003E-6</v>
      </c>
      <c r="I2947">
        <v>213.18799999999999</v>
      </c>
      <c r="J2947">
        <v>-444.72309999999999</v>
      </c>
      <c r="K2947">
        <v>1.121075</v>
      </c>
      <c r="L2947">
        <v>213.8657</v>
      </c>
      <c r="M2947">
        <v>0.99951599999999996</v>
      </c>
      <c r="N2947">
        <v>-9.0365989999999993E-3</v>
      </c>
      <c r="O2947">
        <v>-2.976825E-2</v>
      </c>
      <c r="P2947">
        <v>0.9848827</v>
      </c>
      <c r="Q2947">
        <v>0.1730023</v>
      </c>
      <c r="R2947">
        <v>8.7518059999999905E-3</v>
      </c>
      <c r="S2947">
        <v>3.0616759999999998</v>
      </c>
      <c r="T2947">
        <v>-9.0823169999999995E-2</v>
      </c>
      <c r="U2947">
        <v>-5.5633540000000002E-2</v>
      </c>
      <c r="V2947">
        <v>-3.814621E-2</v>
      </c>
      <c r="W2947">
        <v>0.1818729</v>
      </c>
      <c r="X2947">
        <v>0.98258190000000001</v>
      </c>
      <c r="Y2947">
        <v>-1.159168E-2</v>
      </c>
      <c r="Z2947">
        <v>8.3791679999999904E-4</v>
      </c>
      <c r="AA2947">
        <v>0.9999325</v>
      </c>
      <c r="AB2947">
        <v>30</v>
      </c>
      <c r="AC2947">
        <v>37.4832999999999</v>
      </c>
      <c r="AD2947">
        <v>-1.1210695131799999</v>
      </c>
      <c r="AE2947">
        <v>-0.67770000000001496</v>
      </c>
      <c r="AF2947">
        <v>-0.438066414648769</v>
      </c>
      <c r="AG2947">
        <v>-1.1210695131799999</v>
      </c>
      <c r="AH2947">
        <v>37.453370046726697</v>
      </c>
      <c r="AI2947">
        <v>91.714371486374105</v>
      </c>
      <c r="AJ2947">
        <v>90.670118929380493</v>
      </c>
      <c r="AK2947">
        <v>37.472705091760702</v>
      </c>
      <c r="AL2947">
        <v>79.521130423883506</v>
      </c>
      <c r="AM2947">
        <v>92.223244484367697</v>
      </c>
      <c r="AN2947">
        <v>1.00000003764969</v>
      </c>
    </row>
    <row r="2948" spans="1:40" x14ac:dyDescent="0.25">
      <c r="A2948" t="str">
        <f>"20190303162837122"</f>
        <v>20190303162837122</v>
      </c>
      <c r="B2948" t="str">
        <f>"1551601717114845"</f>
        <v>1551601717114845</v>
      </c>
      <c r="C2948" t="s">
        <v>40</v>
      </c>
      <c r="D2948">
        <v>4.5770239999999998</v>
      </c>
      <c r="E2948">
        <v>0.50827909999999998</v>
      </c>
      <c r="F2948" t="s">
        <v>49</v>
      </c>
      <c r="G2948">
        <v>-406.32530000000003</v>
      </c>
      <c r="H2948" s="1">
        <v>5.8761109999999996E-6</v>
      </c>
      <c r="I2948">
        <v>213.26660000000001</v>
      </c>
      <c r="J2948">
        <v>-444.42</v>
      </c>
      <c r="K2948">
        <v>1.121094</v>
      </c>
      <c r="L2948">
        <v>213.8569</v>
      </c>
      <c r="M2948">
        <v>0.99952370000000001</v>
      </c>
      <c r="N2948">
        <v>-9.0576849999999993E-3</v>
      </c>
      <c r="O2948">
        <v>-2.950212E-2</v>
      </c>
      <c r="P2948">
        <v>0.98444719999999997</v>
      </c>
      <c r="Q2948">
        <v>0.17552100000000001</v>
      </c>
      <c r="R2948">
        <v>7.4922779999999998E-3</v>
      </c>
      <c r="S2948">
        <v>3.0622250000000002</v>
      </c>
      <c r="T2948">
        <v>-8.9405419999999999E-2</v>
      </c>
      <c r="U2948">
        <v>-4.7775270000000002E-2</v>
      </c>
      <c r="V2948">
        <v>-3.661942E-2</v>
      </c>
      <c r="W2948">
        <v>0.1844075</v>
      </c>
      <c r="X2948">
        <v>0.98216740000000002</v>
      </c>
      <c r="Y2948">
        <v>-1.389322E-2</v>
      </c>
      <c r="Z2948">
        <v>8.5945819999999997E-4</v>
      </c>
      <c r="AA2948">
        <v>0.99990310000000004</v>
      </c>
      <c r="AB2948">
        <v>30</v>
      </c>
      <c r="AC2948">
        <v>38.094699999999897</v>
      </c>
      <c r="AD2948">
        <v>-1.121088123889</v>
      </c>
      <c r="AE2948">
        <v>-0.59029999999998495</v>
      </c>
      <c r="AF2948">
        <v>-0.53341559798438498</v>
      </c>
      <c r="AG2948">
        <v>-1.121088123889</v>
      </c>
      <c r="AH2948">
        <v>38.062575763850603</v>
      </c>
      <c r="AI2948">
        <v>91.686926075701507</v>
      </c>
      <c r="AJ2948">
        <v>90.8029005215853</v>
      </c>
      <c r="AK2948">
        <v>38.082818232906099</v>
      </c>
      <c r="AL2948">
        <v>79.373409188816098</v>
      </c>
      <c r="AM2948">
        <v>92.135243751633794</v>
      </c>
      <c r="AN2948">
        <v>0.99999995480007198</v>
      </c>
    </row>
    <row r="2949" spans="1:40" x14ac:dyDescent="0.25">
      <c r="A2949" t="str">
        <f>"20190303162837144"</f>
        <v>20190303162837144</v>
      </c>
      <c r="B2949" t="str">
        <f>"1551601717134363"</f>
        <v>1551601717134363</v>
      </c>
      <c r="C2949" t="s">
        <v>40</v>
      </c>
      <c r="D2949">
        <v>4.5813629999999996</v>
      </c>
      <c r="E2949">
        <v>0.50787669999999996</v>
      </c>
      <c r="F2949" t="s">
        <v>49</v>
      </c>
      <c r="G2949">
        <v>-403.21379999999999</v>
      </c>
      <c r="H2949" s="1">
        <v>7.2644609999999996E-6</v>
      </c>
      <c r="I2949">
        <v>213.22540000000001</v>
      </c>
      <c r="J2949">
        <v>-444.12819999999999</v>
      </c>
      <c r="K2949">
        <v>1.1211150000000001</v>
      </c>
      <c r="L2949">
        <v>213.8485</v>
      </c>
      <c r="M2949">
        <v>0.99953150000000002</v>
      </c>
      <c r="N2949">
        <v>-9.0759550000000001E-3</v>
      </c>
      <c r="O2949">
        <v>-2.923446E-2</v>
      </c>
      <c r="P2949">
        <v>0.98419730000000005</v>
      </c>
      <c r="Q2949">
        <v>0.1769531</v>
      </c>
      <c r="R2949">
        <v>6.5919189999999999E-3</v>
      </c>
      <c r="S2949">
        <v>3.062592</v>
      </c>
      <c r="T2949">
        <v>-8.3323120000000001E-2</v>
      </c>
      <c r="U2949">
        <v>-4.6936039999999998E-2</v>
      </c>
      <c r="V2949">
        <v>-3.5454649999999997E-2</v>
      </c>
      <c r="W2949">
        <v>0.1858554</v>
      </c>
      <c r="X2949">
        <v>0.98193719999999995</v>
      </c>
      <c r="Y2949">
        <v>-1.390332E-2</v>
      </c>
      <c r="Z2949">
        <v>7.8191920000000002E-4</v>
      </c>
      <c r="AA2949">
        <v>0.99990299999999999</v>
      </c>
      <c r="AB2949">
        <v>30</v>
      </c>
      <c r="AC2949">
        <v>40.914400000000001</v>
      </c>
      <c r="AD2949">
        <v>-1.12110773553899</v>
      </c>
      <c r="AE2949">
        <v>-0.62309999999999299</v>
      </c>
      <c r="AF2949">
        <v>-0.57289580746463897</v>
      </c>
      <c r="AG2949">
        <v>-1.12110773553899</v>
      </c>
      <c r="AH2949">
        <v>40.8844375513183</v>
      </c>
      <c r="AI2949">
        <v>91.570581669535898</v>
      </c>
      <c r="AJ2949">
        <v>90.802808249339904</v>
      </c>
      <c r="AK2949">
        <v>40.903817988649202</v>
      </c>
      <c r="AL2949">
        <v>79.2889914434312</v>
      </c>
      <c r="AM2949">
        <v>92.067871261850101</v>
      </c>
      <c r="AN2949">
        <v>0.99999996332981</v>
      </c>
    </row>
    <row r="2950" spans="1:40" x14ac:dyDescent="0.25">
      <c r="A2950" t="str">
        <f>"20190303162837166"</f>
        <v>20190303162837166</v>
      </c>
      <c r="B2950" t="str">
        <f>"1551601717154858"</f>
        <v>1551601717154858</v>
      </c>
      <c r="C2950" t="s">
        <v>40</v>
      </c>
      <c r="D2950">
        <v>4.5842489999999998</v>
      </c>
      <c r="E2950">
        <v>0.50756749999999995</v>
      </c>
      <c r="F2950" t="s">
        <v>49</v>
      </c>
      <c r="G2950">
        <v>-400.48360000000002</v>
      </c>
      <c r="H2950" s="1">
        <v>8.482682E-6</v>
      </c>
      <c r="I2950">
        <v>213.1892</v>
      </c>
      <c r="J2950">
        <v>-443.82659999999998</v>
      </c>
      <c r="K2950">
        <v>1.121124</v>
      </c>
      <c r="L2950">
        <v>213.84</v>
      </c>
      <c r="M2950">
        <v>0.99953959999999997</v>
      </c>
      <c r="N2950">
        <v>-9.0930960000000002E-3</v>
      </c>
      <c r="O2950">
        <v>-2.8948109999999999E-2</v>
      </c>
      <c r="P2950">
        <v>0.98402290000000003</v>
      </c>
      <c r="Q2950">
        <v>0.177940299999999</v>
      </c>
      <c r="R2950">
        <v>6.0144830000000002E-3</v>
      </c>
      <c r="S2950">
        <v>3.062592</v>
      </c>
      <c r="T2950">
        <v>-7.8669310000000006E-2</v>
      </c>
      <c r="U2950">
        <v>-4.6264649999999997E-2</v>
      </c>
      <c r="V2950">
        <v>-3.459483E-2</v>
      </c>
      <c r="W2950">
        <v>0.186858</v>
      </c>
      <c r="X2950">
        <v>0.98177760000000003</v>
      </c>
      <c r="Y2950">
        <v>-1.3837520000000001E-2</v>
      </c>
      <c r="Z2950">
        <v>7.2069500000000004E-4</v>
      </c>
      <c r="AA2950">
        <v>0.99990400000000002</v>
      </c>
      <c r="AB2950">
        <v>30</v>
      </c>
      <c r="AC2950">
        <v>43.342999999999897</v>
      </c>
      <c r="AD2950">
        <v>-1.1211155173180001</v>
      </c>
      <c r="AE2950">
        <v>-0.65080000000000304</v>
      </c>
      <c r="AF2950">
        <v>-0.60381861572522399</v>
      </c>
      <c r="AG2950">
        <v>-1.1211155173180001</v>
      </c>
      <c r="AH2950">
        <v>43.314700884434103</v>
      </c>
      <c r="AI2950">
        <v>91.4825131236814</v>
      </c>
      <c r="AJ2950">
        <v>90.798666891012999</v>
      </c>
      <c r="AK2950">
        <v>43.333414470035301</v>
      </c>
      <c r="AL2950">
        <v>79.2305226765897</v>
      </c>
      <c r="AM2950">
        <v>92.018092482997602</v>
      </c>
      <c r="AN2950">
        <v>0.99999998514424404</v>
      </c>
    </row>
    <row r="2951" spans="1:40" x14ac:dyDescent="0.25">
      <c r="A2951" t="str">
        <f>"20190303162837189"</f>
        <v>20190303162837189</v>
      </c>
      <c r="B2951" t="str">
        <f>"1551601717174378"</f>
        <v>1551601717174378</v>
      </c>
      <c r="C2951" t="s">
        <v>40</v>
      </c>
      <c r="D2951">
        <v>4.6070799999999998</v>
      </c>
      <c r="E2951">
        <v>0.50723549999999995</v>
      </c>
      <c r="F2951" t="s">
        <v>48</v>
      </c>
      <c r="G2951">
        <v>-399.5564</v>
      </c>
      <c r="H2951" s="1">
        <v>3.5486580000000001E-6</v>
      </c>
      <c r="I2951">
        <v>213.1866</v>
      </c>
      <c r="J2951">
        <v>-443.52359999999999</v>
      </c>
      <c r="K2951">
        <v>1.121135</v>
      </c>
      <c r="L2951">
        <v>213.83150000000001</v>
      </c>
      <c r="M2951">
        <v>0.99954779999999999</v>
      </c>
      <c r="N2951">
        <v>-9.1087970000000001E-3</v>
      </c>
      <c r="O2951">
        <v>-2.8655340000000001E-2</v>
      </c>
      <c r="P2951">
        <v>0.98400390000000004</v>
      </c>
      <c r="Q2951">
        <v>0.17806749999999999</v>
      </c>
      <c r="R2951">
        <v>5.3274469999999999E-3</v>
      </c>
      <c r="S2951">
        <v>3.0630190000000002</v>
      </c>
      <c r="T2951">
        <v>-7.7569369999999999E-2</v>
      </c>
      <c r="U2951">
        <v>-4.5211790000000002E-2</v>
      </c>
      <c r="V2951">
        <v>-3.3622480000000003E-2</v>
      </c>
      <c r="W2951">
        <v>0.18700040000000001</v>
      </c>
      <c r="X2951">
        <v>0.98178430000000005</v>
      </c>
      <c r="Y2951">
        <v>-1.389073E-2</v>
      </c>
      <c r="Z2951">
        <v>7.0352489999999995E-4</v>
      </c>
      <c r="AA2951">
        <v>0.99990330000000005</v>
      </c>
      <c r="AB2951">
        <v>31</v>
      </c>
      <c r="AC2951">
        <v>43.967199999999899</v>
      </c>
      <c r="AD2951">
        <v>-1.1211314513420001</v>
      </c>
      <c r="AE2951">
        <v>-0.64490000000000602</v>
      </c>
      <c r="AF2951">
        <v>-0.614912507304606</v>
      </c>
      <c r="AG2951">
        <v>-1.1211314513420001</v>
      </c>
      <c r="AH2951">
        <v>43.939060437979201</v>
      </c>
      <c r="AI2951">
        <v>91.461475955621097</v>
      </c>
      <c r="AJ2951">
        <v>90.801782998861199</v>
      </c>
      <c r="AK2951">
        <v>43.957662418459201</v>
      </c>
      <c r="AL2951">
        <v>79.222217702111607</v>
      </c>
      <c r="AM2951">
        <v>91.961401929345499</v>
      </c>
      <c r="AN2951">
        <v>1.0000000162439999</v>
      </c>
    </row>
    <row r="2952" spans="1:40" x14ac:dyDescent="0.25">
      <c r="A2952" t="str">
        <f>"20190303162837210"</f>
        <v>20190303162837210</v>
      </c>
      <c r="B2952" t="str">
        <f>"1551601717204635"</f>
        <v>1551601717204635</v>
      </c>
      <c r="C2952" t="s">
        <v>40</v>
      </c>
      <c r="D2952">
        <v>4.6289089999999904</v>
      </c>
      <c r="E2952">
        <v>0.5065617</v>
      </c>
      <c r="F2952" t="s">
        <v>49</v>
      </c>
      <c r="G2952">
        <v>-400.28230000000002</v>
      </c>
      <c r="H2952" s="1">
        <v>8.5688679999999994E-6</v>
      </c>
      <c r="I2952">
        <v>213.20410000000001</v>
      </c>
      <c r="J2952">
        <v>-443.21960000000001</v>
      </c>
      <c r="K2952">
        <v>1.1211409999999999</v>
      </c>
      <c r="L2952">
        <v>213.82310000000001</v>
      </c>
      <c r="M2952">
        <v>0.99955609999999995</v>
      </c>
      <c r="N2952">
        <v>-9.1232039999999993E-3</v>
      </c>
      <c r="O2952">
        <v>-2.8358419999999999E-2</v>
      </c>
      <c r="P2952">
        <v>0.98392259999999998</v>
      </c>
      <c r="Q2952">
        <v>0.17854619999999999</v>
      </c>
      <c r="R2952">
        <v>4.212141E-3</v>
      </c>
      <c r="S2952">
        <v>3.0633539999999999</v>
      </c>
      <c r="T2952">
        <v>-7.9424259999999997E-2</v>
      </c>
      <c r="U2952">
        <v>-4.4448849999999998E-2</v>
      </c>
      <c r="V2952">
        <v>-3.2215380000000002E-2</v>
      </c>
      <c r="W2952">
        <v>0.18749360000000001</v>
      </c>
      <c r="X2952">
        <v>0.98173739999999998</v>
      </c>
      <c r="Y2952">
        <v>-1.384383E-2</v>
      </c>
      <c r="Z2952">
        <v>7.1885399999999902E-4</v>
      </c>
      <c r="AA2952">
        <v>0.99990389999999996</v>
      </c>
      <c r="AB2952">
        <v>31</v>
      </c>
      <c r="AC2952">
        <v>42.937299999999901</v>
      </c>
      <c r="AD2952">
        <v>-1.1211324311319999</v>
      </c>
      <c r="AE2952">
        <v>-0.618999999999999</v>
      </c>
      <c r="AF2952">
        <v>-0.59852575990615797</v>
      </c>
      <c r="AG2952">
        <v>-1.1211324311319999</v>
      </c>
      <c r="AH2952">
        <v>42.908336618264201</v>
      </c>
      <c r="AI2952">
        <v>91.496569325792507</v>
      </c>
      <c r="AJ2952">
        <v>90.799163490639103</v>
      </c>
      <c r="AK2952">
        <v>42.927153671769098</v>
      </c>
      <c r="AL2952">
        <v>79.193450456856397</v>
      </c>
      <c r="AM2952">
        <v>91.879467172030601</v>
      </c>
      <c r="AN2952">
        <v>1.0000000016541299</v>
      </c>
    </row>
    <row r="2953" spans="1:40" x14ac:dyDescent="0.25">
      <c r="A2953" t="str">
        <f>"20190303162837232"</f>
        <v>20190303162837232</v>
      </c>
      <c r="B2953" t="str">
        <f>"1551601717224155"</f>
        <v>1551601717224155</v>
      </c>
      <c r="C2953" t="s">
        <v>40</v>
      </c>
      <c r="D2953">
        <v>4.6325669999999999</v>
      </c>
      <c r="E2953">
        <v>0.50631150000000003</v>
      </c>
      <c r="F2953" t="s">
        <v>49</v>
      </c>
      <c r="G2953">
        <v>-400.20479999999998</v>
      </c>
      <c r="H2953" s="1">
        <v>8.5951399999999995E-6</v>
      </c>
      <c r="I2953">
        <v>213.24340000000001</v>
      </c>
      <c r="J2953">
        <v>-442.90859999999998</v>
      </c>
      <c r="K2953">
        <v>1.1211500000000001</v>
      </c>
      <c r="L2953">
        <v>213.81460000000001</v>
      </c>
      <c r="M2953">
        <v>0.99956480000000003</v>
      </c>
      <c r="N2953">
        <v>-9.1366750000000004E-3</v>
      </c>
      <c r="O2953">
        <v>-2.8054590000000001E-2</v>
      </c>
      <c r="P2953">
        <v>0.98380120000000004</v>
      </c>
      <c r="Q2953">
        <v>0.17923810000000001</v>
      </c>
      <c r="R2953">
        <v>3.0062520000000001E-3</v>
      </c>
      <c r="S2953">
        <v>3.0636899999999998</v>
      </c>
      <c r="T2953">
        <v>-7.9851510000000001E-2</v>
      </c>
      <c r="U2953">
        <v>-4.1290279999999999E-2</v>
      </c>
      <c r="V2953">
        <v>-3.0708900000000001E-2</v>
      </c>
      <c r="W2953">
        <v>0.18819849999999999</v>
      </c>
      <c r="X2953">
        <v>0.98165080000000005</v>
      </c>
      <c r="Y2953">
        <v>-1.457174E-2</v>
      </c>
      <c r="Z2953">
        <v>7.3106309999999895E-4</v>
      </c>
      <c r="AA2953">
        <v>0.99989349999999999</v>
      </c>
      <c r="AB2953">
        <v>31</v>
      </c>
      <c r="AC2953">
        <v>42.703800000000001</v>
      </c>
      <c r="AD2953">
        <v>-1.1211414048599999</v>
      </c>
      <c r="AE2953">
        <v>-0.57120000000000404</v>
      </c>
      <c r="AF2953">
        <v>-0.62668038650534597</v>
      </c>
      <c r="AG2953">
        <v>-1.1211414048599999</v>
      </c>
      <c r="AH2953">
        <v>42.673607250427096</v>
      </c>
      <c r="AI2953">
        <v>91.504793724884806</v>
      </c>
      <c r="AJ2953">
        <v>90.841352833794701</v>
      </c>
      <c r="AK2953">
        <v>42.692931992546796</v>
      </c>
      <c r="AL2953">
        <v>79.152330676104398</v>
      </c>
      <c r="AM2953">
        <v>91.7917947423594</v>
      </c>
      <c r="AN2953">
        <v>1.00000000254105</v>
      </c>
    </row>
    <row r="2954" spans="1:40" x14ac:dyDescent="0.25">
      <c r="A2954" t="str">
        <f>"20190303162837255"</f>
        <v>20190303162837255</v>
      </c>
      <c r="B2954" t="str">
        <f>"1551601717244650"</f>
        <v>1551601717244650</v>
      </c>
      <c r="C2954" t="s">
        <v>40</v>
      </c>
      <c r="D2954">
        <v>4.5516750000000004</v>
      </c>
      <c r="E2954">
        <v>0.50599320000000003</v>
      </c>
      <c r="F2954" t="s">
        <v>49</v>
      </c>
      <c r="G2954">
        <v>-400.51319999999998</v>
      </c>
      <c r="H2954" s="1">
        <v>8.4616440000000008E-6</v>
      </c>
      <c r="I2954">
        <v>213.22749999999999</v>
      </c>
      <c r="J2954">
        <v>-442.59840000000003</v>
      </c>
      <c r="K2954">
        <v>1.121148</v>
      </c>
      <c r="L2954">
        <v>213.80619999999999</v>
      </c>
      <c r="M2954">
        <v>0.99957289999999999</v>
      </c>
      <c r="N2954">
        <v>-9.1490540000000002E-3</v>
      </c>
      <c r="O2954">
        <v>-2.7751720000000001E-2</v>
      </c>
      <c r="P2954">
        <v>0.9835912</v>
      </c>
      <c r="Q2954">
        <v>0.18039160000000001</v>
      </c>
      <c r="R2954">
        <v>2.7162639999999999E-3</v>
      </c>
      <c r="S2954">
        <v>3.0643009999999999</v>
      </c>
      <c r="T2954">
        <v>-8.1035140000000006E-2</v>
      </c>
      <c r="U2954">
        <v>-4.2434689999999997E-2</v>
      </c>
      <c r="V2954">
        <v>-3.0116919999999998E-2</v>
      </c>
      <c r="W2954">
        <v>0.18936259999999999</v>
      </c>
      <c r="X2954">
        <v>0.98144529999999996</v>
      </c>
      <c r="Y2954">
        <v>-1.389811E-2</v>
      </c>
      <c r="Z2954">
        <v>7.2704240000000004E-4</v>
      </c>
      <c r="AA2954">
        <v>0.99990310000000004</v>
      </c>
      <c r="AB2954">
        <v>31</v>
      </c>
      <c r="AC2954">
        <v>42.0852</v>
      </c>
      <c r="AD2954">
        <v>-1.1211395383560001</v>
      </c>
      <c r="AE2954">
        <v>-0.57869999999999699</v>
      </c>
      <c r="AF2954">
        <v>-0.58909058298739503</v>
      </c>
      <c r="AG2954">
        <v>-1.1211395383560001</v>
      </c>
      <c r="AH2954">
        <v>42.055210026152501</v>
      </c>
      <c r="AI2954">
        <v>91.526922734467803</v>
      </c>
      <c r="AJ2954">
        <v>90.802521182461405</v>
      </c>
      <c r="AK2954">
        <v>42.074275655360097</v>
      </c>
      <c r="AL2954">
        <v>79.084411943800703</v>
      </c>
      <c r="AM2954">
        <v>91.757643636450496</v>
      </c>
      <c r="AN2954">
        <v>1.0000000500205599</v>
      </c>
    </row>
    <row r="2955" spans="1:40" x14ac:dyDescent="0.25">
      <c r="A2955" t="str">
        <f>"20190303162837278"</f>
        <v>20190303162837278</v>
      </c>
      <c r="B2955" t="str">
        <f>"1551601717264170"</f>
        <v>1551601717264170</v>
      </c>
      <c r="C2955" t="s">
        <v>40</v>
      </c>
      <c r="D2955">
        <v>4.64506</v>
      </c>
      <c r="E2955">
        <v>0.50569339999999996</v>
      </c>
      <c r="F2955" t="s">
        <v>48</v>
      </c>
      <c r="G2955">
        <v>-399.7174</v>
      </c>
      <c r="H2955" s="1">
        <v>3.6343160000000001E-6</v>
      </c>
      <c r="I2955">
        <v>213.2345</v>
      </c>
      <c r="J2955">
        <v>-442.2885</v>
      </c>
      <c r="K2955">
        <v>1.1211500000000001</v>
      </c>
      <c r="L2955">
        <v>213.7979</v>
      </c>
      <c r="M2955">
        <v>0.99958150000000001</v>
      </c>
      <c r="N2955">
        <v>-9.1605760000000001E-3</v>
      </c>
      <c r="O2955">
        <v>-2.7445850000000001E-2</v>
      </c>
      <c r="P2955">
        <v>0.98344089999999995</v>
      </c>
      <c r="Q2955">
        <v>0.18119170000000001</v>
      </c>
      <c r="R2955">
        <v>3.7004149999999999E-3</v>
      </c>
      <c r="S2955">
        <v>3.06488</v>
      </c>
      <c r="T2955">
        <v>-8.0132599999999998E-2</v>
      </c>
      <c r="U2955">
        <v>-4.0863040000000003E-2</v>
      </c>
      <c r="V2955">
        <v>-3.0797140000000001E-2</v>
      </c>
      <c r="W2955">
        <v>0.1901716</v>
      </c>
      <c r="X2955">
        <v>0.98126769999999996</v>
      </c>
      <c r="Y2955">
        <v>-1.4107629999999999E-2</v>
      </c>
      <c r="Z2955">
        <v>7.149287E-4</v>
      </c>
      <c r="AA2955">
        <v>0.99990020000000002</v>
      </c>
      <c r="AB2955">
        <v>31</v>
      </c>
      <c r="AC2955">
        <v>42.571100000000001</v>
      </c>
      <c r="AD2955">
        <v>-1.1211463656839999</v>
      </c>
      <c r="AE2955">
        <v>-0.56340000000000101</v>
      </c>
      <c r="AF2955">
        <v>-0.60484166220220204</v>
      </c>
      <c r="AG2955">
        <v>-1.1211463656839999</v>
      </c>
      <c r="AH2955">
        <v>42.541025087899499</v>
      </c>
      <c r="AI2955">
        <v>91.509498225786999</v>
      </c>
      <c r="AJ2955">
        <v>90.814567575701204</v>
      </c>
      <c r="AK2955">
        <v>42.560094197956403</v>
      </c>
      <c r="AL2955">
        <v>79.037201256834805</v>
      </c>
      <c r="AM2955">
        <v>91.797641064930204</v>
      </c>
      <c r="AN2955">
        <v>1.0000000001710101</v>
      </c>
    </row>
    <row r="2956" spans="1:40" x14ac:dyDescent="0.25">
      <c r="A2956" t="str">
        <f>"20190303162837303"</f>
        <v>20190303162837303</v>
      </c>
      <c r="B2956" t="str">
        <f>"1551601717294427"</f>
        <v>1551601717294427</v>
      </c>
      <c r="C2956" t="s">
        <v>40</v>
      </c>
      <c r="D2956">
        <v>4.8548960000000001</v>
      </c>
      <c r="E2956">
        <v>0.50502650000000004</v>
      </c>
      <c r="F2956" t="s">
        <v>48</v>
      </c>
      <c r="G2956">
        <v>-398.90949999999998</v>
      </c>
      <c r="H2956" s="1">
        <v>3.2044260000000001E-6</v>
      </c>
      <c r="I2956">
        <v>213.29220000000001</v>
      </c>
      <c r="J2956">
        <v>-441.95240000000001</v>
      </c>
      <c r="K2956">
        <v>1.121162</v>
      </c>
      <c r="L2956">
        <v>213.78899999999999</v>
      </c>
      <c r="M2956">
        <v>0.99959070000000005</v>
      </c>
      <c r="N2956">
        <v>-9.1720819999999998E-3</v>
      </c>
      <c r="O2956">
        <v>-2.7103559999999999E-2</v>
      </c>
      <c r="P2956">
        <v>0.98334619999999995</v>
      </c>
      <c r="Q2956">
        <v>0.18165419999999999</v>
      </c>
      <c r="R2956">
        <v>5.7046969999999999E-3</v>
      </c>
      <c r="S2956">
        <v>3.065277</v>
      </c>
      <c r="T2956">
        <v>-7.9223279999999993E-2</v>
      </c>
      <c r="U2956">
        <v>-3.5736080000000003E-2</v>
      </c>
      <c r="V2956">
        <v>-3.2465899999999999E-2</v>
      </c>
      <c r="W2956">
        <v>0.19064210000000001</v>
      </c>
      <c r="X2956">
        <v>0.98112259999999996</v>
      </c>
      <c r="Y2956">
        <v>-1.5438830000000001E-2</v>
      </c>
      <c r="Z2956">
        <v>7.2196490000000005E-4</v>
      </c>
      <c r="AA2956">
        <v>0.99988060000000001</v>
      </c>
      <c r="AB2956">
        <v>31</v>
      </c>
      <c r="AC2956">
        <v>43.042900000000003</v>
      </c>
      <c r="AD2956">
        <v>-1.1211587955739999</v>
      </c>
      <c r="AE2956">
        <v>-0.49680000000000701</v>
      </c>
      <c r="AF2956">
        <v>-0.66959300957652601</v>
      </c>
      <c r="AG2956">
        <v>-1.1211587955739999</v>
      </c>
      <c r="AH2956">
        <v>43.011373584398299</v>
      </c>
      <c r="AI2956">
        <v>91.492985252692804</v>
      </c>
      <c r="AJ2956">
        <v>90.891897918300799</v>
      </c>
      <c r="AK2956">
        <v>43.031193446847901</v>
      </c>
      <c r="AL2956">
        <v>79.009741222915295</v>
      </c>
      <c r="AM2956">
        <v>91.895258089866402</v>
      </c>
      <c r="AN2956">
        <v>1.0000000005929801</v>
      </c>
    </row>
    <row r="2957" spans="1:40" x14ac:dyDescent="0.25">
      <c r="A2957" t="str">
        <f>"20190303162837325"</f>
        <v>20190303162837325</v>
      </c>
      <c r="B2957" t="str">
        <f>"1551601717314923"</f>
        <v>1551601717314923</v>
      </c>
      <c r="C2957" t="s">
        <v>40</v>
      </c>
      <c r="D2957">
        <v>4.6762839999999999</v>
      </c>
      <c r="E2957">
        <v>0.48932510000000001</v>
      </c>
      <c r="F2957" t="s">
        <v>48</v>
      </c>
      <c r="G2957">
        <v>-397.1096</v>
      </c>
      <c r="H2957" s="1">
        <v>2.246585E-6</v>
      </c>
      <c r="I2957">
        <v>213.43119999999999</v>
      </c>
      <c r="J2957">
        <v>-441.65159999999997</v>
      </c>
      <c r="K2957">
        <v>1.1211789999999999</v>
      </c>
      <c r="L2957">
        <v>213.78110000000001</v>
      </c>
      <c r="M2957">
        <v>0.99959909999999996</v>
      </c>
      <c r="N2957">
        <v>-9.1816650000000003E-3</v>
      </c>
      <c r="O2957">
        <v>-2.6783410000000001E-2</v>
      </c>
      <c r="P2957">
        <v>0.98329310000000003</v>
      </c>
      <c r="Q2957">
        <v>0.1818593</v>
      </c>
      <c r="R2957">
        <v>7.8723679999999994E-3</v>
      </c>
      <c r="S2957">
        <v>3.0650940000000002</v>
      </c>
      <c r="T2957">
        <v>-7.6633450000000006E-2</v>
      </c>
      <c r="U2957">
        <v>-2.445984E-2</v>
      </c>
      <c r="V2957">
        <v>-3.4322180000000001E-2</v>
      </c>
      <c r="W2957">
        <v>0.1908541</v>
      </c>
      <c r="X2957">
        <v>0.98101819999999895</v>
      </c>
      <c r="Y2957">
        <v>-1.8795300000000001E-2</v>
      </c>
      <c r="Z2957">
        <v>7.4475059999999996E-4</v>
      </c>
      <c r="AA2957">
        <v>0.99982309999999996</v>
      </c>
      <c r="AB2957">
        <v>31</v>
      </c>
      <c r="AC2957">
        <v>44.541999999999902</v>
      </c>
      <c r="AD2957">
        <v>-1.1211767534149999</v>
      </c>
      <c r="AE2957">
        <v>-0.34990000000001897</v>
      </c>
      <c r="AF2957">
        <v>-0.84272855046730799</v>
      </c>
      <c r="AG2957">
        <v>-1.1211767534149999</v>
      </c>
      <c r="AH2957">
        <v>44.507193970778602</v>
      </c>
      <c r="AI2957">
        <v>91.442769183710695</v>
      </c>
      <c r="AJ2957">
        <v>91.084746437040394</v>
      </c>
      <c r="AK2957">
        <v>44.5292886073277</v>
      </c>
      <c r="AL2957">
        <v>78.997367360037998</v>
      </c>
      <c r="AM2957">
        <v>92.003749045324895</v>
      </c>
      <c r="AN2957">
        <v>1.000000004129</v>
      </c>
    </row>
    <row r="2958" spans="1:40" x14ac:dyDescent="0.25">
      <c r="A2958" t="str">
        <f>"20190303162837344"</f>
        <v>20190303162837344</v>
      </c>
      <c r="B2958" t="str">
        <f>"1551601717334443"</f>
        <v>1551601717334443</v>
      </c>
      <c r="C2958" t="s">
        <v>40</v>
      </c>
      <c r="D2958">
        <v>4.6656959999999996</v>
      </c>
      <c r="E2958">
        <v>0.48993799999999998</v>
      </c>
      <c r="F2958" t="s">
        <v>53</v>
      </c>
      <c r="G2958">
        <v>-168.35059999999999</v>
      </c>
      <c r="H2958">
        <v>0.89370439999999995</v>
      </c>
      <c r="I2958">
        <v>223.4282</v>
      </c>
      <c r="J2958">
        <v>-441.38010000000003</v>
      </c>
      <c r="K2958">
        <v>1.1211869999999999</v>
      </c>
      <c r="L2958">
        <v>213.77420000000001</v>
      </c>
      <c r="M2958">
        <v>0.99960720000000003</v>
      </c>
      <c r="N2958">
        <v>-9.1898729999999994E-3</v>
      </c>
      <c r="O2958">
        <v>-2.648064E-2</v>
      </c>
      <c r="P2958">
        <v>0.98345570000000004</v>
      </c>
      <c r="Q2958">
        <v>0.1809296</v>
      </c>
      <c r="R2958">
        <v>8.9066809999999996E-3</v>
      </c>
      <c r="S2958">
        <v>3.0505979999999999</v>
      </c>
      <c r="T2958">
        <v>-2.538443E-3</v>
      </c>
      <c r="U2958">
        <v>0.10768129999999999</v>
      </c>
      <c r="V2958">
        <v>-3.5068130000000003E-2</v>
      </c>
      <c r="W2958">
        <v>0.1899324</v>
      </c>
      <c r="X2958">
        <v>0.98117069999999995</v>
      </c>
      <c r="Y2958">
        <v>-6.1728159999999997E-2</v>
      </c>
      <c r="Z2958" s="1">
        <v>8.8158560000000004E-5</v>
      </c>
      <c r="AA2958">
        <v>0.99809300000000001</v>
      </c>
      <c r="AB2958">
        <v>31</v>
      </c>
      <c r="AC2958">
        <v>273.02949999999998</v>
      </c>
      <c r="AD2958">
        <v>-0.22748260000000001</v>
      </c>
      <c r="AE2958">
        <v>9.6539999999999893</v>
      </c>
      <c r="AF2958">
        <v>-16.880902986004401</v>
      </c>
      <c r="AG2958">
        <v>-0.22748260000000001</v>
      </c>
      <c r="AH2958">
        <v>272.67790376938899</v>
      </c>
      <c r="AI2958">
        <v>90.047707880731593</v>
      </c>
      <c r="AJ2958">
        <v>93.542537497810898</v>
      </c>
      <c r="AK2958">
        <v>273.20002898613302</v>
      </c>
      <c r="AL2958">
        <v>79.051161014390402</v>
      </c>
      <c r="AM2958">
        <v>92.046943452733103</v>
      </c>
      <c r="AN2958">
        <v>1.0000000164249701</v>
      </c>
    </row>
    <row r="2959" spans="1:40" x14ac:dyDescent="0.25">
      <c r="A2959" t="str">
        <f>"20190303162837367"</f>
        <v>20190303162837367</v>
      </c>
      <c r="B2959" t="str">
        <f>"1551601717353962"</f>
        <v>1551601717353962</v>
      </c>
      <c r="C2959" t="s">
        <v>40</v>
      </c>
      <c r="D2959">
        <v>4.608047</v>
      </c>
      <c r="E2959">
        <v>0.49056840000000002</v>
      </c>
      <c r="F2959" t="s">
        <v>47</v>
      </c>
      <c r="G2959">
        <v>-179.95779999999999</v>
      </c>
      <c r="H2959">
        <v>3.695039E-2</v>
      </c>
      <c r="I2959">
        <v>222.78380000000001</v>
      </c>
      <c r="J2959">
        <v>-441.05720000000002</v>
      </c>
      <c r="K2959">
        <v>1.121197</v>
      </c>
      <c r="L2959">
        <v>213.76599999999999</v>
      </c>
      <c r="M2959">
        <v>0.99961690000000003</v>
      </c>
      <c r="N2959">
        <v>-9.1990370000000002E-3</v>
      </c>
      <c r="O2959">
        <v>-2.6101920000000001E-2</v>
      </c>
      <c r="P2959">
        <v>0.98362760000000005</v>
      </c>
      <c r="Q2959">
        <v>0.1799799</v>
      </c>
      <c r="R2959">
        <v>9.1796240000000008E-3</v>
      </c>
      <c r="S2959">
        <v>3.0518489999999998</v>
      </c>
      <c r="T2959">
        <v>-1.2657399999999999E-2</v>
      </c>
      <c r="U2959">
        <v>0.1051788</v>
      </c>
      <c r="V2959">
        <v>-3.4980079999999997E-2</v>
      </c>
      <c r="W2959">
        <v>0.18899179999999999</v>
      </c>
      <c r="X2959">
        <v>0.98135539999999999</v>
      </c>
      <c r="Y2959">
        <v>-6.0517309999999998E-2</v>
      </c>
      <c r="Z2959">
        <v>2.7208720000000003E-4</v>
      </c>
      <c r="AA2959">
        <v>0.99816709999999997</v>
      </c>
      <c r="AB2959">
        <v>31</v>
      </c>
      <c r="AC2959">
        <v>261.0994</v>
      </c>
      <c r="AD2959">
        <v>-1.0842466100000001</v>
      </c>
      <c r="AE2959">
        <v>9.0178000000000207</v>
      </c>
      <c r="AF2959">
        <v>-15.829939045498801</v>
      </c>
      <c r="AG2959">
        <v>-1.0842466100000001</v>
      </c>
      <c r="AH2959">
        <v>260.77054915449298</v>
      </c>
      <c r="AI2959">
        <v>90.237788554206702</v>
      </c>
      <c r="AJ2959">
        <v>93.473847267392102</v>
      </c>
      <c r="AK2959">
        <v>261.25283130950203</v>
      </c>
      <c r="AL2959">
        <v>79.106046948163296</v>
      </c>
      <c r="AM2959">
        <v>92.041424326231393</v>
      </c>
      <c r="AN2959">
        <v>0.99999996378660205</v>
      </c>
    </row>
    <row r="2960" spans="1:40" x14ac:dyDescent="0.25">
      <c r="A2960" t="str">
        <f>"20190303162837389"</f>
        <v>20190303162837389</v>
      </c>
      <c r="B2960" t="str">
        <f>"1551601717374458"</f>
        <v>1551601717374458</v>
      </c>
      <c r="C2960" t="s">
        <v>40</v>
      </c>
      <c r="D2960">
        <v>4.6101449999999904</v>
      </c>
      <c r="E2960">
        <v>0.49089100000000002</v>
      </c>
      <c r="F2960" t="s">
        <v>48</v>
      </c>
      <c r="G2960">
        <v>-263.64019999999999</v>
      </c>
      <c r="H2960" s="1">
        <v>1.8195259999999999E-7</v>
      </c>
      <c r="I2960">
        <v>219.6122</v>
      </c>
      <c r="J2960">
        <v>-440.76510000000002</v>
      </c>
      <c r="K2960">
        <v>1.121211</v>
      </c>
      <c r="L2960">
        <v>213.7587</v>
      </c>
      <c r="M2960">
        <v>0.99962640000000003</v>
      </c>
      <c r="N2960">
        <v>-9.2073729999999996E-3</v>
      </c>
      <c r="O2960">
        <v>-2.5737969999999999E-2</v>
      </c>
      <c r="P2960">
        <v>0.9838363</v>
      </c>
      <c r="Q2960">
        <v>0.17886679999999999</v>
      </c>
      <c r="R2960">
        <v>8.5740009999999995E-3</v>
      </c>
      <c r="S2960">
        <v>3.052521</v>
      </c>
      <c r="T2960">
        <v>-1.929057E-2</v>
      </c>
      <c r="U2960">
        <v>0.10058590000000001</v>
      </c>
      <c r="V2960">
        <v>-3.4028580000000003E-2</v>
      </c>
      <c r="W2960">
        <v>0.18788850000000001</v>
      </c>
      <c r="X2960">
        <v>0.98160069999999999</v>
      </c>
      <c r="Y2960">
        <v>-5.8645099999999999E-2</v>
      </c>
      <c r="Z2960">
        <v>3.8101759999999998E-4</v>
      </c>
      <c r="AA2960">
        <v>0.99827880000000002</v>
      </c>
      <c r="AB2960">
        <v>31</v>
      </c>
      <c r="AC2960">
        <v>177.1249</v>
      </c>
      <c r="AD2960">
        <v>-1.1212108180474001</v>
      </c>
      <c r="AE2960">
        <v>5.8534999999999897</v>
      </c>
      <c r="AF2960">
        <v>-10.410172285577101</v>
      </c>
      <c r="AG2960">
        <v>-1.1212108180474001</v>
      </c>
      <c r="AH2960">
        <v>176.908473224972</v>
      </c>
      <c r="AI2960">
        <v>90.362497369486803</v>
      </c>
      <c r="AJ2960">
        <v>93.367684392374002</v>
      </c>
      <c r="AK2960">
        <v>177.21804845868499</v>
      </c>
      <c r="AL2960">
        <v>79.170414769996995</v>
      </c>
      <c r="AM2960">
        <v>91.985444343848599</v>
      </c>
      <c r="AN2960">
        <v>0.99999998346477803</v>
      </c>
    </row>
    <row r="2961" spans="1:40" x14ac:dyDescent="0.25">
      <c r="A2961" t="str">
        <f>"20190303162837412"</f>
        <v>20190303162837412</v>
      </c>
      <c r="B2961" t="str">
        <f>"1551601717404714"</f>
        <v>1551601717404714</v>
      </c>
      <c r="C2961" t="s">
        <v>40</v>
      </c>
      <c r="D2961">
        <v>4.6162700000000001</v>
      </c>
      <c r="E2961">
        <v>0.49133690000000002</v>
      </c>
      <c r="F2961" t="s">
        <v>49</v>
      </c>
      <c r="G2961">
        <v>-318.7029</v>
      </c>
      <c r="H2961" s="1">
        <v>4.7650159999999997E-6</v>
      </c>
      <c r="I2961">
        <v>217.61060000000001</v>
      </c>
      <c r="J2961">
        <v>-440.43049999999999</v>
      </c>
      <c r="K2961">
        <v>1.121232</v>
      </c>
      <c r="L2961">
        <v>213.75049999999999</v>
      </c>
      <c r="M2961">
        <v>0.99963789999999997</v>
      </c>
      <c r="N2961">
        <v>-9.2161110000000008E-3</v>
      </c>
      <c r="O2961">
        <v>-2.5282019999999999E-2</v>
      </c>
      <c r="P2961">
        <v>0.9840295</v>
      </c>
      <c r="Q2961">
        <v>0.1778469</v>
      </c>
      <c r="R2961">
        <v>7.5132469999999998E-3</v>
      </c>
      <c r="S2961">
        <v>3.053528</v>
      </c>
      <c r="T2961">
        <v>-2.8048279999999998E-2</v>
      </c>
      <c r="U2961">
        <v>9.6359249999999994E-2</v>
      </c>
      <c r="V2961">
        <v>-3.2534779999999999E-2</v>
      </c>
      <c r="W2961">
        <v>0.18687819999999999</v>
      </c>
      <c r="X2961">
        <v>0.98184419999999994</v>
      </c>
      <c r="Y2961">
        <v>-5.6796630000000001E-2</v>
      </c>
      <c r="Z2961">
        <v>5.2181340000000001E-4</v>
      </c>
      <c r="AA2961">
        <v>0.99838559999999998</v>
      </c>
      <c r="AB2961">
        <v>31</v>
      </c>
      <c r="AC2961">
        <v>121.7276</v>
      </c>
      <c r="AD2961">
        <v>-1.121227234984</v>
      </c>
      <c r="AE2961">
        <v>3.8601000000000099</v>
      </c>
      <c r="AF2961">
        <v>-6.9359284319616297</v>
      </c>
      <c r="AG2961">
        <v>-1.121227234984</v>
      </c>
      <c r="AH2961">
        <v>121.580787500124</v>
      </c>
      <c r="AI2961">
        <v>90.527513401299302</v>
      </c>
      <c r="AJ2961">
        <v>93.265064875567802</v>
      </c>
      <c r="AK2961">
        <v>121.783628386069</v>
      </c>
      <c r="AL2961">
        <v>79.229344747112194</v>
      </c>
      <c r="AM2961">
        <v>91.897881308380306</v>
      </c>
      <c r="AN2961">
        <v>1.00000000330926</v>
      </c>
    </row>
    <row r="2962" spans="1:40" x14ac:dyDescent="0.25">
      <c r="A2962" t="str">
        <f>"20190303162837433"</f>
        <v>20190303162837433</v>
      </c>
      <c r="B2962" t="str">
        <f>"1551601717424234"</f>
        <v>1551601717424234</v>
      </c>
      <c r="C2962" t="s">
        <v>40</v>
      </c>
      <c r="D2962">
        <v>4.6068410000000002</v>
      </c>
      <c r="E2962">
        <v>0.49155149999999997</v>
      </c>
      <c r="F2962" t="s">
        <v>48</v>
      </c>
      <c r="G2962">
        <v>-344.52749999999997</v>
      </c>
      <c r="H2962" s="1">
        <v>8.7253100000000002E-7</v>
      </c>
      <c r="I2962">
        <v>216.58009999999999</v>
      </c>
      <c r="J2962">
        <v>-440.13299999999998</v>
      </c>
      <c r="K2962">
        <v>1.121256</v>
      </c>
      <c r="L2962">
        <v>213.74340000000001</v>
      </c>
      <c r="M2962">
        <v>0.99964900000000001</v>
      </c>
      <c r="N2962">
        <v>-9.2234640000000007E-3</v>
      </c>
      <c r="O2962">
        <v>-2.4834599999999998E-2</v>
      </c>
      <c r="P2962">
        <v>0.98405980000000004</v>
      </c>
      <c r="Q2962">
        <v>0.17769160000000001</v>
      </c>
      <c r="R2962">
        <v>7.2215980000000001E-3</v>
      </c>
      <c r="S2962">
        <v>3.054443</v>
      </c>
      <c r="T2962">
        <v>-3.5710449999999998E-2</v>
      </c>
      <c r="U2962">
        <v>9.0118409999999996E-2</v>
      </c>
      <c r="V2962">
        <v>-3.1817970000000001E-2</v>
      </c>
      <c r="W2962">
        <v>0.18672920000000001</v>
      </c>
      <c r="X2962">
        <v>0.98189599999999999</v>
      </c>
      <c r="Y2962">
        <v>-5.4300260000000003E-2</v>
      </c>
      <c r="Z2962">
        <v>6.2910319999999996E-4</v>
      </c>
      <c r="AA2962">
        <v>0.99852439999999998</v>
      </c>
      <c r="AB2962">
        <v>31</v>
      </c>
      <c r="AC2962">
        <v>95.605500000000006</v>
      </c>
      <c r="AD2962">
        <v>-1.1212551274689999</v>
      </c>
      <c r="AE2962">
        <v>2.8366999999999698</v>
      </c>
      <c r="AF2962">
        <v>-5.2095345077287103</v>
      </c>
      <c r="AG2962">
        <v>-1.1212551274689999</v>
      </c>
      <c r="AH2962">
        <v>95.4924360326402</v>
      </c>
      <c r="AI2962">
        <v>90.671727136266597</v>
      </c>
      <c r="AJ2962">
        <v>93.122642648061699</v>
      </c>
      <c r="AK2962">
        <v>95.641004816427895</v>
      </c>
      <c r="AL2962">
        <v>79.238034381322294</v>
      </c>
      <c r="AM2962">
        <v>91.855998697199297</v>
      </c>
      <c r="AN2962">
        <v>0.99999996608177899</v>
      </c>
    </row>
    <row r="2963" spans="1:40" x14ac:dyDescent="0.25">
      <c r="A2963" t="str">
        <f>"20190303162837456"</f>
        <v>20190303162837456</v>
      </c>
      <c r="B2963" t="str">
        <f>"1551601717444730"</f>
        <v>1551601717444730</v>
      </c>
      <c r="C2963" t="s">
        <v>40</v>
      </c>
      <c r="D2963">
        <v>4.6205800000000004</v>
      </c>
      <c r="E2963">
        <v>0.4916818</v>
      </c>
      <c r="F2963" t="s">
        <v>48</v>
      </c>
      <c r="G2963">
        <v>-347.08080000000001</v>
      </c>
      <c r="H2963" s="1">
        <v>2.231287E-6</v>
      </c>
      <c r="I2963">
        <v>216.41489999999999</v>
      </c>
      <c r="J2963">
        <v>-439.8227</v>
      </c>
      <c r="K2963">
        <v>1.121294</v>
      </c>
      <c r="L2963">
        <v>213.7362</v>
      </c>
      <c r="M2963">
        <v>0.99966189999999999</v>
      </c>
      <c r="N2963">
        <v>-9.2308479999999998E-3</v>
      </c>
      <c r="O2963">
        <v>-2.4313629999999999E-2</v>
      </c>
      <c r="P2963">
        <v>0.98403359999999995</v>
      </c>
      <c r="Q2963">
        <v>0.1778419</v>
      </c>
      <c r="R2963">
        <v>7.0963529999999997E-3</v>
      </c>
      <c r="S2963">
        <v>3.054535</v>
      </c>
      <c r="T2963">
        <v>-3.680634E-2</v>
      </c>
      <c r="U2963">
        <v>8.7692259999999994E-2</v>
      </c>
      <c r="V2963">
        <v>-3.119806E-2</v>
      </c>
      <c r="W2963">
        <v>0.1868843</v>
      </c>
      <c r="X2963">
        <v>0.98188640000000005</v>
      </c>
      <c r="Y2963">
        <v>-5.298634E-2</v>
      </c>
      <c r="Z2963">
        <v>6.3230079999999998E-4</v>
      </c>
      <c r="AA2963">
        <v>0.99859509999999996</v>
      </c>
      <c r="AB2963">
        <v>31</v>
      </c>
      <c r="AC2963">
        <v>92.741900000000001</v>
      </c>
      <c r="AD2963">
        <v>-1.121291768713</v>
      </c>
      <c r="AE2963">
        <v>2.6786999999999899</v>
      </c>
      <c r="AF2963">
        <v>-4.9321756810787596</v>
      </c>
      <c r="AG2963">
        <v>-1.121291768713</v>
      </c>
      <c r="AH2963">
        <v>92.635819490593406</v>
      </c>
      <c r="AI2963">
        <v>90.692510681250297</v>
      </c>
      <c r="AJ2963">
        <v>93.047700940633206</v>
      </c>
      <c r="AK2963">
        <v>92.773803979751804</v>
      </c>
      <c r="AL2963">
        <v>79.228988737546999</v>
      </c>
      <c r="AM2963">
        <v>91.819880584008502</v>
      </c>
      <c r="AN2963">
        <v>0.99999998151960601</v>
      </c>
    </row>
    <row r="2964" spans="1:40" x14ac:dyDescent="0.25">
      <c r="A2964" t="str">
        <f>"20190303162837476"</f>
        <v>20190303162837476</v>
      </c>
      <c r="B2964" t="str">
        <f>"1551601717464250"</f>
        <v>1551601717464250</v>
      </c>
      <c r="C2964" t="s">
        <v>40</v>
      </c>
      <c r="D2964">
        <v>4.5808920000000004</v>
      </c>
      <c r="E2964">
        <v>0.49179479999999998</v>
      </c>
      <c r="F2964" t="s">
        <v>48</v>
      </c>
      <c r="G2964">
        <v>-343.89769999999999</v>
      </c>
      <c r="H2964" s="1">
        <v>5.3738289999999899E-7</v>
      </c>
      <c r="I2964">
        <v>216.43360000000001</v>
      </c>
      <c r="J2964">
        <v>-439.53179999999998</v>
      </c>
      <c r="K2964">
        <v>1.1213470000000001</v>
      </c>
      <c r="L2964">
        <v>213.72970000000001</v>
      </c>
      <c r="M2964">
        <v>0.99967490000000003</v>
      </c>
      <c r="N2964">
        <v>-9.2377139999999993E-3</v>
      </c>
      <c r="O2964">
        <v>-2.3763630000000001E-2</v>
      </c>
      <c r="P2964">
        <v>0.98373290000000002</v>
      </c>
      <c r="Q2964">
        <v>0.17949029999999999</v>
      </c>
      <c r="R2964">
        <v>7.2736349999999996E-3</v>
      </c>
      <c r="S2964">
        <v>3.054535</v>
      </c>
      <c r="T2964">
        <v>-3.570533E-2</v>
      </c>
      <c r="U2964">
        <v>8.5891720000000005E-2</v>
      </c>
      <c r="V2964">
        <v>-3.085152E-2</v>
      </c>
      <c r="W2964">
        <v>0.18853339999999999</v>
      </c>
      <c r="X2964">
        <v>0.98158199999999995</v>
      </c>
      <c r="Y2964">
        <v>-5.184921E-2</v>
      </c>
      <c r="Z2964">
        <v>6.0076140000000003E-4</v>
      </c>
      <c r="AA2964">
        <v>0.99865470000000001</v>
      </c>
      <c r="AB2964">
        <v>31</v>
      </c>
      <c r="AC2964">
        <v>95.634100000000004</v>
      </c>
      <c r="AD2964">
        <v>-1.1213464626170999</v>
      </c>
      <c r="AE2964">
        <v>2.7039</v>
      </c>
      <c r="AF2964">
        <v>-4.9751633017385704</v>
      </c>
      <c r="AG2964">
        <v>-1.1213464626170999</v>
      </c>
      <c r="AH2964">
        <v>95.529710511862504</v>
      </c>
      <c r="AI2964">
        <v>90.671608100321805</v>
      </c>
      <c r="AJ2964">
        <v>92.981256382182593</v>
      </c>
      <c r="AK2964">
        <v>95.665747570634906</v>
      </c>
      <c r="AL2964">
        <v>79.132791888700595</v>
      </c>
      <c r="AM2964">
        <v>91.800236922362501</v>
      </c>
      <c r="AN2964">
        <v>0.99999994096293299</v>
      </c>
    </row>
    <row r="2965" spans="1:40" x14ac:dyDescent="0.25">
      <c r="A2965" t="str">
        <f>"20190303162837501"</f>
        <v>20190303162837501</v>
      </c>
      <c r="B2965" t="str">
        <f>"1551601717494506"</f>
        <v>1551601717494506</v>
      </c>
      <c r="C2965" t="s">
        <v>40</v>
      </c>
      <c r="D2965">
        <v>4.6425850000000004</v>
      </c>
      <c r="E2965">
        <v>0.492201</v>
      </c>
      <c r="F2965" t="s">
        <v>48</v>
      </c>
      <c r="G2965">
        <v>-327.34739999999999</v>
      </c>
      <c r="H2965" s="1">
        <v>2.373117E-6</v>
      </c>
      <c r="I2965">
        <v>216.8595</v>
      </c>
      <c r="J2965">
        <v>-439.1859</v>
      </c>
      <c r="K2965">
        <v>1.1214200000000001</v>
      </c>
      <c r="L2965">
        <v>213.72219999999999</v>
      </c>
      <c r="M2965">
        <v>0.99969229999999998</v>
      </c>
      <c r="N2965">
        <v>-9.2418039999999993E-3</v>
      </c>
      <c r="O2965">
        <v>-2.3022460000000002E-2</v>
      </c>
      <c r="P2965">
        <v>0.98351920000000004</v>
      </c>
      <c r="Q2965">
        <v>0.1806355</v>
      </c>
      <c r="R2965">
        <v>7.8299990000000007E-3</v>
      </c>
      <c r="S2965">
        <v>3.0545960000000001</v>
      </c>
      <c r="T2965">
        <v>-3.0532360000000001E-2</v>
      </c>
      <c r="U2965">
        <v>8.5220340000000006E-2</v>
      </c>
      <c r="V2965">
        <v>-3.0706569999999999E-2</v>
      </c>
      <c r="W2965">
        <v>0.18967539999999999</v>
      </c>
      <c r="X2965">
        <v>0.98136659999999998</v>
      </c>
      <c r="Y2965">
        <v>-5.0890400000000002E-2</v>
      </c>
      <c r="Z2965">
        <v>5.0685050000000005E-4</v>
      </c>
      <c r="AA2965">
        <v>0.99870409999999998</v>
      </c>
      <c r="AB2965">
        <v>31</v>
      </c>
      <c r="AC2965">
        <v>111.8385</v>
      </c>
      <c r="AD2965">
        <v>-1.1214176268830001</v>
      </c>
      <c r="AE2965">
        <v>3.13730000000001</v>
      </c>
      <c r="AF2965">
        <v>-5.7108018299179797</v>
      </c>
      <c r="AG2965">
        <v>-1.1214176268830001</v>
      </c>
      <c r="AH2965">
        <v>111.725398634261</v>
      </c>
      <c r="AI2965">
        <v>90.574323980083605</v>
      </c>
      <c r="AJ2965">
        <v>92.926105694327006</v>
      </c>
      <c r="AK2965">
        <v>111.876876677082</v>
      </c>
      <c r="AL2965">
        <v>79.066158775626405</v>
      </c>
      <c r="AM2965">
        <v>91.792177399964004</v>
      </c>
      <c r="AN2965">
        <v>1.0000000272009399</v>
      </c>
    </row>
    <row r="2966" spans="1:40" x14ac:dyDescent="0.25">
      <c r="A2966" t="str">
        <f>"20190303162837525"</f>
        <v>20190303162837525</v>
      </c>
      <c r="B2966" t="str">
        <f>"1551601717516954"</f>
        <v>1551601717516954</v>
      </c>
      <c r="C2966" t="s">
        <v>40</v>
      </c>
      <c r="D2966">
        <v>4.6309189999999996</v>
      </c>
      <c r="E2966">
        <v>0.49237910000000001</v>
      </c>
      <c r="F2966" t="s">
        <v>48</v>
      </c>
      <c r="G2966">
        <v>-326.67660000000001</v>
      </c>
      <c r="H2966" s="1">
        <v>2.0161550000000001E-6</v>
      </c>
      <c r="I2966">
        <v>216.81270000000001</v>
      </c>
      <c r="J2966">
        <v>-438.86160000000001</v>
      </c>
      <c r="K2966">
        <v>1.1214919999999999</v>
      </c>
      <c r="L2966">
        <v>213.71549999999999</v>
      </c>
      <c r="M2966">
        <v>0.9997104</v>
      </c>
      <c r="N2966">
        <v>-9.2407679999999999E-3</v>
      </c>
      <c r="O2966">
        <v>-2.221936E-2</v>
      </c>
      <c r="P2966">
        <v>0.98349560000000003</v>
      </c>
      <c r="Q2966">
        <v>0.18068000000000001</v>
      </c>
      <c r="R2966">
        <v>9.5402620000000007E-3</v>
      </c>
      <c r="S2966">
        <v>3.055145</v>
      </c>
      <c r="T2966">
        <v>-3.0451659999999998E-2</v>
      </c>
      <c r="U2966">
        <v>8.3923339999999999E-2</v>
      </c>
      <c r="V2966">
        <v>-3.1660479999999998E-2</v>
      </c>
      <c r="W2966">
        <v>0.18971189999999999</v>
      </c>
      <c r="X2966">
        <v>0.98132920000000001</v>
      </c>
      <c r="Y2966">
        <v>-4.9659540000000002E-2</v>
      </c>
      <c r="Z2966">
        <v>4.9307669999999997E-4</v>
      </c>
      <c r="AA2966">
        <v>0.99876609999999999</v>
      </c>
      <c r="AB2966">
        <v>31</v>
      </c>
      <c r="AC2966">
        <v>112.185</v>
      </c>
      <c r="AD2966">
        <v>-1.1214899838450001</v>
      </c>
      <c r="AE2966">
        <v>3.0972000000000102</v>
      </c>
      <c r="AF2966">
        <v>-5.5886625802466297</v>
      </c>
      <c r="AG2966">
        <v>-1.1214899838450001</v>
      </c>
      <c r="AH2966">
        <v>112.077288602905</v>
      </c>
      <c r="AI2966">
        <v>90.572593878416995</v>
      </c>
      <c r="AJ2966">
        <v>92.854653114611494</v>
      </c>
      <c r="AK2966">
        <v>112.22214358048301</v>
      </c>
      <c r="AL2966">
        <v>79.064028448810106</v>
      </c>
      <c r="AM2966">
        <v>91.847884356756595</v>
      </c>
      <c r="AN2966">
        <v>0.99999999488404001</v>
      </c>
    </row>
    <row r="2967" spans="1:40" x14ac:dyDescent="0.25">
      <c r="A2967" t="str">
        <f>"20190303162837545"</f>
        <v>20190303162837545</v>
      </c>
      <c r="B2967" t="str">
        <f>"1551601717534523"</f>
        <v>1551601717534523</v>
      </c>
      <c r="C2967" t="s">
        <v>40</v>
      </c>
      <c r="D2967">
        <v>4.66012</v>
      </c>
      <c r="E2967">
        <v>0.49277510000000002</v>
      </c>
      <c r="F2967" t="s">
        <v>48</v>
      </c>
      <c r="G2967">
        <v>-337.1241</v>
      </c>
      <c r="H2967" s="1">
        <v>2.1655950000000001E-6</v>
      </c>
      <c r="I2967">
        <v>216.64529999999999</v>
      </c>
      <c r="J2967">
        <v>-438.57350000000002</v>
      </c>
      <c r="K2967">
        <v>1.121569</v>
      </c>
      <c r="L2967">
        <v>213.7098</v>
      </c>
      <c r="M2967">
        <v>0.99972819999999996</v>
      </c>
      <c r="N2967">
        <v>-9.2389680000000002E-3</v>
      </c>
      <c r="O2967">
        <v>-2.140829E-2</v>
      </c>
      <c r="P2967">
        <v>0.98342030000000002</v>
      </c>
      <c r="Q2967">
        <v>0.18098059999999999</v>
      </c>
      <c r="R2967">
        <v>1.1430600000000001E-2</v>
      </c>
      <c r="S2967">
        <v>3.0557249999999998</v>
      </c>
      <c r="T2967">
        <v>-3.3684369999999998E-2</v>
      </c>
      <c r="U2967">
        <v>8.7997439999999996E-2</v>
      </c>
      <c r="V2967">
        <v>-3.2786309999999999E-2</v>
      </c>
      <c r="W2967">
        <v>0.19000210000000001</v>
      </c>
      <c r="X2967">
        <v>0.98123610000000006</v>
      </c>
      <c r="Y2967">
        <v>-5.0173719999999998E-2</v>
      </c>
      <c r="Z2967">
        <v>5.4650960000000002E-4</v>
      </c>
      <c r="AA2967">
        <v>0.99874039999999997</v>
      </c>
      <c r="AB2967">
        <v>31</v>
      </c>
      <c r="AC2967">
        <v>101.4494</v>
      </c>
      <c r="AD2967">
        <v>-1.121566834405</v>
      </c>
      <c r="AE2967">
        <v>2.93549999999999</v>
      </c>
      <c r="AF2967">
        <v>-5.1061543235841498</v>
      </c>
      <c r="AG2967">
        <v>-1.121566834405</v>
      </c>
      <c r="AH2967">
        <v>101.35092375050399</v>
      </c>
      <c r="AI2967">
        <v>90.633216064320393</v>
      </c>
      <c r="AJ2967">
        <v>92.884176362710804</v>
      </c>
      <c r="AK2967">
        <v>101.48566632397301</v>
      </c>
      <c r="AL2967">
        <v>79.047093380975397</v>
      </c>
      <c r="AM2967">
        <v>91.913727561126194</v>
      </c>
      <c r="AN2967">
        <v>1.0000000120355099</v>
      </c>
    </row>
    <row r="2968" spans="1:40" x14ac:dyDescent="0.25">
      <c r="A2968" t="str">
        <f>"20190303162837568"</f>
        <v>20190303162837568</v>
      </c>
      <c r="B2968" t="str">
        <f>"1551601717554042"</f>
        <v>1551601717554042</v>
      </c>
      <c r="C2968" t="s">
        <v>40</v>
      </c>
      <c r="D2968">
        <v>4.6552049999999996</v>
      </c>
      <c r="E2968">
        <v>0.49304249999999999</v>
      </c>
      <c r="F2968" t="s">
        <v>48</v>
      </c>
      <c r="G2968">
        <v>-343.75819999999999</v>
      </c>
      <c r="H2968" s="1">
        <v>4.6312620000000002E-7</v>
      </c>
      <c r="I2968">
        <v>216.53030000000001</v>
      </c>
      <c r="J2968">
        <v>-438.2482</v>
      </c>
      <c r="K2968">
        <v>1.121648</v>
      </c>
      <c r="L2968">
        <v>213.7039</v>
      </c>
      <c r="M2968">
        <v>0.99974940000000001</v>
      </c>
      <c r="N2968">
        <v>-9.2378080000000001E-3</v>
      </c>
      <c r="O2968">
        <v>-2.0395940000000001E-2</v>
      </c>
      <c r="P2968">
        <v>0.98318989999999995</v>
      </c>
      <c r="Q2968">
        <v>0.18210209999999999</v>
      </c>
      <c r="R2968">
        <v>1.328409E-2</v>
      </c>
      <c r="S2968">
        <v>3.0562130000000001</v>
      </c>
      <c r="T2968">
        <v>-3.6151889999999999E-2</v>
      </c>
      <c r="U2968">
        <v>9.0911870000000006E-2</v>
      </c>
      <c r="V2968">
        <v>-3.3679109999999998E-2</v>
      </c>
      <c r="W2968">
        <v>0.19111249999999999</v>
      </c>
      <c r="X2968">
        <v>0.98099020000000003</v>
      </c>
      <c r="Y2968">
        <v>-5.0108720000000002E-2</v>
      </c>
      <c r="Z2968">
        <v>5.8064640000000001E-4</v>
      </c>
      <c r="AA2968">
        <v>0.99874359999999995</v>
      </c>
      <c r="AB2968">
        <v>31</v>
      </c>
      <c r="AC2968">
        <v>94.49</v>
      </c>
      <c r="AD2968">
        <v>-1.1216475368737999</v>
      </c>
      <c r="AE2968">
        <v>2.8264</v>
      </c>
      <c r="AF2968">
        <v>-4.7524373593041496</v>
      </c>
      <c r="AG2968">
        <v>-1.1216475368737999</v>
      </c>
      <c r="AH2968">
        <v>94.399403181215405</v>
      </c>
      <c r="AI2968">
        <v>90.679891700620402</v>
      </c>
      <c r="AJ2968">
        <v>92.882061734466703</v>
      </c>
      <c r="AK2968">
        <v>94.525610683140997</v>
      </c>
      <c r="AL2968">
        <v>78.982284696392497</v>
      </c>
      <c r="AM2968">
        <v>91.966292067651494</v>
      </c>
      <c r="AN2968">
        <v>1.00000002130134</v>
      </c>
    </row>
    <row r="2969" spans="1:40" x14ac:dyDescent="0.25">
      <c r="A2969" t="str">
        <f>"20190303162837590"</f>
        <v>20190303162837590</v>
      </c>
      <c r="B2969" t="str">
        <f>"1551601717584299"</f>
        <v>1551601717584299</v>
      </c>
      <c r="C2969" t="s">
        <v>40</v>
      </c>
      <c r="D2969">
        <v>4.6813739999999999</v>
      </c>
      <c r="E2969">
        <v>0.49344009999999999</v>
      </c>
      <c r="F2969" t="s">
        <v>48</v>
      </c>
      <c r="G2969">
        <v>-341.7405</v>
      </c>
      <c r="H2969" s="1">
        <v>-6.1056969999999896E-7</v>
      </c>
      <c r="I2969">
        <v>216.68989999999999</v>
      </c>
      <c r="J2969">
        <v>-437.94310000000002</v>
      </c>
      <c r="K2969">
        <v>1.121732</v>
      </c>
      <c r="L2969">
        <v>213.6987</v>
      </c>
      <c r="M2969">
        <v>0.99977020000000005</v>
      </c>
      <c r="N2969">
        <v>-9.236902E-3</v>
      </c>
      <c r="O2969">
        <v>-1.9355310000000001E-2</v>
      </c>
      <c r="P2969">
        <v>0.98299720000000002</v>
      </c>
      <c r="Q2969">
        <v>0.18303430000000001</v>
      </c>
      <c r="R2969">
        <v>1.465991E-2</v>
      </c>
      <c r="S2969">
        <v>3.0565799999999999</v>
      </c>
      <c r="T2969">
        <v>-3.5524729999999997E-2</v>
      </c>
      <c r="U2969">
        <v>9.4573969999999993E-2</v>
      </c>
      <c r="V2969">
        <v>-3.4064860000000002E-2</v>
      </c>
      <c r="W2969">
        <v>0.19203490000000001</v>
      </c>
      <c r="X2969">
        <v>0.98079669999999997</v>
      </c>
      <c r="Y2969">
        <v>-5.026125E-2</v>
      </c>
      <c r="Z2969">
        <v>5.7036339999999997E-4</v>
      </c>
      <c r="AA2969">
        <v>0.99873599999999996</v>
      </c>
      <c r="AB2969">
        <v>31</v>
      </c>
      <c r="AC2969">
        <v>96.202600000000004</v>
      </c>
      <c r="AD2969">
        <v>-1.1217326105697001</v>
      </c>
      <c r="AE2969">
        <v>2.9911999999999899</v>
      </c>
      <c r="AF2969">
        <v>-4.8520907742705397</v>
      </c>
      <c r="AG2969">
        <v>-1.1217326105697001</v>
      </c>
      <c r="AH2969">
        <v>96.113623820206598</v>
      </c>
      <c r="AI2969">
        <v>90.667812677140802</v>
      </c>
      <c r="AJ2969">
        <v>92.890001501821502</v>
      </c>
      <c r="AK2969">
        <v>96.242556869523995</v>
      </c>
      <c r="AL2969">
        <v>78.928437400045098</v>
      </c>
      <c r="AM2969">
        <v>91.989187430609306</v>
      </c>
      <c r="AN2969">
        <v>0.99999999211785895</v>
      </c>
    </row>
    <row r="2970" spans="1:40" x14ac:dyDescent="0.25">
      <c r="A2970" t="str">
        <f>"20190303162837612"</f>
        <v>20190303162837612</v>
      </c>
      <c r="B2970" t="str">
        <f>"1551601717604795"</f>
        <v>1551601717604795</v>
      </c>
      <c r="C2970" t="s">
        <v>40</v>
      </c>
      <c r="D2970">
        <v>4.6713940000000003</v>
      </c>
      <c r="E2970">
        <v>0.49363560000000001</v>
      </c>
      <c r="F2970" t="s">
        <v>48</v>
      </c>
      <c r="G2970">
        <v>-345.15269999999998</v>
      </c>
      <c r="H2970" s="1">
        <v>1.205212E-6</v>
      </c>
      <c r="I2970">
        <v>216.60980000000001</v>
      </c>
      <c r="J2970">
        <v>-437.63150000000002</v>
      </c>
      <c r="K2970">
        <v>1.1218090000000001</v>
      </c>
      <c r="L2970">
        <v>213.69370000000001</v>
      </c>
      <c r="M2970">
        <v>0.99979189999999996</v>
      </c>
      <c r="N2970">
        <v>-9.2362969999999992E-3</v>
      </c>
      <c r="O2970">
        <v>-1.8196070000000002E-2</v>
      </c>
      <c r="P2970">
        <v>0.98283719999999997</v>
      </c>
      <c r="Q2970">
        <v>0.1838919</v>
      </c>
      <c r="R2970">
        <v>1.4654179999999999E-2</v>
      </c>
      <c r="S2970">
        <v>3.057312</v>
      </c>
      <c r="T2970">
        <v>-3.6959409999999998E-2</v>
      </c>
      <c r="U2970">
        <v>9.5916749999999995E-2</v>
      </c>
      <c r="V2970">
        <v>-3.2954560000000001E-2</v>
      </c>
      <c r="W2970">
        <v>0.192887</v>
      </c>
      <c r="X2970">
        <v>0.98066739999999997</v>
      </c>
      <c r="Y2970">
        <v>-4.9533729999999998E-2</v>
      </c>
      <c r="Z2970">
        <v>5.800426E-4</v>
      </c>
      <c r="AA2970">
        <v>0.99877229999999995</v>
      </c>
      <c r="AB2970">
        <v>32</v>
      </c>
      <c r="AC2970">
        <v>92.478800000000007</v>
      </c>
      <c r="AD2970">
        <v>-1.1218077947880001</v>
      </c>
      <c r="AE2970">
        <v>2.9161000000000001</v>
      </c>
      <c r="AF2970">
        <v>-4.5977635762389397</v>
      </c>
      <c r="AG2970">
        <v>-1.1218077947880001</v>
      </c>
      <c r="AH2970">
        <v>92.396841440406405</v>
      </c>
      <c r="AI2970">
        <v>90.694745348762495</v>
      </c>
      <c r="AJ2970">
        <v>92.848748211473406</v>
      </c>
      <c r="AK2970">
        <v>92.517966853984902</v>
      </c>
      <c r="AL2970">
        <v>78.878685326356205</v>
      </c>
      <c r="AM2970">
        <v>91.924655551099804</v>
      </c>
      <c r="AN2970">
        <v>0.99999997360827597</v>
      </c>
    </row>
    <row r="2971" spans="1:40" x14ac:dyDescent="0.25">
      <c r="A2971" t="str">
        <f>"20190303162837635"</f>
        <v>20190303162837635</v>
      </c>
      <c r="B2971" t="str">
        <f>"1551601717625291"</f>
        <v>1551601717625291</v>
      </c>
      <c r="C2971" t="s">
        <v>40</v>
      </c>
      <c r="D2971">
        <v>4.6917859999999996</v>
      </c>
      <c r="E2971">
        <v>0.49418410000000002</v>
      </c>
      <c r="F2971" t="s">
        <v>48</v>
      </c>
      <c r="G2971">
        <v>-344.76850000000002</v>
      </c>
      <c r="H2971" s="1">
        <v>1.000775E-6</v>
      </c>
      <c r="I2971">
        <v>216.55330000000001</v>
      </c>
      <c r="J2971">
        <v>-437.31479999999999</v>
      </c>
      <c r="K2971">
        <v>1.1218939999999999</v>
      </c>
      <c r="L2971">
        <v>213.6892</v>
      </c>
      <c r="M2971">
        <v>0.99981430000000004</v>
      </c>
      <c r="N2971">
        <v>-9.2338439999999997E-3</v>
      </c>
      <c r="O2971">
        <v>-1.691879E-2</v>
      </c>
      <c r="P2971">
        <v>0.98274980000000001</v>
      </c>
      <c r="Q2971">
        <v>0.18441350000000001</v>
      </c>
      <c r="R2971">
        <v>1.3953210000000001E-2</v>
      </c>
      <c r="S2971">
        <v>3.0578919999999998</v>
      </c>
      <c r="T2971">
        <v>-3.6940099999999997E-2</v>
      </c>
      <c r="U2971">
        <v>9.4161990000000001E-2</v>
      </c>
      <c r="V2971">
        <v>-3.1036850000000001E-2</v>
      </c>
      <c r="W2971">
        <v>0.19340399999999999</v>
      </c>
      <c r="X2971">
        <v>0.98062819999999995</v>
      </c>
      <c r="Y2971">
        <v>-4.7679409999999998E-2</v>
      </c>
      <c r="Z2971">
        <v>5.5626139999999998E-4</v>
      </c>
      <c r="AA2971">
        <v>0.99886260000000004</v>
      </c>
      <c r="AB2971">
        <v>32</v>
      </c>
      <c r="AC2971">
        <v>92.546299999999903</v>
      </c>
      <c r="AD2971">
        <v>-1.121892999225</v>
      </c>
      <c r="AE2971">
        <v>2.8641000000000001</v>
      </c>
      <c r="AF2971">
        <v>-4.4288778529014898</v>
      </c>
      <c r="AG2971">
        <v>-1.121892999225</v>
      </c>
      <c r="AH2971">
        <v>92.471017188704806</v>
      </c>
      <c r="AI2971">
        <v>90.694303942714896</v>
      </c>
      <c r="AJ2971">
        <v>92.742072621604706</v>
      </c>
      <c r="AK2971">
        <v>92.5838140435539</v>
      </c>
      <c r="AL2971">
        <v>78.848495562110401</v>
      </c>
      <c r="AM2971">
        <v>91.812804374838606</v>
      </c>
      <c r="AN2971">
        <v>1.0000000299545799</v>
      </c>
    </row>
    <row r="2972" spans="1:40" x14ac:dyDescent="0.25">
      <c r="A2972" t="str">
        <f>"20190303162837658"</f>
        <v>20190303162837658</v>
      </c>
      <c r="B2972" t="str">
        <f>"1551601717654571"</f>
        <v>1551601717654571</v>
      </c>
      <c r="C2972" t="s">
        <v>40</v>
      </c>
      <c r="D2972">
        <v>4.7749499999999996</v>
      </c>
      <c r="E2972">
        <v>0.51605059999999903</v>
      </c>
      <c r="F2972" t="s">
        <v>48</v>
      </c>
      <c r="G2972">
        <v>-353.83609999999999</v>
      </c>
      <c r="H2972" s="1">
        <v>4.4059850000000003E-7</v>
      </c>
      <c r="I2972">
        <v>216.0797</v>
      </c>
      <c r="J2972">
        <v>-436.98129999999998</v>
      </c>
      <c r="K2972">
        <v>1.1219699999999999</v>
      </c>
      <c r="L2972">
        <v>213.685</v>
      </c>
      <c r="M2972">
        <v>0.99983789999999995</v>
      </c>
      <c r="N2972">
        <v>-9.2273749999999995E-3</v>
      </c>
      <c r="O2972">
        <v>-1.5470279999999999E-2</v>
      </c>
      <c r="P2972">
        <v>0.98283730000000002</v>
      </c>
      <c r="Q2972">
        <v>0.18402979999999999</v>
      </c>
      <c r="R2972">
        <v>1.2820059999999999E-2</v>
      </c>
      <c r="S2972">
        <v>3.0591430000000002</v>
      </c>
      <c r="T2972">
        <v>-4.1112660000000002E-2</v>
      </c>
      <c r="U2972">
        <v>8.7600709999999998E-2</v>
      </c>
      <c r="V2972">
        <v>-2.8521879999999999E-2</v>
      </c>
      <c r="W2972">
        <v>0.1930152</v>
      </c>
      <c r="X2972">
        <v>0.98078109999999996</v>
      </c>
      <c r="Y2972">
        <v>-4.4078289999999999E-2</v>
      </c>
      <c r="Z2972">
        <v>5.6468559999999998E-4</v>
      </c>
      <c r="AA2972">
        <v>0.99902789999999997</v>
      </c>
      <c r="AB2972">
        <v>32</v>
      </c>
      <c r="AC2972">
        <v>83.145199999999903</v>
      </c>
      <c r="AD2972">
        <v>-1.1219695594015</v>
      </c>
      <c r="AE2972">
        <v>2.3946999999999998</v>
      </c>
      <c r="AF2972">
        <v>-3.6800779394759</v>
      </c>
      <c r="AG2972">
        <v>-1.1219695594015</v>
      </c>
      <c r="AH2972">
        <v>83.083084638356098</v>
      </c>
      <c r="AI2972">
        <v>90.772928164479296</v>
      </c>
      <c r="AJ2972">
        <v>92.536198585366193</v>
      </c>
      <c r="AK2972">
        <v>83.172115173037994</v>
      </c>
      <c r="AL2972">
        <v>78.871199242897802</v>
      </c>
      <c r="AM2972">
        <v>91.665736533431996</v>
      </c>
      <c r="AN2972">
        <v>0.99999996559349102</v>
      </c>
    </row>
    <row r="2973" spans="1:40" x14ac:dyDescent="0.25">
      <c r="A2973" t="str">
        <f>"20190303162837677"</f>
        <v>20190303162837677</v>
      </c>
      <c r="B2973" t="str">
        <f>"1551601717674090"</f>
        <v>1551601717674090</v>
      </c>
      <c r="C2973" t="s">
        <v>40</v>
      </c>
      <c r="D2973">
        <v>4.7418870000000002</v>
      </c>
      <c r="E2973">
        <v>0.53422860000000005</v>
      </c>
      <c r="F2973" t="s">
        <v>44</v>
      </c>
      <c r="G2973">
        <v>-436.1832</v>
      </c>
      <c r="H2973">
        <v>1.03983</v>
      </c>
      <c r="I2973">
        <v>213.6618</v>
      </c>
      <c r="J2973">
        <v>-436.70679999999999</v>
      </c>
      <c r="K2973">
        <v>1.1220399999999999</v>
      </c>
      <c r="L2973">
        <v>213.68190000000001</v>
      </c>
      <c r="M2973">
        <v>0.99985690000000005</v>
      </c>
      <c r="N2973">
        <v>-9.2211700000000008E-3</v>
      </c>
      <c r="O2973">
        <v>-1.419344E-2</v>
      </c>
      <c r="P2973">
        <v>0.98289660000000001</v>
      </c>
      <c r="Q2973">
        <v>0.18374889999999999</v>
      </c>
      <c r="R2973">
        <v>1.2294360000000001E-2</v>
      </c>
      <c r="S2973">
        <v>3.113556</v>
      </c>
      <c r="T2973">
        <v>-0.32056570000000001</v>
      </c>
      <c r="U2973">
        <v>-9.0332029999999994E-2</v>
      </c>
      <c r="V2973">
        <v>-2.6777080000000002E-2</v>
      </c>
      <c r="W2973">
        <v>0.19272929999999999</v>
      </c>
      <c r="X2973">
        <v>0.98088649999999999</v>
      </c>
      <c r="Y2973">
        <v>1.47863E-2</v>
      </c>
      <c r="Z2973">
        <v>4.9910540000000004E-4</v>
      </c>
      <c r="AA2973">
        <v>0.99989059999999996</v>
      </c>
      <c r="AB2973">
        <v>32</v>
      </c>
      <c r="AC2973">
        <v>0.52359999999998696</v>
      </c>
      <c r="AD2973">
        <v>-8.2209999999999894E-2</v>
      </c>
      <c r="AE2973">
        <v>-2.0100000000013499E-2</v>
      </c>
      <c r="AF2973">
        <v>1.23616847486759E-2</v>
      </c>
      <c r="AG2973">
        <v>-8.2209999999999894E-2</v>
      </c>
      <c r="AH2973">
        <v>0.51124787724480902</v>
      </c>
      <c r="AI2973">
        <v>99.132486124036205</v>
      </c>
      <c r="AJ2973">
        <v>88.614890321559898</v>
      </c>
      <c r="AK2973">
        <v>0.51796301734501105</v>
      </c>
      <c r="AL2973">
        <v>78.887893504038104</v>
      </c>
      <c r="AM2973">
        <v>91.563720908814503</v>
      </c>
      <c r="AN2973">
        <v>0.99999996048703199</v>
      </c>
    </row>
    <row r="2974" spans="1:40" x14ac:dyDescent="0.25">
      <c r="A2974" t="str">
        <f>"20190303162837703"</f>
        <v>20190303162837703</v>
      </c>
      <c r="B2974" t="str">
        <f>"1551601717694586"</f>
        <v>1551601717694586</v>
      </c>
      <c r="C2974" t="s">
        <v>40</v>
      </c>
      <c r="D2974">
        <v>4.7779040000000004</v>
      </c>
      <c r="E2974">
        <v>0.53310789999999997</v>
      </c>
      <c r="F2974" t="s">
        <v>44</v>
      </c>
      <c r="G2974">
        <v>-435.96230000000003</v>
      </c>
      <c r="H2974">
        <v>0.9130393</v>
      </c>
      <c r="I2974">
        <v>213.6268</v>
      </c>
      <c r="J2974">
        <v>-436.34739999999999</v>
      </c>
      <c r="K2974">
        <v>1.1221299999999901</v>
      </c>
      <c r="L2974">
        <v>213.67850000000001</v>
      </c>
      <c r="M2974">
        <v>0.9998804</v>
      </c>
      <c r="N2974">
        <v>-9.2138459999999995E-3</v>
      </c>
      <c r="O2974">
        <v>-1.241958E-2</v>
      </c>
      <c r="P2974">
        <v>0.9830776</v>
      </c>
      <c r="Q2974">
        <v>0.1826525</v>
      </c>
      <c r="R2974">
        <v>1.400733E-2</v>
      </c>
      <c r="S2974">
        <v>3.2244570000000001</v>
      </c>
      <c r="T2974">
        <v>-0.90545050000000005</v>
      </c>
      <c r="U2974">
        <v>-0.23757929999999999</v>
      </c>
      <c r="V2974">
        <v>-2.6790959999999999E-2</v>
      </c>
      <c r="W2974">
        <v>0.1916207</v>
      </c>
      <c r="X2974">
        <v>0.98110330000000001</v>
      </c>
      <c r="Y2974">
        <v>5.9181549999999999E-2</v>
      </c>
      <c r="Z2974">
        <v>-5.1152609999999899E-3</v>
      </c>
      <c r="AA2974">
        <v>0.99823419999999896</v>
      </c>
      <c r="AB2974">
        <v>32</v>
      </c>
      <c r="AC2974">
        <v>0.38509999999996503</v>
      </c>
      <c r="AD2974">
        <v>-0.20909069999999899</v>
      </c>
      <c r="AE2974">
        <v>-5.1700000000010897E-2</v>
      </c>
      <c r="AF2974">
        <v>3.6378606213111203E-2</v>
      </c>
      <c r="AG2974">
        <v>-0.20909069999999899</v>
      </c>
      <c r="AH2974">
        <v>0.299099854125571</v>
      </c>
      <c r="AI2974">
        <v>124.758811979263</v>
      </c>
      <c r="AJ2974">
        <v>83.065349649336895</v>
      </c>
      <c r="AK2974">
        <v>0.36674656992865801</v>
      </c>
      <c r="AL2974">
        <v>78.952618103212899</v>
      </c>
      <c r="AM2974">
        <v>91.564185515072893</v>
      </c>
      <c r="AN2974">
        <v>0.99999996673854996</v>
      </c>
    </row>
    <row r="2975" spans="1:40" x14ac:dyDescent="0.25">
      <c r="A2975" t="str">
        <f>"20190303162837726"</f>
        <v>20190303162837726</v>
      </c>
      <c r="B2975" t="str">
        <f>"1551601717715082"</f>
        <v>1551601717715082</v>
      </c>
      <c r="C2975" t="s">
        <v>40</v>
      </c>
      <c r="D2975">
        <v>4.7990130000000004</v>
      </c>
      <c r="E2975">
        <v>0.53251479999999995</v>
      </c>
      <c r="F2975" t="s">
        <v>44</v>
      </c>
      <c r="G2975">
        <v>-435.67559999999997</v>
      </c>
      <c r="H2975">
        <v>0.91872969999999998</v>
      </c>
      <c r="I2975">
        <v>213.6318</v>
      </c>
      <c r="J2975">
        <v>-436.0206</v>
      </c>
      <c r="K2975">
        <v>1.1222030000000001</v>
      </c>
      <c r="L2975">
        <v>213.67619999999999</v>
      </c>
      <c r="M2975">
        <v>0.99990029999999996</v>
      </c>
      <c r="N2975">
        <v>-9.2084450000000009E-3</v>
      </c>
      <c r="O2975">
        <v>-1.070345E-2</v>
      </c>
      <c r="P2975">
        <v>0.98315350000000001</v>
      </c>
      <c r="Q2975">
        <v>0.1820214</v>
      </c>
      <c r="R2975">
        <v>1.6658590000000001E-2</v>
      </c>
      <c r="S2975">
        <v>3.2369690000000002</v>
      </c>
      <c r="T2975">
        <v>-0.9803615</v>
      </c>
      <c r="U2975">
        <v>-0.22309880000000001</v>
      </c>
      <c r="V2975">
        <v>-2.779237E-2</v>
      </c>
      <c r="W2975">
        <v>0.1909767</v>
      </c>
      <c r="X2975">
        <v>0.98120110000000005</v>
      </c>
      <c r="Y2975">
        <v>5.5948390000000001E-2</v>
      </c>
      <c r="Z2975">
        <v>-5.4706869999999897E-3</v>
      </c>
      <c r="AA2975">
        <v>0.99841869999999999</v>
      </c>
      <c r="AB2975">
        <v>32</v>
      </c>
      <c r="AC2975">
        <v>0.34500000000002701</v>
      </c>
      <c r="AD2975">
        <v>-0.2034733</v>
      </c>
      <c r="AE2975">
        <v>-4.4399999999995998E-2</v>
      </c>
      <c r="AF2975">
        <v>3.0327450806765001E-2</v>
      </c>
      <c r="AG2975">
        <v>-0.2034733</v>
      </c>
      <c r="AH2975">
        <v>0.25738569828199598</v>
      </c>
      <c r="AI2975">
        <v>128.135713868229</v>
      </c>
      <c r="AJ2975">
        <v>83.279891939834897</v>
      </c>
      <c r="AK2975">
        <v>0.32949739872332401</v>
      </c>
      <c r="AL2975">
        <v>78.990211863628801</v>
      </c>
      <c r="AM2975">
        <v>91.622460322587699</v>
      </c>
      <c r="AN2975">
        <v>1.0000000572071499</v>
      </c>
    </row>
    <row r="2976" spans="1:40" x14ac:dyDescent="0.25">
      <c r="A2976" t="str">
        <f>"20190303162837748"</f>
        <v>20190303162837748</v>
      </c>
      <c r="B2976" t="str">
        <f>"1551601717744363"</f>
        <v>1551601717744363</v>
      </c>
      <c r="C2976" t="s">
        <v>40</v>
      </c>
      <c r="D2976">
        <v>4.8606230000000004</v>
      </c>
      <c r="E2976">
        <v>0.53205719999999901</v>
      </c>
      <c r="F2976" t="s">
        <v>44</v>
      </c>
      <c r="G2976">
        <v>-435.13709999999998</v>
      </c>
      <c r="H2976">
        <v>0.84774020000000005</v>
      </c>
      <c r="I2976">
        <v>213.61850000000001</v>
      </c>
      <c r="J2976">
        <v>-435.70600000000002</v>
      </c>
      <c r="K2976">
        <v>1.1222650000000001</v>
      </c>
      <c r="L2976">
        <v>213.67449999999999</v>
      </c>
      <c r="M2976">
        <v>0.99991719999999895</v>
      </c>
      <c r="N2976">
        <v>-9.2040130000000005E-3</v>
      </c>
      <c r="O2976">
        <v>-8.9886419999999998E-3</v>
      </c>
      <c r="P2976">
        <v>0.98317500000000002</v>
      </c>
      <c r="Q2976">
        <v>0.1815717</v>
      </c>
      <c r="R2976">
        <v>1.997144E-2</v>
      </c>
      <c r="S2976">
        <v>3.241425</v>
      </c>
      <c r="T2976">
        <v>-1.0070589999999999</v>
      </c>
      <c r="U2976">
        <v>-0.21105960000000001</v>
      </c>
      <c r="V2976">
        <v>-2.9449429999999999E-2</v>
      </c>
      <c r="W2976">
        <v>0.1905133</v>
      </c>
      <c r="X2976">
        <v>0.98124279999999997</v>
      </c>
      <c r="Y2976">
        <v>5.3795999999999997E-2</v>
      </c>
      <c r="Z2976">
        <v>-5.7653579999999999E-3</v>
      </c>
      <c r="AA2976">
        <v>0.99853530000000001</v>
      </c>
      <c r="AB2976">
        <v>32</v>
      </c>
      <c r="AC2976">
        <v>0.56889999999998497</v>
      </c>
      <c r="AD2976">
        <v>-0.27452480000000001</v>
      </c>
      <c r="AE2976">
        <v>-5.5999999999983098E-2</v>
      </c>
      <c r="AF2976">
        <v>4.1348052417593699E-2</v>
      </c>
      <c r="AG2976">
        <v>-0.27452480000000001</v>
      </c>
      <c r="AH2976">
        <v>0.46267638431914498</v>
      </c>
      <c r="AI2976">
        <v>120.58247579258401</v>
      </c>
      <c r="AJ2976">
        <v>84.893207900865093</v>
      </c>
      <c r="AK2976">
        <v>0.53957665244189901</v>
      </c>
      <c r="AL2976">
        <v>79.0172587975499</v>
      </c>
      <c r="AM2976">
        <v>91.719066581142599</v>
      </c>
      <c r="AN2976">
        <v>1.0000000094780199</v>
      </c>
    </row>
    <row r="2977" spans="1:40" x14ac:dyDescent="0.25">
      <c r="A2977" t="str">
        <f>"20190303162837769"</f>
        <v>20190303162837769</v>
      </c>
      <c r="B2977" t="str">
        <f>"1551601717764858"</f>
        <v>1551601717764858</v>
      </c>
      <c r="C2977" t="s">
        <v>40</v>
      </c>
      <c r="D2977">
        <v>4.8635120000000001</v>
      </c>
      <c r="E2977">
        <v>0.53181630000000002</v>
      </c>
      <c r="F2977" t="s">
        <v>44</v>
      </c>
      <c r="G2977">
        <v>-434.8503</v>
      </c>
      <c r="H2977">
        <v>0.85211800000000004</v>
      </c>
      <c r="I2977">
        <v>213.6225</v>
      </c>
      <c r="J2977">
        <v>-435.40550000000002</v>
      </c>
      <c r="K2977">
        <v>1.1223080000000001</v>
      </c>
      <c r="L2977">
        <v>213.67339999999999</v>
      </c>
      <c r="M2977">
        <v>0.99993100000000001</v>
      </c>
      <c r="N2977">
        <v>-9.2003459999999999E-3</v>
      </c>
      <c r="O2977">
        <v>-7.3104519999999899E-3</v>
      </c>
      <c r="P2977">
        <v>0.98315669999999999</v>
      </c>
      <c r="Q2977">
        <v>0.1813652</v>
      </c>
      <c r="R2977">
        <v>2.2576450000000001E-2</v>
      </c>
      <c r="S2977">
        <v>3.2444760000000001</v>
      </c>
      <c r="T2977">
        <v>-1.024186</v>
      </c>
      <c r="U2977">
        <v>-0.19772339999999999</v>
      </c>
      <c r="V2977">
        <v>-3.0425810000000001E-2</v>
      </c>
      <c r="W2977">
        <v>0.19029660000000001</v>
      </c>
      <c r="X2977">
        <v>0.98125510000000005</v>
      </c>
      <c r="Y2977">
        <v>5.1301449999999998E-2</v>
      </c>
      <c r="Z2977">
        <v>-5.9549199999999998E-3</v>
      </c>
      <c r="AA2977">
        <v>0.99866549999999998</v>
      </c>
      <c r="AB2977">
        <v>32</v>
      </c>
      <c r="AC2977">
        <v>0.55520000000001302</v>
      </c>
      <c r="AD2977">
        <v>-0.27018999999999999</v>
      </c>
      <c r="AE2977">
        <v>-5.0899999999984402E-2</v>
      </c>
      <c r="AF2977">
        <v>3.7931259953059203E-2</v>
      </c>
      <c r="AG2977">
        <v>-0.27018999999999999</v>
      </c>
      <c r="AH2977">
        <v>0.44989582106130199</v>
      </c>
      <c r="AI2977">
        <v>120.89790788244299</v>
      </c>
      <c r="AJ2977">
        <v>85.180721163309599</v>
      </c>
      <c r="AK2977">
        <v>0.52616315567516703</v>
      </c>
      <c r="AL2977">
        <v>79.029906602770097</v>
      </c>
      <c r="AM2977">
        <v>91.776003143565006</v>
      </c>
      <c r="AN2977">
        <v>1.00000004858086</v>
      </c>
    </row>
    <row r="2978" spans="1:40" x14ac:dyDescent="0.25">
      <c r="A2978" t="str">
        <f>"20190303162837792"</f>
        <v>20190303162837792</v>
      </c>
      <c r="B2978" t="str">
        <f>"1551601717784380"</f>
        <v>1551601717784380</v>
      </c>
      <c r="C2978" t="s">
        <v>40</v>
      </c>
      <c r="D2978">
        <v>4.9361899999999999</v>
      </c>
      <c r="E2978">
        <v>0.53184469999999995</v>
      </c>
      <c r="F2978" t="s">
        <v>44</v>
      </c>
      <c r="G2978">
        <v>-434.56319999999999</v>
      </c>
      <c r="H2978">
        <v>0.85581200000000002</v>
      </c>
      <c r="I2978">
        <v>213.62440000000001</v>
      </c>
      <c r="J2978">
        <v>-435.08580000000001</v>
      </c>
      <c r="K2978">
        <v>1.122342</v>
      </c>
      <c r="L2978">
        <v>213.6729</v>
      </c>
      <c r="M2978">
        <v>0.99994260000000001</v>
      </c>
      <c r="N2978">
        <v>-9.1973920000000004E-3</v>
      </c>
      <c r="O2978">
        <v>-5.4958610000000003E-3</v>
      </c>
      <c r="P2978">
        <v>0.98323419999999895</v>
      </c>
      <c r="Q2978">
        <v>0.18053569999999999</v>
      </c>
      <c r="R2978">
        <v>2.5636889999999999E-2</v>
      </c>
      <c r="S2978">
        <v>3.2450869999999998</v>
      </c>
      <c r="T2978">
        <v>-1.0268379999999999</v>
      </c>
      <c r="U2978">
        <v>-0.1874847</v>
      </c>
      <c r="V2978">
        <v>-3.171682E-2</v>
      </c>
      <c r="W2978">
        <v>0.18945770000000001</v>
      </c>
      <c r="X2978">
        <v>0.98137649999999998</v>
      </c>
      <c r="Y2978">
        <v>4.9936670000000002E-2</v>
      </c>
      <c r="Z2978">
        <v>-6.2948939999999997E-3</v>
      </c>
      <c r="AA2978">
        <v>0.99873259999999997</v>
      </c>
      <c r="AB2978">
        <v>32</v>
      </c>
      <c r="AC2978">
        <v>0.52260000000001094</v>
      </c>
      <c r="AD2978">
        <v>-0.26652999999999899</v>
      </c>
      <c r="AE2978">
        <v>-4.8499999999990002E-2</v>
      </c>
      <c r="AF2978">
        <v>3.6272749986516001E-2</v>
      </c>
      <c r="AG2978">
        <v>-0.26652999999999899</v>
      </c>
      <c r="AH2978">
        <v>0.41566436468874401</v>
      </c>
      <c r="AI2978">
        <v>122.56990554425801</v>
      </c>
      <c r="AJ2978">
        <v>85.012745347803403</v>
      </c>
      <c r="AK2978">
        <v>0.49510687468836601</v>
      </c>
      <c r="AL2978">
        <v>79.078862173323103</v>
      </c>
      <c r="AM2978">
        <v>91.851081231436396</v>
      </c>
      <c r="AN2978">
        <v>1.0000000057562199</v>
      </c>
    </row>
    <row r="2979" spans="1:40" x14ac:dyDescent="0.25">
      <c r="A2979" t="str">
        <f>"20190303162837814"</f>
        <v>20190303162837814</v>
      </c>
      <c r="B2979" t="str">
        <f>"1551601717804875"</f>
        <v>1551601717804875</v>
      </c>
      <c r="C2979" t="s">
        <v>40</v>
      </c>
      <c r="D2979">
        <v>4.8979229999999996</v>
      </c>
      <c r="E2979">
        <v>0.53205880000000005</v>
      </c>
      <c r="F2979" t="s">
        <v>44</v>
      </c>
      <c r="G2979">
        <v>-434.274</v>
      </c>
      <c r="H2979">
        <v>0.863819</v>
      </c>
      <c r="I2979">
        <v>213.6284</v>
      </c>
      <c r="J2979">
        <v>-434.75900000000001</v>
      </c>
      <c r="K2979">
        <v>1.122363</v>
      </c>
      <c r="L2979">
        <v>213.673</v>
      </c>
      <c r="M2979">
        <v>0.99995120000000004</v>
      </c>
      <c r="N2979">
        <v>-9.1953309999999993E-3</v>
      </c>
      <c r="O2979">
        <v>-3.6254410000000001E-3</v>
      </c>
      <c r="P2979">
        <v>0.98338800000000004</v>
      </c>
      <c r="Q2979">
        <v>0.179318899999999</v>
      </c>
      <c r="R2979">
        <v>2.815958E-2</v>
      </c>
      <c r="S2979">
        <v>3.2455750000000001</v>
      </c>
      <c r="T2979">
        <v>-1.033561</v>
      </c>
      <c r="U2979">
        <v>-0.17744450000000001</v>
      </c>
      <c r="V2979">
        <v>-3.2408699999999999E-2</v>
      </c>
      <c r="W2979">
        <v>0.1882365</v>
      </c>
      <c r="X2979">
        <v>0.98158889999999999</v>
      </c>
      <c r="Y2979">
        <v>4.8665449999999999E-2</v>
      </c>
      <c r="Z2979">
        <v>-6.6926429999999999E-3</v>
      </c>
      <c r="AA2979">
        <v>0.99879269999999998</v>
      </c>
      <c r="AB2979">
        <v>32</v>
      </c>
      <c r="AC2979">
        <v>0.48500000000001298</v>
      </c>
      <c r="AD2979">
        <v>-0.258544</v>
      </c>
      <c r="AE2979">
        <v>-4.4600000000002603E-2</v>
      </c>
      <c r="AF2979">
        <v>3.3422974355299097E-2</v>
      </c>
      <c r="AG2979">
        <v>-0.258544</v>
      </c>
      <c r="AH2979">
        <v>0.37850025419953298</v>
      </c>
      <c r="AI2979">
        <v>124.232434606542</v>
      </c>
      <c r="AJ2979">
        <v>84.953659645077394</v>
      </c>
      <c r="AK2979">
        <v>0.45959170747508699</v>
      </c>
      <c r="AL2979">
        <v>79.150114184824801</v>
      </c>
      <c r="AM2979">
        <v>91.891023263677894</v>
      </c>
      <c r="AN2979">
        <v>1.0000000361855701</v>
      </c>
    </row>
    <row r="2980" spans="1:40" x14ac:dyDescent="0.25">
      <c r="A2980" t="str">
        <f>"20190303162837836"</f>
        <v>20190303162837836</v>
      </c>
      <c r="B2980" t="str">
        <f>"1551601717824395"</f>
        <v>1551601717824395</v>
      </c>
      <c r="C2980" t="s">
        <v>40</v>
      </c>
      <c r="D2980">
        <v>4.9021679999999996</v>
      </c>
      <c r="E2980">
        <v>0.53226669999999998</v>
      </c>
      <c r="F2980" t="s">
        <v>44</v>
      </c>
      <c r="G2980">
        <v>-433.98430000000002</v>
      </c>
      <c r="H2980">
        <v>0.87210679999999996</v>
      </c>
      <c r="I2980">
        <v>213.6318</v>
      </c>
      <c r="J2980">
        <v>-434.44819999999999</v>
      </c>
      <c r="K2980">
        <v>1.1223810000000001</v>
      </c>
      <c r="L2980">
        <v>213.67359999999999</v>
      </c>
      <c r="M2980">
        <v>0.99995610000000001</v>
      </c>
      <c r="N2980">
        <v>-9.194397E-3</v>
      </c>
      <c r="O2980">
        <v>-1.841741E-3</v>
      </c>
      <c r="P2980">
        <v>0.98343599999999998</v>
      </c>
      <c r="Q2980">
        <v>0.17876259999999999</v>
      </c>
      <c r="R2980">
        <v>2.9958060000000002E-2</v>
      </c>
      <c r="S2980">
        <v>3.2468569999999999</v>
      </c>
      <c r="T2980">
        <v>-1.048883</v>
      </c>
      <c r="U2980">
        <v>-0.17160029999999901</v>
      </c>
      <c r="V2980">
        <v>-3.2459500000000002E-2</v>
      </c>
      <c r="W2980">
        <v>0.1876786</v>
      </c>
      <c r="X2980">
        <v>0.98169399999999996</v>
      </c>
      <c r="Y2980">
        <v>4.8491920000000001E-2</v>
      </c>
      <c r="Z2980">
        <v>-7.2987360000000001E-3</v>
      </c>
      <c r="AA2980">
        <v>0.99879689999999999</v>
      </c>
      <c r="AB2980">
        <v>32</v>
      </c>
      <c r="AC2980">
        <v>0.46389999999996601</v>
      </c>
      <c r="AD2980">
        <v>-0.250274199999999</v>
      </c>
      <c r="AE2980">
        <v>-4.1799999999994897E-2</v>
      </c>
      <c r="AF2980">
        <v>3.1772317111665303E-2</v>
      </c>
      <c r="AG2980">
        <v>-0.250274199999999</v>
      </c>
      <c r="AH2980">
        <v>0.360029688611129</v>
      </c>
      <c r="AI2980">
        <v>124.70095983050599</v>
      </c>
      <c r="AJ2980">
        <v>84.9567606890039</v>
      </c>
      <c r="AK2980">
        <v>0.43962260178670298</v>
      </c>
      <c r="AL2980">
        <v>79.182659076008093</v>
      </c>
      <c r="AM2980">
        <v>91.893782626211504</v>
      </c>
      <c r="AN2980">
        <v>0.99999999283710495</v>
      </c>
    </row>
    <row r="2981" spans="1:40" x14ac:dyDescent="0.25">
      <c r="A2981" t="str">
        <f>"20190303162837857"</f>
        <v>20190303162837857</v>
      </c>
      <c r="B2981" t="str">
        <f>"1551601717854651"</f>
        <v>1551601717854651</v>
      </c>
      <c r="C2981" t="s">
        <v>40</v>
      </c>
      <c r="D2981">
        <v>4.8945109999999996</v>
      </c>
      <c r="E2981">
        <v>0.53249279999999999</v>
      </c>
      <c r="F2981" t="s">
        <v>44</v>
      </c>
      <c r="G2981">
        <v>-433.69549999999998</v>
      </c>
      <c r="H2981">
        <v>0.87664399999999998</v>
      </c>
      <c r="I2981">
        <v>213.6345</v>
      </c>
      <c r="J2981">
        <v>-434.15</v>
      </c>
      <c r="K2981">
        <v>1.1223989999999999</v>
      </c>
      <c r="L2981">
        <v>213.6747</v>
      </c>
      <c r="M2981">
        <v>0.99995789999999996</v>
      </c>
      <c r="N2981">
        <v>-9.1942980000000001E-3</v>
      </c>
      <c r="O2981">
        <v>-1.310258E-4</v>
      </c>
      <c r="P2981">
        <v>0.98342289999999999</v>
      </c>
      <c r="Q2981">
        <v>0.17860570000000001</v>
      </c>
      <c r="R2981">
        <v>3.1301299999999997E-2</v>
      </c>
      <c r="S2981">
        <v>3.2484130000000002</v>
      </c>
      <c r="T2981">
        <v>-1.06057</v>
      </c>
      <c r="U2981">
        <v>-0.16802979999999901</v>
      </c>
      <c r="V2981">
        <v>-3.212578E-2</v>
      </c>
      <c r="W2981">
        <v>0.1875222</v>
      </c>
      <c r="X2981">
        <v>0.98173489999999997</v>
      </c>
      <c r="Y2981">
        <v>4.8923090000000002E-2</v>
      </c>
      <c r="Z2981">
        <v>-7.9698259999999993E-3</v>
      </c>
      <c r="AA2981">
        <v>0.99877079999999996</v>
      </c>
      <c r="AB2981">
        <v>32</v>
      </c>
      <c r="AC2981">
        <v>0.45449999999999502</v>
      </c>
      <c r="AD2981">
        <v>-0.245754999999999</v>
      </c>
      <c r="AE2981">
        <v>-4.0199999999998598E-2</v>
      </c>
      <c r="AF2981">
        <v>3.1114134329086E-2</v>
      </c>
      <c r="AG2981">
        <v>-0.245754999999999</v>
      </c>
      <c r="AH2981">
        <v>0.35230146299420301</v>
      </c>
      <c r="AI2981">
        <v>124.794105120354</v>
      </c>
      <c r="AJ2981">
        <v>84.952915665350801</v>
      </c>
      <c r="AK2981">
        <v>0.43067380952166601</v>
      </c>
      <c r="AL2981">
        <v>79.191782491311798</v>
      </c>
      <c r="AM2981">
        <v>91.8742483499109</v>
      </c>
      <c r="AN2981">
        <v>1.0000000275557199</v>
      </c>
    </row>
    <row r="2982" spans="1:40" x14ac:dyDescent="0.25">
      <c r="A2982" t="str">
        <f>"20190303162837880"</f>
        <v>20190303162837880</v>
      </c>
      <c r="B2982" t="str">
        <f>"1551601717874171"</f>
        <v>1551601717874171</v>
      </c>
      <c r="C2982" t="s">
        <v>40</v>
      </c>
      <c r="D2982">
        <v>4.8657570000000003</v>
      </c>
      <c r="E2982">
        <v>0.53258570000000005</v>
      </c>
      <c r="F2982" t="s">
        <v>44</v>
      </c>
      <c r="G2982">
        <v>-433.40789999999998</v>
      </c>
      <c r="H2982">
        <v>0.87769660000000005</v>
      </c>
      <c r="I2982">
        <v>213.63640000000001</v>
      </c>
      <c r="J2982">
        <v>-433.827</v>
      </c>
      <c r="K2982">
        <v>1.1224099999999999</v>
      </c>
      <c r="L2982">
        <v>213.6764</v>
      </c>
      <c r="M2982">
        <v>0.99995630000000002</v>
      </c>
      <c r="N2982">
        <v>-9.1948340000000007E-3</v>
      </c>
      <c r="O2982">
        <v>1.7171269999999999E-3</v>
      </c>
      <c r="P2982">
        <v>0.98342779999999996</v>
      </c>
      <c r="Q2982">
        <v>0.1783807</v>
      </c>
      <c r="R2982">
        <v>3.2411299999999997E-2</v>
      </c>
      <c r="S2982">
        <v>3.2505489999999999</v>
      </c>
      <c r="T2982">
        <v>-1.0720780000000001</v>
      </c>
      <c r="U2982">
        <v>-0.16601560000000001</v>
      </c>
      <c r="V2982">
        <v>-3.1423069999999997E-2</v>
      </c>
      <c r="W2982">
        <v>0.1873002</v>
      </c>
      <c r="X2982">
        <v>0.98180000000000001</v>
      </c>
      <c r="Y2982">
        <v>4.9919749999999999E-2</v>
      </c>
      <c r="Z2982">
        <v>-8.7865759999999904E-3</v>
      </c>
      <c r="AA2982">
        <v>0.99871460000000001</v>
      </c>
      <c r="AB2982">
        <v>32</v>
      </c>
      <c r="AC2982">
        <v>0.41910000000001402</v>
      </c>
      <c r="AD2982">
        <v>-0.2447134</v>
      </c>
      <c r="AE2982">
        <v>-3.9999999999992E-2</v>
      </c>
      <c r="AF2982">
        <v>3.0436291001760499E-2</v>
      </c>
      <c r="AG2982">
        <v>-0.2447134</v>
      </c>
      <c r="AH2982">
        <v>0.31320872717905601</v>
      </c>
      <c r="AI2982">
        <v>127.870344563926</v>
      </c>
      <c r="AJ2982">
        <v>84.449667065434298</v>
      </c>
      <c r="AK2982">
        <v>0.39863607805946</v>
      </c>
      <c r="AL2982">
        <v>79.204731368821001</v>
      </c>
      <c r="AM2982">
        <v>91.833158397016305</v>
      </c>
      <c r="AN2982">
        <v>1.00000000712413</v>
      </c>
    </row>
    <row r="2983" spans="1:40" x14ac:dyDescent="0.25">
      <c r="A2983" t="str">
        <f>"20190303162837904"</f>
        <v>20190303162837904</v>
      </c>
      <c r="B2983" t="str">
        <f>"1551601717894667"</f>
        <v>1551601717894667</v>
      </c>
      <c r="C2983" t="s">
        <v>40</v>
      </c>
      <c r="D2983">
        <v>4.843267</v>
      </c>
      <c r="E2983">
        <v>0.53267559999999903</v>
      </c>
      <c r="F2983" t="s">
        <v>44</v>
      </c>
      <c r="G2983">
        <v>-433.1164</v>
      </c>
      <c r="H2983">
        <v>0.88668159999999896</v>
      </c>
      <c r="I2983">
        <v>213.64070000000001</v>
      </c>
      <c r="J2983">
        <v>-433.47789999999998</v>
      </c>
      <c r="K2983">
        <v>1.1224270000000001</v>
      </c>
      <c r="L2983">
        <v>213.679</v>
      </c>
      <c r="M2983">
        <v>0.99995080000000003</v>
      </c>
      <c r="N2983">
        <v>-9.1963889999999993E-3</v>
      </c>
      <c r="O2983">
        <v>3.709038E-3</v>
      </c>
      <c r="P2983">
        <v>0.9834484</v>
      </c>
      <c r="Q2983">
        <v>0.17809839999999999</v>
      </c>
      <c r="R2983">
        <v>3.3318710000000001E-2</v>
      </c>
      <c r="S2983">
        <v>3.2515559999999999</v>
      </c>
      <c r="T2983">
        <v>-1.078751</v>
      </c>
      <c r="U2983">
        <v>-0.16348270000000001</v>
      </c>
      <c r="V2983">
        <v>-3.0375539999999999E-2</v>
      </c>
      <c r="W2983">
        <v>0.18702340000000001</v>
      </c>
      <c r="X2983">
        <v>0.98188569999999997</v>
      </c>
      <c r="Y2983">
        <v>5.0928750000000002E-2</v>
      </c>
      <c r="Z2983">
        <v>-9.6280020000000001E-3</v>
      </c>
      <c r="AA2983">
        <v>0.99865590000000004</v>
      </c>
      <c r="AB2983">
        <v>32</v>
      </c>
      <c r="AC2983">
        <v>0.36149999999997801</v>
      </c>
      <c r="AD2983">
        <v>-0.23574539999999999</v>
      </c>
      <c r="AE2983">
        <v>-3.8299999999992403E-2</v>
      </c>
      <c r="AF2983">
        <v>2.7905029433898099E-2</v>
      </c>
      <c r="AG2983">
        <v>-0.23574539999999999</v>
      </c>
      <c r="AH2983">
        <v>0.25437636722395102</v>
      </c>
      <c r="AI2983">
        <v>132.652255634114</v>
      </c>
      <c r="AJ2983">
        <v>83.739698220202101</v>
      </c>
      <c r="AK2983">
        <v>0.34793953568245301</v>
      </c>
      <c r="AL2983">
        <v>79.220875801407004</v>
      </c>
      <c r="AM2983">
        <v>91.771932678489904</v>
      </c>
      <c r="AN2983">
        <v>0.99999997672117003</v>
      </c>
    </row>
    <row r="2984" spans="1:40" x14ac:dyDescent="0.25">
      <c r="A2984" t="str">
        <f>"20190303162837926"</f>
        <v>20190303162837926</v>
      </c>
      <c r="B2984" t="str">
        <f>"1551601717914187"</f>
        <v>1551601717914187</v>
      </c>
      <c r="C2984" t="s">
        <v>40</v>
      </c>
      <c r="D2984">
        <v>4.8325089999999999</v>
      </c>
      <c r="E2984">
        <v>0.53277640000000004</v>
      </c>
      <c r="F2984" t="s">
        <v>44</v>
      </c>
      <c r="G2984">
        <v>-432.56740000000002</v>
      </c>
      <c r="H2984">
        <v>0.81884609999999902</v>
      </c>
      <c r="I2984">
        <v>213.63409999999999</v>
      </c>
      <c r="J2984">
        <v>-433.15249999999997</v>
      </c>
      <c r="K2984">
        <v>1.1224430000000001</v>
      </c>
      <c r="L2984">
        <v>213.68199999999999</v>
      </c>
      <c r="M2984">
        <v>0.99994240000000001</v>
      </c>
      <c r="N2984">
        <v>-9.1987849999999993E-3</v>
      </c>
      <c r="O2984">
        <v>5.561875E-3</v>
      </c>
      <c r="P2984">
        <v>0.98342229999999997</v>
      </c>
      <c r="Q2984">
        <v>0.17813509999999999</v>
      </c>
      <c r="R2984">
        <v>3.3891480000000002E-2</v>
      </c>
      <c r="S2984">
        <v>3.2522579999999999</v>
      </c>
      <c r="T2984">
        <v>-1.084463</v>
      </c>
      <c r="U2984">
        <v>-0.15986629999999999</v>
      </c>
      <c r="V2984">
        <v>-2.9130799999999998E-2</v>
      </c>
      <c r="W2984">
        <v>0.18706600000000001</v>
      </c>
      <c r="X2984">
        <v>0.98191539999999999</v>
      </c>
      <c r="Y2984">
        <v>5.1504220000000003E-2</v>
      </c>
      <c r="Z2984">
        <v>-1.0354489999999999E-2</v>
      </c>
      <c r="AA2984">
        <v>0.99861909999999998</v>
      </c>
      <c r="AB2984">
        <v>32</v>
      </c>
      <c r="AC2984">
        <v>0.58509999999995399</v>
      </c>
      <c r="AD2984">
        <v>-0.3035969</v>
      </c>
      <c r="AE2984">
        <v>-4.79000000000269E-2</v>
      </c>
      <c r="AF2984">
        <v>4.0359679339708299E-2</v>
      </c>
      <c r="AG2984">
        <v>-0.3035969</v>
      </c>
      <c r="AH2984">
        <v>0.46142026277856701</v>
      </c>
      <c r="AI2984">
        <v>123.24320611471499</v>
      </c>
      <c r="AJ2984">
        <v>85.001153771359697</v>
      </c>
      <c r="AK2984">
        <v>0.55381282064309001</v>
      </c>
      <c r="AL2984">
        <v>79.2183921934907</v>
      </c>
      <c r="AM2984">
        <v>91.699313886318606</v>
      </c>
      <c r="AN2984">
        <v>1.0000000723108899</v>
      </c>
    </row>
    <row r="2985" spans="1:40" x14ac:dyDescent="0.25">
      <c r="A2985" t="str">
        <f>"20190303162837949"</f>
        <v>20190303162837949</v>
      </c>
      <c r="B2985" t="str">
        <f>"1551601717944443"</f>
        <v>1551601717944443</v>
      </c>
      <c r="C2985" t="s">
        <v>40</v>
      </c>
      <c r="D2985">
        <v>4.8012519999999999</v>
      </c>
      <c r="E2985">
        <v>0.53288199999999997</v>
      </c>
      <c r="F2985" t="s">
        <v>44</v>
      </c>
      <c r="G2985">
        <v>-432.27449999999999</v>
      </c>
      <c r="H2985">
        <v>0.82889139999999994</v>
      </c>
      <c r="I2985">
        <v>213.6397</v>
      </c>
      <c r="J2985">
        <v>-432.82569999999998</v>
      </c>
      <c r="K2985">
        <v>1.122452</v>
      </c>
      <c r="L2985">
        <v>213.68559999999999</v>
      </c>
      <c r="M2985">
        <v>0.99993019999999999</v>
      </c>
      <c r="N2985">
        <v>-9.2015029999999998E-3</v>
      </c>
      <c r="O2985">
        <v>7.42078099999999E-3</v>
      </c>
      <c r="P2985">
        <v>0.98338550000000002</v>
      </c>
      <c r="Q2985">
        <v>0.17824770000000001</v>
      </c>
      <c r="R2985">
        <v>3.4364730000000003E-2</v>
      </c>
      <c r="S2985">
        <v>3.2529599999999999</v>
      </c>
      <c r="T2985">
        <v>-1.087718</v>
      </c>
      <c r="U2985">
        <v>-0.1557617</v>
      </c>
      <c r="V2985">
        <v>-2.7780260000000001E-2</v>
      </c>
      <c r="W2985">
        <v>0.1871864</v>
      </c>
      <c r="X2985">
        <v>0.98193149999999996</v>
      </c>
      <c r="Y2985">
        <v>5.1954880000000002E-2</v>
      </c>
      <c r="Z2985">
        <v>-1.1045320000000001E-2</v>
      </c>
      <c r="AA2985">
        <v>0.99858829999999998</v>
      </c>
      <c r="AB2985">
        <v>32</v>
      </c>
      <c r="AC2985">
        <v>0.55119999999999403</v>
      </c>
      <c r="AD2985">
        <v>-0.29356059999999901</v>
      </c>
      <c r="AE2985">
        <v>-4.5899999999988901E-2</v>
      </c>
      <c r="AF2985">
        <v>3.90025115756511E-2</v>
      </c>
      <c r="AG2985">
        <v>-0.29356059999999901</v>
      </c>
      <c r="AH2985">
        <v>0.429778599510311</v>
      </c>
      <c r="AI2985">
        <v>124.22570530858199</v>
      </c>
      <c r="AJ2985">
        <v>84.814598036609993</v>
      </c>
      <c r="AK2985">
        <v>0.52192783637071205</v>
      </c>
      <c r="AL2985">
        <v>79.211368739074601</v>
      </c>
      <c r="AM2985">
        <v>91.620548061847799</v>
      </c>
      <c r="AN2985">
        <v>0.99999998094143805</v>
      </c>
    </row>
    <row r="2986" spans="1:40" x14ac:dyDescent="0.25">
      <c r="A2986" t="str">
        <f>"20190303162837968"</f>
        <v>20190303162837968</v>
      </c>
      <c r="B2986" t="str">
        <f>"1551601717964939"</f>
        <v>1551601717964939</v>
      </c>
      <c r="C2986" t="s">
        <v>40</v>
      </c>
      <c r="D2986">
        <v>4.753457</v>
      </c>
      <c r="E2986">
        <v>0.53295809999999999</v>
      </c>
      <c r="F2986" t="s">
        <v>44</v>
      </c>
      <c r="G2986">
        <v>-431.98110000000003</v>
      </c>
      <c r="H2986">
        <v>0.83923840000000005</v>
      </c>
      <c r="I2986">
        <v>213.64590000000001</v>
      </c>
      <c r="J2986">
        <v>-432.53890000000001</v>
      </c>
      <c r="K2986">
        <v>1.1224620000000001</v>
      </c>
      <c r="L2986">
        <v>213.6893</v>
      </c>
      <c r="M2986">
        <v>0.99991669999999999</v>
      </c>
      <c r="N2986">
        <v>-9.2044269999999994E-3</v>
      </c>
      <c r="O2986">
        <v>9.0509730000000004E-3</v>
      </c>
      <c r="P2986">
        <v>0.98316479999999995</v>
      </c>
      <c r="Q2986">
        <v>0.17946579999999901</v>
      </c>
      <c r="R2986">
        <v>3.4338819999999999E-2</v>
      </c>
      <c r="S2986">
        <v>3.2538450000000001</v>
      </c>
      <c r="T2986">
        <v>-1.091229</v>
      </c>
      <c r="U2986">
        <v>-0.15255739999999901</v>
      </c>
      <c r="V2986">
        <v>-2.61605E-2</v>
      </c>
      <c r="W2986">
        <v>0.1884111</v>
      </c>
      <c r="X2986">
        <v>0.9817418</v>
      </c>
      <c r="Y2986">
        <v>5.2457030000000002E-2</v>
      </c>
      <c r="Z2986">
        <v>-1.1677699999999999E-2</v>
      </c>
      <c r="AA2986">
        <v>0.99855490000000002</v>
      </c>
      <c r="AB2986">
        <v>32</v>
      </c>
      <c r="AC2986">
        <v>0.55779999999998597</v>
      </c>
      <c r="AD2986">
        <v>-0.28322359999999902</v>
      </c>
      <c r="AE2986">
        <v>-4.3399999999991203E-2</v>
      </c>
      <c r="AF2986">
        <v>3.8564526243772601E-2</v>
      </c>
      <c r="AG2986">
        <v>-0.28322359999999902</v>
      </c>
      <c r="AH2986">
        <v>0.44368550846336002</v>
      </c>
      <c r="AI2986">
        <v>122.454133906891</v>
      </c>
      <c r="AJ2986">
        <v>85.032415343182805</v>
      </c>
      <c r="AK2986">
        <v>0.52778751472704999</v>
      </c>
      <c r="AL2986">
        <v>79.139928103290302</v>
      </c>
      <c r="AM2986">
        <v>91.526400956561901</v>
      </c>
      <c r="AN2986">
        <v>1.00000003811534</v>
      </c>
    </row>
    <row r="2987" spans="1:40" x14ac:dyDescent="0.25">
      <c r="A2987" t="str">
        <f>"20190303162837991"</f>
        <v>20190303162837991</v>
      </c>
      <c r="B2987" t="str">
        <f>"1551601717984458"</f>
        <v>1551601717984458</v>
      </c>
      <c r="C2987" t="s">
        <v>40</v>
      </c>
      <c r="D2987">
        <v>4.6923690000000002</v>
      </c>
      <c r="E2987">
        <v>0.53311129999999995</v>
      </c>
      <c r="F2987" t="s">
        <v>44</v>
      </c>
      <c r="G2987">
        <v>-431.69139999999999</v>
      </c>
      <c r="H2987">
        <v>0.83904639999999997</v>
      </c>
      <c r="I2987">
        <v>213.6497</v>
      </c>
      <c r="J2987">
        <v>-432.20600000000002</v>
      </c>
      <c r="K2987">
        <v>1.122474</v>
      </c>
      <c r="L2987">
        <v>213.6942</v>
      </c>
      <c r="M2987">
        <v>0.9998977</v>
      </c>
      <c r="N2987">
        <v>-9.2082829999999994E-3</v>
      </c>
      <c r="O2987">
        <v>1.09436E-2</v>
      </c>
      <c r="P2987">
        <v>0.98284830000000001</v>
      </c>
      <c r="Q2987">
        <v>0.18115039999999999</v>
      </c>
      <c r="R2987">
        <v>3.455188E-2</v>
      </c>
      <c r="S2987">
        <v>3.2554020000000001</v>
      </c>
      <c r="T2987">
        <v>-1.088697</v>
      </c>
      <c r="U2987">
        <v>-0.15141299999999999</v>
      </c>
      <c r="V2987">
        <v>-2.452462E-2</v>
      </c>
      <c r="W2987">
        <v>0.1901033</v>
      </c>
      <c r="X2987">
        <v>0.98145769999999999</v>
      </c>
      <c r="Y2987">
        <v>5.3819100000000002E-2</v>
      </c>
      <c r="Z2987">
        <v>-1.2474270000000001E-2</v>
      </c>
      <c r="AA2987">
        <v>0.99847280000000005</v>
      </c>
      <c r="AB2987">
        <v>32</v>
      </c>
      <c r="AC2987">
        <v>0.51459999999997297</v>
      </c>
      <c r="AD2987">
        <v>-0.2834276</v>
      </c>
      <c r="AE2987">
        <v>-4.4499999999999297E-2</v>
      </c>
      <c r="AF2987">
        <v>3.8528316409478999E-2</v>
      </c>
      <c r="AG2987">
        <v>-0.2834276</v>
      </c>
      <c r="AH2987">
        <v>0.39511382842760201</v>
      </c>
      <c r="AI2987">
        <v>125.524758442644</v>
      </c>
      <c r="AJ2987">
        <v>84.430585184533797</v>
      </c>
      <c r="AK2987">
        <v>0.48778127580076802</v>
      </c>
      <c r="AL2987">
        <v>79.041186930770195</v>
      </c>
      <c r="AM2987">
        <v>91.431406438229203</v>
      </c>
      <c r="AN2987">
        <v>0.99999996927316104</v>
      </c>
    </row>
    <row r="2988" spans="1:40" x14ac:dyDescent="0.25">
      <c r="A2988" t="str">
        <f>"20190303162838013"</f>
        <v>20190303162838013</v>
      </c>
      <c r="B2988" t="str">
        <f>"1551601718004955"</f>
        <v>1551601718004955</v>
      </c>
      <c r="C2988" t="s">
        <v>40</v>
      </c>
      <c r="D2988">
        <v>4.6983829999999998</v>
      </c>
      <c r="E2988">
        <v>0.53330059999999901</v>
      </c>
      <c r="F2988" t="s">
        <v>44</v>
      </c>
      <c r="G2988">
        <v>-431.3956</v>
      </c>
      <c r="H2988">
        <v>0.85319100000000003</v>
      </c>
      <c r="I2988">
        <v>213.6568</v>
      </c>
      <c r="J2988">
        <v>-431.8811</v>
      </c>
      <c r="K2988">
        <v>1.122484</v>
      </c>
      <c r="L2988">
        <v>213.6996</v>
      </c>
      <c r="M2988">
        <v>0.99987590000000004</v>
      </c>
      <c r="N2988">
        <v>-9.2100610000000003E-3</v>
      </c>
      <c r="O2988">
        <v>1.2789729999999999E-2</v>
      </c>
      <c r="P2988">
        <v>0.98252459999999997</v>
      </c>
      <c r="Q2988">
        <v>0.18288679999999999</v>
      </c>
      <c r="R2988">
        <v>3.4614319999999997E-2</v>
      </c>
      <c r="S2988">
        <v>3.2571409999999998</v>
      </c>
      <c r="T2988">
        <v>-1.0822099999999999</v>
      </c>
      <c r="U2988">
        <v>-0.15061949999999999</v>
      </c>
      <c r="V2988">
        <v>-2.2785130000000001E-2</v>
      </c>
      <c r="W2988">
        <v>0.1918454</v>
      </c>
      <c r="X2988">
        <v>0.98116060000000005</v>
      </c>
      <c r="Y2988">
        <v>5.5265969999999998E-2</v>
      </c>
      <c r="Z2988">
        <v>-1.3219730000000001E-2</v>
      </c>
      <c r="AA2988">
        <v>0.99838419999999894</v>
      </c>
      <c r="AB2988">
        <v>32</v>
      </c>
      <c r="AC2988">
        <v>0.48550000000000099</v>
      </c>
      <c r="AD2988">
        <v>-0.269293</v>
      </c>
      <c r="AE2988">
        <v>-4.2799999999999699E-2</v>
      </c>
      <c r="AF2988">
        <v>3.7544342949106801E-2</v>
      </c>
      <c r="AG2988">
        <v>-0.269293</v>
      </c>
      <c r="AH2988">
        <v>0.37149878765000999</v>
      </c>
      <c r="AI2988">
        <v>125.799478382937</v>
      </c>
      <c r="AJ2988">
        <v>84.229177867059903</v>
      </c>
      <c r="AK2988">
        <v>0.46036903323519401</v>
      </c>
      <c r="AL2988">
        <v>78.939500420584295</v>
      </c>
      <c r="AM2988">
        <v>91.3303196039097</v>
      </c>
      <c r="AN2988">
        <v>0.99999997132131802</v>
      </c>
    </row>
    <row r="2989" spans="1:40" x14ac:dyDescent="0.25">
      <c r="A2989" t="str">
        <f>"20190303162838037"</f>
        <v>20190303162838037</v>
      </c>
      <c r="B2989" t="str">
        <f>"1551601718024475"</f>
        <v>1551601718024475</v>
      </c>
      <c r="C2989" t="s">
        <v>40</v>
      </c>
      <c r="D2989">
        <v>4.6475429999999998</v>
      </c>
      <c r="E2989">
        <v>0.53348309999999999</v>
      </c>
      <c r="F2989" t="s">
        <v>44</v>
      </c>
      <c r="G2989">
        <v>-431.10019999999997</v>
      </c>
      <c r="H2989">
        <v>0.86487950000000002</v>
      </c>
      <c r="I2989">
        <v>213.66329999999999</v>
      </c>
      <c r="J2989">
        <v>-431.55860000000001</v>
      </c>
      <c r="K2989">
        <v>1.122487</v>
      </c>
      <c r="L2989">
        <v>213.7055</v>
      </c>
      <c r="M2989">
        <v>0.99985080000000004</v>
      </c>
      <c r="N2989">
        <v>-9.2076840000000007E-3</v>
      </c>
      <c r="O2989">
        <v>1.462169E-2</v>
      </c>
      <c r="P2989">
        <v>0.98239240000000005</v>
      </c>
      <c r="Q2989">
        <v>0.1835589</v>
      </c>
      <c r="R2989">
        <v>3.4811219999999997E-2</v>
      </c>
      <c r="S2989">
        <v>3.258759</v>
      </c>
      <c r="T2989">
        <v>-1.0750630000000001</v>
      </c>
      <c r="U2989">
        <v>-0.1504211</v>
      </c>
      <c r="V2989">
        <v>-2.11878E-2</v>
      </c>
      <c r="W2989">
        <v>0.1925202</v>
      </c>
      <c r="X2989">
        <v>0.9810643</v>
      </c>
      <c r="Y2989">
        <v>5.6882410000000001E-2</v>
      </c>
      <c r="Z2989">
        <v>-1.397083E-2</v>
      </c>
      <c r="AA2989">
        <v>0.99828309999999998</v>
      </c>
      <c r="AB2989">
        <v>33</v>
      </c>
      <c r="AC2989">
        <v>0.45840000000004</v>
      </c>
      <c r="AD2989">
        <v>-0.25760749999999999</v>
      </c>
      <c r="AE2989">
        <v>-4.2200000000008203E-2</v>
      </c>
      <c r="AF2989">
        <v>3.7237237768271203E-2</v>
      </c>
      <c r="AG2989">
        <v>-0.25760749999999999</v>
      </c>
      <c r="AH2989">
        <v>0.34857506695593998</v>
      </c>
      <c r="AI2989">
        <v>126.31027026478399</v>
      </c>
      <c r="AJ2989">
        <v>83.902387444030097</v>
      </c>
      <c r="AK2989">
        <v>0.43503196806234701</v>
      </c>
      <c r="AL2989">
        <v>78.900103767943193</v>
      </c>
      <c r="AM2989">
        <v>91.237210272492504</v>
      </c>
      <c r="AN2989">
        <v>1.0000000555056801</v>
      </c>
    </row>
    <row r="2990" spans="1:40" x14ac:dyDescent="0.25">
      <c r="A2990" t="str">
        <f>"20190303162838057"</f>
        <v>20190303162838057</v>
      </c>
      <c r="B2990" t="str">
        <f>"1551601718054731"</f>
        <v>1551601718054731</v>
      </c>
      <c r="C2990" t="s">
        <v>40</v>
      </c>
      <c r="D2990">
        <v>4.6738099999999996</v>
      </c>
      <c r="E2990">
        <v>0.53355220000000003</v>
      </c>
      <c r="F2990" t="s">
        <v>44</v>
      </c>
      <c r="G2990">
        <v>-430.80520000000001</v>
      </c>
      <c r="H2990">
        <v>0.87481419999999999</v>
      </c>
      <c r="I2990">
        <v>213.67080000000001</v>
      </c>
      <c r="J2990">
        <v>-431.24990000000003</v>
      </c>
      <c r="K2990">
        <v>1.1224860000000001</v>
      </c>
      <c r="L2990">
        <v>213.71180000000001</v>
      </c>
      <c r="M2990">
        <v>0.99982369999999998</v>
      </c>
      <c r="N2990">
        <v>-9.2035039999999995E-3</v>
      </c>
      <c r="O2990">
        <v>1.636756E-2</v>
      </c>
      <c r="P2990">
        <v>0.98234440000000001</v>
      </c>
      <c r="Q2990">
        <v>0.18380640000000001</v>
      </c>
      <c r="R2990">
        <v>3.4851390000000003E-2</v>
      </c>
      <c r="S2990">
        <v>3.259277</v>
      </c>
      <c r="T2990">
        <v>-1.071547</v>
      </c>
      <c r="U2990">
        <v>-0.14927670000000001</v>
      </c>
      <c r="V2990">
        <v>-1.951439E-2</v>
      </c>
      <c r="W2990">
        <v>0.19276960000000001</v>
      </c>
      <c r="X2990">
        <v>0.98104999999999998</v>
      </c>
      <c r="Y2990">
        <v>5.8138830000000002E-2</v>
      </c>
      <c r="Z2990">
        <v>-1.467619E-2</v>
      </c>
      <c r="AA2990">
        <v>0.99820059999999999</v>
      </c>
      <c r="AB2990">
        <v>33</v>
      </c>
      <c r="AC2990">
        <v>0.44470000000001098</v>
      </c>
      <c r="AD2990">
        <v>-0.2476718</v>
      </c>
      <c r="AE2990">
        <v>-4.0999999999996803E-2</v>
      </c>
      <c r="AF2990">
        <v>3.6918481664126902E-2</v>
      </c>
      <c r="AG2990">
        <v>-0.2476718</v>
      </c>
      <c r="AH2990">
        <v>0.339537920539001</v>
      </c>
      <c r="AI2990">
        <v>125.948261947113</v>
      </c>
      <c r="AJ2990">
        <v>83.794519782566198</v>
      </c>
      <c r="AK2990">
        <v>0.421888959665424</v>
      </c>
      <c r="AL2990">
        <v>78.885540986083598</v>
      </c>
      <c r="AM2990">
        <v>91.139539022925405</v>
      </c>
      <c r="AN2990">
        <v>1.00000001630061</v>
      </c>
    </row>
    <row r="2991" spans="1:40" x14ac:dyDescent="0.25">
      <c r="A2991" t="str">
        <f>"20190303162838091"</f>
        <v>20190303162838091</v>
      </c>
      <c r="B2991" t="str">
        <f>"1551601718084987"</f>
        <v>1551601718084987</v>
      </c>
      <c r="C2991" t="s">
        <v>40</v>
      </c>
      <c r="D2991">
        <v>4.655284</v>
      </c>
      <c r="E2991">
        <v>0.53358539999999999</v>
      </c>
      <c r="F2991" t="s">
        <v>44</v>
      </c>
      <c r="G2991">
        <v>-430.51170000000002</v>
      </c>
      <c r="H2991">
        <v>0.87969330000000001</v>
      </c>
      <c r="I2991">
        <v>213.678</v>
      </c>
      <c r="J2991">
        <v>-430.7509</v>
      </c>
      <c r="K2991">
        <v>1.1224829999999999</v>
      </c>
      <c r="L2991">
        <v>213.72290000000001</v>
      </c>
      <c r="M2991">
        <v>0.99977439999999995</v>
      </c>
      <c r="N2991">
        <v>-9.1968799999999993E-3</v>
      </c>
      <c r="O2991">
        <v>1.9146679999999999E-2</v>
      </c>
      <c r="P2991">
        <v>0.98171920000000001</v>
      </c>
      <c r="Q2991">
        <v>0.1865705</v>
      </c>
      <c r="R2991">
        <v>3.7665520000000001E-2</v>
      </c>
      <c r="S2991">
        <v>3.259827</v>
      </c>
      <c r="T2991">
        <v>-1.07226</v>
      </c>
      <c r="U2991">
        <v>-0.14782709999999999</v>
      </c>
      <c r="V2991">
        <v>-1.961249E-2</v>
      </c>
      <c r="W2991">
        <v>0.19552240000000001</v>
      </c>
      <c r="X2991">
        <v>0.98050309999999896</v>
      </c>
      <c r="Y2991">
        <v>6.0208110000000002E-2</v>
      </c>
      <c r="Z2991">
        <v>-1.588972E-2</v>
      </c>
      <c r="AA2991">
        <v>0.99805940000000004</v>
      </c>
      <c r="AB2991">
        <v>33</v>
      </c>
      <c r="AC2991">
        <v>0.23919999999998201</v>
      </c>
      <c r="AD2991">
        <v>-0.242789699999999</v>
      </c>
      <c r="AE2991">
        <v>-4.4900000000012603E-2</v>
      </c>
      <c r="AF2991">
        <v>2.4795746664697398E-2</v>
      </c>
      <c r="AG2991">
        <v>-0.242789699999999</v>
      </c>
      <c r="AH2991">
        <v>0.119436366982607</v>
      </c>
      <c r="AI2991">
        <v>153.32400135573701</v>
      </c>
      <c r="AJ2991">
        <v>78.271637985747105</v>
      </c>
      <c r="AK2991">
        <v>0.27171071608744801</v>
      </c>
      <c r="AL2991">
        <v>78.724757574920105</v>
      </c>
      <c r="AM2991">
        <v>91.145904661818804</v>
      </c>
      <c r="AN2991">
        <v>0.99999999388768401</v>
      </c>
    </row>
    <row r="2992" spans="1:40" x14ac:dyDescent="0.25">
      <c r="A2992" t="str">
        <f>"20190303162838116"</f>
        <v>20190303162838116</v>
      </c>
      <c r="B2992" t="str">
        <f>"1551601718104507"</f>
        <v>1551601718104507</v>
      </c>
      <c r="C2992" t="s">
        <v>40</v>
      </c>
      <c r="D2992">
        <v>4.6787640000000001</v>
      </c>
      <c r="E2992">
        <v>0.53358700000000003</v>
      </c>
      <c r="F2992" t="s">
        <v>44</v>
      </c>
      <c r="G2992">
        <v>-429.93639999999999</v>
      </c>
      <c r="H2992">
        <v>0.85668409999999995</v>
      </c>
      <c r="I2992">
        <v>213.6883</v>
      </c>
      <c r="J2992">
        <v>-430.40499999999997</v>
      </c>
      <c r="K2992">
        <v>1.1224730000000001</v>
      </c>
      <c r="L2992">
        <v>213.73140000000001</v>
      </c>
      <c r="M2992">
        <v>0.99973670000000003</v>
      </c>
      <c r="N2992">
        <v>-9.1927710000000006E-3</v>
      </c>
      <c r="O2992">
        <v>2.102681E-2</v>
      </c>
      <c r="P2992">
        <v>0.98105070000000005</v>
      </c>
      <c r="Q2992">
        <v>0.18945880000000001</v>
      </c>
      <c r="R2992">
        <v>4.056121E-2</v>
      </c>
      <c r="S2992">
        <v>3.2635800000000001</v>
      </c>
      <c r="T2992">
        <v>-1.0651969999999999</v>
      </c>
      <c r="U2992">
        <v>-0.1373596</v>
      </c>
      <c r="V2992">
        <v>-2.067517E-2</v>
      </c>
      <c r="W2992">
        <v>0.19839789999999999</v>
      </c>
      <c r="X2992">
        <v>0.97990350000000004</v>
      </c>
      <c r="Y2992">
        <v>5.8879010000000002E-2</v>
      </c>
      <c r="Z2992">
        <v>-1.6137990000000001E-2</v>
      </c>
      <c r="AA2992">
        <v>0.99813470000000004</v>
      </c>
      <c r="AB2992">
        <v>33</v>
      </c>
      <c r="AC2992">
        <v>0.46859999999997998</v>
      </c>
      <c r="AD2992">
        <v>-0.26578889999999999</v>
      </c>
      <c r="AE2992">
        <v>-4.3100000000009603E-2</v>
      </c>
      <c r="AF2992">
        <v>4.0139091693533101E-2</v>
      </c>
      <c r="AG2992">
        <v>-0.26578889999999999</v>
      </c>
      <c r="AH2992">
        <v>0.35449955126312799</v>
      </c>
      <c r="AI2992">
        <v>126.686024964525</v>
      </c>
      <c r="AJ2992">
        <v>83.540055873708397</v>
      </c>
      <c r="AK2992">
        <v>0.44488742159219402</v>
      </c>
      <c r="AL2992">
        <v>78.556712137962094</v>
      </c>
      <c r="AM2992">
        <v>91.2087151883497</v>
      </c>
      <c r="AN2992">
        <v>1.00000002934559</v>
      </c>
    </row>
    <row r="2993" spans="1:40" x14ac:dyDescent="0.25">
      <c r="A2993" t="str">
        <f>"20190303162838137"</f>
        <v>20190303162838137</v>
      </c>
      <c r="B2993" t="str">
        <f>"1551601718134763"</f>
        <v>1551601718134763</v>
      </c>
      <c r="C2993" t="s">
        <v>40</v>
      </c>
      <c r="D2993">
        <v>4.6687269999999996</v>
      </c>
      <c r="E2993">
        <v>0.53363359999999904</v>
      </c>
      <c r="F2993" t="s">
        <v>44</v>
      </c>
      <c r="G2993">
        <v>-429.63670000000002</v>
      </c>
      <c r="H2993">
        <v>0.87400319999999898</v>
      </c>
      <c r="I2993">
        <v>213.70079999999999</v>
      </c>
      <c r="J2993">
        <v>-430.08240000000001</v>
      </c>
      <c r="K2993">
        <v>1.1224499999999999</v>
      </c>
      <c r="L2993">
        <v>213.73990000000001</v>
      </c>
      <c r="M2993">
        <v>0.99969969999999997</v>
      </c>
      <c r="N2993">
        <v>-9.1893779999999998E-3</v>
      </c>
      <c r="O2993">
        <v>2.2726610000000001E-2</v>
      </c>
      <c r="P2993">
        <v>0.98060199999999997</v>
      </c>
      <c r="Q2993">
        <v>0.19104570000000001</v>
      </c>
      <c r="R2993">
        <v>4.3833490000000003E-2</v>
      </c>
      <c r="S2993">
        <v>3.267395</v>
      </c>
      <c r="T2993">
        <v>-1.0568010000000001</v>
      </c>
      <c r="U2993">
        <v>-0.12889100000000001</v>
      </c>
      <c r="V2993">
        <v>-2.2277539999999998E-2</v>
      </c>
      <c r="W2993">
        <v>0.1999745</v>
      </c>
      <c r="X2993">
        <v>0.97954779999999997</v>
      </c>
      <c r="Y2993">
        <v>5.7982100000000002E-2</v>
      </c>
      <c r="Z2993">
        <v>-1.6375520000000001E-2</v>
      </c>
      <c r="AA2993">
        <v>0.9981833</v>
      </c>
      <c r="AB2993">
        <v>33</v>
      </c>
      <c r="AC2993">
        <v>0.44569999999998799</v>
      </c>
      <c r="AD2993">
        <v>-0.2484468</v>
      </c>
      <c r="AE2993">
        <v>-3.9100000000019002E-2</v>
      </c>
      <c r="AF2993">
        <v>3.7619414737515899E-2</v>
      </c>
      <c r="AG2993">
        <v>-0.2484468</v>
      </c>
      <c r="AH2993">
        <v>0.33988939268175899</v>
      </c>
      <c r="AI2993">
        <v>125.999421923798</v>
      </c>
      <c r="AJ2993">
        <v>83.684132960202405</v>
      </c>
      <c r="AK2993">
        <v>0.42268881231114702</v>
      </c>
      <c r="AL2993">
        <v>78.464532027664006</v>
      </c>
      <c r="AM2993">
        <v>91.302834861945698</v>
      </c>
      <c r="AN2993">
        <v>0.99999999096176995</v>
      </c>
    </row>
    <row r="2994" spans="1:40" x14ac:dyDescent="0.25">
      <c r="A2994" t="str">
        <f>"20190303162838159"</f>
        <v>20190303162838159</v>
      </c>
      <c r="B2994" t="str">
        <f>"1551601718154283"</f>
        <v>1551601718154283</v>
      </c>
      <c r="C2994" t="s">
        <v>40</v>
      </c>
      <c r="D2994">
        <v>4.6963339999999896</v>
      </c>
      <c r="E2994">
        <v>0.53200360000000002</v>
      </c>
      <c r="F2994" t="s">
        <v>44</v>
      </c>
      <c r="G2994">
        <v>-429.33960000000002</v>
      </c>
      <c r="H2994">
        <v>0.8833607</v>
      </c>
      <c r="I2994">
        <v>213.71260000000001</v>
      </c>
      <c r="J2994">
        <v>-429.77089999999998</v>
      </c>
      <c r="K2994">
        <v>1.1223959999999999</v>
      </c>
      <c r="L2994">
        <v>213.74850000000001</v>
      </c>
      <c r="M2994">
        <v>0.99966290000000002</v>
      </c>
      <c r="N2994">
        <v>-9.1867240000000003E-3</v>
      </c>
      <c r="O2994">
        <v>2.4283889999999999E-2</v>
      </c>
      <c r="P2994">
        <v>0.98010969999999997</v>
      </c>
      <c r="Q2994">
        <v>0.1927461</v>
      </c>
      <c r="R2994">
        <v>4.7265719999999997E-2</v>
      </c>
      <c r="S2994">
        <v>3.2696529999999999</v>
      </c>
      <c r="T2994">
        <v>-1.0524659999999999</v>
      </c>
      <c r="U2994">
        <v>-0.1182251</v>
      </c>
      <c r="V2994">
        <v>-2.417325E-2</v>
      </c>
      <c r="W2994">
        <v>0.2016646</v>
      </c>
      <c r="X2994">
        <v>0.97915629999999998</v>
      </c>
      <c r="Y2994">
        <v>5.6308869999999997E-2</v>
      </c>
      <c r="Z2994">
        <v>-1.6506239999999998E-2</v>
      </c>
      <c r="AA2994">
        <v>0.99827690000000002</v>
      </c>
      <c r="AB2994">
        <v>33</v>
      </c>
      <c r="AC2994">
        <v>0.43129999999996399</v>
      </c>
      <c r="AD2994">
        <v>-0.23903529999999901</v>
      </c>
      <c r="AE2994">
        <v>-3.5899999999998003E-2</v>
      </c>
      <c r="AF2994">
        <v>3.5526306724721499E-2</v>
      </c>
      <c r="AG2994">
        <v>-0.23903529999999901</v>
      </c>
      <c r="AH2994">
        <v>0.329720699165717</v>
      </c>
      <c r="AI2994">
        <v>125.78372749416199</v>
      </c>
      <c r="AJ2994">
        <v>83.850295446756206</v>
      </c>
      <c r="AK2994">
        <v>0.40879791165552498</v>
      </c>
      <c r="AL2994">
        <v>78.365682887479196</v>
      </c>
      <c r="AM2994">
        <v>91.414221528254004</v>
      </c>
      <c r="AN2994">
        <v>1.0000000083692</v>
      </c>
    </row>
    <row r="2995" spans="1:40" x14ac:dyDescent="0.25">
      <c r="A2995" t="str">
        <f>"20190303162838182"</f>
        <v>20190303162838182</v>
      </c>
      <c r="B2995" t="str">
        <f>"1551601718174779"</f>
        <v>1551601718174779</v>
      </c>
      <c r="C2995" t="s">
        <v>40</v>
      </c>
      <c r="D2995">
        <v>4.7832559999999997</v>
      </c>
      <c r="E2995">
        <v>0.53200360000000002</v>
      </c>
      <c r="F2995" t="s">
        <v>44</v>
      </c>
      <c r="G2995">
        <v>-429.02969999999999</v>
      </c>
      <c r="H2995">
        <v>0.92019340000000005</v>
      </c>
      <c r="I2995">
        <v>213.72640000000001</v>
      </c>
      <c r="J2995">
        <v>-429.42970000000003</v>
      </c>
      <c r="K2995">
        <v>1.1223190000000001</v>
      </c>
      <c r="L2995">
        <v>213.75839999999999</v>
      </c>
      <c r="M2995">
        <v>0.99962340000000005</v>
      </c>
      <c r="N2995">
        <v>-9.1802480000000002E-3</v>
      </c>
      <c r="O2995">
        <v>2.5866340000000002E-2</v>
      </c>
      <c r="P2995">
        <v>0.97948239999999998</v>
      </c>
      <c r="Q2995">
        <v>0.1947362</v>
      </c>
      <c r="R2995">
        <v>5.1889200000000003E-2</v>
      </c>
      <c r="S2995">
        <v>3.239258</v>
      </c>
      <c r="T2995">
        <v>-0.8836946</v>
      </c>
      <c r="U2995">
        <v>-9.5138550000000002E-2</v>
      </c>
      <c r="V2995">
        <v>-2.7224620000000001E-2</v>
      </c>
      <c r="W2995">
        <v>0.20363829999999999</v>
      </c>
      <c r="X2995">
        <v>0.97866759999999997</v>
      </c>
      <c r="Y2995">
        <v>5.2343929999999997E-2</v>
      </c>
      <c r="Z2995">
        <v>-1.3950399999999899E-2</v>
      </c>
      <c r="AA2995">
        <v>0.99853170000000002</v>
      </c>
      <c r="AB2995">
        <v>33</v>
      </c>
      <c r="AC2995">
        <v>0.400000000000034</v>
      </c>
      <c r="AD2995">
        <v>-0.20212559999999899</v>
      </c>
      <c r="AE2995">
        <v>-3.1999999999982202E-2</v>
      </c>
      <c r="AF2995">
        <v>3.3768557111191297E-2</v>
      </c>
      <c r="AG2995">
        <v>-0.20212559999999899</v>
      </c>
      <c r="AH2995">
        <v>0.31828390035572801</v>
      </c>
      <c r="AI2995">
        <v>122.272570038361</v>
      </c>
      <c r="AJ2995">
        <v>83.943819050451694</v>
      </c>
      <c r="AK2995">
        <v>0.378549487980616</v>
      </c>
      <c r="AL2995">
        <v>78.250202018190194</v>
      </c>
      <c r="AM2995">
        <v>91.593445670467503</v>
      </c>
      <c r="AN2995">
        <v>1.00000000422539</v>
      </c>
    </row>
    <row r="2996" spans="1:40" x14ac:dyDescent="0.25">
      <c r="A2996" t="str">
        <f>"20190303162838205"</f>
        <v>20190303162838205</v>
      </c>
      <c r="B2996" t="str">
        <f>"1551601718194298"</f>
        <v>1551601718194298</v>
      </c>
      <c r="C2996" t="s">
        <v>40</v>
      </c>
      <c r="D2996">
        <v>4.7511929999999998</v>
      </c>
      <c r="E2996">
        <v>0.51522230000000002</v>
      </c>
      <c r="F2996" t="s">
        <v>44</v>
      </c>
      <c r="G2996">
        <v>-428.72949999999997</v>
      </c>
      <c r="H2996">
        <v>0.93301069999999997</v>
      </c>
      <c r="I2996">
        <v>213.74019999999999</v>
      </c>
      <c r="J2996">
        <v>-429.09699999999998</v>
      </c>
      <c r="K2996">
        <v>1.122215</v>
      </c>
      <c r="L2996">
        <v>213.76840000000001</v>
      </c>
      <c r="M2996">
        <v>0.99958670000000005</v>
      </c>
      <c r="N2996">
        <v>-9.1701749999999992E-3</v>
      </c>
      <c r="O2996">
        <v>2.7245559999999999E-2</v>
      </c>
      <c r="P2996">
        <v>0.9790394</v>
      </c>
      <c r="Q2996">
        <v>0.19590840000000001</v>
      </c>
      <c r="R2996">
        <v>5.5696240000000001E-2</v>
      </c>
      <c r="S2996">
        <v>3.2415159999999998</v>
      </c>
      <c r="T2996">
        <v>-0.87674810000000003</v>
      </c>
      <c r="U2996">
        <v>-8.2046510000000003E-2</v>
      </c>
      <c r="V2996">
        <v>-2.963874E-2</v>
      </c>
      <c r="W2996">
        <v>0.20479739999999999</v>
      </c>
      <c r="X2996">
        <v>0.97835550000000004</v>
      </c>
      <c r="Y2996">
        <v>4.9768180000000002E-2</v>
      </c>
      <c r="Z2996">
        <v>-1.383557E-2</v>
      </c>
      <c r="AA2996">
        <v>0.99866500000000002</v>
      </c>
      <c r="AB2996">
        <v>33</v>
      </c>
      <c r="AC2996">
        <v>0.36750000000000599</v>
      </c>
      <c r="AD2996">
        <v>-0.18920429999999999</v>
      </c>
      <c r="AE2996">
        <v>-2.82000000000266E-2</v>
      </c>
      <c r="AF2996">
        <v>3.0235364765835299E-2</v>
      </c>
      <c r="AG2996">
        <v>-0.18920429999999999</v>
      </c>
      <c r="AH2996">
        <v>0.29014025778359398</v>
      </c>
      <c r="AI2996">
        <v>122.967480635218</v>
      </c>
      <c r="AJ2996">
        <v>84.050710386789802</v>
      </c>
      <c r="AK2996">
        <v>0.34769787691003201</v>
      </c>
      <c r="AL2996">
        <v>78.182360188944898</v>
      </c>
      <c r="AM2996">
        <v>91.735213320703096</v>
      </c>
      <c r="AN2996">
        <v>0.99999995716789702</v>
      </c>
    </row>
    <row r="2997" spans="1:40" x14ac:dyDescent="0.25">
      <c r="A2997" t="str">
        <f>"20190303162838226"</f>
        <v>20190303162838226</v>
      </c>
      <c r="B2997" t="str">
        <f>"1551601718214796"</f>
        <v>1551601718214796</v>
      </c>
      <c r="C2997" t="s">
        <v>40</v>
      </c>
      <c r="D2997">
        <v>4.7053739999999999</v>
      </c>
      <c r="E2997">
        <v>0.51079679999999905</v>
      </c>
      <c r="F2997" t="s">
        <v>49</v>
      </c>
      <c r="G2997">
        <v>-413.31950000000001</v>
      </c>
      <c r="H2997" s="1">
        <v>2.8443489999999999E-6</v>
      </c>
      <c r="I2997">
        <v>214.047</v>
      </c>
      <c r="J2997">
        <v>-428.7756</v>
      </c>
      <c r="K2997">
        <v>1.1220810000000001</v>
      </c>
      <c r="L2997">
        <v>213.7784</v>
      </c>
      <c r="M2997">
        <v>0.99955490000000002</v>
      </c>
      <c r="N2997">
        <v>-9.1599439999999997E-3</v>
      </c>
      <c r="O2997">
        <v>2.839417E-2</v>
      </c>
      <c r="P2997">
        <v>0.97896879999999997</v>
      </c>
      <c r="Q2997">
        <v>0.19551579999999999</v>
      </c>
      <c r="R2997">
        <v>5.8258820000000003E-2</v>
      </c>
      <c r="S2997">
        <v>3.1053160000000002</v>
      </c>
      <c r="T2997">
        <v>-0.22087280000000001</v>
      </c>
      <c r="U2997">
        <v>5.4840090000000001E-2</v>
      </c>
      <c r="V2997">
        <v>-3.100963E-2</v>
      </c>
      <c r="W2997">
        <v>0.20440069999999999</v>
      </c>
      <c r="X2997">
        <v>0.97839600000000004</v>
      </c>
      <c r="Y2997">
        <v>1.0655950000000001E-2</v>
      </c>
      <c r="Z2997">
        <v>-2.1840700000000002E-3</v>
      </c>
      <c r="AA2997">
        <v>0.99994079999999996</v>
      </c>
      <c r="AB2997">
        <v>33</v>
      </c>
      <c r="AC2997">
        <v>15.4560999999999</v>
      </c>
      <c r="AD2997">
        <v>-1.12207815565099</v>
      </c>
      <c r="AE2997">
        <v>0.26859999999999201</v>
      </c>
      <c r="AF2997">
        <v>0.169496770147398</v>
      </c>
      <c r="AG2997">
        <v>-1.12207815565099</v>
      </c>
      <c r="AH2997">
        <v>15.376478390824399</v>
      </c>
      <c r="AI2997">
        <v>94.173432992113604</v>
      </c>
      <c r="AJ2997">
        <v>89.368447312253807</v>
      </c>
      <c r="AK2997">
        <v>15.4182968010727</v>
      </c>
      <c r="AL2997">
        <v>78.205581003934697</v>
      </c>
      <c r="AM2997">
        <v>91.815345072097998</v>
      </c>
      <c r="AN2997">
        <v>0.99999998806461299</v>
      </c>
    </row>
    <row r="2998" spans="1:40" x14ac:dyDescent="0.25">
      <c r="A2998" t="str">
        <f>"20190303162838247"</f>
        <v>20190303162838247</v>
      </c>
      <c r="B2998" t="str">
        <f>"1551601718234316"</f>
        <v>1551601718234316</v>
      </c>
      <c r="C2998" t="s">
        <v>40</v>
      </c>
      <c r="D2998">
        <v>4.7422800000000001</v>
      </c>
      <c r="E2998">
        <v>0.51004899999999997</v>
      </c>
      <c r="F2998" t="s">
        <v>49</v>
      </c>
      <c r="G2998">
        <v>-406.38440000000003</v>
      </c>
      <c r="H2998" s="1">
        <v>5.5989199999999996E-6</v>
      </c>
      <c r="I2998">
        <v>214.4813</v>
      </c>
      <c r="J2998">
        <v>-428.45249999999999</v>
      </c>
      <c r="K2998">
        <v>1.1219440000000001</v>
      </c>
      <c r="L2998">
        <v>213.7885</v>
      </c>
      <c r="M2998">
        <v>0.99952600000000003</v>
      </c>
      <c r="N2998">
        <v>-9.1509120000000006E-3</v>
      </c>
      <c r="O2998">
        <v>2.9395620000000001E-2</v>
      </c>
      <c r="P2998">
        <v>0.9790333</v>
      </c>
      <c r="Q2998">
        <v>0.19468269999999999</v>
      </c>
      <c r="R2998">
        <v>5.9937070000000002E-2</v>
      </c>
      <c r="S2998">
        <v>3.089569</v>
      </c>
      <c r="T2998">
        <v>-0.15482570000000001</v>
      </c>
      <c r="U2998">
        <v>9.7000119999999995E-2</v>
      </c>
      <c r="V2998">
        <v>-3.1635719999999999E-2</v>
      </c>
      <c r="W2998">
        <v>0.20356830000000001</v>
      </c>
      <c r="X2998">
        <v>0.97854949999999996</v>
      </c>
      <c r="Y2998">
        <v>-2.0062359999999998E-3</v>
      </c>
      <c r="Z2998">
        <v>-1.143198E-3</v>
      </c>
      <c r="AA2998">
        <v>0.99999729999999998</v>
      </c>
      <c r="AB2998">
        <v>33</v>
      </c>
      <c r="AC2998">
        <v>22.068099999999902</v>
      </c>
      <c r="AD2998">
        <v>-1.12193840108</v>
      </c>
      <c r="AE2998">
        <v>0.69280000000000497</v>
      </c>
      <c r="AF2998">
        <v>-4.3655238134867998E-2</v>
      </c>
      <c r="AG2998">
        <v>-1.12193840108</v>
      </c>
      <c r="AH2998">
        <v>22.022064604426902</v>
      </c>
      <c r="AI2998">
        <v>92.916469542201995</v>
      </c>
      <c r="AJ2998">
        <v>90.113579615141504</v>
      </c>
      <c r="AK2998">
        <v>22.0506684932041</v>
      </c>
      <c r="AL2998">
        <v>78.254298453287106</v>
      </c>
      <c r="AM2998">
        <v>91.851681636936604</v>
      </c>
      <c r="AN2998">
        <v>0.99999999774752901</v>
      </c>
    </row>
    <row r="2999" spans="1:40" x14ac:dyDescent="0.25">
      <c r="A2999" t="str">
        <f>"20190303162838270"</f>
        <v>20190303162838270</v>
      </c>
      <c r="B2999" t="str">
        <f>"1551601718264571"</f>
        <v>1551601718264571</v>
      </c>
      <c r="C2999" t="s">
        <v>40</v>
      </c>
      <c r="D2999">
        <v>4.7551880000000004</v>
      </c>
      <c r="E2999">
        <v>0.50980340000000002</v>
      </c>
      <c r="F2999" t="s">
        <v>49</v>
      </c>
      <c r="G2999">
        <v>-405.47919999999999</v>
      </c>
      <c r="H2999" s="1">
        <v>5.9784619999999998E-6</v>
      </c>
      <c r="I2999">
        <v>214.5872</v>
      </c>
      <c r="J2999">
        <v>-428.11610000000002</v>
      </c>
      <c r="K2999">
        <v>1.121807</v>
      </c>
      <c r="L2999">
        <v>213.79929999999999</v>
      </c>
      <c r="M2999">
        <v>0.99950030000000001</v>
      </c>
      <c r="N2999">
        <v>-9.1426619999999993E-3</v>
      </c>
      <c r="O2999">
        <v>3.0259419999999999E-2</v>
      </c>
      <c r="P2999">
        <v>0.97908510000000004</v>
      </c>
      <c r="Q2999">
        <v>0.19405639999999999</v>
      </c>
      <c r="R2999">
        <v>6.1110589999999999E-2</v>
      </c>
      <c r="S2999">
        <v>3.0876459999999999</v>
      </c>
      <c r="T2999">
        <v>-0.1507906</v>
      </c>
      <c r="U2999">
        <v>0.1073456</v>
      </c>
      <c r="V2999">
        <v>-3.189144E-2</v>
      </c>
      <c r="W2999">
        <v>0.2029446</v>
      </c>
      <c r="X2999">
        <v>0.97867079999999995</v>
      </c>
      <c r="Y2999">
        <v>-4.5042490000000001E-3</v>
      </c>
      <c r="Z2999">
        <v>-1.0690750000000001E-3</v>
      </c>
      <c r="AA2999">
        <v>0.99998929999999997</v>
      </c>
      <c r="AB2999">
        <v>33</v>
      </c>
      <c r="AC2999">
        <v>22.636900000000001</v>
      </c>
      <c r="AD2999">
        <v>-1.1218010215379901</v>
      </c>
      <c r="AE2999">
        <v>0.78790000000000704</v>
      </c>
      <c r="AF2999">
        <v>-0.102280224845693</v>
      </c>
      <c r="AG2999">
        <v>-1.1218010215379901</v>
      </c>
      <c r="AH2999">
        <v>22.5949534590066</v>
      </c>
      <c r="AI2999">
        <v>92.842275112036006</v>
      </c>
      <c r="AJ2999">
        <v>90.259358143639801</v>
      </c>
      <c r="AK2999">
        <v>22.6230152851249</v>
      </c>
      <c r="AL2999">
        <v>78.290796368259393</v>
      </c>
      <c r="AM2999">
        <v>91.8664075350042</v>
      </c>
      <c r="AN2999">
        <v>1.0000000546935299</v>
      </c>
    </row>
    <row r="3000" spans="1:40" x14ac:dyDescent="0.25">
      <c r="A3000" t="str">
        <f>"20190303162838293"</f>
        <v>20190303162838293</v>
      </c>
      <c r="B3000" t="str">
        <f>"1551601718284091"</f>
        <v>1551601718284091</v>
      </c>
      <c r="C3000" t="s">
        <v>40</v>
      </c>
      <c r="D3000">
        <v>4.7360340000000001</v>
      </c>
      <c r="E3000">
        <v>0.5098819</v>
      </c>
      <c r="F3000" t="s">
        <v>49</v>
      </c>
      <c r="G3000">
        <v>-405.71550000000002</v>
      </c>
      <c r="H3000" s="1">
        <v>5.8690260000000003E-6</v>
      </c>
      <c r="I3000">
        <v>214.60980000000001</v>
      </c>
      <c r="J3000">
        <v>-427.77670000000001</v>
      </c>
      <c r="K3000">
        <v>1.1216660000000001</v>
      </c>
      <c r="L3000">
        <v>213.81030000000001</v>
      </c>
      <c r="M3000">
        <v>0.99947969999999997</v>
      </c>
      <c r="N3000">
        <v>-9.1356119999999996E-3</v>
      </c>
      <c r="O3000">
        <v>3.0936269999999998E-2</v>
      </c>
      <c r="P3000">
        <v>0.97893730000000001</v>
      </c>
      <c r="Q3000">
        <v>0.1945453</v>
      </c>
      <c r="R3000">
        <v>6.1920450000000002E-2</v>
      </c>
      <c r="S3000">
        <v>3.087799</v>
      </c>
      <c r="T3000">
        <v>-0.15463379999999999</v>
      </c>
      <c r="U3000">
        <v>0.1117249</v>
      </c>
      <c r="V3000">
        <v>-3.1973500000000002E-2</v>
      </c>
      <c r="W3000">
        <v>0.20343620000000001</v>
      </c>
      <c r="X3000">
        <v>0.97856600000000005</v>
      </c>
      <c r="Y3000">
        <v>-5.2424860000000002E-3</v>
      </c>
      <c r="Z3000">
        <v>-1.1097979999999999E-3</v>
      </c>
      <c r="AA3000">
        <v>0.99998560000000003</v>
      </c>
      <c r="AB3000">
        <v>33</v>
      </c>
      <c r="AC3000">
        <v>22.0611999999999</v>
      </c>
      <c r="AD3000">
        <v>-1.121660130974</v>
      </c>
      <c r="AE3000">
        <v>0.79949999999999399</v>
      </c>
      <c r="AF3000">
        <v>-0.116297398387972</v>
      </c>
      <c r="AG3000">
        <v>-1.121660130974</v>
      </c>
      <c r="AH3000">
        <v>22.018530566151</v>
      </c>
      <c r="AI3000">
        <v>92.916179721572703</v>
      </c>
      <c r="AJ3000">
        <v>90.302621835443304</v>
      </c>
      <c r="AK3000">
        <v>22.0473883901657</v>
      </c>
      <c r="AL3000">
        <v>78.262029068908504</v>
      </c>
      <c r="AM3000">
        <v>91.871406841725999</v>
      </c>
      <c r="AN3000">
        <v>1.00000000426434</v>
      </c>
    </row>
    <row r="3001" spans="1:40" x14ac:dyDescent="0.25">
      <c r="A3001" t="str">
        <f>"20190303162838317"</f>
        <v>20190303162838317</v>
      </c>
      <c r="B3001" t="str">
        <f>"1551601718304587"</f>
        <v>1551601718304587</v>
      </c>
      <c r="C3001" t="s">
        <v>40</v>
      </c>
      <c r="D3001">
        <v>4.8513460000000004</v>
      </c>
      <c r="E3001">
        <v>0.50994379999999995</v>
      </c>
      <c r="F3001" t="s">
        <v>49</v>
      </c>
      <c r="G3001">
        <v>-405.87380000000002</v>
      </c>
      <c r="H3001" s="1">
        <v>5.7974980000000003E-6</v>
      </c>
      <c r="I3001">
        <v>214.61619999999999</v>
      </c>
      <c r="J3001">
        <v>-427.40910000000002</v>
      </c>
      <c r="K3001">
        <v>1.1214959999999901</v>
      </c>
      <c r="L3001">
        <v>213.82230000000001</v>
      </c>
      <c r="M3001">
        <v>0.99946360000000001</v>
      </c>
      <c r="N3001">
        <v>-9.12958E-3</v>
      </c>
      <c r="O3001">
        <v>3.1457579999999999E-2</v>
      </c>
      <c r="P3001">
        <v>0.97895600000000005</v>
      </c>
      <c r="Q3001">
        <v>0.19447239999999999</v>
      </c>
      <c r="R3001">
        <v>6.1854340000000001E-2</v>
      </c>
      <c r="S3001">
        <v>3.0888059999999999</v>
      </c>
      <c r="T3001">
        <v>-0.15817919999999999</v>
      </c>
      <c r="U3001">
        <v>0.113647499999999</v>
      </c>
      <c r="V3001">
        <v>-3.131834E-2</v>
      </c>
      <c r="W3001">
        <v>0.20337089999999999</v>
      </c>
      <c r="X3001">
        <v>0.97860069999999999</v>
      </c>
      <c r="Y3001">
        <v>-5.3321920000000004E-3</v>
      </c>
      <c r="Z3001">
        <v>-1.1611359999999999E-3</v>
      </c>
      <c r="AA3001">
        <v>0.99998509999999996</v>
      </c>
      <c r="AB3001">
        <v>33</v>
      </c>
      <c r="AC3001">
        <v>21.535299999999999</v>
      </c>
      <c r="AD3001">
        <v>-1.1214902025019999</v>
      </c>
      <c r="AE3001">
        <v>0.79389999999997896</v>
      </c>
      <c r="AF3001">
        <v>-0.115717142382695</v>
      </c>
      <c r="AG3001">
        <v>-1.1214902025019999</v>
      </c>
      <c r="AH3001">
        <v>21.4914107166164</v>
      </c>
      <c r="AI3001">
        <v>92.987123414240102</v>
      </c>
      <c r="AJ3001">
        <v>90.308497189547893</v>
      </c>
      <c r="AK3001">
        <v>21.520963392042699</v>
      </c>
      <c r="AL3001">
        <v>78.265849670778906</v>
      </c>
      <c r="AM3001">
        <v>91.833021850568201</v>
      </c>
      <c r="AN3001">
        <v>0.999999945713826</v>
      </c>
    </row>
    <row r="3002" spans="1:40" x14ac:dyDescent="0.25">
      <c r="A3002" t="str">
        <f>"20190303162838339"</f>
        <v>20190303162838339</v>
      </c>
      <c r="B3002" t="str">
        <f>"1551601718324684"</f>
        <v>1551601718324684</v>
      </c>
      <c r="C3002" t="s">
        <v>40</v>
      </c>
      <c r="D3002">
        <v>5.2211360000000004</v>
      </c>
      <c r="E3002">
        <v>0.5098222</v>
      </c>
      <c r="F3002" t="s">
        <v>49</v>
      </c>
      <c r="G3002">
        <v>-406.17020000000002</v>
      </c>
      <c r="H3002" s="1">
        <v>5.6686859999999997E-6</v>
      </c>
      <c r="I3002">
        <v>214.60339999999999</v>
      </c>
      <c r="J3002">
        <v>-427.09649999999999</v>
      </c>
      <c r="K3002">
        <v>1.1213599999999999</v>
      </c>
      <c r="L3002">
        <v>213.83250000000001</v>
      </c>
      <c r="M3002">
        <v>0.99945459999999997</v>
      </c>
      <c r="N3002">
        <v>-9.1257739999999997E-3</v>
      </c>
      <c r="O3002">
        <v>3.1742310000000003E-2</v>
      </c>
      <c r="P3002">
        <v>0.97913689999999998</v>
      </c>
      <c r="Q3002">
        <v>0.19381590000000001</v>
      </c>
      <c r="R3002">
        <v>6.1046530000000002E-2</v>
      </c>
      <c r="S3002">
        <v>3.0897519999999998</v>
      </c>
      <c r="T3002">
        <v>-0.16315009999999999</v>
      </c>
      <c r="U3002">
        <v>0.1136322</v>
      </c>
      <c r="V3002">
        <v>-3.0160079999999999E-2</v>
      </c>
      <c r="W3002">
        <v>0.20272280000000001</v>
      </c>
      <c r="X3002">
        <v>0.97877159999999996</v>
      </c>
      <c r="Y3002">
        <v>-5.0335479999999997E-3</v>
      </c>
      <c r="Z3002">
        <v>-1.2286759999999999E-3</v>
      </c>
      <c r="AA3002">
        <v>0.99998659999999995</v>
      </c>
      <c r="AB3002">
        <v>33</v>
      </c>
      <c r="AC3002">
        <v>20.926299999999902</v>
      </c>
      <c r="AD3002">
        <v>-1.121354331314</v>
      </c>
      <c r="AE3002">
        <v>0.77089999999998304</v>
      </c>
      <c r="AF3002">
        <v>-0.105931091117054</v>
      </c>
      <c r="AG3002">
        <v>-1.121354331314</v>
      </c>
      <c r="AH3002">
        <v>20.880349664676299</v>
      </c>
      <c r="AI3002">
        <v>93.074009156684994</v>
      </c>
      <c r="AJ3002">
        <v>90.290672927774906</v>
      </c>
      <c r="AK3002">
        <v>20.910706804208498</v>
      </c>
      <c r="AL3002">
        <v>78.303773746833798</v>
      </c>
      <c r="AM3002">
        <v>91.764966075480004</v>
      </c>
      <c r="AN3002">
        <v>1.000000004516</v>
      </c>
    </row>
    <row r="3003" spans="1:40" x14ac:dyDescent="0.25">
      <c r="A3003" t="str">
        <f>"20190303162838360"</f>
        <v>20190303162838360</v>
      </c>
      <c r="B3003" t="str">
        <f>"1551601718353966"</f>
        <v>1551601718353966</v>
      </c>
      <c r="C3003" t="s">
        <v>40</v>
      </c>
      <c r="D3003">
        <v>4.8827559999999997</v>
      </c>
      <c r="E3003">
        <v>0.50946999999999998</v>
      </c>
      <c r="F3003" t="s">
        <v>49</v>
      </c>
      <c r="G3003">
        <v>-405.86259999999999</v>
      </c>
      <c r="H3003" s="1">
        <v>5.8048459999999999E-6</v>
      </c>
      <c r="I3003">
        <v>214.6046</v>
      </c>
      <c r="J3003">
        <v>-426.7756</v>
      </c>
      <c r="K3003">
        <v>1.121235</v>
      </c>
      <c r="L3003">
        <v>213.84289999999999</v>
      </c>
      <c r="M3003">
        <v>0.99944880000000003</v>
      </c>
      <c r="N3003">
        <v>-9.1229770000000009E-3</v>
      </c>
      <c r="O3003">
        <v>3.1920650000000002E-2</v>
      </c>
      <c r="P3003">
        <v>0.97956200000000004</v>
      </c>
      <c r="Q3003">
        <v>0.19215760000000001</v>
      </c>
      <c r="R3003">
        <v>5.9445640000000001E-2</v>
      </c>
      <c r="S3003">
        <v>3.0892029999999999</v>
      </c>
      <c r="T3003">
        <v>-0.1631396</v>
      </c>
      <c r="U3003">
        <v>0.112335199999999</v>
      </c>
      <c r="V3003">
        <v>-2.8310439999999999E-2</v>
      </c>
      <c r="W3003">
        <v>0.20107610000000001</v>
      </c>
      <c r="X3003">
        <v>0.97916639999999999</v>
      </c>
      <c r="Y3003">
        <v>-4.443504E-3</v>
      </c>
      <c r="Z3003">
        <v>-1.2549939999999999E-3</v>
      </c>
      <c r="AA3003">
        <v>0.99998929999999997</v>
      </c>
      <c r="AB3003">
        <v>33</v>
      </c>
      <c r="AC3003">
        <v>20.913</v>
      </c>
      <c r="AD3003">
        <v>-1.1212291951540001</v>
      </c>
      <c r="AE3003">
        <v>0.76170000000001803</v>
      </c>
      <c r="AF3003">
        <v>-9.3459206418208596E-2</v>
      </c>
      <c r="AG3003">
        <v>-1.1212291951540001</v>
      </c>
      <c r="AH3003">
        <v>20.8667557784667</v>
      </c>
      <c r="AI3003">
        <v>93.075674020595002</v>
      </c>
      <c r="AJ3003">
        <v>90.256617863146602</v>
      </c>
      <c r="AK3003">
        <v>20.897066450808499</v>
      </c>
      <c r="AL3003">
        <v>78.400106036763603</v>
      </c>
      <c r="AM3003">
        <v>91.656119905000097</v>
      </c>
      <c r="AN3003">
        <v>0.999999958946581</v>
      </c>
    </row>
    <row r="3004" spans="1:40" x14ac:dyDescent="0.25">
      <c r="A3004" t="str">
        <f>"20190303162838406"</f>
        <v>20190303162838406</v>
      </c>
      <c r="B3004" t="str">
        <f>"1551601718393980"</f>
        <v>1551601718393980</v>
      </c>
      <c r="C3004" t="s">
        <v>40</v>
      </c>
      <c r="D3004">
        <v>4.843585</v>
      </c>
      <c r="E3004">
        <v>0.50924799999999903</v>
      </c>
      <c r="F3004" t="s">
        <v>49</v>
      </c>
      <c r="G3004">
        <v>-405.29149999999998</v>
      </c>
      <c r="H3004" s="1">
        <v>6.0556759999999997E-6</v>
      </c>
      <c r="I3004">
        <v>214.6164</v>
      </c>
      <c r="J3004">
        <v>-426.09449999999998</v>
      </c>
      <c r="K3004">
        <v>1.121046</v>
      </c>
      <c r="L3004">
        <v>213.86490000000001</v>
      </c>
      <c r="M3004">
        <v>0.99944449999999996</v>
      </c>
      <c r="N3004">
        <v>-9.1205309999999994E-3</v>
      </c>
      <c r="O3004">
        <v>3.2052039999999997E-2</v>
      </c>
      <c r="P3004">
        <v>0.98054319999999895</v>
      </c>
      <c r="Q3004">
        <v>0.18879209999999999</v>
      </c>
      <c r="R3004">
        <v>5.3782480000000001E-2</v>
      </c>
      <c r="S3004">
        <v>3.0874329999999999</v>
      </c>
      <c r="T3004">
        <v>-0.16112899999999999</v>
      </c>
      <c r="U3004">
        <v>0.1111603</v>
      </c>
      <c r="V3004">
        <v>-2.2404730000000001E-2</v>
      </c>
      <c r="W3004">
        <v>0.19772960000000001</v>
      </c>
      <c r="X3004">
        <v>0.9800006</v>
      </c>
      <c r="Y3004">
        <v>-3.9530190000000003E-3</v>
      </c>
      <c r="Z3004">
        <v>-1.257366E-3</v>
      </c>
      <c r="AA3004">
        <v>0.99999139999999997</v>
      </c>
      <c r="AB3004">
        <v>33</v>
      </c>
      <c r="AC3004">
        <v>20.803000000000001</v>
      </c>
      <c r="AD3004">
        <v>-1.121039944324</v>
      </c>
      <c r="AE3004">
        <v>0.75149999999999195</v>
      </c>
      <c r="AF3004">
        <v>-8.4063668405713998E-2</v>
      </c>
      <c r="AG3004">
        <v>-1.121039944324</v>
      </c>
      <c r="AH3004">
        <v>20.756202097549199</v>
      </c>
      <c r="AI3004">
        <v>93.091509023358498</v>
      </c>
      <c r="AJ3004">
        <v>90.232049536462497</v>
      </c>
      <c r="AK3004">
        <v>20.786623650112599</v>
      </c>
      <c r="AL3004">
        <v>78.595777296969104</v>
      </c>
      <c r="AM3004">
        <v>91.309665413254606</v>
      </c>
      <c r="AN3004">
        <v>1.0000000713214401</v>
      </c>
    </row>
    <row r="3005" spans="1:40" x14ac:dyDescent="0.25">
      <c r="A3005" t="str">
        <f>"20190303162838427"</f>
        <v>20190303162838427</v>
      </c>
      <c r="B3005" t="str">
        <f>"1551601718414514"</f>
        <v>1551601718414514</v>
      </c>
      <c r="C3005" t="s">
        <v>40</v>
      </c>
      <c r="D3005">
        <v>4.895321</v>
      </c>
      <c r="E3005">
        <v>0.5089669</v>
      </c>
      <c r="F3005" t="s">
        <v>49</v>
      </c>
      <c r="G3005">
        <v>-405.39449999999999</v>
      </c>
      <c r="H3005" s="1">
        <v>6.0292200000000004E-6</v>
      </c>
      <c r="I3005">
        <v>214.52340000000001</v>
      </c>
      <c r="J3005">
        <v>-425.7756</v>
      </c>
      <c r="K3005">
        <v>1.1209990000000001</v>
      </c>
      <c r="L3005">
        <v>213.87520000000001</v>
      </c>
      <c r="M3005">
        <v>0.99944469999999996</v>
      </c>
      <c r="N3005">
        <v>-9.1254100000000005E-3</v>
      </c>
      <c r="O3005">
        <v>3.2049569999999999E-2</v>
      </c>
      <c r="P3005">
        <v>0.98070599999999997</v>
      </c>
      <c r="Q3005">
        <v>0.1884644</v>
      </c>
      <c r="R3005">
        <v>5.1937049999999998E-2</v>
      </c>
      <c r="S3005">
        <v>3.0863649999999998</v>
      </c>
      <c r="T3005">
        <v>-0.16714679999999901</v>
      </c>
      <c r="U3005">
        <v>9.8190310000000003E-2</v>
      </c>
      <c r="V3005">
        <v>-2.0535890000000001E-2</v>
      </c>
      <c r="W3005">
        <v>0.19741030000000001</v>
      </c>
      <c r="X3005">
        <v>0.98010580000000003</v>
      </c>
      <c r="Y3005">
        <v>2.2010479999999999E-4</v>
      </c>
      <c r="Z3005">
        <v>-1.448207E-3</v>
      </c>
      <c r="AA3005">
        <v>0.99999890000000002</v>
      </c>
      <c r="AB3005">
        <v>34</v>
      </c>
      <c r="AC3005">
        <v>20.3811</v>
      </c>
      <c r="AD3005">
        <v>-1.1209929707799999</v>
      </c>
      <c r="AE3005">
        <v>0.648200000000002</v>
      </c>
      <c r="AF3005">
        <v>5.34949277903728E-3</v>
      </c>
      <c r="AG3005">
        <v>-1.1209929707799999</v>
      </c>
      <c r="AH3005">
        <v>20.3299647965116</v>
      </c>
      <c r="AI3005">
        <v>93.156089527388403</v>
      </c>
      <c r="AJ3005">
        <v>89.984923567021895</v>
      </c>
      <c r="AK3005">
        <v>20.360847784044001</v>
      </c>
      <c r="AL3005">
        <v>78.614438461279306</v>
      </c>
      <c r="AM3005">
        <v>91.200327235687794</v>
      </c>
      <c r="AN3005">
        <v>0.99999996425891002</v>
      </c>
    </row>
    <row r="3006" spans="1:40" x14ac:dyDescent="0.25">
      <c r="A3006" t="str">
        <f>"20190303162838449"</f>
        <v>20190303162838449</v>
      </c>
      <c r="B3006" t="str">
        <f>"1551601718434010"</f>
        <v>1551601718434010</v>
      </c>
      <c r="C3006" t="s">
        <v>40</v>
      </c>
      <c r="D3006">
        <v>4.8899629999999998</v>
      </c>
      <c r="E3006">
        <v>0.5089958</v>
      </c>
      <c r="F3006" t="s">
        <v>49</v>
      </c>
      <c r="G3006">
        <v>-404.73630000000003</v>
      </c>
      <c r="H3006" s="1">
        <v>6.322178E-6</v>
      </c>
      <c r="I3006">
        <v>214.51820000000001</v>
      </c>
      <c r="J3006">
        <v>-425.45179999999999</v>
      </c>
      <c r="K3006">
        <v>1.1209750000000001</v>
      </c>
      <c r="L3006">
        <v>213.88560000000001</v>
      </c>
      <c r="M3006">
        <v>0.99944520000000003</v>
      </c>
      <c r="N3006">
        <v>-9.1353790000000008E-3</v>
      </c>
      <c r="O3006">
        <v>3.2031900000000002E-2</v>
      </c>
      <c r="P3006">
        <v>0.98071339999999996</v>
      </c>
      <c r="Q3006">
        <v>0.1886776</v>
      </c>
      <c r="R3006">
        <v>5.1014070000000002E-2</v>
      </c>
      <c r="S3006">
        <v>3.0856629999999998</v>
      </c>
      <c r="T3006">
        <v>-0.16440669999999999</v>
      </c>
      <c r="U3006">
        <v>9.4314579999999995E-2</v>
      </c>
      <c r="V3006">
        <v>-1.96157E-2</v>
      </c>
      <c r="W3006">
        <v>0.1976347</v>
      </c>
      <c r="X3006">
        <v>0.98007949999999999</v>
      </c>
      <c r="Y3006">
        <v>1.4492680000000001E-3</v>
      </c>
      <c r="Z3006">
        <v>-1.4573889999999999E-3</v>
      </c>
      <c r="AA3006">
        <v>0.9999979</v>
      </c>
      <c r="AB3006">
        <v>34</v>
      </c>
      <c r="AC3006">
        <v>20.715499999999899</v>
      </c>
      <c r="AD3006">
        <v>-1.120968677822</v>
      </c>
      <c r="AE3006">
        <v>0.63259999999999605</v>
      </c>
      <c r="AF3006">
        <v>3.1217768459570399E-2</v>
      </c>
      <c r="AG3006">
        <v>-1.120968677822</v>
      </c>
      <c r="AH3006">
        <v>20.6646798213396</v>
      </c>
      <c r="AI3006">
        <v>93.104999207125303</v>
      </c>
      <c r="AJ3006">
        <v>89.9134443391644</v>
      </c>
      <c r="AK3006">
        <v>20.695084861971601</v>
      </c>
      <c r="AL3006">
        <v>78.601323745066296</v>
      </c>
      <c r="AM3006">
        <v>91.1465873834984</v>
      </c>
      <c r="AN3006">
        <v>1.00000003832541</v>
      </c>
    </row>
    <row r="3007" spans="1:40" x14ac:dyDescent="0.25">
      <c r="A3007" t="str">
        <f>"20190303162838472"</f>
        <v>20190303162838472</v>
      </c>
      <c r="B3007" t="str">
        <f>"1551601718464266"</f>
        <v>1551601718464266</v>
      </c>
      <c r="C3007" t="s">
        <v>40</v>
      </c>
      <c r="D3007">
        <v>4.898218</v>
      </c>
      <c r="E3007">
        <v>0.50882349999999998</v>
      </c>
      <c r="F3007" t="s">
        <v>49</v>
      </c>
      <c r="G3007">
        <v>-403.86930000000001</v>
      </c>
      <c r="H3007" s="1">
        <v>6.7067289999999998E-6</v>
      </c>
      <c r="I3007">
        <v>214.51779999999999</v>
      </c>
      <c r="J3007">
        <v>-425.10250000000002</v>
      </c>
      <c r="K3007">
        <v>1.120954</v>
      </c>
      <c r="L3007">
        <v>213.89680000000001</v>
      </c>
      <c r="M3007">
        <v>0.99944569999999999</v>
      </c>
      <c r="N3007">
        <v>-9.1544039999999997E-3</v>
      </c>
      <c r="O3007">
        <v>3.2010980000000001E-2</v>
      </c>
      <c r="P3007">
        <v>0.98054839999999999</v>
      </c>
      <c r="Q3007">
        <v>0.1896593</v>
      </c>
      <c r="R3007">
        <v>5.0542009999999998E-2</v>
      </c>
      <c r="S3007">
        <v>3.0851139999999999</v>
      </c>
      <c r="T3007">
        <v>-0.1602372</v>
      </c>
      <c r="U3007">
        <v>9.0377810000000003E-2</v>
      </c>
      <c r="V3007">
        <v>-1.9157489999999999E-2</v>
      </c>
      <c r="W3007">
        <v>0.19863529999999999</v>
      </c>
      <c r="X3007">
        <v>0.97988620000000004</v>
      </c>
      <c r="Y3007">
        <v>2.6978499999999999E-3</v>
      </c>
      <c r="Z3007">
        <v>-1.4501970000000001E-3</v>
      </c>
      <c r="AA3007">
        <v>0.99999530000000003</v>
      </c>
      <c r="AB3007">
        <v>34</v>
      </c>
      <c r="AC3007">
        <v>21.2332</v>
      </c>
      <c r="AD3007">
        <v>-1.1209472932709901</v>
      </c>
      <c r="AE3007">
        <v>0.62099999999998001</v>
      </c>
      <c r="AF3007">
        <v>5.8878274095680597E-2</v>
      </c>
      <c r="AG3007">
        <v>-1.1209472932709901</v>
      </c>
      <c r="AH3007">
        <v>21.183209599864799</v>
      </c>
      <c r="AI3007">
        <v>93.029071395379503</v>
      </c>
      <c r="AJ3007">
        <v>89.840748026989502</v>
      </c>
      <c r="AK3007">
        <v>21.2129290395564</v>
      </c>
      <c r="AL3007">
        <v>78.542833317473097</v>
      </c>
      <c r="AM3007">
        <v>91.120031595524694</v>
      </c>
      <c r="AN3007">
        <v>0.99999997838981403</v>
      </c>
    </row>
    <row r="3008" spans="1:40" x14ac:dyDescent="0.25">
      <c r="A3008" t="str">
        <f>"20190303162838494"</f>
        <v>20190303162838494</v>
      </c>
      <c r="B3008" t="str">
        <f>"1551601718484762"</f>
        <v>1551601718484762</v>
      </c>
      <c r="C3008" t="s">
        <v>40</v>
      </c>
      <c r="D3008">
        <v>4.8811619999999998</v>
      </c>
      <c r="E3008">
        <v>0.5089302</v>
      </c>
      <c r="F3008" t="s">
        <v>49</v>
      </c>
      <c r="G3008">
        <v>-402.37349999999998</v>
      </c>
      <c r="H3008" s="1">
        <v>7.3625329999999997E-6</v>
      </c>
      <c r="I3008">
        <v>214.55420000000001</v>
      </c>
      <c r="J3008">
        <v>-424.76670000000001</v>
      </c>
      <c r="K3008">
        <v>1.1209359999999999</v>
      </c>
      <c r="L3008">
        <v>213.9076</v>
      </c>
      <c r="M3008">
        <v>0.99944580000000005</v>
      </c>
      <c r="N3008">
        <v>-9.1804690000000001E-3</v>
      </c>
      <c r="O3008">
        <v>3.1996579999999997E-2</v>
      </c>
      <c r="P3008">
        <v>0.98043899999999995</v>
      </c>
      <c r="Q3008">
        <v>0.19005949999999999</v>
      </c>
      <c r="R3008">
        <v>5.1154989999999997E-2</v>
      </c>
      <c r="S3008">
        <v>3.084381</v>
      </c>
      <c r="T3008">
        <v>-0.1521151</v>
      </c>
      <c r="U3008">
        <v>8.9218140000000001E-2</v>
      </c>
      <c r="V3008">
        <v>-1.977812E-2</v>
      </c>
      <c r="W3008">
        <v>0.1990606</v>
      </c>
      <c r="X3008">
        <v>0.97978759999999998</v>
      </c>
      <c r="Y3008">
        <v>3.0555510000000001E-3</v>
      </c>
      <c r="Z3008">
        <v>-1.3720410000000001E-3</v>
      </c>
      <c r="AA3008">
        <v>0.99999439999999995</v>
      </c>
      <c r="AB3008">
        <v>34</v>
      </c>
      <c r="AC3008">
        <v>22.3932</v>
      </c>
      <c r="AD3008">
        <v>-1.120928637467</v>
      </c>
      <c r="AE3008">
        <v>0.64660000000000595</v>
      </c>
      <c r="AF3008">
        <v>7.0091643095970699E-2</v>
      </c>
      <c r="AG3008">
        <v>-1.120928637467</v>
      </c>
      <c r="AH3008">
        <v>22.346476873179999</v>
      </c>
      <c r="AI3008">
        <v>92.871610597569102</v>
      </c>
      <c r="AJ3008">
        <v>89.820287458218999</v>
      </c>
      <c r="AK3008">
        <v>22.374682623275199</v>
      </c>
      <c r="AL3008">
        <v>78.517969358201199</v>
      </c>
      <c r="AM3008">
        <v>91.156423005579001</v>
      </c>
      <c r="AN3008">
        <v>1.0000000188084199</v>
      </c>
    </row>
    <row r="3009" spans="1:40" x14ac:dyDescent="0.25">
      <c r="A3009" t="str">
        <f>"20190303162838518"</f>
        <v>20190303162838518</v>
      </c>
      <c r="B3009" t="str">
        <f>"1551601718504282"</f>
        <v>1551601718504282</v>
      </c>
      <c r="C3009" t="s">
        <v>40</v>
      </c>
      <c r="D3009">
        <v>4.8373900000000001</v>
      </c>
      <c r="E3009">
        <v>0.50907619999999998</v>
      </c>
      <c r="F3009" t="s">
        <v>49</v>
      </c>
      <c r="G3009">
        <v>-401.50150000000002</v>
      </c>
      <c r="H3009" s="1">
        <v>7.7433560000000007E-6</v>
      </c>
      <c r="I3009">
        <v>214.58269999999999</v>
      </c>
      <c r="J3009">
        <v>-424.3954</v>
      </c>
      <c r="K3009">
        <v>1.1209229999999999</v>
      </c>
      <c r="L3009">
        <v>213.9195</v>
      </c>
      <c r="M3009">
        <v>0.9994459</v>
      </c>
      <c r="N3009">
        <v>-9.2158199999999996E-3</v>
      </c>
      <c r="O3009">
        <v>3.1988700000000002E-2</v>
      </c>
      <c r="P3009">
        <v>0.98040559999999999</v>
      </c>
      <c r="Q3009">
        <v>0.1899277</v>
      </c>
      <c r="R3009">
        <v>5.2273420000000001E-2</v>
      </c>
      <c r="S3009">
        <v>3.084015</v>
      </c>
      <c r="T3009">
        <v>-0.1485891</v>
      </c>
      <c r="U3009">
        <v>8.9492799999999997E-2</v>
      </c>
      <c r="V3009">
        <v>-2.089653E-2</v>
      </c>
      <c r="W3009">
        <v>0.19896430000000001</v>
      </c>
      <c r="X3009">
        <v>0.97978399999999999</v>
      </c>
      <c r="Y3009">
        <v>2.9570640000000001E-3</v>
      </c>
      <c r="Z3009">
        <v>-1.3297750000000001E-3</v>
      </c>
      <c r="AA3009">
        <v>0.99999479999999996</v>
      </c>
      <c r="AB3009">
        <v>34</v>
      </c>
      <c r="AC3009">
        <v>22.893899999999899</v>
      </c>
      <c r="AD3009">
        <v>-1.1209152566439999</v>
      </c>
      <c r="AE3009">
        <v>0.66319999999998902</v>
      </c>
      <c r="AF3009">
        <v>6.9350411144147306E-2</v>
      </c>
      <c r="AG3009">
        <v>-1.1209152566439999</v>
      </c>
      <c r="AH3009">
        <v>22.848671286339702</v>
      </c>
      <c r="AI3009">
        <v>92.808564626914105</v>
      </c>
      <c r="AJ3009">
        <v>89.826096072964006</v>
      </c>
      <c r="AK3009">
        <v>22.876254939200798</v>
      </c>
      <c r="AL3009">
        <v>78.523600183332107</v>
      </c>
      <c r="AM3009">
        <v>91.221801426444898</v>
      </c>
      <c r="AN3009">
        <v>1.00000007214826</v>
      </c>
    </row>
    <row r="3010" spans="1:40" x14ac:dyDescent="0.25">
      <c r="A3010" t="str">
        <f>"20190303162838540"</f>
        <v>20190303162838540</v>
      </c>
      <c r="B3010" t="str">
        <f>"1551601718534538"</f>
        <v>1551601718534538</v>
      </c>
      <c r="C3010" t="s">
        <v>40</v>
      </c>
      <c r="D3010">
        <v>4.8623799999999999</v>
      </c>
      <c r="E3010">
        <v>0.50949579999999905</v>
      </c>
      <c r="F3010" t="s">
        <v>49</v>
      </c>
      <c r="G3010">
        <v>-400.65429999999998</v>
      </c>
      <c r="H3010" s="1">
        <v>8.1097369999999992E-6</v>
      </c>
      <c r="I3010">
        <v>214.6277</v>
      </c>
      <c r="J3010">
        <v>-424.07619999999997</v>
      </c>
      <c r="K3010">
        <v>1.1209180000000001</v>
      </c>
      <c r="L3010">
        <v>213.9298</v>
      </c>
      <c r="M3010">
        <v>0.99944560000000005</v>
      </c>
      <c r="N3010">
        <v>-9.2571010000000002E-3</v>
      </c>
      <c r="O3010">
        <v>3.198807E-2</v>
      </c>
      <c r="P3010">
        <v>0.98036780000000001</v>
      </c>
      <c r="Q3010">
        <v>0.18982779999999999</v>
      </c>
      <c r="R3010">
        <v>5.3335729999999998E-2</v>
      </c>
      <c r="S3010">
        <v>3.0832519999999999</v>
      </c>
      <c r="T3010">
        <v>-0.14557290000000001</v>
      </c>
      <c r="U3010">
        <v>9.196472E-2</v>
      </c>
      <c r="V3010">
        <v>-2.1954060000000001E-2</v>
      </c>
      <c r="W3010">
        <v>0.19890550000000001</v>
      </c>
      <c r="X3010">
        <v>0.97977270000000005</v>
      </c>
      <c r="Y3010">
        <v>2.1506979999999999E-3</v>
      </c>
      <c r="Z3010">
        <v>-1.273436E-3</v>
      </c>
      <c r="AA3010">
        <v>0.99999689999999997</v>
      </c>
      <c r="AB3010">
        <v>34</v>
      </c>
      <c r="AC3010">
        <v>23.421899999999901</v>
      </c>
      <c r="AD3010">
        <v>-1.1209098902629999</v>
      </c>
      <c r="AE3010">
        <v>0.69790000000000396</v>
      </c>
      <c r="AF3010">
        <v>5.1592438211531901E-2</v>
      </c>
      <c r="AG3010">
        <v>-1.1209098902629999</v>
      </c>
      <c r="AH3010">
        <v>23.3787408415977</v>
      </c>
      <c r="AI3010">
        <v>92.744976988946405</v>
      </c>
      <c r="AJ3010">
        <v>89.873559308188405</v>
      </c>
      <c r="AK3010">
        <v>23.405653678125699</v>
      </c>
      <c r="AL3010">
        <v>78.527036594761995</v>
      </c>
      <c r="AM3010">
        <v>91.283628869898905</v>
      </c>
      <c r="AN3010">
        <v>0.99999996117301104</v>
      </c>
    </row>
    <row r="3011" spans="1:40" x14ac:dyDescent="0.25">
      <c r="A3011" t="str">
        <f>"20190303162838562"</f>
        <v>20190303162838562</v>
      </c>
      <c r="B3011" t="str">
        <f>"1551601718555034"</f>
        <v>1551601718555034</v>
      </c>
      <c r="C3011" t="s">
        <v>40</v>
      </c>
      <c r="D3011">
        <v>4.9009199999999904</v>
      </c>
      <c r="E3011">
        <v>0.50968959999999996</v>
      </c>
      <c r="F3011" t="s">
        <v>48</v>
      </c>
      <c r="G3011">
        <v>-399.7543</v>
      </c>
      <c r="H3011" s="1">
        <v>3.653973E-6</v>
      </c>
      <c r="I3011">
        <v>214.65729999999999</v>
      </c>
      <c r="J3011">
        <v>-423.73090000000002</v>
      </c>
      <c r="K3011">
        <v>1.120919</v>
      </c>
      <c r="L3011">
        <v>213.9408</v>
      </c>
      <c r="M3011">
        <v>0.99944480000000002</v>
      </c>
      <c r="N3011">
        <v>-9.3226939999999994E-3</v>
      </c>
      <c r="O3011">
        <v>3.1989980000000001E-2</v>
      </c>
      <c r="P3011">
        <v>0.98017690000000002</v>
      </c>
      <c r="Q3011">
        <v>0.19044920000000001</v>
      </c>
      <c r="R3011">
        <v>5.4611609999999998E-2</v>
      </c>
      <c r="S3011">
        <v>3.082611</v>
      </c>
      <c r="T3011">
        <v>-0.1420671</v>
      </c>
      <c r="U3011">
        <v>9.2208860000000004E-2</v>
      </c>
      <c r="V3011">
        <v>-2.3228970000000002E-2</v>
      </c>
      <c r="W3011">
        <v>0.1995905</v>
      </c>
      <c r="X3011">
        <v>0.97960400000000003</v>
      </c>
      <c r="Y3011">
        <v>2.0689469999999998E-3</v>
      </c>
      <c r="Z3011">
        <v>-1.2320059999999999E-3</v>
      </c>
      <c r="AA3011">
        <v>0.99999709999999997</v>
      </c>
      <c r="AB3011">
        <v>34</v>
      </c>
      <c r="AC3011">
        <v>23.976600000000001</v>
      </c>
      <c r="AD3011">
        <v>-1.120915346027</v>
      </c>
      <c r="AE3011">
        <v>0.71649999999999603</v>
      </c>
      <c r="AF3011">
        <v>5.0800033715480801E-2</v>
      </c>
      <c r="AG3011">
        <v>-1.120915346027</v>
      </c>
      <c r="AH3011">
        <v>23.934983680494099</v>
      </c>
      <c r="AI3011">
        <v>92.681292153239099</v>
      </c>
      <c r="AJ3011">
        <v>89.8783946043404</v>
      </c>
      <c r="AK3011">
        <v>23.961270326130499</v>
      </c>
      <c r="AL3011">
        <v>78.486986090143105</v>
      </c>
      <c r="AM3011">
        <v>91.358378052512506</v>
      </c>
      <c r="AN3011">
        <v>0.99999997477675495</v>
      </c>
    </row>
    <row r="3012" spans="1:40" x14ac:dyDescent="0.25">
      <c r="A3012" t="str">
        <f>"20190303162838584"</f>
        <v>20190303162838584</v>
      </c>
      <c r="B3012" t="str">
        <f>"1551601718574554"</f>
        <v>1551601718574554</v>
      </c>
      <c r="C3012" t="s">
        <v>40</v>
      </c>
      <c r="D3012">
        <v>5.1222969999999997</v>
      </c>
      <c r="E3012">
        <v>0.50975289999999995</v>
      </c>
      <c r="F3012" t="s">
        <v>48</v>
      </c>
      <c r="G3012">
        <v>-398.6189</v>
      </c>
      <c r="H3012" s="1">
        <v>3.0497409999999999E-6</v>
      </c>
      <c r="I3012">
        <v>214.7149</v>
      </c>
      <c r="J3012">
        <v>-423.40989999999999</v>
      </c>
      <c r="K3012">
        <v>1.120933</v>
      </c>
      <c r="L3012">
        <v>213.9511</v>
      </c>
      <c r="M3012">
        <v>0.99944390000000005</v>
      </c>
      <c r="N3012">
        <v>-9.4110440000000004E-3</v>
      </c>
      <c r="O3012">
        <v>3.1992279999999998E-2</v>
      </c>
      <c r="P3012">
        <v>0.98032739999999996</v>
      </c>
      <c r="Q3012">
        <v>0.18953139999999999</v>
      </c>
      <c r="R3012">
        <v>5.5104100000000003E-2</v>
      </c>
      <c r="S3012">
        <v>3.0821230000000002</v>
      </c>
      <c r="T3012">
        <v>-0.13757549999999999</v>
      </c>
      <c r="U3012">
        <v>9.5001219999999997E-2</v>
      </c>
      <c r="V3012">
        <v>-2.37109E-2</v>
      </c>
      <c r="W3012">
        <v>0.19876099999999999</v>
      </c>
      <c r="X3012">
        <v>0.97976110000000005</v>
      </c>
      <c r="Y3012">
        <v>1.1643929999999999E-3</v>
      </c>
      <c r="Z3012">
        <v>-1.1570980000000001E-3</v>
      </c>
      <c r="AA3012">
        <v>0.99999859999999896</v>
      </c>
      <c r="AB3012">
        <v>34</v>
      </c>
      <c r="AC3012">
        <v>24.791</v>
      </c>
      <c r="AD3012">
        <v>-1.120929950259</v>
      </c>
      <c r="AE3012">
        <v>0.76380000000000303</v>
      </c>
      <c r="AF3012">
        <v>2.9686044254534499E-2</v>
      </c>
      <c r="AG3012">
        <v>-1.120929950259</v>
      </c>
      <c r="AH3012">
        <v>24.7521898096082</v>
      </c>
      <c r="AI3012">
        <v>92.592928507412594</v>
      </c>
      <c r="AJ3012">
        <v>89.931283484661506</v>
      </c>
      <c r="AK3012">
        <v>24.777575861764198</v>
      </c>
      <c r="AL3012">
        <v>78.535484701536404</v>
      </c>
      <c r="AM3012">
        <v>91.386327108032802</v>
      </c>
      <c r="AN3012">
        <v>0.99999997748650904</v>
      </c>
    </row>
    <row r="3013" spans="1:40" x14ac:dyDescent="0.25">
      <c r="A3013" t="str">
        <f>"20190303162838605"</f>
        <v>20190303162838605</v>
      </c>
      <c r="B3013" t="str">
        <f>"1551601718594074"</f>
        <v>1551601718594074</v>
      </c>
      <c r="C3013" t="s">
        <v>40</v>
      </c>
      <c r="D3013">
        <v>4.990971</v>
      </c>
      <c r="E3013">
        <v>0.5310165</v>
      </c>
      <c r="F3013" t="s">
        <v>48</v>
      </c>
      <c r="G3013">
        <v>-398.64850000000001</v>
      </c>
      <c r="H3013" s="1">
        <v>3.0655140000000001E-6</v>
      </c>
      <c r="I3013">
        <v>214.72739999999999</v>
      </c>
      <c r="J3013">
        <v>-423.07909999999998</v>
      </c>
      <c r="K3013">
        <v>1.120949</v>
      </c>
      <c r="L3013">
        <v>213.96170000000001</v>
      </c>
      <c r="M3013">
        <v>0.99944270000000002</v>
      </c>
      <c r="N3013">
        <v>-9.5379260000000004E-3</v>
      </c>
      <c r="O3013">
        <v>3.1994290000000002E-2</v>
      </c>
      <c r="P3013">
        <v>0.98048829999999998</v>
      </c>
      <c r="Q3013">
        <v>0.1888292</v>
      </c>
      <c r="R3013">
        <v>5.4647080000000001E-2</v>
      </c>
      <c r="S3013">
        <v>3.0817570000000001</v>
      </c>
      <c r="T3013">
        <v>-0.1395091</v>
      </c>
      <c r="U3013">
        <v>9.661865E-2</v>
      </c>
      <c r="V3013">
        <v>-2.3245080000000001E-2</v>
      </c>
      <c r="W3013">
        <v>0.19818479999999999</v>
      </c>
      <c r="X3013">
        <v>0.97988900000000001</v>
      </c>
      <c r="Y3013">
        <v>6.3848829999999998E-4</v>
      </c>
      <c r="Z3013">
        <v>-1.1593409999999999E-3</v>
      </c>
      <c r="AA3013">
        <v>0.99999910000000003</v>
      </c>
      <c r="AB3013">
        <v>34</v>
      </c>
      <c r="AC3013">
        <v>24.430599999999899</v>
      </c>
      <c r="AD3013">
        <v>-1.120945934486</v>
      </c>
      <c r="AE3013">
        <v>0.76569999999998095</v>
      </c>
      <c r="AF3013">
        <v>1.63328170687723E-2</v>
      </c>
      <c r="AG3013">
        <v>-1.120945934486</v>
      </c>
      <c r="AH3013">
        <v>24.391291732269199</v>
      </c>
      <c r="AI3013">
        <v>92.631279200722204</v>
      </c>
      <c r="AJ3013">
        <v>89.961633793076402</v>
      </c>
      <c r="AK3013">
        <v>24.417041158126001</v>
      </c>
      <c r="AL3013">
        <v>78.569168893043894</v>
      </c>
      <c r="AM3013">
        <v>91.358924566937404</v>
      </c>
      <c r="AN3013">
        <v>1.00000000050812</v>
      </c>
    </row>
    <row r="3014" spans="1:40" x14ac:dyDescent="0.25">
      <c r="A3014" t="str">
        <f>"20190303162838628"</f>
        <v>20190303162838628</v>
      </c>
      <c r="B3014" t="str">
        <f>"1551601718624329"</f>
        <v>1551601718624329</v>
      </c>
      <c r="C3014" t="s">
        <v>40</v>
      </c>
      <c r="D3014">
        <v>4.9334040000000003</v>
      </c>
      <c r="E3014">
        <v>0.53795029999999999</v>
      </c>
      <c r="F3014" t="s">
        <v>44</v>
      </c>
      <c r="G3014">
        <v>-422.10039999999998</v>
      </c>
      <c r="H3014">
        <v>1.00658</v>
      </c>
      <c r="I3014">
        <v>213.93950000000001</v>
      </c>
      <c r="J3014">
        <v>-422.74720000000002</v>
      </c>
      <c r="K3014">
        <v>1.12097</v>
      </c>
      <c r="L3014">
        <v>213.97229999999999</v>
      </c>
      <c r="M3014">
        <v>0.99944109999999997</v>
      </c>
      <c r="N3014">
        <v>-9.6842999999999894E-3</v>
      </c>
      <c r="O3014">
        <v>3.1995200000000001E-2</v>
      </c>
      <c r="P3014">
        <v>0.98080219999999996</v>
      </c>
      <c r="Q3014">
        <v>0.18740370000000001</v>
      </c>
      <c r="R3014">
        <v>5.3915329999999997E-2</v>
      </c>
      <c r="S3014">
        <v>3.1342159999999999</v>
      </c>
      <c r="T3014">
        <v>-0.36635970000000001</v>
      </c>
      <c r="U3014">
        <v>-7.0236209999999993E-2</v>
      </c>
      <c r="V3014">
        <v>-2.2501520000000001E-2</v>
      </c>
      <c r="W3014">
        <v>0.19690589999999999</v>
      </c>
      <c r="X3014">
        <v>0.98016420000000004</v>
      </c>
      <c r="Y3014">
        <v>5.3801210000000002E-2</v>
      </c>
      <c r="Z3014">
        <v>-6.8126389999999997E-3</v>
      </c>
      <c r="AA3014">
        <v>0.99852839999999998</v>
      </c>
      <c r="AB3014">
        <v>34</v>
      </c>
      <c r="AC3014">
        <v>0.64680000000004101</v>
      </c>
      <c r="AD3014">
        <v>-0.11439000000000001</v>
      </c>
      <c r="AE3014">
        <v>-3.27999999999804E-2</v>
      </c>
      <c r="AF3014">
        <v>5.18607426559822E-2</v>
      </c>
      <c r="AG3014">
        <v>-0.11439000000000001</v>
      </c>
      <c r="AH3014">
        <v>0.62589299321977998</v>
      </c>
      <c r="AI3014">
        <v>100.322621919545</v>
      </c>
      <c r="AJ3014">
        <v>85.263360588140998</v>
      </c>
      <c r="AK3014">
        <v>0.63837030608452205</v>
      </c>
      <c r="AL3014">
        <v>78.643918117527605</v>
      </c>
      <c r="AM3014">
        <v>91.315101811827105</v>
      </c>
      <c r="AN3014">
        <v>1.00000005540937</v>
      </c>
    </row>
    <row r="3015" spans="1:40" x14ac:dyDescent="0.25">
      <c r="A3015" t="str">
        <f>"20190303162838650"</f>
        <v>20190303162838650</v>
      </c>
      <c r="B3015" t="str">
        <f>"1551601718644826"</f>
        <v>1551601718644826</v>
      </c>
      <c r="C3015" t="s">
        <v>40</v>
      </c>
      <c r="D3015">
        <v>4.9493210000000003</v>
      </c>
      <c r="E3015">
        <v>0.53712150000000003</v>
      </c>
      <c r="F3015" t="s">
        <v>44</v>
      </c>
      <c r="G3015">
        <v>-421.86110000000002</v>
      </c>
      <c r="H3015">
        <v>0.86654719999999996</v>
      </c>
      <c r="I3015">
        <v>213.93989999999999</v>
      </c>
      <c r="J3015">
        <v>-422.39679999999998</v>
      </c>
      <c r="K3015">
        <v>1.120994</v>
      </c>
      <c r="L3015">
        <v>213.9836</v>
      </c>
      <c r="M3015">
        <v>0.99943930000000003</v>
      </c>
      <c r="N3015">
        <v>-9.8632649999999995E-3</v>
      </c>
      <c r="O3015">
        <v>3.199606E-2</v>
      </c>
      <c r="P3015">
        <v>0.98113499999999998</v>
      </c>
      <c r="Q3015">
        <v>0.1859403</v>
      </c>
      <c r="R3015">
        <v>5.2919399999999998E-2</v>
      </c>
      <c r="S3015">
        <v>3.243134</v>
      </c>
      <c r="T3015">
        <v>-0.93124790000000002</v>
      </c>
      <c r="U3015">
        <v>-0.1178741</v>
      </c>
      <c r="V3015">
        <v>-2.1493870000000002E-2</v>
      </c>
      <c r="W3015">
        <v>0.1956205</v>
      </c>
      <c r="X3015">
        <v>0.98044410000000004</v>
      </c>
      <c r="Y3015">
        <v>6.4383490000000002E-2</v>
      </c>
      <c r="Z3015">
        <v>-1.8075319999999999E-2</v>
      </c>
      <c r="AA3015">
        <v>0.99776149999999997</v>
      </c>
      <c r="AB3015">
        <v>34</v>
      </c>
      <c r="AC3015">
        <v>0.53569999999996298</v>
      </c>
      <c r="AD3015">
        <v>-0.25444679999999997</v>
      </c>
      <c r="AE3015">
        <v>-4.3700000000001099E-2</v>
      </c>
      <c r="AF3015">
        <v>4.9683865229756603E-2</v>
      </c>
      <c r="AG3015">
        <v>-0.25444679999999997</v>
      </c>
      <c r="AH3015">
        <v>0.43625603259974099</v>
      </c>
      <c r="AI3015">
        <v>120.092507390629</v>
      </c>
      <c r="AJ3015">
        <v>83.502752688518598</v>
      </c>
      <c r="AK3015">
        <v>0.50747510921627903</v>
      </c>
      <c r="AL3015">
        <v>78.719026250706094</v>
      </c>
      <c r="AM3015">
        <v>91.255870483364703</v>
      </c>
      <c r="AN3015">
        <v>0.99999999984631804</v>
      </c>
    </row>
    <row r="3016" spans="1:40" x14ac:dyDescent="0.25">
      <c r="A3016" t="str">
        <f>"20190303162838672"</f>
        <v>20190303162838672</v>
      </c>
      <c r="B3016" t="str">
        <f>"1551601718664345"</f>
        <v>1551601718664345</v>
      </c>
      <c r="C3016" t="s">
        <v>40</v>
      </c>
      <c r="D3016">
        <v>4.9740000000000002</v>
      </c>
      <c r="E3016">
        <v>0.53683579999999997</v>
      </c>
      <c r="F3016" t="s">
        <v>44</v>
      </c>
      <c r="G3016">
        <v>-421.55759999999998</v>
      </c>
      <c r="H3016">
        <v>0.86688199999999904</v>
      </c>
      <c r="I3016">
        <v>213.95410000000001</v>
      </c>
      <c r="J3016">
        <v>-422.06380000000001</v>
      </c>
      <c r="K3016">
        <v>1.1210199999999999</v>
      </c>
      <c r="L3016">
        <v>213.99420000000001</v>
      </c>
      <c r="M3016">
        <v>0.99943740000000003</v>
      </c>
      <c r="N3016">
        <v>-1.006309E-2</v>
      </c>
      <c r="O3016">
        <v>3.1996330000000003E-2</v>
      </c>
      <c r="P3016">
        <v>0.98147209999999996</v>
      </c>
      <c r="Q3016">
        <v>0.18445739999999999</v>
      </c>
      <c r="R3016">
        <v>5.1848310000000002E-2</v>
      </c>
      <c r="S3016">
        <v>3.250305</v>
      </c>
      <c r="T3016">
        <v>-0.98416760000000003</v>
      </c>
      <c r="U3016">
        <v>-0.1133728</v>
      </c>
      <c r="V3016">
        <v>-2.0411269999999999E-2</v>
      </c>
      <c r="W3016">
        <v>0.19433719999999999</v>
      </c>
      <c r="X3016">
        <v>0.98072239999999999</v>
      </c>
      <c r="Y3016">
        <v>6.2580109999999994E-2</v>
      </c>
      <c r="Z3016">
        <v>-1.8744219999999999E-2</v>
      </c>
      <c r="AA3016">
        <v>0.99786390000000003</v>
      </c>
      <c r="AB3016">
        <v>34</v>
      </c>
      <c r="AC3016">
        <v>0.50620000000003496</v>
      </c>
      <c r="AD3016">
        <v>-0.25413799999999998</v>
      </c>
      <c r="AE3016">
        <v>-4.0099999999995299E-2</v>
      </c>
      <c r="AF3016">
        <v>4.5004076409109403E-2</v>
      </c>
      <c r="AG3016">
        <v>-0.25413799999999998</v>
      </c>
      <c r="AH3016">
        <v>0.40357023695067501</v>
      </c>
      <c r="AI3016">
        <v>122.04018493492001</v>
      </c>
      <c r="AJ3016">
        <v>83.636958561139096</v>
      </c>
      <c r="AK3016">
        <v>0.47904115281451698</v>
      </c>
      <c r="AL3016">
        <v>78.793992691165897</v>
      </c>
      <c r="AM3016">
        <v>91.192295406218093</v>
      </c>
      <c r="AN3016">
        <v>0.99999999655430605</v>
      </c>
    </row>
    <row r="3017" spans="1:40" x14ac:dyDescent="0.25">
      <c r="A3017" t="str">
        <f>"20190303162838695"</f>
        <v>20190303162838695</v>
      </c>
      <c r="B3017" t="str">
        <f>"1551601718684842"</f>
        <v>1551601718684842</v>
      </c>
      <c r="C3017" t="s">
        <v>40</v>
      </c>
      <c r="D3017">
        <v>4.9599820000000001</v>
      </c>
      <c r="E3017">
        <v>0.53664199999999995</v>
      </c>
      <c r="F3017" t="s">
        <v>44</v>
      </c>
      <c r="G3017">
        <v>-421.2525</v>
      </c>
      <c r="H3017">
        <v>0.87084159999999899</v>
      </c>
      <c r="I3017">
        <v>213.96520000000001</v>
      </c>
      <c r="J3017">
        <v>-421.72329999999999</v>
      </c>
      <c r="K3017">
        <v>1.1210549999999999</v>
      </c>
      <c r="L3017">
        <v>214.0051</v>
      </c>
      <c r="M3017">
        <v>0.99943499999999996</v>
      </c>
      <c r="N3017">
        <v>-1.0291659999999999E-2</v>
      </c>
      <c r="O3017">
        <v>3.19966E-2</v>
      </c>
      <c r="P3017">
        <v>0.98172530000000002</v>
      </c>
      <c r="Q3017">
        <v>0.18326400000000001</v>
      </c>
      <c r="R3017">
        <v>5.1281710000000001E-2</v>
      </c>
      <c r="S3017">
        <v>3.251099</v>
      </c>
      <c r="T3017">
        <v>-1.0025459999999999</v>
      </c>
      <c r="U3017">
        <v>-0.115356399999999</v>
      </c>
      <c r="V3017">
        <v>-1.9836179999999998E-2</v>
      </c>
      <c r="W3017">
        <v>0.19337029999999999</v>
      </c>
      <c r="X3017">
        <v>0.9809253</v>
      </c>
      <c r="Y3017">
        <v>6.3005340000000007E-2</v>
      </c>
      <c r="Z3017">
        <v>-1.9141160000000001E-2</v>
      </c>
      <c r="AA3017">
        <v>0.99782959999999998</v>
      </c>
      <c r="AB3017">
        <v>34</v>
      </c>
      <c r="AC3017">
        <v>0.470799999999997</v>
      </c>
      <c r="AD3017">
        <v>-0.25021339999999997</v>
      </c>
      <c r="AE3017">
        <v>-3.9899999999988701E-2</v>
      </c>
      <c r="AF3017">
        <v>4.2910532364841401E-2</v>
      </c>
      <c r="AG3017">
        <v>-0.25021339999999997</v>
      </c>
      <c r="AH3017">
        <v>0.36650070001950402</v>
      </c>
      <c r="AI3017">
        <v>124.140310003894</v>
      </c>
      <c r="AJ3017">
        <v>83.3221146045273</v>
      </c>
      <c r="AK3017">
        <v>0.44583721518305403</v>
      </c>
      <c r="AL3017">
        <v>78.850463192756806</v>
      </c>
      <c r="AM3017">
        <v>91.158472021302799</v>
      </c>
      <c r="AN3017">
        <v>0.99999999556958596</v>
      </c>
    </row>
    <row r="3018" spans="1:40" x14ac:dyDescent="0.25">
      <c r="A3018" t="str">
        <f>"20190303162838719"</f>
        <v>20190303162838719</v>
      </c>
      <c r="B3018" t="str">
        <f>"1551601718714121"</f>
        <v>1551601718714121</v>
      </c>
      <c r="C3018" t="s">
        <v>40</v>
      </c>
      <c r="D3018">
        <v>4.9534909999999996</v>
      </c>
      <c r="E3018">
        <v>0.5365299</v>
      </c>
      <c r="F3018" t="s">
        <v>44</v>
      </c>
      <c r="G3018">
        <v>-420.94600000000003</v>
      </c>
      <c r="H3018">
        <v>0.87858860000000005</v>
      </c>
      <c r="I3018">
        <v>213.97710000000001</v>
      </c>
      <c r="J3018">
        <v>-421.36020000000002</v>
      </c>
      <c r="K3018">
        <v>1.1210880000000001</v>
      </c>
      <c r="L3018">
        <v>214.01679999999999</v>
      </c>
      <c r="M3018">
        <v>0.9994324</v>
      </c>
      <c r="N3018">
        <v>-1.0539099999999999E-2</v>
      </c>
      <c r="O3018">
        <v>3.1996459999999997E-2</v>
      </c>
      <c r="P3018">
        <v>0.98175310000000005</v>
      </c>
      <c r="Q3018">
        <v>0.18317030000000001</v>
      </c>
      <c r="R3018">
        <v>5.1085739999999998E-2</v>
      </c>
      <c r="S3018">
        <v>3.2511899999999998</v>
      </c>
      <c r="T3018">
        <v>-1.0142500000000001</v>
      </c>
      <c r="U3018">
        <v>-0.11581420000000001</v>
      </c>
      <c r="V3018">
        <v>-1.9639139999999999E-2</v>
      </c>
      <c r="W3018">
        <v>0.19352</v>
      </c>
      <c r="X3018">
        <v>0.98089979999999999</v>
      </c>
      <c r="Y3018">
        <v>6.3041570000000005E-2</v>
      </c>
      <c r="Z3018">
        <v>-1.9360120000000001E-2</v>
      </c>
      <c r="AA3018">
        <v>0.99782309999999996</v>
      </c>
      <c r="AB3018">
        <v>34</v>
      </c>
      <c r="AC3018">
        <v>0.41420000000004997</v>
      </c>
      <c r="AD3018">
        <v>-0.242499399999999</v>
      </c>
      <c r="AE3018">
        <v>-3.9699999999982E-2</v>
      </c>
      <c r="AF3018">
        <v>3.9512859703577298E-2</v>
      </c>
      <c r="AG3018">
        <v>-0.242499399999999</v>
      </c>
      <c r="AH3018">
        <v>0.308079013789191</v>
      </c>
      <c r="AI3018">
        <v>127.980532370286</v>
      </c>
      <c r="AJ3018">
        <v>82.691395254450597</v>
      </c>
      <c r="AK3018">
        <v>0.39405571156834501</v>
      </c>
      <c r="AL3018">
        <v>78.841721518761702</v>
      </c>
      <c r="AM3018">
        <v>91.146997395516195</v>
      </c>
      <c r="AN3018">
        <v>1.0000000519299801</v>
      </c>
    </row>
    <row r="3019" spans="1:40" x14ac:dyDescent="0.25">
      <c r="A3019" t="str">
        <f>"20190303162838742"</f>
        <v>20190303162838742</v>
      </c>
      <c r="B3019" t="str">
        <f>"1551601718734618"</f>
        <v>1551601718734618</v>
      </c>
      <c r="C3019" t="s">
        <v>40</v>
      </c>
      <c r="D3019">
        <v>4.9876009999999997</v>
      </c>
      <c r="E3019">
        <v>0.53650980000000004</v>
      </c>
      <c r="F3019" t="s">
        <v>44</v>
      </c>
      <c r="G3019">
        <v>-420.63580000000002</v>
      </c>
      <c r="H3019">
        <v>0.89458479999999996</v>
      </c>
      <c r="I3019">
        <v>213.9913</v>
      </c>
      <c r="J3019">
        <v>-421.01639999999998</v>
      </c>
      <c r="K3019">
        <v>1.1211150000000001</v>
      </c>
      <c r="L3019">
        <v>214.02780000000001</v>
      </c>
      <c r="M3019">
        <v>0.99943020000000005</v>
      </c>
      <c r="N3019">
        <v>-1.0760260000000001E-2</v>
      </c>
      <c r="O3019">
        <v>3.1996360000000001E-2</v>
      </c>
      <c r="P3019">
        <v>0.98180480000000003</v>
      </c>
      <c r="Q3019">
        <v>0.1828031</v>
      </c>
      <c r="R3019">
        <v>5.1407319999999999E-2</v>
      </c>
      <c r="S3019">
        <v>3.2513730000000001</v>
      </c>
      <c r="T3019">
        <v>-1.016634</v>
      </c>
      <c r="U3019">
        <v>-0.1138916</v>
      </c>
      <c r="V3019">
        <v>-1.9958730000000001E-2</v>
      </c>
      <c r="W3019">
        <v>0.19336980000000001</v>
      </c>
      <c r="X3019">
        <v>0.98092290000000004</v>
      </c>
      <c r="Y3019">
        <v>6.2458519999999997E-2</v>
      </c>
      <c r="Z3019">
        <v>-1.93107E-2</v>
      </c>
      <c r="AA3019">
        <v>0.99786070000000004</v>
      </c>
      <c r="AB3019">
        <v>34</v>
      </c>
      <c r="AC3019">
        <v>0.38059999999995803</v>
      </c>
      <c r="AD3019">
        <v>-0.22653019999999899</v>
      </c>
      <c r="AE3019">
        <v>-3.65000000000179E-2</v>
      </c>
      <c r="AF3019">
        <v>3.6016956683035402E-2</v>
      </c>
      <c r="AG3019">
        <v>-0.22653019999999899</v>
      </c>
      <c r="AH3019">
        <v>0.280703189592104</v>
      </c>
      <c r="AI3019">
        <v>128.67544129902399</v>
      </c>
      <c r="AJ3019">
        <v>82.688342970117802</v>
      </c>
      <c r="AK3019">
        <v>0.36250163217277798</v>
      </c>
      <c r="AL3019">
        <v>78.850492250938004</v>
      </c>
      <c r="AM3019">
        <v>91.1656300654695</v>
      </c>
      <c r="AN3019">
        <v>0.99999998309983096</v>
      </c>
    </row>
    <row r="3020" spans="1:40" x14ac:dyDescent="0.25">
      <c r="A3020" t="str">
        <f>"20190303162838765"</f>
        <v>20190303162838765</v>
      </c>
      <c r="B3020" t="str">
        <f>"1551601718754138"</f>
        <v>1551601718754138</v>
      </c>
      <c r="C3020" t="s">
        <v>40</v>
      </c>
      <c r="D3020">
        <v>5.0090370000000002</v>
      </c>
      <c r="E3020">
        <v>0.53652919999999904</v>
      </c>
      <c r="F3020" t="s">
        <v>44</v>
      </c>
      <c r="G3020">
        <v>-420.32740000000001</v>
      </c>
      <c r="H3020">
        <v>0.90571369999999896</v>
      </c>
      <c r="I3020">
        <v>214.00360000000001</v>
      </c>
      <c r="J3020">
        <v>-420.66550000000001</v>
      </c>
      <c r="K3020">
        <v>1.121132</v>
      </c>
      <c r="L3020">
        <v>214.03899999999999</v>
      </c>
      <c r="M3020">
        <v>0.99942779999999998</v>
      </c>
      <c r="N3020">
        <v>-1.096682E-2</v>
      </c>
      <c r="O3020">
        <v>3.1996379999999998E-2</v>
      </c>
      <c r="P3020">
        <v>0.98184269999999996</v>
      </c>
      <c r="Q3020">
        <v>0.1823314</v>
      </c>
      <c r="R3020">
        <v>5.2346179999999999E-2</v>
      </c>
      <c r="S3020">
        <v>3.2507320000000002</v>
      </c>
      <c r="T3020">
        <v>-1.016205</v>
      </c>
      <c r="U3020">
        <v>-0.1123199</v>
      </c>
      <c r="V3020">
        <v>-2.089533E-2</v>
      </c>
      <c r="W3020">
        <v>0.19310179999999999</v>
      </c>
      <c r="X3020">
        <v>0.98095619999999994</v>
      </c>
      <c r="Y3020">
        <v>6.2007710000000001E-2</v>
      </c>
      <c r="Z3020">
        <v>-1.9235490000000001E-2</v>
      </c>
      <c r="AA3020">
        <v>0.99789030000000001</v>
      </c>
      <c r="AB3020">
        <v>34</v>
      </c>
      <c r="AC3020">
        <v>0.33809999999999701</v>
      </c>
      <c r="AD3020">
        <v>-0.21541830000000001</v>
      </c>
      <c r="AE3020">
        <v>-3.5400000000009799E-2</v>
      </c>
      <c r="AF3020">
        <v>3.2963858814635302E-2</v>
      </c>
      <c r="AG3020">
        <v>-0.21541830000000001</v>
      </c>
      <c r="AH3020">
        <v>0.24030117000312601</v>
      </c>
      <c r="AI3020">
        <v>131.60936835276999</v>
      </c>
      <c r="AJ3020">
        <v>82.189072158268104</v>
      </c>
      <c r="AK3020">
        <v>0.32440146773359801</v>
      </c>
      <c r="AL3020">
        <v>78.866142603786898</v>
      </c>
      <c r="AM3020">
        <v>91.220271810725706</v>
      </c>
      <c r="AN3020">
        <v>0.99999999314874399</v>
      </c>
    </row>
    <row r="3021" spans="1:40" x14ac:dyDescent="0.25">
      <c r="A3021" t="str">
        <f>"20190303162838786"</f>
        <v>20190303162838786</v>
      </c>
      <c r="B3021" t="str">
        <f>"1551601718774635"</f>
        <v>1551601718774635</v>
      </c>
      <c r="C3021" t="s">
        <v>40</v>
      </c>
      <c r="D3021">
        <v>5.0156939999999999</v>
      </c>
      <c r="E3021">
        <v>0.53653319999999904</v>
      </c>
      <c r="F3021" t="s">
        <v>44</v>
      </c>
      <c r="G3021">
        <v>-419.74950000000001</v>
      </c>
      <c r="H3021">
        <v>0.83456030000000003</v>
      </c>
      <c r="I3021">
        <v>214.0078</v>
      </c>
      <c r="J3021">
        <v>-420.35590000000002</v>
      </c>
      <c r="K3021">
        <v>1.1211450000000001</v>
      </c>
      <c r="L3021">
        <v>214.0489</v>
      </c>
      <c r="M3021">
        <v>0.99942600000000004</v>
      </c>
      <c r="N3021">
        <v>-1.113287E-2</v>
      </c>
      <c r="O3021">
        <v>3.1996910000000003E-2</v>
      </c>
      <c r="P3021">
        <v>0.98174479999999997</v>
      </c>
      <c r="Q3021">
        <v>0.18237349999999999</v>
      </c>
      <c r="R3021">
        <v>5.4012009999999999E-2</v>
      </c>
      <c r="S3021">
        <v>3.2501829999999998</v>
      </c>
      <c r="T3021">
        <v>-1.016829</v>
      </c>
      <c r="U3021">
        <v>-0.1101227</v>
      </c>
      <c r="V3021">
        <v>-2.2562860000000001E-2</v>
      </c>
      <c r="W3021">
        <v>0.19330620000000001</v>
      </c>
      <c r="X3021">
        <v>0.98087899999999995</v>
      </c>
      <c r="Y3021">
        <v>6.1365030000000001E-2</v>
      </c>
      <c r="Z3021">
        <v>-1.9148479999999999E-2</v>
      </c>
      <c r="AA3021">
        <v>0.99793169999999998</v>
      </c>
      <c r="AB3021">
        <v>34</v>
      </c>
      <c r="AC3021">
        <v>0.60640000000000704</v>
      </c>
      <c r="AD3021">
        <v>-0.28658469999999903</v>
      </c>
      <c r="AE3021">
        <v>-4.1100000000000102E-2</v>
      </c>
      <c r="AF3021">
        <v>4.9481812650129298E-2</v>
      </c>
      <c r="AG3021">
        <v>-0.28658469999999903</v>
      </c>
      <c r="AH3021">
        <v>0.49477190464475301</v>
      </c>
      <c r="AI3021">
        <v>119.957031328116</v>
      </c>
      <c r="AJ3021">
        <v>84.288876902353493</v>
      </c>
      <c r="AK3021">
        <v>0.573915043959495</v>
      </c>
      <c r="AL3021">
        <v>78.854206429806297</v>
      </c>
      <c r="AM3021">
        <v>91.317724933044801</v>
      </c>
      <c r="AN3021">
        <v>0.99999999112540905</v>
      </c>
    </row>
    <row r="3022" spans="1:40" x14ac:dyDescent="0.25">
      <c r="A3022" t="str">
        <f>"20190303162838821"</f>
        <v>20190303162838821</v>
      </c>
      <c r="B3022" t="str">
        <f>"1551601718814650"</f>
        <v>1551601718814650</v>
      </c>
      <c r="C3022" t="s">
        <v>40</v>
      </c>
      <c r="D3022">
        <v>5.0229589999999904</v>
      </c>
      <c r="E3022">
        <v>0.53621609999999997</v>
      </c>
      <c r="F3022" t="s">
        <v>44</v>
      </c>
      <c r="G3022">
        <v>-419.44560000000001</v>
      </c>
      <c r="H3022">
        <v>0.83619669999999902</v>
      </c>
      <c r="I3022">
        <v>214.0188</v>
      </c>
      <c r="J3022">
        <v>-419.80439999999999</v>
      </c>
      <c r="K3022">
        <v>1.121164</v>
      </c>
      <c r="L3022">
        <v>214.06659999999999</v>
      </c>
      <c r="M3022">
        <v>0.99942310000000001</v>
      </c>
      <c r="N3022">
        <v>-1.1391109999999999E-2</v>
      </c>
      <c r="O3022">
        <v>3.199689E-2</v>
      </c>
      <c r="P3022">
        <v>0.98166430000000005</v>
      </c>
      <c r="Q3022">
        <v>0.18247859999999999</v>
      </c>
      <c r="R3022">
        <v>5.5108690000000002E-2</v>
      </c>
      <c r="S3022">
        <v>3.2506710000000001</v>
      </c>
      <c r="T3022">
        <v>-1.0174049999999999</v>
      </c>
      <c r="U3022">
        <v>-0.1071167</v>
      </c>
      <c r="V3022">
        <v>-2.3661209999999998E-2</v>
      </c>
      <c r="W3022">
        <v>0.19366459999999999</v>
      </c>
      <c r="X3022">
        <v>0.98078240000000005</v>
      </c>
      <c r="Y3022">
        <v>6.047835E-2</v>
      </c>
      <c r="Z3022">
        <v>-1.90157E-2</v>
      </c>
      <c r="AA3022">
        <v>0.99798830000000005</v>
      </c>
      <c r="AB3022">
        <v>34</v>
      </c>
      <c r="AC3022">
        <v>0.35879999999997297</v>
      </c>
      <c r="AD3022">
        <v>-0.28496729999999998</v>
      </c>
      <c r="AE3022">
        <v>-4.7799999999995103E-2</v>
      </c>
      <c r="AF3022">
        <v>3.6582972239704699E-2</v>
      </c>
      <c r="AG3022">
        <v>-0.28496729999999998</v>
      </c>
      <c r="AH3022">
        <v>0.22045240585478501</v>
      </c>
      <c r="AI3022">
        <v>141.896978591254</v>
      </c>
      <c r="AJ3022">
        <v>80.577913991514606</v>
      </c>
      <c r="AK3022">
        <v>0.36213801122547701</v>
      </c>
      <c r="AL3022">
        <v>78.833275901701995</v>
      </c>
      <c r="AM3022">
        <v>91.381982951798904</v>
      </c>
      <c r="AN3022">
        <v>0.99999997315079103</v>
      </c>
    </row>
    <row r="3023" spans="1:40" x14ac:dyDescent="0.25">
      <c r="A3023" t="str">
        <f>"20190303162838838"</f>
        <v>20190303162838838</v>
      </c>
      <c r="B3023" t="str">
        <f>"1551601718834170"</f>
        <v>1551601718834170</v>
      </c>
      <c r="C3023" t="s">
        <v>40</v>
      </c>
      <c r="D3023">
        <v>5.0559029999999998</v>
      </c>
      <c r="E3023">
        <v>0.53601309999999902</v>
      </c>
      <c r="F3023" t="s">
        <v>44</v>
      </c>
      <c r="G3023">
        <v>-419.11509999999998</v>
      </c>
      <c r="H3023">
        <v>0.90337369999999995</v>
      </c>
      <c r="I3023">
        <v>214.04429999999999</v>
      </c>
      <c r="J3023">
        <v>-419.56420000000003</v>
      </c>
      <c r="K3023">
        <v>1.121167</v>
      </c>
      <c r="L3023">
        <v>214.07429999999999</v>
      </c>
      <c r="M3023">
        <v>0.99942200000000003</v>
      </c>
      <c r="N3023">
        <v>-1.1488180000000001E-2</v>
      </c>
      <c r="O3023">
        <v>3.1996789999999997E-2</v>
      </c>
      <c r="P3023">
        <v>0.98155219999999999</v>
      </c>
      <c r="Q3023">
        <v>0.1829992</v>
      </c>
      <c r="R3023">
        <v>5.5376479999999999E-2</v>
      </c>
      <c r="S3023">
        <v>3.252869</v>
      </c>
      <c r="T3023">
        <v>-1.0277320000000001</v>
      </c>
      <c r="U3023">
        <v>-0.1031494</v>
      </c>
      <c r="V3023">
        <v>-2.3932769999999999E-2</v>
      </c>
      <c r="W3023">
        <v>0.19427920000000001</v>
      </c>
      <c r="X3023">
        <v>0.98065429999999998</v>
      </c>
      <c r="Y3023">
        <v>5.9221259999999998E-2</v>
      </c>
      <c r="Z3023">
        <v>-1.898677E-2</v>
      </c>
      <c r="AA3023">
        <v>0.99806430000000002</v>
      </c>
      <c r="AB3023">
        <v>34</v>
      </c>
      <c r="AC3023">
        <v>0.44910000000004402</v>
      </c>
      <c r="AD3023">
        <v>-0.2177933</v>
      </c>
      <c r="AE3023">
        <v>-3.0000000000001099E-2</v>
      </c>
      <c r="AF3023">
        <v>3.5940384091510597E-2</v>
      </c>
      <c r="AG3023">
        <v>-0.2177933</v>
      </c>
      <c r="AH3023">
        <v>0.36293393629482601</v>
      </c>
      <c r="AI3023">
        <v>120.844375598662</v>
      </c>
      <c r="AJ3023">
        <v>84.344589418255197</v>
      </c>
      <c r="AK3023">
        <v>0.424790153897183</v>
      </c>
      <c r="AL3023">
        <v>78.797380687129305</v>
      </c>
      <c r="AM3023">
        <v>91.398020252923004</v>
      </c>
      <c r="AN3023">
        <v>1.0000000205705</v>
      </c>
    </row>
    <row r="3024" spans="1:40" x14ac:dyDescent="0.25">
      <c r="A3024" t="str">
        <f>"20190303162838862"</f>
        <v>20190303162838862</v>
      </c>
      <c r="B3024" t="str">
        <f>"1551601718854666"</f>
        <v>1551601718854666</v>
      </c>
      <c r="C3024" t="s">
        <v>40</v>
      </c>
      <c r="D3024">
        <v>5.0051249999999996</v>
      </c>
      <c r="E3024">
        <v>0.53587499999999999</v>
      </c>
      <c r="F3024" t="s">
        <v>44</v>
      </c>
      <c r="G3024">
        <v>-418.81990000000002</v>
      </c>
      <c r="H3024">
        <v>0.88484739999999995</v>
      </c>
      <c r="I3024">
        <v>214.0515</v>
      </c>
      <c r="J3024">
        <v>-419.18169999999998</v>
      </c>
      <c r="K3024">
        <v>1.1211770000000001</v>
      </c>
      <c r="L3024">
        <v>214.0865</v>
      </c>
      <c r="M3024">
        <v>0.99942039999999999</v>
      </c>
      <c r="N3024">
        <v>-1.1620170000000001E-2</v>
      </c>
      <c r="O3024">
        <v>3.1996839999999999E-2</v>
      </c>
      <c r="P3024">
        <v>0.98145320000000003</v>
      </c>
      <c r="Q3024">
        <v>0.18346789999999999</v>
      </c>
      <c r="R3024">
        <v>5.5580490000000003E-2</v>
      </c>
      <c r="S3024">
        <v>3.2547299999999999</v>
      </c>
      <c r="T3024">
        <v>-1.033533</v>
      </c>
      <c r="U3024">
        <v>-9.9731449999999999E-2</v>
      </c>
      <c r="V3024">
        <v>-2.413935E-2</v>
      </c>
      <c r="W3024">
        <v>0.19487599999999999</v>
      </c>
      <c r="X3024">
        <v>0.98053080000000004</v>
      </c>
      <c r="Y3024">
        <v>5.816574E-2</v>
      </c>
      <c r="Z3024">
        <v>-1.8909059999999998E-2</v>
      </c>
      <c r="AA3024">
        <v>0.99812780000000001</v>
      </c>
      <c r="AB3024">
        <v>34</v>
      </c>
      <c r="AC3024">
        <v>0.36179999999995899</v>
      </c>
      <c r="AD3024">
        <v>-0.2363296</v>
      </c>
      <c r="AE3024">
        <v>-3.4999999999996499E-2</v>
      </c>
      <c r="AF3024">
        <v>3.2725543409407698E-2</v>
      </c>
      <c r="AG3024">
        <v>-0.2363296</v>
      </c>
      <c r="AH3024">
        <v>0.25338402864862303</v>
      </c>
      <c r="AI3024">
        <v>132.769144516175</v>
      </c>
      <c r="AJ3024">
        <v>82.640763555090203</v>
      </c>
      <c r="AK3024">
        <v>0.34803176148421699</v>
      </c>
      <c r="AL3024">
        <v>78.762520125398495</v>
      </c>
      <c r="AM3024">
        <v>91.410260195765105</v>
      </c>
      <c r="AN3024">
        <v>1.00000000667153</v>
      </c>
    </row>
    <row r="3025" spans="1:40" x14ac:dyDescent="0.25">
      <c r="A3025" t="str">
        <f>"20190303162838888"</f>
        <v>20190303162838888</v>
      </c>
      <c r="B3025" t="str">
        <f>"1551601718884922"</f>
        <v>1551601718884922</v>
      </c>
      <c r="C3025" t="s">
        <v>40</v>
      </c>
      <c r="D3025">
        <v>4.9638859999999996</v>
      </c>
      <c r="E3025">
        <v>0.53572869999999995</v>
      </c>
      <c r="F3025" t="s">
        <v>44</v>
      </c>
      <c r="G3025">
        <v>-418.50740000000002</v>
      </c>
      <c r="H3025">
        <v>0.90621399999999996</v>
      </c>
      <c r="I3025">
        <v>214.0659</v>
      </c>
      <c r="J3025">
        <v>-418.81450000000001</v>
      </c>
      <c r="K3025">
        <v>1.12117</v>
      </c>
      <c r="L3025">
        <v>214.09829999999999</v>
      </c>
      <c r="M3025">
        <v>0.99941930000000001</v>
      </c>
      <c r="N3025">
        <v>-1.1709839999999999E-2</v>
      </c>
      <c r="O3025">
        <v>3.1996950000000003E-2</v>
      </c>
      <c r="P3025">
        <v>0.98141330000000004</v>
      </c>
      <c r="Q3025">
        <v>0.18358440000000001</v>
      </c>
      <c r="R3025">
        <v>5.589947E-2</v>
      </c>
      <c r="S3025">
        <v>3.2562869999999999</v>
      </c>
      <c r="T3025">
        <v>-1.0379780000000001</v>
      </c>
      <c r="U3025">
        <v>-9.8068240000000001E-2</v>
      </c>
      <c r="V3025">
        <v>-2.445955E-2</v>
      </c>
      <c r="W3025">
        <v>0.19508</v>
      </c>
      <c r="X3025">
        <v>0.98048230000000003</v>
      </c>
      <c r="Y3025">
        <v>5.7635970000000002E-2</v>
      </c>
      <c r="Z3025">
        <v>-1.8892539999999999E-2</v>
      </c>
      <c r="AA3025">
        <v>0.99815889999999996</v>
      </c>
      <c r="AB3025">
        <v>34</v>
      </c>
      <c r="AC3025">
        <v>0.30709999999999099</v>
      </c>
      <c r="AD3025">
        <v>-0.21495600000000001</v>
      </c>
      <c r="AE3025">
        <v>-3.2399999999995502E-2</v>
      </c>
      <c r="AF3025">
        <v>2.8433229522016101E-2</v>
      </c>
      <c r="AG3025">
        <v>-0.21495600000000001</v>
      </c>
      <c r="AH3025">
        <v>0.20606072426642499</v>
      </c>
      <c r="AI3025">
        <v>135.940400201854</v>
      </c>
      <c r="AJ3025">
        <v>82.143668690067599</v>
      </c>
      <c r="AK3025">
        <v>0.29912464385646198</v>
      </c>
      <c r="AL3025">
        <v>78.750603088281594</v>
      </c>
      <c r="AM3025">
        <v>91.429029751399</v>
      </c>
      <c r="AN3025">
        <v>1.00000000829974</v>
      </c>
    </row>
    <row r="3026" spans="1:40" x14ac:dyDescent="0.25">
      <c r="A3026" t="str">
        <f>"20190303162838907"</f>
        <v>20190303162838907</v>
      </c>
      <c r="B3026" t="str">
        <f>"1551601718904443"</f>
        <v>1551601718904443</v>
      </c>
      <c r="C3026" t="s">
        <v>40</v>
      </c>
      <c r="D3026">
        <v>4.9689699999999997</v>
      </c>
      <c r="E3026">
        <v>0.53567240000000005</v>
      </c>
      <c r="F3026" t="s">
        <v>44</v>
      </c>
      <c r="G3026">
        <v>-417.92910000000001</v>
      </c>
      <c r="H3026">
        <v>0.8374954</v>
      </c>
      <c r="I3026">
        <v>214.07140000000001</v>
      </c>
      <c r="J3026">
        <v>-418.50510000000003</v>
      </c>
      <c r="K3026">
        <v>1.121164</v>
      </c>
      <c r="L3026">
        <v>214.10820000000001</v>
      </c>
      <c r="M3026">
        <v>0.99941869999999999</v>
      </c>
      <c r="N3026">
        <v>-1.176458E-2</v>
      </c>
      <c r="O3026">
        <v>3.1997329999999997E-2</v>
      </c>
      <c r="P3026">
        <v>0.98132249999999999</v>
      </c>
      <c r="Q3026">
        <v>0.18390390000000001</v>
      </c>
      <c r="R3026">
        <v>5.6441360000000003E-2</v>
      </c>
      <c r="S3026">
        <v>3.2576290000000001</v>
      </c>
      <c r="T3026">
        <v>-1.0437559999999999</v>
      </c>
      <c r="U3026">
        <v>-9.7442630000000002E-2</v>
      </c>
      <c r="V3026">
        <v>-2.5003729999999998E-2</v>
      </c>
      <c r="W3026">
        <v>0.19545219999999999</v>
      </c>
      <c r="X3026">
        <v>0.9803944</v>
      </c>
      <c r="Y3026">
        <v>5.7399899999999997E-2</v>
      </c>
      <c r="Z3026">
        <v>-1.894728E-2</v>
      </c>
      <c r="AA3026">
        <v>0.99817140000000004</v>
      </c>
      <c r="AB3026">
        <v>34</v>
      </c>
      <c r="AC3026">
        <v>0.57600000000002105</v>
      </c>
      <c r="AD3026">
        <v>-0.28366859999999999</v>
      </c>
      <c r="AE3026">
        <v>-3.67999999999995E-2</v>
      </c>
      <c r="AF3026">
        <v>4.4470908636716301E-2</v>
      </c>
      <c r="AG3026">
        <v>-0.28366859999999999</v>
      </c>
      <c r="AH3026">
        <v>0.46274984436866601</v>
      </c>
      <c r="AI3026">
        <v>121.39133806171399</v>
      </c>
      <c r="AJ3026">
        <v>84.510652781969</v>
      </c>
      <c r="AK3026">
        <v>0.54459430294868105</v>
      </c>
      <c r="AL3026">
        <v>78.728858529921197</v>
      </c>
      <c r="AM3026">
        <v>91.460940324808405</v>
      </c>
      <c r="AN3026">
        <v>0.999999964275055</v>
      </c>
    </row>
    <row r="3027" spans="1:40" x14ac:dyDescent="0.25">
      <c r="A3027" t="str">
        <f>"20190303162838931"</f>
        <v>20190303162838931</v>
      </c>
      <c r="B3027" t="str">
        <f>"1551601718924937"</f>
        <v>1551601718924937</v>
      </c>
      <c r="C3027" t="s">
        <v>40</v>
      </c>
      <c r="D3027">
        <v>4.9349210000000001</v>
      </c>
      <c r="E3027">
        <v>0.53563169999999904</v>
      </c>
      <c r="F3027" t="s">
        <v>44</v>
      </c>
      <c r="G3027">
        <v>-417.62540000000001</v>
      </c>
      <c r="H3027">
        <v>0.83892919999999904</v>
      </c>
      <c r="I3027">
        <v>214.0821</v>
      </c>
      <c r="J3027">
        <v>-418.1506</v>
      </c>
      <c r="K3027">
        <v>1.121165</v>
      </c>
      <c r="L3027">
        <v>214.11949999999999</v>
      </c>
      <c r="M3027">
        <v>0.99941829999999998</v>
      </c>
      <c r="N3027">
        <v>-1.18114E-2</v>
      </c>
      <c r="O3027">
        <v>3.1997350000000001E-2</v>
      </c>
      <c r="P3027">
        <v>0.98131279999999999</v>
      </c>
      <c r="Q3027">
        <v>0.18395120000000001</v>
      </c>
      <c r="R3027">
        <v>5.6458500000000002E-2</v>
      </c>
      <c r="S3027">
        <v>3.2585449999999998</v>
      </c>
      <c r="T3027">
        <v>-1.045334</v>
      </c>
      <c r="U3027">
        <v>-9.6221920000000002E-2</v>
      </c>
      <c r="V3027">
        <v>-2.5021020000000001E-2</v>
      </c>
      <c r="W3027">
        <v>0.19554530000000001</v>
      </c>
      <c r="X3027">
        <v>0.98037540000000001</v>
      </c>
      <c r="Y3027">
        <v>5.7026599999999997E-2</v>
      </c>
      <c r="Z3027">
        <v>-1.8908879999999999E-2</v>
      </c>
      <c r="AA3027">
        <v>0.99819360000000001</v>
      </c>
      <c r="AB3027">
        <v>34</v>
      </c>
      <c r="AC3027">
        <v>0.52519999999998301</v>
      </c>
      <c r="AD3027">
        <v>-0.28223579999999998</v>
      </c>
      <c r="AE3027">
        <v>-3.7399999999991003E-2</v>
      </c>
      <c r="AF3027">
        <v>4.20926313899979E-2</v>
      </c>
      <c r="AG3027">
        <v>-0.28223579999999998</v>
      </c>
      <c r="AH3027">
        <v>0.406838219773488</v>
      </c>
      <c r="AI3027">
        <v>124.607473426499</v>
      </c>
      <c r="AJ3027">
        <v>84.0930341299633</v>
      </c>
      <c r="AK3027">
        <v>0.49693679023336101</v>
      </c>
      <c r="AL3027">
        <v>78.723419407239106</v>
      </c>
      <c r="AM3027">
        <v>91.461978442918095</v>
      </c>
      <c r="AN3027">
        <v>0.99999997035954402</v>
      </c>
    </row>
    <row r="3028" spans="1:40" x14ac:dyDescent="0.25">
      <c r="A3028" t="str">
        <f>"20190303162838952"</f>
        <v>20190303162838952</v>
      </c>
      <c r="B3028" t="str">
        <f>"1551601718944457"</f>
        <v>1551601718944457</v>
      </c>
      <c r="C3028" t="s">
        <v>40</v>
      </c>
      <c r="D3028">
        <v>4.9553070000000004</v>
      </c>
      <c r="E3028">
        <v>0.53560609999999997</v>
      </c>
      <c r="F3028" t="s">
        <v>44</v>
      </c>
      <c r="G3028">
        <v>-417.31670000000003</v>
      </c>
      <c r="H3028">
        <v>0.85295980000000005</v>
      </c>
      <c r="I3028">
        <v>214.0951</v>
      </c>
      <c r="J3028">
        <v>-417.8245</v>
      </c>
      <c r="K3028">
        <v>1.1211610000000001</v>
      </c>
      <c r="L3028">
        <v>214.13</v>
      </c>
      <c r="M3028">
        <v>0.99941780000000002</v>
      </c>
      <c r="N3028">
        <v>-1.1843309999999999E-2</v>
      </c>
      <c r="O3028">
        <v>3.1997810000000002E-2</v>
      </c>
      <c r="P3028">
        <v>0.98125329999999999</v>
      </c>
      <c r="Q3028">
        <v>0.1844122</v>
      </c>
      <c r="R3028">
        <v>5.5987660000000002E-2</v>
      </c>
      <c r="S3028">
        <v>3.2590330000000001</v>
      </c>
      <c r="T3028">
        <v>-1.0481640000000001</v>
      </c>
      <c r="U3028">
        <v>-9.4482419999999998E-2</v>
      </c>
      <c r="V3028">
        <v>-2.4551549999999998E-2</v>
      </c>
      <c r="W3028">
        <v>0.19603670000000001</v>
      </c>
      <c r="X3028">
        <v>0.98028919999999997</v>
      </c>
      <c r="Y3028">
        <v>5.6495719999999999E-2</v>
      </c>
      <c r="Z3028">
        <v>-1.886877E-2</v>
      </c>
      <c r="AA3028">
        <v>0.99822449999999996</v>
      </c>
      <c r="AB3028">
        <v>34</v>
      </c>
      <c r="AC3028">
        <v>0.50779999999997405</v>
      </c>
      <c r="AD3028">
        <v>-0.26820119999999997</v>
      </c>
      <c r="AE3028">
        <v>-3.48999999999932E-2</v>
      </c>
      <c r="AF3028">
        <v>4.0020321340226997E-2</v>
      </c>
      <c r="AG3028">
        <v>-0.26820119999999997</v>
      </c>
      <c r="AH3028">
        <v>0.39637241520551297</v>
      </c>
      <c r="AI3028">
        <v>123.949096610249</v>
      </c>
      <c r="AJ3028">
        <v>84.234586055797905</v>
      </c>
      <c r="AK3028">
        <v>0.48025472547125098</v>
      </c>
      <c r="AL3028">
        <v>78.694709389590599</v>
      </c>
      <c r="AM3028">
        <v>91.434684971206195</v>
      </c>
      <c r="AN3028">
        <v>1.0000000409954599</v>
      </c>
    </row>
    <row r="3029" spans="1:40" x14ac:dyDescent="0.25">
      <c r="A3029" t="str">
        <f>"20190303162838975"</f>
        <v>20190303162838975</v>
      </c>
      <c r="B3029" t="str">
        <f>"1551601718964953"</f>
        <v>1551601718964953</v>
      </c>
      <c r="C3029" t="s">
        <v>40</v>
      </c>
      <c r="D3029">
        <v>4.9268869999999998</v>
      </c>
      <c r="E3029">
        <v>0.53555319999999995</v>
      </c>
      <c r="F3029" t="s">
        <v>44</v>
      </c>
      <c r="G3029">
        <v>-417.01089999999999</v>
      </c>
      <c r="H3029">
        <v>0.85922670000000001</v>
      </c>
      <c r="I3029">
        <v>214.10659999999999</v>
      </c>
      <c r="J3029">
        <v>-417.47039999999998</v>
      </c>
      <c r="K3029">
        <v>1.121159</v>
      </c>
      <c r="L3029">
        <v>214.1413</v>
      </c>
      <c r="M3029">
        <v>0.99941760000000002</v>
      </c>
      <c r="N3029">
        <v>-1.186538E-2</v>
      </c>
      <c r="O3029">
        <v>3.1998029999999997E-2</v>
      </c>
      <c r="P3029">
        <v>0.98116519999999996</v>
      </c>
      <c r="Q3029">
        <v>0.1848436</v>
      </c>
      <c r="R3029">
        <v>5.6107129999999998E-2</v>
      </c>
      <c r="S3029">
        <v>3.2598880000000001</v>
      </c>
      <c r="T3029">
        <v>-1.0494669999999999</v>
      </c>
      <c r="U3029">
        <v>-9.3109129999999998E-2</v>
      </c>
      <c r="V3029">
        <v>-2.4673609999999999E-2</v>
      </c>
      <c r="W3029">
        <v>0.19648879999999999</v>
      </c>
      <c r="X3029">
        <v>0.98019559999999994</v>
      </c>
      <c r="Y3029">
        <v>5.6081319999999997E-2</v>
      </c>
      <c r="Z3029">
        <v>-1.8818979999999999E-2</v>
      </c>
      <c r="AA3029">
        <v>0.99824880000000005</v>
      </c>
      <c r="AB3029">
        <v>34</v>
      </c>
      <c r="AC3029">
        <v>0.45949999999999103</v>
      </c>
      <c r="AD3029">
        <v>-0.26193230000000001</v>
      </c>
      <c r="AE3029">
        <v>-3.4700000000014997E-2</v>
      </c>
      <c r="AF3029">
        <v>3.7326237048619003E-2</v>
      </c>
      <c r="AG3029">
        <v>-0.26193230000000001</v>
      </c>
      <c r="AH3029">
        <v>0.34627325374210899</v>
      </c>
      <c r="AI3029">
        <v>126.945932390211</v>
      </c>
      <c r="AJ3029">
        <v>83.847605186035494</v>
      </c>
      <c r="AK3029">
        <v>0.435783138742938</v>
      </c>
      <c r="AL3029">
        <v>78.668292004693001</v>
      </c>
      <c r="AM3029">
        <v>91.441952241681193</v>
      </c>
      <c r="AN3029">
        <v>1.00000002490761</v>
      </c>
    </row>
    <row r="3030" spans="1:40" x14ac:dyDescent="0.25">
      <c r="A3030" t="str">
        <f>"20190303162838996"</f>
        <v>20190303162838996</v>
      </c>
      <c r="B3030" t="str">
        <f>"1551601718984474"</f>
        <v>1551601718984474</v>
      </c>
      <c r="C3030" t="s">
        <v>40</v>
      </c>
      <c r="D3030">
        <v>4.8957179999999996</v>
      </c>
      <c r="E3030">
        <v>0.5355529</v>
      </c>
      <c r="F3030" t="s">
        <v>44</v>
      </c>
      <c r="G3030">
        <v>-416.70179999999999</v>
      </c>
      <c r="H3030">
        <v>0.87360070000000001</v>
      </c>
      <c r="I3030">
        <v>214.11940000000001</v>
      </c>
      <c r="J3030">
        <v>-417.16320000000002</v>
      </c>
      <c r="K3030">
        <v>1.121156</v>
      </c>
      <c r="L3030">
        <v>214.15119999999999</v>
      </c>
      <c r="M3030">
        <v>0.99941749999999996</v>
      </c>
      <c r="N3030">
        <v>-1.1877250000000001E-2</v>
      </c>
      <c r="O3030">
        <v>3.1998249999999999E-2</v>
      </c>
      <c r="P3030">
        <v>0.98100969999999998</v>
      </c>
      <c r="Q3030">
        <v>0.18554280000000001</v>
      </c>
      <c r="R3030">
        <v>5.6520639999999997E-2</v>
      </c>
      <c r="S3030">
        <v>3.2606510000000002</v>
      </c>
      <c r="T3030">
        <v>-1.050254</v>
      </c>
      <c r="U3030">
        <v>-9.1400149999999999E-2</v>
      </c>
      <c r="V3030">
        <v>-2.5091550000000001E-2</v>
      </c>
      <c r="W3030">
        <v>0.1971976</v>
      </c>
      <c r="X3030">
        <v>0.98004259999999999</v>
      </c>
      <c r="Y3030">
        <v>5.5574190000000002E-2</v>
      </c>
      <c r="Z3030">
        <v>-1.8745649999999999E-2</v>
      </c>
      <c r="AA3030">
        <v>0.99827860000000002</v>
      </c>
      <c r="AB3030">
        <v>34</v>
      </c>
      <c r="AC3030">
        <v>0.46140000000002601</v>
      </c>
      <c r="AD3030">
        <v>-0.24755530000000001</v>
      </c>
      <c r="AE3030">
        <v>-3.1799999999975598E-2</v>
      </c>
      <c r="AF3030">
        <v>3.6182345729627197E-2</v>
      </c>
      <c r="AG3030">
        <v>-0.24755530000000001</v>
      </c>
      <c r="AH3030">
        <v>0.35767160481437299</v>
      </c>
      <c r="AI3030">
        <v>124.55190585250701</v>
      </c>
      <c r="AJ3030">
        <v>84.223564014536294</v>
      </c>
      <c r="AK3030">
        <v>0.43648799020256901</v>
      </c>
      <c r="AL3030">
        <v>78.626869921870806</v>
      </c>
      <c r="AM3030">
        <v>91.4665953511781</v>
      </c>
      <c r="AN3030">
        <v>0.99999998857096095</v>
      </c>
    </row>
    <row r="3031" spans="1:40" x14ac:dyDescent="0.25">
      <c r="A3031" t="str">
        <f>"20190303162839017"</f>
        <v>20190303162839017</v>
      </c>
      <c r="B3031" t="str">
        <f>"1551601719014730"</f>
        <v>1551601719014730</v>
      </c>
      <c r="C3031" t="s">
        <v>40</v>
      </c>
      <c r="D3031">
        <v>4.8907819999999997</v>
      </c>
      <c r="E3031">
        <v>0.53556759999999903</v>
      </c>
      <c r="F3031" t="s">
        <v>44</v>
      </c>
      <c r="G3031">
        <v>-416.39780000000002</v>
      </c>
      <c r="H3031">
        <v>0.87510509999999997</v>
      </c>
      <c r="I3031">
        <v>214.13</v>
      </c>
      <c r="J3031">
        <v>-416.8331</v>
      </c>
      <c r="K3031">
        <v>1.121167</v>
      </c>
      <c r="L3031">
        <v>214.1617</v>
      </c>
      <c r="M3031">
        <v>0.99941720000000001</v>
      </c>
      <c r="N3031">
        <v>-1.1885700000000001E-2</v>
      </c>
      <c r="O3031">
        <v>3.1998730000000003E-2</v>
      </c>
      <c r="P3031">
        <v>0.98064200000000001</v>
      </c>
      <c r="Q3031">
        <v>0.1872712</v>
      </c>
      <c r="R3031">
        <v>5.719287E-2</v>
      </c>
      <c r="S3031">
        <v>3.2615970000000001</v>
      </c>
      <c r="T3031">
        <v>-1.048513</v>
      </c>
      <c r="U3031">
        <v>-9.0301510000000001E-2</v>
      </c>
      <c r="V3031">
        <v>-2.5774910000000002E-2</v>
      </c>
      <c r="W3031">
        <v>0.19893069999999999</v>
      </c>
      <c r="X3031">
        <v>0.97967459999999995</v>
      </c>
      <c r="Y3031">
        <v>5.526358E-2</v>
      </c>
      <c r="Z3031">
        <v>-1.8660389999999999E-2</v>
      </c>
      <c r="AA3031">
        <v>0.9982974</v>
      </c>
      <c r="AB3031">
        <v>34</v>
      </c>
      <c r="AC3031">
        <v>0.43529999999998298</v>
      </c>
      <c r="AD3031">
        <v>-0.2460619</v>
      </c>
      <c r="AE3031">
        <v>-3.17000000000007E-2</v>
      </c>
      <c r="AF3031">
        <v>3.4612433768742901E-2</v>
      </c>
      <c r="AG3031">
        <v>-0.2460619</v>
      </c>
      <c r="AH3031">
        <v>0.32937324045934702</v>
      </c>
      <c r="AI3031">
        <v>126.611239279402</v>
      </c>
      <c r="AJ3031">
        <v>84.001047597886796</v>
      </c>
      <c r="AK3031">
        <v>0.41259085149054903</v>
      </c>
      <c r="AL3031">
        <v>78.525564281227304</v>
      </c>
      <c r="AM3031">
        <v>91.507085063798399</v>
      </c>
      <c r="AN3031">
        <v>1.0000000456365701</v>
      </c>
    </row>
    <row r="3032" spans="1:40" x14ac:dyDescent="0.25">
      <c r="A3032" t="str">
        <f>"20190303162839041"</f>
        <v>20190303162839041</v>
      </c>
      <c r="B3032" t="str">
        <f>"1551601719034250"</f>
        <v>1551601719034250</v>
      </c>
      <c r="C3032" t="s">
        <v>40</v>
      </c>
      <c r="D3032">
        <v>4.9833189999999998</v>
      </c>
      <c r="E3032">
        <v>0.53556569999999903</v>
      </c>
      <c r="F3032" t="s">
        <v>44</v>
      </c>
      <c r="G3032">
        <v>-416.09070000000003</v>
      </c>
      <c r="H3032">
        <v>0.88386169999999997</v>
      </c>
      <c r="I3032">
        <v>214.1413</v>
      </c>
      <c r="J3032">
        <v>-416.47370000000001</v>
      </c>
      <c r="K3032">
        <v>1.121175</v>
      </c>
      <c r="L3032">
        <v>214.17320000000001</v>
      </c>
      <c r="M3032">
        <v>0.99941720000000001</v>
      </c>
      <c r="N3032">
        <v>-1.189168E-2</v>
      </c>
      <c r="O3032">
        <v>3.1998819999999997E-2</v>
      </c>
      <c r="P3032">
        <v>0.98042079999999998</v>
      </c>
      <c r="Q3032">
        <v>0.18840879999999999</v>
      </c>
      <c r="R3032">
        <v>5.724887E-2</v>
      </c>
      <c r="S3032">
        <v>3.26355</v>
      </c>
      <c r="T3032">
        <v>-1.0431140000000001</v>
      </c>
      <c r="U3032">
        <v>-8.8409420000000002E-2</v>
      </c>
      <c r="V3032">
        <v>-2.583746E-2</v>
      </c>
      <c r="W3032">
        <v>0.20007079999999999</v>
      </c>
      <c r="X3032">
        <v>0.97944070000000005</v>
      </c>
      <c r="Y3032">
        <v>5.4744710000000002E-2</v>
      </c>
      <c r="Z3032">
        <v>-1.8473980000000001E-2</v>
      </c>
      <c r="AA3032">
        <v>0.99832949999999998</v>
      </c>
      <c r="AB3032">
        <v>34</v>
      </c>
      <c r="AC3032">
        <v>0.38299999999998102</v>
      </c>
      <c r="AD3032">
        <v>-0.2373133</v>
      </c>
      <c r="AE3032">
        <v>-3.1900000000007298E-2</v>
      </c>
      <c r="AF3032">
        <v>3.19559180559226E-2</v>
      </c>
      <c r="AG3032">
        <v>-0.2373133</v>
      </c>
      <c r="AH3032">
        <v>0.27639794768472797</v>
      </c>
      <c r="AI3032">
        <v>130.4612381323</v>
      </c>
      <c r="AJ3032">
        <v>83.404994413105896</v>
      </c>
      <c r="AK3032">
        <v>0.365697427581896</v>
      </c>
      <c r="AL3032">
        <v>78.458900654018905</v>
      </c>
      <c r="AM3032">
        <v>91.5111013450814</v>
      </c>
      <c r="AN3032">
        <v>0.99999999208418999</v>
      </c>
    </row>
    <row r="3033" spans="1:40" x14ac:dyDescent="0.25">
      <c r="A3033" t="str">
        <f>"20190303162839063"</f>
        <v>20190303162839063</v>
      </c>
      <c r="B3033" t="str">
        <f>"1551601719054746"</f>
        <v>1551601719054746</v>
      </c>
      <c r="C3033" t="s">
        <v>40</v>
      </c>
      <c r="D3033">
        <v>4.8745900000000004</v>
      </c>
      <c r="E3033">
        <v>0.53173079999999995</v>
      </c>
      <c r="F3033" t="s">
        <v>44</v>
      </c>
      <c r="G3033">
        <v>-415.7801</v>
      </c>
      <c r="H3033">
        <v>0.90018120000000001</v>
      </c>
      <c r="I3033">
        <v>214.15479999999999</v>
      </c>
      <c r="J3033">
        <v>-416.13690000000003</v>
      </c>
      <c r="K3033">
        <v>1.1211789999999999</v>
      </c>
      <c r="L3033">
        <v>214.184</v>
      </c>
      <c r="M3033">
        <v>0.99941720000000001</v>
      </c>
      <c r="N3033">
        <v>-1.1895080000000001E-2</v>
      </c>
      <c r="O3033">
        <v>3.1998980000000003E-2</v>
      </c>
      <c r="P3033">
        <v>0.98025280000000004</v>
      </c>
      <c r="Q3033">
        <v>0.18913140000000001</v>
      </c>
      <c r="R3033">
        <v>5.7741349999999997E-2</v>
      </c>
      <c r="S3033">
        <v>3.2648320000000002</v>
      </c>
      <c r="T3033">
        <v>-1.040141</v>
      </c>
      <c r="U3033">
        <v>-8.5723880000000002E-2</v>
      </c>
      <c r="V3033">
        <v>-2.633506E-2</v>
      </c>
      <c r="W3033">
        <v>0.20079530000000001</v>
      </c>
      <c r="X3033">
        <v>0.97927920000000002</v>
      </c>
      <c r="Y3033">
        <v>5.3980170000000001E-2</v>
      </c>
      <c r="Z3033">
        <v>-1.829339E-2</v>
      </c>
      <c r="AA3033">
        <v>0.9983744</v>
      </c>
      <c r="AB3033">
        <v>34</v>
      </c>
      <c r="AC3033">
        <v>0.35680000000002099</v>
      </c>
      <c r="AD3033">
        <v>-0.22099779999999999</v>
      </c>
      <c r="AE3033">
        <v>-2.9200000000031399E-2</v>
      </c>
      <c r="AF3033">
        <v>2.9399312647074401E-2</v>
      </c>
      <c r="AG3033">
        <v>-0.22099779999999999</v>
      </c>
      <c r="AH3033">
        <v>0.25753781542805798</v>
      </c>
      <c r="AI3033">
        <v>130.45026850692699</v>
      </c>
      <c r="AJ3033">
        <v>83.487572875266594</v>
      </c>
      <c r="AK3033">
        <v>0.34063187397015099</v>
      </c>
      <c r="AL3033">
        <v>78.416530375263704</v>
      </c>
      <c r="AM3033">
        <v>91.540443429019007</v>
      </c>
      <c r="AN3033">
        <v>1.0000000197199601</v>
      </c>
    </row>
    <row r="3034" spans="1:40" x14ac:dyDescent="0.25">
      <c r="A3034" t="str">
        <f>"20190303162839086"</f>
        <v>20190303162839086</v>
      </c>
      <c r="B3034" t="str">
        <f>"1551601719074266"</f>
        <v>1551601719074266</v>
      </c>
      <c r="C3034" t="s">
        <v>40</v>
      </c>
      <c r="D3034">
        <v>4.8930339999999903</v>
      </c>
      <c r="E3034">
        <v>0.50287420000000005</v>
      </c>
      <c r="F3034" t="s">
        <v>44</v>
      </c>
      <c r="G3034">
        <v>-415.18329999999997</v>
      </c>
      <c r="H3034">
        <v>0.87627029999999995</v>
      </c>
      <c r="I3034">
        <v>214.16730000000001</v>
      </c>
      <c r="J3034">
        <v>-415.78559999999999</v>
      </c>
      <c r="K3034">
        <v>1.1211850000000001</v>
      </c>
      <c r="L3034">
        <v>214.1953</v>
      </c>
      <c r="M3034">
        <v>0.99941720000000001</v>
      </c>
      <c r="N3034">
        <v>-1.189698E-2</v>
      </c>
      <c r="O3034">
        <v>3.1998970000000002E-2</v>
      </c>
      <c r="P3034">
        <v>0.98010379999999997</v>
      </c>
      <c r="Q3034">
        <v>0.18970719999999999</v>
      </c>
      <c r="R3034">
        <v>5.8378670000000001E-2</v>
      </c>
      <c r="S3034">
        <v>3.2234500000000001</v>
      </c>
      <c r="T3034">
        <v>-0.82792429999999995</v>
      </c>
      <c r="U3034">
        <v>-5.5877690000000001E-2</v>
      </c>
      <c r="V3034">
        <v>-2.6977129999999998E-2</v>
      </c>
      <c r="W3034">
        <v>0.2013713</v>
      </c>
      <c r="X3034">
        <v>0.9791434</v>
      </c>
      <c r="Y3034">
        <v>4.6784560000000003E-2</v>
      </c>
      <c r="Z3034">
        <v>-1.3906299999999899E-2</v>
      </c>
      <c r="AA3034">
        <v>0.99880820000000003</v>
      </c>
      <c r="AB3034">
        <v>34</v>
      </c>
      <c r="AC3034">
        <v>0.60230000000001305</v>
      </c>
      <c r="AD3034">
        <v>-0.24491469999999901</v>
      </c>
      <c r="AE3034">
        <v>-2.79999999999915E-2</v>
      </c>
      <c r="AF3034">
        <v>4.0566756405396497E-2</v>
      </c>
      <c r="AG3034">
        <v>-0.24491469999999901</v>
      </c>
      <c r="AH3034">
        <v>0.51596474112528501</v>
      </c>
      <c r="AI3034">
        <v>115.324120016302</v>
      </c>
      <c r="AJ3034">
        <v>85.504475152257299</v>
      </c>
      <c r="AK3034">
        <v>0.57258054986685303</v>
      </c>
      <c r="AL3034">
        <v>78.382839402953095</v>
      </c>
      <c r="AM3034">
        <v>91.578200662981104</v>
      </c>
      <c r="AN3034">
        <v>0.99999998188514305</v>
      </c>
    </row>
    <row r="3035" spans="1:40" x14ac:dyDescent="0.25">
      <c r="A3035" t="str">
        <f>"20190303162839107"</f>
        <v>20190303162839107</v>
      </c>
      <c r="B3035" t="str">
        <f>"1551601719094763"</f>
        <v>1551601719094763</v>
      </c>
      <c r="C3035" t="s">
        <v>40</v>
      </c>
      <c r="D3035">
        <v>5.056254</v>
      </c>
      <c r="E3035">
        <v>0.49879679999999998</v>
      </c>
      <c r="F3035" t="s">
        <v>49</v>
      </c>
      <c r="G3035">
        <v>-401.8005</v>
      </c>
      <c r="H3035" s="1">
        <v>7.536126E-6</v>
      </c>
      <c r="I3035">
        <v>214.94390000000001</v>
      </c>
      <c r="J3035">
        <v>-415.48110000000003</v>
      </c>
      <c r="K3035">
        <v>1.121183</v>
      </c>
      <c r="L3035">
        <v>214.20500000000001</v>
      </c>
      <c r="M3035">
        <v>0.99941720000000001</v>
      </c>
      <c r="N3035">
        <v>-1.1897909999999999E-2</v>
      </c>
      <c r="O3035">
        <v>3.199896E-2</v>
      </c>
      <c r="P3035">
        <v>0.98001870000000002</v>
      </c>
      <c r="Q3035">
        <v>0.18991189999999999</v>
      </c>
      <c r="R3035">
        <v>5.91379E-2</v>
      </c>
      <c r="S3035">
        <v>3.0990600000000001</v>
      </c>
      <c r="T3035">
        <v>-0.2484497</v>
      </c>
      <c r="U3035">
        <v>0.16587829999999901</v>
      </c>
      <c r="V3035">
        <v>-2.7738369999999998E-2</v>
      </c>
      <c r="W3035">
        <v>0.20157630000000001</v>
      </c>
      <c r="X3035">
        <v>0.97907999999999995</v>
      </c>
      <c r="Y3035">
        <v>-2.1461279999999999E-2</v>
      </c>
      <c r="Z3035">
        <v>-1.1921729999999999E-3</v>
      </c>
      <c r="AA3035">
        <v>0.99976900000000002</v>
      </c>
      <c r="AB3035">
        <v>34</v>
      </c>
      <c r="AC3035">
        <v>13.6806</v>
      </c>
      <c r="AD3035">
        <v>-1.1211754638739999</v>
      </c>
      <c r="AE3035">
        <v>0.738900000000001</v>
      </c>
      <c r="AF3035">
        <v>-0.298725124884059</v>
      </c>
      <c r="AG3035">
        <v>-1.1211754638739999</v>
      </c>
      <c r="AH3035">
        <v>13.6061204971822</v>
      </c>
      <c r="AI3035">
        <v>94.709530742872701</v>
      </c>
      <c r="AJ3035">
        <v>91.25773835327</v>
      </c>
      <c r="AK3035">
        <v>13.6555038759056</v>
      </c>
      <c r="AL3035">
        <v>78.370848484581202</v>
      </c>
      <c r="AM3035">
        <v>91.6228158291093</v>
      </c>
      <c r="AN3035">
        <v>1.0000000341459701</v>
      </c>
    </row>
    <row r="3036" spans="1:40" x14ac:dyDescent="0.25">
      <c r="A3036" t="str">
        <f>"20190303162839143"</f>
        <v>20190303162839143</v>
      </c>
      <c r="B3036" t="str">
        <f>"1551601719134778"</f>
        <v>1551601719134778</v>
      </c>
      <c r="C3036" t="s">
        <v>40</v>
      </c>
      <c r="D3036">
        <v>5.0910650000000004</v>
      </c>
      <c r="E3036">
        <v>0.49592239999999999</v>
      </c>
      <c r="F3036" t="s">
        <v>48</v>
      </c>
      <c r="G3036">
        <v>-390.22050000000002</v>
      </c>
      <c r="H3036" s="1">
        <v>-1.4194589999999901E-6</v>
      </c>
      <c r="I3036">
        <v>215.8349</v>
      </c>
      <c r="J3036">
        <v>-414.93049999999999</v>
      </c>
      <c r="K3036">
        <v>1.121173</v>
      </c>
      <c r="L3036">
        <v>214.2227</v>
      </c>
      <c r="M3036">
        <v>0.99941740000000001</v>
      </c>
      <c r="N3036">
        <v>-1.1898540000000001E-2</v>
      </c>
      <c r="O3036">
        <v>3.1990789999999998E-2</v>
      </c>
      <c r="P3036">
        <v>0.98036650000000003</v>
      </c>
      <c r="Q3036">
        <v>0.1881844</v>
      </c>
      <c r="R3036">
        <v>5.8891999999999903E-2</v>
      </c>
      <c r="S3036">
        <v>3.0756839999999999</v>
      </c>
      <c r="T3036">
        <v>-0.13651340000000001</v>
      </c>
      <c r="U3036">
        <v>0.19845579999999999</v>
      </c>
      <c r="V3036">
        <v>-2.7487290000000001E-2</v>
      </c>
      <c r="W3036">
        <v>0.199854</v>
      </c>
      <c r="X3036">
        <v>0.97944010000000004</v>
      </c>
      <c r="Y3036">
        <v>-3.2407070000000003E-2</v>
      </c>
      <c r="Z3036">
        <v>-1.2569769999999999E-4</v>
      </c>
      <c r="AA3036">
        <v>0.9994748</v>
      </c>
      <c r="AB3036">
        <v>34</v>
      </c>
      <c r="AC3036">
        <v>24.709999999999901</v>
      </c>
      <c r="AD3036">
        <v>-1.1211744194590001</v>
      </c>
      <c r="AE3036">
        <v>1.6122000000000001</v>
      </c>
      <c r="AF3036">
        <v>-0.819147106316927</v>
      </c>
      <c r="AG3036">
        <v>-1.1211744194590001</v>
      </c>
      <c r="AH3036">
        <v>24.698298168292101</v>
      </c>
      <c r="AI3036">
        <v>92.597719966893294</v>
      </c>
      <c r="AJ3036">
        <v>91.899583288086404</v>
      </c>
      <c r="AK3036">
        <v>24.737299094090599</v>
      </c>
      <c r="AL3036">
        <v>78.471578996005107</v>
      </c>
      <c r="AM3036">
        <v>91.607543365868807</v>
      </c>
      <c r="AN3036">
        <v>1.0000000409577701</v>
      </c>
    </row>
    <row r="3037" spans="1:40" x14ac:dyDescent="0.25">
      <c r="A3037" t="str">
        <f>"20190303162839165"</f>
        <v>20190303162839165</v>
      </c>
      <c r="B3037" t="str">
        <f>"1551601719154298"</f>
        <v>1551601719154298</v>
      </c>
      <c r="C3037" t="s">
        <v>40</v>
      </c>
      <c r="D3037">
        <v>5.0891520000000003</v>
      </c>
      <c r="E3037">
        <v>0.49554569999999998</v>
      </c>
      <c r="F3037" t="s">
        <v>48</v>
      </c>
      <c r="G3037">
        <v>-378.98110000000003</v>
      </c>
      <c r="H3037" s="1">
        <v>3.2424859999999999E-6</v>
      </c>
      <c r="I3037">
        <v>216.79519999999999</v>
      </c>
      <c r="J3037">
        <v>-414.6026</v>
      </c>
      <c r="K3037">
        <v>1.1211549999999999</v>
      </c>
      <c r="L3037">
        <v>214.23320000000001</v>
      </c>
      <c r="M3037">
        <v>0.99941840000000004</v>
      </c>
      <c r="N3037">
        <v>-1.1898529999999999E-2</v>
      </c>
      <c r="O3037">
        <v>3.1958050000000002E-2</v>
      </c>
      <c r="P3037">
        <v>0.98065469999999999</v>
      </c>
      <c r="Q3037">
        <v>0.18630260000000001</v>
      </c>
      <c r="R3037">
        <v>6.0065929999999997E-2</v>
      </c>
      <c r="S3037">
        <v>3.0652469999999998</v>
      </c>
      <c r="T3037">
        <v>-9.5597150000000006E-2</v>
      </c>
      <c r="U3037">
        <v>0.21934509999999999</v>
      </c>
      <c r="V3037">
        <v>-2.8677680000000001E-2</v>
      </c>
      <c r="W3037">
        <v>0.19797680000000001</v>
      </c>
      <c r="X3037">
        <v>0.97978710000000002</v>
      </c>
      <c r="Y3037">
        <v>-3.9440450000000002E-2</v>
      </c>
      <c r="Z3037">
        <v>2.342349E-4</v>
      </c>
      <c r="AA3037">
        <v>0.9992219</v>
      </c>
      <c r="AB3037">
        <v>34</v>
      </c>
      <c r="AC3037">
        <v>35.621499999999898</v>
      </c>
      <c r="AD3037">
        <v>-1.121151757514</v>
      </c>
      <c r="AE3037">
        <v>2.5619999999999798</v>
      </c>
      <c r="AF3037">
        <v>-1.42081668257327</v>
      </c>
      <c r="AG3037">
        <v>-1.121151757514</v>
      </c>
      <c r="AH3037">
        <v>35.650050983489997</v>
      </c>
      <c r="AI3037">
        <v>91.799862593632099</v>
      </c>
      <c r="AJ3037">
        <v>92.282289544585595</v>
      </c>
      <c r="AK3037">
        <v>35.695963867562</v>
      </c>
      <c r="AL3037">
        <v>78.581327227613997</v>
      </c>
      <c r="AM3037">
        <v>91.676528562496401</v>
      </c>
      <c r="AN3037">
        <v>0.99999999199741596</v>
      </c>
    </row>
    <row r="3038" spans="1:40" x14ac:dyDescent="0.25">
      <c r="A3038" t="str">
        <f>"20190303162839186"</f>
        <v>20190303162839186</v>
      </c>
      <c r="B3038" t="str">
        <f>"1551601719174795"</f>
        <v>1551601719174795</v>
      </c>
      <c r="C3038" t="s">
        <v>40</v>
      </c>
      <c r="D3038">
        <v>4.728275</v>
      </c>
      <c r="E3038">
        <v>0.4952163</v>
      </c>
      <c r="F3038" t="s">
        <v>48</v>
      </c>
      <c r="G3038">
        <v>-378.77440000000001</v>
      </c>
      <c r="H3038" s="1">
        <v>3.132519E-6</v>
      </c>
      <c r="I3038">
        <v>216.85839999999999</v>
      </c>
      <c r="J3038">
        <v>-414.27519999999998</v>
      </c>
      <c r="K3038">
        <v>1.121122</v>
      </c>
      <c r="L3038">
        <v>214.24359999999999</v>
      </c>
      <c r="M3038">
        <v>0.99942089999999995</v>
      </c>
      <c r="N3038">
        <v>-1.189847E-2</v>
      </c>
      <c r="O3038">
        <v>3.1879539999999998E-2</v>
      </c>
      <c r="P3038">
        <v>0.98071969999999997</v>
      </c>
      <c r="Q3038">
        <v>0.1855974</v>
      </c>
      <c r="R3038">
        <v>6.1177960000000003E-2</v>
      </c>
      <c r="S3038">
        <v>3.0636899999999998</v>
      </c>
      <c r="T3038">
        <v>-9.5870490000000003E-2</v>
      </c>
      <c r="U3038">
        <v>0.2244873</v>
      </c>
      <c r="V3038">
        <v>-2.9849489999999999E-2</v>
      </c>
      <c r="W3038">
        <v>0.19727520000000001</v>
      </c>
      <c r="X3038">
        <v>0.97989360000000003</v>
      </c>
      <c r="Y3038">
        <v>-4.1222109999999999E-2</v>
      </c>
      <c r="Z3038">
        <v>2.7294009999999998E-4</v>
      </c>
      <c r="AA3038">
        <v>0.99914999999999998</v>
      </c>
      <c r="AB3038">
        <v>34</v>
      </c>
      <c r="AC3038">
        <v>35.500799999999899</v>
      </c>
      <c r="AD3038">
        <v>-1.121118867481</v>
      </c>
      <c r="AE3038">
        <v>2.6147999999999998</v>
      </c>
      <c r="AF3038">
        <v>-1.4801732538074699</v>
      </c>
      <c r="AG3038">
        <v>-1.121118867481</v>
      </c>
      <c r="AH3038">
        <v>35.530873717223699</v>
      </c>
      <c r="AI3038">
        <v>91.805710260010301</v>
      </c>
      <c r="AJ3038">
        <v>92.3854935884616</v>
      </c>
      <c r="AK3038">
        <v>35.579359289981703</v>
      </c>
      <c r="AL3038">
        <v>78.6223346025333</v>
      </c>
      <c r="AM3038">
        <v>91.744802796590804</v>
      </c>
      <c r="AN3038">
        <v>0.99999998195462902</v>
      </c>
    </row>
    <row r="3039" spans="1:40" x14ac:dyDescent="0.25">
      <c r="A3039" t="str">
        <f>"20190303162839207"</f>
        <v>20190303162839207</v>
      </c>
      <c r="B3039" t="str">
        <f>"1551601719194314"</f>
        <v>1551601719194314</v>
      </c>
      <c r="C3039" t="s">
        <v>40</v>
      </c>
      <c r="D3039">
        <v>5.0893179999999996</v>
      </c>
      <c r="E3039">
        <v>0.49513790000000002</v>
      </c>
      <c r="F3039" t="s">
        <v>48</v>
      </c>
      <c r="G3039">
        <v>-378.06869999999998</v>
      </c>
      <c r="H3039" s="1">
        <v>2.7569830000000002E-6</v>
      </c>
      <c r="I3039">
        <v>216.95859999999999</v>
      </c>
      <c r="J3039">
        <v>-413.94290000000001</v>
      </c>
      <c r="K3039">
        <v>1.1210869999999999</v>
      </c>
      <c r="L3039">
        <v>214.25409999999999</v>
      </c>
      <c r="M3039">
        <v>0.99942489999999995</v>
      </c>
      <c r="N3039">
        <v>-1.189844E-2</v>
      </c>
      <c r="O3039">
        <v>3.1754879999999999E-2</v>
      </c>
      <c r="P3039">
        <v>0.98060259999999999</v>
      </c>
      <c r="Q3039">
        <v>0.18592700000000001</v>
      </c>
      <c r="R3039">
        <v>6.2045030000000001E-2</v>
      </c>
      <c r="S3039">
        <v>3.062592</v>
      </c>
      <c r="T3039">
        <v>-9.4831940000000003E-2</v>
      </c>
      <c r="U3039">
        <v>0.22966</v>
      </c>
      <c r="V3039">
        <v>-3.082346E-2</v>
      </c>
      <c r="W3039">
        <v>0.19760659999999999</v>
      </c>
      <c r="X3039">
        <v>0.97979669999999996</v>
      </c>
      <c r="Y3039">
        <v>-4.3050209999999998E-2</v>
      </c>
      <c r="Z3039">
        <v>3.1816370000000002E-4</v>
      </c>
      <c r="AA3039">
        <v>0.99907279999999998</v>
      </c>
      <c r="AB3039">
        <v>34</v>
      </c>
      <c r="AC3039">
        <v>35.874200000000002</v>
      </c>
      <c r="AD3039">
        <v>-1.121084243017</v>
      </c>
      <c r="AE3039">
        <v>2.7044999999999901</v>
      </c>
      <c r="AF3039">
        <v>-1.5623572125321501</v>
      </c>
      <c r="AG3039">
        <v>-1.121084243017</v>
      </c>
      <c r="AH3039">
        <v>35.9071244009723</v>
      </c>
      <c r="AI3039">
        <v>91.786605829525897</v>
      </c>
      <c r="AJ3039">
        <v>92.491428893349806</v>
      </c>
      <c r="AK3039">
        <v>35.958578568769802</v>
      </c>
      <c r="AL3039">
        <v>78.602965862387705</v>
      </c>
      <c r="AM3039">
        <v>91.801875745773003</v>
      </c>
      <c r="AN3039">
        <v>1.0000000136904099</v>
      </c>
    </row>
    <row r="3040" spans="1:40" x14ac:dyDescent="0.25">
      <c r="A3040" t="str">
        <f>"20190303162839230"</f>
        <v>20190303162839230</v>
      </c>
      <c r="B3040" t="str">
        <f>"1551601719224570"</f>
        <v>1551601719224570</v>
      </c>
      <c r="C3040" t="s">
        <v>40</v>
      </c>
      <c r="D3040">
        <v>5.0951500000000003</v>
      </c>
      <c r="E3040">
        <v>0.49495679999999997</v>
      </c>
      <c r="F3040" t="s">
        <v>48</v>
      </c>
      <c r="G3040">
        <v>-376.77629999999999</v>
      </c>
      <c r="H3040" s="1">
        <v>2.069246E-6</v>
      </c>
      <c r="I3040">
        <v>217.09030000000001</v>
      </c>
      <c r="J3040">
        <v>-413.60210000000001</v>
      </c>
      <c r="K3040">
        <v>1.1210310000000001</v>
      </c>
      <c r="L3040">
        <v>214.2647</v>
      </c>
      <c r="M3040">
        <v>0.99943070000000001</v>
      </c>
      <c r="N3040">
        <v>-1.18984E-2</v>
      </c>
      <c r="O3040">
        <v>3.1570910000000001E-2</v>
      </c>
      <c r="P3040">
        <v>0.98059169999999996</v>
      </c>
      <c r="Q3040">
        <v>0.18579409999999999</v>
      </c>
      <c r="R3040">
        <v>6.2615130000000005E-2</v>
      </c>
      <c r="S3040">
        <v>3.0620729999999998</v>
      </c>
      <c r="T3040">
        <v>-9.2363829999999994E-2</v>
      </c>
      <c r="U3040">
        <v>0.23367309999999999</v>
      </c>
      <c r="V3040">
        <v>-3.1552190000000001E-2</v>
      </c>
      <c r="W3040">
        <v>0.1974776</v>
      </c>
      <c r="X3040">
        <v>0.97979950000000005</v>
      </c>
      <c r="Y3040">
        <v>-4.454839E-2</v>
      </c>
      <c r="Z3040">
        <v>3.6117529999999998E-4</v>
      </c>
      <c r="AA3040">
        <v>0.99900719999999998</v>
      </c>
      <c r="AB3040">
        <v>34</v>
      </c>
      <c r="AC3040">
        <v>36.825800000000001</v>
      </c>
      <c r="AD3040">
        <v>-1.12102893075399</v>
      </c>
      <c r="AE3040">
        <v>2.8256000000000001</v>
      </c>
      <c r="AF3040">
        <v>-1.6599557243732399</v>
      </c>
      <c r="AG3040">
        <v>-1.12102893075399</v>
      </c>
      <c r="AH3040">
        <v>36.862693407357</v>
      </c>
      <c r="AI3040">
        <v>91.740119012591407</v>
      </c>
      <c r="AJ3040">
        <v>92.578331653173805</v>
      </c>
      <c r="AK3040">
        <v>36.917073612561197</v>
      </c>
      <c r="AL3040">
        <v>78.610505454308097</v>
      </c>
      <c r="AM3040">
        <v>91.844441442157105</v>
      </c>
      <c r="AN3040">
        <v>1.0000000016979</v>
      </c>
    </row>
    <row r="3041" spans="1:40" x14ac:dyDescent="0.25">
      <c r="A3041" t="str">
        <f>"20190303162839253"</f>
        <v>20190303162839253</v>
      </c>
      <c r="B3041" t="str">
        <f>"1551601719244091"</f>
        <v>1551601719244091</v>
      </c>
      <c r="C3041" t="s">
        <v>40</v>
      </c>
      <c r="D3041">
        <v>4.86836</v>
      </c>
      <c r="E3041">
        <v>0.49495630000000002</v>
      </c>
      <c r="F3041" t="s">
        <v>48</v>
      </c>
      <c r="G3041">
        <v>-374.6388</v>
      </c>
      <c r="H3041" s="1">
        <v>9.3174729999999996E-7</v>
      </c>
      <c r="I3041">
        <v>217.2817</v>
      </c>
      <c r="J3041">
        <v>-413.25020000000001</v>
      </c>
      <c r="K3041">
        <v>1.120989</v>
      </c>
      <c r="L3041">
        <v>214.2756</v>
      </c>
      <c r="M3041">
        <v>0.99943890000000002</v>
      </c>
      <c r="N3041">
        <v>-1.189845E-2</v>
      </c>
      <c r="O3041">
        <v>3.1314439999999999E-2</v>
      </c>
      <c r="P3041">
        <v>0.98062959999999999</v>
      </c>
      <c r="Q3041">
        <v>0.18532670000000001</v>
      </c>
      <c r="R3041">
        <v>6.3402089999999994E-2</v>
      </c>
      <c r="S3041">
        <v>3.0609739999999999</v>
      </c>
      <c r="T3041">
        <v>-8.8068599999999997E-2</v>
      </c>
      <c r="U3041">
        <v>0.2370148</v>
      </c>
      <c r="V3041">
        <v>-3.2565370000000003E-2</v>
      </c>
      <c r="W3041">
        <v>0.19701479999999999</v>
      </c>
      <c r="X3041">
        <v>0.97985949999999999</v>
      </c>
      <c r="Y3041">
        <v>-4.5916699999999998E-2</v>
      </c>
      <c r="Z3041">
        <v>4.0620389999999998E-4</v>
      </c>
      <c r="AA3041">
        <v>0.99894519999999998</v>
      </c>
      <c r="AB3041">
        <v>34</v>
      </c>
      <c r="AC3041">
        <v>38.611400000000003</v>
      </c>
      <c r="AD3041">
        <v>-1.1209880682527</v>
      </c>
      <c r="AE3041">
        <v>3.0061</v>
      </c>
      <c r="AF3041">
        <v>-1.79394276723679</v>
      </c>
      <c r="AG3041">
        <v>-1.1209880682527</v>
      </c>
      <c r="AH3041">
        <v>38.654217660083098</v>
      </c>
      <c r="AI3041">
        <v>91.659350313176006</v>
      </c>
      <c r="AJ3041">
        <v>92.657191235545994</v>
      </c>
      <c r="AK3041">
        <v>38.712057395782601</v>
      </c>
      <c r="AL3041">
        <v>78.637553157692594</v>
      </c>
      <c r="AM3041">
        <v>91.903509368240194</v>
      </c>
      <c r="AN3041">
        <v>0.99999998724126304</v>
      </c>
    </row>
    <row r="3042" spans="1:40" x14ac:dyDescent="0.25">
      <c r="A3042" t="str">
        <f>"20190303162839276"</f>
        <v>20190303162839276</v>
      </c>
      <c r="B3042" t="str">
        <f>"1551601719264587"</f>
        <v>1551601719264587</v>
      </c>
      <c r="C3042" t="s">
        <v>40</v>
      </c>
      <c r="D3042">
        <v>4.7788430000000002</v>
      </c>
      <c r="E3042">
        <v>0.49505359999999998</v>
      </c>
      <c r="F3042" t="s">
        <v>48</v>
      </c>
      <c r="G3042">
        <v>-374.34719999999999</v>
      </c>
      <c r="H3042" s="1">
        <v>7.7657049999999898E-7</v>
      </c>
      <c r="I3042">
        <v>217.30889999999999</v>
      </c>
      <c r="J3042">
        <v>-412.91180000000003</v>
      </c>
      <c r="K3042">
        <v>1.120951</v>
      </c>
      <c r="L3042">
        <v>214.2859</v>
      </c>
      <c r="M3042">
        <v>0.99944849999999996</v>
      </c>
      <c r="N3042">
        <v>-1.1898580000000001E-2</v>
      </c>
      <c r="O3042">
        <v>3.100375E-2</v>
      </c>
      <c r="P3042">
        <v>0.98036570000000001</v>
      </c>
      <c r="Q3042">
        <v>0.18648100000000001</v>
      </c>
      <c r="R3042">
        <v>6.4095739999999998E-2</v>
      </c>
      <c r="S3042">
        <v>3.060486</v>
      </c>
      <c r="T3042">
        <v>-8.8187689999999999E-2</v>
      </c>
      <c r="U3042">
        <v>0.23863219999999999</v>
      </c>
      <c r="V3042">
        <v>-3.3547449999999999E-2</v>
      </c>
      <c r="W3042">
        <v>0.19817129999999999</v>
      </c>
      <c r="X3042">
        <v>0.97959320000000005</v>
      </c>
      <c r="Y3042">
        <v>-4.6763659999999999E-2</v>
      </c>
      <c r="Z3042">
        <v>4.2831809999999999E-4</v>
      </c>
      <c r="AA3042">
        <v>0.99890590000000001</v>
      </c>
      <c r="AB3042">
        <v>34</v>
      </c>
      <c r="AC3042">
        <v>38.564599999999999</v>
      </c>
      <c r="AD3042">
        <v>-1.1209502234294999</v>
      </c>
      <c r="AE3042">
        <v>3.0229999999999899</v>
      </c>
      <c r="AF3042">
        <v>-1.8242828587061699</v>
      </c>
      <c r="AG3042">
        <v>-1.1209502234294999</v>
      </c>
      <c r="AH3042">
        <v>38.607369727337698</v>
      </c>
      <c r="AI3042">
        <v>91.661241318874204</v>
      </c>
      <c r="AJ3042">
        <v>92.705338922947405</v>
      </c>
      <c r="AK3042">
        <v>38.6666980050706</v>
      </c>
      <c r="AL3042">
        <v>78.569958802577304</v>
      </c>
      <c r="AM3042">
        <v>91.961402342302605</v>
      </c>
      <c r="AN3042">
        <v>1.0000000665157101</v>
      </c>
    </row>
    <row r="3043" spans="1:40" x14ac:dyDescent="0.25">
      <c r="A3043" t="str">
        <f>"20190303162839297"</f>
        <v>20190303162839297</v>
      </c>
      <c r="B3043" t="str">
        <f>"1551601719284106"</f>
        <v>1551601719284106</v>
      </c>
      <c r="C3043" t="s">
        <v>40</v>
      </c>
      <c r="D3043">
        <v>5.2181829999999998</v>
      </c>
      <c r="E3043">
        <v>0.495147</v>
      </c>
      <c r="F3043" t="s">
        <v>48</v>
      </c>
      <c r="G3043">
        <v>-371.3492</v>
      </c>
      <c r="H3043" s="1">
        <v>-8.1880050000000001E-7</v>
      </c>
      <c r="I3043">
        <v>217.5403</v>
      </c>
      <c r="J3043">
        <v>-412.58730000000003</v>
      </c>
      <c r="K3043">
        <v>1.1209169999999999</v>
      </c>
      <c r="L3043">
        <v>214.29560000000001</v>
      </c>
      <c r="M3043">
        <v>0.99945930000000005</v>
      </c>
      <c r="N3043">
        <v>-1.189876E-2</v>
      </c>
      <c r="O3043">
        <v>3.0651500000000002E-2</v>
      </c>
      <c r="P3043">
        <v>0.9800101</v>
      </c>
      <c r="Q3043">
        <v>0.1882211</v>
      </c>
      <c r="R3043">
        <v>6.4443329999999993E-2</v>
      </c>
      <c r="S3043">
        <v>3.06012</v>
      </c>
      <c r="T3043">
        <v>-8.2532170000000002E-2</v>
      </c>
      <c r="U3043">
        <v>0.23960880000000001</v>
      </c>
      <c r="V3043">
        <v>-3.4227800000000003E-2</v>
      </c>
      <c r="W3043">
        <v>0.19991149999999999</v>
      </c>
      <c r="X3043">
        <v>0.97921590000000003</v>
      </c>
      <c r="Y3043">
        <v>-4.744342E-2</v>
      </c>
      <c r="Z3043">
        <v>4.608247E-4</v>
      </c>
      <c r="AA3043">
        <v>0.99887380000000003</v>
      </c>
      <c r="AB3043">
        <v>34</v>
      </c>
      <c r="AC3043">
        <v>41.238100000000003</v>
      </c>
      <c r="AD3043">
        <v>-1.1209178188005</v>
      </c>
      <c r="AE3043">
        <v>3.2446999999999901</v>
      </c>
      <c r="AF3043">
        <v>-1.9776239283235499</v>
      </c>
      <c r="AG3043">
        <v>-1.1209178188005</v>
      </c>
      <c r="AH3043">
        <v>41.287865346891699</v>
      </c>
      <c r="AI3043">
        <v>91.553352182848002</v>
      </c>
      <c r="AJ3043">
        <v>92.742281997103305</v>
      </c>
      <c r="AK3043">
        <v>41.350396347090097</v>
      </c>
      <c r="AL3043">
        <v>78.468215741641202</v>
      </c>
      <c r="AM3043">
        <v>92.001918444317297</v>
      </c>
      <c r="AN3043">
        <v>0.99999996446894901</v>
      </c>
    </row>
    <row r="3044" spans="1:40" x14ac:dyDescent="0.25">
      <c r="A3044" t="str">
        <f>"20190303162839322"</f>
        <v>20190303162839322</v>
      </c>
      <c r="B3044" t="str">
        <f>"1551601719314363"</f>
        <v>1551601719314363</v>
      </c>
      <c r="C3044" t="s">
        <v>40</v>
      </c>
      <c r="D3044">
        <v>5.2799610000000001</v>
      </c>
      <c r="E3044">
        <v>0.49526100000000001</v>
      </c>
      <c r="F3044" t="s">
        <v>48</v>
      </c>
      <c r="G3044">
        <v>-367.58510000000001</v>
      </c>
      <c r="H3044" s="1">
        <v>2.499649E-6</v>
      </c>
      <c r="I3044">
        <v>217.8374</v>
      </c>
      <c r="J3044">
        <v>-412.21109999999999</v>
      </c>
      <c r="K3044">
        <v>1.12087</v>
      </c>
      <c r="L3044">
        <v>214.30670000000001</v>
      </c>
      <c r="M3044">
        <v>0.99947330000000001</v>
      </c>
      <c r="N3044">
        <v>-1.189904E-2</v>
      </c>
      <c r="O3044">
        <v>3.0190330000000001E-2</v>
      </c>
      <c r="P3044">
        <v>0.97981870000000004</v>
      </c>
      <c r="Q3044">
        <v>0.18930659999999999</v>
      </c>
      <c r="R3044">
        <v>6.4172629999999994E-2</v>
      </c>
      <c r="S3044">
        <v>3.0599980000000002</v>
      </c>
      <c r="T3044">
        <v>-7.621849E-2</v>
      </c>
      <c r="U3044">
        <v>0.2408295</v>
      </c>
      <c r="V3044">
        <v>-3.4391819999999997E-2</v>
      </c>
      <c r="W3044">
        <v>0.20099900000000001</v>
      </c>
      <c r="X3044">
        <v>0.97898750000000001</v>
      </c>
      <c r="Y3044">
        <v>-4.8305229999999998E-2</v>
      </c>
      <c r="Z3044">
        <v>4.9690089999999997E-4</v>
      </c>
      <c r="AA3044">
        <v>0.99883250000000001</v>
      </c>
      <c r="AB3044">
        <v>34</v>
      </c>
      <c r="AC3044">
        <v>44.625999999999898</v>
      </c>
      <c r="AD3044">
        <v>-1.120867500351</v>
      </c>
      <c r="AE3044">
        <v>3.5306999999999902</v>
      </c>
      <c r="AF3044">
        <v>-2.1803543169785402</v>
      </c>
      <c r="AG3044">
        <v>-1.120867500351</v>
      </c>
      <c r="AH3044">
        <v>44.684241591421497</v>
      </c>
      <c r="AI3044">
        <v>91.435209414306499</v>
      </c>
      <c r="AJ3044">
        <v>92.793514927632401</v>
      </c>
      <c r="AK3044">
        <v>44.751443948787099</v>
      </c>
      <c r="AL3044">
        <v>78.404615626089594</v>
      </c>
      <c r="AM3044">
        <v>92.011972700723305</v>
      </c>
      <c r="AN3044">
        <v>0.99999996022007998</v>
      </c>
    </row>
    <row r="3045" spans="1:40" x14ac:dyDescent="0.25">
      <c r="A3045" t="str">
        <f>"20190303162839343"</f>
        <v>20190303162839343</v>
      </c>
      <c r="B3045" t="str">
        <f>"1551601719334858"</f>
        <v>1551601719334858</v>
      </c>
      <c r="C3045" t="s">
        <v>40</v>
      </c>
      <c r="D3045">
        <v>5.2132170000000002</v>
      </c>
      <c r="E3045">
        <v>0.49543510000000002</v>
      </c>
      <c r="F3045" t="s">
        <v>48</v>
      </c>
      <c r="G3045">
        <v>-364.4597</v>
      </c>
      <c r="H3045" s="1">
        <v>8.3647440000000005E-7</v>
      </c>
      <c r="I3045">
        <v>218.03659999999999</v>
      </c>
      <c r="J3045">
        <v>-411.87990000000002</v>
      </c>
      <c r="K3045">
        <v>1.1208400000000001</v>
      </c>
      <c r="L3045">
        <v>214.31630000000001</v>
      </c>
      <c r="M3045">
        <v>0.99948669999999995</v>
      </c>
      <c r="N3045">
        <v>-1.189933E-2</v>
      </c>
      <c r="O3045">
        <v>2.9747599999999999E-2</v>
      </c>
      <c r="P3045">
        <v>0.97970800000000002</v>
      </c>
      <c r="Q3045">
        <v>0.1898803</v>
      </c>
      <c r="R3045">
        <v>6.4171060000000002E-2</v>
      </c>
      <c r="S3045">
        <v>3.0599669999999999</v>
      </c>
      <c r="T3045">
        <v>-7.182682E-2</v>
      </c>
      <c r="U3045">
        <v>0.2390137</v>
      </c>
      <c r="V3045">
        <v>-3.4810550000000003E-2</v>
      </c>
      <c r="W3045">
        <v>0.2015749</v>
      </c>
      <c r="X3045">
        <v>0.97885429999999995</v>
      </c>
      <c r="Y3045">
        <v>-4.8160929999999998E-2</v>
      </c>
      <c r="Z3045">
        <v>5.0809019999999996E-4</v>
      </c>
      <c r="AA3045">
        <v>0.99883940000000004</v>
      </c>
      <c r="AB3045">
        <v>34</v>
      </c>
      <c r="AC3045">
        <v>47.420200000000001</v>
      </c>
      <c r="AD3045">
        <v>-1.1208391635256001</v>
      </c>
      <c r="AE3045">
        <v>3.72029999999998</v>
      </c>
      <c r="AF3045">
        <v>-2.30663564513485</v>
      </c>
      <c r="AG3045">
        <v>-1.1208391635256001</v>
      </c>
      <c r="AH3045">
        <v>47.4835230622285</v>
      </c>
      <c r="AI3045">
        <v>91.350612382475902</v>
      </c>
      <c r="AJ3045">
        <v>92.781105298441204</v>
      </c>
      <c r="AK3045">
        <v>47.552726639290498</v>
      </c>
      <c r="AL3045">
        <v>78.3709297137421</v>
      </c>
      <c r="AM3045">
        <v>92.036725409348705</v>
      </c>
      <c r="AN3045">
        <v>0.99999997766490001</v>
      </c>
    </row>
    <row r="3046" spans="1:40" x14ac:dyDescent="0.25">
      <c r="A3046" t="str">
        <f>"20190303162839367"</f>
        <v>20190303162839367</v>
      </c>
      <c r="B3046" t="str">
        <f>"1551601719354378"</f>
        <v>1551601719354378</v>
      </c>
      <c r="C3046" t="s">
        <v>40</v>
      </c>
      <c r="D3046">
        <v>4.9402599999999897</v>
      </c>
      <c r="E3046">
        <v>0.49557180000000001</v>
      </c>
      <c r="F3046" t="s">
        <v>48</v>
      </c>
      <c r="G3046">
        <v>-362.61329999999998</v>
      </c>
      <c r="H3046" s="1">
        <v>-1.4611770000000001E-7</v>
      </c>
      <c r="I3046">
        <v>218.13730000000001</v>
      </c>
      <c r="J3046">
        <v>-411.52429999999998</v>
      </c>
      <c r="K3046">
        <v>1.1208209999999901</v>
      </c>
      <c r="L3046">
        <v>214.32640000000001</v>
      </c>
      <c r="M3046">
        <v>0.99950139999999998</v>
      </c>
      <c r="N3046">
        <v>-1.1899760000000001E-2</v>
      </c>
      <c r="O3046">
        <v>2.9247180000000001E-2</v>
      </c>
      <c r="P3046">
        <v>0.97957859999999997</v>
      </c>
      <c r="Q3046">
        <v>0.19079380000000001</v>
      </c>
      <c r="R3046">
        <v>6.3431870000000001E-2</v>
      </c>
      <c r="S3046">
        <v>3.0600589999999999</v>
      </c>
      <c r="T3046">
        <v>-6.9617990000000005E-2</v>
      </c>
      <c r="U3046">
        <v>0.2373352</v>
      </c>
      <c r="V3046">
        <v>-3.4552779999999998E-2</v>
      </c>
      <c r="W3046">
        <v>0.20248830000000001</v>
      </c>
      <c r="X3046">
        <v>0.97867490000000001</v>
      </c>
      <c r="Y3046">
        <v>-4.8114900000000002E-2</v>
      </c>
      <c r="Z3046">
        <v>5.1679500000000001E-4</v>
      </c>
      <c r="AA3046">
        <v>0.99884170000000005</v>
      </c>
      <c r="AB3046">
        <v>34</v>
      </c>
      <c r="AC3046">
        <v>48.911000000000001</v>
      </c>
      <c r="AD3046">
        <v>-1.12082114611769</v>
      </c>
      <c r="AE3046">
        <v>3.8109000000000002</v>
      </c>
      <c r="AF3046">
        <v>-2.3774185247791801</v>
      </c>
      <c r="AG3046">
        <v>-1.12082114611769</v>
      </c>
      <c r="AH3046">
        <v>48.975976219059497</v>
      </c>
      <c r="AI3046">
        <v>91.309450680536997</v>
      </c>
      <c r="AJ3046">
        <v>92.779101447931296</v>
      </c>
      <c r="AK3046">
        <v>49.046453546545301</v>
      </c>
      <c r="AL3046">
        <v>78.317493908499202</v>
      </c>
      <c r="AM3046">
        <v>92.022026423651198</v>
      </c>
      <c r="AN3046">
        <v>0.99999998306631399</v>
      </c>
    </row>
    <row r="3047" spans="1:40" x14ac:dyDescent="0.25">
      <c r="A3047" t="str">
        <f>"20190303162839386"</f>
        <v>20190303162839386</v>
      </c>
      <c r="B3047" t="str">
        <f>"1551601719374875"</f>
        <v>1551601719374875</v>
      </c>
      <c r="C3047" t="s">
        <v>40</v>
      </c>
      <c r="D3047">
        <v>4.8916000000000004</v>
      </c>
      <c r="E3047">
        <v>0.49578460000000002</v>
      </c>
      <c r="F3047" t="s">
        <v>48</v>
      </c>
      <c r="G3047">
        <v>-359.76710000000003</v>
      </c>
      <c r="H3047" s="1">
        <v>3.5007190000000001E-6</v>
      </c>
      <c r="I3047">
        <v>218.2783</v>
      </c>
      <c r="J3047">
        <v>-411.22149999999999</v>
      </c>
      <c r="K3047">
        <v>1.1208039999999999</v>
      </c>
      <c r="L3047">
        <v>214.3348</v>
      </c>
      <c r="M3047">
        <v>0.99951400000000001</v>
      </c>
      <c r="N3047">
        <v>-1.1900050000000001E-2</v>
      </c>
      <c r="O3047">
        <v>2.8810519999999999E-2</v>
      </c>
      <c r="P3047">
        <v>0.97964980000000002</v>
      </c>
      <c r="Q3047">
        <v>0.19076860000000001</v>
      </c>
      <c r="R3047">
        <v>6.2396470000000002E-2</v>
      </c>
      <c r="S3047">
        <v>3.060333</v>
      </c>
      <c r="T3047">
        <v>-6.6272499999999998E-2</v>
      </c>
      <c r="U3047">
        <v>0.23367309999999999</v>
      </c>
      <c r="V3047">
        <v>-3.3936470000000003E-2</v>
      </c>
      <c r="W3047">
        <v>0.20246449999999999</v>
      </c>
      <c r="X3047">
        <v>0.97870140000000005</v>
      </c>
      <c r="Y3047">
        <v>-4.7357499999999997E-2</v>
      </c>
      <c r="Z3047">
        <v>5.1400129999999895E-4</v>
      </c>
      <c r="AA3047">
        <v>0.99887789999999999</v>
      </c>
      <c r="AB3047">
        <v>34</v>
      </c>
      <c r="AC3047">
        <v>51.4543999999999</v>
      </c>
      <c r="AD3047">
        <v>-1.1208004992809999</v>
      </c>
      <c r="AE3047">
        <v>3.9434999999999998</v>
      </c>
      <c r="AF3047">
        <v>-2.4581701853947502</v>
      </c>
      <c r="AG3047">
        <v>-1.1208004992809999</v>
      </c>
      <c r="AH3047">
        <v>51.522356894485903</v>
      </c>
      <c r="AI3047">
        <v>91.244781589005996</v>
      </c>
      <c r="AJ3047">
        <v>92.731553128033894</v>
      </c>
      <c r="AK3047">
        <v>51.593139605787997</v>
      </c>
      <c r="AL3047">
        <v>78.318886520571496</v>
      </c>
      <c r="AM3047">
        <v>91.985935414987097</v>
      </c>
      <c r="AN3047">
        <v>0.99999999405913498</v>
      </c>
    </row>
    <row r="3048" spans="1:40" x14ac:dyDescent="0.25">
      <c r="A3048" t="str">
        <f>"20190303162839409"</f>
        <v>20190303162839409</v>
      </c>
      <c r="B3048" t="str">
        <f>"1551601719404155"</f>
        <v>1551601719404155</v>
      </c>
      <c r="C3048" t="s">
        <v>40</v>
      </c>
      <c r="D3048">
        <v>4.8294350000000001</v>
      </c>
      <c r="E3048">
        <v>0.49601849999999997</v>
      </c>
      <c r="F3048" t="s">
        <v>48</v>
      </c>
      <c r="G3048">
        <v>-359.3134</v>
      </c>
      <c r="H3048" s="1">
        <v>3.2621640000000001E-6</v>
      </c>
      <c r="I3048">
        <v>218.21250000000001</v>
      </c>
      <c r="J3048">
        <v>-410.88260000000002</v>
      </c>
      <c r="K3048">
        <v>1.120798</v>
      </c>
      <c r="L3048">
        <v>214.34399999999999</v>
      </c>
      <c r="M3048">
        <v>0.99952819999999998</v>
      </c>
      <c r="N3048">
        <v>-1.190051E-2</v>
      </c>
      <c r="O3048">
        <v>2.8315860000000002E-2</v>
      </c>
      <c r="P3048">
        <v>0.97968109999999997</v>
      </c>
      <c r="Q3048">
        <v>0.19103200000000001</v>
      </c>
      <c r="R3048">
        <v>6.1089600000000001E-2</v>
      </c>
      <c r="S3048">
        <v>3.0606080000000002</v>
      </c>
      <c r="T3048">
        <v>-6.6084740000000003E-2</v>
      </c>
      <c r="U3048">
        <v>0.2286377</v>
      </c>
      <c r="V3048">
        <v>-3.3109069999999997E-2</v>
      </c>
      <c r="W3048">
        <v>0.20272789999999999</v>
      </c>
      <c r="X3048">
        <v>0.97867519999999997</v>
      </c>
      <c r="Y3048">
        <v>-4.62114E-2</v>
      </c>
      <c r="Z3048">
        <v>4.9992690000000002E-4</v>
      </c>
      <c r="AA3048">
        <v>0.99893160000000003</v>
      </c>
      <c r="AB3048">
        <v>34</v>
      </c>
      <c r="AC3048">
        <v>51.569200000000002</v>
      </c>
      <c r="AD3048">
        <v>-1.1207947378359999</v>
      </c>
      <c r="AE3048">
        <v>3.8684999999999801</v>
      </c>
      <c r="AF3048">
        <v>-2.4054890822150798</v>
      </c>
      <c r="AG3048">
        <v>-1.1207947378359999</v>
      </c>
      <c r="AH3048">
        <v>51.6338136351469</v>
      </c>
      <c r="AI3048">
        <v>91.242154681252799</v>
      </c>
      <c r="AJ3048">
        <v>92.667337177126399</v>
      </c>
      <c r="AK3048">
        <v>51.7019658144456</v>
      </c>
      <c r="AL3048">
        <v>78.303475045737997</v>
      </c>
      <c r="AM3048">
        <v>91.937605816718502</v>
      </c>
      <c r="AN3048">
        <v>0.99999997952485697</v>
      </c>
    </row>
    <row r="3049" spans="1:40" x14ac:dyDescent="0.25">
      <c r="A3049" t="str">
        <f>"20190303162839544"</f>
        <v>20190303162839544</v>
      </c>
      <c r="B3049" t="str">
        <f>"1551601719534939"</f>
        <v>1551601719534939</v>
      </c>
      <c r="C3049" t="s">
        <v>40</v>
      </c>
      <c r="D3049">
        <v>5.0404619999999998</v>
      </c>
      <c r="E3049">
        <v>0.51927299999999998</v>
      </c>
      <c r="F3049" t="s">
        <v>48</v>
      </c>
      <c r="G3049">
        <v>-357.19439999999997</v>
      </c>
      <c r="H3049" s="1">
        <v>2.1330620000000002E-6</v>
      </c>
      <c r="I3049">
        <v>218.24610000000001</v>
      </c>
      <c r="J3049">
        <v>-408.82769999999999</v>
      </c>
      <c r="K3049">
        <v>1.120743</v>
      </c>
      <c r="L3049">
        <v>214.39670000000001</v>
      </c>
      <c r="M3049">
        <v>0.99960800000000005</v>
      </c>
      <c r="N3049">
        <v>-1.190252E-2</v>
      </c>
      <c r="O3049">
        <v>2.5344760000000001E-2</v>
      </c>
      <c r="P3049">
        <v>0.9808192</v>
      </c>
      <c r="Q3049">
        <v>0.18735889999999999</v>
      </c>
      <c r="R3049">
        <v>5.3764119999999999E-2</v>
      </c>
      <c r="S3049">
        <v>3.060791</v>
      </c>
      <c r="T3049">
        <v>-6.3897129999999996E-2</v>
      </c>
      <c r="U3049">
        <v>0.22245789999999999</v>
      </c>
      <c r="V3049">
        <v>-2.8663290000000001E-2</v>
      </c>
      <c r="W3049">
        <v>0.19906479999999999</v>
      </c>
      <c r="X3049">
        <v>0.97956710000000002</v>
      </c>
      <c r="Y3049">
        <v>-4.7170440000000001E-2</v>
      </c>
      <c r="Z3049">
        <v>5.4599469999999997E-4</v>
      </c>
      <c r="AA3049">
        <v>0.99888670000000002</v>
      </c>
      <c r="AB3049">
        <v>34</v>
      </c>
      <c r="AC3049">
        <v>51.633299999999998</v>
      </c>
      <c r="AD3049">
        <v>-1.1207408669379999</v>
      </c>
      <c r="AE3049">
        <v>3.8494000000000002</v>
      </c>
      <c r="AF3049">
        <v>-2.5382478349552802</v>
      </c>
      <c r="AG3049">
        <v>-1.1207408669379999</v>
      </c>
      <c r="AH3049">
        <v>51.690061824538397</v>
      </c>
      <c r="AI3049">
        <v>91.240594729291701</v>
      </c>
      <c r="AJ3049">
        <v>92.811259239670093</v>
      </c>
      <c r="AK3049">
        <v>51.764478685553101</v>
      </c>
      <c r="AL3049">
        <v>78.5177240609585</v>
      </c>
      <c r="AM3049">
        <v>91.676063913508202</v>
      </c>
      <c r="AN3049">
        <v>1.00000004109753</v>
      </c>
    </row>
    <row r="3050" spans="1:40" x14ac:dyDescent="0.25">
      <c r="A3050" t="str">
        <f>"20190303162839566"</f>
        <v>20190303162839566</v>
      </c>
      <c r="B3050" t="str">
        <f>"1551601719554458"</f>
        <v>1551601719554458</v>
      </c>
      <c r="C3050" t="s">
        <v>40</v>
      </c>
      <c r="D3050">
        <v>4.7709089999999996</v>
      </c>
      <c r="E3050">
        <v>0.52473910000000001</v>
      </c>
      <c r="F3050" t="s">
        <v>44</v>
      </c>
      <c r="G3050">
        <v>-407.89409999999998</v>
      </c>
      <c r="H3050">
        <v>0.84439529999999996</v>
      </c>
      <c r="I3050">
        <v>214.40389999999999</v>
      </c>
      <c r="J3050">
        <v>-408.49689999999998</v>
      </c>
      <c r="K3050">
        <v>1.1207510000000001</v>
      </c>
      <c r="L3050">
        <v>214.40459999999999</v>
      </c>
      <c r="M3050">
        <v>0.99961999999999995</v>
      </c>
      <c r="N3050">
        <v>-1.190308E-2</v>
      </c>
      <c r="O3050">
        <v>2.487174E-2</v>
      </c>
      <c r="P3050">
        <v>0.98053590000000002</v>
      </c>
      <c r="Q3050">
        <v>0.18871080000000001</v>
      </c>
      <c r="R3050">
        <v>5.4202500000000001E-2</v>
      </c>
      <c r="S3050">
        <v>3.2404480000000002</v>
      </c>
      <c r="T3050">
        <v>-0.95910569999999895</v>
      </c>
      <c r="U3050">
        <v>2.5268550000000001E-2</v>
      </c>
      <c r="V3050">
        <v>-2.957094E-2</v>
      </c>
      <c r="W3050">
        <v>0.20041510000000001</v>
      </c>
      <c r="X3050">
        <v>0.97926469999999999</v>
      </c>
      <c r="Y3050">
        <v>1.540701E-2</v>
      </c>
      <c r="Z3050">
        <v>-9.2419200000000007E-3</v>
      </c>
      <c r="AA3050">
        <v>0.99983860000000002</v>
      </c>
      <c r="AB3050">
        <v>34</v>
      </c>
      <c r="AC3050">
        <v>0.602800000000002</v>
      </c>
      <c r="AD3050">
        <v>-0.27635569999999898</v>
      </c>
      <c r="AE3050">
        <v>-6.9999999999481501E-4</v>
      </c>
      <c r="AF3050">
        <v>1.29679364818276E-2</v>
      </c>
      <c r="AG3050">
        <v>-0.27635569999999898</v>
      </c>
      <c r="AH3050">
        <v>0.497939540932543</v>
      </c>
      <c r="AI3050">
        <v>119.021968290034</v>
      </c>
      <c r="AJ3050">
        <v>88.508172066227303</v>
      </c>
      <c r="AK3050">
        <v>0.569635345394927</v>
      </c>
      <c r="AL3050">
        <v>78.438766038145403</v>
      </c>
      <c r="AM3050">
        <v>91.729639955827395</v>
      </c>
      <c r="AN3050">
        <v>1.00000000273329</v>
      </c>
    </row>
    <row r="3051" spans="1:40" x14ac:dyDescent="0.25">
      <c r="A3051" t="str">
        <f>"20190303162839587"</f>
        <v>20190303162839587</v>
      </c>
      <c r="B3051" t="str">
        <f>"1551601719584715"</f>
        <v>1551601719584715</v>
      </c>
      <c r="C3051" t="s">
        <v>40</v>
      </c>
      <c r="D3051">
        <v>4.5594049999999999</v>
      </c>
      <c r="E3051">
        <v>0.55072369999999904</v>
      </c>
      <c r="F3051" t="s">
        <v>44</v>
      </c>
      <c r="G3051">
        <v>-407.5813</v>
      </c>
      <c r="H3051">
        <v>0.86387369999999997</v>
      </c>
      <c r="I3051">
        <v>214.399</v>
      </c>
      <c r="J3051">
        <v>-408.16699999999997</v>
      </c>
      <c r="K3051">
        <v>1.1207579999999999</v>
      </c>
      <c r="L3051">
        <v>214.41229999999999</v>
      </c>
      <c r="M3051">
        <v>0.99963159999999895</v>
      </c>
      <c r="N3051">
        <v>-1.190362E-2</v>
      </c>
      <c r="O3051">
        <v>2.4400760000000001E-2</v>
      </c>
      <c r="P3051">
        <v>0.98034980000000005</v>
      </c>
      <c r="Q3051">
        <v>0.18943479999999999</v>
      </c>
      <c r="R3051">
        <v>5.5039419999999999E-2</v>
      </c>
      <c r="S3051">
        <v>3.2352599999999998</v>
      </c>
      <c r="T3051">
        <v>-0.90757379999999999</v>
      </c>
      <c r="U3051">
        <v>-1.8386840000000002E-2</v>
      </c>
      <c r="V3051">
        <v>-3.0874169999999999E-2</v>
      </c>
      <c r="W3051">
        <v>0.2011387</v>
      </c>
      <c r="X3051">
        <v>0.9790761</v>
      </c>
      <c r="Y3051">
        <v>2.8087979999999999E-2</v>
      </c>
      <c r="Z3051">
        <v>-1.046532E-2</v>
      </c>
      <c r="AA3051">
        <v>0.99955059999999996</v>
      </c>
      <c r="AB3051">
        <v>34</v>
      </c>
      <c r="AC3051">
        <v>0.58569999999997402</v>
      </c>
      <c r="AD3051">
        <v>-0.25688429999999901</v>
      </c>
      <c r="AE3051">
        <v>-1.3299999999986699E-2</v>
      </c>
      <c r="AF3051">
        <v>2.3139627878917102E-2</v>
      </c>
      <c r="AG3051">
        <v>-0.25688429999999901</v>
      </c>
      <c r="AH3051">
        <v>0.49083124374659698</v>
      </c>
      <c r="AI3051">
        <v>117.599902345434</v>
      </c>
      <c r="AJ3051">
        <v>87.300860269921301</v>
      </c>
      <c r="AK3051">
        <v>0.55447298924537003</v>
      </c>
      <c r="AL3051">
        <v>78.396444999472394</v>
      </c>
      <c r="AM3051">
        <v>91.806165669895407</v>
      </c>
      <c r="AN3051">
        <v>1.0000000003010401</v>
      </c>
    </row>
    <row r="3052" spans="1:40" x14ac:dyDescent="0.25">
      <c r="A3052" t="str">
        <f>"20190303162839611"</f>
        <v>20190303162839611</v>
      </c>
      <c r="B3052" t="str">
        <f>"1551601719604235"</f>
        <v>1551601719604235</v>
      </c>
      <c r="C3052" t="s">
        <v>40</v>
      </c>
      <c r="D3052">
        <v>4.6409310000000001</v>
      </c>
      <c r="E3052">
        <v>0.549216699999999</v>
      </c>
      <c r="F3052" t="s">
        <v>48</v>
      </c>
      <c r="G3052">
        <v>-382.5718</v>
      </c>
      <c r="H3052" s="1">
        <v>-7.5692209999999995E-8</v>
      </c>
      <c r="I3052">
        <v>212.49959999999999</v>
      </c>
      <c r="J3052">
        <v>-407.80840000000001</v>
      </c>
      <c r="K3052">
        <v>1.1207579999999999</v>
      </c>
      <c r="L3052">
        <v>214.4205</v>
      </c>
      <c r="M3052">
        <v>0.99964379999999997</v>
      </c>
      <c r="N3052">
        <v>-1.190425E-2</v>
      </c>
      <c r="O3052">
        <v>2.3889480000000001E-2</v>
      </c>
      <c r="P3052">
        <v>0.98021020000000003</v>
      </c>
      <c r="Q3052">
        <v>0.19010920000000001</v>
      </c>
      <c r="R3052">
        <v>5.5197860000000001E-2</v>
      </c>
      <c r="S3052">
        <v>3.0993650000000001</v>
      </c>
      <c r="T3052">
        <v>-0.13571420000000001</v>
      </c>
      <c r="U3052">
        <v>-0.23161319999999999</v>
      </c>
      <c r="V3052">
        <v>-3.1536839999999997E-2</v>
      </c>
      <c r="W3052">
        <v>0.2018122</v>
      </c>
      <c r="X3052">
        <v>0.97891640000000002</v>
      </c>
      <c r="Y3052">
        <v>9.8193660000000002E-2</v>
      </c>
      <c r="Z3052">
        <v>-3.4918829999999999E-3</v>
      </c>
      <c r="AA3052">
        <v>0.99516119999999997</v>
      </c>
      <c r="AB3052">
        <v>34</v>
      </c>
      <c r="AC3052">
        <v>25.236599999999999</v>
      </c>
      <c r="AD3052">
        <v>-1.12075807569221</v>
      </c>
      <c r="AE3052">
        <v>-1.92090000000001</v>
      </c>
      <c r="AF3052">
        <v>2.5183454400815801</v>
      </c>
      <c r="AG3052">
        <v>-1.12075807569221</v>
      </c>
      <c r="AH3052">
        <v>25.1342186118322</v>
      </c>
      <c r="AI3052">
        <v>92.540476977122793</v>
      </c>
      <c r="AJ3052">
        <v>84.278294450275098</v>
      </c>
      <c r="AK3052">
        <v>25.284918580987799</v>
      </c>
      <c r="AL3052">
        <v>78.357048725818899</v>
      </c>
      <c r="AM3052">
        <v>91.845206698243004</v>
      </c>
      <c r="AN3052">
        <v>1.00000002726749</v>
      </c>
    </row>
    <row r="3053" spans="1:40" x14ac:dyDescent="0.25">
      <c r="A3053" t="str">
        <f>"20190303162839633"</f>
        <v>20190303162839633</v>
      </c>
      <c r="B3053" t="str">
        <f>"1551601719624732"</f>
        <v>1551601719624732</v>
      </c>
      <c r="C3053" t="s">
        <v>40</v>
      </c>
      <c r="D3053">
        <v>4.5905139999999998</v>
      </c>
      <c r="E3053">
        <v>0.54728449999999995</v>
      </c>
      <c r="F3053" t="s">
        <v>48</v>
      </c>
      <c r="G3053">
        <v>-375.44940000000003</v>
      </c>
      <c r="H3053" s="1">
        <v>1.363133E-6</v>
      </c>
      <c r="I3053">
        <v>212.1275</v>
      </c>
      <c r="J3053">
        <v>-407.47239999999999</v>
      </c>
      <c r="K3053">
        <v>1.120762</v>
      </c>
      <c r="L3053">
        <v>214.4281</v>
      </c>
      <c r="M3053">
        <v>0.99965499999999996</v>
      </c>
      <c r="N3053">
        <v>-1.1904649999999999E-2</v>
      </c>
      <c r="O3053">
        <v>2.3410739999999999E-2</v>
      </c>
      <c r="P3053">
        <v>0.98018799999999995</v>
      </c>
      <c r="Q3053">
        <v>0.19035640000000001</v>
      </c>
      <c r="R3053">
        <v>5.4735100000000002E-2</v>
      </c>
      <c r="S3053">
        <v>3.093658</v>
      </c>
      <c r="T3053">
        <v>-0.1071491</v>
      </c>
      <c r="U3053">
        <v>-0.219223</v>
      </c>
      <c r="V3053">
        <v>-3.154407E-2</v>
      </c>
      <c r="W3053">
        <v>0.20205919999999999</v>
      </c>
      <c r="X3053">
        <v>0.97886519999999999</v>
      </c>
      <c r="Y3053">
        <v>9.3937859999999998E-2</v>
      </c>
      <c r="Z3053">
        <v>-2.7157679999999999E-3</v>
      </c>
      <c r="AA3053">
        <v>0.99557439999999997</v>
      </c>
      <c r="AB3053">
        <v>34</v>
      </c>
      <c r="AC3053">
        <v>32.022999999999897</v>
      </c>
      <c r="AD3053">
        <v>-1.120760636867</v>
      </c>
      <c r="AE3053">
        <v>-2.3006000000000002</v>
      </c>
      <c r="AF3053">
        <v>3.0459927918780898</v>
      </c>
      <c r="AG3053">
        <v>-1.120760636867</v>
      </c>
      <c r="AH3053">
        <v>31.921459758735001</v>
      </c>
      <c r="AI3053">
        <v>92.001740494463604</v>
      </c>
      <c r="AJ3053">
        <v>84.549255675629496</v>
      </c>
      <c r="AK3053">
        <v>32.086036988413802</v>
      </c>
      <c r="AL3053">
        <v>78.342598832093302</v>
      </c>
      <c r="AM3053">
        <v>91.845725899577502</v>
      </c>
      <c r="AN3053">
        <v>1.00000001421392</v>
      </c>
    </row>
    <row r="3054" spans="1:40" x14ac:dyDescent="0.25">
      <c r="A3054" t="str">
        <f>"20190303162839654"</f>
        <v>20190303162839654</v>
      </c>
      <c r="B3054" t="str">
        <f>"1551601719644251"</f>
        <v>1551601719644251</v>
      </c>
      <c r="C3054" t="s">
        <v>40</v>
      </c>
      <c r="D3054">
        <v>4.6049089999999904</v>
      </c>
      <c r="E3054">
        <v>0.54660880000000001</v>
      </c>
      <c r="F3054" t="s">
        <v>48</v>
      </c>
      <c r="G3054">
        <v>-371.30489999999998</v>
      </c>
      <c r="H3054" s="1">
        <v>-8.423963E-7</v>
      </c>
      <c r="I3054">
        <v>212.03020000000001</v>
      </c>
      <c r="J3054">
        <v>-407.14060000000001</v>
      </c>
      <c r="K3054">
        <v>1.1207640000000001</v>
      </c>
      <c r="L3054">
        <v>214.43530000000001</v>
      </c>
      <c r="M3054">
        <v>0.99966600000000005</v>
      </c>
      <c r="N3054">
        <v>-1.190507E-2</v>
      </c>
      <c r="O3054">
        <v>2.2938210000000001E-2</v>
      </c>
      <c r="P3054">
        <v>0.98014429999999997</v>
      </c>
      <c r="Q3054">
        <v>0.19087000000000001</v>
      </c>
      <c r="R3054">
        <v>5.3718750000000003E-2</v>
      </c>
      <c r="S3054">
        <v>3.0906980000000002</v>
      </c>
      <c r="T3054">
        <v>-9.5775009999999994E-2</v>
      </c>
      <c r="U3054">
        <v>-0.20491029999999999</v>
      </c>
      <c r="V3054">
        <v>-3.0992269999999999E-2</v>
      </c>
      <c r="W3054">
        <v>0.20257149999999999</v>
      </c>
      <c r="X3054">
        <v>0.97877689999999995</v>
      </c>
      <c r="Y3054">
        <v>8.89628999999999E-2</v>
      </c>
      <c r="Z3054">
        <v>-2.3441209999999998E-3</v>
      </c>
      <c r="AA3054">
        <v>0.99603220000000003</v>
      </c>
      <c r="AB3054">
        <v>34</v>
      </c>
      <c r="AC3054">
        <v>35.835700000000003</v>
      </c>
      <c r="AD3054">
        <v>-1.1207648423962999</v>
      </c>
      <c r="AE3054">
        <v>-2.4051</v>
      </c>
      <c r="AF3054">
        <v>3.2233933958882699</v>
      </c>
      <c r="AG3054">
        <v>-1.1207648423962999</v>
      </c>
      <c r="AH3054">
        <v>35.736299087874499</v>
      </c>
      <c r="AI3054">
        <v>91.789067928147603</v>
      </c>
      <c r="AJ3054">
        <v>84.845901613180004</v>
      </c>
      <c r="AK3054">
        <v>35.898878134485301</v>
      </c>
      <c r="AL3054">
        <v>78.312625942236707</v>
      </c>
      <c r="AM3054">
        <v>91.813623882671905</v>
      </c>
      <c r="AN3054">
        <v>0.99999997669280605</v>
      </c>
    </row>
    <row r="3055" spans="1:40" x14ac:dyDescent="0.25">
      <c r="A3055" t="str">
        <f>"20190303162839676"</f>
        <v>20190303162839676</v>
      </c>
      <c r="B3055" t="str">
        <f>"1551601719664747"</f>
        <v>1551601719664747</v>
      </c>
      <c r="C3055" t="s">
        <v>40</v>
      </c>
      <c r="D3055">
        <v>4.5866790000000002</v>
      </c>
      <c r="E3055">
        <v>0.54547250000000003</v>
      </c>
      <c r="F3055" t="s">
        <v>48</v>
      </c>
      <c r="G3055">
        <v>-365.31380000000001</v>
      </c>
      <c r="H3055" s="1">
        <v>1.290917E-6</v>
      </c>
      <c r="I3055">
        <v>211.69159999999999</v>
      </c>
      <c r="J3055">
        <v>-406.81709999999998</v>
      </c>
      <c r="K3055">
        <v>1.1207670000000001</v>
      </c>
      <c r="L3055">
        <v>214.44229999999999</v>
      </c>
      <c r="M3055">
        <v>0.99967640000000002</v>
      </c>
      <c r="N3055">
        <v>-1.1905560000000001E-2</v>
      </c>
      <c r="O3055">
        <v>2.24776E-2</v>
      </c>
      <c r="P3055">
        <v>0.98025280000000004</v>
      </c>
      <c r="Q3055">
        <v>0.19078000000000001</v>
      </c>
      <c r="R3055">
        <v>5.2036409999999998E-2</v>
      </c>
      <c r="S3055">
        <v>3.087952</v>
      </c>
      <c r="T3055">
        <v>-8.2742449999999995E-2</v>
      </c>
      <c r="U3055">
        <v>-0.2025604</v>
      </c>
      <c r="V3055">
        <v>-2.9760209999999999E-2</v>
      </c>
      <c r="W3055">
        <v>0.20248140000000001</v>
      </c>
      <c r="X3055">
        <v>0.97883379999999998</v>
      </c>
      <c r="Y3055">
        <v>8.7822910000000004E-2</v>
      </c>
      <c r="Z3055">
        <v>-2.0329900000000001E-3</v>
      </c>
      <c r="AA3055">
        <v>0.99613399999999996</v>
      </c>
      <c r="AB3055">
        <v>34</v>
      </c>
      <c r="AC3055">
        <v>41.503299999999903</v>
      </c>
      <c r="AD3055">
        <v>-1.1207657090829899</v>
      </c>
      <c r="AE3055">
        <v>-2.7506999999999899</v>
      </c>
      <c r="AF3055">
        <v>3.6802936356804401</v>
      </c>
      <c r="AG3055">
        <v>-1.1207657090829899</v>
      </c>
      <c r="AH3055">
        <v>41.400920302728103</v>
      </c>
      <c r="AI3055">
        <v>91.544589445259803</v>
      </c>
      <c r="AJ3055">
        <v>84.920101280007202</v>
      </c>
      <c r="AK3055">
        <v>41.579284252285099</v>
      </c>
      <c r="AL3055">
        <v>78.317897785703906</v>
      </c>
      <c r="AM3055">
        <v>91.741469614126501</v>
      </c>
      <c r="AN3055">
        <v>0.99999999773382198</v>
      </c>
    </row>
    <row r="3056" spans="1:40" x14ac:dyDescent="0.25">
      <c r="A3056" t="str">
        <f>"20190303162839698"</f>
        <v>20190303162839698</v>
      </c>
      <c r="B3056" t="str">
        <f>"1551601719684267"</f>
        <v>1551601719684267</v>
      </c>
      <c r="C3056" t="s">
        <v>40</v>
      </c>
      <c r="D3056">
        <v>4.6160350000000001</v>
      </c>
      <c r="E3056">
        <v>0.54453209999999996</v>
      </c>
      <c r="F3056" t="s">
        <v>48</v>
      </c>
      <c r="G3056">
        <v>-361.04180000000002</v>
      </c>
      <c r="H3056" s="1">
        <v>-9.8240390000000007E-7</v>
      </c>
      <c r="I3056">
        <v>211.4941</v>
      </c>
      <c r="J3056">
        <v>-406.46289999999999</v>
      </c>
      <c r="K3056">
        <v>1.120765</v>
      </c>
      <c r="L3056">
        <v>214.44970000000001</v>
      </c>
      <c r="M3056">
        <v>0.99968769999999996</v>
      </c>
      <c r="N3056">
        <v>-1.1906099999999999E-2</v>
      </c>
      <c r="O3056">
        <v>2.1972820000000001E-2</v>
      </c>
      <c r="P3056">
        <v>0.98039620000000005</v>
      </c>
      <c r="Q3056">
        <v>0.19056909999999999</v>
      </c>
      <c r="R3056">
        <v>5.0070730000000001E-2</v>
      </c>
      <c r="S3056">
        <v>3.0856629999999998</v>
      </c>
      <c r="T3056">
        <v>-7.5549720000000001E-2</v>
      </c>
      <c r="U3056">
        <v>-0.1987305</v>
      </c>
      <c r="V3056">
        <v>-2.828746E-2</v>
      </c>
      <c r="W3056">
        <v>0.2022708</v>
      </c>
      <c r="X3056">
        <v>0.97892100000000004</v>
      </c>
      <c r="Y3056">
        <v>8.6144719999999994E-2</v>
      </c>
      <c r="Z3056">
        <v>-1.8429379999999999E-3</v>
      </c>
      <c r="AA3056">
        <v>0.99628090000000002</v>
      </c>
      <c r="AB3056">
        <v>34</v>
      </c>
      <c r="AC3056">
        <v>45.421099999999903</v>
      </c>
      <c r="AD3056">
        <v>-1.12076598240389</v>
      </c>
      <c r="AE3056">
        <v>-2.9556</v>
      </c>
      <c r="AF3056">
        <v>3.95059149555536</v>
      </c>
      <c r="AG3056">
        <v>-1.12076598240389</v>
      </c>
      <c r="AH3056">
        <v>45.3177092701413</v>
      </c>
      <c r="AI3056">
        <v>91.411359943465996</v>
      </c>
      <c r="AJ3056">
        <v>85.017810233036599</v>
      </c>
      <c r="AK3056">
        <v>45.503385182259997</v>
      </c>
      <c r="AL3056">
        <v>78.3302191492524</v>
      </c>
      <c r="AM3056">
        <v>91.655190951382707</v>
      </c>
      <c r="AN3056">
        <v>0.99999999058344502</v>
      </c>
    </row>
    <row r="3057" spans="1:40" x14ac:dyDescent="0.25">
      <c r="A3057" t="str">
        <f>"20190303162839725"</f>
        <v>20190303162839725</v>
      </c>
      <c r="B3057" t="str">
        <f>"1551601719714524"</f>
        <v>1551601719714524</v>
      </c>
      <c r="C3057" t="s">
        <v>40</v>
      </c>
      <c r="D3057">
        <v>4.6023069999999997</v>
      </c>
      <c r="E3057">
        <v>0.54358709999999999</v>
      </c>
      <c r="F3057" t="s">
        <v>48</v>
      </c>
      <c r="G3057">
        <v>-357.79640000000001</v>
      </c>
      <c r="H3057" s="1">
        <v>2.7552490000000002E-6</v>
      </c>
      <c r="I3057">
        <v>211.34049999999999</v>
      </c>
      <c r="J3057">
        <v>-406.0822</v>
      </c>
      <c r="K3057">
        <v>1.12076</v>
      </c>
      <c r="L3057">
        <v>214.45750000000001</v>
      </c>
      <c r="M3057">
        <v>0.99969949999999996</v>
      </c>
      <c r="N3057">
        <v>-1.1906709999999999E-2</v>
      </c>
      <c r="O3057">
        <v>2.143043E-2</v>
      </c>
      <c r="P3057">
        <v>0.98061620000000005</v>
      </c>
      <c r="Q3057">
        <v>0.18995809999999999</v>
      </c>
      <c r="R3057">
        <v>4.804216E-2</v>
      </c>
      <c r="S3057">
        <v>3.0838619999999999</v>
      </c>
      <c r="T3057">
        <v>-7.1019650000000004E-2</v>
      </c>
      <c r="U3057">
        <v>-0.19702149999999999</v>
      </c>
      <c r="V3057">
        <v>-2.6787350000000001E-2</v>
      </c>
      <c r="W3057">
        <v>0.20166039999999999</v>
      </c>
      <c r="X3057">
        <v>0.97908910000000005</v>
      </c>
      <c r="Y3057">
        <v>8.5096140000000001E-2</v>
      </c>
      <c r="Z3057">
        <v>-1.7241239999999901E-3</v>
      </c>
      <c r="AA3057">
        <v>0.99637129999999996</v>
      </c>
      <c r="AB3057">
        <v>34</v>
      </c>
      <c r="AC3057">
        <v>48.285800000000002</v>
      </c>
      <c r="AD3057">
        <v>-1.1207572447509999</v>
      </c>
      <c r="AE3057">
        <v>-3.1170000000000102</v>
      </c>
      <c r="AF3057">
        <v>4.1489168683439104</v>
      </c>
      <c r="AG3057">
        <v>-1.1207572447509999</v>
      </c>
      <c r="AH3057">
        <v>48.182055644591202</v>
      </c>
      <c r="AI3057">
        <v>91.327599157775595</v>
      </c>
      <c r="AJ3057">
        <v>85.078448056141696</v>
      </c>
      <c r="AK3057">
        <v>48.373340737647801</v>
      </c>
      <c r="AL3057">
        <v>78.365928153040997</v>
      </c>
      <c r="AM3057">
        <v>91.567190685301995</v>
      </c>
      <c r="AN3057">
        <v>0.99999997239349503</v>
      </c>
    </row>
    <row r="3058" spans="1:40" x14ac:dyDescent="0.25">
      <c r="A3058" t="str">
        <f>"20190303162839748"</f>
        <v>20190303162839748</v>
      </c>
      <c r="B3058" t="str">
        <f>"1551601719735019"</f>
        <v>1551601719735019</v>
      </c>
      <c r="C3058" t="s">
        <v>40</v>
      </c>
      <c r="D3058">
        <v>4.6039199999999996</v>
      </c>
      <c r="E3058">
        <v>0.54319390000000001</v>
      </c>
      <c r="F3058" t="s">
        <v>48</v>
      </c>
      <c r="G3058">
        <v>-352.6814</v>
      </c>
      <c r="H3058" s="1">
        <v>4.5548280000000002E-8</v>
      </c>
      <c r="I3058">
        <v>211.0608</v>
      </c>
      <c r="J3058">
        <v>-405.7115</v>
      </c>
      <c r="K3058">
        <v>1.1207579999999999</v>
      </c>
      <c r="L3058">
        <v>214.4648</v>
      </c>
      <c r="M3058">
        <v>0.99971069999999995</v>
      </c>
      <c r="N3058">
        <v>-1.1907269999999999E-2</v>
      </c>
      <c r="O3058">
        <v>2.0902520000000001E-2</v>
      </c>
      <c r="P3058">
        <v>0.98069510000000004</v>
      </c>
      <c r="Q3058">
        <v>0.19000539999999999</v>
      </c>
      <c r="R3058">
        <v>4.621049E-2</v>
      </c>
      <c r="S3058">
        <v>3.0814210000000002</v>
      </c>
      <c r="T3058">
        <v>-6.4671989999999999E-2</v>
      </c>
      <c r="U3058">
        <v>-0.19599910000000001</v>
      </c>
      <c r="V3058">
        <v>-2.5472379999999999E-2</v>
      </c>
      <c r="W3058">
        <v>0.2017071</v>
      </c>
      <c r="X3058">
        <v>0.97911459999999995</v>
      </c>
      <c r="Y3058">
        <v>8.4296549999999998E-2</v>
      </c>
      <c r="Z3058">
        <v>-1.575732E-3</v>
      </c>
      <c r="AA3058">
        <v>0.99643950000000003</v>
      </c>
      <c r="AB3058">
        <v>34</v>
      </c>
      <c r="AC3058">
        <v>53.030099999999997</v>
      </c>
      <c r="AD3058">
        <v>-1.1207579544517201</v>
      </c>
      <c r="AE3058">
        <v>-3.4039999999999901</v>
      </c>
      <c r="AF3058">
        <v>4.50979131186548</v>
      </c>
      <c r="AG3058">
        <v>-1.1207579544517201</v>
      </c>
      <c r="AH3058">
        <v>52.923813003235701</v>
      </c>
      <c r="AI3058">
        <v>91.208781584370996</v>
      </c>
      <c r="AJ3058">
        <v>85.129426821229998</v>
      </c>
      <c r="AK3058">
        <v>53.127434521822202</v>
      </c>
      <c r="AL3058">
        <v>78.363196606146204</v>
      </c>
      <c r="AM3058">
        <v>91.490255317225703</v>
      </c>
      <c r="AN3058">
        <v>0.99999999813321705</v>
      </c>
    </row>
    <row r="3059" spans="1:40" x14ac:dyDescent="0.25">
      <c r="A3059" t="str">
        <f>"20190303162839770"</f>
        <v>20190303162839770</v>
      </c>
      <c r="B3059" t="str">
        <f>"1551601719764299"</f>
        <v>1551601719764299</v>
      </c>
      <c r="C3059" t="s">
        <v>40</v>
      </c>
      <c r="D3059">
        <v>4.6019009999999998</v>
      </c>
      <c r="E3059">
        <v>0.54236269999999998</v>
      </c>
      <c r="F3059" t="s">
        <v>48</v>
      </c>
      <c r="G3059">
        <v>-346.95069999999998</v>
      </c>
      <c r="H3059" s="1">
        <v>2.1620569999999999E-6</v>
      </c>
      <c r="I3059">
        <v>210.68129999999999</v>
      </c>
      <c r="J3059">
        <v>-405.38889999999998</v>
      </c>
      <c r="K3059">
        <v>1.120757</v>
      </c>
      <c r="L3059">
        <v>214.47110000000001</v>
      </c>
      <c r="M3059">
        <v>0.99972019999999995</v>
      </c>
      <c r="N3059">
        <v>-1.190766E-2</v>
      </c>
      <c r="O3059">
        <v>2.044346E-2</v>
      </c>
      <c r="P3059">
        <v>0.98074779999999995</v>
      </c>
      <c r="Q3059">
        <v>0.1900589</v>
      </c>
      <c r="R3059">
        <v>4.4851000000000002E-2</v>
      </c>
      <c r="S3059">
        <v>3.0797729999999999</v>
      </c>
      <c r="T3059">
        <v>-5.8741090000000003E-2</v>
      </c>
      <c r="U3059">
        <v>-0.19830320000000001</v>
      </c>
      <c r="V3059">
        <v>-2.456355E-2</v>
      </c>
      <c r="W3059">
        <v>0.20175989999999999</v>
      </c>
      <c r="X3059">
        <v>0.97912690000000002</v>
      </c>
      <c r="Y3059">
        <v>8.4619609999999998E-2</v>
      </c>
      <c r="Z3059">
        <v>-1.456871E-3</v>
      </c>
      <c r="AA3059">
        <v>0.99641230000000003</v>
      </c>
      <c r="AB3059">
        <v>34</v>
      </c>
      <c r="AC3059">
        <v>58.438200000000002</v>
      </c>
      <c r="AD3059">
        <v>-1.1207548379429999</v>
      </c>
      <c r="AE3059">
        <v>-3.7898000000000098</v>
      </c>
      <c r="AF3059">
        <v>4.9819466958525398</v>
      </c>
      <c r="AG3059">
        <v>-1.1207548379429999</v>
      </c>
      <c r="AH3059">
        <v>58.327139541807398</v>
      </c>
      <c r="AI3059">
        <v>91.0968091609396</v>
      </c>
      <c r="AJ3059">
        <v>85.117995015755795</v>
      </c>
      <c r="AK3059">
        <v>58.550244161886802</v>
      </c>
      <c r="AL3059">
        <v>78.360107386291503</v>
      </c>
      <c r="AM3059">
        <v>91.437089106231895</v>
      </c>
      <c r="AN3059">
        <v>0.99999995577011003</v>
      </c>
    </row>
    <row r="3060" spans="1:40" x14ac:dyDescent="0.25">
      <c r="A3060" t="str">
        <f>"20190303162839790"</f>
        <v>20190303162839790</v>
      </c>
      <c r="B3060" t="str">
        <f>"1551601719784795"</f>
        <v>1551601719784795</v>
      </c>
      <c r="C3060" t="s">
        <v>40</v>
      </c>
      <c r="D3060">
        <v>4.6672190000000002</v>
      </c>
      <c r="E3060">
        <v>0.54133549999999997</v>
      </c>
      <c r="F3060" t="s">
        <v>48</v>
      </c>
      <c r="G3060">
        <v>-339.60239999999999</v>
      </c>
      <c r="H3060" s="1">
        <v>3.7626359999999999E-6</v>
      </c>
      <c r="I3060">
        <v>210.28139999999999</v>
      </c>
      <c r="J3060">
        <v>-405.07010000000002</v>
      </c>
      <c r="K3060">
        <v>1.1207609999999999</v>
      </c>
      <c r="L3060">
        <v>214.47720000000001</v>
      </c>
      <c r="M3060">
        <v>0.99972930000000004</v>
      </c>
      <c r="N3060">
        <v>-1.1908159999999999E-2</v>
      </c>
      <c r="O3060">
        <v>1.99924E-2</v>
      </c>
      <c r="P3060">
        <v>0.98083240000000005</v>
      </c>
      <c r="Q3060">
        <v>0.1900162</v>
      </c>
      <c r="R3060">
        <v>4.3146329999999997E-2</v>
      </c>
      <c r="S3060">
        <v>3.0780639999999999</v>
      </c>
      <c r="T3060">
        <v>-5.2438619999999998E-2</v>
      </c>
      <c r="U3060">
        <v>-0.1960297</v>
      </c>
      <c r="V3060">
        <v>-2.3300350000000001E-2</v>
      </c>
      <c r="W3060">
        <v>0.20171739999999999</v>
      </c>
      <c r="X3060">
        <v>0.9791666</v>
      </c>
      <c r="Y3060">
        <v>8.3477170000000003E-2</v>
      </c>
      <c r="Z3060">
        <v>-1.3103629999999999E-3</v>
      </c>
      <c r="AA3060">
        <v>0.99650879999999997</v>
      </c>
      <c r="AB3060">
        <v>34</v>
      </c>
      <c r="AC3060">
        <v>65.467699999999994</v>
      </c>
      <c r="AD3060">
        <v>-1.120757237364</v>
      </c>
      <c r="AE3060">
        <v>-4.1958000000000197</v>
      </c>
      <c r="AF3060">
        <v>5.50230446253574</v>
      </c>
      <c r="AG3060">
        <v>-1.120757237364</v>
      </c>
      <c r="AH3060">
        <v>65.351649041034605</v>
      </c>
      <c r="AI3060">
        <v>90.979042324210397</v>
      </c>
      <c r="AJ3060">
        <v>85.187312960023206</v>
      </c>
      <c r="AK3060">
        <v>65.592449897576699</v>
      </c>
      <c r="AL3060">
        <v>78.362594369841901</v>
      </c>
      <c r="AM3060">
        <v>91.363159054105793</v>
      </c>
      <c r="AN3060">
        <v>1.0000000231642201</v>
      </c>
    </row>
    <row r="3061" spans="1:40" x14ac:dyDescent="0.25">
      <c r="A3061" t="str">
        <f>"20190303162839813"</f>
        <v>20190303162839813</v>
      </c>
      <c r="B3061" t="str">
        <f>"1551601719804315"</f>
        <v>1551601719804315</v>
      </c>
      <c r="C3061" t="s">
        <v>40</v>
      </c>
      <c r="D3061">
        <v>4.6549909999999999</v>
      </c>
      <c r="E3061">
        <v>0.54047299999999998</v>
      </c>
      <c r="F3061" t="s">
        <v>48</v>
      </c>
      <c r="G3061">
        <v>-339.62079999999997</v>
      </c>
      <c r="H3061" s="1">
        <v>3.7687769999999998E-6</v>
      </c>
      <c r="I3061">
        <v>210.3647</v>
      </c>
      <c r="J3061">
        <v>-404.7269</v>
      </c>
      <c r="K3061">
        <v>1.12076</v>
      </c>
      <c r="L3061">
        <v>214.48349999999999</v>
      </c>
      <c r="M3061">
        <v>0.99973880000000004</v>
      </c>
      <c r="N3061">
        <v>-1.1908790000000001E-2</v>
      </c>
      <c r="O3061">
        <v>1.951193E-2</v>
      </c>
      <c r="P3061">
        <v>0.98094780000000004</v>
      </c>
      <c r="Q3061">
        <v>0.18988749999999999</v>
      </c>
      <c r="R3061">
        <v>4.1041519999999998E-2</v>
      </c>
      <c r="S3061">
        <v>3.0773009999999998</v>
      </c>
      <c r="T3061">
        <v>-5.2695869999999999E-2</v>
      </c>
      <c r="U3061">
        <v>-0.19335939999999999</v>
      </c>
      <c r="V3061">
        <v>-2.1667220000000001E-2</v>
      </c>
      <c r="W3061">
        <v>0.20158799999999999</v>
      </c>
      <c r="X3061">
        <v>0.97923070000000001</v>
      </c>
      <c r="Y3061">
        <v>8.2152729999999993E-2</v>
      </c>
      <c r="Z3061">
        <v>-1.2940709999999999E-3</v>
      </c>
      <c r="AA3061">
        <v>0.99661889999999997</v>
      </c>
      <c r="AB3061">
        <v>34</v>
      </c>
      <c r="AC3061">
        <v>65.106099999999998</v>
      </c>
      <c r="AD3061">
        <v>-1.1207562312229999</v>
      </c>
      <c r="AE3061">
        <v>-4.1187999999999896</v>
      </c>
      <c r="AF3061">
        <v>5.3868614574648896</v>
      </c>
      <c r="AG3061">
        <v>-1.1207562312229999</v>
      </c>
      <c r="AH3061">
        <v>64.994149098235496</v>
      </c>
      <c r="AI3061">
        <v>90.984532822295293</v>
      </c>
      <c r="AJ3061">
        <v>85.262026068890194</v>
      </c>
      <c r="AK3061">
        <v>65.226634037756497</v>
      </c>
      <c r="AL3061">
        <v>78.370163400197796</v>
      </c>
      <c r="AM3061">
        <v>91.267564138448805</v>
      </c>
      <c r="AN3061">
        <v>0.99999997699450804</v>
      </c>
    </row>
    <row r="3062" spans="1:40" x14ac:dyDescent="0.25">
      <c r="A3062" t="str">
        <f>"20190303162839834"</f>
        <v>20190303162839834</v>
      </c>
      <c r="B3062" t="str">
        <f>"1551601719824811"</f>
        <v>1551601719824811</v>
      </c>
      <c r="C3062" t="s">
        <v>40</v>
      </c>
      <c r="D3062">
        <v>4.6483030000000003</v>
      </c>
      <c r="E3062">
        <v>0.53973590000000005</v>
      </c>
      <c r="F3062" t="s">
        <v>48</v>
      </c>
      <c r="G3062">
        <v>-338.56119999999999</v>
      </c>
      <c r="H3062" s="1">
        <v>3.2061859999999999E-6</v>
      </c>
      <c r="I3062">
        <v>210.3349</v>
      </c>
      <c r="J3062">
        <v>-404.39389999999997</v>
      </c>
      <c r="K3062">
        <v>1.1207640000000001</v>
      </c>
      <c r="L3062">
        <v>214.48949999999999</v>
      </c>
      <c r="M3062">
        <v>0.99974750000000001</v>
      </c>
      <c r="N3062">
        <v>-1.1909370000000001E-2</v>
      </c>
      <c r="O3062">
        <v>1.9054270000000002E-2</v>
      </c>
      <c r="P3062">
        <v>0.98107710000000004</v>
      </c>
      <c r="Q3062">
        <v>0.1895742</v>
      </c>
      <c r="R3062">
        <v>3.9359570000000003E-2</v>
      </c>
      <c r="S3062">
        <v>3.076355</v>
      </c>
      <c r="T3062">
        <v>-5.2109240000000001E-2</v>
      </c>
      <c r="U3062">
        <v>-0.19288640000000001</v>
      </c>
      <c r="V3062">
        <v>-2.043538E-2</v>
      </c>
      <c r="W3062">
        <v>0.20127410000000001</v>
      </c>
      <c r="X3062">
        <v>0.97932180000000002</v>
      </c>
      <c r="Y3062">
        <v>8.1563549999999999E-2</v>
      </c>
      <c r="Z3062">
        <v>-1.2720639999999901E-3</v>
      </c>
      <c r="AA3062">
        <v>0.99666730000000003</v>
      </c>
      <c r="AB3062">
        <v>34</v>
      </c>
      <c r="AC3062">
        <v>65.832699999999903</v>
      </c>
      <c r="AD3062">
        <v>-1.1207607938139901</v>
      </c>
      <c r="AE3062">
        <v>-4.1545999999999799</v>
      </c>
      <c r="AF3062">
        <v>5.4067678360021798</v>
      </c>
      <c r="AG3062">
        <v>-1.1207607938139901</v>
      </c>
      <c r="AH3062">
        <v>65.722605166876093</v>
      </c>
      <c r="AI3062">
        <v>90.973675696665893</v>
      </c>
      <c r="AJ3062">
        <v>85.297067888299793</v>
      </c>
      <c r="AK3062">
        <v>65.954151295505795</v>
      </c>
      <c r="AL3062">
        <v>78.388525508030298</v>
      </c>
      <c r="AM3062">
        <v>91.195410058193104</v>
      </c>
      <c r="AN3062">
        <v>1.0000000280208901</v>
      </c>
    </row>
    <row r="3063" spans="1:40" x14ac:dyDescent="0.25">
      <c r="A3063" t="str">
        <f>"20190303162839857"</f>
        <v>20190303162839857</v>
      </c>
      <c r="B3063" t="str">
        <f>"1551601719844330"</f>
        <v>1551601719844330</v>
      </c>
      <c r="C3063" t="s">
        <v>40</v>
      </c>
      <c r="D3063">
        <v>4.6255059999999997</v>
      </c>
      <c r="E3063">
        <v>0.53904219999999903</v>
      </c>
      <c r="F3063" t="s">
        <v>48</v>
      </c>
      <c r="G3063">
        <v>-341.01280000000003</v>
      </c>
      <c r="H3063" s="1">
        <v>-9.9783300000000007E-7</v>
      </c>
      <c r="I3063">
        <v>210.52940000000001</v>
      </c>
      <c r="J3063">
        <v>-404.05380000000002</v>
      </c>
      <c r="K3063">
        <v>1.1207800000000001</v>
      </c>
      <c r="L3063">
        <v>214.49549999999999</v>
      </c>
      <c r="M3063">
        <v>0.99975619999999998</v>
      </c>
      <c r="N3063">
        <v>-1.1909869999999999E-2</v>
      </c>
      <c r="O3063">
        <v>1.8599399999999999E-2</v>
      </c>
      <c r="P3063">
        <v>0.98103289999999999</v>
      </c>
      <c r="Q3063">
        <v>0.190136</v>
      </c>
      <c r="R3063">
        <v>3.7722619999999998E-2</v>
      </c>
      <c r="S3063">
        <v>3.076111</v>
      </c>
      <c r="T3063">
        <v>-5.4394720000000001E-2</v>
      </c>
      <c r="U3063">
        <v>-0.1921997</v>
      </c>
      <c r="V3063">
        <v>-1.9250239999999998E-2</v>
      </c>
      <c r="W3063">
        <v>0.20183409999999999</v>
      </c>
      <c r="X3063">
        <v>0.9792305</v>
      </c>
      <c r="Y3063">
        <v>8.0892099999999995E-2</v>
      </c>
      <c r="Z3063">
        <v>-1.3040090000000001E-3</v>
      </c>
      <c r="AA3063">
        <v>0.996722</v>
      </c>
      <c r="AB3063">
        <v>34</v>
      </c>
      <c r="AC3063">
        <v>63.040999999999997</v>
      </c>
      <c r="AD3063">
        <v>-1.1207809978329999</v>
      </c>
      <c r="AE3063">
        <v>-3.96609999999998</v>
      </c>
      <c r="AF3063">
        <v>5.1364045245831704</v>
      </c>
      <c r="AG3063">
        <v>-1.1207809978329999</v>
      </c>
      <c r="AH3063">
        <v>62.936506612719903</v>
      </c>
      <c r="AI3063">
        <v>91.016842347122093</v>
      </c>
      <c r="AJ3063">
        <v>85.334289686120201</v>
      </c>
      <c r="AK3063">
        <v>63.155701770293</v>
      </c>
      <c r="AL3063">
        <v>78.355766954778005</v>
      </c>
      <c r="AM3063">
        <v>91.126206196862299</v>
      </c>
      <c r="AN3063">
        <v>0.99999997389655804</v>
      </c>
    </row>
    <row r="3064" spans="1:40" x14ac:dyDescent="0.25">
      <c r="A3064" t="str">
        <f>"20190303162839878"</f>
        <v>20190303162839878</v>
      </c>
      <c r="B3064" t="str">
        <f>"1551601719874587"</f>
        <v>1551601719874587</v>
      </c>
      <c r="C3064" t="s">
        <v>40</v>
      </c>
      <c r="D3064">
        <v>4.7099760000000002</v>
      </c>
      <c r="E3064">
        <v>0.53811779999999998</v>
      </c>
      <c r="F3064" t="s">
        <v>48</v>
      </c>
      <c r="G3064">
        <v>-337.81270000000001</v>
      </c>
      <c r="H3064" s="1">
        <v>2.8066069999999999E-6</v>
      </c>
      <c r="I3064">
        <v>210.36490000000001</v>
      </c>
      <c r="J3064">
        <v>-403.72750000000002</v>
      </c>
      <c r="K3064">
        <v>1.1207990000000001</v>
      </c>
      <c r="L3064">
        <v>214.50110000000001</v>
      </c>
      <c r="M3064">
        <v>0.99976390000000004</v>
      </c>
      <c r="N3064">
        <v>-1.191038E-2</v>
      </c>
      <c r="O3064">
        <v>1.8177470000000001E-2</v>
      </c>
      <c r="P3064">
        <v>0.98083690000000001</v>
      </c>
      <c r="Q3064">
        <v>0.19151170000000001</v>
      </c>
      <c r="R3064">
        <v>3.5805780000000002E-2</v>
      </c>
      <c r="S3064">
        <v>3.0754090000000001</v>
      </c>
      <c r="T3064">
        <v>-5.203497E-2</v>
      </c>
      <c r="U3064">
        <v>-0.19177250000000001</v>
      </c>
      <c r="V3064">
        <v>-1.7755099999999999E-2</v>
      </c>
      <c r="W3064">
        <v>0.20320460000000001</v>
      </c>
      <c r="X3064">
        <v>0.97897529999999999</v>
      </c>
      <c r="Y3064">
        <v>8.0349309999999993E-2</v>
      </c>
      <c r="Z3064">
        <v>-1.2490660000000001E-3</v>
      </c>
      <c r="AA3064">
        <v>0.99676600000000004</v>
      </c>
      <c r="AB3064">
        <v>34</v>
      </c>
      <c r="AC3064">
        <v>65.9148</v>
      </c>
      <c r="AD3064">
        <v>-1.120796193393</v>
      </c>
      <c r="AE3064">
        <v>-4.1361999999999997</v>
      </c>
      <c r="AF3064">
        <v>5.3322300765178197</v>
      </c>
      <c r="AG3064">
        <v>-1.120796193393</v>
      </c>
      <c r="AH3064">
        <v>65.809764082344003</v>
      </c>
      <c r="AI3064">
        <v>90.972515015562195</v>
      </c>
      <c r="AJ3064">
        <v>85.367734050724195</v>
      </c>
      <c r="AK3064">
        <v>66.034944614725205</v>
      </c>
      <c r="AL3064">
        <v>78.275581754651</v>
      </c>
      <c r="AM3064">
        <v>91.039025987381393</v>
      </c>
      <c r="AN3064">
        <v>0.99999999552362995</v>
      </c>
    </row>
    <row r="3065" spans="1:40" x14ac:dyDescent="0.25">
      <c r="A3065" t="str">
        <f>"20190303162839901"</f>
        <v>20190303162839901</v>
      </c>
      <c r="B3065" t="str">
        <f>"1551601719894107"</f>
        <v>1551601719894107</v>
      </c>
      <c r="C3065" t="s">
        <v>40</v>
      </c>
      <c r="D3065">
        <v>4.7345969999999999</v>
      </c>
      <c r="E3065">
        <v>0.53749399999999903</v>
      </c>
      <c r="F3065" t="s">
        <v>48</v>
      </c>
      <c r="G3065">
        <v>-330.20589999999999</v>
      </c>
      <c r="H3065" s="1">
        <v>-1.2243000000000001E-6</v>
      </c>
      <c r="I3065">
        <v>209.97380000000001</v>
      </c>
      <c r="J3065">
        <v>-403.3698</v>
      </c>
      <c r="K3065">
        <v>1.120822</v>
      </c>
      <c r="L3065">
        <v>214.50710000000001</v>
      </c>
      <c r="M3065">
        <v>0.99977179999999999</v>
      </c>
      <c r="N3065">
        <v>-1.1914589999999999E-2</v>
      </c>
      <c r="O3065">
        <v>1.7733820000000001E-2</v>
      </c>
      <c r="P3065">
        <v>0.98045640000000001</v>
      </c>
      <c r="Q3065">
        <v>0.19378139999999999</v>
      </c>
      <c r="R3065">
        <v>3.3970340000000002E-2</v>
      </c>
      <c r="S3065">
        <v>3.074646</v>
      </c>
      <c r="T3065">
        <v>-4.6871419999999997E-2</v>
      </c>
      <c r="U3065">
        <v>-0.1893311</v>
      </c>
      <c r="V3065">
        <v>-1.6367739999999999E-2</v>
      </c>
      <c r="W3065">
        <v>0.20547180000000001</v>
      </c>
      <c r="X3065">
        <v>0.97852620000000001</v>
      </c>
      <c r="Y3065">
        <v>7.9137189999999996E-2</v>
      </c>
      <c r="Z3065">
        <v>-1.1335749999999999E-3</v>
      </c>
      <c r="AA3065">
        <v>0.9968631</v>
      </c>
      <c r="AB3065">
        <v>34</v>
      </c>
      <c r="AC3065">
        <v>73.163899999999998</v>
      </c>
      <c r="AD3065">
        <v>-1.1208232243</v>
      </c>
      <c r="AE3065">
        <v>-4.5332999999999899</v>
      </c>
      <c r="AF3065">
        <v>5.8287917968746603</v>
      </c>
      <c r="AG3065">
        <v>-1.1208232243</v>
      </c>
      <c r="AH3065">
        <v>73.054915301346497</v>
      </c>
      <c r="AI3065">
        <v>90.876190428600395</v>
      </c>
      <c r="AJ3065">
        <v>85.438237079390703</v>
      </c>
      <c r="AK3065">
        <v>73.295645902047596</v>
      </c>
      <c r="AL3065">
        <v>78.142881366938497</v>
      </c>
      <c r="AM3065">
        <v>90.958293170076303</v>
      </c>
      <c r="AN3065">
        <v>1.0000000437971901</v>
      </c>
    </row>
    <row r="3066" spans="1:40" x14ac:dyDescent="0.25">
      <c r="A3066" t="str">
        <f>"20190303162839923"</f>
        <v>20190303162839923</v>
      </c>
      <c r="B3066" t="str">
        <f>"1551601719914604"</f>
        <v>1551601719914604</v>
      </c>
      <c r="C3066" t="s">
        <v>40</v>
      </c>
      <c r="D3066">
        <v>4.7657030000000002</v>
      </c>
      <c r="E3066">
        <v>0.53704090000000004</v>
      </c>
      <c r="F3066" t="s">
        <v>48</v>
      </c>
      <c r="G3066">
        <v>-323.6644</v>
      </c>
      <c r="H3066">
        <v>5.9701459999999998E-2</v>
      </c>
      <c r="I3066">
        <v>209.60659999999999</v>
      </c>
      <c r="J3066">
        <v>-403.03500000000003</v>
      </c>
      <c r="K3066">
        <v>1.120838</v>
      </c>
      <c r="L3066">
        <v>214.51259999999999</v>
      </c>
      <c r="M3066">
        <v>0.99977859999999996</v>
      </c>
      <c r="N3066">
        <v>-1.1923059999999999E-2</v>
      </c>
      <c r="O3066">
        <v>1.7342380000000001E-2</v>
      </c>
      <c r="P3066">
        <v>0.98045450000000001</v>
      </c>
      <c r="Q3066">
        <v>0.19412860000000001</v>
      </c>
      <c r="R3066">
        <v>3.1990629999999999E-2</v>
      </c>
      <c r="S3066">
        <v>3.0744630000000002</v>
      </c>
      <c r="T3066">
        <v>-4.0930389999999997E-2</v>
      </c>
      <c r="U3066">
        <v>-0.1890259</v>
      </c>
      <c r="V3066">
        <v>-1.4780629999999999E-2</v>
      </c>
      <c r="W3066">
        <v>0.20582410000000001</v>
      </c>
      <c r="X3066">
        <v>0.97847740000000005</v>
      </c>
      <c r="Y3066">
        <v>7.8655180000000005E-2</v>
      </c>
      <c r="Z3066">
        <v>-1.0165630000000001E-3</v>
      </c>
      <c r="AA3066">
        <v>0.99690140000000005</v>
      </c>
      <c r="AB3066">
        <v>34</v>
      </c>
      <c r="AC3066">
        <v>79.370599999999996</v>
      </c>
      <c r="AD3066">
        <v>-1.0611365399999999</v>
      </c>
      <c r="AE3066">
        <v>-4.9059999999999997</v>
      </c>
      <c r="AF3066">
        <v>6.2807165749880403</v>
      </c>
      <c r="AG3066">
        <v>-1.0611365399999999</v>
      </c>
      <c r="AH3066">
        <v>79.2594610094106</v>
      </c>
      <c r="AI3066">
        <v>90.764641241723496</v>
      </c>
      <c r="AJ3066">
        <v>85.469207786429095</v>
      </c>
      <c r="AK3066">
        <v>79.515002175401705</v>
      </c>
      <c r="AL3066">
        <v>78.122254972040196</v>
      </c>
      <c r="AM3066">
        <v>90.865429607885702</v>
      </c>
      <c r="AN3066">
        <v>1.0000000247373799</v>
      </c>
    </row>
    <row r="3067" spans="1:40" x14ac:dyDescent="0.25">
      <c r="A3067" t="str">
        <f>"20190303162839948"</f>
        <v>20190303162839948</v>
      </c>
      <c r="B3067" t="str">
        <f>"1551601719934672"</f>
        <v>1551601719934672</v>
      </c>
      <c r="C3067" t="s">
        <v>40</v>
      </c>
      <c r="D3067">
        <v>4.850873</v>
      </c>
      <c r="E3067">
        <v>0.53638850000000005</v>
      </c>
      <c r="F3067" t="s">
        <v>48</v>
      </c>
      <c r="G3067">
        <v>-323.52609999999999</v>
      </c>
      <c r="H3067">
        <v>6.2752730000000007E-2</v>
      </c>
      <c r="I3067">
        <v>209.6036</v>
      </c>
      <c r="J3067">
        <v>-402.66489999999999</v>
      </c>
      <c r="K3067">
        <v>1.12086</v>
      </c>
      <c r="L3067">
        <v>214.51859999999999</v>
      </c>
      <c r="M3067">
        <v>0.99978520000000004</v>
      </c>
      <c r="N3067">
        <v>-1.193379E-2</v>
      </c>
      <c r="O3067">
        <v>1.6946429999999998E-2</v>
      </c>
      <c r="P3067">
        <v>0.98068029999999995</v>
      </c>
      <c r="Q3067">
        <v>0.19323950000000001</v>
      </c>
      <c r="R3067">
        <v>3.0410070000000001E-2</v>
      </c>
      <c r="S3067">
        <v>3.0741269999999998</v>
      </c>
      <c r="T3067">
        <v>-4.0909769999999998E-2</v>
      </c>
      <c r="U3067">
        <v>-0.1898041</v>
      </c>
      <c r="V3067">
        <v>-1.3597150000000001E-2</v>
      </c>
      <c r="W3067">
        <v>0.2049463</v>
      </c>
      <c r="X3067">
        <v>0.97867879999999996</v>
      </c>
      <c r="Y3067">
        <v>7.8518480000000002E-2</v>
      </c>
      <c r="Z3067">
        <v>-1.0142319999999999E-3</v>
      </c>
      <c r="AA3067">
        <v>0.99691209999999997</v>
      </c>
      <c r="AB3067">
        <v>34</v>
      </c>
      <c r="AC3067">
        <v>79.138800000000003</v>
      </c>
      <c r="AD3067">
        <v>-1.05810727</v>
      </c>
      <c r="AE3067">
        <v>-4.9149999999999903</v>
      </c>
      <c r="AF3067">
        <v>6.2543959482918199</v>
      </c>
      <c r="AG3067">
        <v>-1.05810727</v>
      </c>
      <c r="AH3067">
        <v>79.030062873260803</v>
      </c>
      <c r="AI3067">
        <v>90.764677749418098</v>
      </c>
      <c r="AJ3067">
        <v>85.475074239679401</v>
      </c>
      <c r="AK3067">
        <v>79.284222247710801</v>
      </c>
      <c r="AL3067">
        <v>78.173644850897801</v>
      </c>
      <c r="AM3067">
        <v>90.795980446314402</v>
      </c>
      <c r="AN3067">
        <v>1.0000000309706201</v>
      </c>
    </row>
    <row r="3068" spans="1:40" x14ac:dyDescent="0.25">
      <c r="A3068" t="str">
        <f>"20190303162839969"</f>
        <v>20190303162839969</v>
      </c>
      <c r="B3068" t="str">
        <f>"1551601719964928"</f>
        <v>1551601719964928</v>
      </c>
      <c r="C3068" t="s">
        <v>40</v>
      </c>
      <c r="D3068">
        <v>4.7540250000000004</v>
      </c>
      <c r="E3068">
        <v>0.53580859999999997</v>
      </c>
      <c r="F3068" t="s">
        <v>48</v>
      </c>
      <c r="G3068">
        <v>-322.85750000000002</v>
      </c>
      <c r="H3068">
        <v>5.1975710000000001E-2</v>
      </c>
      <c r="I3068">
        <v>209.61429999999999</v>
      </c>
      <c r="J3068">
        <v>-402.3254</v>
      </c>
      <c r="K3068">
        <v>1.120884</v>
      </c>
      <c r="L3068">
        <v>214.524</v>
      </c>
      <c r="M3068">
        <v>0.99979079999999998</v>
      </c>
      <c r="N3068">
        <v>-1.194338E-2</v>
      </c>
      <c r="O3068">
        <v>1.6609180000000001E-2</v>
      </c>
      <c r="P3068">
        <v>0.98084130000000003</v>
      </c>
      <c r="Q3068">
        <v>0.19262460000000001</v>
      </c>
      <c r="R3068">
        <v>2.9088719999999998E-2</v>
      </c>
      <c r="S3068">
        <v>3.0730590000000002</v>
      </c>
      <c r="T3068">
        <v>-4.1158439999999998E-2</v>
      </c>
      <c r="U3068">
        <v>-0.18884280000000001</v>
      </c>
      <c r="V3068">
        <v>-1.26155E-2</v>
      </c>
      <c r="W3068">
        <v>0.20434040000000001</v>
      </c>
      <c r="X3068">
        <v>0.97881859999999998</v>
      </c>
      <c r="Y3068">
        <v>7.7892799999999998E-2</v>
      </c>
      <c r="Z3068">
        <v>-1.0108350000000001E-3</v>
      </c>
      <c r="AA3068">
        <v>0.99696119999999999</v>
      </c>
      <c r="AB3068">
        <v>34</v>
      </c>
      <c r="AC3068">
        <v>79.467899999999901</v>
      </c>
      <c r="AD3068">
        <v>-1.06890829</v>
      </c>
      <c r="AE3068">
        <v>-4.9097000000000097</v>
      </c>
      <c r="AF3068">
        <v>6.2278908586974602</v>
      </c>
      <c r="AG3068">
        <v>-1.06890829</v>
      </c>
      <c r="AH3068">
        <v>79.361080812541303</v>
      </c>
      <c r="AI3068">
        <v>90.769300879938399</v>
      </c>
      <c r="AJ3068">
        <v>85.512888056327995</v>
      </c>
      <c r="AK3068">
        <v>79.612249919312006</v>
      </c>
      <c r="AL3068">
        <v>78.209110585456202</v>
      </c>
      <c r="AM3068">
        <v>90.738415562771095</v>
      </c>
      <c r="AN3068">
        <v>1.0000000008091801</v>
      </c>
    </row>
    <row r="3069" spans="1:40" x14ac:dyDescent="0.25">
      <c r="A3069" t="str">
        <f>"20190303162839990"</f>
        <v>20190303162839990</v>
      </c>
      <c r="B3069" t="str">
        <f>"1551601719984449"</f>
        <v>1551601719984449</v>
      </c>
      <c r="C3069" t="s">
        <v>40</v>
      </c>
      <c r="D3069">
        <v>4.8380080000000003</v>
      </c>
      <c r="E3069">
        <v>0.52254829999999997</v>
      </c>
      <c r="F3069" t="s">
        <v>48</v>
      </c>
      <c r="G3069">
        <v>-321.93549999999999</v>
      </c>
      <c r="H3069">
        <v>6.8445610000000004E-2</v>
      </c>
      <c r="I3069">
        <v>209.59790000000001</v>
      </c>
      <c r="J3069">
        <v>-402.02330000000001</v>
      </c>
      <c r="K3069">
        <v>1.120908</v>
      </c>
      <c r="L3069">
        <v>214.52869999999999</v>
      </c>
      <c r="M3069">
        <v>0.99979530000000005</v>
      </c>
      <c r="N3069">
        <v>-1.1951359999999999E-2</v>
      </c>
      <c r="O3069">
        <v>1.6329050000000001E-2</v>
      </c>
      <c r="P3069">
        <v>0.98082740000000002</v>
      </c>
      <c r="Q3069">
        <v>0.19284509999999999</v>
      </c>
      <c r="R3069">
        <v>2.808459E-2</v>
      </c>
      <c r="S3069">
        <v>3.0720519999999998</v>
      </c>
      <c r="T3069">
        <v>-4.021835E-2</v>
      </c>
      <c r="U3069">
        <v>-0.18824769999999999</v>
      </c>
      <c r="V3069">
        <v>-1.189568E-2</v>
      </c>
      <c r="W3069">
        <v>0.20456730000000001</v>
      </c>
      <c r="X3069">
        <v>0.97878019999999999</v>
      </c>
      <c r="Y3069">
        <v>7.7441599999999999E-2</v>
      </c>
      <c r="Z3069">
        <v>-9.8830350000000001E-4</v>
      </c>
      <c r="AA3069">
        <v>0.9969964</v>
      </c>
      <c r="AB3069">
        <v>34</v>
      </c>
      <c r="AC3069">
        <v>80.087800000000001</v>
      </c>
      <c r="AD3069">
        <v>-1.0524623900000001</v>
      </c>
      <c r="AE3069">
        <v>-4.9307999999999703</v>
      </c>
      <c r="AF3069">
        <v>6.2369204962925497</v>
      </c>
      <c r="AG3069">
        <v>-1.0524623900000001</v>
      </c>
      <c r="AH3069">
        <v>79.982839019453294</v>
      </c>
      <c r="AI3069">
        <v>90.751607493165494</v>
      </c>
      <c r="AJ3069">
        <v>85.541199121654103</v>
      </c>
      <c r="AK3069">
        <v>80.232545715384205</v>
      </c>
      <c r="AL3069">
        <v>78.195829423646003</v>
      </c>
      <c r="AM3069">
        <v>90.696314354537904</v>
      </c>
      <c r="AN3069">
        <v>0.99999998367199605</v>
      </c>
    </row>
    <row r="3070" spans="1:40" x14ac:dyDescent="0.25">
      <c r="A3070" t="str">
        <f>"20190303162840013"</f>
        <v>20190303162840013</v>
      </c>
      <c r="B3070" t="str">
        <f>"1551601720004945"</f>
        <v>1551601720004945</v>
      </c>
      <c r="C3070" t="s">
        <v>40</v>
      </c>
      <c r="D3070">
        <v>4.8395239999999999</v>
      </c>
      <c r="E3070">
        <v>0.5226807</v>
      </c>
      <c r="F3070" t="s">
        <v>54</v>
      </c>
      <c r="G3070">
        <v>-168.41059999999999</v>
      </c>
      <c r="H3070">
        <v>1.779709</v>
      </c>
      <c r="I3070">
        <v>207.9469</v>
      </c>
      <c r="J3070">
        <v>-401.65710000000001</v>
      </c>
      <c r="K3070">
        <v>1.12093</v>
      </c>
      <c r="L3070">
        <v>214.5343</v>
      </c>
      <c r="M3070">
        <v>0.99980029999999998</v>
      </c>
      <c r="N3070">
        <v>-1.1960459999999999E-2</v>
      </c>
      <c r="O3070">
        <v>1.6010259999999998E-2</v>
      </c>
      <c r="P3070">
        <v>0.98079950000000005</v>
      </c>
      <c r="Q3070">
        <v>0.19308839999999999</v>
      </c>
      <c r="R3070">
        <v>2.7371380000000001E-2</v>
      </c>
      <c r="S3070">
        <v>3.0594480000000002</v>
      </c>
      <c r="T3070">
        <v>8.6282489999999993E-3</v>
      </c>
      <c r="U3070">
        <v>-8.6196899999999896E-2</v>
      </c>
      <c r="V3070">
        <v>-1.1506280000000001E-2</v>
      </c>
      <c r="W3070">
        <v>0.2048179</v>
      </c>
      <c r="X3070">
        <v>0.97873250000000001</v>
      </c>
      <c r="Y3070">
        <v>4.4163099999999997E-2</v>
      </c>
      <c r="Z3070" s="1">
        <v>3.4692759999999998E-5</v>
      </c>
      <c r="AA3070">
        <v>0.99902429999999998</v>
      </c>
      <c r="AB3070">
        <v>34</v>
      </c>
      <c r="AC3070">
        <v>233.2465</v>
      </c>
      <c r="AD3070">
        <v>0.658779</v>
      </c>
      <c r="AE3070">
        <v>-6.5873999999999997</v>
      </c>
      <c r="AF3070">
        <v>10.321077490748801</v>
      </c>
      <c r="AG3070">
        <v>0.658779</v>
      </c>
      <c r="AH3070">
        <v>233.10926835129399</v>
      </c>
      <c r="AI3070">
        <v>89.838238033256502</v>
      </c>
      <c r="AJ3070">
        <v>87.464844618827698</v>
      </c>
      <c r="AK3070">
        <v>233.33857293987299</v>
      </c>
      <c r="AL3070">
        <v>78.181161140400903</v>
      </c>
      <c r="AM3070">
        <v>90.673555759188304</v>
      </c>
      <c r="AN3070">
        <v>1.0000000365980399</v>
      </c>
    </row>
    <row r="3071" spans="1:40" x14ac:dyDescent="0.25">
      <c r="A3071" t="str">
        <f>"20190303162840035"</f>
        <v>20190303162840035</v>
      </c>
      <c r="B3071" t="str">
        <f>"1551601720024096"</f>
        <v>1551601720024096</v>
      </c>
      <c r="C3071" t="s">
        <v>40</v>
      </c>
      <c r="D3071">
        <v>4.8352259999999996</v>
      </c>
      <c r="E3071">
        <v>0.52248430000000001</v>
      </c>
      <c r="F3071" t="s">
        <v>54</v>
      </c>
      <c r="G3071">
        <v>-168.41059999999999</v>
      </c>
      <c r="H3071">
        <v>1.581118</v>
      </c>
      <c r="I3071">
        <v>207.71039999999999</v>
      </c>
      <c r="J3071">
        <v>-401.3254</v>
      </c>
      <c r="K3071">
        <v>1.120941</v>
      </c>
      <c r="L3071">
        <v>214.5393</v>
      </c>
      <c r="M3071">
        <v>0.99980469999999999</v>
      </c>
      <c r="N3071">
        <v>-1.1967999999999999E-2</v>
      </c>
      <c r="O3071">
        <v>1.573538E-2</v>
      </c>
      <c r="P3071">
        <v>0.98080160000000005</v>
      </c>
      <c r="Q3071">
        <v>0.19309129999999999</v>
      </c>
      <c r="R3071">
        <v>2.7279319999999999E-2</v>
      </c>
      <c r="S3071">
        <v>3.0599980000000002</v>
      </c>
      <c r="T3071">
        <v>6.0377119999999998E-3</v>
      </c>
      <c r="U3071">
        <v>-8.9523320000000003E-2</v>
      </c>
      <c r="V3071">
        <v>-1.169153E-2</v>
      </c>
      <c r="W3071">
        <v>0.20482819999999999</v>
      </c>
      <c r="X3071">
        <v>0.97872809999999999</v>
      </c>
      <c r="Y3071">
        <v>4.4968569999999999E-2</v>
      </c>
      <c r="Z3071" s="1">
        <v>-5.4803970000000002E-6</v>
      </c>
      <c r="AA3071">
        <v>0.9989884</v>
      </c>
      <c r="AB3071">
        <v>34</v>
      </c>
      <c r="AC3071">
        <v>232.91480000000001</v>
      </c>
      <c r="AD3071">
        <v>0.460177</v>
      </c>
      <c r="AE3071">
        <v>-6.8289</v>
      </c>
      <c r="AF3071">
        <v>10.493278363546599</v>
      </c>
      <c r="AG3071">
        <v>0.460177</v>
      </c>
      <c r="AH3071">
        <v>232.77758809681399</v>
      </c>
      <c r="AI3071">
        <v>89.886847279446002</v>
      </c>
      <c r="AJ3071">
        <v>87.418936152132801</v>
      </c>
      <c r="AK3071">
        <v>233.01443340243199</v>
      </c>
      <c r="AL3071">
        <v>78.180557635218705</v>
      </c>
      <c r="AM3071">
        <v>90.684401995240194</v>
      </c>
      <c r="AN3071">
        <v>0.99999998855929495</v>
      </c>
    </row>
    <row r="3072" spans="1:40" x14ac:dyDescent="0.25">
      <c r="A3072" t="str">
        <f>"20190303162840056"</f>
        <v>20190303162840056</v>
      </c>
      <c r="B3072" t="str">
        <f>"1551601720044572"</f>
        <v>1551601720044572</v>
      </c>
      <c r="C3072" t="s">
        <v>40</v>
      </c>
      <c r="D3072">
        <v>4.8809809999999896</v>
      </c>
      <c r="E3072">
        <v>0.53019769999999999</v>
      </c>
      <c r="F3072" t="s">
        <v>54</v>
      </c>
      <c r="G3072">
        <v>-168.41059999999999</v>
      </c>
      <c r="H3072">
        <v>1.5720419999999999</v>
      </c>
      <c r="I3072">
        <v>207.76480000000001</v>
      </c>
      <c r="J3072">
        <v>-401.00439999999998</v>
      </c>
      <c r="K3072">
        <v>1.120943</v>
      </c>
      <c r="L3072">
        <v>214.54409999999999</v>
      </c>
      <c r="M3072">
        <v>0.99980860000000005</v>
      </c>
      <c r="N3072">
        <v>-1.1974520000000001E-2</v>
      </c>
      <c r="O3072">
        <v>1.5477589999999999E-2</v>
      </c>
      <c r="P3072">
        <v>0.98087729999999995</v>
      </c>
      <c r="Q3072">
        <v>0.1926872</v>
      </c>
      <c r="R3072">
        <v>2.742004E-2</v>
      </c>
      <c r="S3072">
        <v>3.0600589999999999</v>
      </c>
      <c r="T3072">
        <v>5.9270859999999998E-3</v>
      </c>
      <c r="U3072">
        <v>-8.9004520000000004E-2</v>
      </c>
      <c r="V3072">
        <v>-1.2089249999999999E-2</v>
      </c>
      <c r="W3072">
        <v>0.20443140000000001</v>
      </c>
      <c r="X3072">
        <v>0.97880630000000002</v>
      </c>
      <c r="Y3072">
        <v>4.4541209999999998E-2</v>
      </c>
      <c r="Z3072" s="1">
        <v>-8.3458439999999993E-6</v>
      </c>
      <c r="AA3072">
        <v>0.99900750000000005</v>
      </c>
      <c r="AB3072">
        <v>34</v>
      </c>
      <c r="AC3072">
        <v>232.59379999999999</v>
      </c>
      <c r="AD3072">
        <v>0.45109899999999897</v>
      </c>
      <c r="AE3072">
        <v>-6.7792999999999699</v>
      </c>
      <c r="AF3072">
        <v>10.378698093295601</v>
      </c>
      <c r="AG3072">
        <v>0.45109899999999897</v>
      </c>
      <c r="AH3072">
        <v>232.460126375464</v>
      </c>
      <c r="AI3072">
        <v>89.888925834699805</v>
      </c>
      <c r="AJ3072">
        <v>87.443600521680295</v>
      </c>
      <c r="AK3072">
        <v>232.692138283433</v>
      </c>
      <c r="AL3072">
        <v>78.203784941714702</v>
      </c>
      <c r="AM3072">
        <v>90.707624975806198</v>
      </c>
      <c r="AN3072">
        <v>1.0000000600956001</v>
      </c>
    </row>
    <row r="3073" spans="1:40" x14ac:dyDescent="0.25">
      <c r="A3073" t="str">
        <f>"20190303162840078"</f>
        <v>20190303162840078</v>
      </c>
      <c r="B3073" t="str">
        <f>"1551601720074830"</f>
        <v>1551601720074830</v>
      </c>
      <c r="C3073" t="s">
        <v>40</v>
      </c>
      <c r="D3073">
        <v>4.801329</v>
      </c>
      <c r="E3073">
        <v>0.53222239999999998</v>
      </c>
      <c r="F3073" t="s">
        <v>48</v>
      </c>
      <c r="G3073">
        <v>-375.0446</v>
      </c>
      <c r="H3073" s="1">
        <v>1.1476659999999999E-6</v>
      </c>
      <c r="I3073">
        <v>213.2946</v>
      </c>
      <c r="J3073">
        <v>-400.66849999999999</v>
      </c>
      <c r="K3073">
        <v>1.1209559999999901</v>
      </c>
      <c r="L3073">
        <v>214.54900000000001</v>
      </c>
      <c r="M3073">
        <v>0.99981249999999999</v>
      </c>
      <c r="N3073">
        <v>-1.198082E-2</v>
      </c>
      <c r="O3073">
        <v>1.5213030000000001E-2</v>
      </c>
      <c r="P3073">
        <v>0.98091329999999999</v>
      </c>
      <c r="Q3073">
        <v>0.1925201</v>
      </c>
      <c r="R3073">
        <v>2.72973E-2</v>
      </c>
      <c r="S3073">
        <v>3.0888369999999998</v>
      </c>
      <c r="T3073">
        <v>-0.1333753</v>
      </c>
      <c r="U3073">
        <v>-0.1486664</v>
      </c>
      <c r="V3073">
        <v>-1.2229220000000001E-2</v>
      </c>
      <c r="W3073">
        <v>0.20427090000000001</v>
      </c>
      <c r="X3073">
        <v>0.97883799999999999</v>
      </c>
      <c r="Y3073">
        <v>6.3183059999999999E-2</v>
      </c>
      <c r="Z3073">
        <v>-2.2158E-3</v>
      </c>
      <c r="AA3073">
        <v>0.99799950000000004</v>
      </c>
      <c r="AB3073">
        <v>34</v>
      </c>
      <c r="AC3073">
        <v>25.6238999999999</v>
      </c>
      <c r="AD3073">
        <v>-1.1209548523339901</v>
      </c>
      <c r="AE3073">
        <v>-1.2544</v>
      </c>
      <c r="AF3073">
        <v>1.6409670544867601</v>
      </c>
      <c r="AG3073">
        <v>-1.1209548523339901</v>
      </c>
      <c r="AH3073">
        <v>25.553064331480201</v>
      </c>
      <c r="AI3073">
        <v>92.506668444011694</v>
      </c>
      <c r="AJ3073">
        <v>86.325624245355698</v>
      </c>
      <c r="AK3073">
        <v>25.630224528545401</v>
      </c>
      <c r="AL3073">
        <v>78.213178343472293</v>
      </c>
      <c r="AM3073">
        <v>90.715793869428595</v>
      </c>
      <c r="AN3073">
        <v>0.99999999232630898</v>
      </c>
    </row>
    <row r="3074" spans="1:40" x14ac:dyDescent="0.25">
      <c r="A3074" t="str">
        <f>"20190303162840102"</f>
        <v>20190303162840102</v>
      </c>
      <c r="B3074" t="str">
        <f>"1551601720094349"</f>
        <v>1551601720094349</v>
      </c>
      <c r="C3074" t="s">
        <v>40</v>
      </c>
      <c r="D3074">
        <v>4.8263020000000001</v>
      </c>
      <c r="E3074">
        <v>0.53205009999999997</v>
      </c>
      <c r="F3074" t="s">
        <v>44</v>
      </c>
      <c r="G3074">
        <v>-399.90289999999999</v>
      </c>
      <c r="H3074">
        <v>0.96190920000000002</v>
      </c>
      <c r="I3074">
        <v>214.511</v>
      </c>
      <c r="J3074">
        <v>-400.30180000000001</v>
      </c>
      <c r="K3074">
        <v>1.1209610000000001</v>
      </c>
      <c r="L3074">
        <v>214.55430000000001</v>
      </c>
      <c r="M3074">
        <v>0.99981679999999995</v>
      </c>
      <c r="N3074">
        <v>-1.198747E-2</v>
      </c>
      <c r="O3074">
        <v>1.4925610000000001E-2</v>
      </c>
      <c r="P3074">
        <v>0.980993</v>
      </c>
      <c r="Q3074">
        <v>0.19218150000000001</v>
      </c>
      <c r="R3074">
        <v>2.681878E-2</v>
      </c>
      <c r="S3074">
        <v>3.1929630000000002</v>
      </c>
      <c r="T3074">
        <v>-0.66336249999999997</v>
      </c>
      <c r="U3074">
        <v>-0.1583252</v>
      </c>
      <c r="V3074">
        <v>-1.20345E-2</v>
      </c>
      <c r="W3074">
        <v>0.20393900000000001</v>
      </c>
      <c r="X3074">
        <v>0.97890960000000005</v>
      </c>
      <c r="Y3074">
        <v>6.2729880000000002E-2</v>
      </c>
      <c r="Z3074">
        <v>-9.7135529999999998E-3</v>
      </c>
      <c r="AA3074">
        <v>0.99798330000000002</v>
      </c>
      <c r="AB3074">
        <v>34</v>
      </c>
      <c r="AC3074">
        <v>0.39890000000002601</v>
      </c>
      <c r="AD3074">
        <v>-0.15905179999999999</v>
      </c>
      <c r="AE3074">
        <v>-4.3300000000016298E-2</v>
      </c>
      <c r="AF3074">
        <v>4.2561672052635002E-2</v>
      </c>
      <c r="AG3074">
        <v>-0.15905179999999999</v>
      </c>
      <c r="AH3074">
        <v>0.34413496848904002</v>
      </c>
      <c r="AI3074">
        <v>114.640158396299</v>
      </c>
      <c r="AJ3074">
        <v>82.949616877199404</v>
      </c>
      <c r="AK3074">
        <v>0.38149423003252497</v>
      </c>
      <c r="AL3074">
        <v>78.232603529156705</v>
      </c>
      <c r="AM3074">
        <v>90.704346268599494</v>
      </c>
      <c r="AN3074">
        <v>0.99999997494170401</v>
      </c>
    </row>
    <row r="3075" spans="1:40" x14ac:dyDescent="0.25">
      <c r="A3075" t="str">
        <f>"20190303162840124"</f>
        <v>20190303162840124</v>
      </c>
      <c r="B3075" t="str">
        <f>"1551601720114845"</f>
        <v>1551601720114845</v>
      </c>
      <c r="C3075" t="s">
        <v>40</v>
      </c>
      <c r="D3075">
        <v>4.838476</v>
      </c>
      <c r="E3075">
        <v>0.53193029999999997</v>
      </c>
      <c r="F3075" t="s">
        <v>44</v>
      </c>
      <c r="G3075">
        <v>-399.60379999999998</v>
      </c>
      <c r="H3075">
        <v>0.94818619999999998</v>
      </c>
      <c r="I3075">
        <v>214.5197</v>
      </c>
      <c r="J3075">
        <v>-399.96809999999999</v>
      </c>
      <c r="K3075">
        <v>1.120962</v>
      </c>
      <c r="L3075">
        <v>214.559</v>
      </c>
      <c r="M3075">
        <v>0.99982070000000001</v>
      </c>
      <c r="N3075">
        <v>-1.1992829999999999E-2</v>
      </c>
      <c r="O3075">
        <v>1.4663610000000001E-2</v>
      </c>
      <c r="P3075">
        <v>0.98109299999999999</v>
      </c>
      <c r="Q3075">
        <v>0.19174359999999999</v>
      </c>
      <c r="R3075">
        <v>2.6295430000000002E-2</v>
      </c>
      <c r="S3075">
        <v>3.2185060000000001</v>
      </c>
      <c r="T3075">
        <v>-0.79673909999999903</v>
      </c>
      <c r="U3075">
        <v>-0.15675349999999999</v>
      </c>
      <c r="V3075">
        <v>-1.1768590000000001E-2</v>
      </c>
      <c r="W3075">
        <v>0.2035071</v>
      </c>
      <c r="X3075">
        <v>0.9790027</v>
      </c>
      <c r="Y3075">
        <v>6.096041E-2</v>
      </c>
      <c r="Z3075">
        <v>-1.1201350000000001E-2</v>
      </c>
      <c r="AA3075">
        <v>0.99807729999999995</v>
      </c>
      <c r="AB3075">
        <v>34</v>
      </c>
      <c r="AC3075">
        <v>0.364300000000014</v>
      </c>
      <c r="AD3075">
        <v>-0.17277580000000001</v>
      </c>
      <c r="AE3075">
        <v>-3.9300000000025599E-2</v>
      </c>
      <c r="AF3075">
        <v>3.6518496755974003E-2</v>
      </c>
      <c r="AG3075">
        <v>-0.17277580000000001</v>
      </c>
      <c r="AH3075">
        <v>0.297530770062786</v>
      </c>
      <c r="AI3075">
        <v>119.958017101019</v>
      </c>
      <c r="AJ3075">
        <v>83.002596814726004</v>
      </c>
      <c r="AK3075">
        <v>0.34599080450947001</v>
      </c>
      <c r="AL3075">
        <v>78.257879512157004</v>
      </c>
      <c r="AM3075">
        <v>90.688719307227501</v>
      </c>
      <c r="AN3075">
        <v>0.99999996303414296</v>
      </c>
    </row>
    <row r="3076" spans="1:40" x14ac:dyDescent="0.25">
      <c r="A3076" t="str">
        <f>"20190303162840147"</f>
        <v>20190303162840147</v>
      </c>
      <c r="B3076" t="str">
        <f>"1551601720144091"</f>
        <v>1551601720144091</v>
      </c>
      <c r="C3076" t="s">
        <v>40</v>
      </c>
      <c r="D3076">
        <v>4.802575</v>
      </c>
      <c r="E3076">
        <v>0.53218799999999999</v>
      </c>
      <c r="F3076" t="s">
        <v>44</v>
      </c>
      <c r="G3076">
        <v>-399.02699999999999</v>
      </c>
      <c r="H3076">
        <v>0.87057819999999997</v>
      </c>
      <c r="I3076">
        <v>214.5129</v>
      </c>
      <c r="J3076">
        <v>-399.6191</v>
      </c>
      <c r="K3076">
        <v>1.120965</v>
      </c>
      <c r="L3076">
        <v>214.56379999999999</v>
      </c>
      <c r="M3076">
        <v>0.99982459999999995</v>
      </c>
      <c r="N3076">
        <v>-1.199778E-2</v>
      </c>
      <c r="O3076">
        <v>1.438832E-2</v>
      </c>
      <c r="P3076">
        <v>0.98119670000000003</v>
      </c>
      <c r="Q3076">
        <v>0.19120200000000001</v>
      </c>
      <c r="R3076">
        <v>2.636171E-2</v>
      </c>
      <c r="S3076">
        <v>3.2300110000000002</v>
      </c>
      <c r="T3076">
        <v>-0.85943890000000001</v>
      </c>
      <c r="U3076">
        <v>-0.15774540000000001</v>
      </c>
      <c r="V3076">
        <v>-1.210514E-2</v>
      </c>
      <c r="W3076">
        <v>0.2029716</v>
      </c>
      <c r="X3076">
        <v>0.97910980000000003</v>
      </c>
      <c r="Y3076">
        <v>6.0492539999999997E-2</v>
      </c>
      <c r="Z3076">
        <v>-1.186677E-2</v>
      </c>
      <c r="AA3076">
        <v>0.99809809999999999</v>
      </c>
      <c r="AB3076">
        <v>34</v>
      </c>
      <c r="AC3076">
        <v>0.59210000000001595</v>
      </c>
      <c r="AD3076">
        <v>-0.25038680000000002</v>
      </c>
      <c r="AE3076">
        <v>-5.0899999999984402E-2</v>
      </c>
      <c r="AF3076">
        <v>5.0457672368941602E-2</v>
      </c>
      <c r="AG3076">
        <v>-0.25038680000000002</v>
      </c>
      <c r="AH3076">
        <v>0.50216453525503202</v>
      </c>
      <c r="AI3076">
        <v>116.386785613686</v>
      </c>
      <c r="AJ3076">
        <v>84.262158163966006</v>
      </c>
      <c r="AK3076">
        <v>0.56339040352408798</v>
      </c>
      <c r="AL3076">
        <v>78.289215882957706</v>
      </c>
      <c r="AM3076">
        <v>90.708335364595499</v>
      </c>
      <c r="AN3076">
        <v>1.0000000026385001</v>
      </c>
    </row>
    <row r="3077" spans="1:40" x14ac:dyDescent="0.25">
      <c r="A3077" t="str">
        <f>"20190303162840180"</f>
        <v>20190303162840180</v>
      </c>
      <c r="B3077" t="str">
        <f>"1551601720174347"</f>
        <v>1551601720174347</v>
      </c>
      <c r="C3077" t="s">
        <v>40</v>
      </c>
      <c r="D3077">
        <v>4.8520260000000004</v>
      </c>
      <c r="E3077">
        <v>0.53271369999999996</v>
      </c>
      <c r="F3077" t="s">
        <v>44</v>
      </c>
      <c r="G3077">
        <v>-398.721</v>
      </c>
      <c r="H3077">
        <v>0.8712704</v>
      </c>
      <c r="I3077">
        <v>214.5187</v>
      </c>
      <c r="J3077">
        <v>-399.12369999999999</v>
      </c>
      <c r="K3077">
        <v>1.120965</v>
      </c>
      <c r="L3077">
        <v>214.57050000000001</v>
      </c>
      <c r="M3077">
        <v>0.99983</v>
      </c>
      <c r="N3077">
        <v>-1.200392E-2</v>
      </c>
      <c r="O3077">
        <v>1.399566E-2</v>
      </c>
      <c r="P3077">
        <v>0.98131749999999995</v>
      </c>
      <c r="Q3077">
        <v>0.19059580000000001</v>
      </c>
      <c r="R3077">
        <v>2.6252359999999999E-2</v>
      </c>
      <c r="S3077">
        <v>3.2372130000000001</v>
      </c>
      <c r="T3077">
        <v>-0.90000840000000004</v>
      </c>
      <c r="U3077">
        <v>-0.16163640000000001</v>
      </c>
      <c r="V3077">
        <v>-1.2381690000000001E-2</v>
      </c>
      <c r="W3077">
        <v>0.20237350000000001</v>
      </c>
      <c r="X3077">
        <v>0.97923020000000005</v>
      </c>
      <c r="Y3077">
        <v>6.0948090000000003E-2</v>
      </c>
      <c r="Z3077">
        <v>-1.2334670000000001E-2</v>
      </c>
      <c r="AA3077">
        <v>0.99806470000000003</v>
      </c>
      <c r="AB3077">
        <v>34</v>
      </c>
      <c r="AC3077">
        <v>0.40269999999998102</v>
      </c>
      <c r="AD3077">
        <v>-0.24969459999999999</v>
      </c>
      <c r="AE3077">
        <v>-5.1800000000014203E-2</v>
      </c>
      <c r="AF3077">
        <v>4.1671129645489399E-2</v>
      </c>
      <c r="AG3077">
        <v>-0.24969459999999999</v>
      </c>
      <c r="AH3077">
        <v>0.29163683954265901</v>
      </c>
      <c r="AI3077">
        <v>130.28376692413201</v>
      </c>
      <c r="AJ3077">
        <v>81.868217991217193</v>
      </c>
      <c r="AK3077">
        <v>0.386181204220922</v>
      </c>
      <c r="AL3077">
        <v>78.324211457777196</v>
      </c>
      <c r="AM3077">
        <v>90.724426980420802</v>
      </c>
      <c r="AN3077">
        <v>1.0000000621707701</v>
      </c>
    </row>
    <row r="3078" spans="1:40" x14ac:dyDescent="0.25">
      <c r="A3078" t="str">
        <f>"20190303162840202"</f>
        <v>20190303162840202</v>
      </c>
      <c r="B3078" t="str">
        <f>"1551601720194843"</f>
        <v>1551601720194843</v>
      </c>
      <c r="C3078" t="s">
        <v>40</v>
      </c>
      <c r="D3078">
        <v>4.8575540000000004</v>
      </c>
      <c r="E3078">
        <v>0.53297749999999999</v>
      </c>
      <c r="F3078" t="s">
        <v>44</v>
      </c>
      <c r="G3078">
        <v>-398.3963</v>
      </c>
      <c r="H3078">
        <v>0.91487350000000001</v>
      </c>
      <c r="I3078">
        <v>214.53290000000001</v>
      </c>
      <c r="J3078">
        <v>-398.77550000000002</v>
      </c>
      <c r="K3078">
        <v>1.1209639999999901</v>
      </c>
      <c r="L3078">
        <v>214.57499999999999</v>
      </c>
      <c r="M3078">
        <v>0.99983390000000005</v>
      </c>
      <c r="N3078">
        <v>-1.200768E-2</v>
      </c>
      <c r="O3078">
        <v>1.371928E-2</v>
      </c>
      <c r="P3078">
        <v>0.98156120000000002</v>
      </c>
      <c r="Q3078">
        <v>0.18940309999999999</v>
      </c>
      <c r="R3078">
        <v>2.5780540000000001E-2</v>
      </c>
      <c r="S3078">
        <v>3.2398069999999999</v>
      </c>
      <c r="T3078">
        <v>-0.91783230000000005</v>
      </c>
      <c r="U3078">
        <v>-0.16505429999999999</v>
      </c>
      <c r="V3078">
        <v>-1.2179280000000001E-2</v>
      </c>
      <c r="W3078">
        <v>0.20118720000000001</v>
      </c>
      <c r="X3078">
        <v>0.97947709999999999</v>
      </c>
      <c r="Y3078">
        <v>6.1559860000000001E-2</v>
      </c>
      <c r="Z3078">
        <v>-1.257164E-2</v>
      </c>
      <c r="AA3078">
        <v>0.99802420000000003</v>
      </c>
      <c r="AB3078">
        <v>34</v>
      </c>
      <c r="AC3078">
        <v>0.37920000000002502</v>
      </c>
      <c r="AD3078">
        <v>-0.20609049999999901</v>
      </c>
      <c r="AE3078">
        <v>-4.2099999999976399E-2</v>
      </c>
      <c r="AF3078">
        <v>3.6615121175907601E-2</v>
      </c>
      <c r="AG3078">
        <v>-0.20609049999999901</v>
      </c>
      <c r="AH3078">
        <v>0.29307314831966402</v>
      </c>
      <c r="AI3078">
        <v>124.906576832548</v>
      </c>
      <c r="AJ3078">
        <v>82.878645337757405</v>
      </c>
      <c r="AK3078">
        <v>0.36014695827533499</v>
      </c>
      <c r="AL3078">
        <v>78.393608240204898</v>
      </c>
      <c r="AM3078">
        <v>90.712406017500697</v>
      </c>
      <c r="AN3078">
        <v>1.0000000068647801</v>
      </c>
    </row>
    <row r="3079" spans="1:40" x14ac:dyDescent="0.25">
      <c r="A3079" t="str">
        <f>"20190303162840224"</f>
        <v>20190303162840224</v>
      </c>
      <c r="B3079" t="str">
        <f>"1551601720214362"</f>
        <v>1551601720214362</v>
      </c>
      <c r="C3079" t="s">
        <v>40</v>
      </c>
      <c r="D3079">
        <v>4.8984079999999999</v>
      </c>
      <c r="E3079">
        <v>0.53313449999999996</v>
      </c>
      <c r="F3079" t="s">
        <v>44</v>
      </c>
      <c r="G3079">
        <v>-398.08629999999999</v>
      </c>
      <c r="H3079">
        <v>0.92379420000000001</v>
      </c>
      <c r="I3079">
        <v>214.53890000000001</v>
      </c>
      <c r="J3079">
        <v>-398.43349999999998</v>
      </c>
      <c r="K3079">
        <v>1.1209530000000001</v>
      </c>
      <c r="L3079">
        <v>214.5795</v>
      </c>
      <c r="M3079">
        <v>0.99983739999999999</v>
      </c>
      <c r="N3079">
        <v>-1.201084E-2</v>
      </c>
      <c r="O3079">
        <v>1.3448679999999999E-2</v>
      </c>
      <c r="P3079">
        <v>0.98188529999999996</v>
      </c>
      <c r="Q3079">
        <v>0.18775530000000001</v>
      </c>
      <c r="R3079">
        <v>2.548477E-2</v>
      </c>
      <c r="S3079">
        <v>3.2395939999999999</v>
      </c>
      <c r="T3079">
        <v>-0.926898</v>
      </c>
      <c r="U3079">
        <v>-0.16830439999999999</v>
      </c>
      <c r="V3079">
        <v>-1.214701E-2</v>
      </c>
      <c r="W3079">
        <v>0.1995461</v>
      </c>
      <c r="X3079">
        <v>0.97981320000000005</v>
      </c>
      <c r="Y3079">
        <v>6.2215840000000001E-2</v>
      </c>
      <c r="Z3079">
        <v>-1.271306E-2</v>
      </c>
      <c r="AA3079">
        <v>0.99798169999999997</v>
      </c>
      <c r="AB3079">
        <v>34</v>
      </c>
      <c r="AC3079">
        <v>0.34719999999998602</v>
      </c>
      <c r="AD3079">
        <v>-0.1971588</v>
      </c>
      <c r="AE3079">
        <v>-4.0599999999983503E-2</v>
      </c>
      <c r="AF3079">
        <v>3.4341681658975401E-2</v>
      </c>
      <c r="AG3079">
        <v>-0.1971588</v>
      </c>
      <c r="AH3079">
        <v>0.26296975052238902</v>
      </c>
      <c r="AI3079">
        <v>126.62810839534001</v>
      </c>
      <c r="AJ3079">
        <v>82.559748714906902</v>
      </c>
      <c r="AK3079">
        <v>0.33046033529973601</v>
      </c>
      <c r="AL3079">
        <v>78.489583141188504</v>
      </c>
      <c r="AM3079">
        <v>90.710274932796295</v>
      </c>
      <c r="AN3079">
        <v>1.0000000513856899</v>
      </c>
    </row>
    <row r="3080" spans="1:40" x14ac:dyDescent="0.25">
      <c r="A3080" t="str">
        <f>"20190303162840246"</f>
        <v>20190303162840246</v>
      </c>
      <c r="B3080" t="str">
        <f>"1551601720234626"</f>
        <v>1551601720234626</v>
      </c>
      <c r="C3080" t="s">
        <v>40</v>
      </c>
      <c r="D3080">
        <v>4.88368</v>
      </c>
      <c r="E3080">
        <v>0.53341930000000004</v>
      </c>
      <c r="F3080" t="s">
        <v>44</v>
      </c>
      <c r="G3080">
        <v>-397.505</v>
      </c>
      <c r="H3080">
        <v>0.8521301</v>
      </c>
      <c r="I3080">
        <v>214.5299</v>
      </c>
      <c r="J3080">
        <v>-398.10570000000001</v>
      </c>
      <c r="K3080">
        <v>1.120943</v>
      </c>
      <c r="L3080">
        <v>214.58359999999999</v>
      </c>
      <c r="M3080">
        <v>0.99984090000000003</v>
      </c>
      <c r="N3080">
        <v>-1.20134E-2</v>
      </c>
      <c r="O3080">
        <v>1.3189340000000001E-2</v>
      </c>
      <c r="P3080">
        <v>0.98243179999999997</v>
      </c>
      <c r="Q3080">
        <v>0.18489349999999999</v>
      </c>
      <c r="R3080">
        <v>2.5341789999999999E-2</v>
      </c>
      <c r="S3080">
        <v>3.239166</v>
      </c>
      <c r="T3080">
        <v>-0.93771530000000003</v>
      </c>
      <c r="U3080">
        <v>-0.17272950000000001</v>
      </c>
      <c r="V3080">
        <v>-1.225327E-2</v>
      </c>
      <c r="W3080">
        <v>0.19669320000000001</v>
      </c>
      <c r="X3080">
        <v>0.9803885</v>
      </c>
      <c r="Y3080">
        <v>6.3219189999999995E-2</v>
      </c>
      <c r="Z3080">
        <v>-1.2932509999999999E-2</v>
      </c>
      <c r="AA3080">
        <v>0.99791589999999997</v>
      </c>
      <c r="AB3080">
        <v>34</v>
      </c>
      <c r="AC3080">
        <v>0.600700000000017</v>
      </c>
      <c r="AD3080">
        <v>-0.26881290000000002</v>
      </c>
      <c r="AE3080">
        <v>-5.3699999999991997E-2</v>
      </c>
      <c r="AF3080">
        <v>5.1406005192073799E-2</v>
      </c>
      <c r="AG3080">
        <v>-0.26881290000000002</v>
      </c>
      <c r="AH3080">
        <v>0.50050505711140403</v>
      </c>
      <c r="AI3080">
        <v>118.114371534551</v>
      </c>
      <c r="AJ3080">
        <v>84.135812715733294</v>
      </c>
      <c r="AK3080">
        <v>0.57044567205852903</v>
      </c>
      <c r="AL3080">
        <v>78.656347193314005</v>
      </c>
      <c r="AM3080">
        <v>90.716067256466502</v>
      </c>
      <c r="AN3080">
        <v>0.99999998424209102</v>
      </c>
    </row>
    <row r="3081" spans="1:40" x14ac:dyDescent="0.25">
      <c r="A3081" t="str">
        <f>"20190303162840269"</f>
        <v>20190303162840269</v>
      </c>
      <c r="B3081" t="str">
        <f>"1551601720264883"</f>
        <v>1551601720264883</v>
      </c>
      <c r="C3081" t="s">
        <v>40</v>
      </c>
      <c r="D3081">
        <v>4.8720080000000001</v>
      </c>
      <c r="E3081">
        <v>0.53375740000000005</v>
      </c>
      <c r="F3081" t="s">
        <v>44</v>
      </c>
      <c r="G3081">
        <v>-397.19850000000002</v>
      </c>
      <c r="H3081">
        <v>0.85355809999999999</v>
      </c>
      <c r="I3081">
        <v>214.53370000000001</v>
      </c>
      <c r="J3081">
        <v>-397.7516</v>
      </c>
      <c r="K3081">
        <v>1.1209279999999999</v>
      </c>
      <c r="L3081">
        <v>214.58799999999999</v>
      </c>
      <c r="M3081">
        <v>0.99984459999999997</v>
      </c>
      <c r="N3081">
        <v>-1.201587E-2</v>
      </c>
      <c r="O3081">
        <v>1.2909439999999999E-2</v>
      </c>
      <c r="P3081">
        <v>0.98293079999999999</v>
      </c>
      <c r="Q3081">
        <v>0.1823139</v>
      </c>
      <c r="R3081">
        <v>2.4670089999999999E-2</v>
      </c>
      <c r="S3081">
        <v>3.2377929999999999</v>
      </c>
      <c r="T3081">
        <v>-0.95418369999999997</v>
      </c>
      <c r="U3081">
        <v>-0.17623900000000001</v>
      </c>
      <c r="V3081">
        <v>-1.185228E-2</v>
      </c>
      <c r="W3081">
        <v>0.19412209999999999</v>
      </c>
      <c r="X3081">
        <v>0.98090580000000005</v>
      </c>
      <c r="Y3081">
        <v>6.3908889999999996E-2</v>
      </c>
      <c r="Z3081">
        <v>-1.317814E-2</v>
      </c>
      <c r="AA3081">
        <v>0.99786870000000005</v>
      </c>
      <c r="AB3081">
        <v>34</v>
      </c>
      <c r="AC3081">
        <v>0.55309999999997195</v>
      </c>
      <c r="AD3081">
        <v>-0.26736989999999999</v>
      </c>
      <c r="AE3081">
        <v>-5.42999999999835E-2</v>
      </c>
      <c r="AF3081">
        <v>4.9889430348449303E-2</v>
      </c>
      <c r="AG3081">
        <v>-0.26736989999999999</v>
      </c>
      <c r="AH3081">
        <v>0.44853962135282299</v>
      </c>
      <c r="AI3081">
        <v>120.644047336841</v>
      </c>
      <c r="AJ3081">
        <v>83.653285469623498</v>
      </c>
      <c r="AK3081">
        <v>0.524560206849354</v>
      </c>
      <c r="AL3081">
        <v>78.806556622478894</v>
      </c>
      <c r="AM3081">
        <v>90.692270935645993</v>
      </c>
      <c r="AN3081">
        <v>1.0000000273616201</v>
      </c>
    </row>
    <row r="3082" spans="1:40" x14ac:dyDescent="0.25">
      <c r="A3082" t="str">
        <f>"20190303162840292"</f>
        <v>20190303162840292</v>
      </c>
      <c r="B3082" t="str">
        <f>"1551601720284404"</f>
        <v>1551601720284404</v>
      </c>
      <c r="C3082" t="s">
        <v>40</v>
      </c>
      <c r="D3082">
        <v>4.8747780000000001</v>
      </c>
      <c r="E3082">
        <v>0.53393210000000002</v>
      </c>
      <c r="F3082" t="s">
        <v>44</v>
      </c>
      <c r="G3082">
        <v>-396.8895</v>
      </c>
      <c r="H3082">
        <v>0.86143899999999995</v>
      </c>
      <c r="I3082">
        <v>214.53960000000001</v>
      </c>
      <c r="J3082">
        <v>-397.40120000000002</v>
      </c>
      <c r="K3082">
        <v>1.120916</v>
      </c>
      <c r="L3082">
        <v>214.59219999999999</v>
      </c>
      <c r="M3082">
        <v>0.99984810000000002</v>
      </c>
      <c r="N3082">
        <v>-1.201794E-2</v>
      </c>
      <c r="O3082">
        <v>1.263294E-2</v>
      </c>
      <c r="P3082">
        <v>0.98327589999999998</v>
      </c>
      <c r="Q3082">
        <v>0.1805998</v>
      </c>
      <c r="R3082">
        <v>2.3509249999999999E-2</v>
      </c>
      <c r="S3082">
        <v>3.2373959999999999</v>
      </c>
      <c r="T3082">
        <v>-0.97445649999999995</v>
      </c>
      <c r="U3082">
        <v>-0.1811981</v>
      </c>
      <c r="V3082">
        <v>-1.0960320000000001E-2</v>
      </c>
      <c r="W3082">
        <v>0.19241349999999999</v>
      </c>
      <c r="X3082">
        <v>0.98125269999999998</v>
      </c>
      <c r="Y3082">
        <v>6.4986070000000007E-2</v>
      </c>
      <c r="Z3082">
        <v>-1.353003E-2</v>
      </c>
      <c r="AA3082">
        <v>0.99779439999999997</v>
      </c>
      <c r="AB3082">
        <v>34</v>
      </c>
      <c r="AC3082">
        <v>0.51170000000001803</v>
      </c>
      <c r="AD3082">
        <v>-0.25947700000000001</v>
      </c>
      <c r="AE3082">
        <v>-5.2599999999983903E-2</v>
      </c>
      <c r="AF3082">
        <v>4.70808391071477E-2</v>
      </c>
      <c r="AG3082">
        <v>-0.25947700000000001</v>
      </c>
      <c r="AH3082">
        <v>0.40734565084987201</v>
      </c>
      <c r="AI3082">
        <v>122.324896938218</v>
      </c>
      <c r="AJ3082">
        <v>83.407031726177607</v>
      </c>
      <c r="AK3082">
        <v>0.48525807381880698</v>
      </c>
      <c r="AL3082">
        <v>78.906332772105799</v>
      </c>
      <c r="AM3082">
        <v>90.639951323350004</v>
      </c>
      <c r="AN3082">
        <v>0.99999997242701999</v>
      </c>
    </row>
    <row r="3083" spans="1:40" x14ac:dyDescent="0.25">
      <c r="A3083" t="str">
        <f>"20190303162840315"</f>
        <v>20190303162840315</v>
      </c>
      <c r="B3083" t="str">
        <f>"1551601720304898"</f>
        <v>1551601720304898</v>
      </c>
      <c r="C3083" t="s">
        <v>40</v>
      </c>
      <c r="D3083">
        <v>4.8476330000000001</v>
      </c>
      <c r="E3083">
        <v>0.534099199999999</v>
      </c>
      <c r="F3083" t="s">
        <v>44</v>
      </c>
      <c r="G3083">
        <v>-396.57979999999998</v>
      </c>
      <c r="H3083">
        <v>0.87068840000000003</v>
      </c>
      <c r="I3083">
        <v>214.5444</v>
      </c>
      <c r="J3083">
        <v>-397.05369999999999</v>
      </c>
      <c r="K3083">
        <v>1.1209119999999999</v>
      </c>
      <c r="L3083">
        <v>214.59630000000001</v>
      </c>
      <c r="M3083">
        <v>0.9998515</v>
      </c>
      <c r="N3083">
        <v>-1.2019699999999999E-2</v>
      </c>
      <c r="O3083">
        <v>1.235954E-2</v>
      </c>
      <c r="P3083">
        <v>0.98352150000000005</v>
      </c>
      <c r="Q3083">
        <v>0.17937030000000001</v>
      </c>
      <c r="R3083">
        <v>2.2631780000000001E-2</v>
      </c>
      <c r="S3083">
        <v>3.2366329999999999</v>
      </c>
      <c r="T3083">
        <v>-0.98612339999999998</v>
      </c>
      <c r="U3083">
        <v>-0.18666079999999999</v>
      </c>
      <c r="V3083">
        <v>-1.03499E-2</v>
      </c>
      <c r="W3083">
        <v>0.19118830000000001</v>
      </c>
      <c r="X3083">
        <v>0.9814988</v>
      </c>
      <c r="Y3083">
        <v>6.6272670000000006E-2</v>
      </c>
      <c r="Z3083">
        <v>-1.3806179999999999E-2</v>
      </c>
      <c r="AA3083">
        <v>0.99770610000000004</v>
      </c>
      <c r="AB3083">
        <v>34</v>
      </c>
      <c r="AC3083">
        <v>0.47390000000001398</v>
      </c>
      <c r="AD3083">
        <v>-0.25022359999999999</v>
      </c>
      <c r="AE3083">
        <v>-5.1900000000017599E-2</v>
      </c>
      <c r="AF3083">
        <v>4.5279587904801702E-2</v>
      </c>
      <c r="AG3083">
        <v>-0.25022359999999999</v>
      </c>
      <c r="AH3083">
        <v>0.37101226833287199</v>
      </c>
      <c r="AI3083">
        <v>123.80102457856</v>
      </c>
      <c r="AJ3083">
        <v>83.041840071248799</v>
      </c>
      <c r="AK3083">
        <v>0.44979127862964602</v>
      </c>
      <c r="AL3083">
        <v>78.977859745648502</v>
      </c>
      <c r="AM3083">
        <v>90.604161319114098</v>
      </c>
      <c r="AN3083">
        <v>0.99999999044416898</v>
      </c>
    </row>
    <row r="3084" spans="1:40" x14ac:dyDescent="0.25">
      <c r="A3084" t="str">
        <f>"20190303162840336"</f>
        <v>20190303162840336</v>
      </c>
      <c r="B3084" t="str">
        <f>"1551601720324418"</f>
        <v>1551601720324418</v>
      </c>
      <c r="C3084" t="s">
        <v>40</v>
      </c>
      <c r="D3084">
        <v>4.8699009999999996</v>
      </c>
      <c r="E3084">
        <v>0.53427259999999999</v>
      </c>
      <c r="F3084" t="s">
        <v>44</v>
      </c>
      <c r="G3084">
        <v>-396.27010000000001</v>
      </c>
      <c r="H3084">
        <v>0.88001479999999999</v>
      </c>
      <c r="I3084">
        <v>214.54949999999999</v>
      </c>
      <c r="J3084">
        <v>-396.73270000000002</v>
      </c>
      <c r="K3084">
        <v>1.12090499999999</v>
      </c>
      <c r="L3084">
        <v>214.6</v>
      </c>
      <c r="M3084">
        <v>0.99985440000000003</v>
      </c>
      <c r="N3084">
        <v>-1.2021270000000001E-2</v>
      </c>
      <c r="O3084">
        <v>1.210784E-2</v>
      </c>
      <c r="P3084">
        <v>0.98363460000000003</v>
      </c>
      <c r="Q3084">
        <v>0.17883760000000001</v>
      </c>
      <c r="R3084">
        <v>2.191009E-2</v>
      </c>
      <c r="S3084">
        <v>3.236145</v>
      </c>
      <c r="T3084">
        <v>-0.99489590000000006</v>
      </c>
      <c r="U3084">
        <v>-0.19247439999999999</v>
      </c>
      <c r="V3084">
        <v>-9.8749630000000005E-3</v>
      </c>
      <c r="W3084">
        <v>0.19065799999999999</v>
      </c>
      <c r="X3084">
        <v>0.9816068</v>
      </c>
      <c r="Y3084">
        <v>6.7695270000000002E-2</v>
      </c>
      <c r="Z3084">
        <v>-1.4072660000000001E-2</v>
      </c>
      <c r="AA3084">
        <v>0.99760680000000002</v>
      </c>
      <c r="AB3084">
        <v>34</v>
      </c>
      <c r="AC3084">
        <v>0.462600000000008</v>
      </c>
      <c r="AD3084">
        <v>-0.240890199999999</v>
      </c>
      <c r="AE3084">
        <v>-5.0499999999999497E-2</v>
      </c>
      <c r="AF3084">
        <v>4.4242294163191399E-2</v>
      </c>
      <c r="AG3084">
        <v>-0.240890199999999</v>
      </c>
      <c r="AH3084">
        <v>0.36432685324902397</v>
      </c>
      <c r="AI3084">
        <v>123.279718743649</v>
      </c>
      <c r="AJ3084">
        <v>83.076147388423706</v>
      </c>
      <c r="AK3084">
        <v>0.43899832009610001</v>
      </c>
      <c r="AL3084">
        <v>79.008812622259498</v>
      </c>
      <c r="AM3084">
        <v>90.576376016471798</v>
      </c>
      <c r="AN3084">
        <v>0.99999994883224397</v>
      </c>
    </row>
    <row r="3085" spans="1:40" x14ac:dyDescent="0.25">
      <c r="A3085" t="str">
        <f>"20190303162840360"</f>
        <v>20190303162840360</v>
      </c>
      <c r="B3085" t="str">
        <f>"1551601720354675"</f>
        <v>1551601720354675</v>
      </c>
      <c r="C3085" t="s">
        <v>40</v>
      </c>
      <c r="D3085">
        <v>4.8485469999999999</v>
      </c>
      <c r="E3085">
        <v>0.53454009999999996</v>
      </c>
      <c r="F3085" t="s">
        <v>44</v>
      </c>
      <c r="G3085">
        <v>-395.96289999999999</v>
      </c>
      <c r="H3085">
        <v>0.88320169999999998</v>
      </c>
      <c r="I3085">
        <v>214.55269999999999</v>
      </c>
      <c r="J3085">
        <v>-396.37020000000001</v>
      </c>
      <c r="K3085">
        <v>1.120903</v>
      </c>
      <c r="L3085">
        <v>214.60409999999999</v>
      </c>
      <c r="M3085">
        <v>0.99985789999999997</v>
      </c>
      <c r="N3085">
        <v>-1.202278E-2</v>
      </c>
      <c r="O3085">
        <v>1.18242E-2</v>
      </c>
      <c r="P3085">
        <v>0.98373060000000001</v>
      </c>
      <c r="Q3085">
        <v>0.17831129999999901</v>
      </c>
      <c r="R3085">
        <v>2.1901899999999998E-2</v>
      </c>
      <c r="S3085">
        <v>3.2360229999999999</v>
      </c>
      <c r="T3085">
        <v>-0.9991468</v>
      </c>
      <c r="U3085">
        <v>-0.19796749999999999</v>
      </c>
      <c r="V3085">
        <v>-1.014609E-2</v>
      </c>
      <c r="W3085">
        <v>0.19013459999999999</v>
      </c>
      <c r="X3085">
        <v>0.98170559999999996</v>
      </c>
      <c r="Y3085">
        <v>6.9018999999999997E-2</v>
      </c>
      <c r="Z3085">
        <v>-1.425451E-2</v>
      </c>
      <c r="AA3085">
        <v>0.99751350000000005</v>
      </c>
      <c r="AB3085">
        <v>34</v>
      </c>
      <c r="AC3085">
        <v>0.40730000000001998</v>
      </c>
      <c r="AD3085">
        <v>-0.2377013</v>
      </c>
      <c r="AE3085">
        <v>-5.1400000000000903E-2</v>
      </c>
      <c r="AF3085">
        <v>4.2098958443717902E-2</v>
      </c>
      <c r="AG3085">
        <v>-0.2377013</v>
      </c>
      <c r="AH3085">
        <v>0.30455935094888598</v>
      </c>
      <c r="AI3085">
        <v>127.708502887214</v>
      </c>
      <c r="AJ3085">
        <v>82.129929525265695</v>
      </c>
      <c r="AK3085">
        <v>0.38862659272641498</v>
      </c>
      <c r="AL3085">
        <v>79.039360565713594</v>
      </c>
      <c r="AM3085">
        <v>90.592140289891603</v>
      </c>
      <c r="AN3085">
        <v>0.999999997165404</v>
      </c>
    </row>
    <row r="3086" spans="1:40" x14ac:dyDescent="0.25">
      <c r="A3086" t="str">
        <f>"20190303162840382"</f>
        <v>20190303162840382</v>
      </c>
      <c r="B3086" t="str">
        <f>"1551601720374194"</f>
        <v>1551601720374194</v>
      </c>
      <c r="C3086" t="s">
        <v>40</v>
      </c>
      <c r="D3086">
        <v>4.8098210000000003</v>
      </c>
      <c r="E3086">
        <v>0.5346765</v>
      </c>
      <c r="F3086" t="s">
        <v>44</v>
      </c>
      <c r="G3086">
        <v>-395.65039999999999</v>
      </c>
      <c r="H3086">
        <v>0.89792549999999904</v>
      </c>
      <c r="I3086">
        <v>214.55940000000001</v>
      </c>
      <c r="J3086">
        <v>-396.01799999999997</v>
      </c>
      <c r="K3086">
        <v>1.120911</v>
      </c>
      <c r="L3086">
        <v>214.608</v>
      </c>
      <c r="M3086">
        <v>0.99986109999999995</v>
      </c>
      <c r="N3086">
        <v>-1.202406E-2</v>
      </c>
      <c r="O3086">
        <v>1.1549490000000001E-2</v>
      </c>
      <c r="P3086">
        <v>0.98372510000000002</v>
      </c>
      <c r="Q3086">
        <v>0.17821970000000001</v>
      </c>
      <c r="R3086">
        <v>2.286316E-2</v>
      </c>
      <c r="S3086">
        <v>3.2358090000000002</v>
      </c>
      <c r="T3086">
        <v>-1.002451</v>
      </c>
      <c r="U3086">
        <v>-0.2004089</v>
      </c>
      <c r="V3086">
        <v>-1.1377419999999999E-2</v>
      </c>
      <c r="W3086">
        <v>0.1900452</v>
      </c>
      <c r="X3086">
        <v>0.98170939999999995</v>
      </c>
      <c r="Y3086">
        <v>6.9464059999999994E-2</v>
      </c>
      <c r="Z3086">
        <v>-1.428954E-2</v>
      </c>
      <c r="AA3086">
        <v>0.99748210000000004</v>
      </c>
      <c r="AB3086">
        <v>34</v>
      </c>
      <c r="AC3086">
        <v>0.36760000000003801</v>
      </c>
      <c r="AD3086">
        <v>-0.2229855</v>
      </c>
      <c r="AE3086">
        <v>-4.8599999999993301E-2</v>
      </c>
      <c r="AF3086">
        <v>3.8808091205960099E-2</v>
      </c>
      <c r="AG3086">
        <v>-0.2229855</v>
      </c>
      <c r="AH3086">
        <v>0.269538261654587</v>
      </c>
      <c r="AI3086">
        <v>129.31209660527901</v>
      </c>
      <c r="AJ3086">
        <v>81.806865075214404</v>
      </c>
      <c r="AK3086">
        <v>0.35196516255032501</v>
      </c>
      <c r="AL3086">
        <v>79.044577802241804</v>
      </c>
      <c r="AM3086">
        <v>90.663993809796295</v>
      </c>
      <c r="AN3086">
        <v>0.99999998488862796</v>
      </c>
    </row>
    <row r="3087" spans="1:40" x14ac:dyDescent="0.25">
      <c r="A3087" t="str">
        <f>"20190303162840404"</f>
        <v>20190303162840404</v>
      </c>
      <c r="B3087" t="str">
        <f>"1551601720395666"</f>
        <v>1551601720395666</v>
      </c>
      <c r="C3087" t="s">
        <v>40</v>
      </c>
      <c r="D3087">
        <v>4.856293</v>
      </c>
      <c r="E3087">
        <v>0.53483069999999999</v>
      </c>
      <c r="F3087" t="s">
        <v>44</v>
      </c>
      <c r="G3087">
        <v>-395.33870000000002</v>
      </c>
      <c r="H3087">
        <v>0.91028799999999999</v>
      </c>
      <c r="I3087">
        <v>214.56549999999999</v>
      </c>
      <c r="J3087">
        <v>-395.68860000000001</v>
      </c>
      <c r="K3087">
        <v>1.120919</v>
      </c>
      <c r="L3087">
        <v>214.61160000000001</v>
      </c>
      <c r="M3087">
        <v>0.99986390000000003</v>
      </c>
      <c r="N3087">
        <v>-1.20251E-2</v>
      </c>
      <c r="O3087">
        <v>1.129338E-2</v>
      </c>
      <c r="P3087">
        <v>0.98342700000000005</v>
      </c>
      <c r="Q3087">
        <v>0.179667299999999</v>
      </c>
      <c r="R3087">
        <v>2.431562E-2</v>
      </c>
      <c r="S3087">
        <v>3.2360229999999999</v>
      </c>
      <c r="T3087">
        <v>-1.003269</v>
      </c>
      <c r="U3087">
        <v>-0.19964599999999999</v>
      </c>
      <c r="V3087">
        <v>-1.308462E-2</v>
      </c>
      <c r="W3087">
        <v>0.1914911</v>
      </c>
      <c r="X3087">
        <v>0.98140709999999998</v>
      </c>
      <c r="Y3087">
        <v>6.8998329999999997E-2</v>
      </c>
      <c r="Z3087">
        <v>-1.4151830000000001E-2</v>
      </c>
      <c r="AA3087">
        <v>0.99751639999999997</v>
      </c>
      <c r="AB3087">
        <v>34</v>
      </c>
      <c r="AC3087">
        <v>0.349899999999991</v>
      </c>
      <c r="AD3087">
        <v>-0.21063100000000001</v>
      </c>
      <c r="AE3087">
        <v>-4.6100000000023997E-2</v>
      </c>
      <c r="AF3087">
        <v>3.6904026125441101E-2</v>
      </c>
      <c r="AG3087">
        <v>-0.21063100000000001</v>
      </c>
      <c r="AH3087">
        <v>0.25760168210758999</v>
      </c>
      <c r="AI3087">
        <v>128.98663761832501</v>
      </c>
      <c r="AJ3087">
        <v>81.847276555486602</v>
      </c>
      <c r="AK3087">
        <v>0.33479240124281101</v>
      </c>
      <c r="AL3087">
        <v>78.9601838012928</v>
      </c>
      <c r="AM3087">
        <v>90.763851297258896</v>
      </c>
      <c r="AN3087">
        <v>0.99999997229508097</v>
      </c>
    </row>
    <row r="3088" spans="1:40" x14ac:dyDescent="0.25">
      <c r="A3088" t="str">
        <f>"20190303162840425"</f>
        <v>20190303162840425</v>
      </c>
      <c r="B3088" t="str">
        <f>"1551601720414210"</f>
        <v>1551601720414210</v>
      </c>
      <c r="C3088" t="s">
        <v>40</v>
      </c>
      <c r="D3088">
        <v>4.8341079999999996</v>
      </c>
      <c r="E3088">
        <v>0.53497819999999996</v>
      </c>
      <c r="F3088" t="s">
        <v>44</v>
      </c>
      <c r="G3088">
        <v>-394.75779999999997</v>
      </c>
      <c r="H3088">
        <v>0.83389789999999997</v>
      </c>
      <c r="I3088">
        <v>214.5547</v>
      </c>
      <c r="J3088">
        <v>-395.36149999999998</v>
      </c>
      <c r="K3088">
        <v>1.12093</v>
      </c>
      <c r="L3088">
        <v>214.61500000000001</v>
      </c>
      <c r="M3088">
        <v>0.99986679999999994</v>
      </c>
      <c r="N3088">
        <v>-1.202601E-2</v>
      </c>
      <c r="O3088">
        <v>1.103911E-2</v>
      </c>
      <c r="P3088">
        <v>0.98306610000000005</v>
      </c>
      <c r="Q3088">
        <v>0.18143699999999999</v>
      </c>
      <c r="R3088">
        <v>2.5727449999999999E-2</v>
      </c>
      <c r="S3088">
        <v>3.2378230000000001</v>
      </c>
      <c r="T3088">
        <v>-0.99843219999999999</v>
      </c>
      <c r="U3088">
        <v>-0.19712830000000001</v>
      </c>
      <c r="V3088">
        <v>-1.474958E-2</v>
      </c>
      <c r="W3088">
        <v>0.1932585</v>
      </c>
      <c r="X3088">
        <v>0.98103700000000005</v>
      </c>
      <c r="Y3088">
        <v>6.8034830000000004E-2</v>
      </c>
      <c r="Z3088">
        <v>-1.385627E-2</v>
      </c>
      <c r="AA3088">
        <v>0.99758670000000005</v>
      </c>
      <c r="AB3088">
        <v>34</v>
      </c>
      <c r="AC3088">
        <v>0.60370000000000301</v>
      </c>
      <c r="AD3088">
        <v>-0.28703210000000001</v>
      </c>
      <c r="AE3088">
        <v>-6.0300000000012198E-2</v>
      </c>
      <c r="AF3088">
        <v>5.4714650759108897E-2</v>
      </c>
      <c r="AG3088">
        <v>-0.28703210000000001</v>
      </c>
      <c r="AH3088">
        <v>0.49271575805837597</v>
      </c>
      <c r="AI3088">
        <v>120.07050302767</v>
      </c>
      <c r="AJ3088">
        <v>83.663431728153896</v>
      </c>
      <c r="AK3088">
        <v>0.57284372884508505</v>
      </c>
      <c r="AL3088">
        <v>78.856992027213494</v>
      </c>
      <c r="AM3088">
        <v>90.861358967231098</v>
      </c>
      <c r="AN3088">
        <v>0.99999999665071304</v>
      </c>
    </row>
    <row r="3089" spans="1:40" x14ac:dyDescent="0.25">
      <c r="A3089" t="str">
        <f>"20190303162840446"</f>
        <v>20190303162840446</v>
      </c>
      <c r="B3089" t="str">
        <f>"1551601720434706"</f>
        <v>1551601720434706</v>
      </c>
      <c r="C3089" t="s">
        <v>40</v>
      </c>
      <c r="D3089">
        <v>4.8387379999999904</v>
      </c>
      <c r="E3089">
        <v>0.53510449999999998</v>
      </c>
      <c r="F3089" t="s">
        <v>44</v>
      </c>
      <c r="G3089">
        <v>-394.44880000000001</v>
      </c>
      <c r="H3089">
        <v>0.84128919999999996</v>
      </c>
      <c r="I3089">
        <v>214.56020000000001</v>
      </c>
      <c r="J3089">
        <v>-395.03980000000001</v>
      </c>
      <c r="K3089">
        <v>1.1209359999999999</v>
      </c>
      <c r="L3089">
        <v>214.6183</v>
      </c>
      <c r="M3089">
        <v>0.99986949999999997</v>
      </c>
      <c r="N3089">
        <v>-1.2026810000000001E-2</v>
      </c>
      <c r="O3089">
        <v>1.078926E-2</v>
      </c>
      <c r="P3089">
        <v>0.98281350000000001</v>
      </c>
      <c r="Q3089">
        <v>0.18249380000000001</v>
      </c>
      <c r="R3089">
        <v>2.7816799999999999E-2</v>
      </c>
      <c r="S3089">
        <v>3.240021</v>
      </c>
      <c r="T3089">
        <v>-0.99268020000000001</v>
      </c>
      <c r="U3089">
        <v>-0.19352720000000001</v>
      </c>
      <c r="V3089">
        <v>-1.708674E-2</v>
      </c>
      <c r="W3089">
        <v>0.19431480000000001</v>
      </c>
      <c r="X3089">
        <v>0.98079039999999995</v>
      </c>
      <c r="Y3089">
        <v>6.6757399999999995E-2</v>
      </c>
      <c r="Z3089">
        <v>-1.350223E-2</v>
      </c>
      <c r="AA3089">
        <v>0.99767790000000001</v>
      </c>
      <c r="AB3089">
        <v>34</v>
      </c>
      <c r="AC3089">
        <v>0.59100000000000796</v>
      </c>
      <c r="AD3089">
        <v>-0.27964679999999997</v>
      </c>
      <c r="AE3089">
        <v>-5.8099999999996002E-2</v>
      </c>
      <c r="AF3089">
        <v>5.2771370774868501E-2</v>
      </c>
      <c r="AG3089">
        <v>-0.27964679999999997</v>
      </c>
      <c r="AH3089">
        <v>0.483190255454016</v>
      </c>
      <c r="AI3089">
        <v>119.91310381404899</v>
      </c>
      <c r="AJ3089">
        <v>83.767174406276197</v>
      </c>
      <c r="AK3089">
        <v>0.56076730761467897</v>
      </c>
      <c r="AL3089">
        <v>78.795301136373595</v>
      </c>
      <c r="AM3089">
        <v>90.998071618592903</v>
      </c>
      <c r="AN3089">
        <v>1.0000000034575101</v>
      </c>
    </row>
    <row r="3090" spans="1:40" x14ac:dyDescent="0.25">
      <c r="A3090" t="str">
        <f>"20190303162840470"</f>
        <v>20190303162840470</v>
      </c>
      <c r="B3090" t="str">
        <f>"1551601720464963"</f>
        <v>1551601720464963</v>
      </c>
      <c r="C3090" t="s">
        <v>40</v>
      </c>
      <c r="D3090">
        <v>4.8936349999999997</v>
      </c>
      <c r="E3090">
        <v>0.53285309999999997</v>
      </c>
      <c r="F3090" t="s">
        <v>44</v>
      </c>
      <c r="G3090">
        <v>-394.14060000000001</v>
      </c>
      <c r="H3090">
        <v>0.84653780000000001</v>
      </c>
      <c r="I3090">
        <v>214.56540000000001</v>
      </c>
      <c r="J3090">
        <v>-394.67829999999998</v>
      </c>
      <c r="K3090">
        <v>1.12094</v>
      </c>
      <c r="L3090">
        <v>214.62190000000001</v>
      </c>
      <c r="M3090">
        <v>0.99987239999999999</v>
      </c>
      <c r="N3090">
        <v>-1.2027650000000001E-2</v>
      </c>
      <c r="O3090">
        <v>1.0508770000000001E-2</v>
      </c>
      <c r="P3090">
        <v>0.98269660000000003</v>
      </c>
      <c r="Q3090">
        <v>0.18275440000000001</v>
      </c>
      <c r="R3090">
        <v>3.01376E-2</v>
      </c>
      <c r="S3090">
        <v>3.2414860000000001</v>
      </c>
      <c r="T3090">
        <v>-0.98917880000000002</v>
      </c>
      <c r="U3090">
        <v>-0.18879699999999999</v>
      </c>
      <c r="V3090">
        <v>-1.968406E-2</v>
      </c>
      <c r="W3090">
        <v>0.1945762</v>
      </c>
      <c r="X3090">
        <v>0.9806899</v>
      </c>
      <c r="Y3090">
        <v>6.5116640000000003E-2</v>
      </c>
      <c r="Z3090">
        <v>-1.311736E-2</v>
      </c>
      <c r="AA3090">
        <v>0.99779150000000005</v>
      </c>
      <c r="AB3090">
        <v>34</v>
      </c>
      <c r="AC3090">
        <v>0.53769999999997198</v>
      </c>
      <c r="AD3090">
        <v>-0.27440219999999999</v>
      </c>
      <c r="AE3090">
        <v>-5.6499999999999703E-2</v>
      </c>
      <c r="AF3090">
        <v>4.9418280231064003E-2</v>
      </c>
      <c r="AG3090">
        <v>-0.27440219999999999</v>
      </c>
      <c r="AH3090">
        <v>0.42706861030786802</v>
      </c>
      <c r="AI3090">
        <v>122.54870139099199</v>
      </c>
      <c r="AJ3090">
        <v>83.399370350269393</v>
      </c>
      <c r="AK3090">
        <v>0.51002581473502795</v>
      </c>
      <c r="AL3090">
        <v>78.780032780679093</v>
      </c>
      <c r="AM3090">
        <v>91.149866174659707</v>
      </c>
      <c r="AN3090">
        <v>1.0000000198932599</v>
      </c>
    </row>
    <row r="3091" spans="1:40" x14ac:dyDescent="0.25">
      <c r="A3091" t="str">
        <f>"20190303162840492"</f>
        <v>20190303162840492</v>
      </c>
      <c r="B3091" t="str">
        <f>"1551601720484482"</f>
        <v>1551601720484482</v>
      </c>
      <c r="C3091" t="s">
        <v>40</v>
      </c>
      <c r="D3091">
        <v>4.8646039999999999</v>
      </c>
      <c r="E3091">
        <v>0.51151279999999999</v>
      </c>
      <c r="F3091" t="s">
        <v>44</v>
      </c>
      <c r="G3091">
        <v>-393.81040000000002</v>
      </c>
      <c r="H3091">
        <v>0.90510539999999995</v>
      </c>
      <c r="I3091">
        <v>214.57650000000001</v>
      </c>
      <c r="J3091">
        <v>-394.33179999999999</v>
      </c>
      <c r="K3091">
        <v>1.120951</v>
      </c>
      <c r="L3091">
        <v>214.62530000000001</v>
      </c>
      <c r="M3091">
        <v>0.99987519999999996</v>
      </c>
      <c r="N3091">
        <v>-1.202838E-2</v>
      </c>
      <c r="O3091">
        <v>1.02396E-2</v>
      </c>
      <c r="P3091">
        <v>0.98227189999999998</v>
      </c>
      <c r="Q3091">
        <v>0.18453539999999999</v>
      </c>
      <c r="R3091">
        <v>3.2995499999999997E-2</v>
      </c>
      <c r="S3091">
        <v>3.2062379999999999</v>
      </c>
      <c r="T3091">
        <v>-0.7973614</v>
      </c>
      <c r="U3091">
        <v>-0.16680909999999999</v>
      </c>
      <c r="V3091">
        <v>-2.280975E-2</v>
      </c>
      <c r="W3091">
        <v>0.19635559999999999</v>
      </c>
      <c r="X3091">
        <v>0.98026740000000001</v>
      </c>
      <c r="Y3091">
        <v>5.998465E-2</v>
      </c>
      <c r="Z3091">
        <v>-1.009433E-2</v>
      </c>
      <c r="AA3091">
        <v>0.99814829999999999</v>
      </c>
      <c r="AB3091">
        <v>34</v>
      </c>
      <c r="AC3091">
        <v>0.521399999999971</v>
      </c>
      <c r="AD3091">
        <v>-0.2158456</v>
      </c>
      <c r="AE3091">
        <v>-4.8799999999999899E-2</v>
      </c>
      <c r="AF3091">
        <v>4.6275255817165302E-2</v>
      </c>
      <c r="AG3091">
        <v>-0.2158456</v>
      </c>
      <c r="AH3091">
        <v>0.44523407728410502</v>
      </c>
      <c r="AI3091">
        <v>115.7430789432</v>
      </c>
      <c r="AJ3091">
        <v>84.066287143414598</v>
      </c>
      <c r="AK3091">
        <v>0.49695483287249798</v>
      </c>
      <c r="AL3091">
        <v>78.676075038075993</v>
      </c>
      <c r="AM3091">
        <v>91.332969568031103</v>
      </c>
      <c r="AN3091">
        <v>0.99999999092459102</v>
      </c>
    </row>
    <row r="3092" spans="1:40" x14ac:dyDescent="0.25">
      <c r="A3092" t="str">
        <f>"20190303162840515"</f>
        <v>20190303162840515</v>
      </c>
      <c r="B3092" t="str">
        <f>"1551601720504979"</f>
        <v>1551601720504979</v>
      </c>
      <c r="C3092" t="s">
        <v>40</v>
      </c>
      <c r="D3092">
        <v>4.8703370000000001</v>
      </c>
      <c r="E3092">
        <v>0.50625390000000003</v>
      </c>
      <c r="F3092" t="s">
        <v>48</v>
      </c>
      <c r="G3092">
        <v>-377.71109999999999</v>
      </c>
      <c r="H3092" s="1">
        <v>2.566656E-6</v>
      </c>
      <c r="I3092">
        <v>214.67590000000001</v>
      </c>
      <c r="J3092">
        <v>-393.98719999999997</v>
      </c>
      <c r="K3092">
        <v>1.1209610000000001</v>
      </c>
      <c r="L3092">
        <v>214.62860000000001</v>
      </c>
      <c r="M3092">
        <v>0.99987800000000004</v>
      </c>
      <c r="N3092">
        <v>-1.2029059999999999E-2</v>
      </c>
      <c r="O3092">
        <v>9.9711999999999995E-3</v>
      </c>
      <c r="P3092">
        <v>0.98190500000000003</v>
      </c>
      <c r="Q3092">
        <v>0.18606629999999999</v>
      </c>
      <c r="R3092">
        <v>3.5246140000000002E-2</v>
      </c>
      <c r="S3092">
        <v>3.093048</v>
      </c>
      <c r="T3092">
        <v>-0.20860419999999999</v>
      </c>
      <c r="U3092">
        <v>9.4146730000000001E-3</v>
      </c>
      <c r="V3092">
        <v>-2.532678E-2</v>
      </c>
      <c r="W3092">
        <v>0.1978838</v>
      </c>
      <c r="X3092">
        <v>0.97989820000000005</v>
      </c>
      <c r="Y3092">
        <v>6.8944710000000001E-3</v>
      </c>
      <c r="Z3092">
        <v>-8.2562439999999998E-4</v>
      </c>
      <c r="AA3092">
        <v>0.99997590000000003</v>
      </c>
      <c r="AB3092">
        <v>34</v>
      </c>
      <c r="AC3092">
        <v>16.2760999999999</v>
      </c>
      <c r="AD3092">
        <v>-1.1209584333439999</v>
      </c>
      <c r="AE3092">
        <v>4.7300000000007003E-2</v>
      </c>
      <c r="AF3092">
        <v>0.11446340505475799</v>
      </c>
      <c r="AG3092">
        <v>-1.1209584333439999</v>
      </c>
      <c r="AH3092">
        <v>16.198927091055801</v>
      </c>
      <c r="AI3092">
        <v>93.958433009984802</v>
      </c>
      <c r="AJ3092">
        <v>89.595148442026201</v>
      </c>
      <c r="AK3092">
        <v>16.2380691149448</v>
      </c>
      <c r="AL3092">
        <v>78.586762948724797</v>
      </c>
      <c r="AM3092">
        <v>91.480556450191898</v>
      </c>
      <c r="AN3092">
        <v>0.99999996322542295</v>
      </c>
    </row>
    <row r="3093" spans="1:40" x14ac:dyDescent="0.25">
      <c r="A3093" t="str">
        <f>"20190303162840537"</f>
        <v>20190303162840537</v>
      </c>
      <c r="B3093" t="str">
        <f>"1551601720524498"</f>
        <v>1551601720524498</v>
      </c>
      <c r="C3093" t="s">
        <v>40</v>
      </c>
      <c r="D3093">
        <v>4.7645280000000003</v>
      </c>
      <c r="E3093">
        <v>0.50306220000000001</v>
      </c>
      <c r="F3093" t="s">
        <v>48</v>
      </c>
      <c r="G3093">
        <v>-367.33859999999999</v>
      </c>
      <c r="H3093" s="1">
        <v>2.3684570000000001E-6</v>
      </c>
      <c r="I3093">
        <v>215.1284</v>
      </c>
      <c r="J3093">
        <v>-393.6533</v>
      </c>
      <c r="K3093">
        <v>1.1209610000000001</v>
      </c>
      <c r="L3093">
        <v>214.6317</v>
      </c>
      <c r="M3093">
        <v>0.99988060000000001</v>
      </c>
      <c r="N3093">
        <v>-1.2029679999999999E-2</v>
      </c>
      <c r="O3093">
        <v>9.7074859999999995E-3</v>
      </c>
      <c r="P3093">
        <v>0.98151619999999995</v>
      </c>
      <c r="Q3093">
        <v>0.18759970000000001</v>
      </c>
      <c r="R3093">
        <v>3.7846150000000002E-2</v>
      </c>
      <c r="S3093">
        <v>3.0777890000000001</v>
      </c>
      <c r="T3093">
        <v>-0.12946579999999999</v>
      </c>
      <c r="U3093">
        <v>5.7723999999999998E-2</v>
      </c>
      <c r="V3093">
        <v>-2.81876E-2</v>
      </c>
      <c r="W3093">
        <v>0.19941529999999999</v>
      </c>
      <c r="X3093">
        <v>0.97950959999999998</v>
      </c>
      <c r="Y3093">
        <v>-9.0384530000000001E-3</v>
      </c>
      <c r="Z3093" s="1">
        <v>-4.69705E-5</v>
      </c>
      <c r="AA3093">
        <v>0.99995919999999905</v>
      </c>
      <c r="AB3093">
        <v>34</v>
      </c>
      <c r="AC3093">
        <v>26.314699999999998</v>
      </c>
      <c r="AD3093">
        <v>-1.120958631543</v>
      </c>
      <c r="AE3093">
        <v>0.49670000000000403</v>
      </c>
      <c r="AF3093">
        <v>-0.240771795887055</v>
      </c>
      <c r="AG3093">
        <v>-1.120958631543</v>
      </c>
      <c r="AH3093">
        <v>26.270628102455099</v>
      </c>
      <c r="AI3093">
        <v>92.4432065206462</v>
      </c>
      <c r="AJ3093">
        <v>90.525104365146703</v>
      </c>
      <c r="AK3093">
        <v>26.2956350029588</v>
      </c>
      <c r="AL3093">
        <v>78.497230885855799</v>
      </c>
      <c r="AM3093">
        <v>91.648360482926094</v>
      </c>
      <c r="AN3093">
        <v>1.00000002958</v>
      </c>
    </row>
    <row r="3094" spans="1:40" x14ac:dyDescent="0.25">
      <c r="A3094" t="str">
        <f>"20190303162840561"</f>
        <v>20190303162840561</v>
      </c>
      <c r="B3094" t="str">
        <f>"1551601720554754"</f>
        <v>1551601720554754</v>
      </c>
      <c r="C3094" t="s">
        <v>40</v>
      </c>
      <c r="D3094">
        <v>4.8599459999999999</v>
      </c>
      <c r="E3094">
        <v>0.50195679999999998</v>
      </c>
      <c r="F3094" t="s">
        <v>48</v>
      </c>
      <c r="G3094">
        <v>-355.18099999999998</v>
      </c>
      <c r="H3094" s="1">
        <v>1.169592E-6</v>
      </c>
      <c r="I3094">
        <v>215.7765</v>
      </c>
      <c r="J3094">
        <v>-393.28390000000002</v>
      </c>
      <c r="K3094">
        <v>1.1209469999999999</v>
      </c>
      <c r="L3094">
        <v>214.63499999999999</v>
      </c>
      <c r="M3094">
        <v>0.99988339999999998</v>
      </c>
      <c r="N3094">
        <v>-1.203045E-2</v>
      </c>
      <c r="O3094">
        <v>9.405264E-3</v>
      </c>
      <c r="P3094">
        <v>0.98127509999999996</v>
      </c>
      <c r="Q3094">
        <v>0.1883041</v>
      </c>
      <c r="R3094">
        <v>4.050687E-2</v>
      </c>
      <c r="S3094">
        <v>3.070068</v>
      </c>
      <c r="T3094">
        <v>-8.9452149999999994E-2</v>
      </c>
      <c r="U3094">
        <v>9.1354370000000004E-2</v>
      </c>
      <c r="V3094">
        <v>-3.1144109999999999E-2</v>
      </c>
      <c r="W3094">
        <v>0.20011979999999999</v>
      </c>
      <c r="X3094">
        <v>0.97927629999999999</v>
      </c>
      <c r="Y3094">
        <v>-2.0329389999999999E-2</v>
      </c>
      <c r="Z3094">
        <v>2.5760410000000002E-4</v>
      </c>
      <c r="AA3094">
        <v>0.9997933</v>
      </c>
      <c r="AB3094">
        <v>34</v>
      </c>
      <c r="AC3094">
        <v>38.102899999999998</v>
      </c>
      <c r="AD3094">
        <v>-1.120945830408</v>
      </c>
      <c r="AE3094">
        <v>1.1415</v>
      </c>
      <c r="AF3094">
        <v>-0.78237921391455101</v>
      </c>
      <c r="AG3094">
        <v>-1.120945830408</v>
      </c>
      <c r="AH3094">
        <v>38.079024542201502</v>
      </c>
      <c r="AI3094">
        <v>91.685793783082701</v>
      </c>
      <c r="AJ3094">
        <v>91.177044874908105</v>
      </c>
      <c r="AK3094">
        <v>38.103552942929802</v>
      </c>
      <c r="AL3094">
        <v>78.456035079765599</v>
      </c>
      <c r="AM3094">
        <v>91.821574574526693</v>
      </c>
      <c r="AN3094">
        <v>0.99999998084070996</v>
      </c>
    </row>
    <row r="3095" spans="1:40" x14ac:dyDescent="0.25">
      <c r="A3095" t="str">
        <f>"20190303162840585"</f>
        <v>20190303162840585</v>
      </c>
      <c r="B3095" t="str">
        <f>"1551601720574275"</f>
        <v>1551601720574275</v>
      </c>
      <c r="C3095" t="s">
        <v>40</v>
      </c>
      <c r="D3095">
        <v>4.8230190000000004</v>
      </c>
      <c r="E3095">
        <v>0.50220480000000001</v>
      </c>
      <c r="F3095" t="s">
        <v>48</v>
      </c>
      <c r="G3095">
        <v>-348.7122</v>
      </c>
      <c r="H3095" s="1">
        <v>3.0994100000000002E-6</v>
      </c>
      <c r="I3095">
        <v>216.21600000000001</v>
      </c>
      <c r="J3095">
        <v>-392.9205</v>
      </c>
      <c r="K3095">
        <v>1.120938</v>
      </c>
      <c r="L3095">
        <v>214.63810000000001</v>
      </c>
      <c r="M3095">
        <v>0.99988630000000001</v>
      </c>
      <c r="N3095">
        <v>-1.203108E-2</v>
      </c>
      <c r="O3095">
        <v>9.088222E-3</v>
      </c>
      <c r="P3095">
        <v>0.98104970000000002</v>
      </c>
      <c r="Q3095">
        <v>0.18898490000000001</v>
      </c>
      <c r="R3095">
        <v>4.2730850000000001E-2</v>
      </c>
      <c r="S3095">
        <v>3.0675659999999998</v>
      </c>
      <c r="T3095">
        <v>-7.7146889999999996E-2</v>
      </c>
      <c r="U3095">
        <v>0.1088104</v>
      </c>
      <c r="V3095">
        <v>-3.367477E-2</v>
      </c>
      <c r="W3095">
        <v>0.20080139999999999</v>
      </c>
      <c r="X3095">
        <v>0.97905299999999995</v>
      </c>
      <c r="Y3095">
        <v>-2.6352799999999999E-2</v>
      </c>
      <c r="Z3095">
        <v>3.7070370000000003E-4</v>
      </c>
      <c r="AA3095">
        <v>0.9996526</v>
      </c>
      <c r="AB3095">
        <v>34</v>
      </c>
      <c r="AC3095">
        <v>44.208300000000001</v>
      </c>
      <c r="AD3095">
        <v>-1.12093490059</v>
      </c>
      <c r="AE3095">
        <v>1.5778999999999701</v>
      </c>
      <c r="AF3095">
        <v>-1.1752762500734699</v>
      </c>
      <c r="AG3095">
        <v>-1.12093490059</v>
      </c>
      <c r="AH3095">
        <v>44.192439525734002</v>
      </c>
      <c r="AI3095">
        <v>91.452474357373504</v>
      </c>
      <c r="AJ3095">
        <v>91.523394067496497</v>
      </c>
      <c r="AK3095">
        <v>44.222273579622801</v>
      </c>
      <c r="AL3095">
        <v>78.416173191978103</v>
      </c>
      <c r="AM3095">
        <v>91.969925918165501</v>
      </c>
      <c r="AN3095">
        <v>0.99999998459275596</v>
      </c>
    </row>
    <row r="3096" spans="1:40" x14ac:dyDescent="0.25">
      <c r="A3096" t="str">
        <f>"20190303162840606"</f>
        <v>20190303162840606</v>
      </c>
      <c r="B3096" t="str">
        <f>"1551601720594771"</f>
        <v>1551601720594771</v>
      </c>
      <c r="C3096" t="s">
        <v>40</v>
      </c>
      <c r="D3096">
        <v>5.1500209999999997</v>
      </c>
      <c r="E3096">
        <v>0.50256480000000003</v>
      </c>
      <c r="F3096" t="s">
        <v>48</v>
      </c>
      <c r="G3096">
        <v>-346.20080000000002</v>
      </c>
      <c r="H3096" s="1">
        <v>1.7629549999999999E-6</v>
      </c>
      <c r="I3096">
        <v>216.3706</v>
      </c>
      <c r="J3096">
        <v>-392.60059999999999</v>
      </c>
      <c r="K3096">
        <v>1.1209209999999901</v>
      </c>
      <c r="L3096">
        <v>214.64070000000001</v>
      </c>
      <c r="M3096">
        <v>0.99988909999999998</v>
      </c>
      <c r="N3096">
        <v>-1.203161E-2</v>
      </c>
      <c r="O3096">
        <v>8.7881060000000004E-3</v>
      </c>
      <c r="P3096">
        <v>0.98105730000000002</v>
      </c>
      <c r="Q3096">
        <v>0.18844169999999999</v>
      </c>
      <c r="R3096">
        <v>4.4903699999999998E-2</v>
      </c>
      <c r="S3096">
        <v>3.0671689999999998</v>
      </c>
      <c r="T3096">
        <v>-7.3589920000000003E-2</v>
      </c>
      <c r="U3096">
        <v>0.11373900000000001</v>
      </c>
      <c r="V3096">
        <v>-3.6134369999999999E-2</v>
      </c>
      <c r="W3096">
        <v>0.2002623</v>
      </c>
      <c r="X3096">
        <v>0.97907569999999999</v>
      </c>
      <c r="Y3096">
        <v>-2.8261560000000002E-2</v>
      </c>
      <c r="Z3096">
        <v>4.0395120000000001E-4</v>
      </c>
      <c r="AA3096">
        <v>0.9996005</v>
      </c>
      <c r="AB3096">
        <v>34</v>
      </c>
      <c r="AC3096">
        <v>46.3997999999999</v>
      </c>
      <c r="AD3096">
        <v>-1.1209192370449901</v>
      </c>
      <c r="AE3096">
        <v>1.72989999999998</v>
      </c>
      <c r="AF3096">
        <v>-1.3212673282464</v>
      </c>
      <c r="AG3096">
        <v>-1.1209192370449901</v>
      </c>
      <c r="AH3096">
        <v>46.386178134030096</v>
      </c>
      <c r="AI3096">
        <v>91.383718697590695</v>
      </c>
      <c r="AJ3096">
        <v>91.631576060475695</v>
      </c>
      <c r="AK3096">
        <v>46.418527865181602</v>
      </c>
      <c r="AL3096">
        <v>78.447701422822703</v>
      </c>
      <c r="AM3096">
        <v>92.113633969834297</v>
      </c>
      <c r="AN3096">
        <v>0.99999995391353702</v>
      </c>
    </row>
    <row r="3097" spans="1:40" x14ac:dyDescent="0.25">
      <c r="A3097" t="str">
        <f>"20190303162840626"</f>
        <v>20190303162840626</v>
      </c>
      <c r="B3097" t="str">
        <f>"1551601720614290"</f>
        <v>1551601720614290</v>
      </c>
      <c r="C3097" t="s">
        <v>40</v>
      </c>
      <c r="D3097">
        <v>4.8422029999999996</v>
      </c>
      <c r="E3097">
        <v>0.50307420000000003</v>
      </c>
      <c r="F3097" t="s">
        <v>48</v>
      </c>
      <c r="G3097">
        <v>-347.4316</v>
      </c>
      <c r="H3097" s="1">
        <v>2.417931E-6</v>
      </c>
      <c r="I3097">
        <v>216.37889999999999</v>
      </c>
      <c r="J3097">
        <v>-392.28089999999997</v>
      </c>
      <c r="K3097">
        <v>1.1209009999999999</v>
      </c>
      <c r="L3097">
        <v>214.64320000000001</v>
      </c>
      <c r="M3097">
        <v>0.99989170000000005</v>
      </c>
      <c r="N3097">
        <v>-1.203213E-2</v>
      </c>
      <c r="O3097">
        <v>8.4697309999999994E-3</v>
      </c>
      <c r="P3097">
        <v>0.98119089999999998</v>
      </c>
      <c r="Q3097">
        <v>0.1873021</v>
      </c>
      <c r="R3097">
        <v>4.6717139999999997E-2</v>
      </c>
      <c r="S3097">
        <v>3.0671080000000002</v>
      </c>
      <c r="T3097">
        <v>-7.6113699999999895E-2</v>
      </c>
      <c r="U3097">
        <v>0.1180267</v>
      </c>
      <c r="V3097">
        <v>-3.8251630000000002E-2</v>
      </c>
      <c r="W3097">
        <v>0.19912830000000001</v>
      </c>
      <c r="X3097">
        <v>0.97922659999999995</v>
      </c>
      <c r="Y3097">
        <v>-2.9974520000000001E-2</v>
      </c>
      <c r="Z3097">
        <v>4.4398039999999999E-4</v>
      </c>
      <c r="AA3097">
        <v>0.99955059999999996</v>
      </c>
      <c r="AB3097">
        <v>34</v>
      </c>
      <c r="AC3097">
        <v>44.8492999999999</v>
      </c>
      <c r="AD3097">
        <v>-1.1208985820689901</v>
      </c>
      <c r="AE3097">
        <v>1.73569999999998</v>
      </c>
      <c r="AF3097">
        <v>-1.3549036672952799</v>
      </c>
      <c r="AG3097">
        <v>-1.1208985820689901</v>
      </c>
      <c r="AH3097">
        <v>44.834430103080102</v>
      </c>
      <c r="AI3097">
        <v>91.431491258635305</v>
      </c>
      <c r="AJ3097">
        <v>91.730960835018493</v>
      </c>
      <c r="AK3097">
        <v>44.8689012596354</v>
      </c>
      <c r="AL3097">
        <v>78.514010980787901</v>
      </c>
      <c r="AM3097">
        <v>92.237013587253799</v>
      </c>
      <c r="AN3097">
        <v>1.0000000006030501</v>
      </c>
    </row>
    <row r="3098" spans="1:40" x14ac:dyDescent="0.25">
      <c r="A3098" t="str">
        <f>"20190303162840648"</f>
        <v>20190303162840648</v>
      </c>
      <c r="B3098" t="str">
        <f>"1551601720634787"</f>
        <v>1551601720634787</v>
      </c>
      <c r="C3098" t="s">
        <v>40</v>
      </c>
      <c r="D3098">
        <v>5.2034710000000004</v>
      </c>
      <c r="E3098">
        <v>0.50361290000000003</v>
      </c>
      <c r="F3098" t="s">
        <v>48</v>
      </c>
      <c r="G3098">
        <v>-349.95139999999998</v>
      </c>
      <c r="H3098" s="1">
        <v>3.7588779999999999E-6</v>
      </c>
      <c r="I3098">
        <v>216.30009999999999</v>
      </c>
      <c r="J3098">
        <v>-391.95229999999998</v>
      </c>
      <c r="K3098">
        <v>1.120876</v>
      </c>
      <c r="L3098">
        <v>214.64570000000001</v>
      </c>
      <c r="M3098">
        <v>0.99989470000000003</v>
      </c>
      <c r="N3098">
        <v>-1.2032660000000001E-2</v>
      </c>
      <c r="O3098">
        <v>8.1167440000000004E-3</v>
      </c>
      <c r="P3098">
        <v>0.98132739999999996</v>
      </c>
      <c r="Q3098">
        <v>0.18606329999999999</v>
      </c>
      <c r="R3098">
        <v>4.8757170000000002E-2</v>
      </c>
      <c r="S3098">
        <v>3.0672609999999998</v>
      </c>
      <c r="T3098">
        <v>-8.1222059999999999E-2</v>
      </c>
      <c r="U3098">
        <v>0.1200562</v>
      </c>
      <c r="V3098">
        <v>-4.062781E-2</v>
      </c>
      <c r="W3098">
        <v>0.1978955</v>
      </c>
      <c r="X3098">
        <v>0.97938080000000005</v>
      </c>
      <c r="Y3098">
        <v>-3.098387E-2</v>
      </c>
      <c r="Z3098">
        <v>4.7936119999999999E-4</v>
      </c>
      <c r="AA3098">
        <v>0.99951979999999996</v>
      </c>
      <c r="AB3098">
        <v>34</v>
      </c>
      <c r="AC3098">
        <v>42.000900000000001</v>
      </c>
      <c r="AD3098">
        <v>-1.120872241122</v>
      </c>
      <c r="AE3098">
        <v>1.6543999999999801</v>
      </c>
      <c r="AF3098">
        <v>-1.3124769889710399</v>
      </c>
      <c r="AG3098">
        <v>-1.120872241122</v>
      </c>
      <c r="AH3098">
        <v>41.983091986522098</v>
      </c>
      <c r="AI3098">
        <v>91.528583450473704</v>
      </c>
      <c r="AJ3098">
        <v>91.790599623407402</v>
      </c>
      <c r="AK3098">
        <v>42.018554986770702</v>
      </c>
      <c r="AL3098">
        <v>78.586079484964998</v>
      </c>
      <c r="AM3098">
        <v>92.375447990032498</v>
      </c>
      <c r="AN3098">
        <v>0.99999999963714303</v>
      </c>
    </row>
    <row r="3099" spans="1:40" x14ac:dyDescent="0.25">
      <c r="A3099" t="str">
        <f>"20190303162840671"</f>
        <v>20190303162840671</v>
      </c>
      <c r="B3099" t="str">
        <f>"1551601720665042"</f>
        <v>1551601720665042</v>
      </c>
      <c r="C3099" t="s">
        <v>40</v>
      </c>
      <c r="D3099">
        <v>4.8639070000000002</v>
      </c>
      <c r="E3099">
        <v>0.50400319999999998</v>
      </c>
      <c r="F3099" t="s">
        <v>48</v>
      </c>
      <c r="G3099">
        <v>-352.58690000000001</v>
      </c>
      <c r="H3099" s="1">
        <v>-2.292736E-7</v>
      </c>
      <c r="I3099">
        <v>216.1969</v>
      </c>
      <c r="J3099">
        <v>-391.58980000000003</v>
      </c>
      <c r="K3099">
        <v>1.1208480000000001</v>
      </c>
      <c r="L3099">
        <v>214.6482</v>
      </c>
      <c r="M3099">
        <v>0.99989810000000001</v>
      </c>
      <c r="N3099">
        <v>-1.203327E-2</v>
      </c>
      <c r="O3099">
        <v>7.6871129999999998E-3</v>
      </c>
      <c r="P3099">
        <v>0.9813499</v>
      </c>
      <c r="Q3099">
        <v>0.1858802</v>
      </c>
      <c r="R3099">
        <v>4.9003280000000003E-2</v>
      </c>
      <c r="S3099">
        <v>3.0676269999999999</v>
      </c>
      <c r="T3099">
        <v>-8.7346430000000003E-2</v>
      </c>
      <c r="U3099">
        <v>0.1208801</v>
      </c>
      <c r="V3099">
        <v>-4.1282659999999999E-2</v>
      </c>
      <c r="W3099">
        <v>0.19771649999999999</v>
      </c>
      <c r="X3099">
        <v>0.97938950000000002</v>
      </c>
      <c r="Y3099">
        <v>-3.1674470000000003E-2</v>
      </c>
      <c r="Z3099">
        <v>5.1510759999999999E-4</v>
      </c>
      <c r="AA3099">
        <v>0.99949809999999994</v>
      </c>
      <c r="AB3099">
        <v>34</v>
      </c>
      <c r="AC3099">
        <v>39.002899999999997</v>
      </c>
      <c r="AD3099">
        <v>-1.1208482292735999</v>
      </c>
      <c r="AE3099">
        <v>1.54869999999999</v>
      </c>
      <c r="AF3099">
        <v>-1.2477839843876399</v>
      </c>
      <c r="AG3099">
        <v>-1.1208482292735999</v>
      </c>
      <c r="AH3099">
        <v>38.981511232219901</v>
      </c>
      <c r="AI3099">
        <v>91.646147975557696</v>
      </c>
      <c r="AJ3099">
        <v>91.833391041828904</v>
      </c>
      <c r="AK3099">
        <v>39.017579160840398</v>
      </c>
      <c r="AL3099">
        <v>78.596541384244802</v>
      </c>
      <c r="AM3099">
        <v>92.413669761123103</v>
      </c>
      <c r="AN3099">
        <v>0.99999993254958497</v>
      </c>
    </row>
    <row r="3100" spans="1:40" x14ac:dyDescent="0.25">
      <c r="A3100" t="str">
        <f>"20190303162840694"</f>
        <v>20190303162840694</v>
      </c>
      <c r="B3100" t="str">
        <f>"1551601720684563"</f>
        <v>1551601720684563</v>
      </c>
      <c r="C3100" t="s">
        <v>40</v>
      </c>
      <c r="D3100">
        <v>4.9759349999999998</v>
      </c>
      <c r="E3100">
        <v>0.50442349999999903</v>
      </c>
      <c r="F3100" t="s">
        <v>48</v>
      </c>
      <c r="G3100">
        <v>-353.14909999999998</v>
      </c>
      <c r="H3100" s="1">
        <v>7.3267529999999994E-8</v>
      </c>
      <c r="I3100">
        <v>216.12029999999999</v>
      </c>
      <c r="J3100">
        <v>-391.24220000000003</v>
      </c>
      <c r="K3100">
        <v>1.120806</v>
      </c>
      <c r="L3100">
        <v>214.65039999999999</v>
      </c>
      <c r="M3100">
        <v>0.99990140000000005</v>
      </c>
      <c r="N3100">
        <v>-1.203389E-2</v>
      </c>
      <c r="O3100">
        <v>7.2297330000000003E-3</v>
      </c>
      <c r="P3100">
        <v>0.98122010000000004</v>
      </c>
      <c r="Q3100">
        <v>0.18632270000000001</v>
      </c>
      <c r="R3100">
        <v>4.9909179999999997E-2</v>
      </c>
      <c r="S3100">
        <v>3.068085</v>
      </c>
      <c r="T3100">
        <v>-8.9458700000000002E-2</v>
      </c>
      <c r="U3100">
        <v>0.11749270000000001</v>
      </c>
      <c r="V3100">
        <v>-4.2621819999999998E-2</v>
      </c>
      <c r="W3100">
        <v>0.1981629</v>
      </c>
      <c r="X3100">
        <v>0.97924199999999995</v>
      </c>
      <c r="Y3100">
        <v>-3.1023559999999999E-2</v>
      </c>
      <c r="Z3100">
        <v>5.1511949999999895E-4</v>
      </c>
      <c r="AA3100">
        <v>0.99951849999999998</v>
      </c>
      <c r="AB3100">
        <v>34</v>
      </c>
      <c r="AC3100">
        <v>38.0931</v>
      </c>
      <c r="AD3100">
        <v>-1.1208059267324699</v>
      </c>
      <c r="AE3100">
        <v>1.46989999999999</v>
      </c>
      <c r="AF3100">
        <v>-1.19340708024821</v>
      </c>
      <c r="AG3100">
        <v>-1.1208059267324699</v>
      </c>
      <c r="AH3100">
        <v>38.0698239450522</v>
      </c>
      <c r="AI3100">
        <v>91.685518770886603</v>
      </c>
      <c r="AJ3100">
        <v>91.795511437853307</v>
      </c>
      <c r="AK3100">
        <v>38.105011764751602</v>
      </c>
      <c r="AL3100">
        <v>78.570449338464798</v>
      </c>
      <c r="AM3100">
        <v>92.492244036529797</v>
      </c>
      <c r="AN3100">
        <v>1.00000002452026</v>
      </c>
    </row>
    <row r="3101" spans="1:40" x14ac:dyDescent="0.25">
      <c r="A3101" t="str">
        <f>"20190303162840716"</f>
        <v>20190303162840716</v>
      </c>
      <c r="B3101" t="str">
        <f>"1551601720704083"</f>
        <v>1551601720704083</v>
      </c>
      <c r="C3101" t="s">
        <v>40</v>
      </c>
      <c r="D3101">
        <v>4.9858469999999997</v>
      </c>
      <c r="E3101">
        <v>0.50479470000000004</v>
      </c>
      <c r="F3101" t="s">
        <v>48</v>
      </c>
      <c r="G3101">
        <v>-352.73770000000002</v>
      </c>
      <c r="H3101" s="1">
        <v>-1.4525489999999999E-7</v>
      </c>
      <c r="I3101">
        <v>216.11080000000001</v>
      </c>
      <c r="J3101">
        <v>-390.90050000000002</v>
      </c>
      <c r="K3101">
        <v>1.12077</v>
      </c>
      <c r="L3101">
        <v>214.6524</v>
      </c>
      <c r="M3101">
        <v>0.99990489999999999</v>
      </c>
      <c r="N3101">
        <v>-1.2034649999999999E-2</v>
      </c>
      <c r="O3101">
        <v>6.7268049999999998E-3</v>
      </c>
      <c r="P3101">
        <v>0.98104999999999998</v>
      </c>
      <c r="Q3101">
        <v>0.18721699999999999</v>
      </c>
      <c r="R3101">
        <v>4.990986E-2</v>
      </c>
      <c r="S3101">
        <v>3.068451</v>
      </c>
      <c r="T3101">
        <v>-8.9317919999999995E-2</v>
      </c>
      <c r="U3101">
        <v>0.1163788</v>
      </c>
      <c r="V3101">
        <v>-4.3097099999999999E-2</v>
      </c>
      <c r="W3101">
        <v>0.19906009999999999</v>
      </c>
      <c r="X3101">
        <v>0.9790392</v>
      </c>
      <c r="Y3101">
        <v>-3.1159309999999999E-2</v>
      </c>
      <c r="Z3101">
        <v>5.2610089999999895E-4</v>
      </c>
      <c r="AA3101">
        <v>0.99951429999999997</v>
      </c>
      <c r="AB3101">
        <v>34</v>
      </c>
      <c r="AC3101">
        <v>38.162799999999997</v>
      </c>
      <c r="AD3101">
        <v>-1.1207701452548999</v>
      </c>
      <c r="AE3101">
        <v>1.4584000000000099</v>
      </c>
      <c r="AF3101">
        <v>-1.20060068591281</v>
      </c>
      <c r="AG3101">
        <v>-1.1207701452548999</v>
      </c>
      <c r="AH3101">
        <v>38.138901172825598</v>
      </c>
      <c r="AI3101">
        <v>91.682407074835695</v>
      </c>
      <c r="AJ3101">
        <v>91.803057792046104</v>
      </c>
      <c r="AK3101">
        <v>38.174249834097203</v>
      </c>
      <c r="AL3101">
        <v>78.517998596709504</v>
      </c>
      <c r="AM3101">
        <v>92.520520983573704</v>
      </c>
      <c r="AN3101">
        <v>1.0000000192885199</v>
      </c>
    </row>
    <row r="3102" spans="1:40" x14ac:dyDescent="0.25">
      <c r="A3102" t="str">
        <f>"20190303162840740"</f>
        <v>20190303162840740</v>
      </c>
      <c r="B3102" t="str">
        <f>"1551601720734338"</f>
        <v>1551601720734338</v>
      </c>
      <c r="C3102" t="s">
        <v>40</v>
      </c>
      <c r="D3102">
        <v>4.9118240000000002</v>
      </c>
      <c r="E3102">
        <v>0.50549979999999906</v>
      </c>
      <c r="F3102" t="s">
        <v>48</v>
      </c>
      <c r="G3102">
        <v>-351.26060000000001</v>
      </c>
      <c r="H3102" s="1">
        <v>-9.3148799999999998E-7</v>
      </c>
      <c r="I3102">
        <v>216.11510000000001</v>
      </c>
      <c r="J3102">
        <v>-390.55180000000001</v>
      </c>
      <c r="K3102">
        <v>1.1207199999999999</v>
      </c>
      <c r="L3102">
        <v>214.6541</v>
      </c>
      <c r="M3102">
        <v>0.99990869999999998</v>
      </c>
      <c r="N3102">
        <v>-1.2035540000000001E-2</v>
      </c>
      <c r="O3102">
        <v>6.1520239999999999E-3</v>
      </c>
      <c r="P3102">
        <v>0.9808905</v>
      </c>
      <c r="Q3102">
        <v>0.18797949999999999</v>
      </c>
      <c r="R3102">
        <v>5.0175770000000001E-2</v>
      </c>
      <c r="S3102">
        <v>3.068756</v>
      </c>
      <c r="T3102">
        <v>-8.6765289999999995E-2</v>
      </c>
      <c r="U3102">
        <v>0.1132355</v>
      </c>
      <c r="V3102">
        <v>-4.3902389999999999E-2</v>
      </c>
      <c r="W3102">
        <v>0.19982730000000001</v>
      </c>
      <c r="X3102">
        <v>0.97884709999999997</v>
      </c>
      <c r="Y3102">
        <v>-3.0708719999999998E-2</v>
      </c>
      <c r="Z3102">
        <v>5.1898449999999996E-4</v>
      </c>
      <c r="AA3102">
        <v>0.99952819999999998</v>
      </c>
      <c r="AB3102">
        <v>34</v>
      </c>
      <c r="AC3102">
        <v>39.291200000000003</v>
      </c>
      <c r="AD3102">
        <v>-1.120720931488</v>
      </c>
      <c r="AE3102">
        <v>1.4610000000000101</v>
      </c>
      <c r="AF3102">
        <v>-1.2182446667223501</v>
      </c>
      <c r="AG3102">
        <v>-1.120720931488</v>
      </c>
      <c r="AH3102">
        <v>39.267541629820897</v>
      </c>
      <c r="AI3102">
        <v>91.634028897810694</v>
      </c>
      <c r="AJ3102">
        <v>91.776986629270297</v>
      </c>
      <c r="AK3102">
        <v>39.302416733885302</v>
      </c>
      <c r="AL3102">
        <v>78.473139895152897</v>
      </c>
      <c r="AM3102">
        <v>92.568058889882295</v>
      </c>
      <c r="AN3102">
        <v>1.0000000074257001</v>
      </c>
    </row>
    <row r="3103" spans="1:40" x14ac:dyDescent="0.25">
      <c r="A3103" t="str">
        <f>"20190303162840808"</f>
        <v>20190303162840808</v>
      </c>
      <c r="B3103" t="str">
        <f>"1551601720794851"</f>
        <v>1551601720794851</v>
      </c>
      <c r="C3103" t="s">
        <v>40</v>
      </c>
      <c r="D3103">
        <v>4.9933639999999997</v>
      </c>
      <c r="E3103">
        <v>0.50603560000000003</v>
      </c>
      <c r="F3103" t="s">
        <v>48</v>
      </c>
      <c r="G3103">
        <v>-350.90640000000002</v>
      </c>
      <c r="H3103" s="1">
        <v>-1.1166870000000001E-6</v>
      </c>
      <c r="I3103">
        <v>216.04079999999999</v>
      </c>
      <c r="J3103">
        <v>-389.50420000000003</v>
      </c>
      <c r="K3103">
        <v>1.120587</v>
      </c>
      <c r="L3103">
        <v>214.65780000000001</v>
      </c>
      <c r="M3103">
        <v>0.99991929999999996</v>
      </c>
      <c r="N3103">
        <v>-1.20433E-2</v>
      </c>
      <c r="O3103">
        <v>4.0685349999999999E-3</v>
      </c>
      <c r="P3103">
        <v>0.98037989999999997</v>
      </c>
      <c r="Q3103">
        <v>0.19125909999999999</v>
      </c>
      <c r="R3103">
        <v>4.770199E-2</v>
      </c>
      <c r="S3103">
        <v>3.0695800000000002</v>
      </c>
      <c r="T3103">
        <v>-8.6772920000000003E-2</v>
      </c>
      <c r="U3103">
        <v>0.10736080000000001</v>
      </c>
      <c r="V3103">
        <v>-4.3398600000000002E-2</v>
      </c>
      <c r="W3103">
        <v>0.203122</v>
      </c>
      <c r="X3103">
        <v>0.97819120000000004</v>
      </c>
      <c r="Y3103">
        <v>-3.0870700000000001E-2</v>
      </c>
      <c r="Z3103">
        <v>5.561543E-4</v>
      </c>
      <c r="AA3103">
        <v>0.99952319999999995</v>
      </c>
      <c r="AB3103">
        <v>34</v>
      </c>
      <c r="AC3103">
        <v>38.597799999999999</v>
      </c>
      <c r="AD3103">
        <v>-1.120588116687</v>
      </c>
      <c r="AE3103">
        <v>1.38299999999998</v>
      </c>
      <c r="AF3103">
        <v>-1.22490954711226</v>
      </c>
      <c r="AG3103">
        <v>-1.120588116687</v>
      </c>
      <c r="AH3103">
        <v>38.5706388672332</v>
      </c>
      <c r="AI3103">
        <v>91.663301184559799</v>
      </c>
      <c r="AJ3103">
        <v>91.8189630703624</v>
      </c>
      <c r="AK3103">
        <v>38.606350562470801</v>
      </c>
      <c r="AL3103">
        <v>78.280415295374297</v>
      </c>
      <c r="AM3103">
        <v>92.540328581544301</v>
      </c>
      <c r="AN3103">
        <v>1.0000000045616999</v>
      </c>
    </row>
    <row r="3104" spans="1:40" x14ac:dyDescent="0.25">
      <c r="A3104" t="str">
        <f>"20190303162840832"</f>
        <v>20190303162840832</v>
      </c>
      <c r="B3104" t="str">
        <f>"1551601720825106"</f>
        <v>1551601720825106</v>
      </c>
      <c r="C3104" t="s">
        <v>40</v>
      </c>
      <c r="D3104">
        <v>4.8740399999999999</v>
      </c>
      <c r="E3104">
        <v>0.50629259999999998</v>
      </c>
      <c r="F3104" t="s">
        <v>48</v>
      </c>
      <c r="G3104">
        <v>-346.32819999999998</v>
      </c>
      <c r="H3104" s="1">
        <v>1.830759E-6</v>
      </c>
      <c r="I3104">
        <v>215.97499999999999</v>
      </c>
      <c r="J3104">
        <v>-389.12189999999998</v>
      </c>
      <c r="K3104">
        <v>1.1205579999999999</v>
      </c>
      <c r="L3104">
        <v>214.6584</v>
      </c>
      <c r="M3104">
        <v>0.99992219999999998</v>
      </c>
      <c r="N3104">
        <v>-1.2053599999999999E-2</v>
      </c>
      <c r="O3104">
        <v>3.2154750000000002E-3</v>
      </c>
      <c r="P3104">
        <v>0.98042879999999999</v>
      </c>
      <c r="Q3104">
        <v>0.19176299999999999</v>
      </c>
      <c r="R3104">
        <v>4.4571189999999997E-2</v>
      </c>
      <c r="S3104">
        <v>3.0710139999999999</v>
      </c>
      <c r="T3104">
        <v>-7.9704759999999999E-2</v>
      </c>
      <c r="U3104">
        <v>9.3688960000000002E-2</v>
      </c>
      <c r="V3104">
        <v>-4.1086539999999998E-2</v>
      </c>
      <c r="W3104">
        <v>0.2036356</v>
      </c>
      <c r="X3104">
        <v>0.97818430000000001</v>
      </c>
      <c r="Y3104">
        <v>-2.726582E-2</v>
      </c>
      <c r="Z3104">
        <v>4.734235E-4</v>
      </c>
      <c r="AA3104">
        <v>0.99962810000000002</v>
      </c>
      <c r="AB3104">
        <v>34</v>
      </c>
      <c r="AC3104">
        <v>42.793700000000001</v>
      </c>
      <c r="AD3104">
        <v>-1.120556169241</v>
      </c>
      <c r="AE3104">
        <v>1.31659999999999</v>
      </c>
      <c r="AF3104">
        <v>-1.17817406476394</v>
      </c>
      <c r="AG3104">
        <v>-1.120556169241</v>
      </c>
      <c r="AH3104">
        <v>42.768415763278703</v>
      </c>
      <c r="AI3104">
        <v>91.500268885230099</v>
      </c>
      <c r="AJ3104">
        <v>91.577971316359793</v>
      </c>
      <c r="AK3104">
        <v>42.799312227604503</v>
      </c>
      <c r="AL3104">
        <v>78.250360490466207</v>
      </c>
      <c r="AM3104">
        <v>92.405172940896406</v>
      </c>
      <c r="AN3104">
        <v>1.0000000430615099</v>
      </c>
    </row>
    <row r="3105" spans="1:40" x14ac:dyDescent="0.25">
      <c r="A3105" t="str">
        <f>"20190303162840850"</f>
        <v>20190303162840850</v>
      </c>
      <c r="B3105" t="str">
        <f>"1551601720844627"</f>
        <v>1551601720844627</v>
      </c>
      <c r="C3105" t="s">
        <v>40</v>
      </c>
      <c r="D3105">
        <v>4.967015</v>
      </c>
      <c r="E3105">
        <v>0.50638909999999904</v>
      </c>
      <c r="F3105" t="s">
        <v>48</v>
      </c>
      <c r="G3105">
        <v>-346.18150000000003</v>
      </c>
      <c r="H3105" s="1">
        <v>1.7527040000000001E-6</v>
      </c>
      <c r="I3105">
        <v>215.8168</v>
      </c>
      <c r="J3105">
        <v>-388.86059999999998</v>
      </c>
      <c r="K3105">
        <v>1.120547</v>
      </c>
      <c r="L3105">
        <v>214.65860000000001</v>
      </c>
      <c r="M3105">
        <v>0.99992400000000004</v>
      </c>
      <c r="N3105">
        <v>-1.2061000000000001E-2</v>
      </c>
      <c r="O3105">
        <v>2.6192479999999998E-3</v>
      </c>
      <c r="P3105">
        <v>0.98048170000000001</v>
      </c>
      <c r="Q3105">
        <v>0.19220219999999999</v>
      </c>
      <c r="R3105">
        <v>4.140568E-2</v>
      </c>
      <c r="S3105">
        <v>3.0718380000000001</v>
      </c>
      <c r="T3105">
        <v>-8.0161570000000001E-2</v>
      </c>
      <c r="U3105">
        <v>8.2870479999999996E-2</v>
      </c>
      <c r="V3105">
        <v>-3.8496839999999997E-2</v>
      </c>
      <c r="W3105">
        <v>0.20407990000000001</v>
      </c>
      <c r="X3105">
        <v>0.97819699999999998</v>
      </c>
      <c r="Y3105">
        <v>-2.4337250000000001E-2</v>
      </c>
      <c r="Z3105">
        <v>4.2752790000000001E-4</v>
      </c>
      <c r="AA3105">
        <v>0.99970369999999997</v>
      </c>
      <c r="AB3105">
        <v>34</v>
      </c>
      <c r="AC3105">
        <v>42.679099999999899</v>
      </c>
      <c r="AD3105">
        <v>-1.120545247296</v>
      </c>
      <c r="AE3105">
        <v>1.1581999999999899</v>
      </c>
      <c r="AF3105">
        <v>-1.0456804759626901</v>
      </c>
      <c r="AG3105">
        <v>-1.120545247296</v>
      </c>
      <c r="AH3105">
        <v>42.652607252283097</v>
      </c>
      <c r="AI3105">
        <v>91.504444411720101</v>
      </c>
      <c r="AJ3105">
        <v>91.404394307797801</v>
      </c>
      <c r="AK3105">
        <v>42.680135598736797</v>
      </c>
      <c r="AL3105">
        <v>78.224357321036095</v>
      </c>
      <c r="AM3105">
        <v>92.253706334430305</v>
      </c>
      <c r="AN3105">
        <v>0.99999999154149699</v>
      </c>
    </row>
    <row r="3106" spans="1:40" x14ac:dyDescent="0.25">
      <c r="A3106" t="str">
        <f>"20190303162840871"</f>
        <v>20190303162840871</v>
      </c>
      <c r="B3106" t="str">
        <f>"1551601720864147"</f>
        <v>1551601720864147</v>
      </c>
      <c r="C3106" t="s">
        <v>40</v>
      </c>
      <c r="D3106">
        <v>3.753295</v>
      </c>
      <c r="E3106">
        <v>0.50638909999999904</v>
      </c>
      <c r="F3106" t="s">
        <v>48</v>
      </c>
      <c r="G3106">
        <v>-345.51350000000002</v>
      </c>
      <c r="H3106" s="1">
        <v>1.3971919999999999E-6</v>
      </c>
      <c r="I3106">
        <v>215.6893</v>
      </c>
      <c r="J3106">
        <v>-388.50779999999997</v>
      </c>
      <c r="K3106">
        <v>1.1205320000000001</v>
      </c>
      <c r="L3106">
        <v>214.65870000000001</v>
      </c>
      <c r="M3106">
        <v>0.99992550000000002</v>
      </c>
      <c r="N3106">
        <v>-1.2070600000000001E-2</v>
      </c>
      <c r="O3106">
        <v>1.8076489999999999E-3</v>
      </c>
      <c r="P3106">
        <v>0.98074499999999998</v>
      </c>
      <c r="Q3106">
        <v>0.1914922</v>
      </c>
      <c r="R3106">
        <v>3.834253E-2</v>
      </c>
      <c r="S3106">
        <v>3.0722049999999999</v>
      </c>
      <c r="T3106">
        <v>-7.9417940000000006E-2</v>
      </c>
      <c r="U3106">
        <v>7.3043819999999995E-2</v>
      </c>
      <c r="V3106">
        <v>-3.6223569999999997E-2</v>
      </c>
      <c r="W3106">
        <v>0.2033797</v>
      </c>
      <c r="X3106">
        <v>0.97842960000000001</v>
      </c>
      <c r="Y3106">
        <v>-2.1951100000000001E-2</v>
      </c>
      <c r="Z3106">
        <v>3.912745E-4</v>
      </c>
      <c r="AA3106">
        <v>0.99975899999999995</v>
      </c>
      <c r="AB3106">
        <v>34</v>
      </c>
      <c r="AC3106">
        <v>42.994299999999903</v>
      </c>
      <c r="AD3106">
        <v>-1.12053060280799</v>
      </c>
      <c r="AE3106">
        <v>1.03059999999999</v>
      </c>
      <c r="AF3106">
        <v>-0.95222762582147502</v>
      </c>
      <c r="AG3106">
        <v>-1.12053060280799</v>
      </c>
      <c r="AH3106">
        <v>42.966924587476498</v>
      </c>
      <c r="AI3106">
        <v>91.493506375261305</v>
      </c>
      <c r="AJ3106">
        <v>91.269574099556394</v>
      </c>
      <c r="AK3106">
        <v>42.992079907688797</v>
      </c>
      <c r="AL3106">
        <v>78.265334944328302</v>
      </c>
      <c r="AM3106">
        <v>92.120244751375395</v>
      </c>
      <c r="AN3106">
        <v>0.999999965775896</v>
      </c>
    </row>
    <row r="3107" spans="1:40" x14ac:dyDescent="0.25">
      <c r="A3107" t="str">
        <f>"20190303162841005"</f>
        <v>20190303162841005</v>
      </c>
      <c r="B3107" t="str">
        <f>"1551601720994931"</f>
        <v>1551601720994931</v>
      </c>
      <c r="C3107" t="s">
        <v>40</v>
      </c>
      <c r="D3107">
        <v>3.7527699999999999</v>
      </c>
      <c r="E3107">
        <v>0.50638909999999904</v>
      </c>
      <c r="F3107" t="s">
        <v>48</v>
      </c>
      <c r="G3107">
        <v>-346.34750000000003</v>
      </c>
      <c r="H3107" s="1">
        <v>1.841051E-6</v>
      </c>
      <c r="I3107">
        <v>215.5325</v>
      </c>
      <c r="J3107">
        <v>-386.46960000000001</v>
      </c>
      <c r="K3107">
        <v>1.12066</v>
      </c>
      <c r="L3107">
        <v>214.65440000000001</v>
      </c>
      <c r="M3107">
        <v>0.99992429999999999</v>
      </c>
      <c r="N3107">
        <v>-1.211141E-2</v>
      </c>
      <c r="O3107">
        <v>-2.2214270000000002E-3</v>
      </c>
      <c r="P3107">
        <v>0.98144569999999998</v>
      </c>
      <c r="Q3107">
        <v>0.18953030000000001</v>
      </c>
      <c r="R3107">
        <v>2.903669E-2</v>
      </c>
      <c r="S3107">
        <v>3.0723880000000001</v>
      </c>
      <c r="T3107">
        <v>-8.1657530000000006E-2</v>
      </c>
      <c r="U3107">
        <v>6.3674930000000005E-2</v>
      </c>
      <c r="V3107">
        <v>-3.0947809999999999E-2</v>
      </c>
      <c r="W3107">
        <v>0.2014437</v>
      </c>
      <c r="X3107">
        <v>0.97901110000000002</v>
      </c>
      <c r="Y3107">
        <v>-2.2929499999999998E-2</v>
      </c>
      <c r="Z3107">
        <v>4.7565649999999998E-4</v>
      </c>
      <c r="AA3107">
        <v>0.99973699999999999</v>
      </c>
      <c r="AB3107">
        <v>34</v>
      </c>
      <c r="AC3107">
        <v>40.122099999999897</v>
      </c>
      <c r="AD3107">
        <v>-1.1206581589489999</v>
      </c>
      <c r="AE3107">
        <v>0.878099999999989</v>
      </c>
      <c r="AF3107">
        <v>-0.96647903769735999</v>
      </c>
      <c r="AG3107">
        <v>-1.1206581589489999</v>
      </c>
      <c r="AH3107">
        <v>40.088789851159603</v>
      </c>
      <c r="AI3107">
        <v>91.600787364871394</v>
      </c>
      <c r="AJ3107">
        <v>91.381045560279901</v>
      </c>
      <c r="AK3107">
        <v>40.116094378316099</v>
      </c>
      <c r="AL3107">
        <v>78.378605000084804</v>
      </c>
      <c r="AM3107">
        <v>91.810590933529397</v>
      </c>
      <c r="AN3107">
        <v>1.00000003256834</v>
      </c>
    </row>
    <row r="3108" spans="1:40" x14ac:dyDescent="0.25">
      <c r="A3108" t="str">
        <f>"20190303162841027"</f>
        <v>20190303162841027</v>
      </c>
      <c r="B3108" t="str">
        <f>"1551601721024211"</f>
        <v>1551601721024211</v>
      </c>
      <c r="C3108" t="s">
        <v>40</v>
      </c>
      <c r="D3108">
        <v>5.1212569999999999</v>
      </c>
      <c r="E3108">
        <v>0.51305849999999997</v>
      </c>
      <c r="F3108" t="s">
        <v>48</v>
      </c>
      <c r="G3108">
        <v>-347.35120000000001</v>
      </c>
      <c r="H3108" s="1">
        <v>2.3751299999999999E-6</v>
      </c>
      <c r="I3108">
        <v>215.13030000000001</v>
      </c>
      <c r="J3108">
        <v>-386.13420000000002</v>
      </c>
      <c r="K3108">
        <v>1.120727</v>
      </c>
      <c r="L3108">
        <v>214.65309999999999</v>
      </c>
      <c r="M3108">
        <v>0.99992320000000001</v>
      </c>
      <c r="N3108">
        <v>-1.211578E-2</v>
      </c>
      <c r="O3108">
        <v>-2.6507369999999998E-3</v>
      </c>
      <c r="P3108">
        <v>0.9814659</v>
      </c>
      <c r="Q3108">
        <v>0.1896417</v>
      </c>
      <c r="R3108">
        <v>2.758447E-2</v>
      </c>
      <c r="S3108">
        <v>3.072632</v>
      </c>
      <c r="T3108">
        <v>-8.8024140000000001E-2</v>
      </c>
      <c r="U3108">
        <v>3.7384029999999999E-2</v>
      </c>
      <c r="V3108">
        <v>-2.9948559999999999E-2</v>
      </c>
      <c r="W3108">
        <v>0.20155339999999999</v>
      </c>
      <c r="X3108">
        <v>0.97901959999999999</v>
      </c>
      <c r="Y3108">
        <v>-1.4807570000000001E-2</v>
      </c>
      <c r="Z3108">
        <v>3.4559400000000001E-4</v>
      </c>
      <c r="AA3108">
        <v>0.99989030000000001</v>
      </c>
      <c r="AB3108">
        <v>34</v>
      </c>
      <c r="AC3108">
        <v>38.783000000000001</v>
      </c>
      <c r="AD3108">
        <v>-1.12072462487</v>
      </c>
      <c r="AE3108">
        <v>0.47720000000001001</v>
      </c>
      <c r="AF3108">
        <v>-0.57952552861179496</v>
      </c>
      <c r="AG3108">
        <v>-1.12072462487</v>
      </c>
      <c r="AH3108">
        <v>38.7492458533495</v>
      </c>
      <c r="AI3108">
        <v>91.656489551432998</v>
      </c>
      <c r="AJ3108">
        <v>90.856839684012499</v>
      </c>
      <c r="AK3108">
        <v>38.769781115276103</v>
      </c>
      <c r="AL3108">
        <v>78.372188041612105</v>
      </c>
      <c r="AM3108">
        <v>91.752152003313896</v>
      </c>
      <c r="AN3108">
        <v>1.00000003324089</v>
      </c>
    </row>
    <row r="3109" spans="1:40" x14ac:dyDescent="0.25">
      <c r="A3109" t="str">
        <f>"20190303162841051"</f>
        <v>20190303162841051</v>
      </c>
      <c r="B3109" t="str">
        <f>"1551601721044708"</f>
        <v>1551601721044708</v>
      </c>
      <c r="C3109" t="s">
        <v>40</v>
      </c>
      <c r="D3109">
        <v>4.9918069999999997</v>
      </c>
      <c r="E3109">
        <v>0.514818</v>
      </c>
      <c r="F3109" t="s">
        <v>44</v>
      </c>
      <c r="G3109">
        <v>-385.2133</v>
      </c>
      <c r="H3109">
        <v>0.92721370000000003</v>
      </c>
      <c r="I3109">
        <v>214.64769999999999</v>
      </c>
      <c r="J3109">
        <v>-385.76249999999999</v>
      </c>
      <c r="K3109">
        <v>1.1208129999999901</v>
      </c>
      <c r="L3109">
        <v>214.65170000000001</v>
      </c>
      <c r="M3109">
        <v>0.99992199999999998</v>
      </c>
      <c r="N3109">
        <v>-1.212004E-2</v>
      </c>
      <c r="O3109">
        <v>-3.0270850000000001E-3</v>
      </c>
      <c r="P3109">
        <v>0.98134900000000003</v>
      </c>
      <c r="Q3109">
        <v>0.19055910000000001</v>
      </c>
      <c r="R3109">
        <v>2.5328570000000002E-2</v>
      </c>
      <c r="S3109">
        <v>3.1865230000000002</v>
      </c>
      <c r="T3109">
        <v>-0.66960280000000005</v>
      </c>
      <c r="U3109">
        <v>-1.8157960000000001E-2</v>
      </c>
      <c r="V3109">
        <v>-2.8097250000000001E-2</v>
      </c>
      <c r="W3109">
        <v>0.20246639999999999</v>
      </c>
      <c r="X3109">
        <v>0.97888609999999998</v>
      </c>
      <c r="Y3109">
        <v>2.6679809999999998E-3</v>
      </c>
      <c r="Z3109">
        <v>2.9926200000000001E-4</v>
      </c>
      <c r="AA3109">
        <v>0.99999640000000001</v>
      </c>
      <c r="AB3109">
        <v>34</v>
      </c>
      <c r="AC3109">
        <v>0.54919999999998403</v>
      </c>
      <c r="AD3109">
        <v>-0.193599299999999</v>
      </c>
      <c r="AE3109">
        <v>-4.0000000000190898E-3</v>
      </c>
      <c r="AF3109">
        <v>2.07904684914111E-3</v>
      </c>
      <c r="AG3109">
        <v>-0.193599299999999</v>
      </c>
      <c r="AH3109">
        <v>0.48850861347487101</v>
      </c>
      <c r="AI3109">
        <v>111.61858334639901</v>
      </c>
      <c r="AJ3109">
        <v>89.756156007514093</v>
      </c>
      <c r="AK3109">
        <v>0.52547661873334806</v>
      </c>
      <c r="AL3109">
        <v>78.3187759914927</v>
      </c>
      <c r="AM3109">
        <v>91.644125860211204</v>
      </c>
      <c r="AN3109">
        <v>1.0000000476798601</v>
      </c>
    </row>
    <row r="3110" spans="1:40" x14ac:dyDescent="0.25">
      <c r="A3110" t="str">
        <f>"20190303162841073"</f>
        <v>20190303162841073</v>
      </c>
      <c r="B3110" t="str">
        <f>"1551601721064227"</f>
        <v>1551601721064227</v>
      </c>
      <c r="C3110" t="s">
        <v>40</v>
      </c>
      <c r="D3110">
        <v>4.8964080000000001</v>
      </c>
      <c r="E3110">
        <v>0.51424689999999995</v>
      </c>
      <c r="F3110" t="s">
        <v>44</v>
      </c>
      <c r="G3110">
        <v>-384.87880000000001</v>
      </c>
      <c r="H3110">
        <v>0.98686790000000002</v>
      </c>
      <c r="I3110">
        <v>214.64080000000001</v>
      </c>
      <c r="J3110">
        <v>-385.4212</v>
      </c>
      <c r="K3110">
        <v>1.120889</v>
      </c>
      <c r="L3110">
        <v>214.65029999999999</v>
      </c>
      <c r="M3110">
        <v>0.99992110000000001</v>
      </c>
      <c r="N3110">
        <v>-1.2123470000000001E-2</v>
      </c>
      <c r="O3110">
        <v>-3.2773820000000001E-3</v>
      </c>
      <c r="P3110">
        <v>0.98116899999999996</v>
      </c>
      <c r="Q3110">
        <v>0.19186139999999999</v>
      </c>
      <c r="R3110">
        <v>2.228724E-2</v>
      </c>
      <c r="S3110">
        <v>3.150665</v>
      </c>
      <c r="T3110">
        <v>-0.4776512</v>
      </c>
      <c r="U3110">
        <v>-3.7292480000000003E-2</v>
      </c>
      <c r="V3110">
        <v>-2.5334840000000001E-2</v>
      </c>
      <c r="W3110">
        <v>0.203763</v>
      </c>
      <c r="X3110">
        <v>0.97869240000000002</v>
      </c>
      <c r="Y3110">
        <v>8.4850040000000009E-3</v>
      </c>
      <c r="Z3110">
        <v>-2.367615E-4</v>
      </c>
      <c r="AA3110">
        <v>0.99996399999999996</v>
      </c>
      <c r="AB3110">
        <v>34</v>
      </c>
      <c r="AC3110">
        <v>0.542399999999986</v>
      </c>
      <c r="AD3110">
        <v>-0.1340211</v>
      </c>
      <c r="AE3110">
        <v>-9.4999999999742998E-3</v>
      </c>
      <c r="AF3110">
        <v>7.2779611745089996E-3</v>
      </c>
      <c r="AG3110">
        <v>-0.1340211</v>
      </c>
      <c r="AH3110">
        <v>0.51122592067996797</v>
      </c>
      <c r="AI3110">
        <v>104.688455665856</v>
      </c>
      <c r="AJ3110">
        <v>89.184375685680493</v>
      </c>
      <c r="AK3110">
        <v>0.52855138438864102</v>
      </c>
      <c r="AL3110">
        <v>78.242904340432503</v>
      </c>
      <c r="AM3110">
        <v>91.482851301686495</v>
      </c>
      <c r="AN3110">
        <v>1.00000001405229</v>
      </c>
    </row>
    <row r="3111" spans="1:40" x14ac:dyDescent="0.25">
      <c r="A3111" t="str">
        <f>"20190303162841096"</f>
        <v>20190303162841096</v>
      </c>
      <c r="B3111" t="str">
        <f>"1551601721084723"</f>
        <v>1551601721084723</v>
      </c>
      <c r="C3111" t="s">
        <v>40</v>
      </c>
      <c r="D3111">
        <v>5.2794059999999998</v>
      </c>
      <c r="E3111">
        <v>0.51384620000000003</v>
      </c>
      <c r="F3111" t="s">
        <v>44</v>
      </c>
      <c r="G3111">
        <v>-384.55189999999999</v>
      </c>
      <c r="H3111">
        <v>1.028322</v>
      </c>
      <c r="I3111">
        <v>214.63900000000001</v>
      </c>
      <c r="J3111">
        <v>-385.08519999999999</v>
      </c>
      <c r="K3111">
        <v>1.12096</v>
      </c>
      <c r="L3111">
        <v>214.649</v>
      </c>
      <c r="M3111">
        <v>0.9999207</v>
      </c>
      <c r="N3111">
        <v>-1.212644E-2</v>
      </c>
      <c r="O3111">
        <v>-3.4367339999999999E-3</v>
      </c>
      <c r="P3111">
        <v>0.98098419999999997</v>
      </c>
      <c r="Q3111">
        <v>0.19310659999999999</v>
      </c>
      <c r="R3111">
        <v>1.9495129999999999E-2</v>
      </c>
      <c r="S3111">
        <v>3.123535</v>
      </c>
      <c r="T3111">
        <v>-0.33255449999999998</v>
      </c>
      <c r="U3111">
        <v>-4.0878299999999999E-2</v>
      </c>
      <c r="V3111">
        <v>-2.2732619999999999E-2</v>
      </c>
      <c r="W3111">
        <v>0.2050023</v>
      </c>
      <c r="X3111">
        <v>0.97849739999999996</v>
      </c>
      <c r="Y3111">
        <v>9.6040569999999992E-3</v>
      </c>
      <c r="Z3111">
        <v>-2.4493650000000002E-4</v>
      </c>
      <c r="AA3111">
        <v>0.99995389999999995</v>
      </c>
      <c r="AB3111">
        <v>34</v>
      </c>
      <c r="AC3111">
        <v>0.533299999999997</v>
      </c>
      <c r="AD3111">
        <v>-9.2637999999999998E-2</v>
      </c>
      <c r="AE3111">
        <v>-9.9999999999908998E-3</v>
      </c>
      <c r="AF3111">
        <v>7.9278636296505594E-3</v>
      </c>
      <c r="AG3111">
        <v>-9.2637999999999998E-2</v>
      </c>
      <c r="AH3111">
        <v>0.51771509318609199</v>
      </c>
      <c r="AI3111">
        <v>100.143762891685</v>
      </c>
      <c r="AJ3111">
        <v>89.122688071854</v>
      </c>
      <c r="AK3111">
        <v>0.52599768799721403</v>
      </c>
      <c r="AL3111">
        <v>78.170365572416401</v>
      </c>
      <c r="AM3111">
        <v>91.330866007127895</v>
      </c>
      <c r="AN3111">
        <v>0.99999993841205503</v>
      </c>
    </row>
    <row r="3112" spans="1:40" x14ac:dyDescent="0.25">
      <c r="A3112" t="str">
        <f>"20190303162841117"</f>
        <v>20190303162841117</v>
      </c>
      <c r="B3112" t="str">
        <f>"1551601721104243"</f>
        <v>1551601721104243</v>
      </c>
      <c r="C3112" t="s">
        <v>40</v>
      </c>
      <c r="D3112">
        <v>5.0583130000000001</v>
      </c>
      <c r="E3112">
        <v>0.50821649999999996</v>
      </c>
      <c r="F3112" t="s">
        <v>44</v>
      </c>
      <c r="G3112">
        <v>-384.22390000000001</v>
      </c>
      <c r="H3112">
        <v>1.044999</v>
      </c>
      <c r="I3112">
        <v>214.636</v>
      </c>
      <c r="J3112">
        <v>-384.7561</v>
      </c>
      <c r="K3112">
        <v>1.1210340000000001</v>
      </c>
      <c r="L3112">
        <v>214.64769999999999</v>
      </c>
      <c r="M3112">
        <v>0.99992029999999998</v>
      </c>
      <c r="N3112">
        <v>-1.2129020000000001E-2</v>
      </c>
      <c r="O3112">
        <v>-3.5234749999999999E-3</v>
      </c>
      <c r="P3112">
        <v>0.98087939999999996</v>
      </c>
      <c r="Q3112">
        <v>0.19381770000000001</v>
      </c>
      <c r="R3112">
        <v>1.7612639999999999E-2</v>
      </c>
      <c r="S3112">
        <v>3.1130979999999999</v>
      </c>
      <c r="T3112">
        <v>-0.27465610000000001</v>
      </c>
      <c r="U3112">
        <v>-4.5913700000000002E-2</v>
      </c>
      <c r="V3112">
        <v>-2.096758E-2</v>
      </c>
      <c r="W3112">
        <v>0.20571020000000001</v>
      </c>
      <c r="X3112">
        <v>0.97838829999999999</v>
      </c>
      <c r="Y3112">
        <v>1.118426E-2</v>
      </c>
      <c r="Z3112">
        <v>-2.9279510000000003E-4</v>
      </c>
      <c r="AA3112">
        <v>0.99993739999999998</v>
      </c>
      <c r="AB3112">
        <v>34</v>
      </c>
      <c r="AC3112">
        <v>0.53219999999998802</v>
      </c>
      <c r="AD3112">
        <v>-7.6035000000000005E-2</v>
      </c>
      <c r="AE3112">
        <v>-1.16999999999904E-2</v>
      </c>
      <c r="AF3112">
        <v>9.6281646942522007E-3</v>
      </c>
      <c r="AG3112">
        <v>-7.6035000000000005E-2</v>
      </c>
      <c r="AH3112">
        <v>0.52159644113787396</v>
      </c>
      <c r="AI3112">
        <v>98.292401725950995</v>
      </c>
      <c r="AJ3112">
        <v>88.942495548780997</v>
      </c>
      <c r="AK3112">
        <v>0.52719718340301802</v>
      </c>
      <c r="AL3112">
        <v>78.128923314749798</v>
      </c>
      <c r="AM3112">
        <v>91.227702716243698</v>
      </c>
      <c r="AN3112">
        <v>0.99999999568599296</v>
      </c>
    </row>
    <row r="3113" spans="1:40" x14ac:dyDescent="0.25">
      <c r="A3113" t="str">
        <f>"20190303162841140"</f>
        <v>20190303162841140</v>
      </c>
      <c r="B3113" t="str">
        <f>"1551601721134499"</f>
        <v>1551601721134499</v>
      </c>
      <c r="C3113" t="s">
        <v>40</v>
      </c>
      <c r="D3113">
        <v>5.0032350000000001</v>
      </c>
      <c r="E3113">
        <v>0.50829420000000003</v>
      </c>
      <c r="F3113" t="s">
        <v>55</v>
      </c>
      <c r="G3113">
        <v>-107.39749999999999</v>
      </c>
      <c r="H3113">
        <v>1.2771840000000001</v>
      </c>
      <c r="I3113">
        <v>213.87970000000001</v>
      </c>
      <c r="J3113">
        <v>-384.40980000000002</v>
      </c>
      <c r="K3113">
        <v>1.121095</v>
      </c>
      <c r="L3113">
        <v>214.6464</v>
      </c>
      <c r="M3113">
        <v>0.99992009999999998</v>
      </c>
      <c r="N3113">
        <v>-1.2131370000000001E-2</v>
      </c>
      <c r="O3113">
        <v>-3.5639740000000001E-3</v>
      </c>
      <c r="P3113">
        <v>0.98073330000000003</v>
      </c>
      <c r="Q3113">
        <v>0.1946678</v>
      </c>
      <c r="R3113">
        <v>1.6329719999999999E-2</v>
      </c>
      <c r="S3113">
        <v>3.0582579999999999</v>
      </c>
      <c r="T3113">
        <v>1.7223360000000001E-3</v>
      </c>
      <c r="U3113">
        <v>-8.4686280000000006E-3</v>
      </c>
      <c r="V3113">
        <v>-1.975238E-2</v>
      </c>
      <c r="W3113">
        <v>0.20655760000000001</v>
      </c>
      <c r="X3113">
        <v>0.97823510000000002</v>
      </c>
      <c r="Y3113">
        <v>-7.9486469999999997E-4</v>
      </c>
      <c r="Z3113" s="1">
        <v>-4.0646809999999999E-5</v>
      </c>
      <c r="AA3113">
        <v>0.99999970000000005</v>
      </c>
      <c r="AB3113">
        <v>34</v>
      </c>
      <c r="AC3113">
        <v>277.01229999999998</v>
      </c>
      <c r="AD3113">
        <v>0.15608899999999901</v>
      </c>
      <c r="AE3113">
        <v>-0.76669999999998595</v>
      </c>
      <c r="AF3113">
        <v>-0.220642052066227</v>
      </c>
      <c r="AG3113">
        <v>0.15608899999999901</v>
      </c>
      <c r="AH3113">
        <v>277.01318519113102</v>
      </c>
      <c r="AI3113">
        <v>89.967715482066694</v>
      </c>
      <c r="AJ3113">
        <v>90.045636295919806</v>
      </c>
      <c r="AK3113">
        <v>277.01331703805698</v>
      </c>
      <c r="AL3113">
        <v>78.079305976175505</v>
      </c>
      <c r="AM3113">
        <v>91.156750806614397</v>
      </c>
      <c r="AN3113">
        <v>1.0000000547527099</v>
      </c>
    </row>
    <row r="3114" spans="1:40" x14ac:dyDescent="0.25">
      <c r="A3114" t="str">
        <f>"20190303162841164"</f>
        <v>20190303162841164</v>
      </c>
      <c r="B3114" t="str">
        <f>"1551601721154996"</f>
        <v>1551601721154996</v>
      </c>
      <c r="C3114" t="s">
        <v>40</v>
      </c>
      <c r="D3114">
        <v>5.0066439999999997</v>
      </c>
      <c r="E3114">
        <v>0.50710949999999999</v>
      </c>
      <c r="F3114" t="s">
        <v>49</v>
      </c>
      <c r="G3114">
        <v>-284.59719999999999</v>
      </c>
      <c r="H3114" s="1">
        <v>5.0993480000000001E-6</v>
      </c>
      <c r="I3114">
        <v>214.22120000000001</v>
      </c>
      <c r="J3114">
        <v>-384.04169999999999</v>
      </c>
      <c r="K3114">
        <v>1.121138</v>
      </c>
      <c r="L3114">
        <v>214.64500000000001</v>
      </c>
      <c r="M3114">
        <v>0.99992009999999998</v>
      </c>
      <c r="N3114">
        <v>-1.213345E-2</v>
      </c>
      <c r="O3114">
        <v>-3.571168E-3</v>
      </c>
      <c r="P3114">
        <v>0.98059370000000001</v>
      </c>
      <c r="Q3114">
        <v>0.19544629999999999</v>
      </c>
      <c r="R3114">
        <v>1.5390249999999999E-2</v>
      </c>
      <c r="S3114">
        <v>3.0659480000000001</v>
      </c>
      <c r="T3114">
        <v>-3.4436580000000001E-2</v>
      </c>
      <c r="U3114">
        <v>-1.306152E-2</v>
      </c>
      <c r="V3114">
        <v>-1.884195E-2</v>
      </c>
      <c r="W3114">
        <v>0.20733380000000001</v>
      </c>
      <c r="X3114">
        <v>0.97808879999999998</v>
      </c>
      <c r="Y3114">
        <v>0</v>
      </c>
      <c r="Z3114">
        <v>0</v>
      </c>
      <c r="AA3114">
        <v>1</v>
      </c>
      <c r="AB3114">
        <v>34</v>
      </c>
      <c r="AC3114">
        <v>99.444500000000005</v>
      </c>
      <c r="AD3114">
        <v>-1.1211329006520001</v>
      </c>
      <c r="AE3114">
        <v>-0.42380000000000001</v>
      </c>
      <c r="AF3114">
        <v>6.8629445893644406E-2</v>
      </c>
      <c r="AG3114">
        <v>-1.1211329006520001</v>
      </c>
      <c r="AH3114">
        <v>99.432741478428795</v>
      </c>
      <c r="AI3114">
        <v>90.645998946354894</v>
      </c>
      <c r="AJ3114">
        <v>89.960453901630899</v>
      </c>
      <c r="AK3114">
        <v>99.439085509159</v>
      </c>
      <c r="AL3114">
        <v>78.033848442582894</v>
      </c>
      <c r="AM3114">
        <v>91.103612166041501</v>
      </c>
      <c r="AN3114">
        <v>1.0000000121938399</v>
      </c>
    </row>
    <row r="3115" spans="1:40" x14ac:dyDescent="0.25">
      <c r="A3115" t="str">
        <f>"20190303162841186"</f>
        <v>20190303162841186</v>
      </c>
      <c r="B3115" t="str">
        <f>"1551601721174515"</f>
        <v>1551601721174515</v>
      </c>
      <c r="C3115" t="s">
        <v>40</v>
      </c>
      <c r="D3115">
        <v>5.0599220000000003</v>
      </c>
      <c r="E3115">
        <v>0.50632100000000002</v>
      </c>
      <c r="F3115" t="s">
        <v>48</v>
      </c>
      <c r="G3115">
        <v>-263.6139</v>
      </c>
      <c r="H3115" s="1">
        <v>3.9631729999999999E-7</v>
      </c>
      <c r="I3115">
        <v>214.3878</v>
      </c>
      <c r="J3115">
        <v>-383.70159999999998</v>
      </c>
      <c r="K3115">
        <v>1.121173</v>
      </c>
      <c r="L3115">
        <v>214.6437</v>
      </c>
      <c r="M3115">
        <v>0.99992009999999998</v>
      </c>
      <c r="N3115">
        <v>-1.213506E-2</v>
      </c>
      <c r="O3115">
        <v>-3.5607519999999999E-3</v>
      </c>
      <c r="P3115">
        <v>0.98049489999999995</v>
      </c>
      <c r="Q3115">
        <v>0.1960035</v>
      </c>
      <c r="R3115">
        <v>1.457482E-2</v>
      </c>
      <c r="S3115">
        <v>3.0651860000000002</v>
      </c>
      <c r="T3115">
        <v>-2.8535720000000001E-2</v>
      </c>
      <c r="U3115">
        <v>-6.546021E-3</v>
      </c>
      <c r="V3115">
        <v>-1.8029650000000001E-2</v>
      </c>
      <c r="W3115">
        <v>0.20788989999999999</v>
      </c>
      <c r="X3115">
        <v>0.97798600000000002</v>
      </c>
      <c r="Y3115">
        <v>-1.425265E-3</v>
      </c>
      <c r="Z3115" s="1">
        <v>5.2193250000000002E-6</v>
      </c>
      <c r="AA3115">
        <v>0.99999899999999997</v>
      </c>
      <c r="AB3115">
        <v>34</v>
      </c>
      <c r="AC3115">
        <v>120.087699999999</v>
      </c>
      <c r="AD3115">
        <v>-1.1211726036827001</v>
      </c>
      <c r="AE3115">
        <v>-0.25589999999999602</v>
      </c>
      <c r="AF3115">
        <v>-0.171720629077762</v>
      </c>
      <c r="AG3115">
        <v>-1.1211726036827001</v>
      </c>
      <c r="AH3115">
        <v>120.07738321924801</v>
      </c>
      <c r="AI3115">
        <v>90.534959408640006</v>
      </c>
      <c r="AJ3115">
        <v>90.081937666614905</v>
      </c>
      <c r="AK3115">
        <v>120.082740128479</v>
      </c>
      <c r="AL3115">
        <v>78.001275772265799</v>
      </c>
      <c r="AM3115">
        <v>91.056156064345998</v>
      </c>
      <c r="AN3115">
        <v>0.99999994749856502</v>
      </c>
    </row>
    <row r="3116" spans="1:40" x14ac:dyDescent="0.25">
      <c r="A3116" t="str">
        <f>"20190303162841218"</f>
        <v>20190303162841218</v>
      </c>
      <c r="B3116" t="str">
        <f>"1551601721214531"</f>
        <v>1551601721214531</v>
      </c>
      <c r="C3116" t="s">
        <v>40</v>
      </c>
      <c r="D3116">
        <v>5.0087299999999999</v>
      </c>
      <c r="E3116">
        <v>0.50574560000000002</v>
      </c>
      <c r="F3116" t="s">
        <v>47</v>
      </c>
      <c r="G3116">
        <v>-206.32740000000001</v>
      </c>
      <c r="H3116" s="1">
        <v>5.0349559999999997E-6</v>
      </c>
      <c r="I3116">
        <v>214.4785</v>
      </c>
      <c r="J3116">
        <v>-383.20389999999998</v>
      </c>
      <c r="K3116">
        <v>1.121191</v>
      </c>
      <c r="L3116">
        <v>214.642</v>
      </c>
      <c r="M3116">
        <v>0.99992020000000004</v>
      </c>
      <c r="N3116">
        <v>-1.213707E-2</v>
      </c>
      <c r="O3116">
        <v>-3.5396519999999999E-3</v>
      </c>
      <c r="P3116">
        <v>0.98052689999999998</v>
      </c>
      <c r="Q3116">
        <v>0.1957777</v>
      </c>
      <c r="R3116">
        <v>1.5443409999999999E-2</v>
      </c>
      <c r="S3116">
        <v>3.0636290000000002</v>
      </c>
      <c r="T3116">
        <v>-1.9364949999999999E-2</v>
      </c>
      <c r="U3116">
        <v>-2.853394E-3</v>
      </c>
      <c r="V3116">
        <v>-1.8890489999999999E-2</v>
      </c>
      <c r="W3116">
        <v>0.2076655</v>
      </c>
      <c r="X3116">
        <v>0.97801749999999998</v>
      </c>
      <c r="Y3116">
        <v>-2.608328E-3</v>
      </c>
      <c r="Z3116" s="1">
        <v>3.4837339999999999E-6</v>
      </c>
      <c r="AA3116">
        <v>0.99999660000000001</v>
      </c>
      <c r="AB3116">
        <v>34</v>
      </c>
      <c r="AC3116">
        <v>176.876499999999</v>
      </c>
      <c r="AD3116">
        <v>-1.1211859650439999</v>
      </c>
      <c r="AE3116">
        <v>-0.16349999999999901</v>
      </c>
      <c r="AF3116">
        <v>-0.46260973576773201</v>
      </c>
      <c r="AG3116">
        <v>-1.1211859650439999</v>
      </c>
      <c r="AH3116">
        <v>176.86886388597401</v>
      </c>
      <c r="AI3116">
        <v>90.363196451144702</v>
      </c>
      <c r="AJ3116">
        <v>90.149859757090496</v>
      </c>
      <c r="AK3116">
        <v>176.873022471068</v>
      </c>
      <c r="AL3116">
        <v>78.014420687042104</v>
      </c>
      <c r="AM3116">
        <v>91.106535192167996</v>
      </c>
      <c r="AN3116">
        <v>1.0000000204044699</v>
      </c>
    </row>
    <row r="3117" spans="1:40" x14ac:dyDescent="0.25">
      <c r="A3117" t="str">
        <f>"20190303162841241"</f>
        <v>20190303162841241</v>
      </c>
      <c r="B3117" t="str">
        <f>"1551601721235028"</f>
        <v>1551601721235028</v>
      </c>
      <c r="C3117" t="s">
        <v>40</v>
      </c>
      <c r="D3117">
        <v>5.0282210000000003</v>
      </c>
      <c r="E3117">
        <v>0.50544659999999997</v>
      </c>
      <c r="F3117" t="s">
        <v>47</v>
      </c>
      <c r="G3117">
        <v>-184.15639999999999</v>
      </c>
      <c r="H3117" s="1">
        <v>2.9174689999999998E-6</v>
      </c>
      <c r="I3117">
        <v>214.90870000000001</v>
      </c>
      <c r="J3117">
        <v>-382.846</v>
      </c>
      <c r="K3117">
        <v>1.1212040000000001</v>
      </c>
      <c r="L3117">
        <v>214.64070000000001</v>
      </c>
      <c r="M3117">
        <v>0.99992009999999998</v>
      </c>
      <c r="N3117">
        <v>-1.2138289999999999E-2</v>
      </c>
      <c r="O3117">
        <v>-3.5274579999999998E-3</v>
      </c>
      <c r="P3117">
        <v>0.98056529999999997</v>
      </c>
      <c r="Q3117">
        <v>0.1954891</v>
      </c>
      <c r="R3117">
        <v>1.6604870000000001E-2</v>
      </c>
      <c r="S3117">
        <v>3.0629580000000001</v>
      </c>
      <c r="T3117">
        <v>-1.7252920000000001E-2</v>
      </c>
      <c r="U3117">
        <v>4.1046140000000004E-3</v>
      </c>
      <c r="V3117">
        <v>-2.0045489999999999E-2</v>
      </c>
      <c r="W3117">
        <v>0.20737820000000001</v>
      </c>
      <c r="X3117">
        <v>0.97805549999999997</v>
      </c>
      <c r="Y3117">
        <v>-4.8674679999999998E-3</v>
      </c>
      <c r="Z3117" s="1">
        <v>2.030162E-5</v>
      </c>
      <c r="AA3117">
        <v>0.99998810000000005</v>
      </c>
      <c r="AB3117">
        <v>34</v>
      </c>
      <c r="AC3117">
        <v>198.68960000000001</v>
      </c>
      <c r="AD3117">
        <v>-1.1212010825309999</v>
      </c>
      <c r="AE3117">
        <v>0.26800000000000002</v>
      </c>
      <c r="AF3117">
        <v>-0.96888834145406599</v>
      </c>
      <c r="AG3117">
        <v>-1.1212010825309999</v>
      </c>
      <c r="AH3117">
        <v>198.68109161138301</v>
      </c>
      <c r="AI3117">
        <v>90.323325404353795</v>
      </c>
      <c r="AJ3117">
        <v>90.279406421029904</v>
      </c>
      <c r="AK3117">
        <v>198.68661756740599</v>
      </c>
      <c r="AL3117">
        <v>78.031248453358202</v>
      </c>
      <c r="AM3117">
        <v>91.174126827756496</v>
      </c>
      <c r="AN3117">
        <v>1.00000005029241</v>
      </c>
    </row>
    <row r="3118" spans="1:40" x14ac:dyDescent="0.25">
      <c r="A3118" t="str">
        <f>"20190303162841263"</f>
        <v>20190303162841263</v>
      </c>
      <c r="B3118" t="str">
        <f>"1551601721254547"</f>
        <v>1551601721254547</v>
      </c>
      <c r="C3118" t="s">
        <v>40</v>
      </c>
      <c r="D3118">
        <v>5.1357499999999998</v>
      </c>
      <c r="E3118">
        <v>0.50533109999999903</v>
      </c>
      <c r="F3118" t="s">
        <v>47</v>
      </c>
      <c r="G3118">
        <v>-179.95769999999999</v>
      </c>
      <c r="H3118">
        <v>7.1146429999999997E-4</v>
      </c>
      <c r="I3118">
        <v>215.3038</v>
      </c>
      <c r="J3118">
        <v>-382.517</v>
      </c>
      <c r="K3118">
        <v>1.1212040000000001</v>
      </c>
      <c r="L3118">
        <v>214.6395</v>
      </c>
      <c r="M3118">
        <v>0.99992020000000004</v>
      </c>
      <c r="N3118">
        <v>-1.2139260000000001E-2</v>
      </c>
      <c r="O3118">
        <v>-3.5208079999999998E-3</v>
      </c>
      <c r="P3118">
        <v>0.98059739999999995</v>
      </c>
      <c r="Q3118">
        <v>0.19522719999999999</v>
      </c>
      <c r="R3118">
        <v>1.7754220000000001E-2</v>
      </c>
      <c r="S3118">
        <v>3.0626530000000001</v>
      </c>
      <c r="T3118">
        <v>-1.6914129999999999E-2</v>
      </c>
      <c r="U3118">
        <v>1.0009769999999999E-2</v>
      </c>
      <c r="V3118">
        <v>-2.1192079999999999E-2</v>
      </c>
      <c r="W3118">
        <v>0.20711740000000001</v>
      </c>
      <c r="X3118">
        <v>0.97808649999999997</v>
      </c>
      <c r="Y3118">
        <v>-6.7889350000000003E-3</v>
      </c>
      <c r="Z3118" s="1">
        <v>3.6657730000000002E-5</v>
      </c>
      <c r="AA3118">
        <v>0.99997689999999995</v>
      </c>
      <c r="AB3118">
        <v>34</v>
      </c>
      <c r="AC3118">
        <v>202.55930000000001</v>
      </c>
      <c r="AD3118">
        <v>-1.1204925357</v>
      </c>
      <c r="AE3118">
        <v>0.664299999999997</v>
      </c>
      <c r="AF3118">
        <v>-1.37747863071333</v>
      </c>
      <c r="AG3118">
        <v>-1.1204925357</v>
      </c>
      <c r="AH3118">
        <v>202.54950745880299</v>
      </c>
      <c r="AI3118">
        <v>90.316946482375002</v>
      </c>
      <c r="AJ3118">
        <v>90.389645456091003</v>
      </c>
      <c r="AK3118">
        <v>202.55729047038599</v>
      </c>
      <c r="AL3118">
        <v>78.046521745355193</v>
      </c>
      <c r="AM3118">
        <v>91.241226405312105</v>
      </c>
      <c r="AN3118">
        <v>0.99999996155986703</v>
      </c>
    </row>
    <row r="3119" spans="1:40" x14ac:dyDescent="0.25">
      <c r="A3119" t="str">
        <f>"20190303162841286"</f>
        <v>20190303162841286</v>
      </c>
      <c r="B3119" t="str">
        <f>"1551601721275043"</f>
        <v>1551601721275043</v>
      </c>
      <c r="C3119" t="s">
        <v>40</v>
      </c>
      <c r="D3119">
        <v>5.1834850000000001</v>
      </c>
      <c r="E3119">
        <v>0.50510880000000002</v>
      </c>
      <c r="F3119" t="s">
        <v>48</v>
      </c>
      <c r="G3119">
        <v>-212.12860000000001</v>
      </c>
      <c r="H3119" s="1">
        <v>-4.4075999999999998E-7</v>
      </c>
      <c r="I3119">
        <v>215.45599999999999</v>
      </c>
      <c r="J3119">
        <v>-382.1737</v>
      </c>
      <c r="K3119">
        <v>1.1212139999999999</v>
      </c>
      <c r="L3119">
        <v>214.63829999999999</v>
      </c>
      <c r="M3119">
        <v>0.99992020000000004</v>
      </c>
      <c r="N3119">
        <v>-1.214018E-2</v>
      </c>
      <c r="O3119">
        <v>-3.5182410000000001E-3</v>
      </c>
      <c r="P3119">
        <v>0.98066129999999996</v>
      </c>
      <c r="Q3119">
        <v>0.1948473</v>
      </c>
      <c r="R3119">
        <v>1.8387629999999999E-2</v>
      </c>
      <c r="S3119">
        <v>3.06311</v>
      </c>
      <c r="T3119">
        <v>-2.0156150000000001E-2</v>
      </c>
      <c r="U3119">
        <v>1.467896E-2</v>
      </c>
      <c r="V3119">
        <v>-2.1825359999999999E-2</v>
      </c>
      <c r="W3119">
        <v>0.20673910000000001</v>
      </c>
      <c r="X3119">
        <v>0.97815260000000004</v>
      </c>
      <c r="Y3119">
        <v>-8.3099839999999994E-3</v>
      </c>
      <c r="Z3119" s="1">
        <v>5.8223519999999997E-5</v>
      </c>
      <c r="AA3119">
        <v>0.99996549999999995</v>
      </c>
      <c r="AB3119">
        <v>34</v>
      </c>
      <c r="AC3119">
        <v>170.04509999999999</v>
      </c>
      <c r="AD3119">
        <v>-1.12121444076</v>
      </c>
      <c r="AE3119">
        <v>0.81770000000000198</v>
      </c>
      <c r="AF3119">
        <v>-1.4159370648060801</v>
      </c>
      <c r="AG3119">
        <v>-1.12121444076</v>
      </c>
      <c r="AH3119">
        <v>170.033778143739</v>
      </c>
      <c r="AI3119">
        <v>90.377793740857797</v>
      </c>
      <c r="AJ3119">
        <v>90.477113098158796</v>
      </c>
      <c r="AK3119">
        <v>170.04337008371701</v>
      </c>
      <c r="AL3119">
        <v>78.068676173956206</v>
      </c>
      <c r="AM3119">
        <v>91.278219319132006</v>
      </c>
      <c r="AN3119">
        <v>0.99999995534734898</v>
      </c>
    </row>
    <row r="3120" spans="1:40" x14ac:dyDescent="0.25">
      <c r="A3120" t="str">
        <f>"20190303162841308"</f>
        <v>20190303162841308</v>
      </c>
      <c r="B3120" t="str">
        <f>"1551601721304323"</f>
        <v>1551601721304323</v>
      </c>
      <c r="C3120" t="s">
        <v>40</v>
      </c>
      <c r="D3120">
        <v>4.9997939999999996</v>
      </c>
      <c r="E3120">
        <v>0.50501169999999995</v>
      </c>
      <c r="F3120" t="s">
        <v>48</v>
      </c>
      <c r="G3120">
        <v>-227.43260000000001</v>
      </c>
      <c r="H3120" s="1">
        <v>2.3764900000000002E-6</v>
      </c>
      <c r="I3120">
        <v>215.57640000000001</v>
      </c>
      <c r="J3120">
        <v>-381.83789999999999</v>
      </c>
      <c r="K3120">
        <v>1.12121</v>
      </c>
      <c r="L3120">
        <v>214.6371</v>
      </c>
      <c r="M3120">
        <v>0.99992020000000004</v>
      </c>
      <c r="N3120">
        <v>-1.2141000000000001E-2</v>
      </c>
      <c r="O3120">
        <v>-3.5174849999999999E-3</v>
      </c>
      <c r="P3120">
        <v>0.98058060000000002</v>
      </c>
      <c r="Q3120">
        <v>0.19519980000000001</v>
      </c>
      <c r="R3120">
        <v>1.8944180000000001E-2</v>
      </c>
      <c r="S3120">
        <v>3.0632320000000002</v>
      </c>
      <c r="T3120">
        <v>-2.2195340000000001E-2</v>
      </c>
      <c r="U3120">
        <v>1.8569950000000002E-2</v>
      </c>
      <c r="V3120">
        <v>-2.238242E-2</v>
      </c>
      <c r="W3120">
        <v>0.20709130000000001</v>
      </c>
      <c r="X3120">
        <v>0.97806559999999998</v>
      </c>
      <c r="Y3120">
        <v>-9.5790230000000007E-3</v>
      </c>
      <c r="Z3120" s="1">
        <v>7.5635780000000004E-5</v>
      </c>
      <c r="AA3120">
        <v>0.99995409999999996</v>
      </c>
      <c r="AB3120">
        <v>34</v>
      </c>
      <c r="AC3120">
        <v>154.40529999999899</v>
      </c>
      <c r="AD3120">
        <v>-1.1212076235099999</v>
      </c>
      <c r="AE3120">
        <v>0.93930000000000202</v>
      </c>
      <c r="AF3120">
        <v>-1.4823743376762599</v>
      </c>
      <c r="AG3120">
        <v>-1.1212076235099999</v>
      </c>
      <c r="AH3120">
        <v>154.39289978709701</v>
      </c>
      <c r="AI3120">
        <v>90.416057830199705</v>
      </c>
      <c r="AJ3120">
        <v>90.550097728520498</v>
      </c>
      <c r="AK3120">
        <v>154.40408687881501</v>
      </c>
      <c r="AL3120">
        <v>78.048051361643402</v>
      </c>
      <c r="AM3120">
        <v>91.3109492925974</v>
      </c>
      <c r="AN3120">
        <v>1.0000000485820499</v>
      </c>
    </row>
    <row r="3121" spans="1:40" x14ac:dyDescent="0.25">
      <c r="A3121" t="str">
        <f>"20190303162841330"</f>
        <v>20190303162841330</v>
      </c>
      <c r="B3121" t="str">
        <f>"1551601721324819"</f>
        <v>1551601721324819</v>
      </c>
      <c r="C3121" t="s">
        <v>40</v>
      </c>
      <c r="D3121">
        <v>5.4692150000000002</v>
      </c>
      <c r="E3121">
        <v>0.50496770000000002</v>
      </c>
      <c r="F3121" t="s">
        <v>48</v>
      </c>
      <c r="G3121">
        <v>-221.7133</v>
      </c>
      <c r="H3121" s="1">
        <v>-6.736406E-7</v>
      </c>
      <c r="I3121">
        <v>215.72819999999999</v>
      </c>
      <c r="J3121">
        <v>-381.48250000000002</v>
      </c>
      <c r="K3121">
        <v>1.121216</v>
      </c>
      <c r="L3121">
        <v>214.63579999999999</v>
      </c>
      <c r="M3121">
        <v>0.99992020000000004</v>
      </c>
      <c r="N3121">
        <v>-1.214179E-2</v>
      </c>
      <c r="O3121">
        <v>-3.5174609999999999E-3</v>
      </c>
      <c r="P3121">
        <v>0.98063829999999996</v>
      </c>
      <c r="Q3121">
        <v>0.19490979999999999</v>
      </c>
      <c r="R3121">
        <v>1.894011E-2</v>
      </c>
      <c r="S3121">
        <v>3.0632630000000001</v>
      </c>
      <c r="T3121">
        <v>-2.1449329999999999E-2</v>
      </c>
      <c r="U3121">
        <v>2.087402E-2</v>
      </c>
      <c r="V3121">
        <v>-2.2379619999999999E-2</v>
      </c>
      <c r="W3121">
        <v>0.2068025</v>
      </c>
      <c r="X3121">
        <v>0.97812670000000002</v>
      </c>
      <c r="Y3121">
        <v>-1.033101E-2</v>
      </c>
      <c r="Z3121" s="1">
        <v>8.0811669999999894E-5</v>
      </c>
      <c r="AA3121">
        <v>0.99994669999999997</v>
      </c>
      <c r="AB3121">
        <v>34</v>
      </c>
      <c r="AC3121">
        <v>159.76920000000001</v>
      </c>
      <c r="AD3121">
        <v>-1.1212166736406</v>
      </c>
      <c r="AE3121">
        <v>1.09239999999999</v>
      </c>
      <c r="AF3121">
        <v>-1.6543350737695901</v>
      </c>
      <c r="AG3121">
        <v>-1.1212166736406</v>
      </c>
      <c r="AH3121">
        <v>159.75650131972401</v>
      </c>
      <c r="AI3121">
        <v>90.402089956403998</v>
      </c>
      <c r="AJ3121">
        <v>90.593296854738796</v>
      </c>
      <c r="AK3121">
        <v>159.76900095226401</v>
      </c>
      <c r="AL3121">
        <v>78.064963700430994</v>
      </c>
      <c r="AM3121">
        <v>91.310703501040607</v>
      </c>
      <c r="AN3121">
        <v>0.99999998132524204</v>
      </c>
    </row>
    <row r="3122" spans="1:40" x14ac:dyDescent="0.25">
      <c r="A3122" t="str">
        <f>"20190303162841485"</f>
        <v>20190303162841485</v>
      </c>
      <c r="B3122" t="str">
        <f>"1551601721475123"</f>
        <v>1551601721475123</v>
      </c>
      <c r="C3122" t="s">
        <v>40</v>
      </c>
      <c r="D3122">
        <v>4.5714880000000004</v>
      </c>
      <c r="E3122">
        <v>0.51970919999999998</v>
      </c>
      <c r="F3122" t="s">
        <v>47</v>
      </c>
      <c r="G3122">
        <v>-181.5172</v>
      </c>
      <c r="H3122" s="1">
        <v>2.3542670000000002E-6</v>
      </c>
      <c r="I3122">
        <v>215.99590000000001</v>
      </c>
      <c r="J3122">
        <v>-379.10919999999999</v>
      </c>
      <c r="K3122">
        <v>1.121218</v>
      </c>
      <c r="L3122">
        <v>214.6275</v>
      </c>
      <c r="M3122">
        <v>0.99992009999999998</v>
      </c>
      <c r="N3122">
        <v>-1.214463E-2</v>
      </c>
      <c r="O3122">
        <v>-3.5194530000000001E-3</v>
      </c>
      <c r="P3122">
        <v>0.98067769999999999</v>
      </c>
      <c r="Q3122">
        <v>0.19447919999999999</v>
      </c>
      <c r="R3122">
        <v>2.1196010000000001E-2</v>
      </c>
      <c r="S3122">
        <v>3.0622560000000001</v>
      </c>
      <c r="T3122">
        <v>-1.7170189999999998E-2</v>
      </c>
      <c r="U3122">
        <v>2.082825E-2</v>
      </c>
      <c r="V3122">
        <v>-2.463924E-2</v>
      </c>
      <c r="W3122">
        <v>0.20637510000000001</v>
      </c>
      <c r="X3122">
        <v>0.97816259999999999</v>
      </c>
      <c r="Y3122">
        <v>-1.032045E-2</v>
      </c>
      <c r="Z3122" s="1">
        <v>6.8596089999999998E-5</v>
      </c>
      <c r="AA3122">
        <v>0.99994669999999997</v>
      </c>
      <c r="AB3122">
        <v>34</v>
      </c>
      <c r="AC3122">
        <v>197.59200000000001</v>
      </c>
      <c r="AD3122">
        <v>-1.121215645733</v>
      </c>
      <c r="AE3122">
        <v>1.3684000000000001</v>
      </c>
      <c r="AF3122">
        <v>-2.0637920928624598</v>
      </c>
      <c r="AG3122">
        <v>-1.121215645733</v>
      </c>
      <c r="AH3122">
        <v>197.579598180408</v>
      </c>
      <c r="AI3122">
        <v>90.325118237517998</v>
      </c>
      <c r="AJ3122">
        <v>90.598453876933206</v>
      </c>
      <c r="AK3122">
        <v>197.59355753530599</v>
      </c>
      <c r="AL3122">
        <v>78.089991123367398</v>
      </c>
      <c r="AM3122">
        <v>91.442935965552095</v>
      </c>
      <c r="AN3122">
        <v>0.99999992304327001</v>
      </c>
    </row>
    <row r="3123" spans="1:40" x14ac:dyDescent="0.25">
      <c r="A3123" t="str">
        <f>"20190303162841508"</f>
        <v>20190303162841508</v>
      </c>
      <c r="B3123" t="str">
        <f>"1551601721504403"</f>
        <v>1551601721504403</v>
      </c>
      <c r="C3123" t="s">
        <v>40</v>
      </c>
      <c r="D3123">
        <v>5.1548990000000003</v>
      </c>
      <c r="E3123">
        <v>0.54122799999999904</v>
      </c>
      <c r="F3123" t="s">
        <v>44</v>
      </c>
      <c r="G3123">
        <v>-378.2337</v>
      </c>
      <c r="H3123">
        <v>0.75066409999999995</v>
      </c>
      <c r="I3123">
        <v>214.6046</v>
      </c>
      <c r="J3123">
        <v>-378.76639999999998</v>
      </c>
      <c r="K3123">
        <v>1.121219</v>
      </c>
      <c r="L3123">
        <v>214.62629999999999</v>
      </c>
      <c r="M3123">
        <v>0.99992009999999998</v>
      </c>
      <c r="N3123">
        <v>-1.2144759999999999E-2</v>
      </c>
      <c r="O3123">
        <v>-3.5194509999999998E-3</v>
      </c>
      <c r="P3123">
        <v>0.98069110000000004</v>
      </c>
      <c r="Q3123">
        <v>0.19445119999999999</v>
      </c>
      <c r="R3123">
        <v>2.0830709999999999E-2</v>
      </c>
      <c r="S3123">
        <v>3.3415219999999999</v>
      </c>
      <c r="T3123">
        <v>-1.4144209999999999</v>
      </c>
      <c r="U3123">
        <v>-8.6837769999999995E-2</v>
      </c>
      <c r="V3123">
        <v>-2.4274170000000001E-2</v>
      </c>
      <c r="W3123">
        <v>0.20634759999999999</v>
      </c>
      <c r="X3123">
        <v>0.97817759999999998</v>
      </c>
      <c r="Y3123">
        <v>2.089543E-2</v>
      </c>
      <c r="Z3123">
        <v>-2.9847979999999999E-3</v>
      </c>
      <c r="AA3123">
        <v>0.99977720000000003</v>
      </c>
      <c r="AB3123">
        <v>34</v>
      </c>
      <c r="AC3123">
        <v>0.53269999999997697</v>
      </c>
      <c r="AD3123">
        <v>-0.37055490000000002</v>
      </c>
      <c r="AE3123">
        <v>-2.1699999999981401E-2</v>
      </c>
      <c r="AF3123">
        <v>1.3367388820942299E-2</v>
      </c>
      <c r="AG3123">
        <v>-0.37055490000000002</v>
      </c>
      <c r="AH3123">
        <v>0.35923405397403302</v>
      </c>
      <c r="AI3123">
        <v>135.868918573098</v>
      </c>
      <c r="AJ3123">
        <v>87.868961057127194</v>
      </c>
      <c r="AK3123">
        <v>0.51627388713019295</v>
      </c>
      <c r="AL3123">
        <v>78.091602253839994</v>
      </c>
      <c r="AM3123">
        <v>91.4215435951741</v>
      </c>
      <c r="AN3123">
        <v>0.99999999224835401</v>
      </c>
    </row>
    <row r="3124" spans="1:40" x14ac:dyDescent="0.25">
      <c r="A3124" t="str">
        <f>"20190303162841531"</f>
        <v>20190303162841531</v>
      </c>
      <c r="B3124" t="str">
        <f>"1551601721524900"</f>
        <v>1551601721524900</v>
      </c>
      <c r="C3124" t="s">
        <v>40</v>
      </c>
      <c r="D3124">
        <v>5.1155530000000002</v>
      </c>
      <c r="E3124">
        <v>0.54051719999999903</v>
      </c>
      <c r="F3124" t="s">
        <v>44</v>
      </c>
      <c r="G3124">
        <v>-377.81740000000002</v>
      </c>
      <c r="H3124">
        <v>1.004767</v>
      </c>
      <c r="I3124">
        <v>214.54669999999999</v>
      </c>
      <c r="J3124">
        <v>-378.39589999999998</v>
      </c>
      <c r="K3124">
        <v>1.121218</v>
      </c>
      <c r="L3124">
        <v>214.625</v>
      </c>
      <c r="M3124">
        <v>0.99992009999999998</v>
      </c>
      <c r="N3124">
        <v>-1.214496E-2</v>
      </c>
      <c r="O3124">
        <v>-3.5193300000000002E-3</v>
      </c>
      <c r="P3124">
        <v>0.98068449999999996</v>
      </c>
      <c r="Q3124">
        <v>0.1944902</v>
      </c>
      <c r="R3124">
        <v>2.0778970000000001E-2</v>
      </c>
      <c r="S3124">
        <v>3.1410520000000002</v>
      </c>
      <c r="T3124">
        <v>-0.38547930000000002</v>
      </c>
      <c r="U3124">
        <v>-0.26341249999999999</v>
      </c>
      <c r="V3124">
        <v>-2.4222199999999999E-2</v>
      </c>
      <c r="W3124">
        <v>0.20638629999999999</v>
      </c>
      <c r="X3124">
        <v>0.97817080000000001</v>
      </c>
      <c r="Y3124">
        <v>7.9430319999999999E-2</v>
      </c>
      <c r="Z3124">
        <v>-4.9455080000000004E-3</v>
      </c>
      <c r="AA3124">
        <v>0.99682809999999999</v>
      </c>
      <c r="AB3124">
        <v>34</v>
      </c>
      <c r="AC3124">
        <v>0.57849999999996204</v>
      </c>
      <c r="AD3124">
        <v>-0.116451</v>
      </c>
      <c r="AE3124">
        <v>-7.8300000000012901E-2</v>
      </c>
      <c r="AF3124">
        <v>7.3344893665586205E-2</v>
      </c>
      <c r="AG3124">
        <v>-0.116451</v>
      </c>
      <c r="AH3124">
        <v>0.55662287196725602</v>
      </c>
      <c r="AI3124">
        <v>101.717959473965</v>
      </c>
      <c r="AJ3124">
        <v>82.493514159860197</v>
      </c>
      <c r="AK3124">
        <v>0.57338410374276305</v>
      </c>
      <c r="AL3124">
        <v>78.089337030073494</v>
      </c>
      <c r="AM3124">
        <v>91.418511230630997</v>
      </c>
      <c r="AN3124">
        <v>1.0000000668865801</v>
      </c>
    </row>
    <row r="3125" spans="1:40" x14ac:dyDescent="0.25">
      <c r="A3125" t="str">
        <f>"20190303162841553"</f>
        <v>20190303162841553</v>
      </c>
      <c r="B3125" t="str">
        <f>"1551601721544420"</f>
        <v>1551601721544420</v>
      </c>
      <c r="C3125" t="s">
        <v>40</v>
      </c>
      <c r="D3125">
        <v>5.1144769999999999</v>
      </c>
      <c r="E3125">
        <v>0.540547</v>
      </c>
      <c r="F3125" t="s">
        <v>44</v>
      </c>
      <c r="G3125">
        <v>-377.49</v>
      </c>
      <c r="H3125">
        <v>1.046103</v>
      </c>
      <c r="I3125">
        <v>214.5498</v>
      </c>
      <c r="J3125">
        <v>-378.06729999999999</v>
      </c>
      <c r="K3125">
        <v>1.121218</v>
      </c>
      <c r="L3125">
        <v>214.62389999999999</v>
      </c>
      <c r="M3125">
        <v>0.99992020000000004</v>
      </c>
      <c r="N3125">
        <v>-1.214524E-2</v>
      </c>
      <c r="O3125">
        <v>-3.5193300000000002E-3</v>
      </c>
      <c r="P3125">
        <v>0.98076839999999998</v>
      </c>
      <c r="Q3125">
        <v>0.19407940000000001</v>
      </c>
      <c r="R3125">
        <v>2.0665670000000001E-2</v>
      </c>
      <c r="S3125">
        <v>3.1158139999999999</v>
      </c>
      <c r="T3125">
        <v>-0.25837870000000002</v>
      </c>
      <c r="U3125">
        <v>-0.2581329</v>
      </c>
      <c r="V3125">
        <v>-2.4109579999999999E-2</v>
      </c>
      <c r="W3125">
        <v>0.20597670000000001</v>
      </c>
      <c r="X3125">
        <v>0.97825989999999996</v>
      </c>
      <c r="Y3125">
        <v>7.8755729999999996E-2</v>
      </c>
      <c r="Z3125">
        <v>-3.4860680000000002E-3</v>
      </c>
      <c r="AA3125">
        <v>0.99688790000000005</v>
      </c>
      <c r="AB3125">
        <v>34</v>
      </c>
      <c r="AC3125">
        <v>0.57729999999997905</v>
      </c>
      <c r="AD3125">
        <v>-7.5115000000000001E-2</v>
      </c>
      <c r="AE3125">
        <v>-7.4099999999987107E-2</v>
      </c>
      <c r="AF3125">
        <v>7.0887034889063005E-2</v>
      </c>
      <c r="AG3125">
        <v>-7.5115000000000001E-2</v>
      </c>
      <c r="AH3125">
        <v>0.56809540601066899</v>
      </c>
      <c r="AI3125">
        <v>97.474796635996896</v>
      </c>
      <c r="AJ3125">
        <v>82.887386183798696</v>
      </c>
      <c r="AK3125">
        <v>0.577407676837423</v>
      </c>
      <c r="AL3125">
        <v>78.113320523565704</v>
      </c>
      <c r="AM3125">
        <v>91.411790058509297</v>
      </c>
      <c r="AN3125">
        <v>1.00000005236933</v>
      </c>
    </row>
    <row r="3126" spans="1:40" x14ac:dyDescent="0.25">
      <c r="A3126" t="str">
        <f>"20190303162841576"</f>
        <v>20190303162841576</v>
      </c>
      <c r="B3126" t="str">
        <f>"1551601721564916"</f>
        <v>1551601721564916</v>
      </c>
      <c r="C3126" t="s">
        <v>40</v>
      </c>
      <c r="D3126">
        <v>5.1526889999999996</v>
      </c>
      <c r="E3126">
        <v>0.53915590000000002</v>
      </c>
      <c r="F3126" t="s">
        <v>48</v>
      </c>
      <c r="G3126">
        <v>-360.3698</v>
      </c>
      <c r="H3126" s="1">
        <v>-1.340003E-6</v>
      </c>
      <c r="I3126">
        <v>213.14609999999999</v>
      </c>
      <c r="J3126">
        <v>-377.71370000000002</v>
      </c>
      <c r="K3126">
        <v>1.121218</v>
      </c>
      <c r="L3126">
        <v>214.62260000000001</v>
      </c>
      <c r="M3126">
        <v>0.99992009999999998</v>
      </c>
      <c r="N3126">
        <v>-1.214546E-2</v>
      </c>
      <c r="O3126">
        <v>-3.5190909999999998E-3</v>
      </c>
      <c r="P3126">
        <v>0.98084899999999997</v>
      </c>
      <c r="Q3126">
        <v>0.19365180000000001</v>
      </c>
      <c r="R3126">
        <v>2.084047E-2</v>
      </c>
      <c r="S3126">
        <v>3.10318</v>
      </c>
      <c r="T3126">
        <v>-0.19660140000000001</v>
      </c>
      <c r="U3126">
        <v>-0.25912479999999999</v>
      </c>
      <c r="V3126">
        <v>-2.4284400000000001E-2</v>
      </c>
      <c r="W3126">
        <v>0.2055506</v>
      </c>
      <c r="X3126">
        <v>0.97834520000000003</v>
      </c>
      <c r="Y3126">
        <v>7.9521399999999895E-2</v>
      </c>
      <c r="Z3126">
        <v>-2.8167940000000001E-3</v>
      </c>
      <c r="AA3126">
        <v>0.99682919999999997</v>
      </c>
      <c r="AB3126">
        <v>34</v>
      </c>
      <c r="AC3126">
        <v>17.343900000000001</v>
      </c>
      <c r="AD3126">
        <v>-1.1212193400029999</v>
      </c>
      <c r="AE3126">
        <v>-1.4765000000000099</v>
      </c>
      <c r="AF3126">
        <v>1.4096030424116199</v>
      </c>
      <c r="AG3126">
        <v>-1.1212193400029999</v>
      </c>
      <c r="AH3126">
        <v>17.277304037718199</v>
      </c>
      <c r="AI3126">
        <v>93.700769702435394</v>
      </c>
      <c r="AJ3126">
        <v>85.335741243292901</v>
      </c>
      <c r="AK3126">
        <v>17.3709340093538</v>
      </c>
      <c r="AL3126">
        <v>78.138268130496598</v>
      </c>
      <c r="AM3126">
        <v>91.421898911573095</v>
      </c>
      <c r="AN3126">
        <v>1.0000000558033699</v>
      </c>
    </row>
    <row r="3127" spans="1:40" x14ac:dyDescent="0.25">
      <c r="A3127" t="str">
        <f>"20190303162841601"</f>
        <v>20190303162841601</v>
      </c>
      <c r="B3127" t="str">
        <f>"1551601721594195"</f>
        <v>1551601721594195</v>
      </c>
      <c r="C3127" t="s">
        <v>40</v>
      </c>
      <c r="D3127">
        <v>5.1572009999999997</v>
      </c>
      <c r="E3127">
        <v>0.53778409999999999</v>
      </c>
      <c r="F3127" t="s">
        <v>48</v>
      </c>
      <c r="G3127">
        <v>-358.13</v>
      </c>
      <c r="H3127" s="1">
        <v>2.8577120000000001E-6</v>
      </c>
      <c r="I3127">
        <v>213.0581</v>
      </c>
      <c r="J3127">
        <v>-377.35289999999998</v>
      </c>
      <c r="K3127">
        <v>1.1212249999999999</v>
      </c>
      <c r="L3127">
        <v>214.62129999999999</v>
      </c>
      <c r="M3127">
        <v>0.99992020000000004</v>
      </c>
      <c r="N3127">
        <v>-1.2145609999999999E-2</v>
      </c>
      <c r="O3127">
        <v>-3.5190909999999998E-3</v>
      </c>
      <c r="P3127">
        <v>0.98081300000000005</v>
      </c>
      <c r="Q3127">
        <v>0.19381119999999999</v>
      </c>
      <c r="R3127">
        <v>2.1063040000000002E-2</v>
      </c>
      <c r="S3127">
        <v>3.098846</v>
      </c>
      <c r="T3127">
        <v>-0.17741680000000001</v>
      </c>
      <c r="U3127">
        <v>-0.24755859999999999</v>
      </c>
      <c r="V3127">
        <v>-2.4506549999999998E-2</v>
      </c>
      <c r="W3127">
        <v>0.20570930000000001</v>
      </c>
      <c r="X3127">
        <v>0.97830620000000001</v>
      </c>
      <c r="Y3127">
        <v>7.5978489999999996E-2</v>
      </c>
      <c r="Z3127">
        <v>-2.4740259999999998E-3</v>
      </c>
      <c r="AA3127">
        <v>0.99710639999999995</v>
      </c>
      <c r="AB3127">
        <v>34</v>
      </c>
      <c r="AC3127">
        <v>19.2228999999999</v>
      </c>
      <c r="AD3127">
        <v>-1.121222142288</v>
      </c>
      <c r="AE3127">
        <v>-1.5631999999999899</v>
      </c>
      <c r="AF3127">
        <v>1.49050070329914</v>
      </c>
      <c r="AG3127">
        <v>-1.121222142288</v>
      </c>
      <c r="AH3127">
        <v>19.163514743472099</v>
      </c>
      <c r="AI3127">
        <v>93.338394217220397</v>
      </c>
      <c r="AJ3127">
        <v>85.552599957351006</v>
      </c>
      <c r="AK3127">
        <v>19.2540652528801</v>
      </c>
      <c r="AL3127">
        <v>78.128975506185597</v>
      </c>
      <c r="AM3127">
        <v>91.434957991450901</v>
      </c>
      <c r="AN3127">
        <v>0.99999995402891495</v>
      </c>
    </row>
    <row r="3128" spans="1:40" x14ac:dyDescent="0.25">
      <c r="A3128" t="str">
        <f>"20190303162841620"</f>
        <v>20190303162841620</v>
      </c>
      <c r="B3128" t="str">
        <f>"1551601721614692"</f>
        <v>1551601721614692</v>
      </c>
      <c r="C3128" t="s">
        <v>40</v>
      </c>
      <c r="D3128">
        <v>5.1344070000000004</v>
      </c>
      <c r="E3128">
        <v>0.53715419999999903</v>
      </c>
      <c r="F3128" t="s">
        <v>48</v>
      </c>
      <c r="G3128">
        <v>-354.89370000000002</v>
      </c>
      <c r="H3128" s="1">
        <v>1.1419489999999999E-6</v>
      </c>
      <c r="I3128">
        <v>212.91050000000001</v>
      </c>
      <c r="J3128">
        <v>-377.04230000000001</v>
      </c>
      <c r="K3128">
        <v>1.121221</v>
      </c>
      <c r="L3128">
        <v>214.62020000000001</v>
      </c>
      <c r="M3128">
        <v>0.99992009999999998</v>
      </c>
      <c r="N3128">
        <v>-1.214576E-2</v>
      </c>
      <c r="O3128">
        <v>-3.5190909999999998E-3</v>
      </c>
      <c r="P3128">
        <v>0.98068580000000005</v>
      </c>
      <c r="Q3128">
        <v>0.19441</v>
      </c>
      <c r="R3128">
        <v>2.1460280000000002E-2</v>
      </c>
      <c r="S3128">
        <v>3.0942989999999999</v>
      </c>
      <c r="T3128">
        <v>-0.15447559999999999</v>
      </c>
      <c r="U3128">
        <v>-0.23570250000000001</v>
      </c>
      <c r="V3128">
        <v>-2.4903600000000001E-2</v>
      </c>
      <c r="W3128">
        <v>0.20630699999999999</v>
      </c>
      <c r="X3128">
        <v>0.97817030000000005</v>
      </c>
      <c r="Y3128">
        <v>7.2334480000000007E-2</v>
      </c>
      <c r="Z3128">
        <v>-2.1094540000000002E-3</v>
      </c>
      <c r="AA3128">
        <v>0.99737819999999999</v>
      </c>
      <c r="AB3128">
        <v>34</v>
      </c>
      <c r="AC3128">
        <v>22.148599999999899</v>
      </c>
      <c r="AD3128">
        <v>-1.121219858051</v>
      </c>
      <c r="AE3128">
        <v>-1.70969999999999</v>
      </c>
      <c r="AF3128">
        <v>1.6275944814296699</v>
      </c>
      <c r="AG3128">
        <v>-1.121219858051</v>
      </c>
      <c r="AH3128">
        <v>22.0981854303249</v>
      </c>
      <c r="AI3128">
        <v>92.896754970621302</v>
      </c>
      <c r="AJ3128">
        <v>85.787608231192905</v>
      </c>
      <c r="AK3128">
        <v>22.186392160040199</v>
      </c>
      <c r="AL3128">
        <v>78.093979125955599</v>
      </c>
      <c r="AM3128">
        <v>91.458399426924402</v>
      </c>
      <c r="AN3128">
        <v>0.99999995167202305</v>
      </c>
    </row>
    <row r="3129" spans="1:40" x14ac:dyDescent="0.25">
      <c r="A3129" t="str">
        <f>"20190303162841642"</f>
        <v>20190303162841642</v>
      </c>
      <c r="B3129" t="str">
        <f>"1551601721635188"</f>
        <v>1551601721635188</v>
      </c>
      <c r="C3129" t="s">
        <v>40</v>
      </c>
      <c r="D3129">
        <v>5.1713279999999999</v>
      </c>
      <c r="E3129">
        <v>0.53646079999999996</v>
      </c>
      <c r="F3129" t="s">
        <v>48</v>
      </c>
      <c r="G3129">
        <v>-352.45620000000002</v>
      </c>
      <c r="H3129" s="1">
        <v>-1.5026889999999999E-7</v>
      </c>
      <c r="I3129">
        <v>212.79859999999999</v>
      </c>
      <c r="J3129">
        <v>-376.6884</v>
      </c>
      <c r="K3129">
        <v>1.1212219999999999</v>
      </c>
      <c r="L3129">
        <v>214.6189</v>
      </c>
      <c r="M3129">
        <v>0.99992000000000003</v>
      </c>
      <c r="N3129">
        <v>-1.2145960000000001E-2</v>
      </c>
      <c r="O3129">
        <v>-3.518972E-3</v>
      </c>
      <c r="P3129">
        <v>0.98066279999999995</v>
      </c>
      <c r="Q3129">
        <v>0.19448099999999999</v>
      </c>
      <c r="R3129">
        <v>2.1855300000000001E-2</v>
      </c>
      <c r="S3129">
        <v>3.0920719999999999</v>
      </c>
      <c r="T3129">
        <v>-0.14101050000000001</v>
      </c>
      <c r="U3129">
        <v>-0.22909550000000001</v>
      </c>
      <c r="V3129">
        <v>-2.5298270000000001E-2</v>
      </c>
      <c r="W3129">
        <v>0.20637739999999999</v>
      </c>
      <c r="X3129">
        <v>0.97814540000000005</v>
      </c>
      <c r="Y3129">
        <v>7.0288500000000004E-2</v>
      </c>
      <c r="Z3129">
        <v>-1.9099329999999999E-3</v>
      </c>
      <c r="AA3129">
        <v>0.99752490000000005</v>
      </c>
      <c r="AB3129">
        <v>34</v>
      </c>
      <c r="AC3129">
        <v>24.232199999999899</v>
      </c>
      <c r="AD3129">
        <v>-1.1212221502688999</v>
      </c>
      <c r="AE3129">
        <v>-1.8203</v>
      </c>
      <c r="AF3129">
        <v>1.7313241959666099</v>
      </c>
      <c r="AG3129">
        <v>-1.1212221502688999</v>
      </c>
      <c r="AH3129">
        <v>24.1869645357304</v>
      </c>
      <c r="AI3129">
        <v>92.647365678720107</v>
      </c>
      <c r="AJ3129">
        <v>85.905700997035893</v>
      </c>
      <c r="AK3129">
        <v>24.274758001563502</v>
      </c>
      <c r="AL3129">
        <v>78.0898577196226</v>
      </c>
      <c r="AM3129">
        <v>91.481539485709106</v>
      </c>
      <c r="AN3129">
        <v>1.0000000286184501</v>
      </c>
    </row>
    <row r="3130" spans="1:40" x14ac:dyDescent="0.25">
      <c r="A3130" t="str">
        <f>"20190303162841666"</f>
        <v>20190303162841666</v>
      </c>
      <c r="B3130" t="str">
        <f>"1551601721654710"</f>
        <v>1551601721654710</v>
      </c>
      <c r="C3130" t="s">
        <v>40</v>
      </c>
      <c r="D3130">
        <v>5.1967230000000004</v>
      </c>
      <c r="E3130">
        <v>0.53613369999999905</v>
      </c>
      <c r="F3130" t="s">
        <v>48</v>
      </c>
      <c r="G3130">
        <v>-350.25139999999999</v>
      </c>
      <c r="H3130" s="1">
        <v>-1.3200930000000001E-6</v>
      </c>
      <c r="I3130">
        <v>212.7193</v>
      </c>
      <c r="J3130">
        <v>-376.35520000000002</v>
      </c>
      <c r="K3130">
        <v>1.1212249999999999</v>
      </c>
      <c r="L3130">
        <v>214.61779999999999</v>
      </c>
      <c r="M3130">
        <v>0.99992000000000003</v>
      </c>
      <c r="N3130">
        <v>-1.214614E-2</v>
      </c>
      <c r="O3130">
        <v>-3.5190920000000001E-3</v>
      </c>
      <c r="P3130">
        <v>0.98046420000000001</v>
      </c>
      <c r="Q3130">
        <v>0.1955115</v>
      </c>
      <c r="R3130">
        <v>2.156682E-2</v>
      </c>
      <c r="S3130">
        <v>3.0901179999999999</v>
      </c>
      <c r="T3130">
        <v>-0.13105519999999901</v>
      </c>
      <c r="U3130">
        <v>-0.22204589999999999</v>
      </c>
      <c r="V3130">
        <v>-2.5009139999999999E-2</v>
      </c>
      <c r="W3130">
        <v>0.2074057</v>
      </c>
      <c r="X3130">
        <v>0.97793529999999995</v>
      </c>
      <c r="Y3130">
        <v>6.8084409999999998E-2</v>
      </c>
      <c r="Z3130">
        <v>-1.7492229999999901E-3</v>
      </c>
      <c r="AA3130">
        <v>0.99767799999999995</v>
      </c>
      <c r="AB3130">
        <v>34</v>
      </c>
      <c r="AC3130">
        <v>26.1038</v>
      </c>
      <c r="AD3130">
        <v>-1.1212263200929999</v>
      </c>
      <c r="AE3130">
        <v>-1.8984999999999801</v>
      </c>
      <c r="AF3130">
        <v>1.80331031853875</v>
      </c>
      <c r="AG3130">
        <v>-1.1212263200929999</v>
      </c>
      <c r="AH3130">
        <v>26.062489447381001</v>
      </c>
      <c r="AI3130">
        <v>92.457516648446003</v>
      </c>
      <c r="AJ3130">
        <v>86.041910820044293</v>
      </c>
      <c r="AK3130">
        <v>26.148851461597001</v>
      </c>
      <c r="AL3130">
        <v>78.029637386815693</v>
      </c>
      <c r="AM3130">
        <v>91.464929139947898</v>
      </c>
      <c r="AN3130">
        <v>1.0000000162310501</v>
      </c>
    </row>
    <row r="3131" spans="1:40" x14ac:dyDescent="0.25">
      <c r="A3131" t="str">
        <f>"20190303162841687"</f>
        <v>20190303162841687</v>
      </c>
      <c r="B3131" t="str">
        <f>"1551601721674227"</f>
        <v>1551601721674227</v>
      </c>
      <c r="C3131" t="s">
        <v>40</v>
      </c>
      <c r="D3131">
        <v>5.1932609999999997</v>
      </c>
      <c r="E3131">
        <v>0.53588630000000004</v>
      </c>
      <c r="F3131" t="s">
        <v>48</v>
      </c>
      <c r="G3131">
        <v>-348.24779999999998</v>
      </c>
      <c r="H3131" s="1">
        <v>2.8522859999999998E-6</v>
      </c>
      <c r="I3131">
        <v>212.6181</v>
      </c>
      <c r="J3131">
        <v>-376.01119999999997</v>
      </c>
      <c r="K3131">
        <v>1.1212299999999999</v>
      </c>
      <c r="L3131">
        <v>214.6165</v>
      </c>
      <c r="M3131">
        <v>0.99992009999999998</v>
      </c>
      <c r="N3131">
        <v>-1.214635E-2</v>
      </c>
      <c r="O3131">
        <v>-3.519093E-3</v>
      </c>
      <c r="P3131">
        <v>0.98046120000000003</v>
      </c>
      <c r="Q3131">
        <v>0.19564300000000001</v>
      </c>
      <c r="R3131">
        <v>2.0486210000000001E-2</v>
      </c>
      <c r="S3131">
        <v>3.089172</v>
      </c>
      <c r="T3131">
        <v>-0.12322900000000001</v>
      </c>
      <c r="U3131">
        <v>-0.2197723</v>
      </c>
      <c r="V3131">
        <v>-2.3928919999999999E-2</v>
      </c>
      <c r="W3131">
        <v>0.20753769999999999</v>
      </c>
      <c r="X3131">
        <v>0.97793430000000003</v>
      </c>
      <c r="Y3131">
        <v>6.7384239999999998E-2</v>
      </c>
      <c r="Z3131">
        <v>-1.654291E-3</v>
      </c>
      <c r="AA3131">
        <v>0.99772570000000005</v>
      </c>
      <c r="AB3131">
        <v>34</v>
      </c>
      <c r="AC3131">
        <v>27.763399999999901</v>
      </c>
      <c r="AD3131">
        <v>-1.1212271477139999</v>
      </c>
      <c r="AE3131">
        <v>-1.9984</v>
      </c>
      <c r="AF3131">
        <v>1.89759948889512</v>
      </c>
      <c r="AG3131">
        <v>-1.1212271477139999</v>
      </c>
      <c r="AH3131">
        <v>27.725275540837099</v>
      </c>
      <c r="AI3131">
        <v>92.310415257757697</v>
      </c>
      <c r="AJ3131">
        <v>86.084614328946699</v>
      </c>
      <c r="AK3131">
        <v>27.812747759837901</v>
      </c>
      <c r="AL3131">
        <v>78.021905832606706</v>
      </c>
      <c r="AM3131">
        <v>91.401681687992195</v>
      </c>
      <c r="AN3131">
        <v>0.999999992625073</v>
      </c>
    </row>
    <row r="3132" spans="1:40" x14ac:dyDescent="0.25">
      <c r="A3132" t="str">
        <f>"20190303162841710"</f>
        <v>20190303162841710</v>
      </c>
      <c r="B3132" t="str">
        <f>"1551601721704483"</f>
        <v>1551601721704483</v>
      </c>
      <c r="C3132" t="s">
        <v>40</v>
      </c>
      <c r="D3132">
        <v>5.1834239999999996</v>
      </c>
      <c r="E3132">
        <v>0.53545339999999997</v>
      </c>
      <c r="F3132" t="s">
        <v>48</v>
      </c>
      <c r="G3132">
        <v>-347.12139999999999</v>
      </c>
      <c r="H3132" s="1">
        <v>2.2528540000000001E-6</v>
      </c>
      <c r="I3132">
        <v>212.5608</v>
      </c>
      <c r="J3132">
        <v>-375.67039999999997</v>
      </c>
      <c r="K3132">
        <v>1.121235</v>
      </c>
      <c r="L3132">
        <v>214.61529999999999</v>
      </c>
      <c r="M3132">
        <v>0.99992000000000003</v>
      </c>
      <c r="N3132">
        <v>-1.2146560000000001E-2</v>
      </c>
      <c r="O3132">
        <v>-3.5190949999999999E-3</v>
      </c>
      <c r="P3132">
        <v>0.98046560000000005</v>
      </c>
      <c r="Q3132">
        <v>0.19578680000000001</v>
      </c>
      <c r="R3132">
        <v>1.8834070000000001E-2</v>
      </c>
      <c r="S3132">
        <v>3.088257</v>
      </c>
      <c r="T3132">
        <v>-0.11985659999999999</v>
      </c>
      <c r="U3132">
        <v>-0.21975710000000001</v>
      </c>
      <c r="V3132">
        <v>-2.2276500000000001E-2</v>
      </c>
      <c r="W3132">
        <v>0.20768130000000001</v>
      </c>
      <c r="X3132">
        <v>0.9779428</v>
      </c>
      <c r="Y3132">
        <v>6.7403439999999995E-2</v>
      </c>
      <c r="Z3132">
        <v>-1.622264E-3</v>
      </c>
      <c r="AA3132">
        <v>0.99772450000000001</v>
      </c>
      <c r="AB3132">
        <v>34</v>
      </c>
      <c r="AC3132">
        <v>28.5489999999999</v>
      </c>
      <c r="AD3132">
        <v>-1.121232747146</v>
      </c>
      <c r="AE3132">
        <v>-2.0544999999999898</v>
      </c>
      <c r="AF3132">
        <v>1.9510193817224799</v>
      </c>
      <c r="AG3132">
        <v>-1.121232747146</v>
      </c>
      <c r="AH3132">
        <v>28.512301632810001</v>
      </c>
      <c r="AI3132">
        <v>92.246720664237301</v>
      </c>
      <c r="AJ3132">
        <v>86.085507373254899</v>
      </c>
      <c r="AK3132">
        <v>28.6009612408651</v>
      </c>
      <c r="AL3132">
        <v>78.013494288979601</v>
      </c>
      <c r="AM3132">
        <v>91.304911436118104</v>
      </c>
      <c r="AN3132">
        <v>0.99999994244688795</v>
      </c>
    </row>
    <row r="3133" spans="1:40" x14ac:dyDescent="0.25">
      <c r="A3133" t="str">
        <f>"20190303162841733"</f>
        <v>20190303162841733</v>
      </c>
      <c r="B3133" t="str">
        <f>"1551601721724980"</f>
        <v>1551601721724980</v>
      </c>
      <c r="C3133" t="s">
        <v>40</v>
      </c>
      <c r="D3133">
        <v>5.1834619999999996</v>
      </c>
      <c r="E3133">
        <v>0.5352384</v>
      </c>
      <c r="F3133" t="s">
        <v>48</v>
      </c>
      <c r="G3133">
        <v>-345.33499999999998</v>
      </c>
      <c r="H3133" s="1">
        <v>1.302209E-6</v>
      </c>
      <c r="I3133">
        <v>212.43899999999999</v>
      </c>
      <c r="J3133">
        <v>-375.30070000000001</v>
      </c>
      <c r="K3133">
        <v>1.121232</v>
      </c>
      <c r="L3133">
        <v>214.614</v>
      </c>
      <c r="M3133">
        <v>0.99992000000000003</v>
      </c>
      <c r="N3133">
        <v>-1.2146799999999999E-2</v>
      </c>
      <c r="O3133">
        <v>-3.518977E-3</v>
      </c>
      <c r="P3133">
        <v>0.98039670000000001</v>
      </c>
      <c r="Q3133">
        <v>0.19628109999999999</v>
      </c>
      <c r="R3133">
        <v>1.7195180000000001E-2</v>
      </c>
      <c r="S3133">
        <v>3.086792</v>
      </c>
      <c r="T3133">
        <v>-0.11409130000000001</v>
      </c>
      <c r="U3133">
        <v>-0.2214508</v>
      </c>
      <c r="V3133">
        <v>-2.0637010000000001E-2</v>
      </c>
      <c r="W3133">
        <v>0.20817530000000001</v>
      </c>
      <c r="X3133">
        <v>0.97787380000000002</v>
      </c>
      <c r="Y3133">
        <v>6.7986500000000005E-2</v>
      </c>
      <c r="Z3133">
        <v>-1.5808629999999901E-3</v>
      </c>
      <c r="AA3133">
        <v>0.99768500000000004</v>
      </c>
      <c r="AB3133">
        <v>34</v>
      </c>
      <c r="AC3133">
        <v>29.965699999999998</v>
      </c>
      <c r="AD3133">
        <v>-1.121230697791</v>
      </c>
      <c r="AE3133">
        <v>-2.1749999999999798</v>
      </c>
      <c r="AF3133">
        <v>2.0666519022865599</v>
      </c>
      <c r="AG3133">
        <v>-1.121230697791</v>
      </c>
      <c r="AH3133">
        <v>29.9314830515364</v>
      </c>
      <c r="AI3133">
        <v>92.140200996448996</v>
      </c>
      <c r="AJ3133">
        <v>86.050219113986302</v>
      </c>
      <c r="AK3133">
        <v>30.023688747842101</v>
      </c>
      <c r="AL3133">
        <v>77.9845585020893</v>
      </c>
      <c r="AM3133">
        <v>91.208988400822804</v>
      </c>
      <c r="AN3133">
        <v>1.00000000521913</v>
      </c>
    </row>
    <row r="3134" spans="1:40" x14ac:dyDescent="0.25">
      <c r="A3134" t="str">
        <f>"20190303162841756"</f>
        <v>20190303162841756</v>
      </c>
      <c r="B3134" t="str">
        <f>"1551601721744500"</f>
        <v>1551601721744500</v>
      </c>
      <c r="C3134" t="s">
        <v>40</v>
      </c>
      <c r="D3134">
        <v>5.2310889999999999</v>
      </c>
      <c r="E3134">
        <v>0.535084</v>
      </c>
      <c r="F3134" t="s">
        <v>48</v>
      </c>
      <c r="G3134">
        <v>-344.1046</v>
      </c>
      <c r="H3134" s="1">
        <v>6.4749530000000004E-7</v>
      </c>
      <c r="I3134">
        <v>212.3485</v>
      </c>
      <c r="J3134">
        <v>-374.95580000000001</v>
      </c>
      <c r="K3134">
        <v>1.1212329999999999</v>
      </c>
      <c r="L3134">
        <v>214.61279999999999</v>
      </c>
      <c r="M3134">
        <v>0.99992000000000003</v>
      </c>
      <c r="N3134">
        <v>-1.214701E-2</v>
      </c>
      <c r="O3134">
        <v>-3.5189779999999999E-3</v>
      </c>
      <c r="P3134">
        <v>0.98033510000000001</v>
      </c>
      <c r="Q3134">
        <v>0.19667589999999999</v>
      </c>
      <c r="R3134">
        <v>1.6183260000000001E-2</v>
      </c>
      <c r="S3134">
        <v>3.0861209999999999</v>
      </c>
      <c r="T3134">
        <v>-0.110919699999999</v>
      </c>
      <c r="U3134">
        <v>-0.22412109999999999</v>
      </c>
      <c r="V3134">
        <v>-1.962533E-2</v>
      </c>
      <c r="W3134">
        <v>0.2085698</v>
      </c>
      <c r="X3134">
        <v>0.97781059999999997</v>
      </c>
      <c r="Y3134">
        <v>6.886283E-2</v>
      </c>
      <c r="Z3134">
        <v>-1.5708919999999999E-3</v>
      </c>
      <c r="AA3134">
        <v>0.99762490000000004</v>
      </c>
      <c r="AB3134">
        <v>34</v>
      </c>
      <c r="AC3134">
        <v>30.851199999999999</v>
      </c>
      <c r="AD3134">
        <v>-1.1212323525047001</v>
      </c>
      <c r="AE3134">
        <v>-2.2642999999999902</v>
      </c>
      <c r="AF3134">
        <v>2.1528849099589999</v>
      </c>
      <c r="AG3134">
        <v>-1.1212323525047001</v>
      </c>
      <c r="AH3134">
        <v>30.818489655673101</v>
      </c>
      <c r="AI3134">
        <v>92.078544017957199</v>
      </c>
      <c r="AJ3134">
        <v>86.003984781330701</v>
      </c>
      <c r="AK3134">
        <v>30.913935046846799</v>
      </c>
      <c r="AL3134">
        <v>77.961448483903098</v>
      </c>
      <c r="AM3134">
        <v>91.149811250672499</v>
      </c>
      <c r="AN3134">
        <v>1.000000042261</v>
      </c>
    </row>
    <row r="3135" spans="1:40" x14ac:dyDescent="0.25">
      <c r="A3135" t="str">
        <f>"20190303162841778"</f>
        <v>20190303162841778</v>
      </c>
      <c r="B3135" t="str">
        <f>"1551601721774757"</f>
        <v>1551601721774757</v>
      </c>
      <c r="C3135" t="s">
        <v>40</v>
      </c>
      <c r="D3135">
        <v>5.172968</v>
      </c>
      <c r="E3135">
        <v>0.53493299999999999</v>
      </c>
      <c r="F3135" t="s">
        <v>48</v>
      </c>
      <c r="G3135">
        <v>-343.17669999999998</v>
      </c>
      <c r="H3135" s="1">
        <v>1.5368019999999999E-7</v>
      </c>
      <c r="I3135">
        <v>212.286</v>
      </c>
      <c r="J3135">
        <v>-374.62290000000002</v>
      </c>
      <c r="K3135">
        <v>1.1212329999999999</v>
      </c>
      <c r="L3135">
        <v>214.61160000000001</v>
      </c>
      <c r="M3135">
        <v>0.99992000000000003</v>
      </c>
      <c r="N3135">
        <v>-1.214721E-2</v>
      </c>
      <c r="O3135">
        <v>-3.5189790000000002E-3</v>
      </c>
      <c r="P3135">
        <v>0.98027019999999998</v>
      </c>
      <c r="Q3135">
        <v>0.19705839999999999</v>
      </c>
      <c r="R3135">
        <v>1.5441470000000001E-2</v>
      </c>
      <c r="S3135">
        <v>3.0857239999999999</v>
      </c>
      <c r="T3135">
        <v>-0.1088705</v>
      </c>
      <c r="U3135">
        <v>-0.2259216</v>
      </c>
      <c r="V3135">
        <v>-1.8883339999999998E-2</v>
      </c>
      <c r="W3135">
        <v>0.20895179999999999</v>
      </c>
      <c r="X3135">
        <v>0.97774360000000005</v>
      </c>
      <c r="Y3135">
        <v>6.9452459999999994E-2</v>
      </c>
      <c r="Z3135">
        <v>-1.564511E-3</v>
      </c>
      <c r="AA3135">
        <v>0.99758400000000003</v>
      </c>
      <c r="AB3135">
        <v>34</v>
      </c>
      <c r="AC3135">
        <v>31.446200000000001</v>
      </c>
      <c r="AD3135">
        <v>-1.1212328463198</v>
      </c>
      <c r="AE3135">
        <v>-2.3256000000000299</v>
      </c>
      <c r="AF3135">
        <v>2.2121218935338298</v>
      </c>
      <c r="AG3135">
        <v>-1.1212328463198</v>
      </c>
      <c r="AH3135">
        <v>31.4144689753421</v>
      </c>
      <c r="AI3135">
        <v>92.039065764365205</v>
      </c>
      <c r="AJ3135">
        <v>85.972035158518693</v>
      </c>
      <c r="AK3135">
        <v>31.5122120354991</v>
      </c>
      <c r="AL3135">
        <v>77.939067766414894</v>
      </c>
      <c r="AM3135">
        <v>91.106426260320504</v>
      </c>
      <c r="AN3135">
        <v>0.999999991296877</v>
      </c>
    </row>
    <row r="3136" spans="1:40" x14ac:dyDescent="0.25">
      <c r="A3136" t="str">
        <f>"20190303162841801"</f>
        <v>20190303162841801</v>
      </c>
      <c r="B3136" t="str">
        <f>"1551601721794275"</f>
        <v>1551601721794275</v>
      </c>
      <c r="C3136" t="s">
        <v>40</v>
      </c>
      <c r="D3136">
        <v>5.1578489999999997</v>
      </c>
      <c r="E3136">
        <v>0.53485099999999997</v>
      </c>
      <c r="F3136" t="s">
        <v>48</v>
      </c>
      <c r="G3136">
        <v>-342.31699999999898</v>
      </c>
      <c r="H3136" s="1">
        <v>-3.0382220000000002E-7</v>
      </c>
      <c r="I3136">
        <v>212.238</v>
      </c>
      <c r="J3136">
        <v>-374.28109999999998</v>
      </c>
      <c r="K3136">
        <v>1.121238</v>
      </c>
      <c r="L3136">
        <v>214.6104</v>
      </c>
      <c r="M3136">
        <v>0.99992000000000003</v>
      </c>
      <c r="N3136">
        <v>-1.2147389999999999E-2</v>
      </c>
      <c r="O3136">
        <v>-3.5189800000000001E-3</v>
      </c>
      <c r="P3136">
        <v>0.98024639999999996</v>
      </c>
      <c r="Q3136">
        <v>0.19722390000000001</v>
      </c>
      <c r="R3136">
        <v>1.4824459999999999E-2</v>
      </c>
      <c r="S3136">
        <v>3.08548</v>
      </c>
      <c r="T3136">
        <v>-0.107087</v>
      </c>
      <c r="U3136">
        <v>-0.22669980000000001</v>
      </c>
      <c r="V3136">
        <v>-1.8265859999999998E-2</v>
      </c>
      <c r="W3136">
        <v>0.20911679999999999</v>
      </c>
      <c r="X3136">
        <v>0.97772009999999998</v>
      </c>
      <c r="Y3136">
        <v>6.9709839999999995E-2</v>
      </c>
      <c r="Z3136">
        <v>-1.5526209999999999E-3</v>
      </c>
      <c r="AA3136">
        <v>0.99756610000000001</v>
      </c>
      <c r="AB3136">
        <v>34</v>
      </c>
      <c r="AC3136">
        <v>31.964099999999998</v>
      </c>
      <c r="AD3136">
        <v>-1.1212383038222</v>
      </c>
      <c r="AE3136">
        <v>-2.3723999999999901</v>
      </c>
      <c r="AF3136">
        <v>2.2571338587280301</v>
      </c>
      <c r="AG3136">
        <v>-1.1212383038222</v>
      </c>
      <c r="AH3136">
        <v>31.933173573110501</v>
      </c>
      <c r="AI3136">
        <v>92.005943967522299</v>
      </c>
      <c r="AJ3136">
        <v>85.956884305247002</v>
      </c>
      <c r="AK3136">
        <v>32.032474194800798</v>
      </c>
      <c r="AL3136">
        <v>77.9294009395378</v>
      </c>
      <c r="AM3136">
        <v>91.070280703061201</v>
      </c>
      <c r="AN3136">
        <v>1.0000000358138901</v>
      </c>
    </row>
    <row r="3137" spans="1:40" x14ac:dyDescent="0.25">
      <c r="A3137" t="str">
        <f>"20190303162841825"</f>
        <v>20190303162841825</v>
      </c>
      <c r="B3137" t="str">
        <f>"1551601721814772"</f>
        <v>1551601721814772</v>
      </c>
      <c r="C3137" t="s">
        <v>40</v>
      </c>
      <c r="D3137">
        <v>5.2814880000000004</v>
      </c>
      <c r="E3137">
        <v>0.53459489999999998</v>
      </c>
      <c r="F3137" t="s">
        <v>48</v>
      </c>
      <c r="G3137">
        <v>-341.54289999999997</v>
      </c>
      <c r="H3137" s="1">
        <v>-7.157275E-7</v>
      </c>
      <c r="I3137">
        <v>212.19300000000001</v>
      </c>
      <c r="J3137">
        <v>-373.90539999999999</v>
      </c>
      <c r="K3137">
        <v>1.1212390000000001</v>
      </c>
      <c r="L3137">
        <v>214.60900000000001</v>
      </c>
      <c r="M3137">
        <v>0.99992000000000003</v>
      </c>
      <c r="N3137">
        <v>-1.214758E-2</v>
      </c>
      <c r="O3137">
        <v>-3.5191010000000002E-3</v>
      </c>
      <c r="P3137">
        <v>0.98007949999999999</v>
      </c>
      <c r="Q3137">
        <v>0.19809579999999999</v>
      </c>
      <c r="R3137">
        <v>1.422636E-2</v>
      </c>
      <c r="S3137">
        <v>3.0852050000000002</v>
      </c>
      <c r="T3137">
        <v>-0.1056643</v>
      </c>
      <c r="U3137">
        <v>-0.22781370000000001</v>
      </c>
      <c r="V3137">
        <v>-1.766713E-2</v>
      </c>
      <c r="W3137">
        <v>0.2099869</v>
      </c>
      <c r="X3137">
        <v>0.97754450000000004</v>
      </c>
      <c r="Y3137">
        <v>7.0075390000000001E-2</v>
      </c>
      <c r="Z3137">
        <v>-1.546764E-3</v>
      </c>
      <c r="AA3137">
        <v>0.99754050000000005</v>
      </c>
      <c r="AB3137">
        <v>34</v>
      </c>
      <c r="AC3137">
        <v>32.362499999999997</v>
      </c>
      <c r="AD3137">
        <v>-1.12123971572749</v>
      </c>
      <c r="AE3137">
        <v>-2.4160000000000199</v>
      </c>
      <c r="AF3137">
        <v>2.2993449725675998</v>
      </c>
      <c r="AG3137">
        <v>-1.12123971572749</v>
      </c>
      <c r="AH3137">
        <v>32.332207052942202</v>
      </c>
      <c r="AI3137">
        <v>91.981149114812396</v>
      </c>
      <c r="AJ3137">
        <v>85.932188090578293</v>
      </c>
      <c r="AK3137">
        <v>32.433251127775101</v>
      </c>
      <c r="AL3137">
        <v>77.878414679030499</v>
      </c>
      <c r="AM3137">
        <v>91.035392041338199</v>
      </c>
      <c r="AN3137">
        <v>0.999999937567146</v>
      </c>
    </row>
    <row r="3138" spans="1:40" x14ac:dyDescent="0.25">
      <c r="A3138" t="str">
        <f>"20190303162841845"</f>
        <v>20190303162841845</v>
      </c>
      <c r="B3138" t="str">
        <f>"1551601721834818"</f>
        <v>1551601721834818</v>
      </c>
      <c r="C3138" t="s">
        <v>40</v>
      </c>
      <c r="D3138">
        <v>5.1564509999999997</v>
      </c>
      <c r="E3138">
        <v>0.50414099999999995</v>
      </c>
      <c r="F3138" t="s">
        <v>48</v>
      </c>
      <c r="G3138">
        <v>-340.79629999999997</v>
      </c>
      <c r="H3138" s="1">
        <v>-1.113056E-6</v>
      </c>
      <c r="I3138">
        <v>212.17240000000001</v>
      </c>
      <c r="J3138">
        <v>-373.596</v>
      </c>
      <c r="K3138">
        <v>1.1212409999999999</v>
      </c>
      <c r="L3138">
        <v>214.6079</v>
      </c>
      <c r="M3138">
        <v>0.99992000000000003</v>
      </c>
      <c r="N3138">
        <v>-1.2147730000000001E-2</v>
      </c>
      <c r="O3138">
        <v>-3.5191020000000001E-3</v>
      </c>
      <c r="P3138">
        <v>0.98000690000000001</v>
      </c>
      <c r="Q3138">
        <v>0.198491</v>
      </c>
      <c r="R3138">
        <v>1.3704879999999999E-2</v>
      </c>
      <c r="S3138">
        <v>3.085388</v>
      </c>
      <c r="T3138">
        <v>-0.1044867</v>
      </c>
      <c r="U3138">
        <v>-0.22706599999999999</v>
      </c>
      <c r="V3138">
        <v>-1.714591E-2</v>
      </c>
      <c r="W3138">
        <v>0.21038119999999999</v>
      </c>
      <c r="X3138">
        <v>0.97746900000000003</v>
      </c>
      <c r="Y3138">
        <v>6.9831829999999998E-2</v>
      </c>
      <c r="Z3138">
        <v>-1.5291079999999999E-3</v>
      </c>
      <c r="AA3138">
        <v>0.99755760000000004</v>
      </c>
      <c r="AB3138">
        <v>34</v>
      </c>
      <c r="AC3138">
        <v>32.799700000000001</v>
      </c>
      <c r="AD3138">
        <v>-1.121242113056</v>
      </c>
      <c r="AE3138">
        <v>-2.43549999999999</v>
      </c>
      <c r="AF3138">
        <v>2.31735773466478</v>
      </c>
      <c r="AG3138">
        <v>-1.121242113056</v>
      </c>
      <c r="AH3138">
        <v>32.769983859225903</v>
      </c>
      <c r="AI3138">
        <v>91.954762813639604</v>
      </c>
      <c r="AJ3138">
        <v>85.955013091604499</v>
      </c>
      <c r="AK3138">
        <v>32.8709472464733</v>
      </c>
      <c r="AL3138">
        <v>77.855306777707597</v>
      </c>
      <c r="AM3138">
        <v>91.004929609117596</v>
      </c>
      <c r="AN3138">
        <v>0.99999993875208204</v>
      </c>
    </row>
    <row r="3139" spans="1:40" x14ac:dyDescent="0.25">
      <c r="A3139" t="str">
        <f>"20190303162841866"</f>
        <v>20190303162841866</v>
      </c>
      <c r="B3139" t="str">
        <f>"1551601721854337"</f>
        <v>1551601721854337</v>
      </c>
      <c r="C3139" t="s">
        <v>40</v>
      </c>
      <c r="D3139">
        <v>5.347499</v>
      </c>
      <c r="E3139">
        <v>0.49614720000000001</v>
      </c>
      <c r="F3139" t="s">
        <v>49</v>
      </c>
      <c r="G3139">
        <v>-304.8562</v>
      </c>
      <c r="H3139" s="1">
        <v>1.791857E-6</v>
      </c>
      <c r="I3139">
        <v>214.92349999999999</v>
      </c>
      <c r="J3139">
        <v>-373.27719999999999</v>
      </c>
      <c r="K3139">
        <v>1.121248</v>
      </c>
      <c r="L3139">
        <v>214.60679999999999</v>
      </c>
      <c r="M3139">
        <v>0.99992000000000003</v>
      </c>
      <c r="N3139">
        <v>-1.214789E-2</v>
      </c>
      <c r="O3139">
        <v>-3.519103E-3</v>
      </c>
      <c r="P3139">
        <v>0.98002120000000004</v>
      </c>
      <c r="Q3139">
        <v>0.1984504</v>
      </c>
      <c r="R3139">
        <v>1.3260060000000001E-2</v>
      </c>
      <c r="S3139">
        <v>3.0711360000000001</v>
      </c>
      <c r="T3139">
        <v>-5.0094369999999999E-2</v>
      </c>
      <c r="U3139">
        <v>1.409912E-2</v>
      </c>
      <c r="V3139">
        <v>-1.6701400000000002E-2</v>
      </c>
      <c r="W3139">
        <v>0.21034120000000001</v>
      </c>
      <c r="X3139">
        <v>0.97748539999999995</v>
      </c>
      <c r="Y3139">
        <v>-8.1081850000000004E-3</v>
      </c>
      <c r="Z3139">
        <v>1.3002630000000001E-4</v>
      </c>
      <c r="AA3139">
        <v>0.9999671</v>
      </c>
      <c r="AB3139">
        <v>34</v>
      </c>
      <c r="AC3139">
        <v>68.420999999999907</v>
      </c>
      <c r="AD3139">
        <v>-1.1212462081429999</v>
      </c>
      <c r="AE3139">
        <v>0.31669999999999698</v>
      </c>
      <c r="AF3139">
        <v>-0.557346686213822</v>
      </c>
      <c r="AG3139">
        <v>-1.1212462081429999</v>
      </c>
      <c r="AH3139">
        <v>68.401093053484601</v>
      </c>
      <c r="AI3139">
        <v>90.939090115454604</v>
      </c>
      <c r="AJ3139">
        <v>90.466847892650307</v>
      </c>
      <c r="AK3139">
        <v>68.412552644228796</v>
      </c>
      <c r="AL3139">
        <v>77.857652217369704</v>
      </c>
      <c r="AM3139">
        <v>90.978865391770597</v>
      </c>
      <c r="AN3139">
        <v>1.0000000321962701</v>
      </c>
    </row>
    <row r="3140" spans="1:40" x14ac:dyDescent="0.25">
      <c r="A3140" t="str">
        <f>"20190303162841888"</f>
        <v>20190303162841888</v>
      </c>
      <c r="B3140" t="str">
        <f>"1551601721884593"</f>
        <v>1551601721884593</v>
      </c>
      <c r="C3140" t="s">
        <v>40</v>
      </c>
      <c r="D3140">
        <v>5.2654129999999997</v>
      </c>
      <c r="E3140">
        <v>0.49112980000000001</v>
      </c>
      <c r="F3140" t="s">
        <v>48</v>
      </c>
      <c r="G3140">
        <v>-267.23509999999999</v>
      </c>
      <c r="H3140" s="1">
        <v>2.1985729999999999E-6</v>
      </c>
      <c r="I3140">
        <v>217.24289999999999</v>
      </c>
      <c r="J3140">
        <v>-372.93630000000002</v>
      </c>
      <c r="K3140">
        <v>1.121246</v>
      </c>
      <c r="L3140">
        <v>214.60560000000001</v>
      </c>
      <c r="M3140">
        <v>0.99992009999999998</v>
      </c>
      <c r="N3140">
        <v>-1.2148040000000001E-2</v>
      </c>
      <c r="O3140">
        <v>-3.5191039999999999E-3</v>
      </c>
      <c r="P3140">
        <v>0.97984369999999998</v>
      </c>
      <c r="Q3140">
        <v>0.19932839999999999</v>
      </c>
      <c r="R3140">
        <v>1.321601E-2</v>
      </c>
      <c r="S3140">
        <v>3.0666500000000001</v>
      </c>
      <c r="T3140">
        <v>-3.2425519999999999E-2</v>
      </c>
      <c r="U3140">
        <v>7.6232910000000001E-2</v>
      </c>
      <c r="V3140">
        <v>-1.6656230000000001E-2</v>
      </c>
      <c r="W3140">
        <v>0.21121699999999999</v>
      </c>
      <c r="X3140">
        <v>0.97729719999999998</v>
      </c>
      <c r="Y3140">
        <v>-2.8365729999999999E-2</v>
      </c>
      <c r="Z3140">
        <v>3.1673200000000002E-4</v>
      </c>
      <c r="AA3140">
        <v>0.99959750000000003</v>
      </c>
      <c r="AB3140">
        <v>34</v>
      </c>
      <c r="AC3140">
        <v>105.7012</v>
      </c>
      <c r="AD3140">
        <v>-1.1212438014270001</v>
      </c>
      <c r="AE3140">
        <v>2.6372999999999802</v>
      </c>
      <c r="AF3140">
        <v>-3.00894623801815</v>
      </c>
      <c r="AG3140">
        <v>-1.1212438014270001</v>
      </c>
      <c r="AH3140">
        <v>105.67937984300001</v>
      </c>
      <c r="AI3140">
        <v>90.607631366256498</v>
      </c>
      <c r="AJ3140">
        <v>91.630908093775204</v>
      </c>
      <c r="AK3140">
        <v>105.728152680006</v>
      </c>
      <c r="AL3140">
        <v>77.806318099542096</v>
      </c>
      <c r="AM3140">
        <v>90.976406456884504</v>
      </c>
      <c r="AN3140">
        <v>0.99999993410732402</v>
      </c>
    </row>
    <row r="3141" spans="1:40" x14ac:dyDescent="0.25">
      <c r="A3141" t="str">
        <f>"20190303162841910"</f>
        <v>20190303162841910</v>
      </c>
      <c r="B3141" t="str">
        <f>"1551601721905090"</f>
        <v>1551601721905090</v>
      </c>
      <c r="C3141" t="s">
        <v>40</v>
      </c>
      <c r="D3141">
        <v>5.3163130000000001</v>
      </c>
      <c r="E3141">
        <v>0.4898014</v>
      </c>
      <c r="F3141" t="s">
        <v>48</v>
      </c>
      <c r="G3141">
        <v>-231.95689999999999</v>
      </c>
      <c r="H3141">
        <v>8.0000360000000006E-2</v>
      </c>
      <c r="I3141">
        <v>219.94159999999999</v>
      </c>
      <c r="J3141">
        <v>-372.58620000000002</v>
      </c>
      <c r="K3141">
        <v>1.1212519999999999</v>
      </c>
      <c r="L3141">
        <v>214.6044</v>
      </c>
      <c r="M3141">
        <v>0.99992000000000003</v>
      </c>
      <c r="N3141">
        <v>-1.21482E-2</v>
      </c>
      <c r="O3141">
        <v>-3.5191049999999998E-3</v>
      </c>
      <c r="P3141">
        <v>0.97974640000000002</v>
      </c>
      <c r="Q3141">
        <v>0.19978209999999999</v>
      </c>
      <c r="R3141">
        <v>1.357732E-2</v>
      </c>
      <c r="S3141">
        <v>3.0647280000000001</v>
      </c>
      <c r="T3141">
        <v>-2.263546E-2</v>
      </c>
      <c r="U3141">
        <v>0.1159973</v>
      </c>
      <c r="V3141">
        <v>-1.7017549999999999E-2</v>
      </c>
      <c r="W3141">
        <v>0.21166950000000001</v>
      </c>
      <c r="X3141">
        <v>0.97719310000000004</v>
      </c>
      <c r="Y3141">
        <v>-4.1335650000000002E-2</v>
      </c>
      <c r="Z3141">
        <v>3.87022E-4</v>
      </c>
      <c r="AA3141">
        <v>0.99914530000000001</v>
      </c>
      <c r="AB3141">
        <v>34</v>
      </c>
      <c r="AC3141">
        <v>140.6293</v>
      </c>
      <c r="AD3141">
        <v>-1.04125164</v>
      </c>
      <c r="AE3141">
        <v>5.3371999999999904</v>
      </c>
      <c r="AF3141">
        <v>-5.8317734955656499</v>
      </c>
      <c r="AG3141">
        <v>-1.04125164</v>
      </c>
      <c r="AH3141">
        <v>140.601948451357</v>
      </c>
      <c r="AI3141">
        <v>90.423941386864499</v>
      </c>
      <c r="AJ3141">
        <v>92.3751064512319</v>
      </c>
      <c r="AK3141">
        <v>140.72669148174899</v>
      </c>
      <c r="AL3141">
        <v>77.7797923863763</v>
      </c>
      <c r="AM3141">
        <v>90.997689446996603</v>
      </c>
      <c r="AN3141">
        <v>0.99999996446293005</v>
      </c>
    </row>
    <row r="3142" spans="1:40" x14ac:dyDescent="0.25">
      <c r="A3142" t="str">
        <f>"20190303162841934"</f>
        <v>20190303162841934</v>
      </c>
      <c r="B3142" t="str">
        <f>"1551601721924610"</f>
        <v>1551601721924610</v>
      </c>
      <c r="C3142" t="s">
        <v>40</v>
      </c>
      <c r="D3142">
        <v>5.2022719999999998</v>
      </c>
      <c r="E3142">
        <v>0.48871900000000001</v>
      </c>
      <c r="F3142" t="s">
        <v>48</v>
      </c>
      <c r="G3142">
        <v>-216.2037</v>
      </c>
      <c r="H3142">
        <v>8.0000089999999996E-2</v>
      </c>
      <c r="I3142">
        <v>221.10560000000001</v>
      </c>
      <c r="J3142">
        <v>-372.2328</v>
      </c>
      <c r="K3142">
        <v>1.1212599999999999</v>
      </c>
      <c r="L3142">
        <v>214.60310000000001</v>
      </c>
      <c r="M3142">
        <v>0.99992000000000003</v>
      </c>
      <c r="N3142">
        <v>-1.214836E-2</v>
      </c>
      <c r="O3142">
        <v>-3.518986E-3</v>
      </c>
      <c r="P3142">
        <v>0.97949589999999997</v>
      </c>
      <c r="Q3142">
        <v>0.20098070000000001</v>
      </c>
      <c r="R3142">
        <v>1.394371E-2</v>
      </c>
      <c r="S3142">
        <v>3.0643919999999998</v>
      </c>
      <c r="T3142">
        <v>-2.0403859999999999E-2</v>
      </c>
      <c r="U3142">
        <v>0.1273956</v>
      </c>
      <c r="V3142">
        <v>-1.73829E-2</v>
      </c>
      <c r="W3142">
        <v>0.2128652</v>
      </c>
      <c r="X3142">
        <v>0.97692690000000004</v>
      </c>
      <c r="Y3142">
        <v>-4.5050100000000003E-2</v>
      </c>
      <c r="Z3142">
        <v>4.0438079999999998E-4</v>
      </c>
      <c r="AA3142">
        <v>0.9989846</v>
      </c>
      <c r="AB3142">
        <v>34</v>
      </c>
      <c r="AC3142">
        <v>156.0291</v>
      </c>
      <c r="AD3142">
        <v>-1.04125991</v>
      </c>
      <c r="AE3142">
        <v>6.5024999999999897</v>
      </c>
      <c r="AF3142">
        <v>-7.0512509925347802</v>
      </c>
      <c r="AG3142">
        <v>-1.04125991</v>
      </c>
      <c r="AH3142">
        <v>155.99831445467399</v>
      </c>
      <c r="AI3142">
        <v>90.382042988758798</v>
      </c>
      <c r="AJ3142">
        <v>92.5880543411254</v>
      </c>
      <c r="AK3142">
        <v>156.16106581174199</v>
      </c>
      <c r="AL3142">
        <v>77.709686195009198</v>
      </c>
      <c r="AM3142">
        <v>91.019382018945905</v>
      </c>
      <c r="AN3142">
        <v>0.99999996326352902</v>
      </c>
    </row>
    <row r="3143" spans="1:40" x14ac:dyDescent="0.25">
      <c r="A3143" t="str">
        <f>"20190303162841954"</f>
        <v>20190303162841954</v>
      </c>
      <c r="B3143" t="str">
        <f>"1551601721944819"</f>
        <v>1551601721944819</v>
      </c>
      <c r="C3143" t="s">
        <v>40</v>
      </c>
      <c r="D3143">
        <v>5.1372739999999997</v>
      </c>
      <c r="E3143">
        <v>0.48802649999999997</v>
      </c>
      <c r="F3143" t="s">
        <v>47</v>
      </c>
      <c r="G3143">
        <v>-179.95779999999999</v>
      </c>
      <c r="H3143">
        <v>3.8546940000000002E-2</v>
      </c>
      <c r="I3143">
        <v>223.2303</v>
      </c>
      <c r="J3143">
        <v>-371.90370000000001</v>
      </c>
      <c r="K3143">
        <v>1.121265</v>
      </c>
      <c r="L3143">
        <v>214.6019</v>
      </c>
      <c r="M3143">
        <v>0.99992000000000003</v>
      </c>
      <c r="N3143">
        <v>-1.214849E-2</v>
      </c>
      <c r="O3143">
        <v>-3.5189869999999999E-3</v>
      </c>
      <c r="P3143">
        <v>0.97929500000000003</v>
      </c>
      <c r="Q3143">
        <v>0.20195389999999999</v>
      </c>
      <c r="R3143">
        <v>1.399009E-2</v>
      </c>
      <c r="S3143">
        <v>3.0643919999999998</v>
      </c>
      <c r="T3143">
        <v>-1.7255779999999998E-2</v>
      </c>
      <c r="U3143">
        <v>0.13749690000000001</v>
      </c>
      <c r="V3143">
        <v>-1.7428030000000001E-2</v>
      </c>
      <c r="W3143">
        <v>0.2138361</v>
      </c>
      <c r="X3143">
        <v>0.97671410000000003</v>
      </c>
      <c r="Y3143">
        <v>-4.8337089999999999E-2</v>
      </c>
      <c r="Z3143">
        <v>4.06878E-4</v>
      </c>
      <c r="AA3143">
        <v>0.99883100000000002</v>
      </c>
      <c r="AB3143">
        <v>34</v>
      </c>
      <c r="AC3143">
        <v>191.94589999999999</v>
      </c>
      <c r="AD3143">
        <v>-1.0827180599999999</v>
      </c>
      <c r="AE3143">
        <v>8.6283999999999992</v>
      </c>
      <c r="AF3143">
        <v>-9.3035561287221906</v>
      </c>
      <c r="AG3143">
        <v>-1.0827180599999999</v>
      </c>
      <c r="AH3143">
        <v>191.9082520675</v>
      </c>
      <c r="AI3143">
        <v>90.322871728680795</v>
      </c>
      <c r="AJ3143">
        <v>92.775479857039898</v>
      </c>
      <c r="AK3143">
        <v>192.13668480183799</v>
      </c>
      <c r="AL3143">
        <v>77.652747481658807</v>
      </c>
      <c r="AM3143">
        <v>91.022250633559906</v>
      </c>
      <c r="AN3143">
        <v>1.0000000235158499</v>
      </c>
    </row>
    <row r="3144" spans="1:40" x14ac:dyDescent="0.25">
      <c r="A3144" t="str">
        <f>"20190303162841978"</f>
        <v>20190303162841978</v>
      </c>
      <c r="B3144" t="str">
        <f>"1551601721975075"</f>
        <v>1551601721975075</v>
      </c>
      <c r="C3144" t="s">
        <v>40</v>
      </c>
      <c r="D3144">
        <v>4.9582069999999998</v>
      </c>
      <c r="E3144">
        <v>0.48724339999999999</v>
      </c>
      <c r="F3144" t="s">
        <v>53</v>
      </c>
      <c r="G3144">
        <v>-168.35059999999999</v>
      </c>
      <c r="H3144">
        <v>0.26479049999999998</v>
      </c>
      <c r="I3144">
        <v>224.16399999999999</v>
      </c>
      <c r="J3144">
        <v>-371.55239999999998</v>
      </c>
      <c r="K3144">
        <v>1.121267</v>
      </c>
      <c r="L3144">
        <v>214.60069999999999</v>
      </c>
      <c r="M3144">
        <v>0.99992000000000003</v>
      </c>
      <c r="N3144">
        <v>-1.2148620000000001E-2</v>
      </c>
      <c r="O3144">
        <v>-3.5189879999999998E-3</v>
      </c>
      <c r="P3144">
        <v>0.97918740000000004</v>
      </c>
      <c r="Q3144">
        <v>0.20248969999999999</v>
      </c>
      <c r="R3144">
        <v>1.379291E-2</v>
      </c>
      <c r="S3144">
        <v>3.0640559999999999</v>
      </c>
      <c r="T3144">
        <v>-1.289153E-2</v>
      </c>
      <c r="U3144">
        <v>0.14393619999999999</v>
      </c>
      <c r="V3144">
        <v>-1.7230820000000001E-2</v>
      </c>
      <c r="W3144">
        <v>0.2143708</v>
      </c>
      <c r="X3144">
        <v>0.97660029999999998</v>
      </c>
      <c r="Y3144">
        <v>-5.0437179999999998E-2</v>
      </c>
      <c r="Z3144">
        <v>3.8466999999999999E-4</v>
      </c>
      <c r="AA3144">
        <v>0.99872709999999998</v>
      </c>
      <c r="AB3144">
        <v>34</v>
      </c>
      <c r="AC3144">
        <v>203.20179999999999</v>
      </c>
      <c r="AD3144">
        <v>-0.85647649999999997</v>
      </c>
      <c r="AE3144">
        <v>9.5633000000000195</v>
      </c>
      <c r="AF3144">
        <v>-10.278176062962499</v>
      </c>
      <c r="AG3144">
        <v>-0.85647649999999997</v>
      </c>
      <c r="AH3144">
        <v>203.163284729222</v>
      </c>
      <c r="AI3144">
        <v>90.241232173894403</v>
      </c>
      <c r="AJ3144">
        <v>92.896165365060796</v>
      </c>
      <c r="AK3144">
        <v>203.42491174176001</v>
      </c>
      <c r="AL3144">
        <v>77.621383137836403</v>
      </c>
      <c r="AM3144">
        <v>91.010803333687505</v>
      </c>
      <c r="AN3144">
        <v>0.99999994350529897</v>
      </c>
    </row>
    <row r="3145" spans="1:40" x14ac:dyDescent="0.25">
      <c r="A3145" t="str">
        <f>"20190303162842001"</f>
        <v>20190303162842001</v>
      </c>
      <c r="B3145" t="str">
        <f>"1551601721994594"</f>
        <v>1551601721994594</v>
      </c>
      <c r="C3145" t="s">
        <v>40</v>
      </c>
      <c r="D3145">
        <v>5.0738839999999996</v>
      </c>
      <c r="E3145">
        <v>0.48699629999999999</v>
      </c>
      <c r="F3145" t="s">
        <v>53</v>
      </c>
      <c r="G3145">
        <v>-168.35059999999999</v>
      </c>
      <c r="H3145">
        <v>0.32741360000000003</v>
      </c>
      <c r="I3145">
        <v>224.50219999999999</v>
      </c>
      <c r="J3145">
        <v>-371.20269999999999</v>
      </c>
      <c r="K3145">
        <v>1.1212610000000001</v>
      </c>
      <c r="L3145">
        <v>214.59950000000001</v>
      </c>
      <c r="M3145">
        <v>0.99992000000000003</v>
      </c>
      <c r="N3145">
        <v>-1.214875E-2</v>
      </c>
      <c r="O3145">
        <v>-3.5189890000000001E-3</v>
      </c>
      <c r="P3145">
        <v>0.97918989999999995</v>
      </c>
      <c r="Q3145">
        <v>0.20246620000000001</v>
      </c>
      <c r="R3145">
        <v>1.3950300000000001E-2</v>
      </c>
      <c r="S3145">
        <v>3.064117</v>
      </c>
      <c r="T3145">
        <v>-1.1969799999999999E-2</v>
      </c>
      <c r="U3145">
        <v>0.149307299999999</v>
      </c>
      <c r="V3145">
        <v>-1.738785E-2</v>
      </c>
      <c r="W3145">
        <v>0.21434700000000001</v>
      </c>
      <c r="X3145">
        <v>0.97660279999999999</v>
      </c>
      <c r="Y3145">
        <v>-5.2182930000000002E-2</v>
      </c>
      <c r="Z3145">
        <v>3.9005909999999998E-4</v>
      </c>
      <c r="AA3145">
        <v>0.99863740000000001</v>
      </c>
      <c r="AB3145">
        <v>34</v>
      </c>
      <c r="AC3145">
        <v>202.85210000000001</v>
      </c>
      <c r="AD3145">
        <v>-0.79384739999999998</v>
      </c>
      <c r="AE3145">
        <v>9.9026999999999799</v>
      </c>
      <c r="AF3145">
        <v>-10.616363473479501</v>
      </c>
      <c r="AG3145">
        <v>-0.79384739999999998</v>
      </c>
      <c r="AH3145">
        <v>202.812895077691</v>
      </c>
      <c r="AI3145">
        <v>90.223958577071599</v>
      </c>
      <c r="AJ3145">
        <v>92.996447359530507</v>
      </c>
      <c r="AK3145">
        <v>203.09211648138901</v>
      </c>
      <c r="AL3145">
        <v>77.6227799570065</v>
      </c>
      <c r="AM3145">
        <v>91.020010561297397</v>
      </c>
      <c r="AN3145">
        <v>1.0000000013522301</v>
      </c>
    </row>
    <row r="3146" spans="1:40" x14ac:dyDescent="0.25">
      <c r="A3146" t="str">
        <f>"20190303162842022"</f>
        <v>20190303162842022</v>
      </c>
      <c r="B3146" t="str">
        <f>"1551601722015091"</f>
        <v>1551601722015091</v>
      </c>
      <c r="C3146" t="s">
        <v>40</v>
      </c>
      <c r="D3146">
        <v>4.9353239999999996</v>
      </c>
      <c r="E3146">
        <v>0.4868363</v>
      </c>
      <c r="F3146" t="s">
        <v>53</v>
      </c>
      <c r="G3146">
        <v>-157.25</v>
      </c>
      <c r="H3146">
        <v>0.21375469999999999</v>
      </c>
      <c r="I3146">
        <v>225.1712</v>
      </c>
      <c r="J3146">
        <v>-370.8614</v>
      </c>
      <c r="K3146">
        <v>1.121262</v>
      </c>
      <c r="L3146">
        <v>214.59829999999999</v>
      </c>
      <c r="M3146">
        <v>0.99992000000000003</v>
      </c>
      <c r="N3146">
        <v>-1.2149149999999999E-2</v>
      </c>
      <c r="O3146">
        <v>-3.518991E-3</v>
      </c>
      <c r="P3146">
        <v>0.97910269999999999</v>
      </c>
      <c r="Q3146">
        <v>0.20290459999999999</v>
      </c>
      <c r="R3146">
        <v>1.369279E-2</v>
      </c>
      <c r="S3146">
        <v>3.0643310000000001</v>
      </c>
      <c r="T3146">
        <v>-1.299691E-2</v>
      </c>
      <c r="U3146">
        <v>0.15141299999999999</v>
      </c>
      <c r="V3146">
        <v>-1.7130030000000001E-2</v>
      </c>
      <c r="W3146">
        <v>0.2147848</v>
      </c>
      <c r="X3146">
        <v>0.97651120000000002</v>
      </c>
      <c r="Y3146">
        <v>-5.2863930000000003E-2</v>
      </c>
      <c r="Z3146">
        <v>4.0556620000000001E-4</v>
      </c>
      <c r="AA3146">
        <v>0.99860159999999998</v>
      </c>
      <c r="AB3146">
        <v>34</v>
      </c>
      <c r="AC3146">
        <v>213.6114</v>
      </c>
      <c r="AD3146">
        <v>-0.90750730000000002</v>
      </c>
      <c r="AE3146">
        <v>10.572900000000001</v>
      </c>
      <c r="AF3146">
        <v>-11.324382712314801</v>
      </c>
      <c r="AG3146">
        <v>-0.90750730000000002</v>
      </c>
      <c r="AH3146">
        <v>213.56902323614099</v>
      </c>
      <c r="AI3146">
        <v>90.243120857319994</v>
      </c>
      <c r="AJ3146">
        <v>93.0352354386428</v>
      </c>
      <c r="AK3146">
        <v>213.870972549698</v>
      </c>
      <c r="AL3146">
        <v>77.597098148922498</v>
      </c>
      <c r="AM3146">
        <v>91.004983624967096</v>
      </c>
      <c r="AN3146">
        <v>1.0000000359821399</v>
      </c>
    </row>
    <row r="3147" spans="1:40" x14ac:dyDescent="0.25">
      <c r="A3147" t="str">
        <f>"20190303162842044"</f>
        <v>20190303162842044</v>
      </c>
      <c r="B3147" t="str">
        <f>"1551601722034189"</f>
        <v>1551601722034189</v>
      </c>
      <c r="C3147" t="s">
        <v>40</v>
      </c>
      <c r="D3147">
        <v>4.9237739999999999</v>
      </c>
      <c r="E3147">
        <v>0.48657909999999999</v>
      </c>
      <c r="F3147" t="s">
        <v>53</v>
      </c>
      <c r="G3147">
        <v>-157.25</v>
      </c>
      <c r="H3147">
        <v>0.27045629999999998</v>
      </c>
      <c r="I3147">
        <v>225.2122</v>
      </c>
      <c r="J3147">
        <v>-370.53339999999997</v>
      </c>
      <c r="K3147">
        <v>1.1212629999999999</v>
      </c>
      <c r="L3147">
        <v>214.59710000000001</v>
      </c>
      <c r="M3147">
        <v>0.99992000000000003</v>
      </c>
      <c r="N3147">
        <v>-1.214933E-2</v>
      </c>
      <c r="O3147">
        <v>-3.5189919999999999E-3</v>
      </c>
      <c r="P3147">
        <v>0.97900299999999996</v>
      </c>
      <c r="Q3147">
        <v>0.2034049</v>
      </c>
      <c r="R3147">
        <v>1.341581E-2</v>
      </c>
      <c r="S3147">
        <v>3.0644529999999999</v>
      </c>
      <c r="T3147">
        <v>-1.220477E-2</v>
      </c>
      <c r="U3147">
        <v>0.1522675</v>
      </c>
      <c r="V3147">
        <v>-1.6852949999999998E-2</v>
      </c>
      <c r="W3147">
        <v>0.215284</v>
      </c>
      <c r="X3147">
        <v>0.976406</v>
      </c>
      <c r="Y3147">
        <v>-5.3139859999999997E-2</v>
      </c>
      <c r="Z3147">
        <v>4.0005569999999999E-4</v>
      </c>
      <c r="AA3147">
        <v>0.998587</v>
      </c>
      <c r="AB3147">
        <v>34</v>
      </c>
      <c r="AC3147">
        <v>213.2834</v>
      </c>
      <c r="AD3147">
        <v>-0.85080669999999903</v>
      </c>
      <c r="AE3147">
        <v>10.615099999999901</v>
      </c>
      <c r="AF3147">
        <v>-11.3654518337247</v>
      </c>
      <c r="AG3147">
        <v>-0.85080669999999903</v>
      </c>
      <c r="AH3147">
        <v>213.241337124334</v>
      </c>
      <c r="AI3147">
        <v>90.228277893060195</v>
      </c>
      <c r="AJ3147">
        <v>93.050894626805004</v>
      </c>
      <c r="AK3147">
        <v>213.54569821468999</v>
      </c>
      <c r="AL3147">
        <v>77.567809876330301</v>
      </c>
      <c r="AM3147">
        <v>90.988837671614405</v>
      </c>
      <c r="AN3147">
        <v>0.99999994970785</v>
      </c>
    </row>
    <row r="3148" spans="1:40" x14ac:dyDescent="0.25">
      <c r="A3148" t="str">
        <f>"20190303162842066"</f>
        <v>20190303162842066</v>
      </c>
      <c r="B3148" t="str">
        <f>"1551601722054672"</f>
        <v>1551601722054672</v>
      </c>
      <c r="C3148" t="s">
        <v>40</v>
      </c>
      <c r="D3148">
        <v>4.8780060000000001</v>
      </c>
      <c r="E3148">
        <v>0.48640420000000001</v>
      </c>
      <c r="F3148" t="s">
        <v>53</v>
      </c>
      <c r="G3148">
        <v>-157.25</v>
      </c>
      <c r="H3148">
        <v>0.35489749999999998</v>
      </c>
      <c r="I3148">
        <v>225.31559999999999</v>
      </c>
      <c r="J3148">
        <v>-370.20060000000001</v>
      </c>
      <c r="K3148">
        <v>1.1212610000000001</v>
      </c>
      <c r="L3148">
        <v>214.5959</v>
      </c>
      <c r="M3148">
        <v>0.99992009999999998</v>
      </c>
      <c r="N3148">
        <v>-1.214926E-2</v>
      </c>
      <c r="O3148">
        <v>-3.5189919999999999E-3</v>
      </c>
      <c r="P3148">
        <v>0.97902279999999997</v>
      </c>
      <c r="Q3148">
        <v>0.2033365</v>
      </c>
      <c r="R3148">
        <v>1.2999729999999999E-2</v>
      </c>
      <c r="S3148">
        <v>3.064514</v>
      </c>
      <c r="T3148">
        <v>-1.1010529999999999E-2</v>
      </c>
      <c r="U3148">
        <v>0.15400700000000001</v>
      </c>
      <c r="V3148">
        <v>-1.643696E-2</v>
      </c>
      <c r="W3148">
        <v>0.21521609999999999</v>
      </c>
      <c r="X3148">
        <v>0.97642810000000002</v>
      </c>
      <c r="Y3148">
        <v>-5.3704450000000001E-2</v>
      </c>
      <c r="Z3148">
        <v>3.9278199999999999E-4</v>
      </c>
      <c r="AA3148">
        <v>0.99855680000000002</v>
      </c>
      <c r="AB3148">
        <v>34</v>
      </c>
      <c r="AC3148">
        <v>212.95060000000001</v>
      </c>
      <c r="AD3148">
        <v>-0.76636349999999998</v>
      </c>
      <c r="AE3148">
        <v>10.7196999999999</v>
      </c>
      <c r="AF3148">
        <v>-11.468912152419801</v>
      </c>
      <c r="AG3148">
        <v>-0.76636349999999998</v>
      </c>
      <c r="AH3148">
        <v>212.90880549949799</v>
      </c>
      <c r="AI3148">
        <v>90.205936231175599</v>
      </c>
      <c r="AJ3148">
        <v>93.083412962718697</v>
      </c>
      <c r="AK3148">
        <v>213.21886107518</v>
      </c>
      <c r="AL3148">
        <v>77.571794138603494</v>
      </c>
      <c r="AM3148">
        <v>90.964412528767895</v>
      </c>
      <c r="AN3148">
        <v>0.99999998891143005</v>
      </c>
    </row>
    <row r="3149" spans="1:40" x14ac:dyDescent="0.25">
      <c r="A3149" t="str">
        <f>"20190303162842088"</f>
        <v>20190303162842088</v>
      </c>
      <c r="B3149" t="str">
        <f>"1551601722084928"</f>
        <v>1551601722084928</v>
      </c>
      <c r="C3149" t="s">
        <v>40</v>
      </c>
      <c r="D3149">
        <v>4.8798180000000002</v>
      </c>
      <c r="E3149">
        <v>0.48615360000000002</v>
      </c>
      <c r="F3149" t="s">
        <v>53</v>
      </c>
      <c r="G3149">
        <v>-157.25</v>
      </c>
      <c r="H3149">
        <v>0.29070659999999998</v>
      </c>
      <c r="I3149">
        <v>225.30330000000001</v>
      </c>
      <c r="J3149">
        <v>-369.85599999999999</v>
      </c>
      <c r="K3149">
        <v>1.121251</v>
      </c>
      <c r="L3149">
        <v>214.59469999999999</v>
      </c>
      <c r="M3149">
        <v>0.99992009999999998</v>
      </c>
      <c r="N3149">
        <v>-1.2149119999999999E-2</v>
      </c>
      <c r="O3149">
        <v>-3.518752E-3</v>
      </c>
      <c r="P3149">
        <v>0.9791784</v>
      </c>
      <c r="Q3149">
        <v>0.20261970000000001</v>
      </c>
      <c r="R3149">
        <v>1.246299E-2</v>
      </c>
      <c r="S3149">
        <v>3.0647280000000001</v>
      </c>
      <c r="T3149">
        <v>-1.1952279999999999E-2</v>
      </c>
      <c r="U3149">
        <v>0.1540985</v>
      </c>
      <c r="V3149">
        <v>-1.5900359999999999E-2</v>
      </c>
      <c r="W3149">
        <v>0.2145012</v>
      </c>
      <c r="X3149">
        <v>0.97659430000000003</v>
      </c>
      <c r="Y3149">
        <v>-5.3730340000000001E-2</v>
      </c>
      <c r="Z3149">
        <v>4.0230810000000002E-4</v>
      </c>
      <c r="AA3149">
        <v>0.99855539999999998</v>
      </c>
      <c r="AB3149">
        <v>34</v>
      </c>
      <c r="AC3149">
        <v>212.60599999999999</v>
      </c>
      <c r="AD3149">
        <v>-0.83054439999999996</v>
      </c>
      <c r="AE3149">
        <v>10.708600000000001</v>
      </c>
      <c r="AF3149">
        <v>-11.456522236766901</v>
      </c>
      <c r="AG3149">
        <v>-0.83054439999999996</v>
      </c>
      <c r="AH3149">
        <v>212.563764248984</v>
      </c>
      <c r="AI3149">
        <v>90.223544598253199</v>
      </c>
      <c r="AJ3149">
        <v>93.085078417022601</v>
      </c>
      <c r="AK3149">
        <v>212.87389595124</v>
      </c>
      <c r="AL3149">
        <v>77.613734622775496</v>
      </c>
      <c r="AM3149">
        <v>90.932775292576096</v>
      </c>
      <c r="AN3149">
        <v>1.0000000065210199</v>
      </c>
    </row>
    <row r="3150" spans="1:40" x14ac:dyDescent="0.25">
      <c r="A3150" t="str">
        <f>"20190303162842112"</f>
        <v>20190303162842112</v>
      </c>
      <c r="B3150" t="str">
        <f>"1551601722104449"</f>
        <v>1551601722104449</v>
      </c>
      <c r="C3150" t="s">
        <v>40</v>
      </c>
      <c r="D3150">
        <v>4.8727489999999998</v>
      </c>
      <c r="E3150">
        <v>0.486045</v>
      </c>
      <c r="F3150" t="s">
        <v>53</v>
      </c>
      <c r="G3150">
        <v>-157.25</v>
      </c>
      <c r="H3150">
        <v>7.7488899999999902E-2</v>
      </c>
      <c r="I3150">
        <v>225.29150000000001</v>
      </c>
      <c r="J3150">
        <v>-369.5016</v>
      </c>
      <c r="K3150">
        <v>1.121246</v>
      </c>
      <c r="L3150">
        <v>214.5934</v>
      </c>
      <c r="M3150">
        <v>0.99992000000000003</v>
      </c>
      <c r="N3150">
        <v>-1.214898E-2</v>
      </c>
      <c r="O3150">
        <v>-3.5186319999999998E-3</v>
      </c>
      <c r="P3150">
        <v>0.97932030000000003</v>
      </c>
      <c r="Q3150">
        <v>0.20197119999999999</v>
      </c>
      <c r="R3150">
        <v>1.180704E-2</v>
      </c>
      <c r="S3150">
        <v>3.0649410000000001</v>
      </c>
      <c r="T3150">
        <v>-1.504612E-2</v>
      </c>
      <c r="U3150">
        <v>0.15420529999999999</v>
      </c>
      <c r="V3150">
        <v>-1.524504E-2</v>
      </c>
      <c r="W3150">
        <v>0.21385380000000001</v>
      </c>
      <c r="X3150">
        <v>0.97674669999999997</v>
      </c>
      <c r="Y3150">
        <v>-5.3760889999999999E-2</v>
      </c>
      <c r="Z3150">
        <v>4.3321069999999998E-4</v>
      </c>
      <c r="AA3150">
        <v>0.99855380000000005</v>
      </c>
      <c r="AB3150">
        <v>34</v>
      </c>
      <c r="AC3150">
        <v>212.2516</v>
      </c>
      <c r="AD3150">
        <v>-1.0437571000000001</v>
      </c>
      <c r="AE3150">
        <v>10.6981</v>
      </c>
      <c r="AF3150">
        <v>-11.4446481076195</v>
      </c>
      <c r="AG3150">
        <v>-1.0437571000000001</v>
      </c>
      <c r="AH3150">
        <v>212.20752177273701</v>
      </c>
      <c r="AI3150">
        <v>90.281401969579406</v>
      </c>
      <c r="AJ3150">
        <v>93.087050756407294</v>
      </c>
      <c r="AK3150">
        <v>212.518473776088</v>
      </c>
      <c r="AL3150">
        <v>77.651708879621097</v>
      </c>
      <c r="AM3150">
        <v>90.894198600293606</v>
      </c>
      <c r="AN3150">
        <v>0.99999998748996499</v>
      </c>
    </row>
    <row r="3151" spans="1:40" x14ac:dyDescent="0.25">
      <c r="A3151" t="str">
        <f>"20190303162842134"</f>
        <v>20190303162842134</v>
      </c>
      <c r="B3151" t="str">
        <f>"1551601722124944"</f>
        <v>1551601722124944</v>
      </c>
      <c r="C3151" t="s">
        <v>40</v>
      </c>
      <c r="D3151">
        <v>4.7992330000000001</v>
      </c>
      <c r="E3151">
        <v>0.48591859999999998</v>
      </c>
      <c r="F3151" t="s">
        <v>47</v>
      </c>
      <c r="G3151">
        <v>-179.9562</v>
      </c>
      <c r="H3151">
        <v>5.161346E-2</v>
      </c>
      <c r="I3151">
        <v>224.0599</v>
      </c>
      <c r="J3151">
        <v>-369.14949999999999</v>
      </c>
      <c r="K3151">
        <v>1.1212439999999999</v>
      </c>
      <c r="L3151">
        <v>214.59219999999999</v>
      </c>
      <c r="M3151">
        <v>0.99992000000000003</v>
      </c>
      <c r="N3151">
        <v>-1.2148870000000001E-2</v>
      </c>
      <c r="O3151">
        <v>-3.5186309999999999E-3</v>
      </c>
      <c r="P3151">
        <v>0.97943599999999997</v>
      </c>
      <c r="Q3151">
        <v>0.20143710000000001</v>
      </c>
      <c r="R3151">
        <v>1.132349E-2</v>
      </c>
      <c r="S3151">
        <v>3.0650330000000001</v>
      </c>
      <c r="T3151">
        <v>-1.7296430000000002E-2</v>
      </c>
      <c r="U3151">
        <v>0.1530762</v>
      </c>
      <c r="V3151">
        <v>-1.4761949999999999E-2</v>
      </c>
      <c r="W3151">
        <v>0.21332129999999999</v>
      </c>
      <c r="X3151">
        <v>0.97687049999999997</v>
      </c>
      <c r="Y3151">
        <v>-5.339203E-2</v>
      </c>
      <c r="Z3151">
        <v>4.5222520000000002E-4</v>
      </c>
      <c r="AA3151">
        <v>0.9985735</v>
      </c>
      <c r="AB3151">
        <v>34</v>
      </c>
      <c r="AC3151">
        <v>189.19329999999999</v>
      </c>
      <c r="AD3151">
        <v>-1.0696305399999999</v>
      </c>
      <c r="AE3151">
        <v>9.4677000000000007</v>
      </c>
      <c r="AF3151">
        <v>-10.1330688507534</v>
      </c>
      <c r="AG3151">
        <v>-1.0696305399999999</v>
      </c>
      <c r="AH3151">
        <v>189.15278193643499</v>
      </c>
      <c r="AI3151">
        <v>90.323531666088698</v>
      </c>
      <c r="AJ3151">
        <v>93.066450495876893</v>
      </c>
      <c r="AK3151">
        <v>189.427025812366</v>
      </c>
      <c r="AL3151">
        <v>77.682938882754399</v>
      </c>
      <c r="AM3151">
        <v>90.865757600495996</v>
      </c>
      <c r="AN3151">
        <v>0.99999993298586898</v>
      </c>
    </row>
    <row r="3152" spans="1:40" x14ac:dyDescent="0.25">
      <c r="A3152" t="str">
        <f>"20190303162842155"</f>
        <v>20190303162842155</v>
      </c>
      <c r="B3152" t="str">
        <f>"1551601722145011"</f>
        <v>1551601722145011</v>
      </c>
      <c r="C3152" t="s">
        <v>40</v>
      </c>
      <c r="D3152">
        <v>4.9602659999999998</v>
      </c>
      <c r="E3152">
        <v>0.48577179999999998</v>
      </c>
      <c r="F3152" t="s">
        <v>47</v>
      </c>
      <c r="G3152">
        <v>-203.23599999999999</v>
      </c>
      <c r="H3152">
        <v>7.999995E-2</v>
      </c>
      <c r="I3152">
        <v>222.83920000000001</v>
      </c>
      <c r="J3152">
        <v>-368.82170000000002</v>
      </c>
      <c r="K3152">
        <v>1.121246</v>
      </c>
      <c r="L3152">
        <v>214.59110000000001</v>
      </c>
      <c r="M3152">
        <v>0.99992000000000003</v>
      </c>
      <c r="N3152">
        <v>-1.214878E-2</v>
      </c>
      <c r="O3152">
        <v>-3.5186309999999999E-3</v>
      </c>
      <c r="P3152">
        <v>0.97955590000000003</v>
      </c>
      <c r="Q3152">
        <v>0.2008645</v>
      </c>
      <c r="R3152">
        <v>1.1123869999999999E-2</v>
      </c>
      <c r="S3152">
        <v>3.0651860000000002</v>
      </c>
      <c r="T3152">
        <v>-1.923656E-2</v>
      </c>
      <c r="U3152">
        <v>0.15235899999999999</v>
      </c>
      <c r="V3152">
        <v>-1.456258E-2</v>
      </c>
      <c r="W3152">
        <v>0.2127502</v>
      </c>
      <c r="X3152">
        <v>0.97699809999999998</v>
      </c>
      <c r="Y3152">
        <v>-5.3156120000000001E-2</v>
      </c>
      <c r="Z3152">
        <v>4.6915329999999998E-4</v>
      </c>
      <c r="AA3152">
        <v>0.99858610000000003</v>
      </c>
      <c r="AB3152">
        <v>34</v>
      </c>
      <c r="AC3152">
        <v>165.5857</v>
      </c>
      <c r="AD3152">
        <v>-1.04124605</v>
      </c>
      <c r="AE3152">
        <v>8.2480999999999902</v>
      </c>
      <c r="AF3152">
        <v>-8.8303786089793093</v>
      </c>
      <c r="AG3152">
        <v>-1.04124605</v>
      </c>
      <c r="AH3152">
        <v>165.54912066615699</v>
      </c>
      <c r="AI3152">
        <v>90.359854113653299</v>
      </c>
      <c r="AJ3152">
        <v>93.053259438664597</v>
      </c>
      <c r="AK3152">
        <v>165.78772913895801</v>
      </c>
      <c r="AL3152">
        <v>77.716430157015793</v>
      </c>
      <c r="AM3152">
        <v>90.853955181215298</v>
      </c>
      <c r="AN3152">
        <v>1.00000000186995</v>
      </c>
    </row>
    <row r="3153" spans="1:40" x14ac:dyDescent="0.25">
      <c r="A3153" t="str">
        <f>"20190303162842178"</f>
        <v>20190303162842178</v>
      </c>
      <c r="B3153" t="str">
        <f>"1551601722174291"</f>
        <v>1551601722174291</v>
      </c>
      <c r="C3153" t="s">
        <v>40</v>
      </c>
      <c r="D3153">
        <v>4.7812970000000004</v>
      </c>
      <c r="E3153">
        <v>0.4857187</v>
      </c>
      <c r="F3153" t="s">
        <v>48</v>
      </c>
      <c r="G3153">
        <v>-216.37309999999999</v>
      </c>
      <c r="H3153">
        <v>8.0000089999999996E-2</v>
      </c>
      <c r="I3153">
        <v>222.1824</v>
      </c>
      <c r="J3153">
        <v>-368.49</v>
      </c>
      <c r="K3153">
        <v>1.1212409999999999</v>
      </c>
      <c r="L3153">
        <v>214.5899</v>
      </c>
      <c r="M3153">
        <v>0.99992000000000003</v>
      </c>
      <c r="N3153">
        <v>-1.2148849999999999E-2</v>
      </c>
      <c r="O3153">
        <v>-3.5185120000000001E-3</v>
      </c>
      <c r="P3153">
        <v>0.97967959999999998</v>
      </c>
      <c r="Q3153">
        <v>0.20022209999999999</v>
      </c>
      <c r="R3153">
        <v>1.180352E-2</v>
      </c>
      <c r="S3153">
        <v>3.0651860000000002</v>
      </c>
      <c r="T3153">
        <v>-2.093565E-2</v>
      </c>
      <c r="U3153">
        <v>0.15263370000000001</v>
      </c>
      <c r="V3153">
        <v>-1.524258E-2</v>
      </c>
      <c r="W3153">
        <v>0.21210950000000001</v>
      </c>
      <c r="X3153">
        <v>0.97712699999999997</v>
      </c>
      <c r="Y3153">
        <v>-5.3244890000000003E-2</v>
      </c>
      <c r="Z3153">
        <v>4.8667190000000003E-4</v>
      </c>
      <c r="AA3153">
        <v>0.99858130000000001</v>
      </c>
      <c r="AB3153">
        <v>34</v>
      </c>
      <c r="AC3153">
        <v>152.11689999999999</v>
      </c>
      <c r="AD3153">
        <v>-1.04124091</v>
      </c>
      <c r="AE3153">
        <v>7.5925000000000002</v>
      </c>
      <c r="AF3153">
        <v>-8.1273377886012295</v>
      </c>
      <c r="AG3153">
        <v>-1.04124091</v>
      </c>
      <c r="AH3153">
        <v>152.08213402326899</v>
      </c>
      <c r="AI3153">
        <v>90.391714482001206</v>
      </c>
      <c r="AJ3153">
        <v>93.059002446146806</v>
      </c>
      <c r="AK3153">
        <v>152.302702836273</v>
      </c>
      <c r="AL3153">
        <v>77.753996644842005</v>
      </c>
      <c r="AM3153">
        <v>90.893706420806893</v>
      </c>
      <c r="AN3153">
        <v>0.999999975182152</v>
      </c>
    </row>
    <row r="3154" spans="1:40" x14ac:dyDescent="0.25">
      <c r="A3154" t="str">
        <f>"20190303162842203"</f>
        <v>20190303162842203</v>
      </c>
      <c r="B3154" t="str">
        <f>"1551601722194788"</f>
        <v>1551601722194788</v>
      </c>
      <c r="C3154" t="s">
        <v>40</v>
      </c>
      <c r="D3154">
        <v>4.7453409999999998</v>
      </c>
      <c r="E3154">
        <v>0.48572609999999999</v>
      </c>
      <c r="F3154" t="s">
        <v>48</v>
      </c>
      <c r="G3154">
        <v>-227.0985</v>
      </c>
      <c r="H3154">
        <v>8.000032E-2</v>
      </c>
      <c r="I3154">
        <v>221.7466</v>
      </c>
      <c r="J3154">
        <v>-368.10079999999999</v>
      </c>
      <c r="K3154">
        <v>1.121243</v>
      </c>
      <c r="L3154">
        <v>214.58850000000001</v>
      </c>
      <c r="M3154">
        <v>0.99992009999999998</v>
      </c>
      <c r="N3154">
        <v>-1.214898E-2</v>
      </c>
      <c r="O3154">
        <v>-3.5186309999999999E-3</v>
      </c>
      <c r="P3154">
        <v>0.97971529999999996</v>
      </c>
      <c r="Q3154">
        <v>0.19999919999999999</v>
      </c>
      <c r="R3154">
        <v>1.258274E-2</v>
      </c>
      <c r="S3154">
        <v>3.0649410000000001</v>
      </c>
      <c r="T3154">
        <v>-2.2570969999999999E-2</v>
      </c>
      <c r="U3154">
        <v>0.1551361</v>
      </c>
      <c r="V3154">
        <v>-1.6021939999999998E-2</v>
      </c>
      <c r="W3154">
        <v>0.2118872</v>
      </c>
      <c r="X3154">
        <v>0.9771628</v>
      </c>
      <c r="Y3154">
        <v>-5.4061789999999998E-2</v>
      </c>
      <c r="Z3154">
        <v>5.1073779999999999E-4</v>
      </c>
      <c r="AA3154">
        <v>0.99853749999999997</v>
      </c>
      <c r="AB3154">
        <v>34</v>
      </c>
      <c r="AC3154">
        <v>141.00229999999999</v>
      </c>
      <c r="AD3154">
        <v>-1.0412426800000001</v>
      </c>
      <c r="AE3154">
        <v>7.1580999999999904</v>
      </c>
      <c r="AF3154">
        <v>-7.6538110133604702</v>
      </c>
      <c r="AG3154">
        <v>-1.0412426800000001</v>
      </c>
      <c r="AH3154">
        <v>140.968570901936</v>
      </c>
      <c r="AI3154">
        <v>90.422576399134698</v>
      </c>
      <c r="AJ3154">
        <v>93.107791422121593</v>
      </c>
      <c r="AK3154">
        <v>141.18003751055301</v>
      </c>
      <c r="AL3154">
        <v>77.767030207381197</v>
      </c>
      <c r="AM3154">
        <v>90.9393596341462</v>
      </c>
      <c r="AN3154">
        <v>1.0000000128945199</v>
      </c>
    </row>
    <row r="3155" spans="1:40" x14ac:dyDescent="0.25">
      <c r="A3155" t="str">
        <f>"20190303162842225"</f>
        <v>20190303162842225</v>
      </c>
      <c r="B3155" t="str">
        <f>"1551601722214307"</f>
        <v>1551601722214307</v>
      </c>
      <c r="C3155" t="s">
        <v>40</v>
      </c>
      <c r="D3155">
        <v>4.7199549999999997</v>
      </c>
      <c r="E3155">
        <v>0.48561910000000003</v>
      </c>
      <c r="F3155" t="s">
        <v>48</v>
      </c>
      <c r="G3155">
        <v>-226.8091</v>
      </c>
      <c r="H3155">
        <v>8.000024E-2</v>
      </c>
      <c r="I3155">
        <v>221.8287</v>
      </c>
      <c r="J3155">
        <v>-367.76519999999999</v>
      </c>
      <c r="K3155">
        <v>1.1212439999999999</v>
      </c>
      <c r="L3155">
        <v>214.5874</v>
      </c>
      <c r="M3155">
        <v>0.99992009999999998</v>
      </c>
      <c r="N3155">
        <v>-1.214902E-2</v>
      </c>
      <c r="O3155">
        <v>-3.5186319999999998E-3</v>
      </c>
      <c r="P3155">
        <v>0.97968279999999996</v>
      </c>
      <c r="Q3155">
        <v>0.20008300000000001</v>
      </c>
      <c r="R3155">
        <v>1.373216E-2</v>
      </c>
      <c r="S3155">
        <v>3.0646969999999998</v>
      </c>
      <c r="T3155">
        <v>-2.2585149999999998E-2</v>
      </c>
      <c r="U3155">
        <v>0.1570435</v>
      </c>
      <c r="V3155">
        <v>-1.7171570000000001E-2</v>
      </c>
      <c r="W3155">
        <v>0.21197060000000001</v>
      </c>
      <c r="X3155">
        <v>0.97712520000000003</v>
      </c>
      <c r="Y3155">
        <v>-5.4685589999999999E-2</v>
      </c>
      <c r="Z3155">
        <v>5.1698939999999995E-4</v>
      </c>
      <c r="AA3155">
        <v>0.99850349999999999</v>
      </c>
      <c r="AB3155">
        <v>34</v>
      </c>
      <c r="AC3155">
        <v>140.95609999999999</v>
      </c>
      <c r="AD3155">
        <v>-1.04124376</v>
      </c>
      <c r="AE3155">
        <v>7.2412999999999901</v>
      </c>
      <c r="AF3155">
        <v>-7.73684329942588</v>
      </c>
      <c r="AG3155">
        <v>-1.04124376</v>
      </c>
      <c r="AH3155">
        <v>140.92207637034801</v>
      </c>
      <c r="AI3155">
        <v>90.422702283841502</v>
      </c>
      <c r="AJ3155">
        <v>93.142473477996703</v>
      </c>
      <c r="AK3155">
        <v>141.13813992446401</v>
      </c>
      <c r="AL3155">
        <v>77.762140852857499</v>
      </c>
      <c r="AM3155">
        <v>91.006787283432004</v>
      </c>
      <c r="AN3155">
        <v>1.00000002727783</v>
      </c>
    </row>
    <row r="3156" spans="1:40" x14ac:dyDescent="0.25">
      <c r="A3156" t="str">
        <f>"20190303162842256"</f>
        <v>20190303162842256</v>
      </c>
      <c r="B3156" t="str">
        <f>"1551601722244524"</f>
        <v>1551601722244524</v>
      </c>
      <c r="C3156" t="s">
        <v>40</v>
      </c>
      <c r="D3156">
        <v>4.8141309999999997</v>
      </c>
      <c r="E3156">
        <v>0.48562929999999999</v>
      </c>
      <c r="F3156" t="s">
        <v>48</v>
      </c>
      <c r="G3156">
        <v>-217.95480000000001</v>
      </c>
      <c r="H3156">
        <v>8.0000539999999995E-2</v>
      </c>
      <c r="I3156">
        <v>222.46799999999999</v>
      </c>
      <c r="J3156">
        <v>-367.28750000000002</v>
      </c>
      <c r="K3156">
        <v>1.1212420000000001</v>
      </c>
      <c r="L3156">
        <v>214.5857</v>
      </c>
      <c r="M3156">
        <v>0.99992009999999998</v>
      </c>
      <c r="N3156">
        <v>-1.214907E-2</v>
      </c>
      <c r="O3156">
        <v>-3.518513E-3</v>
      </c>
      <c r="P3156">
        <v>0.97964859999999998</v>
      </c>
      <c r="Q3156">
        <v>0.20016139999999999</v>
      </c>
      <c r="R3156">
        <v>1.498006E-2</v>
      </c>
      <c r="S3156">
        <v>3.06427</v>
      </c>
      <c r="T3156">
        <v>-2.129793E-2</v>
      </c>
      <c r="U3156">
        <v>0.1611938</v>
      </c>
      <c r="V3156">
        <v>-1.8419000000000001E-2</v>
      </c>
      <c r="W3156">
        <v>0.2120484</v>
      </c>
      <c r="X3156">
        <v>0.9770856</v>
      </c>
      <c r="Y3156">
        <v>-5.6041510000000003E-2</v>
      </c>
      <c r="Z3156">
        <v>5.170242E-4</v>
      </c>
      <c r="AA3156">
        <v>0.99842830000000005</v>
      </c>
      <c r="AB3156">
        <v>34</v>
      </c>
      <c r="AC3156">
        <v>149.33269999999999</v>
      </c>
      <c r="AD3156">
        <v>-1.04124146</v>
      </c>
      <c r="AE3156">
        <v>7.8822999999999803</v>
      </c>
      <c r="AF3156">
        <v>-8.4073113725035409</v>
      </c>
      <c r="AG3156">
        <v>-1.04124146</v>
      </c>
      <c r="AH3156">
        <v>149.29680119879001</v>
      </c>
      <c r="AI3156">
        <v>90.398959721170002</v>
      </c>
      <c r="AJ3156">
        <v>93.223078062906197</v>
      </c>
      <c r="AK3156">
        <v>149.536958363086</v>
      </c>
      <c r="AL3156">
        <v>77.757579543811104</v>
      </c>
      <c r="AM3156">
        <v>91.079952444810104</v>
      </c>
      <c r="AN3156">
        <v>1.0000000266154501</v>
      </c>
    </row>
    <row r="3157" spans="1:40" x14ac:dyDescent="0.25">
      <c r="A3157" t="str">
        <f>"20190303162842278"</f>
        <v>20190303162842278</v>
      </c>
      <c r="B3157" t="str">
        <f>"1551601722274780"</f>
        <v>1551601722274780</v>
      </c>
      <c r="C3157" t="s">
        <v>40</v>
      </c>
      <c r="D3157">
        <v>4.7331890000000003</v>
      </c>
      <c r="E3157">
        <v>0.51485939999999997</v>
      </c>
      <c r="F3157" t="s">
        <v>48</v>
      </c>
      <c r="G3157">
        <v>-212.9239</v>
      </c>
      <c r="H3157">
        <v>8.0000509999999997E-2</v>
      </c>
      <c r="I3157">
        <v>222.88329999999999</v>
      </c>
      <c r="J3157">
        <v>-366.94470000000001</v>
      </c>
      <c r="K3157">
        <v>1.121238</v>
      </c>
      <c r="L3157">
        <v>214.58449999999999</v>
      </c>
      <c r="M3157">
        <v>0.99992000000000003</v>
      </c>
      <c r="N3157">
        <v>-1.2149129999999999E-2</v>
      </c>
      <c r="O3157">
        <v>-3.518275E-3</v>
      </c>
      <c r="P3157">
        <v>0.97967439999999995</v>
      </c>
      <c r="Q3157">
        <v>0.19998879999999999</v>
      </c>
      <c r="R3157">
        <v>1.557739E-2</v>
      </c>
      <c r="S3157">
        <v>3.0640260000000001</v>
      </c>
      <c r="T3157">
        <v>-2.066803E-2</v>
      </c>
      <c r="U3157">
        <v>0.1647034</v>
      </c>
      <c r="V3157">
        <v>-1.9016080000000001E-2</v>
      </c>
      <c r="W3157">
        <v>0.2118765</v>
      </c>
      <c r="X3157">
        <v>0.97711150000000002</v>
      </c>
      <c r="Y3157">
        <v>-5.7185850000000003E-2</v>
      </c>
      <c r="Z3157">
        <v>5.2138379999999999E-4</v>
      </c>
      <c r="AA3157">
        <v>0.99836340000000001</v>
      </c>
      <c r="AB3157">
        <v>34</v>
      </c>
      <c r="AC3157">
        <v>154.02080000000001</v>
      </c>
      <c r="AD3157">
        <v>-1.0412374900000001</v>
      </c>
      <c r="AE3157">
        <v>8.2988</v>
      </c>
      <c r="AF3157">
        <v>-8.8402733060513796</v>
      </c>
      <c r="AG3157">
        <v>-1.0412374900000001</v>
      </c>
      <c r="AH3157">
        <v>153.98362990637199</v>
      </c>
      <c r="AI3157">
        <v>90.386791343670794</v>
      </c>
      <c r="AJ3157">
        <v>93.285771147605502</v>
      </c>
      <c r="AK3157">
        <v>154.24069789384001</v>
      </c>
      <c r="AL3157">
        <v>77.767658261556804</v>
      </c>
      <c r="AM3157">
        <v>91.114922507020097</v>
      </c>
      <c r="AN3157">
        <v>1.0000000729915299</v>
      </c>
    </row>
    <row r="3158" spans="1:40" x14ac:dyDescent="0.25">
      <c r="A3158" t="str">
        <f>"20190303162842302"</f>
        <v>20190303162842302</v>
      </c>
      <c r="B3158" t="str">
        <f>"1551601722294300"</f>
        <v>1551601722294300</v>
      </c>
      <c r="C3158" t="s">
        <v>40</v>
      </c>
      <c r="D3158">
        <v>4.7091949999999896</v>
      </c>
      <c r="E3158">
        <v>0.51564409999999905</v>
      </c>
      <c r="F3158" t="s">
        <v>54</v>
      </c>
      <c r="G3158">
        <v>-168.71729999999999</v>
      </c>
      <c r="H3158">
        <v>1.217724</v>
      </c>
      <c r="I3158">
        <v>210.23650000000001</v>
      </c>
      <c r="J3158">
        <v>-366.58199999999999</v>
      </c>
      <c r="K3158">
        <v>1.1212420000000001</v>
      </c>
      <c r="L3158">
        <v>214.58320000000001</v>
      </c>
      <c r="M3158">
        <v>0.99992000000000003</v>
      </c>
      <c r="N3158">
        <v>-1.214925E-2</v>
      </c>
      <c r="O3158">
        <v>-3.5181570000000001E-3</v>
      </c>
      <c r="P3158">
        <v>0.97961880000000001</v>
      </c>
      <c r="Q3158">
        <v>0.2002408</v>
      </c>
      <c r="R3158">
        <v>1.5830520000000001E-2</v>
      </c>
      <c r="S3158">
        <v>3.0630190000000002</v>
      </c>
      <c r="T3158">
        <v>1.491427E-3</v>
      </c>
      <c r="U3158">
        <v>-6.7184450000000007E-2</v>
      </c>
      <c r="V3158">
        <v>-1.9268939999999998E-2</v>
      </c>
      <c r="W3158">
        <v>0.2121276</v>
      </c>
      <c r="X3158">
        <v>0.97705200000000003</v>
      </c>
      <c r="Y3158">
        <v>1.8411420000000001E-2</v>
      </c>
      <c r="Z3158">
        <v>-1.518306E-4</v>
      </c>
      <c r="AA3158">
        <v>0.99983049999999996</v>
      </c>
      <c r="AB3158">
        <v>34</v>
      </c>
      <c r="AC3158">
        <v>197.8647</v>
      </c>
      <c r="AD3158">
        <v>9.6481999999999901E-2</v>
      </c>
      <c r="AE3158">
        <v>-4.3466999999999896</v>
      </c>
      <c r="AF3158">
        <v>3.6505017636381201</v>
      </c>
      <c r="AG3158">
        <v>9.6481999999999901E-2</v>
      </c>
      <c r="AH3158">
        <v>197.87872176236499</v>
      </c>
      <c r="AI3158">
        <v>89.972068393896095</v>
      </c>
      <c r="AJ3158">
        <v>88.943117182295893</v>
      </c>
      <c r="AK3158">
        <v>197.91241496735401</v>
      </c>
      <c r="AL3158">
        <v>77.752935884373301</v>
      </c>
      <c r="AM3158">
        <v>91.129812781894302</v>
      </c>
      <c r="AN3158">
        <v>1.00000001071724</v>
      </c>
    </row>
    <row r="3159" spans="1:40" x14ac:dyDescent="0.25">
      <c r="A3159" t="str">
        <f>"20190303162842325"</f>
        <v>20190303162842325</v>
      </c>
      <c r="B3159" t="str">
        <f>"1551601722314795"</f>
        <v>1551601722314795</v>
      </c>
      <c r="C3159" t="s">
        <v>40</v>
      </c>
      <c r="D3159">
        <v>4.729654</v>
      </c>
      <c r="E3159">
        <v>0.51570879999999997</v>
      </c>
      <c r="F3159" t="s">
        <v>54</v>
      </c>
      <c r="G3159">
        <v>-169.39250000000001</v>
      </c>
      <c r="H3159">
        <v>1.4428829999999999</v>
      </c>
      <c r="I3159">
        <v>209.89089999999999</v>
      </c>
      <c r="J3159">
        <v>-366.2353</v>
      </c>
      <c r="K3159">
        <v>1.121248</v>
      </c>
      <c r="L3159">
        <v>214.58199999999999</v>
      </c>
      <c r="M3159">
        <v>0.99992000000000003</v>
      </c>
      <c r="N3159">
        <v>-1.214936E-2</v>
      </c>
      <c r="O3159">
        <v>-3.5181570000000001E-3</v>
      </c>
      <c r="P3159">
        <v>0.9796551</v>
      </c>
      <c r="Q3159">
        <v>0.20003889999999999</v>
      </c>
      <c r="R3159">
        <v>1.613171E-2</v>
      </c>
      <c r="S3159">
        <v>3.0625610000000001</v>
      </c>
      <c r="T3159">
        <v>4.9959419999999997E-3</v>
      </c>
      <c r="U3159">
        <v>-7.2875980000000007E-2</v>
      </c>
      <c r="V3159">
        <v>-1.957031E-2</v>
      </c>
      <c r="W3159">
        <v>0.21192630000000001</v>
      </c>
      <c r="X3159">
        <v>0.97708969999999995</v>
      </c>
      <c r="Y3159">
        <v>2.027197E-2</v>
      </c>
      <c r="Z3159">
        <v>-1.5511219999999999E-4</v>
      </c>
      <c r="AA3159">
        <v>0.99979450000000003</v>
      </c>
      <c r="AB3159">
        <v>34</v>
      </c>
      <c r="AC3159">
        <v>196.84280000000001</v>
      </c>
      <c r="AD3159">
        <v>0.32163499999999901</v>
      </c>
      <c r="AE3159">
        <v>-4.6910999999999996</v>
      </c>
      <c r="AF3159">
        <v>3.9984853001924998</v>
      </c>
      <c r="AG3159">
        <v>0.32163499999999901</v>
      </c>
      <c r="AH3159">
        <v>196.857561574443</v>
      </c>
      <c r="AI3159">
        <v>89.906406889876607</v>
      </c>
      <c r="AJ3159">
        <v>88.836393010226999</v>
      </c>
      <c r="AK3159">
        <v>196.89842783223199</v>
      </c>
      <c r="AL3159">
        <v>77.7647379439031</v>
      </c>
      <c r="AM3159">
        <v>91.147434324649595</v>
      </c>
      <c r="AN3159">
        <v>1.0000000177556301</v>
      </c>
    </row>
    <row r="3160" spans="1:40" x14ac:dyDescent="0.25">
      <c r="A3160" t="str">
        <f>"20190303162842346"</f>
        <v>20190303162842346</v>
      </c>
      <c r="B3160" t="str">
        <f>"1551601722334315"</f>
        <v>1551601722334315</v>
      </c>
      <c r="C3160" t="s">
        <v>40</v>
      </c>
      <c r="D3160">
        <v>4.7172960000000002</v>
      </c>
      <c r="E3160">
        <v>0.51577079999999997</v>
      </c>
      <c r="F3160" t="s">
        <v>54</v>
      </c>
      <c r="G3160">
        <v>-169.39250000000001</v>
      </c>
      <c r="H3160">
        <v>1.481743</v>
      </c>
      <c r="I3160">
        <v>209.92410000000001</v>
      </c>
      <c r="J3160">
        <v>-365.9117</v>
      </c>
      <c r="K3160">
        <v>1.121246</v>
      </c>
      <c r="L3160">
        <v>214.58090000000001</v>
      </c>
      <c r="M3160">
        <v>0.99992009999999998</v>
      </c>
      <c r="N3160">
        <v>-1.2149510000000001E-2</v>
      </c>
      <c r="O3160">
        <v>-3.518158E-3</v>
      </c>
      <c r="P3160">
        <v>0.97952099999999998</v>
      </c>
      <c r="Q3160">
        <v>0.20070979999999999</v>
      </c>
      <c r="R3160">
        <v>1.5946800000000001E-2</v>
      </c>
      <c r="S3160">
        <v>3.0623170000000002</v>
      </c>
      <c r="T3160">
        <v>5.6087969999999996E-3</v>
      </c>
      <c r="U3160">
        <v>-7.2463990000000006E-2</v>
      </c>
      <c r="V3160">
        <v>-1.9384789999999999E-2</v>
      </c>
      <c r="W3160">
        <v>0.21259549999999999</v>
      </c>
      <c r="X3160">
        <v>0.97694800000000004</v>
      </c>
      <c r="Y3160">
        <v>2.0139460000000001E-2</v>
      </c>
      <c r="Z3160">
        <v>-1.5310500000000001E-4</v>
      </c>
      <c r="AA3160">
        <v>0.99979720000000005</v>
      </c>
      <c r="AB3160">
        <v>34</v>
      </c>
      <c r="AC3160">
        <v>196.51920000000001</v>
      </c>
      <c r="AD3160">
        <v>0.36049700000000001</v>
      </c>
      <c r="AE3160">
        <v>-4.6567999999999996</v>
      </c>
      <c r="AF3160">
        <v>3.96532127798835</v>
      </c>
      <c r="AG3160">
        <v>0.36049700000000001</v>
      </c>
      <c r="AH3160">
        <v>196.53370720357199</v>
      </c>
      <c r="AI3160">
        <v>89.894925247605997</v>
      </c>
      <c r="AJ3160">
        <v>88.844140502969594</v>
      </c>
      <c r="AK3160">
        <v>196.57403642929</v>
      </c>
      <c r="AL3160">
        <v>77.725501378956906</v>
      </c>
      <c r="AM3160">
        <v>91.136724704919303</v>
      </c>
      <c r="AN3160">
        <v>1.0000000057037901</v>
      </c>
    </row>
    <row r="3161" spans="1:40" x14ac:dyDescent="0.25">
      <c r="A3161" t="str">
        <f>"20190303162842367"</f>
        <v>20190303162842367</v>
      </c>
      <c r="B3161" t="str">
        <f>"1551601722354812"</f>
        <v>1551601722354812</v>
      </c>
      <c r="C3161" t="s">
        <v>40</v>
      </c>
      <c r="D3161">
        <v>4.7469400000000004</v>
      </c>
      <c r="E3161">
        <v>0.52098290000000003</v>
      </c>
      <c r="F3161" t="s">
        <v>54</v>
      </c>
      <c r="G3161">
        <v>-169.39259999999999</v>
      </c>
      <c r="H3161">
        <v>1.6889529999999999</v>
      </c>
      <c r="I3161">
        <v>209.84800000000001</v>
      </c>
      <c r="J3161">
        <v>-365.57839999999999</v>
      </c>
      <c r="K3161">
        <v>1.121245</v>
      </c>
      <c r="L3161">
        <v>214.5797</v>
      </c>
      <c r="M3161">
        <v>0.99992000000000003</v>
      </c>
      <c r="N3161">
        <v>-1.214966E-2</v>
      </c>
      <c r="O3161">
        <v>-3.5179209999999998E-3</v>
      </c>
      <c r="P3161">
        <v>0.97956949999999998</v>
      </c>
      <c r="Q3161">
        <v>0.2005036</v>
      </c>
      <c r="R3161">
        <v>1.555788E-2</v>
      </c>
      <c r="S3161">
        <v>3.062103</v>
      </c>
      <c r="T3161">
        <v>8.8464019999999997E-3</v>
      </c>
      <c r="U3161">
        <v>-7.3745729999999995E-2</v>
      </c>
      <c r="V3161">
        <v>-1.8995749999999999E-2</v>
      </c>
      <c r="W3161">
        <v>0.21239</v>
      </c>
      <c r="X3161">
        <v>0.97700039999999999</v>
      </c>
      <c r="Y3161">
        <v>2.055974E-2</v>
      </c>
      <c r="Z3161">
        <v>-1.4812340000000001E-4</v>
      </c>
      <c r="AA3161">
        <v>0.99978860000000003</v>
      </c>
      <c r="AB3161">
        <v>34</v>
      </c>
      <c r="AC3161">
        <v>196.1858</v>
      </c>
      <c r="AD3161">
        <v>0.56770799999999899</v>
      </c>
      <c r="AE3161">
        <v>-4.7317000000000098</v>
      </c>
      <c r="AF3161">
        <v>4.0414198028308297</v>
      </c>
      <c r="AG3161">
        <v>0.56770799999999899</v>
      </c>
      <c r="AH3161">
        <v>196.19959086565899</v>
      </c>
      <c r="AI3161">
        <v>89.834248975303396</v>
      </c>
      <c r="AJ3161">
        <v>88.819959024507497</v>
      </c>
      <c r="AK3161">
        <v>196.24203123247599</v>
      </c>
      <c r="AL3161">
        <v>77.737551591667398</v>
      </c>
      <c r="AM3161">
        <v>91.113857465553494</v>
      </c>
      <c r="AN3161">
        <v>1.0000000661091</v>
      </c>
    </row>
    <row r="3162" spans="1:40" x14ac:dyDescent="0.25">
      <c r="A3162" t="str">
        <f>"20190303162842391"</f>
        <v>20190303162842391</v>
      </c>
      <c r="B3162" t="str">
        <f>"1551601722385068"</f>
        <v>1551601722385068</v>
      </c>
      <c r="C3162" t="s">
        <v>40</v>
      </c>
      <c r="D3162">
        <v>4.7419840000000004</v>
      </c>
      <c r="E3162">
        <v>0.52148369999999999</v>
      </c>
      <c r="F3162" t="s">
        <v>49</v>
      </c>
      <c r="G3162">
        <v>-308.82709999999997</v>
      </c>
      <c r="H3162" s="1">
        <v>1.0874740000000001E-6</v>
      </c>
      <c r="I3162">
        <v>212.44069999999999</v>
      </c>
      <c r="J3162">
        <v>-365.19600000000003</v>
      </c>
      <c r="K3162">
        <v>1.1212470000000001</v>
      </c>
      <c r="L3162">
        <v>214.57830000000001</v>
      </c>
      <c r="M3162">
        <v>0.99992000000000003</v>
      </c>
      <c r="N3162">
        <v>-1.214984E-2</v>
      </c>
      <c r="O3162">
        <v>-3.517802E-3</v>
      </c>
      <c r="P3162">
        <v>0.97969260000000002</v>
      </c>
      <c r="Q3162">
        <v>0.1999203</v>
      </c>
      <c r="R3162">
        <v>1.5319330000000001E-2</v>
      </c>
      <c r="S3162">
        <v>3.0768430000000002</v>
      </c>
      <c r="T3162">
        <v>-6.0789700000000002E-2</v>
      </c>
      <c r="U3162">
        <v>-0.11596679999999999</v>
      </c>
      <c r="V3162">
        <v>-1.8757780000000002E-2</v>
      </c>
      <c r="W3162">
        <v>0.21180889999999999</v>
      </c>
      <c r="X3162">
        <v>0.97713110000000003</v>
      </c>
      <c r="Y3162">
        <v>3.4137000000000001E-2</v>
      </c>
      <c r="Z3162">
        <v>-5.178235E-4</v>
      </c>
      <c r="AA3162">
        <v>0.999417</v>
      </c>
      <c r="AB3162">
        <v>34</v>
      </c>
      <c r="AC3162">
        <v>56.368899999999996</v>
      </c>
      <c r="AD3162">
        <v>-1.1212459125259999</v>
      </c>
      <c r="AE3162">
        <v>-2.1376000000000199</v>
      </c>
      <c r="AF3162">
        <v>1.93851161394472</v>
      </c>
      <c r="AG3162">
        <v>-1.1212459125259999</v>
      </c>
      <c r="AH3162">
        <v>56.353806421893999</v>
      </c>
      <c r="AI3162">
        <v>91.139163923812404</v>
      </c>
      <c r="AJ3162">
        <v>88.029862338141399</v>
      </c>
      <c r="AK3162">
        <v>56.398284707161601</v>
      </c>
      <c r="AL3162">
        <v>77.771620814712705</v>
      </c>
      <c r="AM3162">
        <v>91.099759936133196</v>
      </c>
      <c r="AN3162">
        <v>1.00000002550847</v>
      </c>
    </row>
    <row r="3163" spans="1:40" x14ac:dyDescent="0.25">
      <c r="A3163" t="str">
        <f>"20190303162842415"</f>
        <v>20190303162842415</v>
      </c>
      <c r="B3163" t="str">
        <f>"1551601722404587"</f>
        <v>1551601722404587</v>
      </c>
      <c r="C3163" t="s">
        <v>40</v>
      </c>
      <c r="D3163">
        <v>4.7538850000000004</v>
      </c>
      <c r="E3163">
        <v>0.52221809999999902</v>
      </c>
      <c r="F3163" t="s">
        <v>49</v>
      </c>
      <c r="G3163">
        <v>-319.29250000000002</v>
      </c>
      <c r="H3163" s="1">
        <v>5.0264830000000002E-6</v>
      </c>
      <c r="I3163">
        <v>212.7835</v>
      </c>
      <c r="J3163">
        <v>-364.84449999999998</v>
      </c>
      <c r="K3163">
        <v>1.121245</v>
      </c>
      <c r="L3163">
        <v>214.5771</v>
      </c>
      <c r="M3163">
        <v>0.99992009999999998</v>
      </c>
      <c r="N3163">
        <v>-1.2149999999999999E-2</v>
      </c>
      <c r="O3163">
        <v>-3.5178029999999999E-3</v>
      </c>
      <c r="P3163">
        <v>0.97982199999999997</v>
      </c>
      <c r="Q3163">
        <v>0.19933629999999999</v>
      </c>
      <c r="R3163">
        <v>1.463571E-2</v>
      </c>
      <c r="S3163">
        <v>3.0794069999999998</v>
      </c>
      <c r="T3163">
        <v>-7.5217839999999994E-2</v>
      </c>
      <c r="U3163">
        <v>-0.1204071</v>
      </c>
      <c r="V3163">
        <v>-1.8074719999999999E-2</v>
      </c>
      <c r="W3163">
        <v>0.21122679999999999</v>
      </c>
      <c r="X3163">
        <v>0.97726990000000002</v>
      </c>
      <c r="Y3163">
        <v>3.5539679999999997E-2</v>
      </c>
      <c r="Z3163">
        <v>-6.067046E-4</v>
      </c>
      <c r="AA3163">
        <v>0.99936809999999998</v>
      </c>
      <c r="AB3163">
        <v>34</v>
      </c>
      <c r="AC3163">
        <v>45.5519999999999</v>
      </c>
      <c r="AD3163">
        <v>-1.121239973517</v>
      </c>
      <c r="AE3163">
        <v>-1.7935999999999901</v>
      </c>
      <c r="AF3163">
        <v>1.63234666022033</v>
      </c>
      <c r="AG3163">
        <v>-1.121239973517</v>
      </c>
      <c r="AH3163">
        <v>45.530485071919898</v>
      </c>
      <c r="AI3163">
        <v>91.409783232782701</v>
      </c>
      <c r="AJ3163">
        <v>87.946726600714399</v>
      </c>
      <c r="AK3163">
        <v>45.573531853277203</v>
      </c>
      <c r="AL3163">
        <v>77.805743923359003</v>
      </c>
      <c r="AM3163">
        <v>91.059571274214903</v>
      </c>
      <c r="AN3163">
        <v>0.99999995699366295</v>
      </c>
    </row>
    <row r="3164" spans="1:40" x14ac:dyDescent="0.25">
      <c r="A3164" t="str">
        <f>"20190303162842435"</f>
        <v>20190303162842435</v>
      </c>
      <c r="B3164" t="str">
        <f>"1551601722425084"</f>
        <v>1551601722425084</v>
      </c>
      <c r="C3164" t="s">
        <v>40</v>
      </c>
      <c r="D3164">
        <v>4.8013409999999999</v>
      </c>
      <c r="E3164">
        <v>0.52235810000000005</v>
      </c>
      <c r="F3164" t="s">
        <v>48</v>
      </c>
      <c r="G3164">
        <v>-320.89159999999998</v>
      </c>
      <c r="H3164" s="1">
        <v>-1.0623359999999999E-6</v>
      </c>
      <c r="I3164">
        <v>212.74930000000001</v>
      </c>
      <c r="J3164">
        <v>-364.53370000000001</v>
      </c>
      <c r="K3164">
        <v>1.1212390000000001</v>
      </c>
      <c r="L3164">
        <v>214.57599999999999</v>
      </c>
      <c r="M3164">
        <v>0.99992000000000003</v>
      </c>
      <c r="N3164">
        <v>-1.215013E-2</v>
      </c>
      <c r="O3164">
        <v>-3.5175649999999998E-3</v>
      </c>
      <c r="P3164">
        <v>0.97994769999999998</v>
      </c>
      <c r="Q3164">
        <v>0.19874720000000001</v>
      </c>
      <c r="R3164">
        <v>1.422138E-2</v>
      </c>
      <c r="S3164">
        <v>3.0797119999999998</v>
      </c>
      <c r="T3164">
        <v>-7.8563930000000004E-2</v>
      </c>
      <c r="U3164">
        <v>-0.12806699999999999</v>
      </c>
      <c r="V3164">
        <v>-1.76604E-2</v>
      </c>
      <c r="W3164">
        <v>0.21063899999999999</v>
      </c>
      <c r="X3164">
        <v>0.97740439999999995</v>
      </c>
      <c r="Y3164">
        <v>3.8015220000000002E-2</v>
      </c>
      <c r="Z3164">
        <v>-6.6874830000000004E-4</v>
      </c>
      <c r="AA3164">
        <v>0.99927690000000002</v>
      </c>
      <c r="AB3164">
        <v>34</v>
      </c>
      <c r="AC3164">
        <v>43.642099999999999</v>
      </c>
      <c r="AD3164">
        <v>-1.1212400623359999</v>
      </c>
      <c r="AE3164">
        <v>-1.82669999999998</v>
      </c>
      <c r="AF3164">
        <v>1.67206170429295</v>
      </c>
      <c r="AG3164">
        <v>-1.1212400623359999</v>
      </c>
      <c r="AH3164">
        <v>43.619514661704898</v>
      </c>
      <c r="AI3164">
        <v>91.471384174927195</v>
      </c>
      <c r="AJ3164">
        <v>87.804762463797104</v>
      </c>
      <c r="AK3164">
        <v>43.665948162647801</v>
      </c>
      <c r="AL3164">
        <v>77.840198345907694</v>
      </c>
      <c r="AM3164">
        <v>91.035146034813593</v>
      </c>
      <c r="AN3164">
        <v>1.00000001959425</v>
      </c>
    </row>
    <row r="3165" spans="1:40" x14ac:dyDescent="0.25">
      <c r="A3165" t="str">
        <f>"20190303162842456"</f>
        <v>20190303162842456</v>
      </c>
      <c r="B3165" t="str">
        <f>"1551601722444604"</f>
        <v>1551601722444604</v>
      </c>
      <c r="C3165" t="s">
        <v>40</v>
      </c>
      <c r="D3165">
        <v>4.8497500000000002</v>
      </c>
      <c r="E3165">
        <v>0.52251899999999996</v>
      </c>
      <c r="F3165" t="s">
        <v>48</v>
      </c>
      <c r="G3165">
        <v>-321.52890000000002</v>
      </c>
      <c r="H3165" s="1">
        <v>-7.2319509999999897E-7</v>
      </c>
      <c r="I3165">
        <v>212.75030000000001</v>
      </c>
      <c r="J3165">
        <v>-364.20800000000003</v>
      </c>
      <c r="K3165">
        <v>1.1212310000000001</v>
      </c>
      <c r="L3165">
        <v>214.57480000000001</v>
      </c>
      <c r="M3165">
        <v>0.99992009999999998</v>
      </c>
      <c r="N3165">
        <v>-1.2150269999999999E-2</v>
      </c>
      <c r="O3165">
        <v>-3.5175660000000002E-3</v>
      </c>
      <c r="P3165">
        <v>0.9800643</v>
      </c>
      <c r="Q3165">
        <v>0.1982293</v>
      </c>
      <c r="R3165">
        <v>1.339563E-2</v>
      </c>
      <c r="S3165">
        <v>3.079529</v>
      </c>
      <c r="T3165">
        <v>-8.0290790000000001E-2</v>
      </c>
      <c r="U3165">
        <v>-0.1307373</v>
      </c>
      <c r="V3165">
        <v>-1.6835510000000001E-2</v>
      </c>
      <c r="W3165">
        <v>0.210123</v>
      </c>
      <c r="X3165">
        <v>0.97753000000000001</v>
      </c>
      <c r="Y3165">
        <v>3.8881539999999999E-2</v>
      </c>
      <c r="Z3165">
        <v>-6.9400429999999904E-4</v>
      </c>
      <c r="AA3165">
        <v>0.99924360000000001</v>
      </c>
      <c r="AB3165">
        <v>34</v>
      </c>
      <c r="AC3165">
        <v>42.679099999999998</v>
      </c>
      <c r="AD3165">
        <v>-1.1212317231950999</v>
      </c>
      <c r="AE3165">
        <v>-1.8245</v>
      </c>
      <c r="AF3165">
        <v>1.6731983967598001</v>
      </c>
      <c r="AG3165">
        <v>-1.1212317231950999</v>
      </c>
      <c r="AH3165">
        <v>42.655867813075403</v>
      </c>
      <c r="AI3165">
        <v>91.504546219631393</v>
      </c>
      <c r="AJ3165">
        <v>87.753695135743101</v>
      </c>
      <c r="AK3165">
        <v>42.703393452260698</v>
      </c>
      <c r="AL3165">
        <v>77.870439610211506</v>
      </c>
      <c r="AM3165">
        <v>90.986678991039696</v>
      </c>
      <c r="AN3165">
        <v>1.00000000521298</v>
      </c>
    </row>
    <row r="3166" spans="1:40" x14ac:dyDescent="0.25">
      <c r="A3166" t="str">
        <f>"20190303162842615"</f>
        <v>20190303162842615</v>
      </c>
      <c r="B3166" t="str">
        <f>"1551601722604668"</f>
        <v>1551601722604668</v>
      </c>
      <c r="C3166" t="s">
        <v>40</v>
      </c>
      <c r="D3166">
        <v>5.0949869999999997</v>
      </c>
      <c r="E3166">
        <v>0.49406280000000002</v>
      </c>
      <c r="F3166" t="s">
        <v>48</v>
      </c>
      <c r="G3166">
        <v>-323.66219999999998</v>
      </c>
      <c r="H3166" s="1">
        <v>4.1207179999999997E-7</v>
      </c>
      <c r="I3166">
        <v>212.80699999999999</v>
      </c>
      <c r="J3166">
        <v>-361.77870000000001</v>
      </c>
      <c r="K3166">
        <v>1.121237</v>
      </c>
      <c r="L3166">
        <v>214.56630000000001</v>
      </c>
      <c r="M3166">
        <v>0.99992000000000003</v>
      </c>
      <c r="N3166">
        <v>-1.2151199999999999E-2</v>
      </c>
      <c r="O3166">
        <v>-3.5161400000000001E-3</v>
      </c>
      <c r="P3166">
        <v>0.98029230000000001</v>
      </c>
      <c r="Q3166">
        <v>0.1971725</v>
      </c>
      <c r="R3166">
        <v>1.224186E-2</v>
      </c>
      <c r="S3166">
        <v>3.0800480000000001</v>
      </c>
      <c r="T3166">
        <v>-8.5173960000000007E-2</v>
      </c>
      <c r="U3166">
        <v>-0.13429260000000001</v>
      </c>
      <c r="V3166">
        <v>-1.5680799999999901E-2</v>
      </c>
      <c r="W3166">
        <v>0.2090698</v>
      </c>
      <c r="X3166">
        <v>0.97777499999999995</v>
      </c>
      <c r="Y3166">
        <v>4.0024530000000003E-2</v>
      </c>
      <c r="Z3166">
        <v>-7.4194050000000002E-4</v>
      </c>
      <c r="AA3166">
        <v>0.99919840000000004</v>
      </c>
      <c r="AB3166">
        <v>34</v>
      </c>
      <c r="AC3166">
        <v>38.116500000000002</v>
      </c>
      <c r="AD3166">
        <v>-1.1212365879282</v>
      </c>
      <c r="AE3166">
        <v>-1.7592999999999901</v>
      </c>
      <c r="AF3166">
        <v>1.6238541389986401</v>
      </c>
      <c r="AG3166">
        <v>-1.1212365879282</v>
      </c>
      <c r="AH3166">
        <v>38.0895617764902</v>
      </c>
      <c r="AI3166">
        <v>91.684590841675302</v>
      </c>
      <c r="AJ3166">
        <v>87.558814592706099</v>
      </c>
      <c r="AK3166">
        <v>38.140644856582</v>
      </c>
      <c r="AL3166">
        <v>77.932154391312295</v>
      </c>
      <c r="AM3166">
        <v>90.918786680883102</v>
      </c>
      <c r="AN3166">
        <v>1.0000000096928301</v>
      </c>
    </row>
    <row r="3167" spans="1:40" x14ac:dyDescent="0.25">
      <c r="A3167" t="str">
        <f>"20190303162842635"</f>
        <v>20190303162842635</v>
      </c>
      <c r="B3167" t="str">
        <f>"1551601722624188"</f>
        <v>1551601722624188</v>
      </c>
      <c r="C3167" t="s">
        <v>40</v>
      </c>
      <c r="D3167">
        <v>4.8913419999999999</v>
      </c>
      <c r="E3167">
        <v>0.50375159999999997</v>
      </c>
      <c r="F3167" t="s">
        <v>48</v>
      </c>
      <c r="G3167">
        <v>-359.81880000000001</v>
      </c>
      <c r="H3167" s="1">
        <v>3.6878460000000001E-6</v>
      </c>
      <c r="I3167">
        <v>214.62690000000001</v>
      </c>
      <c r="J3167">
        <v>-361.45100000000002</v>
      </c>
      <c r="K3167">
        <v>1.1212329999999999</v>
      </c>
      <c r="L3167">
        <v>214.5651</v>
      </c>
      <c r="M3167">
        <v>0.99992000000000003</v>
      </c>
      <c r="N3167">
        <v>-1.21513E-2</v>
      </c>
      <c r="O3167">
        <v>-3.515902E-3</v>
      </c>
      <c r="P3167">
        <v>0.98026840000000004</v>
      </c>
      <c r="Q3167">
        <v>0.19734930000000001</v>
      </c>
      <c r="R3167">
        <v>1.127685E-2</v>
      </c>
      <c r="S3167">
        <v>3.4567260000000002</v>
      </c>
      <c r="T3167">
        <v>-1.977536</v>
      </c>
      <c r="U3167">
        <v>0.1069031</v>
      </c>
      <c r="V3167">
        <v>-1.471605E-2</v>
      </c>
      <c r="W3167">
        <v>0.2092465</v>
      </c>
      <c r="X3167">
        <v>0.97775219999999896</v>
      </c>
      <c r="Y3167">
        <v>-2.9345610000000001E-2</v>
      </c>
      <c r="Z3167">
        <v>9.8197939999999997E-3</v>
      </c>
      <c r="AA3167">
        <v>0.99952110000000005</v>
      </c>
      <c r="AB3167">
        <v>34</v>
      </c>
      <c r="AC3167">
        <v>1.6321999999999499</v>
      </c>
      <c r="AD3167">
        <v>-1.121229312154</v>
      </c>
      <c r="AE3167">
        <v>6.1800000000005101E-2</v>
      </c>
      <c r="AF3167">
        <v>-4.5906718949766799E-2</v>
      </c>
      <c r="AG3167">
        <v>-1.121229312154</v>
      </c>
      <c r="AH3167">
        <v>1.1092678935579201</v>
      </c>
      <c r="AI3167">
        <v>135.28274512391999</v>
      </c>
      <c r="AJ3167">
        <v>92.369816338527201</v>
      </c>
      <c r="AK3167">
        <v>1.57789031841776</v>
      </c>
      <c r="AL3167">
        <v>77.921801265563005</v>
      </c>
      <c r="AM3167">
        <v>90.862287906172497</v>
      </c>
      <c r="AN3167">
        <v>1.00000001224734</v>
      </c>
    </row>
    <row r="3168" spans="1:40" x14ac:dyDescent="0.25">
      <c r="A3168" t="str">
        <f>"20190303162842658"</f>
        <v>20190303162842658</v>
      </c>
      <c r="B3168" t="str">
        <f>"1551601722654443"</f>
        <v>1551601722654443</v>
      </c>
      <c r="C3168" t="s">
        <v>40</v>
      </c>
      <c r="D3168">
        <v>4.9092460000000004</v>
      </c>
      <c r="E3168">
        <v>0.51218520000000001</v>
      </c>
      <c r="F3168" t="s">
        <v>44</v>
      </c>
      <c r="G3168">
        <v>-360.73630000000003</v>
      </c>
      <c r="H3168">
        <v>0.74183869999999996</v>
      </c>
      <c r="I3168">
        <v>214.5701</v>
      </c>
      <c r="J3168">
        <v>-361.11880000000002</v>
      </c>
      <c r="K3168">
        <v>1.1212299999999999</v>
      </c>
      <c r="L3168">
        <v>214.56389999999999</v>
      </c>
      <c r="M3168">
        <v>0.99992000000000003</v>
      </c>
      <c r="N3168">
        <v>-1.214864E-2</v>
      </c>
      <c r="O3168">
        <v>-3.5157669999999999E-3</v>
      </c>
      <c r="P3168">
        <v>0.98038150000000002</v>
      </c>
      <c r="Q3168">
        <v>0.19684209999999999</v>
      </c>
      <c r="R3168">
        <v>1.025568E-2</v>
      </c>
      <c r="S3168">
        <v>3.4262700000000001</v>
      </c>
      <c r="T3168">
        <v>-1.818811</v>
      </c>
      <c r="U3168">
        <v>2.4642939999999999E-2</v>
      </c>
      <c r="V3168">
        <v>-1.3694649999999999E-2</v>
      </c>
      <c r="W3168">
        <v>0.20873820000000001</v>
      </c>
      <c r="X3168">
        <v>0.97787559999999996</v>
      </c>
      <c r="Y3168">
        <v>-9.0389029999999992E-3</v>
      </c>
      <c r="Z3168">
        <v>4.0192759999999996E-3</v>
      </c>
      <c r="AA3168">
        <v>0.99995109999999998</v>
      </c>
      <c r="AB3168">
        <v>34</v>
      </c>
      <c r="AC3168">
        <v>0.38249999999999301</v>
      </c>
      <c r="AD3168">
        <v>-0.37939129999999999</v>
      </c>
      <c r="AE3168">
        <v>6.2000000000068597E-3</v>
      </c>
      <c r="AF3168">
        <v>-3.8037006530080501E-3</v>
      </c>
      <c r="AG3168">
        <v>-0.37939129999999999</v>
      </c>
      <c r="AH3168">
        <v>0.19282360329954301</v>
      </c>
      <c r="AI3168">
        <v>153.05378689696201</v>
      </c>
      <c r="AJ3168">
        <v>91.130088477234906</v>
      </c>
      <c r="AK3168">
        <v>0.42559742556054903</v>
      </c>
      <c r="AL3168">
        <v>77.951581405040002</v>
      </c>
      <c r="AM3168">
        <v>90.8023457754079</v>
      </c>
      <c r="AN3168">
        <v>0.99999993432660905</v>
      </c>
    </row>
    <row r="3169" spans="1:40" x14ac:dyDescent="0.25">
      <c r="A3169" t="str">
        <f>"20190303162842680"</f>
        <v>20190303162842680</v>
      </c>
      <c r="B3169" t="str">
        <f>"1551601722674940"</f>
        <v>1551601722674940</v>
      </c>
      <c r="C3169" t="s">
        <v>40</v>
      </c>
      <c r="D3169">
        <v>4.9330350000000003</v>
      </c>
      <c r="E3169">
        <v>0.51714479999999996</v>
      </c>
      <c r="F3169" t="s">
        <v>44</v>
      </c>
      <c r="G3169">
        <v>-360.4169</v>
      </c>
      <c r="H3169">
        <v>0.78349169999999901</v>
      </c>
      <c r="I3169">
        <v>214.554</v>
      </c>
      <c r="J3169">
        <v>-360.76130000000001</v>
      </c>
      <c r="K3169">
        <v>1.1212260000000001</v>
      </c>
      <c r="L3169">
        <v>214.56270000000001</v>
      </c>
      <c r="M3169">
        <v>0.99992020000000004</v>
      </c>
      <c r="N3169">
        <v>-1.2137449999999999E-2</v>
      </c>
      <c r="O3169">
        <v>-3.5156990000000002E-3</v>
      </c>
      <c r="P3169">
        <v>0.98045459999999995</v>
      </c>
      <c r="Q3169">
        <v>0.19648879999999999</v>
      </c>
      <c r="R3169">
        <v>1.003195E-2</v>
      </c>
      <c r="S3169">
        <v>3.3878170000000001</v>
      </c>
      <c r="T3169">
        <v>-1.63009</v>
      </c>
      <c r="U3169">
        <v>-4.7042849999999997E-2</v>
      </c>
      <c r="V3169">
        <v>-1.3470970000000001E-2</v>
      </c>
      <c r="W3169">
        <v>0.2083749</v>
      </c>
      <c r="X3169">
        <v>0.97795620000000005</v>
      </c>
      <c r="Y3169">
        <v>9.647213E-3</v>
      </c>
      <c r="Z3169">
        <v>-6.9875890000000004E-4</v>
      </c>
      <c r="AA3169">
        <v>0.99995319999999999</v>
      </c>
      <c r="AB3169">
        <v>34</v>
      </c>
      <c r="AC3169">
        <v>0.34440000000000698</v>
      </c>
      <c r="AD3169">
        <v>-0.33773429999999999</v>
      </c>
      <c r="AE3169">
        <v>-8.7000000000045895E-3</v>
      </c>
      <c r="AF3169">
        <v>3.8188938176997199E-3</v>
      </c>
      <c r="AG3169">
        <v>-0.33773429999999999</v>
      </c>
      <c r="AH3169">
        <v>0.17563451391679299</v>
      </c>
      <c r="AI3169">
        <v>152.51833226890301</v>
      </c>
      <c r="AJ3169">
        <v>88.754390461720803</v>
      </c>
      <c r="AK3169">
        <v>0.38069216412380802</v>
      </c>
      <c r="AL3169">
        <v>77.972865144010299</v>
      </c>
      <c r="AM3169">
        <v>90.789177385288596</v>
      </c>
      <c r="AN3169">
        <v>0.99999994755059396</v>
      </c>
    </row>
    <row r="3170" spans="1:40" x14ac:dyDescent="0.25">
      <c r="A3170" t="str">
        <f>"20190303162842704"</f>
        <v>20190303162842704</v>
      </c>
      <c r="B3170" t="str">
        <f>"1551601722694459"</f>
        <v>1551601722694459</v>
      </c>
      <c r="C3170" t="s">
        <v>40</v>
      </c>
      <c r="D3170">
        <v>4.932779</v>
      </c>
      <c r="E3170">
        <v>0.52023229999999998</v>
      </c>
      <c r="F3170" t="s">
        <v>44</v>
      </c>
      <c r="G3170">
        <v>-360.09449999999998</v>
      </c>
      <c r="H3170">
        <v>0.82130149999999902</v>
      </c>
      <c r="I3170">
        <v>214.54509999999999</v>
      </c>
      <c r="J3170">
        <v>-360.40379999999999</v>
      </c>
      <c r="K3170">
        <v>1.121219</v>
      </c>
      <c r="L3170">
        <v>214.56139999999999</v>
      </c>
      <c r="M3170">
        <v>0.99992040000000004</v>
      </c>
      <c r="N3170">
        <v>-1.211915E-2</v>
      </c>
      <c r="O3170">
        <v>-3.5157069999999999E-3</v>
      </c>
      <c r="P3170">
        <v>0.98043860000000005</v>
      </c>
      <c r="Q3170">
        <v>0.19658249999999999</v>
      </c>
      <c r="R3170">
        <v>9.7853839999999994E-3</v>
      </c>
      <c r="S3170">
        <v>3.363953</v>
      </c>
      <c r="T3170">
        <v>-1.51309</v>
      </c>
      <c r="U3170">
        <v>-8.7646479999999999E-2</v>
      </c>
      <c r="V3170">
        <v>-1.322453E-2</v>
      </c>
      <c r="W3170">
        <v>0.20845050000000001</v>
      </c>
      <c r="X3170">
        <v>0.97794349999999997</v>
      </c>
      <c r="Y3170">
        <v>2.0787799999999999E-2</v>
      </c>
      <c r="Z3170">
        <v>-3.1236089999999998E-3</v>
      </c>
      <c r="AA3170">
        <v>0.99977899999999997</v>
      </c>
      <c r="AB3170">
        <v>34</v>
      </c>
      <c r="AC3170">
        <v>0.30930000000000701</v>
      </c>
      <c r="AD3170">
        <v>-0.2999175</v>
      </c>
      <c r="AE3170">
        <v>-1.6300000000001001E-2</v>
      </c>
      <c r="AF3170">
        <v>7.8509720166181299E-3</v>
      </c>
      <c r="AG3170">
        <v>-0.2999175</v>
      </c>
      <c r="AH3170">
        <v>0.15965520122989299</v>
      </c>
      <c r="AI3170">
        <v>151.94356090701899</v>
      </c>
      <c r="AJ3170">
        <v>87.184773800541805</v>
      </c>
      <c r="AK3170">
        <v>0.33985574564455001</v>
      </c>
      <c r="AL3170">
        <v>77.968436899680398</v>
      </c>
      <c r="AM3170">
        <v>90.774751888693501</v>
      </c>
      <c r="AN3170">
        <v>0.99999999416811003</v>
      </c>
    </row>
    <row r="3171" spans="1:40" x14ac:dyDescent="0.25">
      <c r="A3171" t="str">
        <f>"20190303162842726"</f>
        <v>20190303162842726</v>
      </c>
      <c r="B3171" t="str">
        <f>"1551601722714956"</f>
        <v>1551601722714956</v>
      </c>
      <c r="C3171" t="s">
        <v>40</v>
      </c>
      <c r="D3171">
        <v>4.914879</v>
      </c>
      <c r="E3171">
        <v>0.52237089999999997</v>
      </c>
      <c r="F3171" t="s">
        <v>44</v>
      </c>
      <c r="G3171">
        <v>-359.51029999999997</v>
      </c>
      <c r="H3171">
        <v>0.7383982</v>
      </c>
      <c r="I3171">
        <v>214.53110000000001</v>
      </c>
      <c r="J3171">
        <v>-360.06569999999999</v>
      </c>
      <c r="K3171">
        <v>1.1212150000000001</v>
      </c>
      <c r="L3171">
        <v>214.56020000000001</v>
      </c>
      <c r="M3171">
        <v>0.9999207</v>
      </c>
      <c r="N3171">
        <v>-1.209556E-2</v>
      </c>
      <c r="O3171">
        <v>-3.515565E-3</v>
      </c>
      <c r="P3171">
        <v>0.98043539999999996</v>
      </c>
      <c r="Q3171">
        <v>0.19659979999999999</v>
      </c>
      <c r="R3171">
        <v>9.7588550000000003E-3</v>
      </c>
      <c r="S3171">
        <v>3.3486630000000002</v>
      </c>
      <c r="T3171">
        <v>-1.4347540000000001</v>
      </c>
      <c r="U3171">
        <v>-0.1132507</v>
      </c>
      <c r="V3171">
        <v>-1.319797E-2</v>
      </c>
      <c r="W3171">
        <v>0.2084444</v>
      </c>
      <c r="X3171">
        <v>0.97794510000000001</v>
      </c>
      <c r="Y3171">
        <v>2.8039580000000001E-2</v>
      </c>
      <c r="Z3171">
        <v>-4.5277759999999998E-3</v>
      </c>
      <c r="AA3171">
        <v>0.9995965</v>
      </c>
      <c r="AB3171">
        <v>34</v>
      </c>
      <c r="AC3171">
        <v>0.55540000000001999</v>
      </c>
      <c r="AD3171">
        <v>-0.38281680000000001</v>
      </c>
      <c r="AE3171">
        <v>-2.9099999999999598E-2</v>
      </c>
      <c r="AF3171">
        <v>1.84200315384963E-2</v>
      </c>
      <c r="AG3171">
        <v>-0.38281680000000001</v>
      </c>
      <c r="AH3171">
        <v>0.37692035515302702</v>
      </c>
      <c r="AI3171">
        <v>135.41050831996</v>
      </c>
      <c r="AJ3171">
        <v>87.202191202289796</v>
      </c>
      <c r="AK3171">
        <v>0.53754716449145501</v>
      </c>
      <c r="AL3171">
        <v>77.968793549029499</v>
      </c>
      <c r="AM3171">
        <v>90.773194809789103</v>
      </c>
      <c r="AN3171">
        <v>0.99999993645874297</v>
      </c>
    </row>
    <row r="3172" spans="1:40" x14ac:dyDescent="0.25">
      <c r="A3172" t="str">
        <f>"20190303162842748"</f>
        <v>20190303162842748</v>
      </c>
      <c r="B3172" t="str">
        <f>"1551601722744236"</f>
        <v>1551601722744236</v>
      </c>
      <c r="C3172" t="s">
        <v>40</v>
      </c>
      <c r="D3172">
        <v>4.9735899999999997</v>
      </c>
      <c r="E3172">
        <v>0.52431169999999905</v>
      </c>
      <c r="F3172" t="s">
        <v>44</v>
      </c>
      <c r="G3172">
        <v>-359.19670000000002</v>
      </c>
      <c r="H3172">
        <v>0.76155269999999897</v>
      </c>
      <c r="I3172">
        <v>214.52600000000001</v>
      </c>
      <c r="J3172">
        <v>-359.7321</v>
      </c>
      <c r="K3172">
        <v>1.1212120000000001</v>
      </c>
      <c r="L3172">
        <v>214.559</v>
      </c>
      <c r="M3172">
        <v>0.99992099999999995</v>
      </c>
      <c r="N3172">
        <v>-1.206897E-2</v>
      </c>
      <c r="O3172">
        <v>-3.5152849999999999E-3</v>
      </c>
      <c r="P3172">
        <v>0.98044050000000005</v>
      </c>
      <c r="Q3172">
        <v>0.19655120000000001</v>
      </c>
      <c r="R3172">
        <v>1.019896E-2</v>
      </c>
      <c r="S3172">
        <v>3.3382260000000001</v>
      </c>
      <c r="T3172">
        <v>-1.3816269999999999</v>
      </c>
      <c r="U3172">
        <v>-0.131134</v>
      </c>
      <c r="V3172">
        <v>-1.3637929999999999E-2</v>
      </c>
      <c r="W3172">
        <v>0.20836979999999999</v>
      </c>
      <c r="X3172">
        <v>0.97795500000000002</v>
      </c>
      <c r="Y3172">
        <v>3.3198180000000001E-2</v>
      </c>
      <c r="Z3172">
        <v>-5.4488009999999996E-3</v>
      </c>
      <c r="AA3172">
        <v>0.99943389999999999</v>
      </c>
      <c r="AB3172">
        <v>34</v>
      </c>
      <c r="AC3172">
        <v>0.535399999999981</v>
      </c>
      <c r="AD3172">
        <v>-0.35965930000000002</v>
      </c>
      <c r="AE3172">
        <v>-3.30000000000438E-2</v>
      </c>
      <c r="AF3172">
        <v>2.14670423550259E-2</v>
      </c>
      <c r="AG3172">
        <v>-0.35965930000000002</v>
      </c>
      <c r="AH3172">
        <v>0.36943347127289999</v>
      </c>
      <c r="AI3172">
        <v>134.183676994682</v>
      </c>
      <c r="AJ3172">
        <v>86.674396149448398</v>
      </c>
      <c r="AK3172">
        <v>0.51603947104917003</v>
      </c>
      <c r="AL3172">
        <v>77.973164237757999</v>
      </c>
      <c r="AM3172">
        <v>90.7989582166432</v>
      </c>
      <c r="AN3172">
        <v>0.99999997435586196</v>
      </c>
    </row>
    <row r="3173" spans="1:40" x14ac:dyDescent="0.25">
      <c r="A3173" t="str">
        <f>"20190303162842771"</f>
        <v>20190303162842771</v>
      </c>
      <c r="B3173" t="str">
        <f>"1551601722764732"</f>
        <v>1551601722764732</v>
      </c>
      <c r="C3173" t="s">
        <v>40</v>
      </c>
      <c r="D3173">
        <v>4.9472459999999998</v>
      </c>
      <c r="E3173">
        <v>0.52522709999999995</v>
      </c>
      <c r="F3173" t="s">
        <v>44</v>
      </c>
      <c r="G3173">
        <v>-358.8818</v>
      </c>
      <c r="H3173">
        <v>0.78040919999999903</v>
      </c>
      <c r="I3173">
        <v>214.52170000000001</v>
      </c>
      <c r="J3173">
        <v>-359.36430000000001</v>
      </c>
      <c r="K3173">
        <v>1.1212040000000001</v>
      </c>
      <c r="L3173">
        <v>214.55770000000001</v>
      </c>
      <c r="M3173">
        <v>0.99992139999999996</v>
      </c>
      <c r="N3173">
        <v>-1.203475E-2</v>
      </c>
      <c r="O3173">
        <v>-3.5150789999999999E-3</v>
      </c>
      <c r="P3173">
        <v>0.98033020000000004</v>
      </c>
      <c r="Q3173">
        <v>0.1971106</v>
      </c>
      <c r="R3173">
        <v>9.9884740000000007E-3</v>
      </c>
      <c r="S3173">
        <v>3.3288880000000001</v>
      </c>
      <c r="T3173">
        <v>-1.3341590000000001</v>
      </c>
      <c r="U3173">
        <v>-0.1462097</v>
      </c>
      <c r="V3173">
        <v>-1.3426550000000001E-2</v>
      </c>
      <c r="W3173">
        <v>0.20889440000000001</v>
      </c>
      <c r="X3173">
        <v>0.97784599999999999</v>
      </c>
      <c r="Y3173">
        <v>3.7624280000000003E-2</v>
      </c>
      <c r="Z3173">
        <v>-6.1760340000000004E-3</v>
      </c>
      <c r="AA3173">
        <v>0.99927290000000002</v>
      </c>
      <c r="AB3173">
        <v>34</v>
      </c>
      <c r="AC3173">
        <v>0.48250000000001497</v>
      </c>
      <c r="AD3173">
        <v>-0.34079480000000001</v>
      </c>
      <c r="AE3173">
        <v>-3.6000000000001302E-2</v>
      </c>
      <c r="AF3173">
        <v>2.2928506296286399E-2</v>
      </c>
      <c r="AG3173">
        <v>-0.34079480000000001</v>
      </c>
      <c r="AH3173">
        <v>0.32258504036465102</v>
      </c>
      <c r="AI3173">
        <v>136.500294277276</v>
      </c>
      <c r="AJ3173">
        <v>85.934402162775001</v>
      </c>
      <c r="AK3173">
        <v>0.46981690090404599</v>
      </c>
      <c r="AL3173">
        <v>77.942430511956005</v>
      </c>
      <c r="AM3173">
        <v>90.786664064327098</v>
      </c>
      <c r="AN3173">
        <v>0.99999997115613004</v>
      </c>
    </row>
    <row r="3174" spans="1:40" x14ac:dyDescent="0.25">
      <c r="A3174" t="str">
        <f>"20190303162842794"</f>
        <v>20190303162842794</v>
      </c>
      <c r="B3174" t="str">
        <f>"1551601722785228"</f>
        <v>1551601722785228</v>
      </c>
      <c r="C3174" t="s">
        <v>40</v>
      </c>
      <c r="D3174">
        <v>4.970701</v>
      </c>
      <c r="E3174">
        <v>0.52602510000000002</v>
      </c>
      <c r="F3174" t="s">
        <v>44</v>
      </c>
      <c r="G3174">
        <v>-358.56420000000003</v>
      </c>
      <c r="H3174">
        <v>0.805942099999999</v>
      </c>
      <c r="I3174">
        <v>214.52070000000001</v>
      </c>
      <c r="J3174">
        <v>-359.0222</v>
      </c>
      <c r="K3174">
        <v>1.1212070000000001</v>
      </c>
      <c r="L3174">
        <v>214.5565</v>
      </c>
      <c r="M3174">
        <v>0.99992190000000003</v>
      </c>
      <c r="N3174">
        <v>-1.199949E-2</v>
      </c>
      <c r="O3174">
        <v>-3.5148670000000001E-3</v>
      </c>
      <c r="P3174">
        <v>0.98025609999999996</v>
      </c>
      <c r="Q3174">
        <v>0.19747310000000001</v>
      </c>
      <c r="R3174">
        <v>1.011333E-2</v>
      </c>
      <c r="S3174">
        <v>3.3251339999999998</v>
      </c>
      <c r="T3174">
        <v>-1.310154</v>
      </c>
      <c r="U3174">
        <v>-0.15286250000000001</v>
      </c>
      <c r="V3174">
        <v>-1.355101E-2</v>
      </c>
      <c r="W3174">
        <v>0.2092213</v>
      </c>
      <c r="X3174">
        <v>0.97777440000000004</v>
      </c>
      <c r="Y3174">
        <v>3.960408E-2</v>
      </c>
      <c r="Z3174">
        <v>-6.4703340000000003E-3</v>
      </c>
      <c r="AA3174">
        <v>0.99919449999999999</v>
      </c>
      <c r="AB3174">
        <v>34</v>
      </c>
      <c r="AC3174">
        <v>0.45799999999996999</v>
      </c>
      <c r="AD3174">
        <v>-0.31526490000000001</v>
      </c>
      <c r="AE3174">
        <v>-3.5799999999994697E-2</v>
      </c>
      <c r="AF3174">
        <v>2.3243381839469501E-2</v>
      </c>
      <c r="AG3174">
        <v>-0.31526490000000001</v>
      </c>
      <c r="AH3174">
        <v>0.31144701895781302</v>
      </c>
      <c r="AI3174">
        <v>135.269483404043</v>
      </c>
      <c r="AJ3174">
        <v>85.731911496251897</v>
      </c>
      <c r="AK3174">
        <v>0.44376959966750101</v>
      </c>
      <c r="AL3174">
        <v>77.923277403263199</v>
      </c>
      <c r="AM3174">
        <v>90.794013401667002</v>
      </c>
      <c r="AN3174">
        <v>0.99999997977053401</v>
      </c>
    </row>
    <row r="3175" spans="1:40" x14ac:dyDescent="0.25">
      <c r="A3175" t="str">
        <f>"20190303162842817"</f>
        <v>20190303162842817</v>
      </c>
      <c r="B3175" t="str">
        <f>"1551601722814508"</f>
        <v>1551601722814508</v>
      </c>
      <c r="C3175" t="s">
        <v>40</v>
      </c>
      <c r="D3175">
        <v>4.9969929999999998</v>
      </c>
      <c r="E3175">
        <v>0.52694580000000002</v>
      </c>
      <c r="F3175" t="s">
        <v>44</v>
      </c>
      <c r="G3175">
        <v>-358.25040000000001</v>
      </c>
      <c r="H3175">
        <v>0.82172500000000004</v>
      </c>
      <c r="I3175">
        <v>214.51900000000001</v>
      </c>
      <c r="J3175">
        <v>-358.67090000000002</v>
      </c>
      <c r="K3175">
        <v>1.1212040000000001</v>
      </c>
      <c r="L3175">
        <v>214.55529999999999</v>
      </c>
      <c r="M3175">
        <v>0.99992230000000004</v>
      </c>
      <c r="N3175">
        <v>-1.1960169999999999E-2</v>
      </c>
      <c r="O3175">
        <v>-3.5146320000000002E-3</v>
      </c>
      <c r="P3175">
        <v>0.97998689999999999</v>
      </c>
      <c r="Q3175">
        <v>0.19878860000000001</v>
      </c>
      <c r="R3175">
        <v>1.042716E-2</v>
      </c>
      <c r="S3175">
        <v>3.3217159999999999</v>
      </c>
      <c r="T3175">
        <v>-1.288781</v>
      </c>
      <c r="U3175">
        <v>-0.1604004</v>
      </c>
      <c r="V3175">
        <v>-1.386371E-2</v>
      </c>
      <c r="W3175">
        <v>0.21049499999999999</v>
      </c>
      <c r="X3175">
        <v>0.97749660000000005</v>
      </c>
      <c r="Y3175">
        <v>4.1828799999999999E-2</v>
      </c>
      <c r="Z3175">
        <v>-6.8108450000000003E-3</v>
      </c>
      <c r="AA3175">
        <v>0.99910160000000003</v>
      </c>
      <c r="AB3175">
        <v>34</v>
      </c>
      <c r="AC3175">
        <v>0.42050000000000398</v>
      </c>
      <c r="AD3175">
        <v>-0.299479</v>
      </c>
      <c r="AE3175">
        <v>-3.6299999999982901E-2</v>
      </c>
      <c r="AF3175">
        <v>2.3160883906555001E-2</v>
      </c>
      <c r="AG3175">
        <v>-0.299479</v>
      </c>
      <c r="AH3175">
        <v>0.27976887392157201</v>
      </c>
      <c r="AI3175">
        <v>136.85123844601699</v>
      </c>
      <c r="AJ3175">
        <v>85.267515961115507</v>
      </c>
      <c r="AK3175">
        <v>0.41048108458207599</v>
      </c>
      <c r="AL3175">
        <v>77.848637616411395</v>
      </c>
      <c r="AM3175">
        <v>90.812564275750105</v>
      </c>
      <c r="AN3175">
        <v>0.99999997524576101</v>
      </c>
    </row>
    <row r="3176" spans="1:40" x14ac:dyDescent="0.25">
      <c r="A3176" t="str">
        <f>"20190303162842848"</f>
        <v>20190303162842848</v>
      </c>
      <c r="B3176" t="str">
        <f>"1551601722835004"</f>
        <v>1551601722835004</v>
      </c>
      <c r="C3176" t="s">
        <v>40</v>
      </c>
      <c r="D3176">
        <v>5.0137910000000003</v>
      </c>
      <c r="E3176">
        <v>0.52740299999999996</v>
      </c>
      <c r="F3176" t="s">
        <v>44</v>
      </c>
      <c r="G3176">
        <v>-357.9348</v>
      </c>
      <c r="H3176">
        <v>0.84133269999999905</v>
      </c>
      <c r="I3176">
        <v>214.518</v>
      </c>
      <c r="J3176">
        <v>-358.19709999999998</v>
      </c>
      <c r="K3176">
        <v>1.121202</v>
      </c>
      <c r="L3176">
        <v>214.55359999999999</v>
      </c>
      <c r="M3176">
        <v>0.99992309999999995</v>
      </c>
      <c r="N3176">
        <v>-1.190277E-2</v>
      </c>
      <c r="O3176">
        <v>-3.5146470000000001E-3</v>
      </c>
      <c r="P3176">
        <v>0.9797112</v>
      </c>
      <c r="Q3176">
        <v>0.200125</v>
      </c>
      <c r="R3176">
        <v>1.079161E-2</v>
      </c>
      <c r="S3176">
        <v>3.319</v>
      </c>
      <c r="T3176">
        <v>-1.261895</v>
      </c>
      <c r="U3176">
        <v>-0.166687</v>
      </c>
      <c r="V3176">
        <v>-1.4227450000000001E-2</v>
      </c>
      <c r="W3176">
        <v>0.21177209999999999</v>
      </c>
      <c r="X3176">
        <v>0.97721550000000001</v>
      </c>
      <c r="Y3176">
        <v>4.3729070000000002E-2</v>
      </c>
      <c r="Z3176">
        <v>-7.0474090000000001E-3</v>
      </c>
      <c r="AA3176">
        <v>0.99901850000000003</v>
      </c>
      <c r="AB3176">
        <v>34</v>
      </c>
      <c r="AC3176">
        <v>0.26229999999998199</v>
      </c>
      <c r="AD3176">
        <v>-0.27986929999999999</v>
      </c>
      <c r="AE3176">
        <v>-3.5599999999988002E-2</v>
      </c>
      <c r="AF3176">
        <v>1.6374004932590999E-2</v>
      </c>
      <c r="AG3176">
        <v>-0.27986929999999999</v>
      </c>
      <c r="AH3176">
        <v>0.123909850100069</v>
      </c>
      <c r="AI3176">
        <v>155.93490393709499</v>
      </c>
      <c r="AJ3176">
        <v>82.472292489676505</v>
      </c>
      <c r="AK3176">
        <v>0.30651033273259198</v>
      </c>
      <c r="AL3176">
        <v>77.773777775369894</v>
      </c>
      <c r="AM3176">
        <v>90.834120261384598</v>
      </c>
      <c r="AN3176">
        <v>0.99999998805608104</v>
      </c>
    </row>
    <row r="3177" spans="1:40" x14ac:dyDescent="0.25">
      <c r="A3177" t="str">
        <f>"20190303162842871"</f>
        <v>20190303162842871</v>
      </c>
      <c r="B3177" t="str">
        <f>"1551601722864284"</f>
        <v>1551601722864284</v>
      </c>
      <c r="C3177" t="s">
        <v>40</v>
      </c>
      <c r="D3177">
        <v>5.0730769999999996</v>
      </c>
      <c r="E3177">
        <v>0.52796069999999995</v>
      </c>
      <c r="F3177" t="s">
        <v>44</v>
      </c>
      <c r="G3177">
        <v>-357.33640000000003</v>
      </c>
      <c r="H3177">
        <v>0.79779929999999999</v>
      </c>
      <c r="I3177">
        <v>214.50980000000001</v>
      </c>
      <c r="J3177">
        <v>-357.8424</v>
      </c>
      <c r="K3177">
        <v>1.1212</v>
      </c>
      <c r="L3177">
        <v>214.55240000000001</v>
      </c>
      <c r="M3177">
        <v>0.99992360000000002</v>
      </c>
      <c r="N3177">
        <v>-1.18586E-2</v>
      </c>
      <c r="O3177">
        <v>-3.5145039999999999E-3</v>
      </c>
      <c r="P3177">
        <v>0.9796089</v>
      </c>
      <c r="Q3177">
        <v>0.20063159999999999</v>
      </c>
      <c r="R3177">
        <v>1.0659149999999999E-2</v>
      </c>
      <c r="S3177">
        <v>3.3186650000000002</v>
      </c>
      <c r="T3177">
        <v>-1.2470220000000001</v>
      </c>
      <c r="U3177">
        <v>-0.16793820000000001</v>
      </c>
      <c r="V3177">
        <v>-1.409413E-2</v>
      </c>
      <c r="W3177">
        <v>0.21223439999999999</v>
      </c>
      <c r="X3177">
        <v>0.97711720000000002</v>
      </c>
      <c r="Y3177">
        <v>4.4145599999999903E-2</v>
      </c>
      <c r="Z3177">
        <v>-7.0505840000000004E-3</v>
      </c>
      <c r="AA3177">
        <v>0.99900029999999995</v>
      </c>
      <c r="AB3177">
        <v>34</v>
      </c>
      <c r="AC3177">
        <v>0.50599999999997103</v>
      </c>
      <c r="AD3177">
        <v>-0.32340069999999999</v>
      </c>
      <c r="AE3177">
        <v>-4.2599999999992998E-2</v>
      </c>
      <c r="AF3177">
        <v>2.9041584529388102E-2</v>
      </c>
      <c r="AG3177">
        <v>-0.32340069999999999</v>
      </c>
      <c r="AH3177">
        <v>0.36008919588578397</v>
      </c>
      <c r="AI3177">
        <v>131.83509548301299</v>
      </c>
      <c r="AJ3177">
        <v>85.389013441877196</v>
      </c>
      <c r="AK3177">
        <v>0.484866636701411</v>
      </c>
      <c r="AL3177">
        <v>77.746674653129404</v>
      </c>
      <c r="AM3177">
        <v>90.826388244321805</v>
      </c>
      <c r="AN3177">
        <v>1.0000000537898199</v>
      </c>
    </row>
    <row r="3178" spans="1:40" x14ac:dyDescent="0.25">
      <c r="A3178" t="str">
        <f>"20190303162842893"</f>
        <v>20190303162842893</v>
      </c>
      <c r="B3178" t="str">
        <f>"1551601722884780"</f>
        <v>1551601722884780</v>
      </c>
      <c r="C3178" t="s">
        <v>40</v>
      </c>
      <c r="D3178">
        <v>5.0529869999999999</v>
      </c>
      <c r="E3178">
        <v>0.52825730000000004</v>
      </c>
      <c r="F3178" t="s">
        <v>44</v>
      </c>
      <c r="G3178">
        <v>-357.02120000000002</v>
      </c>
      <c r="H3178">
        <v>0.81614940000000002</v>
      </c>
      <c r="I3178">
        <v>214.5093</v>
      </c>
      <c r="J3178">
        <v>-357.49270000000001</v>
      </c>
      <c r="K3178">
        <v>1.1212029999999999</v>
      </c>
      <c r="L3178">
        <v>214.55109999999999</v>
      </c>
      <c r="M3178">
        <v>0.99992400000000004</v>
      </c>
      <c r="N3178">
        <v>-1.1817569999999999E-2</v>
      </c>
      <c r="O3178">
        <v>-3.5142609999999999E-3</v>
      </c>
      <c r="P3178">
        <v>0.97955440000000005</v>
      </c>
      <c r="Q3178">
        <v>0.20090540000000001</v>
      </c>
      <c r="R3178">
        <v>1.0516090000000001E-2</v>
      </c>
      <c r="S3178">
        <v>3.3166500000000001</v>
      </c>
      <c r="T3178">
        <v>-1.231957</v>
      </c>
      <c r="U3178">
        <v>-0.1734772</v>
      </c>
      <c r="V3178">
        <v>-1.3950829999999999E-2</v>
      </c>
      <c r="W3178">
        <v>0.21246780000000001</v>
      </c>
      <c r="X3178">
        <v>0.97706850000000001</v>
      </c>
      <c r="Y3178">
        <v>4.5790400000000002E-2</v>
      </c>
      <c r="Z3178">
        <v>-7.282139E-3</v>
      </c>
      <c r="AA3178">
        <v>0.99892460000000005</v>
      </c>
      <c r="AB3178">
        <v>34</v>
      </c>
      <c r="AC3178">
        <v>0.47149999999999098</v>
      </c>
      <c r="AD3178">
        <v>-0.30505359999999998</v>
      </c>
      <c r="AE3178">
        <v>-4.1799999999994897E-2</v>
      </c>
      <c r="AF3178">
        <v>2.83628338923172E-2</v>
      </c>
      <c r="AG3178">
        <v>-0.30505359999999998</v>
      </c>
      <c r="AH3178">
        <v>0.33324057024348003</v>
      </c>
      <c r="AI3178">
        <v>132.368499370432</v>
      </c>
      <c r="AJ3178">
        <v>85.135155380206001</v>
      </c>
      <c r="AK3178">
        <v>0.45267143368624702</v>
      </c>
      <c r="AL3178">
        <v>77.732989325027106</v>
      </c>
      <c r="AM3178">
        <v>90.818027975911605</v>
      </c>
      <c r="AN3178">
        <v>1.0000000226933801</v>
      </c>
    </row>
    <row r="3179" spans="1:40" x14ac:dyDescent="0.25">
      <c r="A3179" t="str">
        <f>"20190303162842914"</f>
        <v>20190303162842914</v>
      </c>
      <c r="B3179" t="str">
        <f>"1551601722904300"</f>
        <v>1551601722904300</v>
      </c>
      <c r="C3179" t="s">
        <v>40</v>
      </c>
      <c r="D3179">
        <v>5.0713039999999996</v>
      </c>
      <c r="E3179">
        <v>0.52848409999999901</v>
      </c>
      <c r="F3179" t="s">
        <v>44</v>
      </c>
      <c r="G3179">
        <v>-356.70710000000003</v>
      </c>
      <c r="H3179">
        <v>0.83122149999999995</v>
      </c>
      <c r="I3179">
        <v>214.50890000000001</v>
      </c>
      <c r="J3179">
        <v>-357.16879999999998</v>
      </c>
      <c r="K3179">
        <v>1.121191</v>
      </c>
      <c r="L3179">
        <v>214.55</v>
      </c>
      <c r="M3179">
        <v>0.99992460000000005</v>
      </c>
      <c r="N3179">
        <v>-1.17804E-2</v>
      </c>
      <c r="O3179">
        <v>-3.5140420000000002E-3</v>
      </c>
      <c r="P3179">
        <v>0.97954050000000004</v>
      </c>
      <c r="Q3179">
        <v>0.20098650000000001</v>
      </c>
      <c r="R3179">
        <v>1.0251939999999999E-2</v>
      </c>
      <c r="S3179">
        <v>3.3155519999999998</v>
      </c>
      <c r="T3179">
        <v>-1.223808</v>
      </c>
      <c r="U3179">
        <v>-0.176651</v>
      </c>
      <c r="V3179">
        <v>-1.368606E-2</v>
      </c>
      <c r="W3179">
        <v>0.21251210000000001</v>
      </c>
      <c r="X3179">
        <v>0.9770626</v>
      </c>
      <c r="Y3179">
        <v>4.6732820000000001E-2</v>
      </c>
      <c r="Z3179">
        <v>-7.4139180000000002E-3</v>
      </c>
      <c r="AA3179">
        <v>0.99887990000000004</v>
      </c>
      <c r="AB3179">
        <v>34</v>
      </c>
      <c r="AC3179">
        <v>0.46169999999994998</v>
      </c>
      <c r="AD3179">
        <v>-0.28996949999999999</v>
      </c>
      <c r="AE3179">
        <v>-4.1100000000000102E-2</v>
      </c>
      <c r="AF3179">
        <v>2.8373461117860401E-2</v>
      </c>
      <c r="AG3179">
        <v>-0.28996949999999999</v>
      </c>
      <c r="AH3179">
        <v>0.33193955133595399</v>
      </c>
      <c r="AI3179">
        <v>131.03589478221599</v>
      </c>
      <c r="AJ3179">
        <v>85.114358878441905</v>
      </c>
      <c r="AK3179">
        <v>0.44166868800852399</v>
      </c>
      <c r="AL3179">
        <v>77.7303916773526</v>
      </c>
      <c r="AM3179">
        <v>90.802509682609397</v>
      </c>
      <c r="AN3179">
        <v>1.0000000126017401</v>
      </c>
    </row>
    <row r="3180" spans="1:40" x14ac:dyDescent="0.25">
      <c r="A3180" t="str">
        <f>"20190303162842937"</f>
        <v>20190303162842937</v>
      </c>
      <c r="B3180" t="str">
        <f>"1551601722924795"</f>
        <v>1551601722924795</v>
      </c>
      <c r="C3180" t="s">
        <v>40</v>
      </c>
      <c r="D3180">
        <v>5.0850429999999998</v>
      </c>
      <c r="E3180">
        <v>0.52868499999999996</v>
      </c>
      <c r="F3180" t="s">
        <v>44</v>
      </c>
      <c r="G3180">
        <v>-356.3965</v>
      </c>
      <c r="H3180">
        <v>0.83727839999999998</v>
      </c>
      <c r="I3180">
        <v>214.50810000000001</v>
      </c>
      <c r="J3180">
        <v>-356.82619999999997</v>
      </c>
      <c r="K3180">
        <v>1.121184</v>
      </c>
      <c r="L3180">
        <v>214.5488</v>
      </c>
      <c r="M3180">
        <v>0.99992499999999995</v>
      </c>
      <c r="N3180">
        <v>-1.174009E-2</v>
      </c>
      <c r="O3180">
        <v>-3.5138050000000001E-3</v>
      </c>
      <c r="P3180">
        <v>0.97946999999999995</v>
      </c>
      <c r="Q3180">
        <v>0.20133280000000001</v>
      </c>
      <c r="R3180">
        <v>1.020075E-2</v>
      </c>
      <c r="S3180">
        <v>3.314575</v>
      </c>
      <c r="T3180">
        <v>-1.2184759999999999</v>
      </c>
      <c r="U3180">
        <v>-0.17900089999999999</v>
      </c>
      <c r="V3180">
        <v>-1.363435E-2</v>
      </c>
      <c r="W3180">
        <v>0.2128177</v>
      </c>
      <c r="X3180">
        <v>0.9769968</v>
      </c>
      <c r="Y3180">
        <v>4.743108E-2</v>
      </c>
      <c r="Z3180">
        <v>-7.5141009999999996E-3</v>
      </c>
      <c r="AA3180">
        <v>0.99884620000000002</v>
      </c>
      <c r="AB3180">
        <v>34</v>
      </c>
      <c r="AC3180">
        <v>0.429699999999968</v>
      </c>
      <c r="AD3180">
        <v>-0.28390559999999998</v>
      </c>
      <c r="AE3180">
        <v>-4.0699999999986802E-2</v>
      </c>
      <c r="AF3180">
        <v>2.7354704491340899E-2</v>
      </c>
      <c r="AG3180">
        <v>-0.28390559999999998</v>
      </c>
      <c r="AH3180">
        <v>0.30003132018161199</v>
      </c>
      <c r="AI3180">
        <v>133.29976858588699</v>
      </c>
      <c r="AJ3180">
        <v>84.7905841850001</v>
      </c>
      <c r="AK3180">
        <v>0.41396794883069099</v>
      </c>
      <c r="AL3180">
        <v>77.712472125736497</v>
      </c>
      <c r="AM3180">
        <v>90.799531794201798</v>
      </c>
      <c r="AN3180">
        <v>1.00000000807172</v>
      </c>
    </row>
    <row r="3181" spans="1:40" x14ac:dyDescent="0.25">
      <c r="A3181" t="str">
        <f>"20190303162842959"</f>
        <v>20190303162842959</v>
      </c>
      <c r="B3181" t="str">
        <f>"1551601722955053"</f>
        <v>1551601722955053</v>
      </c>
      <c r="C3181" t="s">
        <v>40</v>
      </c>
      <c r="D3181">
        <v>5.096571</v>
      </c>
      <c r="E3181">
        <v>0.52894269999999999</v>
      </c>
      <c r="F3181" t="s">
        <v>44</v>
      </c>
      <c r="G3181">
        <v>-356.08339999999998</v>
      </c>
      <c r="H3181">
        <v>0.84933289999999995</v>
      </c>
      <c r="I3181">
        <v>214.50819999999999</v>
      </c>
      <c r="J3181">
        <v>-356.4701</v>
      </c>
      <c r="K3181">
        <v>1.121181</v>
      </c>
      <c r="L3181">
        <v>214.54750000000001</v>
      </c>
      <c r="M3181">
        <v>0.99992539999999996</v>
      </c>
      <c r="N3181">
        <v>-1.1696399999999999E-2</v>
      </c>
      <c r="O3181">
        <v>-3.5135489999999999E-3</v>
      </c>
      <c r="P3181">
        <v>0.97936179999999995</v>
      </c>
      <c r="Q3181">
        <v>0.2018576</v>
      </c>
      <c r="R3181">
        <v>1.0203240000000001E-2</v>
      </c>
      <c r="S3181">
        <v>3.3140260000000001</v>
      </c>
      <c r="T3181">
        <v>-1.2128289999999999</v>
      </c>
      <c r="U3181">
        <v>-0.17997739999999901</v>
      </c>
      <c r="V3181">
        <v>-1.363662E-2</v>
      </c>
      <c r="W3181">
        <v>0.21329899999999999</v>
      </c>
      <c r="X3181">
        <v>0.97689179999999998</v>
      </c>
      <c r="Y3181">
        <v>4.7738959999999997E-2</v>
      </c>
      <c r="Z3181">
        <v>-7.5390789999999997E-3</v>
      </c>
      <c r="AA3181">
        <v>0.99883140000000004</v>
      </c>
      <c r="AB3181">
        <v>34</v>
      </c>
      <c r="AC3181">
        <v>0.38670000000001797</v>
      </c>
      <c r="AD3181">
        <v>-0.27184809999999998</v>
      </c>
      <c r="AE3181">
        <v>-3.9300000000025599E-2</v>
      </c>
      <c r="AF3181">
        <v>2.5478283855024101E-2</v>
      </c>
      <c r="AG3181">
        <v>-0.27184809999999998</v>
      </c>
      <c r="AH3181">
        <v>0.25976954694382998</v>
      </c>
      <c r="AI3181">
        <v>136.16455063682</v>
      </c>
      <c r="AJ3181">
        <v>84.398327211399902</v>
      </c>
      <c r="AK3181">
        <v>0.37686967235532398</v>
      </c>
      <c r="AL3181">
        <v>77.684247577281496</v>
      </c>
      <c r="AM3181">
        <v>90.799750831789893</v>
      </c>
      <c r="AN3181">
        <v>1.00000000485663</v>
      </c>
    </row>
    <row r="3182" spans="1:40" x14ac:dyDescent="0.25">
      <c r="A3182" t="str">
        <f>"20190303162842983"</f>
        <v>20190303162842983</v>
      </c>
      <c r="B3182" t="str">
        <f>"1551601722975548"</f>
        <v>1551601722975548</v>
      </c>
      <c r="C3182" t="s">
        <v>40</v>
      </c>
      <c r="D3182">
        <v>5.0994830000000002</v>
      </c>
      <c r="E3182">
        <v>0.52910729999999995</v>
      </c>
      <c r="F3182" t="s">
        <v>44</v>
      </c>
      <c r="G3182">
        <v>-355.7681</v>
      </c>
      <c r="H3182">
        <v>0.86581249999999998</v>
      </c>
      <c r="I3182">
        <v>214.50880000000001</v>
      </c>
      <c r="J3182">
        <v>-356.10489999999999</v>
      </c>
      <c r="K3182">
        <v>1.1211719999999901</v>
      </c>
      <c r="L3182">
        <v>214.5462</v>
      </c>
      <c r="M3182">
        <v>0.99992599999999998</v>
      </c>
      <c r="N3182">
        <v>-1.1650600000000001E-2</v>
      </c>
      <c r="O3182">
        <v>-3.51352E-3</v>
      </c>
      <c r="P3182">
        <v>0.97941880000000003</v>
      </c>
      <c r="Q3182">
        <v>0.20158989999999999</v>
      </c>
      <c r="R3182">
        <v>1.001237E-2</v>
      </c>
      <c r="S3182">
        <v>3.3135680000000001</v>
      </c>
      <c r="T3182">
        <v>-1.205395</v>
      </c>
      <c r="U3182">
        <v>-0.18220520000000001</v>
      </c>
      <c r="V3182">
        <v>-1.344563E-2</v>
      </c>
      <c r="W3182">
        <v>0.2129868</v>
      </c>
      <c r="X3182">
        <v>0.97696260000000001</v>
      </c>
      <c r="Y3182">
        <v>4.8406350000000001E-2</v>
      </c>
      <c r="Z3182">
        <v>-7.6185530000000001E-3</v>
      </c>
      <c r="AA3182">
        <v>0.99879870000000004</v>
      </c>
      <c r="AB3182">
        <v>34</v>
      </c>
      <c r="AC3182">
        <v>0.336799999999982</v>
      </c>
      <c r="AD3182">
        <v>-0.25535949999999902</v>
      </c>
      <c r="AE3182">
        <v>-3.7399999999991003E-2</v>
      </c>
      <c r="AF3182">
        <v>2.3099291153649001E-2</v>
      </c>
      <c r="AG3182">
        <v>-0.25535949999999902</v>
      </c>
      <c r="AH3182">
        <v>0.21489829793836199</v>
      </c>
      <c r="AI3182">
        <v>139.75543464549901</v>
      </c>
      <c r="AJ3182">
        <v>83.864866517820303</v>
      </c>
      <c r="AK3182">
        <v>0.33454944320511998</v>
      </c>
      <c r="AL3182">
        <v>77.702556491182506</v>
      </c>
      <c r="AM3182">
        <v>90.788494071253396</v>
      </c>
      <c r="AN3182">
        <v>1.0000000418695401</v>
      </c>
    </row>
    <row r="3183" spans="1:40" x14ac:dyDescent="0.25">
      <c r="A3183" t="str">
        <f>"20190303162843006"</f>
        <v>20190303162843006</v>
      </c>
      <c r="B3183" t="str">
        <f>"1551601722995068"</f>
        <v>1551601722995068</v>
      </c>
      <c r="C3183" t="s">
        <v>40</v>
      </c>
      <c r="D3183">
        <v>5.0996069999999998</v>
      </c>
      <c r="E3183">
        <v>0.52924159999999998</v>
      </c>
      <c r="F3183" t="s">
        <v>44</v>
      </c>
      <c r="G3183">
        <v>-355.1825</v>
      </c>
      <c r="H3183">
        <v>0.78634150000000003</v>
      </c>
      <c r="I3183">
        <v>214.4948</v>
      </c>
      <c r="J3183">
        <v>-355.76</v>
      </c>
      <c r="K3183">
        <v>1.121165</v>
      </c>
      <c r="L3183">
        <v>214.54509999999999</v>
      </c>
      <c r="M3183">
        <v>0.99992639999999999</v>
      </c>
      <c r="N3183">
        <v>-1.1605010000000001E-2</v>
      </c>
      <c r="O3183">
        <v>-3.5132560000000002E-3</v>
      </c>
      <c r="P3183">
        <v>0.97947669999999998</v>
      </c>
      <c r="Q3183">
        <v>0.2013105</v>
      </c>
      <c r="R3183">
        <v>9.9570289999999992E-3</v>
      </c>
      <c r="S3183">
        <v>3.3124389999999999</v>
      </c>
      <c r="T3183">
        <v>-1.202339</v>
      </c>
      <c r="U3183">
        <v>-0.18411250000000001</v>
      </c>
      <c r="V3183">
        <v>-1.3390229999999999E-2</v>
      </c>
      <c r="W3183">
        <v>0.21266399999999999</v>
      </c>
      <c r="X3183">
        <v>0.9770337</v>
      </c>
      <c r="Y3183">
        <v>4.8974320000000002E-2</v>
      </c>
      <c r="Z3183">
        <v>-7.7053959999999998E-3</v>
      </c>
      <c r="AA3183">
        <v>0.9987703</v>
      </c>
      <c r="AB3183">
        <v>35</v>
      </c>
      <c r="AC3183">
        <v>0.57749999999998602</v>
      </c>
      <c r="AD3183">
        <v>-0.334823499999999</v>
      </c>
      <c r="AE3183">
        <v>-5.0299999999992899E-2</v>
      </c>
      <c r="AF3183">
        <v>3.6195338251104603E-2</v>
      </c>
      <c r="AG3183">
        <v>-0.334823499999999</v>
      </c>
      <c r="AH3183">
        <v>0.43316335520333499</v>
      </c>
      <c r="AI3183">
        <v>127.60663915457501</v>
      </c>
      <c r="AJ3183">
        <v>85.223433713755995</v>
      </c>
      <c r="AK3183">
        <v>0.54867783894957201</v>
      </c>
      <c r="AL3183">
        <v>77.721485484691499</v>
      </c>
      <c r="AM3183">
        <v>90.785188512312502</v>
      </c>
      <c r="AN3183">
        <v>1.0000000630455601</v>
      </c>
    </row>
    <row r="3184" spans="1:40" x14ac:dyDescent="0.25">
      <c r="A3184" t="str">
        <f>"20190303162843027"</f>
        <v>20190303162843027</v>
      </c>
      <c r="B3184" t="str">
        <f>"1551601723024348"</f>
        <v>1551601723024348</v>
      </c>
      <c r="C3184" t="s">
        <v>40</v>
      </c>
      <c r="D3184">
        <v>5.1485589999999997</v>
      </c>
      <c r="E3184">
        <v>0.52941490000000002</v>
      </c>
      <c r="F3184" t="s">
        <v>44</v>
      </c>
      <c r="G3184">
        <v>-354.8689</v>
      </c>
      <c r="H3184">
        <v>0.79828100000000002</v>
      </c>
      <c r="I3184">
        <v>214.495</v>
      </c>
      <c r="J3184">
        <v>-355.42930000000001</v>
      </c>
      <c r="K3184">
        <v>1.121156</v>
      </c>
      <c r="L3184">
        <v>214.54390000000001</v>
      </c>
      <c r="M3184">
        <v>0.99992700000000001</v>
      </c>
      <c r="N3184">
        <v>-1.156068E-2</v>
      </c>
      <c r="O3184">
        <v>-3.5127610000000001E-3</v>
      </c>
      <c r="P3184">
        <v>0.97953610000000002</v>
      </c>
      <c r="Q3184">
        <v>0.20104150000000001</v>
      </c>
      <c r="R3184">
        <v>9.5634610000000005E-3</v>
      </c>
      <c r="S3184">
        <v>3.31134</v>
      </c>
      <c r="T3184">
        <v>-1.1998009999999999</v>
      </c>
      <c r="U3184">
        <v>-0.18553159999999999</v>
      </c>
      <c r="V3184">
        <v>-1.299606E-2</v>
      </c>
      <c r="W3184">
        <v>0.21235219999999999</v>
      </c>
      <c r="X3184">
        <v>0.97710680000000005</v>
      </c>
      <c r="Y3184">
        <v>4.9402500000000002E-2</v>
      </c>
      <c r="Z3184">
        <v>-7.7695309999999997E-3</v>
      </c>
      <c r="AA3184">
        <v>0.99874870000000004</v>
      </c>
      <c r="AB3184">
        <v>35</v>
      </c>
      <c r="AC3184">
        <v>0.560400000000015</v>
      </c>
      <c r="AD3184">
        <v>-0.32287500000000002</v>
      </c>
      <c r="AE3184">
        <v>-4.8900000000003198E-2</v>
      </c>
      <c r="AF3184">
        <v>3.5301301244914103E-2</v>
      </c>
      <c r="AG3184">
        <v>-0.32287500000000002</v>
      </c>
      <c r="AH3184">
        <v>0.42165700480135898</v>
      </c>
      <c r="AI3184">
        <v>127.34578599349101</v>
      </c>
      <c r="AJ3184">
        <v>85.214333577852798</v>
      </c>
      <c r="AK3184">
        <v>0.53224907439340596</v>
      </c>
      <c r="AL3184">
        <v>77.739767435647195</v>
      </c>
      <c r="AM3184">
        <v>90.762020573464099</v>
      </c>
      <c r="AN3184">
        <v>1.0000000265133</v>
      </c>
    </row>
    <row r="3185" spans="1:40" x14ac:dyDescent="0.25">
      <c r="A3185" t="str">
        <f>"20190303162843050"</f>
        <v>20190303162843050</v>
      </c>
      <c r="B3185" t="str">
        <f>"1551601723044844"</f>
        <v>1551601723044844</v>
      </c>
      <c r="C3185" t="s">
        <v>40</v>
      </c>
      <c r="D3185">
        <v>5.1908949999999896</v>
      </c>
      <c r="E3185">
        <v>0.52950750000000002</v>
      </c>
      <c r="F3185" t="s">
        <v>44</v>
      </c>
      <c r="G3185">
        <v>-354.55669999999998</v>
      </c>
      <c r="H3185">
        <v>0.80589129999999998</v>
      </c>
      <c r="I3185">
        <v>214.4941</v>
      </c>
      <c r="J3185">
        <v>-355.0779</v>
      </c>
      <c r="K3185">
        <v>1.121154</v>
      </c>
      <c r="L3185">
        <v>214.5427</v>
      </c>
      <c r="M3185">
        <v>0.99992760000000003</v>
      </c>
      <c r="N3185">
        <v>-1.151042E-2</v>
      </c>
      <c r="O3185">
        <v>-3.5123519999999998E-3</v>
      </c>
      <c r="P3185">
        <v>0.97951109999999997</v>
      </c>
      <c r="Q3185">
        <v>0.2011684</v>
      </c>
      <c r="R3185">
        <v>9.4549660000000004E-3</v>
      </c>
      <c r="S3185">
        <v>3.3099669999999999</v>
      </c>
      <c r="T3185">
        <v>-1.1958679999999999</v>
      </c>
      <c r="U3185">
        <v>-0.1885376</v>
      </c>
      <c r="V3185">
        <v>-1.2887279999999999E-2</v>
      </c>
      <c r="W3185">
        <v>0.2124296</v>
      </c>
      <c r="X3185">
        <v>0.97709140000000005</v>
      </c>
      <c r="Y3185">
        <v>5.0289529999999999E-2</v>
      </c>
      <c r="Z3185">
        <v>-7.9084489999999997E-3</v>
      </c>
      <c r="AA3185">
        <v>0.99870340000000002</v>
      </c>
      <c r="AB3185">
        <v>35</v>
      </c>
      <c r="AC3185">
        <v>0.52120000000002098</v>
      </c>
      <c r="AD3185">
        <v>-0.31526269999999901</v>
      </c>
      <c r="AE3185">
        <v>-4.8599999999993301E-2</v>
      </c>
      <c r="AF3185">
        <v>3.43201805201769E-2</v>
      </c>
      <c r="AG3185">
        <v>-0.31526269999999901</v>
      </c>
      <c r="AH3185">
        <v>0.38259208316219501</v>
      </c>
      <c r="AI3185">
        <v>129.37649050373099</v>
      </c>
      <c r="AJ3185">
        <v>84.874038326362694</v>
      </c>
      <c r="AK3185">
        <v>0.49693575731739698</v>
      </c>
      <c r="AL3185">
        <v>77.735229001550493</v>
      </c>
      <c r="AM3185">
        <v>90.755654937720607</v>
      </c>
      <c r="AN3185">
        <v>1.0000000104479501</v>
      </c>
    </row>
    <row r="3186" spans="1:40" x14ac:dyDescent="0.25">
      <c r="A3186" t="str">
        <f>"20190303162843072"</f>
        <v>20190303162843072</v>
      </c>
      <c r="B3186" t="str">
        <f>"1551601723064364"</f>
        <v>1551601723064364</v>
      </c>
      <c r="C3186" t="s">
        <v>40</v>
      </c>
      <c r="D3186">
        <v>5.1848239999999999</v>
      </c>
      <c r="E3186">
        <v>0.52958439999999996</v>
      </c>
      <c r="F3186" t="s">
        <v>44</v>
      </c>
      <c r="G3186">
        <v>-354.24189999999999</v>
      </c>
      <c r="H3186">
        <v>0.81995869999999904</v>
      </c>
      <c r="I3186">
        <v>214.49420000000001</v>
      </c>
      <c r="J3186">
        <v>-354.73399999999998</v>
      </c>
      <c r="K3186">
        <v>1.121148</v>
      </c>
      <c r="L3186">
        <v>214.54150000000001</v>
      </c>
      <c r="M3186">
        <v>0.99992829999999999</v>
      </c>
      <c r="N3186">
        <v>-1.145753E-2</v>
      </c>
      <c r="O3186">
        <v>-3.5120479999999998E-3</v>
      </c>
      <c r="P3186">
        <v>0.97953029999999996</v>
      </c>
      <c r="Q3186">
        <v>0.2010595</v>
      </c>
      <c r="R3186">
        <v>9.7837089999999998E-3</v>
      </c>
      <c r="S3186">
        <v>3.309418</v>
      </c>
      <c r="T3186">
        <v>-1.192293</v>
      </c>
      <c r="U3186">
        <v>-0.19030759999999999</v>
      </c>
      <c r="V3186">
        <v>-1.3216220000000001E-2</v>
      </c>
      <c r="W3186">
        <v>0.21226929999999999</v>
      </c>
      <c r="X3186">
        <v>0.97712180000000004</v>
      </c>
      <c r="Y3186">
        <v>5.0814749999999999E-2</v>
      </c>
      <c r="Z3186">
        <v>-7.9815019999999997E-3</v>
      </c>
      <c r="AA3186">
        <v>0.99867620000000001</v>
      </c>
      <c r="AB3186">
        <v>35</v>
      </c>
      <c r="AC3186">
        <v>0.49210000000005</v>
      </c>
      <c r="AD3186">
        <v>-0.30118929999999999</v>
      </c>
      <c r="AE3186">
        <v>-4.7300000000007003E-2</v>
      </c>
      <c r="AF3186">
        <v>3.3235236126804402E-2</v>
      </c>
      <c r="AG3186">
        <v>-0.30118929999999999</v>
      </c>
      <c r="AH3186">
        <v>0.35900828834843301</v>
      </c>
      <c r="AI3186">
        <v>129.87457318319201</v>
      </c>
      <c r="AJ3186">
        <v>84.710911273135494</v>
      </c>
      <c r="AK3186">
        <v>0.46979413199588399</v>
      </c>
      <c r="AL3186">
        <v>77.744627340514796</v>
      </c>
      <c r="AM3186">
        <v>90.774916141652497</v>
      </c>
      <c r="AN3186">
        <v>0.99999996811440806</v>
      </c>
    </row>
    <row r="3187" spans="1:40" x14ac:dyDescent="0.25">
      <c r="A3187" t="str">
        <f>"20190303162843095"</f>
        <v>20190303162843095</v>
      </c>
      <c r="B3187" t="str">
        <f>"1551601723084860"</f>
        <v>1551601723084860</v>
      </c>
      <c r="C3187" t="s">
        <v>40</v>
      </c>
      <c r="D3187">
        <v>5.1823189999999997</v>
      </c>
      <c r="E3187">
        <v>0.5296476</v>
      </c>
      <c r="F3187" t="s">
        <v>44</v>
      </c>
      <c r="G3187">
        <v>-353.928</v>
      </c>
      <c r="H3187">
        <v>0.83125669999999996</v>
      </c>
      <c r="I3187">
        <v>214.4949</v>
      </c>
      <c r="J3187">
        <v>-354.3734</v>
      </c>
      <c r="K3187">
        <v>1.1211450000000001</v>
      </c>
      <c r="L3187">
        <v>214.5402</v>
      </c>
      <c r="M3187">
        <v>0.99992879999999995</v>
      </c>
      <c r="N3187">
        <v>-1.140275E-2</v>
      </c>
      <c r="O3187">
        <v>-3.5114949999999999E-3</v>
      </c>
      <c r="P3187">
        <v>0.97944059999999999</v>
      </c>
      <c r="Q3187">
        <v>0.20149069999999999</v>
      </c>
      <c r="R3187">
        <v>9.8796609999999997E-3</v>
      </c>
      <c r="S3187">
        <v>3.3088679999999999</v>
      </c>
      <c r="T3187">
        <v>-1.1900729999999999</v>
      </c>
      <c r="U3187">
        <v>-0.1901245</v>
      </c>
      <c r="V3187">
        <v>-1.3311079999999999E-2</v>
      </c>
      <c r="W3187">
        <v>0.21264620000000001</v>
      </c>
      <c r="X3187">
        <v>0.97703859999999998</v>
      </c>
      <c r="Y3187">
        <v>5.0782340000000002E-2</v>
      </c>
      <c r="Z3187">
        <v>-7.9620130000000004E-3</v>
      </c>
      <c r="AA3187">
        <v>0.99867799999999995</v>
      </c>
      <c r="AB3187">
        <v>35</v>
      </c>
      <c r="AC3187">
        <v>0.445399999999949</v>
      </c>
      <c r="AD3187">
        <v>-0.28988829999999999</v>
      </c>
      <c r="AE3187">
        <v>-4.5299999999997398E-2</v>
      </c>
      <c r="AF3187">
        <v>3.0815605204903999E-2</v>
      </c>
      <c r="AG3187">
        <v>-0.28988829999999999</v>
      </c>
      <c r="AH3187">
        <v>0.31393392098808598</v>
      </c>
      <c r="AI3187">
        <v>132.58265908969199</v>
      </c>
      <c r="AJ3187">
        <v>84.393833036469402</v>
      </c>
      <c r="AK3187">
        <v>0.42841490957713901</v>
      </c>
      <c r="AL3187">
        <v>77.722528543172004</v>
      </c>
      <c r="AM3187">
        <v>90.780543904314399</v>
      </c>
      <c r="AN3187">
        <v>1.00000000855758</v>
      </c>
    </row>
    <row r="3188" spans="1:40" x14ac:dyDescent="0.25">
      <c r="A3188" t="str">
        <f>"20190303162843117"</f>
        <v>20190303162843117</v>
      </c>
      <c r="B3188" t="str">
        <f>"1551601723104381"</f>
        <v>1551601723104381</v>
      </c>
      <c r="C3188" t="s">
        <v>40</v>
      </c>
      <c r="D3188">
        <v>5.201193</v>
      </c>
      <c r="E3188">
        <v>0.52972079999999999</v>
      </c>
      <c r="F3188" t="s">
        <v>44</v>
      </c>
      <c r="G3188">
        <v>-353.61180000000002</v>
      </c>
      <c r="H3188">
        <v>0.84799579999999997</v>
      </c>
      <c r="I3188">
        <v>214.49629999999999</v>
      </c>
      <c r="J3188">
        <v>-354.04820000000001</v>
      </c>
      <c r="K3188">
        <v>1.1211329999999999</v>
      </c>
      <c r="L3188">
        <v>214.53909999999999</v>
      </c>
      <c r="M3188">
        <v>0.99992939999999997</v>
      </c>
      <c r="N3188">
        <v>-1.1354370000000001E-2</v>
      </c>
      <c r="O3188">
        <v>-3.5112199999999998E-3</v>
      </c>
      <c r="P3188">
        <v>0.97935740000000004</v>
      </c>
      <c r="Q3188">
        <v>0.2018499</v>
      </c>
      <c r="R3188">
        <v>1.0784490000000001E-2</v>
      </c>
      <c r="S3188">
        <v>3.309021</v>
      </c>
      <c r="T3188">
        <v>-1.186574</v>
      </c>
      <c r="U3188">
        <v>-0.19033810000000001</v>
      </c>
      <c r="V3188">
        <v>-1.4215780000000001E-2</v>
      </c>
      <c r="W3188">
        <v>0.21295700000000001</v>
      </c>
      <c r="X3188">
        <v>0.9769582</v>
      </c>
      <c r="Y3188">
        <v>5.0857409999999999E-2</v>
      </c>
      <c r="Z3188">
        <v>-7.9526649999999994E-3</v>
      </c>
      <c r="AA3188">
        <v>0.99867430000000001</v>
      </c>
      <c r="AB3188">
        <v>35</v>
      </c>
      <c r="AC3188">
        <v>0.43639999999999102</v>
      </c>
      <c r="AD3188">
        <v>-0.27313719999999903</v>
      </c>
      <c r="AE3188">
        <v>-4.2799999999999699E-2</v>
      </c>
      <c r="AF3188">
        <v>2.9731454451960598E-2</v>
      </c>
      <c r="AG3188">
        <v>-0.27313719999999903</v>
      </c>
      <c r="AH3188">
        <v>0.31451493503706501</v>
      </c>
      <c r="AI3188">
        <v>130.84620448795499</v>
      </c>
      <c r="AJ3188">
        <v>84.599812260846605</v>
      </c>
      <c r="AK3188">
        <v>0.41762128031152601</v>
      </c>
      <c r="AL3188">
        <v>77.704304077560906</v>
      </c>
      <c r="AM3188">
        <v>90.833655644496702</v>
      </c>
      <c r="AN3188">
        <v>1.00000004839862</v>
      </c>
    </row>
    <row r="3189" spans="1:40" x14ac:dyDescent="0.25">
      <c r="A3189" t="str">
        <f>"20190303162843137"</f>
        <v>20190303162843137</v>
      </c>
      <c r="B3189" t="str">
        <f>"1551601723134637"</f>
        <v>1551601723134637</v>
      </c>
      <c r="C3189" t="s">
        <v>40</v>
      </c>
      <c r="D3189">
        <v>5.2146619999999997</v>
      </c>
      <c r="E3189">
        <v>0.529833199999999</v>
      </c>
      <c r="F3189" t="s">
        <v>44</v>
      </c>
      <c r="G3189">
        <v>-353.29969999999997</v>
      </c>
      <c r="H3189">
        <v>0.85346169999999999</v>
      </c>
      <c r="I3189">
        <v>214.49639999999999</v>
      </c>
      <c r="J3189">
        <v>-353.71690000000001</v>
      </c>
      <c r="K3189">
        <v>1.1211279999999999</v>
      </c>
      <c r="L3189">
        <v>214.53790000000001</v>
      </c>
      <c r="M3189">
        <v>0.99992999999999999</v>
      </c>
      <c r="N3189">
        <v>-1.1305290000000001E-2</v>
      </c>
      <c r="O3189">
        <v>-3.5108219999999998E-3</v>
      </c>
      <c r="P3189">
        <v>0.97923269999999996</v>
      </c>
      <c r="Q3189">
        <v>0.20241329999999999</v>
      </c>
      <c r="R3189">
        <v>1.1499209999999999E-2</v>
      </c>
      <c r="S3189">
        <v>3.3092649999999999</v>
      </c>
      <c r="T3189">
        <v>-1.183459</v>
      </c>
      <c r="U3189">
        <v>-0.18803410000000001</v>
      </c>
      <c r="V3189">
        <v>-1.492914E-2</v>
      </c>
      <c r="W3189">
        <v>0.21347089999999999</v>
      </c>
      <c r="X3189">
        <v>0.97683540000000002</v>
      </c>
      <c r="Y3189">
        <v>5.0217489999999997E-2</v>
      </c>
      <c r="Z3189">
        <v>-7.8174460000000005E-3</v>
      </c>
      <c r="AA3189">
        <v>0.99870769999999998</v>
      </c>
      <c r="AB3189">
        <v>35</v>
      </c>
      <c r="AC3189">
        <v>0.41720000000003599</v>
      </c>
      <c r="AD3189">
        <v>-0.26766630000000002</v>
      </c>
      <c r="AE3189">
        <v>-4.1500000000013401E-2</v>
      </c>
      <c r="AF3189">
        <v>2.8442201908876499E-2</v>
      </c>
      <c r="AG3189">
        <v>-0.26766630000000002</v>
      </c>
      <c r="AH3189">
        <v>0.29649498719890299</v>
      </c>
      <c r="AI3189">
        <v>131.94423078459599</v>
      </c>
      <c r="AJ3189">
        <v>84.520491314898294</v>
      </c>
      <c r="AK3189">
        <v>0.40045409779298402</v>
      </c>
      <c r="AL3189">
        <v>77.674166825843002</v>
      </c>
      <c r="AM3189">
        <v>90.875592883732907</v>
      </c>
      <c r="AN3189">
        <v>1.00000005153055</v>
      </c>
    </row>
    <row r="3190" spans="1:40" x14ac:dyDescent="0.25">
      <c r="A3190" t="str">
        <f>"20190303162843160"</f>
        <v>20190303162843160</v>
      </c>
      <c r="B3190" t="str">
        <f>"1551601723155132"</f>
        <v>1551601723155132</v>
      </c>
      <c r="C3190" t="s">
        <v>40</v>
      </c>
      <c r="D3190">
        <v>5.2358549999999999</v>
      </c>
      <c r="E3190">
        <v>0.52988800000000003</v>
      </c>
      <c r="F3190" t="s">
        <v>44</v>
      </c>
      <c r="G3190">
        <v>-352.98649999999998</v>
      </c>
      <c r="H3190">
        <v>0.86102129999999999</v>
      </c>
      <c r="I3190">
        <v>214.49629999999999</v>
      </c>
      <c r="J3190">
        <v>-353.35950000000003</v>
      </c>
      <c r="K3190">
        <v>1.1211230000000001</v>
      </c>
      <c r="L3190">
        <v>214.5367</v>
      </c>
      <c r="M3190">
        <v>0.9999306</v>
      </c>
      <c r="N3190">
        <v>-1.125494E-2</v>
      </c>
      <c r="O3190">
        <v>-3.5105370000000002E-3</v>
      </c>
      <c r="P3190">
        <v>0.97921769999999997</v>
      </c>
      <c r="Q3190">
        <v>0.202458</v>
      </c>
      <c r="R3190">
        <v>1.1982690000000001E-2</v>
      </c>
      <c r="S3190">
        <v>3.3094480000000002</v>
      </c>
      <c r="T3190">
        <v>-1.1786589999999999</v>
      </c>
      <c r="U3190">
        <v>-0.18756100000000001</v>
      </c>
      <c r="V3190">
        <v>-1.5412179999999999E-2</v>
      </c>
      <c r="W3190">
        <v>0.21346619999999999</v>
      </c>
      <c r="X3190">
        <v>0.9768289</v>
      </c>
      <c r="Y3190">
        <v>5.0103559999999998E-2</v>
      </c>
      <c r="Z3190">
        <v>-7.7667150000000004E-3</v>
      </c>
      <c r="AA3190">
        <v>0.99871390000000004</v>
      </c>
      <c r="AB3190">
        <v>35</v>
      </c>
      <c r="AC3190">
        <v>0.37300000000004702</v>
      </c>
      <c r="AD3190">
        <v>-0.26010169999999899</v>
      </c>
      <c r="AE3190">
        <v>-4.04000000000053E-2</v>
      </c>
      <c r="AF3190">
        <v>2.6401229277960899E-2</v>
      </c>
      <c r="AG3190">
        <v>-0.26010169999999899</v>
      </c>
      <c r="AH3190">
        <v>0.25201541273136102</v>
      </c>
      <c r="AI3190">
        <v>135.74834058846</v>
      </c>
      <c r="AJ3190">
        <v>84.019487142408295</v>
      </c>
      <c r="AK3190">
        <v>0.36312764629594901</v>
      </c>
      <c r="AL3190">
        <v>77.674442160678296</v>
      </c>
      <c r="AM3190">
        <v>90.903924528552494</v>
      </c>
      <c r="AN3190">
        <v>1.000000026855</v>
      </c>
    </row>
    <row r="3191" spans="1:40" x14ac:dyDescent="0.25">
      <c r="A3191" t="str">
        <f>"20190303162843184"</f>
        <v>20190303162843184</v>
      </c>
      <c r="B3191" t="str">
        <f>"1551601723174652"</f>
        <v>1551601723174652</v>
      </c>
      <c r="C3191" t="s">
        <v>40</v>
      </c>
      <c r="D3191">
        <v>5.2441389999999997</v>
      </c>
      <c r="E3191">
        <v>0.52990159999999997</v>
      </c>
      <c r="F3191" t="s">
        <v>44</v>
      </c>
      <c r="G3191">
        <v>-352.67009999999999</v>
      </c>
      <c r="H3191">
        <v>0.87588199999999905</v>
      </c>
      <c r="I3191">
        <v>214.49760000000001</v>
      </c>
      <c r="J3191">
        <v>-352.99869999999999</v>
      </c>
      <c r="K3191">
        <v>1.12112099999999</v>
      </c>
      <c r="L3191">
        <v>214.53540000000001</v>
      </c>
      <c r="M3191">
        <v>0.99993109999999996</v>
      </c>
      <c r="N3191">
        <v>-1.120874E-2</v>
      </c>
      <c r="O3191">
        <v>-3.510277E-3</v>
      </c>
      <c r="P3191">
        <v>0.97918079999999996</v>
      </c>
      <c r="Q3191">
        <v>0.2026356</v>
      </c>
      <c r="R3191">
        <v>1.199337E-2</v>
      </c>
      <c r="S3191">
        <v>3.3093569999999999</v>
      </c>
      <c r="T3191">
        <v>-1.177109</v>
      </c>
      <c r="U3191">
        <v>-0.1867065</v>
      </c>
      <c r="V3191">
        <v>-1.5422899999999899E-2</v>
      </c>
      <c r="W3191">
        <v>0.2135985</v>
      </c>
      <c r="X3191">
        <v>0.9767998</v>
      </c>
      <c r="Y3191">
        <v>4.9870770000000002E-2</v>
      </c>
      <c r="Z3191">
        <v>-7.714973E-3</v>
      </c>
      <c r="AA3191">
        <v>0.99872590000000006</v>
      </c>
      <c r="AB3191">
        <v>35</v>
      </c>
      <c r="AC3191">
        <v>0.32859999999999401</v>
      </c>
      <c r="AD3191">
        <v>-0.24523899999999901</v>
      </c>
      <c r="AE3191">
        <v>-3.7800000000004198E-2</v>
      </c>
      <c r="AF3191">
        <v>2.3647123763454601E-2</v>
      </c>
      <c r="AG3191">
        <v>-0.24523899999999901</v>
      </c>
      <c r="AH3191">
        <v>0.21212379820799401</v>
      </c>
      <c r="AI3191">
        <v>138.96611227967199</v>
      </c>
      <c r="AJ3191">
        <v>83.639047733943102</v>
      </c>
      <c r="AK3191">
        <v>0.32511207198360098</v>
      </c>
      <c r="AL3191">
        <v>77.666682849849394</v>
      </c>
      <c r="AM3191">
        <v>90.904580095453397</v>
      </c>
      <c r="AN3191">
        <v>1.0000000171633401</v>
      </c>
    </row>
    <row r="3192" spans="1:40" x14ac:dyDescent="0.25">
      <c r="A3192" t="str">
        <f>"20190303162843207"</f>
        <v>20190303162843207</v>
      </c>
      <c r="B3192" t="str">
        <f>"1551601723195148"</f>
        <v>1551601723195148</v>
      </c>
      <c r="C3192" t="s">
        <v>40</v>
      </c>
      <c r="D3192">
        <v>5.2431599999999996</v>
      </c>
      <c r="E3192">
        <v>0.52838719999999995</v>
      </c>
      <c r="F3192" t="s">
        <v>44</v>
      </c>
      <c r="G3192">
        <v>-352.08150000000001</v>
      </c>
      <c r="H3192">
        <v>0.79523540000000004</v>
      </c>
      <c r="I3192">
        <v>214.48349999999999</v>
      </c>
      <c r="J3192">
        <v>-352.6456</v>
      </c>
      <c r="K3192">
        <v>1.121116</v>
      </c>
      <c r="L3192">
        <v>214.5342</v>
      </c>
      <c r="M3192">
        <v>0.99993160000000003</v>
      </c>
      <c r="N3192">
        <v>-1.11687E-2</v>
      </c>
      <c r="O3192">
        <v>-3.509814E-3</v>
      </c>
      <c r="P3192">
        <v>0.97921159999999996</v>
      </c>
      <c r="Q3192">
        <v>0.2024666</v>
      </c>
      <c r="R3192">
        <v>1.234068E-2</v>
      </c>
      <c r="S3192">
        <v>3.3093569999999999</v>
      </c>
      <c r="T3192">
        <v>-1.175791</v>
      </c>
      <c r="U3192">
        <v>-0.18713379999999999</v>
      </c>
      <c r="V3192">
        <v>-1.5769709999999999E-2</v>
      </c>
      <c r="W3192">
        <v>0.21339069999999999</v>
      </c>
      <c r="X3192">
        <v>0.97683969999999998</v>
      </c>
      <c r="Y3192">
        <v>4.9998420000000002E-2</v>
      </c>
      <c r="Z3192">
        <v>-7.7288419999999997E-3</v>
      </c>
      <c r="AA3192">
        <v>0.99871940000000003</v>
      </c>
      <c r="AB3192">
        <v>35</v>
      </c>
      <c r="AC3192">
        <v>0.56409999999999605</v>
      </c>
      <c r="AD3192">
        <v>-0.32588060000000002</v>
      </c>
      <c r="AE3192">
        <v>-5.0700000000006101E-2</v>
      </c>
      <c r="AF3192">
        <v>3.6602082279672099E-2</v>
      </c>
      <c r="AG3192">
        <v>-0.32588060000000002</v>
      </c>
      <c r="AH3192">
        <v>0.42392769766302602</v>
      </c>
      <c r="AI3192">
        <v>127.447350390233</v>
      </c>
      <c r="AJ3192">
        <v>85.065298013105306</v>
      </c>
      <c r="AK3192">
        <v>0.53595948608961297</v>
      </c>
      <c r="AL3192">
        <v>77.678870143014194</v>
      </c>
      <c r="AM3192">
        <v>90.924879841929396</v>
      </c>
      <c r="AN3192">
        <v>1.00000003704803</v>
      </c>
    </row>
    <row r="3193" spans="1:40" x14ac:dyDescent="0.25">
      <c r="A3193" t="str">
        <f>"20190303162843228"</f>
        <v>20190303162843228</v>
      </c>
      <c r="B3193" t="str">
        <f>"1551601723224428"</f>
        <v>1551601723224428</v>
      </c>
      <c r="C3193" t="s">
        <v>40</v>
      </c>
      <c r="D3193">
        <v>5.2652029999999996</v>
      </c>
      <c r="E3193">
        <v>0.52352240000000005</v>
      </c>
      <c r="F3193" t="s">
        <v>44</v>
      </c>
      <c r="G3193">
        <v>-351.74759999999998</v>
      </c>
      <c r="H3193">
        <v>0.85363129999999998</v>
      </c>
      <c r="I3193">
        <v>214.4854</v>
      </c>
      <c r="J3193">
        <v>-352.32100000000003</v>
      </c>
      <c r="K3193">
        <v>1.121113</v>
      </c>
      <c r="L3193">
        <v>214.53309999999999</v>
      </c>
      <c r="M3193">
        <v>0.99993180000000004</v>
      </c>
      <c r="N3193">
        <v>-1.113597E-2</v>
      </c>
      <c r="O3193">
        <v>-3.5093939999999999E-3</v>
      </c>
      <c r="P3193">
        <v>0.97931400000000002</v>
      </c>
      <c r="Q3193">
        <v>0.20197799999999999</v>
      </c>
      <c r="R3193">
        <v>1.2214900000000001E-2</v>
      </c>
      <c r="S3193">
        <v>3.2671809999999999</v>
      </c>
      <c r="T3193">
        <v>-0.97319889999999998</v>
      </c>
      <c r="U3193">
        <v>-0.17620849999999999</v>
      </c>
      <c r="V3193">
        <v>-1.5643890000000001E-2</v>
      </c>
      <c r="W3193">
        <v>0.2128708</v>
      </c>
      <c r="X3193">
        <v>0.97695509999999997</v>
      </c>
      <c r="Y3193">
        <v>4.83168E-2</v>
      </c>
      <c r="Z3193">
        <v>-6.3293799999999999E-3</v>
      </c>
      <c r="AA3193">
        <v>0.99881200000000003</v>
      </c>
      <c r="AB3193">
        <v>35</v>
      </c>
      <c r="AC3193">
        <v>0.57339999999999203</v>
      </c>
      <c r="AD3193">
        <v>-0.26748169999999999</v>
      </c>
      <c r="AE3193">
        <v>-4.7699999999991798E-2</v>
      </c>
      <c r="AF3193">
        <v>3.7568346470333698E-2</v>
      </c>
      <c r="AG3193">
        <v>-0.26748169999999999</v>
      </c>
      <c r="AH3193">
        <v>0.471637607884277</v>
      </c>
      <c r="AI3193">
        <v>119.48135405468901</v>
      </c>
      <c r="AJ3193">
        <v>85.445714241788906</v>
      </c>
      <c r="AK3193">
        <v>0.54350701344344099</v>
      </c>
      <c r="AL3193">
        <v>77.709358122464707</v>
      </c>
      <c r="AM3193">
        <v>90.917393515608296</v>
      </c>
      <c r="AN3193">
        <v>0.99999998810149004</v>
      </c>
    </row>
    <row r="3194" spans="1:40" x14ac:dyDescent="0.25">
      <c r="A3194" t="str">
        <f>"20190303162843251"</f>
        <v>20190303162843251</v>
      </c>
      <c r="B3194" t="str">
        <f>"1551601723244334"</f>
        <v>1551601723244334</v>
      </c>
      <c r="C3194" t="s">
        <v>40</v>
      </c>
      <c r="D3194">
        <v>5.248907</v>
      </c>
      <c r="E3194">
        <v>0.51804039999999996</v>
      </c>
      <c r="F3194" t="s">
        <v>44</v>
      </c>
      <c r="G3194">
        <v>-351.41609999999997</v>
      </c>
      <c r="H3194">
        <v>0.90166519999999994</v>
      </c>
      <c r="I3194">
        <v>214.4939</v>
      </c>
      <c r="J3194">
        <v>-351.96839999999997</v>
      </c>
      <c r="K3194">
        <v>1.1211089999999999</v>
      </c>
      <c r="L3194">
        <v>214.5318</v>
      </c>
      <c r="M3194">
        <v>0.9999323</v>
      </c>
      <c r="N3194">
        <v>-1.1104640000000001E-2</v>
      </c>
      <c r="O3194">
        <v>-3.508864E-3</v>
      </c>
      <c r="P3194">
        <v>0.97940170000000004</v>
      </c>
      <c r="Q3194">
        <v>0.20157</v>
      </c>
      <c r="R3194">
        <v>1.1912610000000001E-2</v>
      </c>
      <c r="S3194">
        <v>3.2265009999999998</v>
      </c>
      <c r="T3194">
        <v>-0.7824624</v>
      </c>
      <c r="U3194">
        <v>-0.13922119999999999</v>
      </c>
      <c r="V3194">
        <v>-1.534072E-2</v>
      </c>
      <c r="W3194">
        <v>0.21243380000000001</v>
      </c>
      <c r="X3194">
        <v>0.97705509999999995</v>
      </c>
      <c r="Y3194">
        <v>3.8528199999999999E-2</v>
      </c>
      <c r="Z3194">
        <v>-4.0202149999999997E-3</v>
      </c>
      <c r="AA3194">
        <v>0.99924939999999995</v>
      </c>
      <c r="AB3194">
        <v>35</v>
      </c>
      <c r="AC3194">
        <v>0.55230000000000201</v>
      </c>
      <c r="AD3194">
        <v>-0.219443799999999</v>
      </c>
      <c r="AE3194">
        <v>-3.7900000000007601E-2</v>
      </c>
      <c r="AF3194">
        <v>3.1078386979244501E-2</v>
      </c>
      <c r="AG3194">
        <v>-0.219443799999999</v>
      </c>
      <c r="AH3194">
        <v>0.47741402202727801</v>
      </c>
      <c r="AI3194">
        <v>114.63998140269899</v>
      </c>
      <c r="AJ3194">
        <v>86.275451869102795</v>
      </c>
      <c r="AK3194">
        <v>0.52635120967271798</v>
      </c>
      <c r="AL3194">
        <v>77.734983390072202</v>
      </c>
      <c r="AM3194">
        <v>90.899525824306593</v>
      </c>
      <c r="AN3194">
        <v>1.00000006275428</v>
      </c>
    </row>
    <row r="3195" spans="1:40" x14ac:dyDescent="0.25">
      <c r="A3195" t="str">
        <f>"20190303162843274"</f>
        <v>20190303162843274</v>
      </c>
      <c r="B3195" t="str">
        <f>"1551601723264832"</f>
        <v>1551601723264832</v>
      </c>
      <c r="C3195" t="s">
        <v>40</v>
      </c>
      <c r="D3195">
        <v>5.1841670000000004</v>
      </c>
      <c r="E3195">
        <v>0.51683829999999997</v>
      </c>
      <c r="F3195" t="s">
        <v>44</v>
      </c>
      <c r="G3195">
        <v>-351.03379999999999</v>
      </c>
      <c r="H3195">
        <v>1.0459510000000001</v>
      </c>
      <c r="I3195">
        <v>214.50139999999999</v>
      </c>
      <c r="J3195">
        <v>-351.60059999999999</v>
      </c>
      <c r="K3195">
        <v>1.1211040000000001</v>
      </c>
      <c r="L3195">
        <v>214.53049999999999</v>
      </c>
      <c r="M3195">
        <v>0.99993259999999995</v>
      </c>
      <c r="N3195">
        <v>-1.107644E-2</v>
      </c>
      <c r="O3195">
        <v>-3.508349E-3</v>
      </c>
      <c r="P3195">
        <v>0.97945729999999998</v>
      </c>
      <c r="Q3195">
        <v>0.20132920000000001</v>
      </c>
      <c r="R3195">
        <v>1.141154E-2</v>
      </c>
      <c r="S3195">
        <v>3.1159059999999998</v>
      </c>
      <c r="T3195">
        <v>-0.25066179999999999</v>
      </c>
      <c r="U3195">
        <v>-0.10070800000000001</v>
      </c>
      <c r="V3195">
        <v>-1.4840300000000001E-2</v>
      </c>
      <c r="W3195">
        <v>0.21216579999999999</v>
      </c>
      <c r="X3195">
        <v>0.97712100000000002</v>
      </c>
      <c r="Y3195">
        <v>2.8699820000000001E-2</v>
      </c>
      <c r="Z3195">
        <v>-1.068612E-3</v>
      </c>
      <c r="AA3195">
        <v>0.99958749999999996</v>
      </c>
      <c r="AB3195">
        <v>35</v>
      </c>
      <c r="AC3195">
        <v>0.56679999999999997</v>
      </c>
      <c r="AD3195">
        <v>-7.5152999999999998E-2</v>
      </c>
      <c r="AE3195">
        <v>-2.9099999999999598E-2</v>
      </c>
      <c r="AF3195">
        <v>2.66439819265018E-2</v>
      </c>
      <c r="AG3195">
        <v>-7.5152999999999998E-2</v>
      </c>
      <c r="AH3195">
        <v>0.55712970232523096</v>
      </c>
      <c r="AI3195">
        <v>97.673771520002802</v>
      </c>
      <c r="AJ3195">
        <v>87.261992169812601</v>
      </c>
      <c r="AK3195">
        <v>0.562806698960576</v>
      </c>
      <c r="AL3195">
        <v>77.750696133527498</v>
      </c>
      <c r="AM3195">
        <v>90.8701288659135</v>
      </c>
      <c r="AN3195">
        <v>1.0000000049173601</v>
      </c>
    </row>
    <row r="3196" spans="1:40" x14ac:dyDescent="0.25">
      <c r="A3196" t="str">
        <f>"20190303162843305"</f>
        <v>20190303162843305</v>
      </c>
      <c r="B3196" t="str">
        <f>"1551601723295087"</f>
        <v>1551601723295087</v>
      </c>
      <c r="C3196" t="s">
        <v>40</v>
      </c>
      <c r="D3196">
        <v>5.2164720000000004</v>
      </c>
      <c r="E3196">
        <v>0.51607159999999996</v>
      </c>
      <c r="F3196" t="s">
        <v>44</v>
      </c>
      <c r="G3196">
        <v>-350.72489999999999</v>
      </c>
      <c r="H3196">
        <v>1.0425219999999999</v>
      </c>
      <c r="I3196">
        <v>214.5043</v>
      </c>
      <c r="J3196">
        <v>-351.11759999999998</v>
      </c>
      <c r="K3196">
        <v>1.1210990000000001</v>
      </c>
      <c r="L3196">
        <v>214.52879999999999</v>
      </c>
      <c r="M3196">
        <v>0.99993279999999995</v>
      </c>
      <c r="N3196">
        <v>-1.104524E-2</v>
      </c>
      <c r="O3196">
        <v>-3.5076999999999999E-3</v>
      </c>
      <c r="P3196">
        <v>0.97954799999999997</v>
      </c>
      <c r="Q3196">
        <v>0.20092109999999999</v>
      </c>
      <c r="R3196">
        <v>1.080038E-2</v>
      </c>
      <c r="S3196">
        <v>3.1215820000000001</v>
      </c>
      <c r="T3196">
        <v>-0.28023490000000001</v>
      </c>
      <c r="U3196">
        <v>-9.2407230000000007E-2</v>
      </c>
      <c r="V3196">
        <v>-1.422852E-2</v>
      </c>
      <c r="W3196">
        <v>0.21172869999999999</v>
      </c>
      <c r="X3196">
        <v>0.97722489999999995</v>
      </c>
      <c r="Y3196">
        <v>2.597673E-2</v>
      </c>
      <c r="Z3196">
        <v>-1.0317099999999999E-3</v>
      </c>
      <c r="AA3196">
        <v>0.99966200000000005</v>
      </c>
      <c r="AB3196">
        <v>35</v>
      </c>
      <c r="AC3196">
        <v>0.39269999999999</v>
      </c>
      <c r="AD3196">
        <v>-7.8577000000000105E-2</v>
      </c>
      <c r="AE3196">
        <v>-2.4499999999988999E-2</v>
      </c>
      <c r="AF3196">
        <v>2.22354854940282E-2</v>
      </c>
      <c r="AG3196">
        <v>-7.8577000000000105E-2</v>
      </c>
      <c r="AH3196">
        <v>0.37771915821848301</v>
      </c>
      <c r="AI3196">
        <v>101.731897304306</v>
      </c>
      <c r="AJ3196">
        <v>86.631013139183295</v>
      </c>
      <c r="AK3196">
        <v>0.386446017225478</v>
      </c>
      <c r="AL3196">
        <v>77.776322246192194</v>
      </c>
      <c r="AM3196">
        <v>90.834174961043104</v>
      </c>
      <c r="AN3196">
        <v>0.99999999918254501</v>
      </c>
    </row>
    <row r="3197" spans="1:40" x14ac:dyDescent="0.25">
      <c r="A3197" t="str">
        <f>"20190303162843328"</f>
        <v>20190303162843328</v>
      </c>
      <c r="B3197" t="str">
        <f>"1551601723314607"</f>
        <v>1551601723314607</v>
      </c>
      <c r="C3197" t="s">
        <v>40</v>
      </c>
      <c r="D3197">
        <v>5.1039649999999996</v>
      </c>
      <c r="E3197">
        <v>0.51599729999999999</v>
      </c>
      <c r="F3197" t="s">
        <v>44</v>
      </c>
      <c r="G3197">
        <v>-350.11160000000001</v>
      </c>
      <c r="H3197">
        <v>1.0242070000000001</v>
      </c>
      <c r="I3197">
        <v>214.50040000000001</v>
      </c>
      <c r="J3197">
        <v>-350.76029999999997</v>
      </c>
      <c r="K3197">
        <v>1.121086</v>
      </c>
      <c r="L3197">
        <v>214.5275</v>
      </c>
      <c r="M3197">
        <v>0.99993299999999996</v>
      </c>
      <c r="N3197">
        <v>-1.1026589999999999E-2</v>
      </c>
      <c r="O3197">
        <v>-3.5072390000000001E-3</v>
      </c>
      <c r="P3197">
        <v>0.97952479999999997</v>
      </c>
      <c r="Q3197">
        <v>0.20103889999999999</v>
      </c>
      <c r="R3197">
        <v>1.0703249999999999E-2</v>
      </c>
      <c r="S3197">
        <v>3.1253660000000001</v>
      </c>
      <c r="T3197">
        <v>-0.30112460000000002</v>
      </c>
      <c r="U3197">
        <v>-8.7493899999999999E-2</v>
      </c>
      <c r="V3197">
        <v>-1.4130820000000001E-2</v>
      </c>
      <c r="W3197">
        <v>0.2118275</v>
      </c>
      <c r="X3197">
        <v>0.97720490000000004</v>
      </c>
      <c r="Y3197">
        <v>2.4364569999999999E-2</v>
      </c>
      <c r="Z3197">
        <v>-1.0070330000000001E-3</v>
      </c>
      <c r="AA3197">
        <v>0.9997026</v>
      </c>
      <c r="AB3197">
        <v>35</v>
      </c>
      <c r="AC3197">
        <v>0.64869999999996197</v>
      </c>
      <c r="AD3197">
        <v>-9.6879000000000104E-2</v>
      </c>
      <c r="AE3197">
        <v>-2.7099999999990101E-2</v>
      </c>
      <c r="AF3197">
        <v>2.4283878909699099E-2</v>
      </c>
      <c r="AG3197">
        <v>-9.6879000000000104E-2</v>
      </c>
      <c r="AH3197">
        <v>0.63466061897238402</v>
      </c>
      <c r="AI3197">
        <v>98.672779117920797</v>
      </c>
      <c r="AJ3197">
        <v>87.808773190262002</v>
      </c>
      <c r="AK3197">
        <v>0.64247128238568796</v>
      </c>
      <c r="AL3197">
        <v>77.770529968917103</v>
      </c>
      <c r="AM3197">
        <v>90.8284648606042</v>
      </c>
      <c r="AN3197">
        <v>0.99999999320706601</v>
      </c>
    </row>
    <row r="3198" spans="1:40" x14ac:dyDescent="0.25">
      <c r="A3198" t="str">
        <f>"20190303162843350"</f>
        <v>20190303162843350</v>
      </c>
      <c r="B3198" t="str">
        <f>"1551601723344863"</f>
        <v>1551601723344863</v>
      </c>
      <c r="C3198" t="s">
        <v>40</v>
      </c>
      <c r="D3198">
        <v>5.0018060000000002</v>
      </c>
      <c r="E3198">
        <v>0.51669279999999995</v>
      </c>
      <c r="F3198" t="s">
        <v>44</v>
      </c>
      <c r="G3198">
        <v>-349.79840000000002</v>
      </c>
      <c r="H3198">
        <v>1.026656</v>
      </c>
      <c r="I3198">
        <v>214.50040000000001</v>
      </c>
      <c r="J3198">
        <v>-350.4083</v>
      </c>
      <c r="K3198">
        <v>1.121089</v>
      </c>
      <c r="L3198">
        <v>214.52629999999999</v>
      </c>
      <c r="M3198">
        <v>0.99993319999999997</v>
      </c>
      <c r="N3198">
        <v>-1.101074E-2</v>
      </c>
      <c r="O3198">
        <v>-3.506913E-3</v>
      </c>
      <c r="P3198">
        <v>0.97957939999999999</v>
      </c>
      <c r="Q3198">
        <v>0.20078180000000001</v>
      </c>
      <c r="R3198">
        <v>1.0550260000000001E-2</v>
      </c>
      <c r="S3198">
        <v>3.1266780000000001</v>
      </c>
      <c r="T3198">
        <v>-0.30707990000000002</v>
      </c>
      <c r="U3198">
        <v>-8.7280269999999993E-2</v>
      </c>
      <c r="V3198">
        <v>-1.397789E-2</v>
      </c>
      <c r="W3198">
        <v>0.21155579999999999</v>
      </c>
      <c r="X3198">
        <v>0.97726599999999997</v>
      </c>
      <c r="Y3198">
        <v>2.4281299999999999E-2</v>
      </c>
      <c r="Z3198">
        <v>-1.01834E-3</v>
      </c>
      <c r="AA3198">
        <v>0.9997047</v>
      </c>
      <c r="AB3198">
        <v>35</v>
      </c>
      <c r="AC3198">
        <v>0.60989999999998101</v>
      </c>
      <c r="AD3198">
        <v>-9.4433000000000003E-2</v>
      </c>
      <c r="AE3198">
        <v>-2.58999999999787E-2</v>
      </c>
      <c r="AF3198">
        <v>2.3205529863473798E-2</v>
      </c>
      <c r="AG3198">
        <v>-9.4433000000000003E-2</v>
      </c>
      <c r="AH3198">
        <v>0.59573107093390698</v>
      </c>
      <c r="AI3198">
        <v>99.000647922392005</v>
      </c>
      <c r="AJ3198">
        <v>87.769283616080401</v>
      </c>
      <c r="AK3198">
        <v>0.60361543799119699</v>
      </c>
      <c r="AL3198">
        <v>77.786458757181606</v>
      </c>
      <c r="AM3198">
        <v>90.819448846700595</v>
      </c>
      <c r="AN3198">
        <v>1.0000000363392401</v>
      </c>
    </row>
    <row r="3199" spans="1:40" x14ac:dyDescent="0.25">
      <c r="A3199" t="str">
        <f>"20190303162843374"</f>
        <v>20190303162843374</v>
      </c>
      <c r="B3199" t="str">
        <f>"1551601723364383"</f>
        <v>1551601723364383</v>
      </c>
      <c r="C3199" t="s">
        <v>40</v>
      </c>
      <c r="D3199">
        <v>5.0701839999999896</v>
      </c>
      <c r="E3199">
        <v>0.51642749999999904</v>
      </c>
      <c r="F3199" t="s">
        <v>44</v>
      </c>
      <c r="G3199">
        <v>-349.4846</v>
      </c>
      <c r="H3199">
        <v>1.0300830000000001</v>
      </c>
      <c r="I3199">
        <v>214.49850000000001</v>
      </c>
      <c r="J3199">
        <v>-350.04329999999999</v>
      </c>
      <c r="K3199">
        <v>1.1210869999999999</v>
      </c>
      <c r="L3199">
        <v>214.52500000000001</v>
      </c>
      <c r="M3199">
        <v>0.99993339999999997</v>
      </c>
      <c r="N3199">
        <v>-1.099662E-2</v>
      </c>
      <c r="O3199">
        <v>-3.506716E-3</v>
      </c>
      <c r="P3199">
        <v>0.97952289999999997</v>
      </c>
      <c r="Q3199">
        <v>0.2010672</v>
      </c>
      <c r="R3199">
        <v>1.035224E-2</v>
      </c>
      <c r="S3199">
        <v>3.1267399999999999</v>
      </c>
      <c r="T3199">
        <v>-0.30813059999999998</v>
      </c>
      <c r="U3199">
        <v>-9.3185420000000005E-2</v>
      </c>
      <c r="V3199">
        <v>-1.377948E-2</v>
      </c>
      <c r="W3199">
        <v>0.2118266</v>
      </c>
      <c r="X3199">
        <v>0.97721009999999997</v>
      </c>
      <c r="Y3199">
        <v>2.6156570000000001E-2</v>
      </c>
      <c r="Z3199">
        <v>-1.1234789999999999E-3</v>
      </c>
      <c r="AA3199">
        <v>0.99965720000000002</v>
      </c>
      <c r="AB3199">
        <v>35</v>
      </c>
      <c r="AC3199">
        <v>0.55869999999998698</v>
      </c>
      <c r="AD3199">
        <v>-9.1004000000000002E-2</v>
      </c>
      <c r="AE3199">
        <v>-2.6499999999998601E-2</v>
      </c>
      <c r="AF3199">
        <v>2.39076322060323E-2</v>
      </c>
      <c r="AG3199">
        <v>-9.1004000000000002E-2</v>
      </c>
      <c r="AH3199">
        <v>0.54437867549795005</v>
      </c>
      <c r="AI3199">
        <v>99.481428589036497</v>
      </c>
      <c r="AJ3199">
        <v>87.485340918565399</v>
      </c>
      <c r="AK3199">
        <v>0.55245040069729501</v>
      </c>
      <c r="AL3199">
        <v>77.770582581367407</v>
      </c>
      <c r="AM3199">
        <v>90.807864887347606</v>
      </c>
      <c r="AN3199">
        <v>0.99999998103931997</v>
      </c>
    </row>
    <row r="3200" spans="1:40" x14ac:dyDescent="0.25">
      <c r="A3200" t="str">
        <f>"20190303162843394"</f>
        <v>20190303162843394</v>
      </c>
      <c r="B3200" t="str">
        <f>"1551601723384879"</f>
        <v>1551601723384879</v>
      </c>
      <c r="C3200" t="s">
        <v>40</v>
      </c>
      <c r="D3200">
        <v>4.7843070000000001</v>
      </c>
      <c r="E3200">
        <v>0.5158256</v>
      </c>
      <c r="F3200" t="s">
        <v>44</v>
      </c>
      <c r="G3200">
        <v>-349.16849999999999</v>
      </c>
      <c r="H3200">
        <v>1.0376270000000001</v>
      </c>
      <c r="I3200">
        <v>214.4991</v>
      </c>
      <c r="J3200">
        <v>-349.72</v>
      </c>
      <c r="K3200">
        <v>1.1210789999999999</v>
      </c>
      <c r="L3200">
        <v>214.5239</v>
      </c>
      <c r="M3200">
        <v>0.99993359999999998</v>
      </c>
      <c r="N3200">
        <v>-1.0986020000000001E-2</v>
      </c>
      <c r="O3200">
        <v>-3.5065389999999999E-3</v>
      </c>
      <c r="P3200">
        <v>0.97949030000000004</v>
      </c>
      <c r="Q3200">
        <v>0.20120399999999999</v>
      </c>
      <c r="R3200">
        <v>1.0750539999999999E-2</v>
      </c>
      <c r="S3200">
        <v>3.1249389999999999</v>
      </c>
      <c r="T3200">
        <v>-0.29824020000000001</v>
      </c>
      <c r="U3200">
        <v>-9.1583250000000005E-2</v>
      </c>
      <c r="V3200">
        <v>-1.417702E-2</v>
      </c>
      <c r="W3200">
        <v>0.2119529</v>
      </c>
      <c r="X3200">
        <v>0.97717699999999996</v>
      </c>
      <c r="Y3200">
        <v>2.5671630000000001E-2</v>
      </c>
      <c r="Z3200">
        <v>-1.068016E-3</v>
      </c>
      <c r="AA3200">
        <v>0.99966980000000005</v>
      </c>
      <c r="AB3200">
        <v>35</v>
      </c>
      <c r="AC3200">
        <v>0.55150000000003196</v>
      </c>
      <c r="AD3200">
        <v>-8.3451999999999998E-2</v>
      </c>
      <c r="AE3200">
        <v>-2.4799999999999E-2</v>
      </c>
      <c r="AF3200">
        <v>2.2355039791383698E-2</v>
      </c>
      <c r="AG3200">
        <v>-8.3451999999999998E-2</v>
      </c>
      <c r="AH3200">
        <v>0.53926092681804005</v>
      </c>
      <c r="AI3200">
        <v>98.789455762370594</v>
      </c>
      <c r="AJ3200">
        <v>87.626164990323304</v>
      </c>
      <c r="AK3200">
        <v>0.54613764867542902</v>
      </c>
      <c r="AL3200">
        <v>77.763177663016194</v>
      </c>
      <c r="AM3200">
        <v>90.831196833134499</v>
      </c>
      <c r="AN3200">
        <v>0.99999995452174395</v>
      </c>
    </row>
    <row r="3201" spans="1:40" x14ac:dyDescent="0.25">
      <c r="A3201" t="str">
        <f>"20190303162843419"</f>
        <v>20190303162843419</v>
      </c>
      <c r="B3201" t="str">
        <f>"1551601723404399"</f>
        <v>1551601723404399</v>
      </c>
      <c r="C3201" t="s">
        <v>40</v>
      </c>
      <c r="D3201">
        <v>4.9771359999999998</v>
      </c>
      <c r="E3201">
        <v>0.50371220000000005</v>
      </c>
      <c r="F3201" t="s">
        <v>44</v>
      </c>
      <c r="G3201">
        <v>-348.8528</v>
      </c>
      <c r="H3201">
        <v>1.0418559999999999</v>
      </c>
      <c r="I3201">
        <v>214.49959999999999</v>
      </c>
      <c r="J3201">
        <v>-349.34809999999999</v>
      </c>
      <c r="K3201">
        <v>1.1210830000000001</v>
      </c>
      <c r="L3201">
        <v>214.52260000000001</v>
      </c>
      <c r="M3201">
        <v>0.99993370000000004</v>
      </c>
      <c r="N3201">
        <v>-1.0975769999999999E-2</v>
      </c>
      <c r="O3201">
        <v>-3.5061250000000001E-3</v>
      </c>
      <c r="P3201">
        <v>0.97944100000000001</v>
      </c>
      <c r="Q3201">
        <v>0.2014061</v>
      </c>
      <c r="R3201">
        <v>1.1441959999999999E-2</v>
      </c>
      <c r="S3201">
        <v>3.1223749999999999</v>
      </c>
      <c r="T3201">
        <v>-0.28530680000000003</v>
      </c>
      <c r="U3201">
        <v>-8.6730959999999996E-2</v>
      </c>
      <c r="V3201">
        <v>-1.4868330000000001E-2</v>
      </c>
      <c r="W3201">
        <v>0.21214440000000001</v>
      </c>
      <c r="X3201">
        <v>0.97712520000000003</v>
      </c>
      <c r="Y3201">
        <v>2.4159960000000001E-2</v>
      </c>
      <c r="Z3201">
        <v>-9.5299290000000004E-4</v>
      </c>
      <c r="AA3201">
        <v>0.99970760000000003</v>
      </c>
      <c r="AB3201">
        <v>35</v>
      </c>
      <c r="AC3201">
        <v>0.49529999999998597</v>
      </c>
      <c r="AD3201">
        <v>-7.9227000000000103E-2</v>
      </c>
      <c r="AE3201">
        <v>-2.3000000000024501E-2</v>
      </c>
      <c r="AF3201">
        <v>2.0733807716822102E-2</v>
      </c>
      <c r="AG3201">
        <v>-7.9227000000000103E-2</v>
      </c>
      <c r="AH3201">
        <v>0.48304480078852502</v>
      </c>
      <c r="AI3201">
        <v>99.306064166084795</v>
      </c>
      <c r="AJ3201">
        <v>87.542192951255203</v>
      </c>
      <c r="AK3201">
        <v>0.48993784083316599</v>
      </c>
      <c r="AL3201">
        <v>77.7519505782724</v>
      </c>
      <c r="AM3201">
        <v>90.871768344308904</v>
      </c>
      <c r="AN3201">
        <v>0.99999998508169397</v>
      </c>
    </row>
    <row r="3202" spans="1:40" x14ac:dyDescent="0.25">
      <c r="A3202" t="str">
        <f>"20190303162843441"</f>
        <v>20190303162843441</v>
      </c>
      <c r="B3202" t="str">
        <f>"1551601723434655"</f>
        <v>1551601723434655</v>
      </c>
      <c r="C3202" t="s">
        <v>40</v>
      </c>
      <c r="D3202">
        <v>4.6682040000000002</v>
      </c>
      <c r="E3202">
        <v>0.50485909999999901</v>
      </c>
      <c r="F3202" t="s">
        <v>55</v>
      </c>
      <c r="G3202">
        <v>-107.39749999999999</v>
      </c>
      <c r="H3202">
        <v>0.87515200000000004</v>
      </c>
      <c r="I3202">
        <v>215.28540000000001</v>
      </c>
      <c r="J3202">
        <v>-348.98689999999999</v>
      </c>
      <c r="K3202">
        <v>1.121086</v>
      </c>
      <c r="L3202">
        <v>214.5213</v>
      </c>
      <c r="M3202">
        <v>0.99993379999999998</v>
      </c>
      <c r="N3202">
        <v>-1.0967559999999999E-2</v>
      </c>
      <c r="O3202">
        <v>-3.5058419999999999E-3</v>
      </c>
      <c r="P3202">
        <v>0.97938159999999996</v>
      </c>
      <c r="Q3202">
        <v>0.20165710000000001</v>
      </c>
      <c r="R3202">
        <v>1.2089849999999999E-2</v>
      </c>
      <c r="S3202">
        <v>3.063507</v>
      </c>
      <c r="T3202">
        <v>-3.11327E-3</v>
      </c>
      <c r="U3202">
        <v>9.6588130000000005E-3</v>
      </c>
      <c r="V3202">
        <v>-1.5515599999999999E-2</v>
      </c>
      <c r="W3202">
        <v>0.2123862</v>
      </c>
      <c r="X3202">
        <v>0.9770626</v>
      </c>
      <c r="Y3202">
        <v>-6.6586479999999997E-3</v>
      </c>
      <c r="Z3202" s="1">
        <v>5.0103439999999996E-6</v>
      </c>
      <c r="AA3202">
        <v>0.99997780000000003</v>
      </c>
      <c r="AB3202">
        <v>35</v>
      </c>
      <c r="AC3202">
        <v>241.58940000000001</v>
      </c>
      <c r="AD3202">
        <v>-0.24593400000000001</v>
      </c>
      <c r="AE3202">
        <v>0.76410000000001299</v>
      </c>
      <c r="AF3202">
        <v>-1.61111876674997</v>
      </c>
      <c r="AG3202">
        <v>-0.24593400000000001</v>
      </c>
      <c r="AH3202">
        <v>241.58498581371401</v>
      </c>
      <c r="AI3202">
        <v>90.058325901283993</v>
      </c>
      <c r="AJ3202">
        <v>90.382097160784497</v>
      </c>
      <c r="AK3202">
        <v>241.59048316898901</v>
      </c>
      <c r="AL3202">
        <v>77.7377733023567</v>
      </c>
      <c r="AM3202">
        <v>90.909771475785305</v>
      </c>
      <c r="AN3202">
        <v>0.99999997805627905</v>
      </c>
    </row>
    <row r="3203" spans="1:40" x14ac:dyDescent="0.25">
      <c r="A3203" t="str">
        <f>"20190303162843462"</f>
        <v>20190303162843462</v>
      </c>
      <c r="B3203" t="str">
        <f>"1551601723455151"</f>
        <v>1551601723455151</v>
      </c>
      <c r="C3203" t="s">
        <v>40</v>
      </c>
      <c r="D3203">
        <v>4.5839530000000002</v>
      </c>
      <c r="E3203">
        <v>0.5062584</v>
      </c>
      <c r="F3203" t="s">
        <v>55</v>
      </c>
      <c r="G3203">
        <v>-107.39749999999999</v>
      </c>
      <c r="H3203">
        <v>1.15588</v>
      </c>
      <c r="I3203">
        <v>214.72829999999999</v>
      </c>
      <c r="J3203">
        <v>-348.65010000000001</v>
      </c>
      <c r="K3203">
        <v>1.121086</v>
      </c>
      <c r="L3203">
        <v>214.52010000000001</v>
      </c>
      <c r="M3203">
        <v>0.99993390000000004</v>
      </c>
      <c r="N3203">
        <v>-1.096131E-2</v>
      </c>
      <c r="O3203">
        <v>-3.505569E-3</v>
      </c>
      <c r="P3203">
        <v>0.9793442</v>
      </c>
      <c r="Q3203">
        <v>0.20182449999999999</v>
      </c>
      <c r="R3203">
        <v>1.232159E-2</v>
      </c>
      <c r="S3203">
        <v>3.0630190000000002</v>
      </c>
      <c r="T3203">
        <v>4.4178959999999998E-4</v>
      </c>
      <c r="U3203">
        <v>2.6245119999999999E-3</v>
      </c>
      <c r="V3203">
        <v>-1.5747049999999999E-2</v>
      </c>
      <c r="W3203">
        <v>0.2125475</v>
      </c>
      <c r="X3203">
        <v>0.9770238</v>
      </c>
      <c r="Y3203">
        <v>-4.3623999999999998E-3</v>
      </c>
      <c r="Z3203" s="1">
        <v>-1.5337520000000002E-5</v>
      </c>
      <c r="AA3203">
        <v>0.9999905</v>
      </c>
      <c r="AB3203">
        <v>35</v>
      </c>
      <c r="AC3203">
        <v>241.2526</v>
      </c>
      <c r="AD3203">
        <v>3.4793999999999901E-2</v>
      </c>
      <c r="AE3203">
        <v>0.20819999999997599</v>
      </c>
      <c r="AF3203">
        <v>-1.0539770430929301</v>
      </c>
      <c r="AG3203">
        <v>3.4793999999999901E-2</v>
      </c>
      <c r="AH3203">
        <v>241.250382518137</v>
      </c>
      <c r="AI3203">
        <v>89.991736675013399</v>
      </c>
      <c r="AJ3203">
        <v>90.2503127723392</v>
      </c>
      <c r="AK3203">
        <v>241.25268732882</v>
      </c>
      <c r="AL3203">
        <v>77.7283153007116</v>
      </c>
      <c r="AM3203">
        <v>90.923377088862296</v>
      </c>
      <c r="AN3203">
        <v>0.99999995755319504</v>
      </c>
    </row>
    <row r="3204" spans="1:40" x14ac:dyDescent="0.25">
      <c r="A3204" t="str">
        <f>"20190303162843484"</f>
        <v>20190303162843484</v>
      </c>
      <c r="B3204" t="str">
        <f>"1551601723474671"</f>
        <v>1551601723474671</v>
      </c>
      <c r="C3204" t="s">
        <v>40</v>
      </c>
      <c r="D3204">
        <v>4.5700399999999997</v>
      </c>
      <c r="E3204">
        <v>0.50713149999999996</v>
      </c>
      <c r="F3204" t="s">
        <v>55</v>
      </c>
      <c r="G3204">
        <v>-107.39749999999999</v>
      </c>
      <c r="H3204">
        <v>0.64768549999999903</v>
      </c>
      <c r="I3204">
        <v>213.982</v>
      </c>
      <c r="J3204">
        <v>-348.31279999999998</v>
      </c>
      <c r="K3204">
        <v>1.121078</v>
      </c>
      <c r="L3204">
        <v>214.5189</v>
      </c>
      <c r="M3204">
        <v>0.99993390000000004</v>
      </c>
      <c r="N3204">
        <v>-1.0956469999999999E-2</v>
      </c>
      <c r="O3204">
        <v>-3.5051850000000001E-3</v>
      </c>
      <c r="P3204">
        <v>0.97945280000000001</v>
      </c>
      <c r="Q3204">
        <v>0.2012921</v>
      </c>
      <c r="R3204">
        <v>1.2406840000000001E-2</v>
      </c>
      <c r="S3204">
        <v>3.0646059999999999</v>
      </c>
      <c r="T3204">
        <v>-6.0129169999999996E-3</v>
      </c>
      <c r="U3204">
        <v>-6.8359379999999997E-3</v>
      </c>
      <c r="V3204">
        <v>-1.5832329999999999E-2</v>
      </c>
      <c r="W3204">
        <v>0.21201159999999999</v>
      </c>
      <c r="X3204">
        <v>0.97713890000000003</v>
      </c>
      <c r="Y3204">
        <v>-1.2746389999999999E-3</v>
      </c>
      <c r="Z3204" s="1">
        <v>-2.329501E-5</v>
      </c>
      <c r="AA3204">
        <v>0.99999919999999998</v>
      </c>
      <c r="AB3204">
        <v>35</v>
      </c>
      <c r="AC3204">
        <v>240.9153</v>
      </c>
      <c r="AD3204">
        <v>-0.47339249999999999</v>
      </c>
      <c r="AE3204">
        <v>-0.53690000000000204</v>
      </c>
      <c r="AF3204">
        <v>-0.30760544022498298</v>
      </c>
      <c r="AG3204">
        <v>-0.47339249999999999</v>
      </c>
      <c r="AH3204">
        <v>240.91477168548801</v>
      </c>
      <c r="AI3204">
        <v>90.112584774670196</v>
      </c>
      <c r="AJ3204">
        <v>90.073156509994206</v>
      </c>
      <c r="AK3204">
        <v>240.91543316657101</v>
      </c>
      <c r="AL3204">
        <v>77.759736822255903</v>
      </c>
      <c r="AM3204">
        <v>90.928267536103803</v>
      </c>
      <c r="AN3204">
        <v>1.0000000055504901</v>
      </c>
    </row>
    <row r="3205" spans="1:40" x14ac:dyDescent="0.25">
      <c r="A3205" t="str">
        <f>"20190303162843505"</f>
        <v>20190303162843505</v>
      </c>
      <c r="B3205" t="str">
        <f>"1551601723495167"</f>
        <v>1551601723495167</v>
      </c>
      <c r="C3205" t="s">
        <v>40</v>
      </c>
      <c r="D3205">
        <v>4.5031319999999999</v>
      </c>
      <c r="E3205">
        <v>0.50790649999999904</v>
      </c>
      <c r="F3205" t="s">
        <v>42</v>
      </c>
      <c r="G3205">
        <v>-122.3674</v>
      </c>
      <c r="H3205">
        <v>-0.05</v>
      </c>
      <c r="I3205">
        <v>213.51939999999999</v>
      </c>
      <c r="J3205">
        <v>-347.97980000000001</v>
      </c>
      <c r="K3205">
        <v>1.121075</v>
      </c>
      <c r="L3205">
        <v>214.51779999999999</v>
      </c>
      <c r="M3205">
        <v>0.99993399999999999</v>
      </c>
      <c r="N3205">
        <v>-1.0952689999999999E-2</v>
      </c>
      <c r="O3205">
        <v>-3.5049259999999998E-3</v>
      </c>
      <c r="P3205">
        <v>0.97951100000000002</v>
      </c>
      <c r="Q3205">
        <v>0.20105619999999999</v>
      </c>
      <c r="R3205">
        <v>1.1642939999999999E-2</v>
      </c>
      <c r="S3205">
        <v>3.0664060000000002</v>
      </c>
      <c r="T3205">
        <v>-1.589322E-2</v>
      </c>
      <c r="U3205">
        <v>-1.356506E-2</v>
      </c>
      <c r="V3205">
        <v>-1.506852E-2</v>
      </c>
      <c r="W3205">
        <v>0.2117725</v>
      </c>
      <c r="X3205">
        <v>0.97720280000000004</v>
      </c>
      <c r="Y3205">
        <v>9.1861419999999996E-4</v>
      </c>
      <c r="Z3205" s="1">
        <v>-2.7635420000000001E-5</v>
      </c>
      <c r="AA3205">
        <v>0.99999959999999999</v>
      </c>
      <c r="AB3205">
        <v>35</v>
      </c>
      <c r="AC3205">
        <v>225.61240000000001</v>
      </c>
      <c r="AD3205">
        <v>-1.1710750000000001</v>
      </c>
      <c r="AE3205">
        <v>-0.99840000000000295</v>
      </c>
      <c r="AF3205">
        <v>0.20758617195967499</v>
      </c>
      <c r="AG3205">
        <v>-1.1710750000000001</v>
      </c>
      <c r="AH3205">
        <v>225.60843517438201</v>
      </c>
      <c r="AI3205">
        <v>90.297404766480398</v>
      </c>
      <c r="AJ3205">
        <v>89.947281190205103</v>
      </c>
      <c r="AK3205">
        <v>225.611570028019</v>
      </c>
      <c r="AL3205">
        <v>77.773754252350301</v>
      </c>
      <c r="AM3205">
        <v>90.883434001320893</v>
      </c>
      <c r="AN3205">
        <v>0.99999998218954</v>
      </c>
    </row>
    <row r="3206" spans="1:40" x14ac:dyDescent="0.25">
      <c r="A3206" t="str">
        <f>"20190303162843528"</f>
        <v>20190303162843528</v>
      </c>
      <c r="B3206" t="str">
        <f>"1551601723514687"</f>
        <v>1551601723514687</v>
      </c>
      <c r="C3206" t="s">
        <v>40</v>
      </c>
      <c r="D3206">
        <v>4.4504769999999896</v>
      </c>
      <c r="E3206">
        <v>0.50854809999999995</v>
      </c>
      <c r="F3206" t="s">
        <v>47</v>
      </c>
      <c r="G3206">
        <v>-197.52029999999999</v>
      </c>
      <c r="H3206" s="1">
        <v>2.7371189999999999E-6</v>
      </c>
      <c r="I3206">
        <v>213.3981</v>
      </c>
      <c r="J3206">
        <v>-347.62699999999899</v>
      </c>
      <c r="K3206">
        <v>1.121068</v>
      </c>
      <c r="L3206">
        <v>214.51650000000001</v>
      </c>
      <c r="M3206">
        <v>0.99993390000000004</v>
      </c>
      <c r="N3206">
        <v>-1.0949530000000001E-2</v>
      </c>
      <c r="O3206">
        <v>-3.5044310000000001E-3</v>
      </c>
      <c r="P3206">
        <v>0.97962499999999997</v>
      </c>
      <c r="Q3206">
        <v>0.20054379999999999</v>
      </c>
      <c r="R3206">
        <v>1.081584E-2</v>
      </c>
      <c r="S3206">
        <v>3.067688</v>
      </c>
      <c r="T3206">
        <v>-2.2857309999999999E-2</v>
      </c>
      <c r="U3206">
        <v>-2.2827150000000001E-2</v>
      </c>
      <c r="V3206">
        <v>-1.424071E-2</v>
      </c>
      <c r="W3206">
        <v>0.21125849999999999</v>
      </c>
      <c r="X3206">
        <v>0.97732649999999999</v>
      </c>
      <c r="Y3206">
        <v>3.9361129999999998E-3</v>
      </c>
      <c r="Z3206" s="1">
        <v>-4.8476819999999998E-5</v>
      </c>
      <c r="AA3206">
        <v>0.99999229999999995</v>
      </c>
      <c r="AB3206">
        <v>35</v>
      </c>
      <c r="AC3206">
        <v>150.10669999999899</v>
      </c>
      <c r="AD3206">
        <v>-1.1210652628810001</v>
      </c>
      <c r="AE3206">
        <v>-1.1184000000000001</v>
      </c>
      <c r="AF3206">
        <v>0.59228998130633603</v>
      </c>
      <c r="AG3206">
        <v>-1.1210652628810001</v>
      </c>
      <c r="AH3206">
        <v>150.10132588240501</v>
      </c>
      <c r="AI3206">
        <v>90.427915032893793</v>
      </c>
      <c r="AJ3206">
        <v>89.7739157875654</v>
      </c>
      <c r="AK3206">
        <v>150.10668081868101</v>
      </c>
      <c r="AL3206">
        <v>77.803886489650793</v>
      </c>
      <c r="AM3206">
        <v>90.834802742259697</v>
      </c>
      <c r="AN3206">
        <v>1.0000000196229</v>
      </c>
    </row>
    <row r="3207" spans="1:40" x14ac:dyDescent="0.25">
      <c r="A3207" t="str">
        <f>"20190303162843551"</f>
        <v>20190303162843551</v>
      </c>
      <c r="B3207" t="str">
        <f>"1551601723544943"</f>
        <v>1551601723544943</v>
      </c>
      <c r="C3207" t="s">
        <v>40</v>
      </c>
      <c r="D3207">
        <v>4.3885300000000003</v>
      </c>
      <c r="E3207">
        <v>0.50951159999999995</v>
      </c>
      <c r="F3207" t="s">
        <v>48</v>
      </c>
      <c r="G3207">
        <v>-226.85839999999999</v>
      </c>
      <c r="H3207" s="1">
        <v>2.1691979999999999E-6</v>
      </c>
      <c r="I3207">
        <v>213.3287</v>
      </c>
      <c r="J3207">
        <v>-347.25020000000001</v>
      </c>
      <c r="K3207">
        <v>1.1210629999999999</v>
      </c>
      <c r="L3207">
        <v>214.51519999999999</v>
      </c>
      <c r="M3207">
        <v>0.99993399999999999</v>
      </c>
      <c r="N3207">
        <v>-1.094706E-2</v>
      </c>
      <c r="O3207">
        <v>-3.5042979999999999E-3</v>
      </c>
      <c r="P3207">
        <v>0.97975190000000001</v>
      </c>
      <c r="Q3207">
        <v>0.19995289999999999</v>
      </c>
      <c r="R3207">
        <v>1.0266010000000001E-2</v>
      </c>
      <c r="S3207">
        <v>3.0685730000000002</v>
      </c>
      <c r="T3207">
        <v>-2.8484820000000001E-2</v>
      </c>
      <c r="U3207">
        <v>-3.0181880000000001E-2</v>
      </c>
      <c r="V3207">
        <v>-1.3691190000000001E-2</v>
      </c>
      <c r="W3207">
        <v>0.21066660000000001</v>
      </c>
      <c r="X3207">
        <v>0.9774621</v>
      </c>
      <c r="Y3207">
        <v>6.3303400000000003E-3</v>
      </c>
      <c r="Z3207" s="1">
        <v>-6.9867450000000005E-5</v>
      </c>
      <c r="AA3207">
        <v>0.99997999999999998</v>
      </c>
      <c r="AB3207">
        <v>35</v>
      </c>
      <c r="AC3207">
        <v>120.3918</v>
      </c>
      <c r="AD3207">
        <v>-1.121060830802</v>
      </c>
      <c r="AE3207">
        <v>-1.1864999999999899</v>
      </c>
      <c r="AF3207">
        <v>0.76451243066400898</v>
      </c>
      <c r="AG3207">
        <v>-1.121060830802</v>
      </c>
      <c r="AH3207">
        <v>120.384781356752</v>
      </c>
      <c r="AI3207">
        <v>90.533530083761093</v>
      </c>
      <c r="AJ3207">
        <v>89.636143818818297</v>
      </c>
      <c r="AK3207">
        <v>120.392428495134</v>
      </c>
      <c r="AL3207">
        <v>77.838580577341901</v>
      </c>
      <c r="AM3207">
        <v>90.802482376180293</v>
      </c>
      <c r="AN3207">
        <v>1.00000001098779</v>
      </c>
    </row>
    <row r="3208" spans="1:40" x14ac:dyDescent="0.25">
      <c r="A3208" t="str">
        <f>"20190303162843573"</f>
        <v>20190303162843573</v>
      </c>
      <c r="B3208" t="str">
        <f>"1551601723564462"</f>
        <v>1551601723564462</v>
      </c>
      <c r="C3208" t="s">
        <v>40</v>
      </c>
      <c r="D3208">
        <v>4.3468679999999997</v>
      </c>
      <c r="E3208">
        <v>0.50991719999999996</v>
      </c>
      <c r="F3208" t="s">
        <v>48</v>
      </c>
      <c r="G3208">
        <v>-244.1207</v>
      </c>
      <c r="H3208" s="1">
        <v>7.1857649999999998E-7</v>
      </c>
      <c r="I3208">
        <v>213.18629999999999</v>
      </c>
      <c r="J3208">
        <v>-346.91059999999999</v>
      </c>
      <c r="K3208">
        <v>1.1210580000000001</v>
      </c>
      <c r="L3208">
        <v>214.51400000000001</v>
      </c>
      <c r="M3208">
        <v>0.99993399999999999</v>
      </c>
      <c r="N3208">
        <v>-1.094555E-2</v>
      </c>
      <c r="O3208">
        <v>-3.503932E-3</v>
      </c>
      <c r="P3208">
        <v>0.97979590000000005</v>
      </c>
      <c r="Q3208">
        <v>0.1997303</v>
      </c>
      <c r="R3208">
        <v>1.0396229999999999E-2</v>
      </c>
      <c r="S3208">
        <v>3.0692140000000001</v>
      </c>
      <c r="T3208">
        <v>-3.3363700000000003E-2</v>
      </c>
      <c r="U3208">
        <v>-3.9550780000000001E-2</v>
      </c>
      <c r="V3208">
        <v>-1.382191E-2</v>
      </c>
      <c r="W3208">
        <v>0.2104432</v>
      </c>
      <c r="X3208">
        <v>0.97750840000000006</v>
      </c>
      <c r="Y3208">
        <v>9.3801790000000006E-3</v>
      </c>
      <c r="Z3208">
        <v>-1.02588E-4</v>
      </c>
      <c r="AA3208">
        <v>0.99995599999999996</v>
      </c>
      <c r="AB3208">
        <v>35</v>
      </c>
      <c r="AC3208">
        <v>102.7899</v>
      </c>
      <c r="AD3208">
        <v>-1.12105728142349</v>
      </c>
      <c r="AE3208">
        <v>-1.3277000000000201</v>
      </c>
      <c r="AF3208">
        <v>0.96738641852469998</v>
      </c>
      <c r="AG3208">
        <v>-1.12105728142349</v>
      </c>
      <c r="AH3208">
        <v>102.78169779821199</v>
      </c>
      <c r="AI3208">
        <v>90.624882257422001</v>
      </c>
      <c r="AJ3208">
        <v>89.460745215232805</v>
      </c>
      <c r="AK3208">
        <v>102.79236356944899</v>
      </c>
      <c r="AL3208">
        <v>77.851674202124201</v>
      </c>
      <c r="AM3208">
        <v>90.810104889867304</v>
      </c>
      <c r="AN3208">
        <v>1.0000000288464199</v>
      </c>
    </row>
    <row r="3209" spans="1:40" x14ac:dyDescent="0.25">
      <c r="A3209" t="str">
        <f>"20190303162843595"</f>
        <v>20190303162843595</v>
      </c>
      <c r="B3209" t="str">
        <f>"1551601723584959"</f>
        <v>1551601723584959</v>
      </c>
      <c r="C3209" t="s">
        <v>40</v>
      </c>
      <c r="D3209">
        <v>4.3401889999999996</v>
      </c>
      <c r="E3209">
        <v>0.51028309999999999</v>
      </c>
      <c r="F3209" t="s">
        <v>48</v>
      </c>
      <c r="G3209">
        <v>-246.8065</v>
      </c>
      <c r="H3209" s="1">
        <v>2.1501590000000001E-6</v>
      </c>
      <c r="I3209">
        <v>213.13200000000001</v>
      </c>
      <c r="J3209">
        <v>-346.57</v>
      </c>
      <c r="K3209">
        <v>1.1210659999999999</v>
      </c>
      <c r="L3209">
        <v>214.5128</v>
      </c>
      <c r="M3209">
        <v>0.9999342</v>
      </c>
      <c r="N3209">
        <v>-1.094462E-2</v>
      </c>
      <c r="O3209">
        <v>-3.503688E-3</v>
      </c>
      <c r="P3209">
        <v>0.97974899999999998</v>
      </c>
      <c r="Q3209">
        <v>0.19994290000000001</v>
      </c>
      <c r="R3209">
        <v>1.073787E-2</v>
      </c>
      <c r="S3209">
        <v>3.0693359999999998</v>
      </c>
      <c r="T3209">
        <v>-3.437316E-2</v>
      </c>
      <c r="U3209">
        <v>-4.237366E-2</v>
      </c>
      <c r="V3209">
        <v>-1.4162920000000001E-2</v>
      </c>
      <c r="W3209">
        <v>0.21065400000000001</v>
      </c>
      <c r="X3209">
        <v>0.9774581</v>
      </c>
      <c r="Y3209">
        <v>1.0299239999999999E-2</v>
      </c>
      <c r="Z3209">
        <v>-1.131461E-4</v>
      </c>
      <c r="AA3209">
        <v>0.99994700000000003</v>
      </c>
      <c r="AB3209">
        <v>35</v>
      </c>
      <c r="AC3209">
        <v>99.763499999999993</v>
      </c>
      <c r="AD3209">
        <v>-1.1210638498409999</v>
      </c>
      <c r="AE3209">
        <v>-1.38079999999999</v>
      </c>
      <c r="AF3209">
        <v>1.0311003132920999</v>
      </c>
      <c r="AG3209">
        <v>-1.1210638498409999</v>
      </c>
      <c r="AH3209">
        <v>99.755131600599896</v>
      </c>
      <c r="AI3209">
        <v>90.643837481667703</v>
      </c>
      <c r="AJ3209">
        <v>89.4077939505285</v>
      </c>
      <c r="AK3209">
        <v>99.766759156867906</v>
      </c>
      <c r="AL3209">
        <v>77.839319146327199</v>
      </c>
      <c r="AM3209">
        <v>90.830131501115304</v>
      </c>
      <c r="AN3209">
        <v>1.00000001663726</v>
      </c>
    </row>
    <row r="3210" spans="1:40" x14ac:dyDescent="0.25">
      <c r="A3210" t="str">
        <f>"20190303162843619"</f>
        <v>20190303162843619</v>
      </c>
      <c r="B3210" t="str">
        <f>"1551601723604478"</f>
        <v>1551601723604478</v>
      </c>
      <c r="C3210" t="s">
        <v>40</v>
      </c>
      <c r="D3210">
        <v>4.3330289999999998</v>
      </c>
      <c r="E3210">
        <v>0.51069790000000004</v>
      </c>
      <c r="F3210" t="s">
        <v>48</v>
      </c>
      <c r="G3210">
        <v>-244.18549999999999</v>
      </c>
      <c r="H3210" s="1">
        <v>7.5962380000000004E-7</v>
      </c>
      <c r="I3210">
        <v>213.03579999999999</v>
      </c>
      <c r="J3210">
        <v>-346.19920000000002</v>
      </c>
      <c r="K3210">
        <v>1.121068</v>
      </c>
      <c r="L3210">
        <v>214.51150000000001</v>
      </c>
      <c r="M3210">
        <v>0.99993410000000005</v>
      </c>
      <c r="N3210">
        <v>-1.0944199999999999E-2</v>
      </c>
      <c r="O3210">
        <v>-3.5034469999999998E-3</v>
      </c>
      <c r="P3210">
        <v>0.97967950000000004</v>
      </c>
      <c r="Q3210">
        <v>0.20026649999999999</v>
      </c>
      <c r="R3210">
        <v>1.102789E-2</v>
      </c>
      <c r="S3210">
        <v>3.069366</v>
      </c>
      <c r="T3210">
        <v>-3.3608199999999998E-2</v>
      </c>
      <c r="U3210">
        <v>-4.4281010000000003E-2</v>
      </c>
      <c r="V3210">
        <v>-1.445226E-2</v>
      </c>
      <c r="W3210">
        <v>0.210976</v>
      </c>
      <c r="X3210">
        <v>0.97738440000000004</v>
      </c>
      <c r="Y3210">
        <v>1.0920569999999999E-2</v>
      </c>
      <c r="Z3210">
        <v>-1.195338E-4</v>
      </c>
      <c r="AA3210">
        <v>0.9999403</v>
      </c>
      <c r="AB3210">
        <v>35</v>
      </c>
      <c r="AC3210">
        <v>102.0137</v>
      </c>
      <c r="AD3210">
        <v>-1.1210672403762001</v>
      </c>
      <c r="AE3210">
        <v>-1.47570000000001</v>
      </c>
      <c r="AF3210">
        <v>1.1181349858557601</v>
      </c>
      <c r="AG3210">
        <v>-1.1210672403762001</v>
      </c>
      <c r="AH3210">
        <v>102.005927886495</v>
      </c>
      <c r="AI3210">
        <v>90.629629853562093</v>
      </c>
      <c r="AJ3210">
        <v>89.371979146056304</v>
      </c>
      <c r="AK3210">
        <v>102.018215734195</v>
      </c>
      <c r="AL3210">
        <v>77.8204455741419</v>
      </c>
      <c r="AM3210">
        <v>90.847152011285303</v>
      </c>
      <c r="AN3210">
        <v>1.00000000287923</v>
      </c>
    </row>
    <row r="3211" spans="1:40" x14ac:dyDescent="0.25">
      <c r="A3211" t="str">
        <f>"20190303162843641"</f>
        <v>20190303162843641</v>
      </c>
      <c r="B3211" t="str">
        <f>"1551601723634735"</f>
        <v>1551601723634735</v>
      </c>
      <c r="C3211" t="s">
        <v>40</v>
      </c>
      <c r="D3211">
        <v>4.2565299999999997</v>
      </c>
      <c r="E3211">
        <v>0.51105480000000003</v>
      </c>
      <c r="F3211" t="s">
        <v>48</v>
      </c>
      <c r="G3211">
        <v>-238.94120000000001</v>
      </c>
      <c r="H3211" s="1">
        <v>3.297446E-6</v>
      </c>
      <c r="I3211">
        <v>212.87350000000001</v>
      </c>
      <c r="J3211">
        <v>-345.85120000000001</v>
      </c>
      <c r="K3211">
        <v>1.121068</v>
      </c>
      <c r="L3211">
        <v>214.5103</v>
      </c>
      <c r="M3211">
        <v>0.99993410000000005</v>
      </c>
      <c r="N3211">
        <v>-1.0944280000000001E-2</v>
      </c>
      <c r="O3211">
        <v>-3.5030899999999999E-3</v>
      </c>
      <c r="P3211">
        <v>0.97961489999999996</v>
      </c>
      <c r="Q3211">
        <v>0.20057349999999999</v>
      </c>
      <c r="R3211">
        <v>1.1189660000000001E-2</v>
      </c>
      <c r="S3211">
        <v>3.0692750000000002</v>
      </c>
      <c r="T3211">
        <v>-3.2080169999999998E-2</v>
      </c>
      <c r="U3211">
        <v>-4.6875E-2</v>
      </c>
      <c r="V3211">
        <v>-1.461346E-2</v>
      </c>
      <c r="W3211">
        <v>0.21128269999999999</v>
      </c>
      <c r="X3211">
        <v>0.97731570000000001</v>
      </c>
      <c r="Y3211">
        <v>1.1766260000000001E-2</v>
      </c>
      <c r="Z3211">
        <v>-1.276084E-4</v>
      </c>
      <c r="AA3211">
        <v>0.99993069999999895</v>
      </c>
      <c r="AB3211">
        <v>35</v>
      </c>
      <c r="AC3211">
        <v>106.91</v>
      </c>
      <c r="AD3211">
        <v>-1.1210647025539999</v>
      </c>
      <c r="AE3211">
        <v>-1.63679999999999</v>
      </c>
      <c r="AF3211">
        <v>1.2621134736928401</v>
      </c>
      <c r="AG3211">
        <v>-1.1210647025539999</v>
      </c>
      <c r="AH3211">
        <v>106.903326075973</v>
      </c>
      <c r="AI3211">
        <v>90.600780615842496</v>
      </c>
      <c r="AJ3211">
        <v>89.323590589378398</v>
      </c>
      <c r="AK3211">
        <v>106.916653719585</v>
      </c>
      <c r="AL3211">
        <v>77.802467110733105</v>
      </c>
      <c r="AM3211">
        <v>90.856659920189301</v>
      </c>
      <c r="AN3211">
        <v>0.99999995499947403</v>
      </c>
    </row>
    <row r="3212" spans="1:40" x14ac:dyDescent="0.25">
      <c r="A3212" t="str">
        <f>"20190303162843664"</f>
        <v>20190303162843664</v>
      </c>
      <c r="B3212" t="str">
        <f>"1551601723655230"</f>
        <v>1551601723655230</v>
      </c>
      <c r="C3212" t="s">
        <v>40</v>
      </c>
      <c r="D3212">
        <v>4.2639579999999997</v>
      </c>
      <c r="E3212">
        <v>0.51119150000000002</v>
      </c>
      <c r="F3212" t="s">
        <v>48</v>
      </c>
      <c r="G3212">
        <v>-229.77369999999999</v>
      </c>
      <c r="H3212" s="1">
        <v>3.7499919999999999E-6</v>
      </c>
      <c r="I3212">
        <v>212.65549999999999</v>
      </c>
      <c r="J3212">
        <v>-345.49930000000001</v>
      </c>
      <c r="K3212">
        <v>1.12107</v>
      </c>
      <c r="L3212">
        <v>214.50909999999999</v>
      </c>
      <c r="M3212">
        <v>0.99993410000000005</v>
      </c>
      <c r="N3212">
        <v>-1.094474E-2</v>
      </c>
      <c r="O3212">
        <v>-3.502855E-3</v>
      </c>
      <c r="P3212">
        <v>0.97947039999999996</v>
      </c>
      <c r="Q3212">
        <v>0.2012891</v>
      </c>
      <c r="R3212">
        <v>1.097886E-2</v>
      </c>
      <c r="S3212">
        <v>3.069061</v>
      </c>
      <c r="T3212">
        <v>-2.9640670000000001E-2</v>
      </c>
      <c r="U3212">
        <v>-4.9041750000000002E-2</v>
      </c>
      <c r="V3212">
        <v>-1.440193E-2</v>
      </c>
      <c r="W3212">
        <v>0.2119972</v>
      </c>
      <c r="X3212">
        <v>0.97716409999999998</v>
      </c>
      <c r="Y3212">
        <v>1.2473410000000001E-2</v>
      </c>
      <c r="Z3212">
        <v>-1.3300700000000001E-4</v>
      </c>
      <c r="AA3212">
        <v>0.99992219999999998</v>
      </c>
      <c r="AB3212">
        <v>35</v>
      </c>
      <c r="AC3212">
        <v>115.7256</v>
      </c>
      <c r="AD3212">
        <v>-1.121066250008</v>
      </c>
      <c r="AE3212">
        <v>-1.8535999999999999</v>
      </c>
      <c r="AF3212">
        <v>1.44805854609242</v>
      </c>
      <c r="AG3212">
        <v>-1.121066250008</v>
      </c>
      <c r="AH3212">
        <v>115.720526396065</v>
      </c>
      <c r="AI3212">
        <v>90.555003762006194</v>
      </c>
      <c r="AJ3212">
        <v>89.283071762110197</v>
      </c>
      <c r="AK3212">
        <v>115.735015844264</v>
      </c>
      <c r="AL3212">
        <v>77.760580423717599</v>
      </c>
      <c r="AM3212">
        <v>90.844392528265303</v>
      </c>
      <c r="AN3212">
        <v>0.99999995336218594</v>
      </c>
    </row>
    <row r="3213" spans="1:40" x14ac:dyDescent="0.25">
      <c r="A3213" t="str">
        <f>"20190303162843684"</f>
        <v>20190303162843684</v>
      </c>
      <c r="B3213" t="str">
        <f>"1551601723674751"</f>
        <v>1551601723674751</v>
      </c>
      <c r="C3213" t="s">
        <v>40</v>
      </c>
      <c r="D3213">
        <v>4.2538539999999996</v>
      </c>
      <c r="E3213">
        <v>0.51992680000000002</v>
      </c>
      <c r="F3213" t="s">
        <v>48</v>
      </c>
      <c r="G3213">
        <v>-218.1891</v>
      </c>
      <c r="H3213" s="1">
        <v>2.9183990000000001E-6</v>
      </c>
      <c r="I3213">
        <v>212.3887</v>
      </c>
      <c r="J3213">
        <v>-345.16879999999998</v>
      </c>
      <c r="K3213">
        <v>1.12107</v>
      </c>
      <c r="L3213">
        <v>214.50800000000001</v>
      </c>
      <c r="M3213">
        <v>0.99993399999999999</v>
      </c>
      <c r="N3213">
        <v>-1.0945470000000001E-2</v>
      </c>
      <c r="O3213">
        <v>-3.5023820000000001E-3</v>
      </c>
      <c r="P3213">
        <v>0.97940419999999995</v>
      </c>
      <c r="Q3213">
        <v>0.2015924</v>
      </c>
      <c r="R3213">
        <v>1.1312539999999999E-2</v>
      </c>
      <c r="S3213">
        <v>3.069</v>
      </c>
      <c r="T3213">
        <v>-2.7024980000000001E-2</v>
      </c>
      <c r="U3213">
        <v>-5.111694E-2</v>
      </c>
      <c r="V3213">
        <v>-1.473502E-2</v>
      </c>
      <c r="W3213">
        <v>0.2123005</v>
      </c>
      <c r="X3213">
        <v>0.97709330000000005</v>
      </c>
      <c r="Y3213">
        <v>1.3150240000000001E-2</v>
      </c>
      <c r="Z3213">
        <v>-1.373681E-4</v>
      </c>
      <c r="AA3213">
        <v>0.99991350000000001</v>
      </c>
      <c r="AB3213">
        <v>35</v>
      </c>
      <c r="AC3213">
        <v>126.979699999999</v>
      </c>
      <c r="AD3213">
        <v>-1.121067081601</v>
      </c>
      <c r="AE3213">
        <v>-2.11929999999998</v>
      </c>
      <c r="AF3213">
        <v>1.6743984818128801</v>
      </c>
      <c r="AG3213">
        <v>-1.121067081601</v>
      </c>
      <c r="AH3213">
        <v>126.976449569496</v>
      </c>
      <c r="AI3213">
        <v>90.505803715308502</v>
      </c>
      <c r="AJ3213">
        <v>89.244502374964</v>
      </c>
      <c r="AK3213">
        <v>126.992437361255</v>
      </c>
      <c r="AL3213">
        <v>77.742798041474202</v>
      </c>
      <c r="AM3213">
        <v>90.863981428946502</v>
      </c>
      <c r="AN3213">
        <v>0.99999997000976903</v>
      </c>
    </row>
    <row r="3214" spans="1:40" x14ac:dyDescent="0.25">
      <c r="A3214" t="str">
        <f>"20190303162843707"</f>
        <v>20190303162843707</v>
      </c>
      <c r="B3214" t="str">
        <f>"1551601723705007"</f>
        <v>1551601723705007</v>
      </c>
      <c r="C3214" t="s">
        <v>40</v>
      </c>
      <c r="D3214">
        <v>4.2303769999999998</v>
      </c>
      <c r="E3214">
        <v>0.5317364</v>
      </c>
      <c r="F3214" t="s">
        <v>48</v>
      </c>
      <c r="G3214">
        <v>-321.90480000000002</v>
      </c>
      <c r="H3214" s="1">
        <v>-5.2311979999999995E-7</v>
      </c>
      <c r="I3214">
        <v>213.6105</v>
      </c>
      <c r="J3214">
        <v>-344.80880000000002</v>
      </c>
      <c r="K3214">
        <v>1.1210739999999999</v>
      </c>
      <c r="L3214">
        <v>214.5067</v>
      </c>
      <c r="M3214">
        <v>0.99993390000000004</v>
      </c>
      <c r="N3214">
        <v>-1.094817E-2</v>
      </c>
      <c r="O3214">
        <v>-3.5019199999999999E-3</v>
      </c>
      <c r="P3214">
        <v>0.97923950000000004</v>
      </c>
      <c r="Q3214">
        <v>0.20236670000000001</v>
      </c>
      <c r="R3214">
        <v>1.1742610000000001E-2</v>
      </c>
      <c r="S3214">
        <v>3.0951230000000001</v>
      </c>
      <c r="T3214">
        <v>-0.1491516</v>
      </c>
      <c r="U3214">
        <v>-0.11940000000000001</v>
      </c>
      <c r="V3214">
        <v>-1.516384E-2</v>
      </c>
      <c r="W3214">
        <v>0.2130754</v>
      </c>
      <c r="X3214">
        <v>0.97691810000000001</v>
      </c>
      <c r="Y3214">
        <v>3.5001020000000001E-2</v>
      </c>
      <c r="Z3214">
        <v>-9.0406429999999999E-4</v>
      </c>
      <c r="AA3214">
        <v>0.99938680000000002</v>
      </c>
      <c r="AB3214">
        <v>35</v>
      </c>
      <c r="AC3214">
        <v>22.904</v>
      </c>
      <c r="AD3214">
        <v>-1.1210745231197901</v>
      </c>
      <c r="AE3214">
        <v>-0.896199999999993</v>
      </c>
      <c r="AF3214">
        <v>0.81403445494792703</v>
      </c>
      <c r="AG3214">
        <v>-1.1210745231197901</v>
      </c>
      <c r="AH3214">
        <v>22.852332764448999</v>
      </c>
      <c r="AI3214">
        <v>92.806749304441198</v>
      </c>
      <c r="AJ3214">
        <v>87.959900777445299</v>
      </c>
      <c r="AK3214">
        <v>22.894291274406001</v>
      </c>
      <c r="AL3214">
        <v>77.697360561608903</v>
      </c>
      <c r="AM3214">
        <v>90.889280550990307</v>
      </c>
      <c r="AN3214">
        <v>1.0000000211181499</v>
      </c>
    </row>
    <row r="3215" spans="1:40" x14ac:dyDescent="0.25">
      <c r="A3215" t="str">
        <f>"20190303162843730"</f>
        <v>20190303162843730</v>
      </c>
      <c r="B3215" t="str">
        <f>"1551601723724527"</f>
        <v>1551601723724527</v>
      </c>
      <c r="C3215" t="s">
        <v>40</v>
      </c>
      <c r="D3215">
        <v>4.318848</v>
      </c>
      <c r="E3215">
        <v>0.53124559999999998</v>
      </c>
      <c r="F3215" t="s">
        <v>44</v>
      </c>
      <c r="G3215">
        <v>-343.91989999999998</v>
      </c>
      <c r="H3215">
        <v>0.84037719999999905</v>
      </c>
      <c r="I3215">
        <v>214.4513</v>
      </c>
      <c r="J3215">
        <v>-344.44299999999998</v>
      </c>
      <c r="K3215">
        <v>1.121086</v>
      </c>
      <c r="L3215">
        <v>214.50540000000001</v>
      </c>
      <c r="M3215">
        <v>0.99993379999999998</v>
      </c>
      <c r="N3215">
        <v>-1.0961139999999999E-2</v>
      </c>
      <c r="O3215">
        <v>-3.501634E-3</v>
      </c>
      <c r="P3215">
        <v>0.97917500000000002</v>
      </c>
      <c r="Q3215">
        <v>0.2026741</v>
      </c>
      <c r="R3215">
        <v>1.1821180000000001E-2</v>
      </c>
      <c r="S3215">
        <v>3.28009</v>
      </c>
      <c r="T3215">
        <v>-1.035731</v>
      </c>
      <c r="U3215">
        <v>-0.20422360000000001</v>
      </c>
      <c r="V3215">
        <v>-1.5241950000000001E-2</v>
      </c>
      <c r="W3215">
        <v>0.213395</v>
      </c>
      <c r="X3215">
        <v>0.97684709999999997</v>
      </c>
      <c r="Y3215">
        <v>5.5990270000000002E-2</v>
      </c>
      <c r="Z3215">
        <v>-7.8957969999999995E-3</v>
      </c>
      <c r="AA3215">
        <v>0.99840010000000001</v>
      </c>
      <c r="AB3215">
        <v>35</v>
      </c>
      <c r="AC3215">
        <v>0.52310000000005596</v>
      </c>
      <c r="AD3215">
        <v>-0.28070879999999998</v>
      </c>
      <c r="AE3215">
        <v>-5.4100000000005297E-2</v>
      </c>
      <c r="AF3215">
        <v>4.0677923682114599E-2</v>
      </c>
      <c r="AG3215">
        <v>-0.28070879999999998</v>
      </c>
      <c r="AH3215">
        <v>0.40725219048283301</v>
      </c>
      <c r="AI3215">
        <v>124.44475544369899</v>
      </c>
      <c r="AJ3215">
        <v>84.295994981174402</v>
      </c>
      <c r="AK3215">
        <v>0.49629272664990098</v>
      </c>
      <c r="AL3215">
        <v>77.678617497933402</v>
      </c>
      <c r="AM3215">
        <v>90.893925513725904</v>
      </c>
      <c r="AN3215">
        <v>0.99999999992160604</v>
      </c>
    </row>
    <row r="3216" spans="1:40" x14ac:dyDescent="0.25">
      <c r="A3216" t="str">
        <f>"20190303162843753"</f>
        <v>20190303162843753</v>
      </c>
      <c r="B3216" t="str">
        <f>"1551601723744904"</f>
        <v>1551601723744904</v>
      </c>
      <c r="C3216" t="s">
        <v>40</v>
      </c>
      <c r="D3216">
        <v>4.3187949999999997</v>
      </c>
      <c r="E3216">
        <v>0.5309507</v>
      </c>
      <c r="F3216" t="s">
        <v>44</v>
      </c>
      <c r="G3216">
        <v>-343.60019999999997</v>
      </c>
      <c r="H3216">
        <v>0.85066529999999996</v>
      </c>
      <c r="I3216">
        <v>214.45429999999999</v>
      </c>
      <c r="J3216">
        <v>-344.07199999999898</v>
      </c>
      <c r="K3216">
        <v>1.121094</v>
      </c>
      <c r="L3216">
        <v>214.50409999999999</v>
      </c>
      <c r="M3216">
        <v>0.99993359999999998</v>
      </c>
      <c r="N3216">
        <v>-1.098096E-2</v>
      </c>
      <c r="O3216">
        <v>-3.5012659999999998E-3</v>
      </c>
      <c r="P3216">
        <v>0.97906760000000004</v>
      </c>
      <c r="Q3216">
        <v>0.20319280000000001</v>
      </c>
      <c r="R3216">
        <v>1.181105E-2</v>
      </c>
      <c r="S3216">
        <v>3.284332</v>
      </c>
      <c r="T3216">
        <v>-1.053793</v>
      </c>
      <c r="U3216">
        <v>-0.19859309999999999</v>
      </c>
      <c r="V3216">
        <v>-1.523127E-2</v>
      </c>
      <c r="W3216">
        <v>0.21393200000000001</v>
      </c>
      <c r="X3216">
        <v>0.97672979999999998</v>
      </c>
      <c r="Y3216">
        <v>5.4214239999999997E-2</v>
      </c>
      <c r="Z3216">
        <v>-7.7252909999999996E-3</v>
      </c>
      <c r="AA3216">
        <v>0.99849949999999998</v>
      </c>
      <c r="AB3216">
        <v>35</v>
      </c>
      <c r="AC3216">
        <v>0.47179999999997302</v>
      </c>
      <c r="AD3216">
        <v>-0.27042870000000002</v>
      </c>
      <c r="AE3216">
        <v>-4.9800000000004702E-2</v>
      </c>
      <c r="AF3216">
        <v>3.6340052259306498E-2</v>
      </c>
      <c r="AG3216">
        <v>-0.27042870000000002</v>
      </c>
      <c r="AH3216">
        <v>0.35622613462011599</v>
      </c>
      <c r="AI3216">
        <v>127.061173444912</v>
      </c>
      <c r="AJ3216">
        <v>84.175178705138194</v>
      </c>
      <c r="AK3216">
        <v>0.44871966768605998</v>
      </c>
      <c r="AL3216">
        <v>77.647122322581097</v>
      </c>
      <c r="AM3216">
        <v>90.893406506721206</v>
      </c>
      <c r="AN3216">
        <v>0.99999999720892596</v>
      </c>
    </row>
    <row r="3217" spans="1:40" x14ac:dyDescent="0.25">
      <c r="A3217" t="str">
        <f>"20190303162843775"</f>
        <v>20190303162843775</v>
      </c>
      <c r="B3217" t="str">
        <f>"1551601723764406"</f>
        <v>1551601723764406</v>
      </c>
      <c r="C3217" t="s">
        <v>40</v>
      </c>
      <c r="D3217">
        <v>4.308846</v>
      </c>
      <c r="E3217">
        <v>0.53077700000000005</v>
      </c>
      <c r="F3217" t="s">
        <v>44</v>
      </c>
      <c r="G3217">
        <v>-343.27730000000003</v>
      </c>
      <c r="H3217">
        <v>0.86805840000000001</v>
      </c>
      <c r="I3217">
        <v>214.4562</v>
      </c>
      <c r="J3217">
        <v>-343.73559999999998</v>
      </c>
      <c r="K3217">
        <v>1.1210960000000001</v>
      </c>
      <c r="L3217">
        <v>214.50299999999999</v>
      </c>
      <c r="M3217">
        <v>0.99993339999999997</v>
      </c>
      <c r="N3217">
        <v>-1.0999999999999999E-2</v>
      </c>
      <c r="O3217">
        <v>-3.501012E-3</v>
      </c>
      <c r="P3217">
        <v>0.9790044</v>
      </c>
      <c r="Q3217">
        <v>0.20348669999999999</v>
      </c>
      <c r="R3217">
        <v>1.1994390000000001E-2</v>
      </c>
      <c r="S3217">
        <v>3.2835079999999999</v>
      </c>
      <c r="T3217">
        <v>-1.045596</v>
      </c>
      <c r="U3217">
        <v>-0.19752500000000001</v>
      </c>
      <c r="V3217">
        <v>-1.5413680000000001E-2</v>
      </c>
      <c r="W3217">
        <v>0.21424360000000001</v>
      </c>
      <c r="X3217">
        <v>0.97665860000000004</v>
      </c>
      <c r="Y3217">
        <v>5.3956869999999997E-2</v>
      </c>
      <c r="Z3217">
        <v>-7.6315599999999999E-3</v>
      </c>
      <c r="AA3217">
        <v>0.99851409999999996</v>
      </c>
      <c r="AB3217">
        <v>35</v>
      </c>
      <c r="AC3217">
        <v>0.45829999999995102</v>
      </c>
      <c r="AD3217">
        <v>-0.25303759999999897</v>
      </c>
      <c r="AE3217">
        <v>-4.6799999999990398E-2</v>
      </c>
      <c r="AF3217">
        <v>3.4720248874542302E-2</v>
      </c>
      <c r="AG3217">
        <v>-0.25303759999999897</v>
      </c>
      <c r="AH3217">
        <v>0.35220368750778602</v>
      </c>
      <c r="AI3217">
        <v>125.56383580258201</v>
      </c>
      <c r="AJ3217">
        <v>84.369971090743704</v>
      </c>
      <c r="AK3217">
        <v>0.43506431730234102</v>
      </c>
      <c r="AL3217">
        <v>77.628844740585606</v>
      </c>
      <c r="AM3217">
        <v>90.904170095497804</v>
      </c>
      <c r="AN3217">
        <v>0.99999996131303004</v>
      </c>
    </row>
    <row r="3218" spans="1:40" x14ac:dyDescent="0.25">
      <c r="A3218" t="str">
        <f>"20190303162843796"</f>
        <v>20190303162843796</v>
      </c>
      <c r="B3218" t="str">
        <f>"1551601723784903"</f>
        <v>1551601723784903</v>
      </c>
      <c r="C3218" t="s">
        <v>40</v>
      </c>
      <c r="D3218">
        <v>4.2850219999999997</v>
      </c>
      <c r="E3218">
        <v>0.53136349999999999</v>
      </c>
      <c r="F3218" t="s">
        <v>44</v>
      </c>
      <c r="G3218">
        <v>-342.95859999999999</v>
      </c>
      <c r="H3218">
        <v>0.87460629999999995</v>
      </c>
      <c r="I3218">
        <v>214.4562</v>
      </c>
      <c r="J3218">
        <v>-343.4008</v>
      </c>
      <c r="K3218">
        <v>1.1210910000000001</v>
      </c>
      <c r="L3218">
        <v>214.5018</v>
      </c>
      <c r="M3218">
        <v>0.99993319999999997</v>
      </c>
      <c r="N3218">
        <v>-1.102092E-2</v>
      </c>
      <c r="O3218">
        <v>-3.500651E-3</v>
      </c>
      <c r="P3218">
        <v>0.97909610000000002</v>
      </c>
      <c r="Q3218">
        <v>0.2030605</v>
      </c>
      <c r="R3218">
        <v>1.1733260000000001E-2</v>
      </c>
      <c r="S3218">
        <v>3.2832340000000002</v>
      </c>
      <c r="T3218">
        <v>-1.041544</v>
      </c>
      <c r="U3218">
        <v>-0.1959534</v>
      </c>
      <c r="V3218">
        <v>-1.5152870000000001E-2</v>
      </c>
      <c r="W3218">
        <v>0.2138389</v>
      </c>
      <c r="X3218">
        <v>0.97675140000000005</v>
      </c>
      <c r="Y3218">
        <v>5.3526310000000001E-2</v>
      </c>
      <c r="Z3218">
        <v>-7.5369790000000001E-3</v>
      </c>
      <c r="AA3218">
        <v>0.99853800000000004</v>
      </c>
      <c r="AB3218">
        <v>35</v>
      </c>
      <c r="AC3218">
        <v>0.44220000000001303</v>
      </c>
      <c r="AD3218">
        <v>-0.2464847</v>
      </c>
      <c r="AE3218">
        <v>-4.5600000000007399E-2</v>
      </c>
      <c r="AF3218">
        <v>3.3693262834905098E-2</v>
      </c>
      <c r="AG3218">
        <v>-0.2464847</v>
      </c>
      <c r="AH3218">
        <v>0.33834038216539197</v>
      </c>
      <c r="AI3218">
        <v>125.93930898568701</v>
      </c>
      <c r="AJ3218">
        <v>84.313011210200202</v>
      </c>
      <c r="AK3218">
        <v>0.41995732818748999</v>
      </c>
      <c r="AL3218">
        <v>77.652582847122204</v>
      </c>
      <c r="AM3218">
        <v>90.888788958038901</v>
      </c>
      <c r="AN3218">
        <v>0.99999999101220305</v>
      </c>
    </row>
    <row r="3219" spans="1:40" x14ac:dyDescent="0.25">
      <c r="A3219" t="str">
        <f>"20190303162843821"</f>
        <v>20190303162843821</v>
      </c>
      <c r="B3219" t="str">
        <f>"1551601723816136"</f>
        <v>1551601723816136</v>
      </c>
      <c r="C3219" t="s">
        <v>40</v>
      </c>
      <c r="D3219">
        <v>4.3090310000000001</v>
      </c>
      <c r="E3219">
        <v>0.53183530000000001</v>
      </c>
      <c r="F3219" t="s">
        <v>44</v>
      </c>
      <c r="G3219">
        <v>-342.63900000000001</v>
      </c>
      <c r="H3219">
        <v>0.88276739999999998</v>
      </c>
      <c r="I3219">
        <v>214.45500000000001</v>
      </c>
      <c r="J3219">
        <v>-343.0215</v>
      </c>
      <c r="K3219">
        <v>1.1210850000000001</v>
      </c>
      <c r="L3219">
        <v>214.50040000000001</v>
      </c>
      <c r="M3219">
        <v>0.99993290000000001</v>
      </c>
      <c r="N3219">
        <v>-1.104831E-2</v>
      </c>
      <c r="O3219">
        <v>-3.5004440000000001E-3</v>
      </c>
      <c r="P3219">
        <v>0.97920660000000004</v>
      </c>
      <c r="Q3219">
        <v>0.2025332</v>
      </c>
      <c r="R3219">
        <v>1.16171E-2</v>
      </c>
      <c r="S3219">
        <v>3.279236</v>
      </c>
      <c r="T3219">
        <v>-1.025944</v>
      </c>
      <c r="U3219">
        <v>-0.20095830000000001</v>
      </c>
      <c r="V3219">
        <v>-1.503671E-2</v>
      </c>
      <c r="W3219">
        <v>0.21333949999999999</v>
      </c>
      <c r="X3219">
        <v>0.97686240000000002</v>
      </c>
      <c r="Y3219">
        <v>5.5106259999999997E-2</v>
      </c>
      <c r="Z3219">
        <v>-7.6929279999999999E-3</v>
      </c>
      <c r="AA3219">
        <v>0.99845090000000003</v>
      </c>
      <c r="AB3219">
        <v>35</v>
      </c>
      <c r="AC3219">
        <v>0.38249999999999301</v>
      </c>
      <c r="AD3219">
        <v>-0.23831759999999999</v>
      </c>
      <c r="AE3219">
        <v>-4.5400000000000697E-2</v>
      </c>
      <c r="AF3219">
        <v>3.18633714995991E-2</v>
      </c>
      <c r="AG3219">
        <v>-0.23831759999999999</v>
      </c>
      <c r="AH3219">
        <v>0.276725592892613</v>
      </c>
      <c r="AI3219">
        <v>130.54872884397599</v>
      </c>
      <c r="AJ3219">
        <v>83.431644517425596</v>
      </c>
      <c r="AK3219">
        <v>0.36658915242386703</v>
      </c>
      <c r="AL3219">
        <v>77.681872326553204</v>
      </c>
      <c r="AM3219">
        <v>90.881876491436799</v>
      </c>
      <c r="AN3219">
        <v>0.99999999672081696</v>
      </c>
    </row>
    <row r="3220" spans="1:40" x14ac:dyDescent="0.25">
      <c r="A3220" t="str">
        <f>"20190303162843844"</f>
        <v>20190303162843844</v>
      </c>
      <c r="B3220" t="str">
        <f>"1551601723835654"</f>
        <v>1551601723835654</v>
      </c>
      <c r="C3220" t="s">
        <v>40</v>
      </c>
      <c r="D3220">
        <v>4.3180990000000001</v>
      </c>
      <c r="E3220">
        <v>0.53195619999999999</v>
      </c>
      <c r="F3220" t="s">
        <v>44</v>
      </c>
      <c r="G3220">
        <v>-342.31420000000003</v>
      </c>
      <c r="H3220">
        <v>0.90222159999999996</v>
      </c>
      <c r="I3220">
        <v>214.45599999999999</v>
      </c>
      <c r="J3220">
        <v>-342.6585</v>
      </c>
      <c r="K3220">
        <v>1.1210910000000001</v>
      </c>
      <c r="L3220">
        <v>214.4992</v>
      </c>
      <c r="M3220">
        <v>0.99993259999999995</v>
      </c>
      <c r="N3220">
        <v>-1.1079540000000001E-2</v>
      </c>
      <c r="O3220">
        <v>-3.5001400000000001E-3</v>
      </c>
      <c r="P3220">
        <v>0.97934219999999905</v>
      </c>
      <c r="Q3220">
        <v>0.2019059</v>
      </c>
      <c r="R3220">
        <v>1.1089689999999999E-2</v>
      </c>
      <c r="S3220">
        <v>3.2757869999999998</v>
      </c>
      <c r="T3220">
        <v>-1.013687</v>
      </c>
      <c r="U3220">
        <v>-0.2041779</v>
      </c>
      <c r="V3220">
        <v>-1.450949E-2</v>
      </c>
      <c r="W3220">
        <v>0.21274460000000001</v>
      </c>
      <c r="X3220">
        <v>0.97700010000000004</v>
      </c>
      <c r="Y3220">
        <v>5.6151010000000001E-2</v>
      </c>
      <c r="Z3220">
        <v>-7.7809050000000003E-3</v>
      </c>
      <c r="AA3220">
        <v>0.99839199999999995</v>
      </c>
      <c r="AB3220">
        <v>35</v>
      </c>
      <c r="AC3220">
        <v>0.34429999999997501</v>
      </c>
      <c r="AD3220">
        <v>-0.21886939999999999</v>
      </c>
      <c r="AE3220">
        <v>-4.3200000000012999E-2</v>
      </c>
      <c r="AF3220">
        <v>3.0042395567884E-2</v>
      </c>
      <c r="AG3220">
        <v>-0.21886939999999999</v>
      </c>
      <c r="AH3220">
        <v>0.24641466618809801</v>
      </c>
      <c r="AI3220">
        <v>131.402213872521</v>
      </c>
      <c r="AJ3220">
        <v>83.048915168273595</v>
      </c>
      <c r="AK3220">
        <v>0.33094795285725598</v>
      </c>
      <c r="AL3220">
        <v>77.716758417175797</v>
      </c>
      <c r="AM3220">
        <v>90.850840680618603</v>
      </c>
      <c r="AN3220">
        <v>0.99999999276461404</v>
      </c>
    </row>
    <row r="3221" spans="1:40" x14ac:dyDescent="0.25">
      <c r="A3221" t="str">
        <f>"20190303162843865"</f>
        <v>20190303162843865</v>
      </c>
      <c r="B3221" t="str">
        <f>"1551601723854706"</f>
        <v>1551601723854706</v>
      </c>
      <c r="C3221" t="s">
        <v>40</v>
      </c>
      <c r="D3221">
        <v>4.3972600000000002</v>
      </c>
      <c r="E3221">
        <v>0.53222080000000005</v>
      </c>
      <c r="F3221" t="s">
        <v>44</v>
      </c>
      <c r="G3221">
        <v>-341.7115</v>
      </c>
      <c r="H3221">
        <v>0.82872579999999996</v>
      </c>
      <c r="I3221">
        <v>214.4392</v>
      </c>
      <c r="J3221">
        <v>-342.31630000000001</v>
      </c>
      <c r="K3221">
        <v>1.1210880000000001</v>
      </c>
      <c r="L3221">
        <v>214.49789999999999</v>
      </c>
      <c r="M3221">
        <v>0.99993220000000005</v>
      </c>
      <c r="N3221">
        <v>-1.1116330000000001E-2</v>
      </c>
      <c r="O3221">
        <v>-3.4997489999999999E-3</v>
      </c>
      <c r="P3221">
        <v>0.97936679999999998</v>
      </c>
      <c r="Q3221">
        <v>0.20182059999999999</v>
      </c>
      <c r="R3221">
        <v>1.0449440000000001E-2</v>
      </c>
      <c r="S3221">
        <v>3.2740170000000002</v>
      </c>
      <c r="T3221">
        <v>-1.010832</v>
      </c>
      <c r="U3221">
        <v>-0.2066345</v>
      </c>
      <c r="V3221">
        <v>-1.386953E-2</v>
      </c>
      <c r="W3221">
        <v>0.2126952</v>
      </c>
      <c r="X3221">
        <v>0.97702009999999995</v>
      </c>
      <c r="Y3221">
        <v>5.6905709999999998E-2</v>
      </c>
      <c r="Z3221">
        <v>-7.8838969999999904E-3</v>
      </c>
      <c r="AA3221">
        <v>0.99834840000000002</v>
      </c>
      <c r="AB3221">
        <v>35</v>
      </c>
      <c r="AC3221">
        <v>0.604800000000011</v>
      </c>
      <c r="AD3221">
        <v>-0.29236219999999902</v>
      </c>
      <c r="AE3221">
        <v>-5.8699999999987498E-2</v>
      </c>
      <c r="AF3221">
        <v>4.5946374867769001E-2</v>
      </c>
      <c r="AG3221">
        <v>-0.29236219999999902</v>
      </c>
      <c r="AH3221">
        <v>0.49127308273393799</v>
      </c>
      <c r="AI3221">
        <v>120.64782800654</v>
      </c>
      <c r="AJ3221">
        <v>84.656947542649704</v>
      </c>
      <c r="AK3221">
        <v>0.57352939521112301</v>
      </c>
      <c r="AL3221">
        <v>77.719654515395902</v>
      </c>
      <c r="AM3221">
        <v>90.813301752087895</v>
      </c>
      <c r="AN3221">
        <v>0.99999994388473301</v>
      </c>
    </row>
    <row r="3222" spans="1:40" x14ac:dyDescent="0.25">
      <c r="A3222" t="str">
        <f>"20190303162843885"</f>
        <v>20190303162843885</v>
      </c>
      <c r="B3222" t="str">
        <f>"1551601723875202"</f>
        <v>1551601723875202</v>
      </c>
      <c r="C3222" t="s">
        <v>40</v>
      </c>
      <c r="D3222">
        <v>4.3937439999999999</v>
      </c>
      <c r="E3222">
        <v>0.53253249999999996</v>
      </c>
      <c r="F3222" t="s">
        <v>44</v>
      </c>
      <c r="G3222">
        <v>-341.39159999999998</v>
      </c>
      <c r="H3222">
        <v>0.83709219999999895</v>
      </c>
      <c r="I3222">
        <v>214.43809999999999</v>
      </c>
      <c r="J3222">
        <v>-341.98410000000001</v>
      </c>
      <c r="K3222">
        <v>1.121095</v>
      </c>
      <c r="L3222">
        <v>214.49680000000001</v>
      </c>
      <c r="M3222">
        <v>0.99993180000000004</v>
      </c>
      <c r="N3222">
        <v>-1.1155109999999999E-2</v>
      </c>
      <c r="O3222">
        <v>-3.4996070000000001E-3</v>
      </c>
      <c r="P3222">
        <v>0.97952810000000001</v>
      </c>
      <c r="Q3222">
        <v>0.201046</v>
      </c>
      <c r="R3222">
        <v>1.0278249999999999E-2</v>
      </c>
      <c r="S3222">
        <v>3.2725520000000001</v>
      </c>
      <c r="T3222">
        <v>-1.0051289999999999</v>
      </c>
      <c r="U3222">
        <v>-0.21098330000000001</v>
      </c>
      <c r="V3222">
        <v>-1.3698460000000001E-2</v>
      </c>
      <c r="W3222">
        <v>0.21196029999999999</v>
      </c>
      <c r="X3222">
        <v>0.97718229999999995</v>
      </c>
      <c r="Y3222">
        <v>5.8218190000000003E-2</v>
      </c>
      <c r="Z3222">
        <v>-8.0518080000000006E-3</v>
      </c>
      <c r="AA3222">
        <v>0.99827140000000003</v>
      </c>
      <c r="AB3222">
        <v>35</v>
      </c>
      <c r="AC3222">
        <v>0.592500000000029</v>
      </c>
      <c r="AD3222">
        <v>-0.2840028</v>
      </c>
      <c r="AE3222">
        <v>-5.8700000000015899E-2</v>
      </c>
      <c r="AF3222">
        <v>4.6130266136387002E-2</v>
      </c>
      <c r="AG3222">
        <v>-0.2840028</v>
      </c>
      <c r="AH3222">
        <v>0.48284347957426099</v>
      </c>
      <c r="AI3222">
        <v>120.34991056162499</v>
      </c>
      <c r="AJ3222">
        <v>84.542596618187204</v>
      </c>
      <c r="AK3222">
        <v>0.56207065181259397</v>
      </c>
      <c r="AL3222">
        <v>77.762744779747095</v>
      </c>
      <c r="AM3222">
        <v>90.803138306720598</v>
      </c>
      <c r="AN3222">
        <v>1.0000000320078699</v>
      </c>
    </row>
    <row r="3223" spans="1:40" x14ac:dyDescent="0.25">
      <c r="A3223" t="str">
        <f>"20190303162843908"</f>
        <v>20190303162843908</v>
      </c>
      <c r="B3223" t="str">
        <f>"1551601723904482"</f>
        <v>1551601723904482</v>
      </c>
      <c r="C3223" t="s">
        <v>40</v>
      </c>
      <c r="D3223">
        <v>4.388433</v>
      </c>
      <c r="E3223">
        <v>0.53288899999999995</v>
      </c>
      <c r="F3223" t="s">
        <v>44</v>
      </c>
      <c r="G3223">
        <v>-341.07350000000002</v>
      </c>
      <c r="H3223">
        <v>0.84052229999999895</v>
      </c>
      <c r="I3223">
        <v>214.43700000000001</v>
      </c>
      <c r="J3223">
        <v>-341.62689999999998</v>
      </c>
      <c r="K3223">
        <v>1.1210990000000001</v>
      </c>
      <c r="L3223">
        <v>214.49549999999999</v>
      </c>
      <c r="M3223">
        <v>0.99993120000000002</v>
      </c>
      <c r="N3223">
        <v>-1.120151E-2</v>
      </c>
      <c r="O3223">
        <v>-3.4993899999999998E-3</v>
      </c>
      <c r="P3223">
        <v>0.97959379999999996</v>
      </c>
      <c r="Q3223">
        <v>0.20073659999999999</v>
      </c>
      <c r="R3223">
        <v>1.0054799999999999E-2</v>
      </c>
      <c r="S3223">
        <v>3.27182</v>
      </c>
      <c r="T3223">
        <v>-1.0081329999999999</v>
      </c>
      <c r="U3223">
        <v>-0.2140503</v>
      </c>
      <c r="V3223">
        <v>-1.3474659999999999E-2</v>
      </c>
      <c r="W3223">
        <v>0.21169660000000001</v>
      </c>
      <c r="X3223">
        <v>0.97724250000000001</v>
      </c>
      <c r="Y3223">
        <v>5.9105539999999998E-2</v>
      </c>
      <c r="Z3223">
        <v>-8.215399E-3</v>
      </c>
      <c r="AA3223">
        <v>0.99821789999999999</v>
      </c>
      <c r="AB3223">
        <v>35</v>
      </c>
      <c r="AC3223">
        <v>0.55339999999995304</v>
      </c>
      <c r="AD3223">
        <v>-0.28057670000000001</v>
      </c>
      <c r="AE3223">
        <v>-5.8499999999980901E-2</v>
      </c>
      <c r="AF3223">
        <v>4.5098346355331401E-2</v>
      </c>
      <c r="AG3223">
        <v>-0.28057670000000001</v>
      </c>
      <c r="AH3223">
        <v>0.44139319796427201</v>
      </c>
      <c r="AI3223">
        <v>122.308008866596</v>
      </c>
      <c r="AJ3223">
        <v>84.166178076140994</v>
      </c>
      <c r="AK3223">
        <v>0.52496199923042297</v>
      </c>
      <c r="AL3223">
        <v>77.778203616816796</v>
      </c>
      <c r="AM3223">
        <v>90.789969968334503</v>
      </c>
      <c r="AN3223">
        <v>0.99999996035996197</v>
      </c>
    </row>
    <row r="3224" spans="1:40" x14ac:dyDescent="0.25">
      <c r="A3224" t="str">
        <f>"20190303162843930"</f>
        <v>20190303162843930</v>
      </c>
      <c r="B3224" t="str">
        <f>"1551601723924978"</f>
        <v>1551601723924978</v>
      </c>
      <c r="C3224" t="s">
        <v>40</v>
      </c>
      <c r="D3224">
        <v>4.4435949999999904</v>
      </c>
      <c r="E3224">
        <v>0.53307819999999995</v>
      </c>
      <c r="F3224" t="s">
        <v>44</v>
      </c>
      <c r="G3224">
        <v>-340.75279999999998</v>
      </c>
      <c r="H3224">
        <v>0.85065579999999996</v>
      </c>
      <c r="I3224">
        <v>214.43709999999999</v>
      </c>
      <c r="J3224">
        <v>-341.26960000000003</v>
      </c>
      <c r="K3224">
        <v>1.121108</v>
      </c>
      <c r="L3224">
        <v>214.49430000000001</v>
      </c>
      <c r="M3224">
        <v>0.99993050000000006</v>
      </c>
      <c r="N3224">
        <v>-1.125634E-2</v>
      </c>
      <c r="O3224">
        <v>-3.4988630000000001E-3</v>
      </c>
      <c r="P3224">
        <v>0.97962190000000005</v>
      </c>
      <c r="Q3224">
        <v>0.2005895</v>
      </c>
      <c r="R3224">
        <v>1.022698E-2</v>
      </c>
      <c r="S3224">
        <v>3.272186</v>
      </c>
      <c r="T3224">
        <v>-1.0123340000000001</v>
      </c>
      <c r="U3224">
        <v>-0.2177887</v>
      </c>
      <c r="V3224">
        <v>-1.364688E-2</v>
      </c>
      <c r="W3224">
        <v>0.2116043</v>
      </c>
      <c r="X3224">
        <v>0.97726009999999996</v>
      </c>
      <c r="Y3224">
        <v>6.0161930000000002E-2</v>
      </c>
      <c r="Z3224">
        <v>-8.4131640000000008E-3</v>
      </c>
      <c r="AA3224">
        <v>0.99815319999999996</v>
      </c>
      <c r="AB3224">
        <v>35</v>
      </c>
      <c r="AC3224">
        <v>0.516800000000046</v>
      </c>
      <c r="AD3224">
        <v>-0.27045219999999898</v>
      </c>
      <c r="AE3224">
        <v>-5.7200000000023003E-2</v>
      </c>
      <c r="AF3224">
        <v>4.3596322318090998E-2</v>
      </c>
      <c r="AG3224">
        <v>-0.27045219999999898</v>
      </c>
      <c r="AH3224">
        <v>0.40690790539014698</v>
      </c>
      <c r="AI3224">
        <v>123.45951346217301</v>
      </c>
      <c r="AJ3224">
        <v>83.884629136670199</v>
      </c>
      <c r="AK3224">
        <v>0.49052938268109902</v>
      </c>
      <c r="AL3224">
        <v>77.783614597568203</v>
      </c>
      <c r="AM3224">
        <v>90.800050885149005</v>
      </c>
      <c r="AN3224">
        <v>0.999999960082116</v>
      </c>
    </row>
    <row r="3225" spans="1:40" x14ac:dyDescent="0.25">
      <c r="A3225" t="str">
        <f>"20190303162843953"</f>
        <v>20190303162843953</v>
      </c>
      <c r="B3225" t="str">
        <f>"1551601723944861"</f>
        <v>1551601723944861</v>
      </c>
      <c r="C3225" t="s">
        <v>40</v>
      </c>
      <c r="D3225">
        <v>4.4536150000000001</v>
      </c>
      <c r="E3225">
        <v>0.53322119999999995</v>
      </c>
      <c r="F3225" t="s">
        <v>44</v>
      </c>
      <c r="G3225">
        <v>-340.43169999999998</v>
      </c>
      <c r="H3225">
        <v>0.86140430000000001</v>
      </c>
      <c r="I3225">
        <v>214.43809999999999</v>
      </c>
      <c r="J3225">
        <v>-340.90769999999998</v>
      </c>
      <c r="K3225">
        <v>1.1211180000000001</v>
      </c>
      <c r="L3225">
        <v>214.49299999999999</v>
      </c>
      <c r="M3225">
        <v>0.99992979999999998</v>
      </c>
      <c r="N3225">
        <v>-1.1326330000000001E-2</v>
      </c>
      <c r="O3225">
        <v>-3.4985429999999998E-3</v>
      </c>
      <c r="P3225">
        <v>0.97964169999999995</v>
      </c>
      <c r="Q3225">
        <v>0.2004879</v>
      </c>
      <c r="R3225">
        <v>1.0356580000000001E-2</v>
      </c>
      <c r="S3225">
        <v>3.2723689999999999</v>
      </c>
      <c r="T3225">
        <v>-1.0142639999999901</v>
      </c>
      <c r="U3225">
        <v>-0.21868899999999999</v>
      </c>
      <c r="V3225">
        <v>-1.377607E-2</v>
      </c>
      <c r="W3225">
        <v>0.2115707</v>
      </c>
      <c r="X3225">
        <v>0.97726559999999996</v>
      </c>
      <c r="Y3225">
        <v>6.0409450000000003E-2</v>
      </c>
      <c r="Z3225">
        <v>-8.4686850000000001E-3</v>
      </c>
      <c r="AA3225">
        <v>0.99813779999999996</v>
      </c>
      <c r="AB3225">
        <v>35</v>
      </c>
      <c r="AC3225">
        <v>0.47599999999999898</v>
      </c>
      <c r="AD3225">
        <v>-0.25971369999999999</v>
      </c>
      <c r="AE3225">
        <v>-5.4900000000003502E-2</v>
      </c>
      <c r="AF3225">
        <v>4.11459808044492E-2</v>
      </c>
      <c r="AG3225">
        <v>-0.25971369999999999</v>
      </c>
      <c r="AH3225">
        <v>0.36805759660380799</v>
      </c>
      <c r="AI3225">
        <v>125.04063063384299</v>
      </c>
      <c r="AJ3225">
        <v>83.621261619704399</v>
      </c>
      <c r="AK3225">
        <v>0.45233902343465998</v>
      </c>
      <c r="AL3225">
        <v>77.785584791289395</v>
      </c>
      <c r="AM3225">
        <v>90.807619129857102</v>
      </c>
      <c r="AN3225">
        <v>0.99999999707324705</v>
      </c>
    </row>
    <row r="3226" spans="1:40" x14ac:dyDescent="0.25">
      <c r="A3226" t="str">
        <f>"20190303162843975"</f>
        <v>20190303162843975</v>
      </c>
      <c r="B3226" t="str">
        <f>"1551601723964365"</f>
        <v>1551601723964365</v>
      </c>
      <c r="C3226" t="s">
        <v>40</v>
      </c>
      <c r="D3226">
        <v>4.4824909999999996</v>
      </c>
      <c r="E3226">
        <v>0.53334289999999995</v>
      </c>
      <c r="F3226" t="s">
        <v>44</v>
      </c>
      <c r="G3226">
        <v>-340.11</v>
      </c>
      <c r="H3226">
        <v>0.87355490000000002</v>
      </c>
      <c r="I3226">
        <v>214.43940000000001</v>
      </c>
      <c r="J3226">
        <v>-340.57479999999998</v>
      </c>
      <c r="K3226">
        <v>1.121135</v>
      </c>
      <c r="L3226">
        <v>214.49180000000001</v>
      </c>
      <c r="M3226">
        <v>0.99992879999999995</v>
      </c>
      <c r="N3226">
        <v>-1.1408389999999999E-2</v>
      </c>
      <c r="O3226">
        <v>-3.4980559999999998E-3</v>
      </c>
      <c r="P3226">
        <v>0.97957190000000005</v>
      </c>
      <c r="Q3226">
        <v>0.20083190000000001</v>
      </c>
      <c r="R3226">
        <v>1.0264509999999999E-2</v>
      </c>
      <c r="S3226">
        <v>3.2725520000000001</v>
      </c>
      <c r="T3226">
        <v>-1.0156130000000001</v>
      </c>
      <c r="U3226">
        <v>-0.21926880000000001</v>
      </c>
      <c r="V3226">
        <v>-1.3682980000000001E-2</v>
      </c>
      <c r="W3226">
        <v>0.2119943</v>
      </c>
      <c r="X3226">
        <v>0.97717509999999996</v>
      </c>
      <c r="Y3226">
        <v>6.0566979999999999E-2</v>
      </c>
      <c r="Z3226">
        <v>-8.5062319999999903E-3</v>
      </c>
      <c r="AA3226">
        <v>0.99812789999999996</v>
      </c>
      <c r="AB3226">
        <v>35</v>
      </c>
      <c r="AC3226">
        <v>0.46479999999996802</v>
      </c>
      <c r="AD3226">
        <v>-0.247580099999999</v>
      </c>
      <c r="AE3226">
        <v>-5.2400000000005699E-2</v>
      </c>
      <c r="AF3226">
        <v>3.9661813747503702E-2</v>
      </c>
      <c r="AG3226">
        <v>-0.247580099999999</v>
      </c>
      <c r="AH3226">
        <v>0.363219086846573</v>
      </c>
      <c r="AI3226">
        <v>124.121555231798</v>
      </c>
      <c r="AJ3226">
        <v>83.7682607182021</v>
      </c>
      <c r="AK3226">
        <v>0.44135821102071898</v>
      </c>
      <c r="AL3226">
        <v>77.760750921458197</v>
      </c>
      <c r="AM3226">
        <v>90.802236745924006</v>
      </c>
      <c r="AN3226">
        <v>0.99999999161708997</v>
      </c>
    </row>
    <row r="3227" spans="1:40" x14ac:dyDescent="0.25">
      <c r="A3227" t="str">
        <f>"20190303162843988"</f>
        <v>20190303162843988</v>
      </c>
      <c r="B3227" t="str">
        <f>"1551601723984862"</f>
        <v>1551601723984862</v>
      </c>
      <c r="C3227" t="s">
        <v>40</v>
      </c>
      <c r="D3227">
        <v>4.4432010000000002</v>
      </c>
      <c r="E3227">
        <v>0.53344639999999999</v>
      </c>
      <c r="F3227" t="s">
        <v>44</v>
      </c>
      <c r="G3227">
        <v>-339.79140000000001</v>
      </c>
      <c r="H3227">
        <v>0.87811079999999997</v>
      </c>
      <c r="I3227">
        <v>214.43879999999999</v>
      </c>
      <c r="J3227">
        <v>-340.3707</v>
      </c>
      <c r="K3227">
        <v>1.121146</v>
      </c>
      <c r="L3227">
        <v>214.49109999999999</v>
      </c>
      <c r="M3227">
        <v>0.99992809999999999</v>
      </c>
      <c r="N3227">
        <v>-1.1467400000000001E-2</v>
      </c>
      <c r="O3227">
        <v>-3.4980359999999999E-3</v>
      </c>
      <c r="P3227">
        <v>0.97957280000000002</v>
      </c>
      <c r="Q3227">
        <v>0.20081779999999999</v>
      </c>
      <c r="R3227">
        <v>1.044746E-2</v>
      </c>
      <c r="S3227">
        <v>3.2730410000000001</v>
      </c>
      <c r="T3227">
        <v>-1.015344</v>
      </c>
      <c r="U3227">
        <v>-0.22013849999999999</v>
      </c>
      <c r="V3227">
        <v>-1.3866430000000001E-2</v>
      </c>
      <c r="W3227">
        <v>0.2120377</v>
      </c>
      <c r="X3227">
        <v>0.97716309999999995</v>
      </c>
      <c r="Y3227">
        <v>6.0810889999999999E-2</v>
      </c>
      <c r="Z3227">
        <v>-8.5433530000000001E-3</v>
      </c>
      <c r="AA3227">
        <v>0.99811269999999996</v>
      </c>
      <c r="AB3227">
        <v>35</v>
      </c>
      <c r="AC3227">
        <v>0.57929999999998905</v>
      </c>
      <c r="AD3227">
        <v>-0.24303520000000001</v>
      </c>
      <c r="AE3227">
        <v>-5.23000000000024E-2</v>
      </c>
      <c r="AF3227">
        <v>4.2800779190722102E-2</v>
      </c>
      <c r="AG3227">
        <v>-0.24303520000000001</v>
      </c>
      <c r="AH3227">
        <v>0.49334840086884202</v>
      </c>
      <c r="AI3227">
        <v>116.140899077611</v>
      </c>
      <c r="AJ3227">
        <v>85.041680125905501</v>
      </c>
      <c r="AK3227">
        <v>0.55162547056695699</v>
      </c>
      <c r="AL3227">
        <v>77.758206469101907</v>
      </c>
      <c r="AM3227">
        <v>90.813001016539303</v>
      </c>
      <c r="AN3227">
        <v>0.99999999405192197</v>
      </c>
    </row>
    <row r="3228" spans="1:40" x14ac:dyDescent="0.25">
      <c r="A3228" t="str">
        <f>"20190303162844008"</f>
        <v>20190303162844008</v>
      </c>
      <c r="B3228" t="str">
        <f>"1551601724004381"</f>
        <v>1551601724004381</v>
      </c>
      <c r="C3228" t="s">
        <v>40</v>
      </c>
      <c r="D3228">
        <v>4.4371229999999997</v>
      </c>
      <c r="E3228">
        <v>0.5335472</v>
      </c>
      <c r="F3228" t="s">
        <v>44</v>
      </c>
      <c r="G3228">
        <v>-339.4871</v>
      </c>
      <c r="H3228">
        <v>0.84684879999999996</v>
      </c>
      <c r="I3228">
        <v>214.43129999999999</v>
      </c>
      <c r="J3228">
        <v>-340.04340000000002</v>
      </c>
      <c r="K3228">
        <v>1.121165</v>
      </c>
      <c r="L3228">
        <v>214.49</v>
      </c>
      <c r="M3228">
        <v>0.99992689999999995</v>
      </c>
      <c r="N3228">
        <v>-1.1577540000000001E-2</v>
      </c>
      <c r="O3228">
        <v>-3.4977160000000001E-3</v>
      </c>
      <c r="P3228">
        <v>0.97947249999999997</v>
      </c>
      <c r="Q3228">
        <v>0.2013066</v>
      </c>
      <c r="R3228">
        <v>1.046857E-2</v>
      </c>
      <c r="S3228">
        <v>3.2732239999999999</v>
      </c>
      <c r="T3228">
        <v>-1.0161720000000001</v>
      </c>
      <c r="U3228">
        <v>-0.2208099</v>
      </c>
      <c r="V3228">
        <v>-1.388696E-2</v>
      </c>
      <c r="W3228">
        <v>0.21263319999999999</v>
      </c>
      <c r="X3228">
        <v>0.97703340000000005</v>
      </c>
      <c r="Y3228">
        <v>6.0996969999999998E-2</v>
      </c>
      <c r="Z3228">
        <v>-8.5824279999999996E-3</v>
      </c>
      <c r="AA3228">
        <v>0.99810109999999996</v>
      </c>
      <c r="AB3228">
        <v>35</v>
      </c>
      <c r="AC3228">
        <v>0.556300000000021</v>
      </c>
      <c r="AD3228">
        <v>-0.27431619999999901</v>
      </c>
      <c r="AE3228">
        <v>-5.8700000000015899E-2</v>
      </c>
      <c r="AF3228">
        <v>4.5751488242874602E-2</v>
      </c>
      <c r="AG3228">
        <v>-0.27431619999999901</v>
      </c>
      <c r="AH3228">
        <v>0.44861881029883599</v>
      </c>
      <c r="AI3228">
        <v>121.312698567586</v>
      </c>
      <c r="AJ3228">
        <v>84.176936975744297</v>
      </c>
      <c r="AK3228">
        <v>0.52782706752573905</v>
      </c>
      <c r="AL3228">
        <v>77.723290652764206</v>
      </c>
      <c r="AM3228">
        <v>90.814312616731101</v>
      </c>
      <c r="AN3228">
        <v>0.99999999505792003</v>
      </c>
    </row>
    <row r="3229" spans="1:40" x14ac:dyDescent="0.25">
      <c r="A3229" t="str">
        <f>"20190303162844033"</f>
        <v>20190303162844033</v>
      </c>
      <c r="B3229" t="str">
        <f>"1551601724024877"</f>
        <v>1551601724024877</v>
      </c>
      <c r="C3229" t="s">
        <v>40</v>
      </c>
      <c r="D3229">
        <v>4.4763859999999998</v>
      </c>
      <c r="E3229">
        <v>0.53361749999999997</v>
      </c>
      <c r="F3229" t="s">
        <v>44</v>
      </c>
      <c r="G3229">
        <v>-339.16930000000002</v>
      </c>
      <c r="H3229">
        <v>0.85013399999999995</v>
      </c>
      <c r="I3229">
        <v>214.4306</v>
      </c>
      <c r="J3229">
        <v>-339.6524</v>
      </c>
      <c r="K3229">
        <v>1.1211949999999999</v>
      </c>
      <c r="L3229">
        <v>214.48859999999999</v>
      </c>
      <c r="M3229">
        <v>0.99992499999999995</v>
      </c>
      <c r="N3229">
        <v>-1.173664E-2</v>
      </c>
      <c r="O3229">
        <v>-3.4979260000000002E-3</v>
      </c>
      <c r="P3229">
        <v>0.9795026</v>
      </c>
      <c r="Q3229">
        <v>0.20114280000000001</v>
      </c>
      <c r="R3229">
        <v>1.079161E-2</v>
      </c>
      <c r="S3229">
        <v>3.2738339999999999</v>
      </c>
      <c r="T3229">
        <v>-1.015031</v>
      </c>
      <c r="U3229">
        <v>-0.22158810000000001</v>
      </c>
      <c r="V3229">
        <v>-1.420984E-2</v>
      </c>
      <c r="W3229">
        <v>0.21262529999999999</v>
      </c>
      <c r="X3229">
        <v>0.97703050000000002</v>
      </c>
      <c r="Y3229">
        <v>6.1215239999999997E-2</v>
      </c>
      <c r="Z3229">
        <v>-8.6119170000000002E-3</v>
      </c>
      <c r="AA3229">
        <v>0.99808739999999996</v>
      </c>
      <c r="AB3229">
        <v>35</v>
      </c>
      <c r="AC3229">
        <v>0.48309999999997899</v>
      </c>
      <c r="AD3229">
        <v>-0.271061</v>
      </c>
      <c r="AE3229">
        <v>-5.7999999999992703E-2</v>
      </c>
      <c r="AF3229">
        <v>4.2973170584373402E-2</v>
      </c>
      <c r="AG3229">
        <v>-0.271061</v>
      </c>
      <c r="AH3229">
        <v>0.36883410499813701</v>
      </c>
      <c r="AI3229">
        <v>126.12851474704701</v>
      </c>
      <c r="AJ3229">
        <v>83.354383555314797</v>
      </c>
      <c r="AK3229">
        <v>0.45973835615581499</v>
      </c>
      <c r="AL3229">
        <v>77.723754166171403</v>
      </c>
      <c r="AM3229">
        <v>90.833245698519207</v>
      </c>
      <c r="AN3229">
        <v>1.00000001784158</v>
      </c>
    </row>
    <row r="3230" spans="1:40" x14ac:dyDescent="0.25">
      <c r="A3230" t="str">
        <f>"20190303162844055"</f>
        <v>20190303162844055</v>
      </c>
      <c r="B3230" t="str">
        <f>"1551601724044397"</f>
        <v>1551601724044397</v>
      </c>
      <c r="C3230" t="s">
        <v>40</v>
      </c>
      <c r="D3230">
        <v>4.490602</v>
      </c>
      <c r="E3230">
        <v>0.53367690000000001</v>
      </c>
      <c r="F3230" t="s">
        <v>44</v>
      </c>
      <c r="G3230">
        <v>-338.84480000000002</v>
      </c>
      <c r="H3230">
        <v>0.87054679999999995</v>
      </c>
      <c r="I3230">
        <v>214.43379999999999</v>
      </c>
      <c r="J3230">
        <v>-339.31079999999997</v>
      </c>
      <c r="K3230">
        <v>1.1212219999999999</v>
      </c>
      <c r="L3230">
        <v>214.48740000000001</v>
      </c>
      <c r="M3230">
        <v>0.99992300000000001</v>
      </c>
      <c r="N3230">
        <v>-1.1907920000000001E-2</v>
      </c>
      <c r="O3230">
        <v>-3.4978660000000001E-3</v>
      </c>
      <c r="P3230">
        <v>0.97949149999999996</v>
      </c>
      <c r="Q3230">
        <v>0.2011694</v>
      </c>
      <c r="R3230">
        <v>1.128827E-2</v>
      </c>
      <c r="S3230">
        <v>3.2738339999999999</v>
      </c>
      <c r="T3230">
        <v>-1.0161</v>
      </c>
      <c r="U3230">
        <v>-0.22132869999999999</v>
      </c>
      <c r="V3230">
        <v>-1.4706769999999999E-2</v>
      </c>
      <c r="W3230">
        <v>0.21281910000000001</v>
      </c>
      <c r="X3230">
        <v>0.97698090000000004</v>
      </c>
      <c r="Y3230">
        <v>6.1133020000000003E-2</v>
      </c>
      <c r="Z3230">
        <v>-8.6132359999999998E-3</v>
      </c>
      <c r="AA3230">
        <v>0.99809250000000005</v>
      </c>
      <c r="AB3230">
        <v>35</v>
      </c>
      <c r="AC3230">
        <v>0.46599999999995101</v>
      </c>
      <c r="AD3230">
        <v>-0.25067519999999899</v>
      </c>
      <c r="AE3230">
        <v>-5.3600000000017099E-2</v>
      </c>
      <c r="AF3230">
        <v>4.0424671682265802E-2</v>
      </c>
      <c r="AG3230">
        <v>-0.25067519999999899</v>
      </c>
      <c r="AH3230">
        <v>0.36262313187067302</v>
      </c>
      <c r="AI3230">
        <v>124.490122649151</v>
      </c>
      <c r="AJ3230">
        <v>83.639017701972804</v>
      </c>
      <c r="AK3230">
        <v>0.44268244345507402</v>
      </c>
      <c r="AL3230">
        <v>77.712389539494893</v>
      </c>
      <c r="AM3230">
        <v>90.8624244470425</v>
      </c>
      <c r="AN3230">
        <v>0.99999996868672603</v>
      </c>
    </row>
    <row r="3231" spans="1:40" x14ac:dyDescent="0.25">
      <c r="A3231" t="str">
        <f>"20190303162844075"</f>
        <v>20190303162844075</v>
      </c>
      <c r="B3231" t="str">
        <f>"1551601724064893"</f>
        <v>1551601724064893</v>
      </c>
      <c r="C3231" t="s">
        <v>40</v>
      </c>
      <c r="D3231">
        <v>4.5116350000000001</v>
      </c>
      <c r="E3231">
        <v>0.53370859999999998</v>
      </c>
      <c r="F3231" t="s">
        <v>44</v>
      </c>
      <c r="G3231">
        <v>-338.5258</v>
      </c>
      <c r="H3231">
        <v>0.87751650000000003</v>
      </c>
      <c r="I3231">
        <v>214.43430000000001</v>
      </c>
      <c r="J3231">
        <v>-338.98039999999997</v>
      </c>
      <c r="K3231">
        <v>1.1212569999999999</v>
      </c>
      <c r="L3231">
        <v>214.4863</v>
      </c>
      <c r="M3231">
        <v>0.99992049999999999</v>
      </c>
      <c r="N3231">
        <v>-1.211197E-2</v>
      </c>
      <c r="O3231">
        <v>-3.4980200000000001E-3</v>
      </c>
      <c r="P3231">
        <v>0.97948179999999996</v>
      </c>
      <c r="Q3231">
        <v>0.20121459999999999</v>
      </c>
      <c r="R3231">
        <v>1.132591E-2</v>
      </c>
      <c r="S3231">
        <v>3.2740779999999998</v>
      </c>
      <c r="T3231">
        <v>-1.0164820000000001</v>
      </c>
      <c r="U3231">
        <v>-0.22012329999999999</v>
      </c>
      <c r="V3231">
        <v>-1.474463E-2</v>
      </c>
      <c r="W3231">
        <v>0.21306369999999999</v>
      </c>
      <c r="X3231">
        <v>0.97692699999999999</v>
      </c>
      <c r="Y3231">
        <v>6.0775580000000003E-2</v>
      </c>
      <c r="Z3231">
        <v>-8.5663760000000005E-3</v>
      </c>
      <c r="AA3231">
        <v>0.99811470000000002</v>
      </c>
      <c r="AB3231">
        <v>35</v>
      </c>
      <c r="AC3231">
        <v>0.45459999999996997</v>
      </c>
      <c r="AD3231">
        <v>-0.243740499999999</v>
      </c>
      <c r="AE3231">
        <v>-5.1999999999992497E-2</v>
      </c>
      <c r="AF3231">
        <v>3.9266973720726399E-2</v>
      </c>
      <c r="AG3231">
        <v>-0.243740499999999</v>
      </c>
      <c r="AH3231">
        <v>0.35425560343863899</v>
      </c>
      <c r="AI3231">
        <v>124.366176357421</v>
      </c>
      <c r="AJ3231">
        <v>83.674947869345701</v>
      </c>
      <c r="AK3231">
        <v>0.431796664106045</v>
      </c>
      <c r="AL3231">
        <v>77.698045836987404</v>
      </c>
      <c r="AM3231">
        <v>90.8646919686811</v>
      </c>
      <c r="AN3231">
        <v>0.99999995385026197</v>
      </c>
    </row>
    <row r="3232" spans="1:40" x14ac:dyDescent="0.25">
      <c r="A3232" t="str">
        <f>"20190303162844098"</f>
        <v>20190303162844098</v>
      </c>
      <c r="B3232" t="str">
        <f>"1551601724095150"</f>
        <v>1551601724095150</v>
      </c>
      <c r="C3232" t="s">
        <v>40</v>
      </c>
      <c r="D3232">
        <v>4.5393990000000004</v>
      </c>
      <c r="E3232">
        <v>0.53377030000000003</v>
      </c>
      <c r="F3232" t="s">
        <v>44</v>
      </c>
      <c r="G3232">
        <v>-338.20839999999998</v>
      </c>
      <c r="H3232">
        <v>0.8814343</v>
      </c>
      <c r="I3232">
        <v>214.43430000000001</v>
      </c>
      <c r="J3232">
        <v>-338.6275</v>
      </c>
      <c r="K3232">
        <v>1.1213010000000001</v>
      </c>
      <c r="L3232">
        <v>214.48500000000001</v>
      </c>
      <c r="M3232">
        <v>0.99991739999999996</v>
      </c>
      <c r="N3232">
        <v>-1.2360660000000001E-2</v>
      </c>
      <c r="O3232">
        <v>-3.4976349999999998E-3</v>
      </c>
      <c r="P3232">
        <v>0.97949140000000001</v>
      </c>
      <c r="Q3232">
        <v>0.20117450000000001</v>
      </c>
      <c r="R3232">
        <v>1.119708E-2</v>
      </c>
      <c r="S3232">
        <v>3.274292</v>
      </c>
      <c r="T3232">
        <v>-1.017083</v>
      </c>
      <c r="U3232">
        <v>-0.22029109999999999</v>
      </c>
      <c r="V3232">
        <v>-1.4615400000000001E-2</v>
      </c>
      <c r="W3232">
        <v>0.21326639999999999</v>
      </c>
      <c r="X3232">
        <v>0.9768848</v>
      </c>
      <c r="Y3232">
        <v>6.0815099999999997E-2</v>
      </c>
      <c r="Z3232">
        <v>-8.5854209999999993E-3</v>
      </c>
      <c r="AA3232">
        <v>0.99811209999999995</v>
      </c>
      <c r="AB3232">
        <v>35</v>
      </c>
      <c r="AC3232">
        <v>0.41910000000001402</v>
      </c>
      <c r="AD3232">
        <v>-0.23986669999999999</v>
      </c>
      <c r="AE3232">
        <v>-5.0700000000006101E-2</v>
      </c>
      <c r="AF3232">
        <v>3.7218037500298597E-2</v>
      </c>
      <c r="AG3232">
        <v>-0.23986669999999999</v>
      </c>
      <c r="AH3232">
        <v>0.3169491322022</v>
      </c>
      <c r="AI3232">
        <v>126.929782408656</v>
      </c>
      <c r="AJ3232">
        <v>83.302661919851801</v>
      </c>
      <c r="AK3232">
        <v>0.39922170342804603</v>
      </c>
      <c r="AL3232">
        <v>77.686159847965797</v>
      </c>
      <c r="AM3232">
        <v>90.857151491614403</v>
      </c>
      <c r="AN3232">
        <v>1.00000003987857</v>
      </c>
    </row>
    <row r="3233" spans="1:40" x14ac:dyDescent="0.25">
      <c r="A3233" t="str">
        <f>"20190303162844121"</f>
        <v>20190303162844121</v>
      </c>
      <c r="B3233" t="str">
        <f>"1551601724114670"</f>
        <v>1551601724114670</v>
      </c>
      <c r="C3233" t="s">
        <v>40</v>
      </c>
      <c r="D3233">
        <v>4.5310569999999997</v>
      </c>
      <c r="E3233">
        <v>0.53380479999999997</v>
      </c>
      <c r="F3233" t="s">
        <v>44</v>
      </c>
      <c r="G3233">
        <v>-337.88850000000002</v>
      </c>
      <c r="H3233">
        <v>0.89150549999999995</v>
      </c>
      <c r="I3233">
        <v>214.4348</v>
      </c>
      <c r="J3233">
        <v>-338.26080000000002</v>
      </c>
      <c r="K3233">
        <v>1.121345</v>
      </c>
      <c r="L3233">
        <v>214.4837</v>
      </c>
      <c r="M3233">
        <v>0.99991430000000003</v>
      </c>
      <c r="N3233">
        <v>-1.262305E-2</v>
      </c>
      <c r="O3233">
        <v>-3.4977250000000001E-3</v>
      </c>
      <c r="P3233">
        <v>0.97953959999999995</v>
      </c>
      <c r="Q3233">
        <v>0.2009396</v>
      </c>
      <c r="R3233">
        <v>1.122103E-2</v>
      </c>
      <c r="S3233">
        <v>3.2744450000000001</v>
      </c>
      <c r="T3233">
        <v>-1.0182439999999999</v>
      </c>
      <c r="U3233">
        <v>-0.2210693</v>
      </c>
      <c r="V3233">
        <v>-1.463909E-2</v>
      </c>
      <c r="W3233">
        <v>0.21328820000000001</v>
      </c>
      <c r="X3233">
        <v>0.97687970000000002</v>
      </c>
      <c r="Y3233">
        <v>6.1028869999999999E-2</v>
      </c>
      <c r="Z3233">
        <v>-8.6367860000000005E-3</v>
      </c>
      <c r="AA3233">
        <v>0.99809859999999995</v>
      </c>
      <c r="AB3233">
        <v>35</v>
      </c>
      <c r="AC3233">
        <v>0.37229999999999502</v>
      </c>
      <c r="AD3233">
        <v>-0.2298395</v>
      </c>
      <c r="AE3233">
        <v>-4.8900000000003198E-2</v>
      </c>
      <c r="AF3233">
        <v>3.46249024436662E-2</v>
      </c>
      <c r="AG3233">
        <v>-0.2298395</v>
      </c>
      <c r="AH3233">
        <v>0.270953803448583</v>
      </c>
      <c r="AI3233">
        <v>130.07787625558501</v>
      </c>
      <c r="AJ3233">
        <v>82.717701271892295</v>
      </c>
      <c r="AK3233">
        <v>0.356988855894322</v>
      </c>
      <c r="AL3233">
        <v>77.684881558196494</v>
      </c>
      <c r="AM3233">
        <v>90.858545116218394</v>
      </c>
      <c r="AN3233">
        <v>1.00000005374367</v>
      </c>
    </row>
    <row r="3234" spans="1:40" x14ac:dyDescent="0.25">
      <c r="A3234" t="str">
        <f>"20190303162844134"</f>
        <v>20190303162844134</v>
      </c>
      <c r="B3234" t="str">
        <f>"1551601724124429"</f>
        <v>1551601724124429</v>
      </c>
      <c r="C3234" t="s">
        <v>40</v>
      </c>
      <c r="D3234">
        <v>4.5690200000000001</v>
      </c>
      <c r="E3234">
        <v>0.53382220000000002</v>
      </c>
      <c r="F3234" t="s">
        <v>44</v>
      </c>
      <c r="G3234">
        <v>-337.56729999999999</v>
      </c>
      <c r="H3234">
        <v>0.90536649999999996</v>
      </c>
      <c r="I3234">
        <v>214.4366</v>
      </c>
      <c r="J3234">
        <v>-338.06</v>
      </c>
      <c r="K3234">
        <v>1.1213649999999999</v>
      </c>
      <c r="L3234">
        <v>214.483</v>
      </c>
      <c r="M3234">
        <v>0.99991260000000004</v>
      </c>
      <c r="N3234">
        <v>-1.275869E-2</v>
      </c>
      <c r="O3234">
        <v>-3.4977509999999999E-3</v>
      </c>
      <c r="P3234">
        <v>0.97958140000000005</v>
      </c>
      <c r="Q3234">
        <v>0.20074549999999999</v>
      </c>
      <c r="R3234">
        <v>1.1033039999999999E-2</v>
      </c>
      <c r="S3234">
        <v>3.2743530000000001</v>
      </c>
      <c r="T3234">
        <v>-1.019768</v>
      </c>
      <c r="U3234">
        <v>-0.22149659999999999</v>
      </c>
      <c r="V3234">
        <v>-1.4451550000000001E-2</v>
      </c>
      <c r="W3234">
        <v>0.21322769999999999</v>
      </c>
      <c r="X3234">
        <v>0.97689559999999998</v>
      </c>
      <c r="Y3234">
        <v>6.1144940000000002E-2</v>
      </c>
      <c r="Z3234">
        <v>-8.6718179999999995E-3</v>
      </c>
      <c r="AA3234">
        <v>0.99809119999999996</v>
      </c>
      <c r="AB3234">
        <v>35</v>
      </c>
      <c r="AC3234">
        <v>0.49270000000001302</v>
      </c>
      <c r="AD3234">
        <v>-0.21599849999999901</v>
      </c>
      <c r="AE3234">
        <v>-4.6400000000005499E-2</v>
      </c>
      <c r="AF3234">
        <v>3.7527194545814498E-2</v>
      </c>
      <c r="AG3234">
        <v>-0.21599849999999901</v>
      </c>
      <c r="AH3234">
        <v>0.413992517353022</v>
      </c>
      <c r="AI3234">
        <v>117.457042536478</v>
      </c>
      <c r="AJ3234">
        <v>84.8204630240283</v>
      </c>
      <c r="AK3234">
        <v>0.46845858595720202</v>
      </c>
      <c r="AL3234">
        <v>77.688428353186794</v>
      </c>
      <c r="AM3234">
        <v>90.847534197885196</v>
      </c>
      <c r="AN3234">
        <v>0.99999995632202499</v>
      </c>
    </row>
    <row r="3235" spans="1:40" x14ac:dyDescent="0.25">
      <c r="A3235" t="str">
        <f>"20190303162844153"</f>
        <v>20190303162844153</v>
      </c>
      <c r="B3235" t="str">
        <f>"1551601724144925"</f>
        <v>1551601724144925</v>
      </c>
      <c r="C3235" t="s">
        <v>40</v>
      </c>
      <c r="D3235">
        <v>4.5747429999999998</v>
      </c>
      <c r="E3235">
        <v>0.53386420000000001</v>
      </c>
      <c r="F3235" t="s">
        <v>44</v>
      </c>
      <c r="G3235">
        <v>-337.26639999999998</v>
      </c>
      <c r="H3235">
        <v>0.87404839999999995</v>
      </c>
      <c r="I3235">
        <v>214.42920000000001</v>
      </c>
      <c r="J3235">
        <v>-337.74790000000002</v>
      </c>
      <c r="K3235">
        <v>1.1213900000000001</v>
      </c>
      <c r="L3235">
        <v>214.482</v>
      </c>
      <c r="M3235">
        <v>0.99991010000000002</v>
      </c>
      <c r="N3235">
        <v>-1.2958890000000001E-2</v>
      </c>
      <c r="O3235">
        <v>-3.4978449999999999E-3</v>
      </c>
      <c r="P3235">
        <v>0.97961830000000005</v>
      </c>
      <c r="Q3235">
        <v>0.20057359999999999</v>
      </c>
      <c r="R3235">
        <v>1.0890540000000001E-2</v>
      </c>
      <c r="S3235">
        <v>3.2741699999999998</v>
      </c>
      <c r="T3235">
        <v>-1.0203530000000001</v>
      </c>
      <c r="U3235">
        <v>-0.22172549999999999</v>
      </c>
      <c r="V3235">
        <v>-1.430941E-2</v>
      </c>
      <c r="W3235">
        <v>0.21325150000000001</v>
      </c>
      <c r="X3235">
        <v>0.97689250000000005</v>
      </c>
      <c r="Y3235">
        <v>6.1209300000000001E-2</v>
      </c>
      <c r="Z3235">
        <v>-8.6939099999999991E-3</v>
      </c>
      <c r="AA3235">
        <v>0.9980871</v>
      </c>
      <c r="AB3235">
        <v>35</v>
      </c>
      <c r="AC3235">
        <v>0.48150000000003901</v>
      </c>
      <c r="AD3235">
        <v>-0.247341599999999</v>
      </c>
      <c r="AE3235">
        <v>-5.2799999999990598E-2</v>
      </c>
      <c r="AF3235">
        <v>4.0543848316486601E-2</v>
      </c>
      <c r="AG3235">
        <v>-0.247341599999999</v>
      </c>
      <c r="AH3235">
        <v>0.38206218246016799</v>
      </c>
      <c r="AI3235">
        <v>122.77226282272601</v>
      </c>
      <c r="AJ3235">
        <v>83.942530524954904</v>
      </c>
      <c r="AK3235">
        <v>0.45693892588955098</v>
      </c>
      <c r="AL3235">
        <v>77.687032645055695</v>
      </c>
      <c r="AM3235">
        <v>90.839202031645101</v>
      </c>
      <c r="AN3235">
        <v>0.99999995901152305</v>
      </c>
    </row>
    <row r="3236" spans="1:40" x14ac:dyDescent="0.25">
      <c r="A3236" t="str">
        <f>"20190303162844176"</f>
        <v>20190303162844176</v>
      </c>
      <c r="B3236" t="str">
        <f>"1551601724164446"</f>
        <v>1551601724164446</v>
      </c>
      <c r="C3236" t="s">
        <v>40</v>
      </c>
      <c r="D3236">
        <v>4.5928909999999998</v>
      </c>
      <c r="E3236">
        <v>0.53389529999999996</v>
      </c>
      <c r="F3236" t="s">
        <v>44</v>
      </c>
      <c r="G3236">
        <v>-336.95240000000001</v>
      </c>
      <c r="H3236">
        <v>0.87319650000000004</v>
      </c>
      <c r="I3236">
        <v>214.42789999999999</v>
      </c>
      <c r="J3236">
        <v>-337.4067</v>
      </c>
      <c r="K3236">
        <v>1.1214109999999999</v>
      </c>
      <c r="L3236">
        <v>214.48079999999999</v>
      </c>
      <c r="M3236">
        <v>0.9999074</v>
      </c>
      <c r="N3236">
        <v>-1.315991E-2</v>
      </c>
      <c r="O3236">
        <v>-3.4976080000000001E-3</v>
      </c>
      <c r="P3236">
        <v>0.97966209999999998</v>
      </c>
      <c r="Q3236">
        <v>0.20036109999999999</v>
      </c>
      <c r="R3236">
        <v>1.0858420000000001E-2</v>
      </c>
      <c r="S3236">
        <v>3.2741090000000002</v>
      </c>
      <c r="T3236">
        <v>-1.021522</v>
      </c>
      <c r="U3236">
        <v>-0.22212219999999999</v>
      </c>
      <c r="V3236">
        <v>-1.427731E-2</v>
      </c>
      <c r="W3236">
        <v>0.2132356</v>
      </c>
      <c r="X3236">
        <v>0.97689649999999995</v>
      </c>
      <c r="Y3236">
        <v>6.131731E-2</v>
      </c>
      <c r="Z3236">
        <v>-8.7272979999999997E-3</v>
      </c>
      <c r="AA3236">
        <v>0.99808019999999997</v>
      </c>
      <c r="AB3236">
        <v>35</v>
      </c>
      <c r="AC3236">
        <v>0.45429999999998899</v>
      </c>
      <c r="AD3236">
        <v>-0.2482145</v>
      </c>
      <c r="AE3236">
        <v>-5.2899999999993903E-2</v>
      </c>
      <c r="AF3236">
        <v>3.96366534911341E-2</v>
      </c>
      <c r="AG3236">
        <v>-0.2482145</v>
      </c>
      <c r="AH3236">
        <v>0.351080759556127</v>
      </c>
      <c r="AI3236">
        <v>125.089498529704</v>
      </c>
      <c r="AJ3236">
        <v>83.558641098354201</v>
      </c>
      <c r="AK3236">
        <v>0.43178606049840601</v>
      </c>
      <c r="AL3236">
        <v>77.687965822863006</v>
      </c>
      <c r="AM3236">
        <v>90.837316307616106</v>
      </c>
      <c r="AN3236">
        <v>1.0000000172002199</v>
      </c>
    </row>
    <row r="3237" spans="1:40" x14ac:dyDescent="0.25">
      <c r="A3237" t="str">
        <f>"20190303162844198"</f>
        <v>20190303162844198</v>
      </c>
      <c r="B3237" t="str">
        <f>"1551601724194702"</f>
        <v>1551601724194702</v>
      </c>
      <c r="C3237" t="s">
        <v>40</v>
      </c>
      <c r="D3237">
        <v>4.636355</v>
      </c>
      <c r="E3237">
        <v>0.53393199999999996</v>
      </c>
      <c r="F3237" t="s">
        <v>44</v>
      </c>
      <c r="G3237">
        <v>-336.63549999999998</v>
      </c>
      <c r="H3237">
        <v>0.88053269999999995</v>
      </c>
      <c r="I3237">
        <v>214.42830000000001</v>
      </c>
      <c r="J3237">
        <v>-337.04950000000002</v>
      </c>
      <c r="K3237">
        <v>1.121418</v>
      </c>
      <c r="L3237">
        <v>214.4795</v>
      </c>
      <c r="M3237">
        <v>0.99990489999999999</v>
      </c>
      <c r="N3237">
        <v>-1.335072E-2</v>
      </c>
      <c r="O3237">
        <v>-3.4977989999999998E-3</v>
      </c>
      <c r="P3237">
        <v>0.97966299999999995</v>
      </c>
      <c r="Q3237">
        <v>0.20038010000000001</v>
      </c>
      <c r="R3237">
        <v>1.040116E-2</v>
      </c>
      <c r="S3237">
        <v>3.273895</v>
      </c>
      <c r="T3237">
        <v>-1.0226120000000001</v>
      </c>
      <c r="U3237">
        <v>-0.2224121</v>
      </c>
      <c r="V3237">
        <v>-1.3819710000000001E-2</v>
      </c>
      <c r="W3237">
        <v>0.21344150000000001</v>
      </c>
      <c r="X3237">
        <v>0.97685809999999995</v>
      </c>
      <c r="Y3237">
        <v>6.1397260000000002E-2</v>
      </c>
      <c r="Z3237">
        <v>-8.7555689999999995E-3</v>
      </c>
      <c r="AA3237">
        <v>0.99807500000000005</v>
      </c>
      <c r="AB3237">
        <v>35</v>
      </c>
      <c r="AC3237">
        <v>0.414000000000044</v>
      </c>
      <c r="AD3237">
        <v>-0.2408853</v>
      </c>
      <c r="AE3237">
        <v>-5.1199999999994299E-2</v>
      </c>
      <c r="AF3237">
        <v>3.73103994843745E-2</v>
      </c>
      <c r="AG3237">
        <v>-0.2408853</v>
      </c>
      <c r="AH3237">
        <v>0.31060576855422201</v>
      </c>
      <c r="AI3237">
        <v>127.596219836366</v>
      </c>
      <c r="AJ3237">
        <v>83.1503697699291</v>
      </c>
      <c r="AK3237">
        <v>0.39483380950082397</v>
      </c>
      <c r="AL3237">
        <v>77.675890452260802</v>
      </c>
      <c r="AM3237">
        <v>90.810515098314298</v>
      </c>
      <c r="AN3237">
        <v>1.00000000292117</v>
      </c>
    </row>
    <row r="3238" spans="1:40" x14ac:dyDescent="0.25">
      <c r="A3238" t="str">
        <f>"20190303162844222"</f>
        <v>20190303162844222</v>
      </c>
      <c r="B3238" t="str">
        <f>"1551601724215198"</f>
        <v>1551601724215198</v>
      </c>
      <c r="C3238" t="s">
        <v>40</v>
      </c>
      <c r="D3238">
        <v>4.6416629999999897</v>
      </c>
      <c r="E3238">
        <v>0.53392139999999999</v>
      </c>
      <c r="F3238" t="s">
        <v>44</v>
      </c>
      <c r="G3238">
        <v>-336.31670000000003</v>
      </c>
      <c r="H3238">
        <v>0.89247849999999995</v>
      </c>
      <c r="I3238">
        <v>214.42930000000001</v>
      </c>
      <c r="J3238">
        <v>-336.68619999999999</v>
      </c>
      <c r="K3238">
        <v>1.1214230000000001</v>
      </c>
      <c r="L3238">
        <v>214.47819999999999</v>
      </c>
      <c r="M3238">
        <v>0.99990239999999997</v>
      </c>
      <c r="N3238">
        <v>-1.352418E-2</v>
      </c>
      <c r="O3238">
        <v>-3.4974139999999999E-3</v>
      </c>
      <c r="P3238">
        <v>0.97972289999999995</v>
      </c>
      <c r="Q3238">
        <v>0.2001145</v>
      </c>
      <c r="R3238">
        <v>9.8764879999999992E-3</v>
      </c>
      <c r="S3238">
        <v>3.2739259999999999</v>
      </c>
      <c r="T3238">
        <v>-1.0227900000000001</v>
      </c>
      <c r="U3238">
        <v>-0.2242584</v>
      </c>
      <c r="V3238">
        <v>-1.32955E-2</v>
      </c>
      <c r="W3238">
        <v>0.21334600000000001</v>
      </c>
      <c r="X3238">
        <v>0.97688620000000004</v>
      </c>
      <c r="Y3238">
        <v>6.1928219999999999E-2</v>
      </c>
      <c r="Z3238">
        <v>-8.8475029999999996E-3</v>
      </c>
      <c r="AA3238">
        <v>0.99804139999999997</v>
      </c>
      <c r="AB3238">
        <v>35</v>
      </c>
      <c r="AC3238">
        <v>0.36949999999995897</v>
      </c>
      <c r="AD3238">
        <v>-0.2289445</v>
      </c>
      <c r="AE3238">
        <v>-4.8899999999974797E-2</v>
      </c>
      <c r="AF3238">
        <v>3.45655699374516E-2</v>
      </c>
      <c r="AG3238">
        <v>-0.2289445</v>
      </c>
      <c r="AH3238">
        <v>0.26840033372424699</v>
      </c>
      <c r="AI3238">
        <v>130.231540060285</v>
      </c>
      <c r="AJ3238">
        <v>82.661632989539896</v>
      </c>
      <c r="AK3238">
        <v>0.35447017060485903</v>
      </c>
      <c r="AL3238">
        <v>77.681490754606699</v>
      </c>
      <c r="AM3238">
        <v>90.779752038733207</v>
      </c>
      <c r="AN3238">
        <v>0.99999996689334403</v>
      </c>
    </row>
    <row r="3239" spans="1:40" x14ac:dyDescent="0.25">
      <c r="A3239" t="str">
        <f>"20190303162844246"</f>
        <v>20190303162844246</v>
      </c>
      <c r="B3239" t="str">
        <f>"1551601724234718"</f>
        <v>1551601724234718</v>
      </c>
      <c r="C3239" t="s">
        <v>40</v>
      </c>
      <c r="D3239">
        <v>4.6694620000000002</v>
      </c>
      <c r="E3239">
        <v>0.53392289999999998</v>
      </c>
      <c r="F3239" t="s">
        <v>44</v>
      </c>
      <c r="G3239">
        <v>-335.9975</v>
      </c>
      <c r="H3239">
        <v>0.90573510000000002</v>
      </c>
      <c r="I3239">
        <v>214.43039999999999</v>
      </c>
      <c r="J3239">
        <v>-336.3177</v>
      </c>
      <c r="K3239">
        <v>1.1214440000000001</v>
      </c>
      <c r="L3239">
        <v>214.4769</v>
      </c>
      <c r="M3239">
        <v>0.99990040000000002</v>
      </c>
      <c r="N3239">
        <v>-1.3678269999999999E-2</v>
      </c>
      <c r="O3239">
        <v>-3.4970309999999998E-3</v>
      </c>
      <c r="P3239">
        <v>0.97971419999999998</v>
      </c>
      <c r="Q3239">
        <v>0.20017199999999999</v>
      </c>
      <c r="R3239">
        <v>9.5633220000000008E-3</v>
      </c>
      <c r="S3239">
        <v>3.2737729999999998</v>
      </c>
      <c r="T3239">
        <v>-1.02526299999999</v>
      </c>
      <c r="U3239">
        <v>-0.2260742</v>
      </c>
      <c r="V3239">
        <v>-1.298186E-2</v>
      </c>
      <c r="W3239">
        <v>0.2135543</v>
      </c>
      <c r="X3239">
        <v>0.97684499999999996</v>
      </c>
      <c r="Y3239">
        <v>6.2441799999999999E-2</v>
      </c>
      <c r="Z3239">
        <v>-8.9546929999999997E-3</v>
      </c>
      <c r="AA3239">
        <v>0.99800840000000002</v>
      </c>
      <c r="AB3239">
        <v>35</v>
      </c>
      <c r="AC3239">
        <v>0.32019999999999899</v>
      </c>
      <c r="AD3239">
        <v>-0.21570890000000001</v>
      </c>
      <c r="AE3239">
        <v>-4.6500000000008798E-2</v>
      </c>
      <c r="AF3239">
        <v>3.1416554737305702E-2</v>
      </c>
      <c r="AG3239">
        <v>-0.21570890000000001</v>
      </c>
      <c r="AH3239">
        <v>0.221786231475298</v>
      </c>
      <c r="AI3239">
        <v>133.919727675871</v>
      </c>
      <c r="AJ3239">
        <v>81.9375544738202</v>
      </c>
      <c r="AK3239">
        <v>0.31097662600714299</v>
      </c>
      <c r="AL3239">
        <v>77.669275684295201</v>
      </c>
      <c r="AM3239">
        <v>90.761392036907495</v>
      </c>
      <c r="AN3239">
        <v>1.00000006088127</v>
      </c>
    </row>
    <row r="3240" spans="1:40" x14ac:dyDescent="0.25">
      <c r="A3240" t="str">
        <f>"20190303162844264"</f>
        <v>20190303162844264</v>
      </c>
      <c r="B3240" t="str">
        <f>"1551601724255214"</f>
        <v>1551601724255214</v>
      </c>
      <c r="C3240" t="s">
        <v>40</v>
      </c>
      <c r="D3240">
        <v>4.7136480000000001</v>
      </c>
      <c r="E3240">
        <v>0.53391639999999996</v>
      </c>
      <c r="F3240" t="s">
        <v>44</v>
      </c>
      <c r="G3240">
        <v>-335.40199999999999</v>
      </c>
      <c r="H3240">
        <v>0.83431010000000005</v>
      </c>
      <c r="I3240">
        <v>214.41329999999999</v>
      </c>
      <c r="J3240">
        <v>-336.01029999999997</v>
      </c>
      <c r="K3240">
        <v>1.121451</v>
      </c>
      <c r="L3240">
        <v>214.47579999999999</v>
      </c>
      <c r="M3240">
        <v>0.99989890000000003</v>
      </c>
      <c r="N3240">
        <v>-1.379183E-2</v>
      </c>
      <c r="O3240">
        <v>-3.4972139999999998E-3</v>
      </c>
      <c r="P3240">
        <v>0.97969519999999999</v>
      </c>
      <c r="Q3240">
        <v>0.2002728</v>
      </c>
      <c r="R3240">
        <v>9.3968790000000003E-3</v>
      </c>
      <c r="S3240">
        <v>3.2741090000000002</v>
      </c>
      <c r="T3240">
        <v>-1.026664</v>
      </c>
      <c r="U3240">
        <v>-0.2266388</v>
      </c>
      <c r="V3240">
        <v>-1.281497E-2</v>
      </c>
      <c r="W3240">
        <v>0.2137657</v>
      </c>
      <c r="X3240">
        <v>0.97680089999999997</v>
      </c>
      <c r="Y3240">
        <v>6.2590080000000006E-2</v>
      </c>
      <c r="Z3240">
        <v>-8.9925890000000005E-3</v>
      </c>
      <c r="AA3240">
        <v>0.99799879999999996</v>
      </c>
      <c r="AB3240">
        <v>35</v>
      </c>
      <c r="AC3240">
        <v>0.60829999999998496</v>
      </c>
      <c r="AD3240">
        <v>-0.28714089999999898</v>
      </c>
      <c r="AE3240">
        <v>-6.25E-2</v>
      </c>
      <c r="AF3240">
        <v>4.9465326512888499E-2</v>
      </c>
      <c r="AG3240">
        <v>-0.28714089999999898</v>
      </c>
      <c r="AH3240">
        <v>0.49858141082382901</v>
      </c>
      <c r="AI3240">
        <v>119.817114581005</v>
      </c>
      <c r="AJ3240">
        <v>84.334104704376102</v>
      </c>
      <c r="AK3240">
        <v>0.57747739193748204</v>
      </c>
      <c r="AL3240">
        <v>77.656876261833105</v>
      </c>
      <c r="AM3240">
        <v>90.751638921226004</v>
      </c>
      <c r="AN3240">
        <v>0.99999999809670004</v>
      </c>
    </row>
    <row r="3241" spans="1:40" x14ac:dyDescent="0.25">
      <c r="A3241" t="str">
        <f>"20190303162844288"</f>
        <v>20190303162844288</v>
      </c>
      <c r="B3241" t="str">
        <f>"1551601724285470"</f>
        <v>1551601724285470</v>
      </c>
      <c r="C3241" t="s">
        <v>40</v>
      </c>
      <c r="D3241">
        <v>4.7664119999999999</v>
      </c>
      <c r="E3241">
        <v>0.53389919999999902</v>
      </c>
      <c r="F3241" t="s">
        <v>44</v>
      </c>
      <c r="G3241">
        <v>-335.09050000000002</v>
      </c>
      <c r="H3241">
        <v>0.83278660000000004</v>
      </c>
      <c r="I3241">
        <v>214.41159999999999</v>
      </c>
      <c r="J3241">
        <v>-335.64890000000003</v>
      </c>
      <c r="K3241">
        <v>1.121461</v>
      </c>
      <c r="L3241">
        <v>214.47460000000001</v>
      </c>
      <c r="M3241">
        <v>0.99989709999999998</v>
      </c>
      <c r="N3241">
        <v>-1.3908780000000001E-2</v>
      </c>
      <c r="O3241">
        <v>-3.4969509999999999E-3</v>
      </c>
      <c r="P3241">
        <v>0.97965679999999999</v>
      </c>
      <c r="Q3241">
        <v>0.2004283</v>
      </c>
      <c r="R3241">
        <v>1.0046090000000001E-2</v>
      </c>
      <c r="S3241">
        <v>3.2744140000000002</v>
      </c>
      <c r="T3241">
        <v>-1.027609</v>
      </c>
      <c r="U3241">
        <v>-0.22755429999999999</v>
      </c>
      <c r="V3241">
        <v>-1.346437E-2</v>
      </c>
      <c r="W3241">
        <v>0.21403449999999999</v>
      </c>
      <c r="X3241">
        <v>0.97673330000000003</v>
      </c>
      <c r="Y3241">
        <v>6.2843019999999999E-2</v>
      </c>
      <c r="Z3241">
        <v>-9.0439960000000003E-3</v>
      </c>
      <c r="AA3241">
        <v>0.99798240000000005</v>
      </c>
      <c r="AB3241">
        <v>35</v>
      </c>
      <c r="AC3241">
        <v>0.558400000000006</v>
      </c>
      <c r="AD3241">
        <v>-0.2886744</v>
      </c>
      <c r="AE3241">
        <v>-6.3000000000016598E-2</v>
      </c>
      <c r="AF3241">
        <v>4.8300442808203198E-2</v>
      </c>
      <c r="AG3241">
        <v>-0.2886744</v>
      </c>
      <c r="AH3241">
        <v>0.44198018608669198</v>
      </c>
      <c r="AI3241">
        <v>122.994587738338</v>
      </c>
      <c r="AJ3241">
        <v>83.763355819566499</v>
      </c>
      <c r="AK3241">
        <v>0.53010595816690798</v>
      </c>
      <c r="AL3241">
        <v>77.641110258035795</v>
      </c>
      <c r="AM3241">
        <v>90.789778247852695</v>
      </c>
      <c r="AN3241">
        <v>0.99999999788931804</v>
      </c>
    </row>
    <row r="3242" spans="1:40" x14ac:dyDescent="0.25">
      <c r="A3242" t="str">
        <f>"20190303162844310"</f>
        <v>20190303162844310</v>
      </c>
      <c r="B3242" t="str">
        <f>"1551601724304990"</f>
        <v>1551601724304990</v>
      </c>
      <c r="C3242" t="s">
        <v>40</v>
      </c>
      <c r="D3242">
        <v>4.7681339999999999</v>
      </c>
      <c r="E3242">
        <v>0.53389019999999898</v>
      </c>
      <c r="F3242" t="s">
        <v>44</v>
      </c>
      <c r="G3242">
        <v>-334.77339999999998</v>
      </c>
      <c r="H3242">
        <v>0.84626819999999903</v>
      </c>
      <c r="I3242">
        <v>214.41390000000001</v>
      </c>
      <c r="J3242">
        <v>-335.29719999999998</v>
      </c>
      <c r="K3242">
        <v>1.12147</v>
      </c>
      <c r="L3242">
        <v>214.4734</v>
      </c>
      <c r="M3242">
        <v>0.9998958</v>
      </c>
      <c r="N3242">
        <v>-1.400772E-2</v>
      </c>
      <c r="O3242">
        <v>-3.4970449999999998E-3</v>
      </c>
      <c r="P3242">
        <v>0.97952680000000003</v>
      </c>
      <c r="Q3242">
        <v>0.20102400000000001</v>
      </c>
      <c r="R3242">
        <v>1.0805199999999999E-2</v>
      </c>
      <c r="S3242">
        <v>3.2752080000000001</v>
      </c>
      <c r="T3242">
        <v>-1.0294589999999999</v>
      </c>
      <c r="U3242">
        <v>-0.22622680000000001</v>
      </c>
      <c r="V3242">
        <v>-1.422318E-2</v>
      </c>
      <c r="W3242">
        <v>0.2147252</v>
      </c>
      <c r="X3242">
        <v>0.97657090000000002</v>
      </c>
      <c r="Y3242">
        <v>6.2434089999999998E-2</v>
      </c>
      <c r="Z3242">
        <v>-8.9947240000000008E-3</v>
      </c>
      <c r="AA3242">
        <v>0.99800849999999997</v>
      </c>
      <c r="AB3242">
        <v>35</v>
      </c>
      <c r="AC3242">
        <v>0.52379999999999405</v>
      </c>
      <c r="AD3242">
        <v>-0.2752018</v>
      </c>
      <c r="AE3242">
        <v>-5.9499999999985599E-2</v>
      </c>
      <c r="AF3242">
        <v>4.53176040924195E-2</v>
      </c>
      <c r="AG3242">
        <v>-0.2752018</v>
      </c>
      <c r="AH3242">
        <v>0.41178414341146502</v>
      </c>
      <c r="AI3242">
        <v>123.596284942022</v>
      </c>
      <c r="AJ3242">
        <v>83.719766627439796</v>
      </c>
      <c r="AK3242">
        <v>0.49734886822936603</v>
      </c>
      <c r="AL3242">
        <v>77.600593680909</v>
      </c>
      <c r="AM3242">
        <v>90.834420287528303</v>
      </c>
      <c r="AN3242">
        <v>0.99999996654557999</v>
      </c>
    </row>
    <row r="3243" spans="1:40" x14ac:dyDescent="0.25">
      <c r="A3243" t="str">
        <f>"20190303162844343"</f>
        <v>20190303162844343</v>
      </c>
      <c r="B3243" t="str">
        <f>"1551601724335246"</f>
        <v>1551601724335246</v>
      </c>
      <c r="C3243" t="s">
        <v>40</v>
      </c>
      <c r="D3243">
        <v>4.8060140000000002</v>
      </c>
      <c r="E3243">
        <v>0.5338733</v>
      </c>
      <c r="F3243" t="s">
        <v>44</v>
      </c>
      <c r="G3243">
        <v>-334.45749999999998</v>
      </c>
      <c r="H3243">
        <v>0.85773369999999904</v>
      </c>
      <c r="I3243">
        <v>214.416</v>
      </c>
      <c r="J3243">
        <v>-334.78620000000001</v>
      </c>
      <c r="K3243">
        <v>1.1214869999999999</v>
      </c>
      <c r="L3243">
        <v>214.4716</v>
      </c>
      <c r="M3243">
        <v>0.99989410000000001</v>
      </c>
      <c r="N3243">
        <v>-1.4129569999999999E-2</v>
      </c>
      <c r="O3243">
        <v>-3.497305E-3</v>
      </c>
      <c r="P3243">
        <v>0.97945110000000002</v>
      </c>
      <c r="Q3243">
        <v>0.2013624</v>
      </c>
      <c r="R3243">
        <v>1.135942E-2</v>
      </c>
      <c r="S3243">
        <v>3.276367</v>
      </c>
      <c r="T3243">
        <v>-1.0290189999999999</v>
      </c>
      <c r="U3243">
        <v>-0.223526</v>
      </c>
      <c r="V3243">
        <v>-1.4777200000000001E-2</v>
      </c>
      <c r="W3243">
        <v>0.2151816</v>
      </c>
      <c r="X3243">
        <v>0.97646219999999995</v>
      </c>
      <c r="Y3243">
        <v>6.1633760000000003E-2</v>
      </c>
      <c r="Z3243">
        <v>-8.8644440000000008E-3</v>
      </c>
      <c r="AA3243">
        <v>0.99805949999999999</v>
      </c>
      <c r="AB3243">
        <v>35</v>
      </c>
      <c r="AC3243">
        <v>0.32870000000002603</v>
      </c>
      <c r="AD3243">
        <v>-0.26375330000000002</v>
      </c>
      <c r="AE3243">
        <v>-5.5599999999998297E-2</v>
      </c>
      <c r="AF3243">
        <v>3.3487951248412397E-2</v>
      </c>
      <c r="AG3243">
        <v>-0.26375330000000002</v>
      </c>
      <c r="AH3243">
        <v>0.20227618858659899</v>
      </c>
      <c r="AI3243">
        <v>142.14017178629601</v>
      </c>
      <c r="AJ3243">
        <v>80.599629080977707</v>
      </c>
      <c r="AK3243">
        <v>0.33407020610767901</v>
      </c>
      <c r="AL3243">
        <v>77.5738178690724</v>
      </c>
      <c r="AM3243">
        <v>90.867014173225499</v>
      </c>
      <c r="AN3243">
        <v>0.99999995732361902</v>
      </c>
    </row>
    <row r="3244" spans="1:40" x14ac:dyDescent="0.25">
      <c r="A3244" t="str">
        <f>"20190303162844365"</f>
        <v>20190303162844365</v>
      </c>
      <c r="B3244" t="str">
        <f>"1551601724354765"</f>
        <v>1551601724354765</v>
      </c>
      <c r="C3244" t="s">
        <v>40</v>
      </c>
      <c r="D3244">
        <v>4.8241740000000002</v>
      </c>
      <c r="E3244">
        <v>0.5338562</v>
      </c>
      <c r="F3244" t="s">
        <v>44</v>
      </c>
      <c r="G3244">
        <v>-333.84829999999999</v>
      </c>
      <c r="H3244">
        <v>0.82659280000000002</v>
      </c>
      <c r="I3244">
        <v>214.40880000000001</v>
      </c>
      <c r="J3244">
        <v>-334.45190000000002</v>
      </c>
      <c r="K3244">
        <v>1.1214869999999999</v>
      </c>
      <c r="L3244">
        <v>214.47040000000001</v>
      </c>
      <c r="M3244">
        <v>0.99989320000000004</v>
      </c>
      <c r="N3244">
        <v>-1.419524E-2</v>
      </c>
      <c r="O3244">
        <v>-3.497174E-3</v>
      </c>
      <c r="P3244">
        <v>0.97956509999999997</v>
      </c>
      <c r="Q3244">
        <v>0.20081830000000001</v>
      </c>
      <c r="R3244">
        <v>1.1167699999999999E-2</v>
      </c>
      <c r="S3244">
        <v>3.2773129999999999</v>
      </c>
      <c r="T3244">
        <v>-1.030429</v>
      </c>
      <c r="U3244">
        <v>-0.21925349999999999</v>
      </c>
      <c r="V3244">
        <v>-1.4585539999999999E-2</v>
      </c>
      <c r="W3244">
        <v>0.2147029</v>
      </c>
      <c r="X3244">
        <v>0.97657050000000001</v>
      </c>
      <c r="Y3244">
        <v>6.0375310000000001E-2</v>
      </c>
      <c r="Z3244">
        <v>-8.6736350000000007E-3</v>
      </c>
      <c r="AA3244">
        <v>0.99813810000000003</v>
      </c>
      <c r="AB3244">
        <v>35</v>
      </c>
      <c r="AC3244">
        <v>0.603600000000028</v>
      </c>
      <c r="AD3244">
        <v>-0.2948942</v>
      </c>
      <c r="AE3244">
        <v>-6.1599999999998503E-2</v>
      </c>
      <c r="AF3244">
        <v>4.8120931628623298E-2</v>
      </c>
      <c r="AG3244">
        <v>-0.2948942</v>
      </c>
      <c r="AH3244">
        <v>0.48843013660236601</v>
      </c>
      <c r="AI3244">
        <v>120.99956080163</v>
      </c>
      <c r="AJ3244">
        <v>84.373284967052996</v>
      </c>
      <c r="AK3244">
        <v>0.57257507070763503</v>
      </c>
      <c r="AL3244">
        <v>77.6019024022564</v>
      </c>
      <c r="AM3244">
        <v>90.855675809989094</v>
      </c>
      <c r="AN3244">
        <v>1.0000000073578701</v>
      </c>
    </row>
    <row r="3245" spans="1:40" x14ac:dyDescent="0.25">
      <c r="A3245" t="str">
        <f>"20190303162844388"</f>
        <v>20190303162844388</v>
      </c>
      <c r="B3245" t="str">
        <f>"1551601724385022"</f>
        <v>1551601724385022</v>
      </c>
      <c r="C3245" t="s">
        <v>40</v>
      </c>
      <c r="D3245">
        <v>4.8592940000000002</v>
      </c>
      <c r="E3245">
        <v>0.53382089999999904</v>
      </c>
      <c r="F3245" t="s">
        <v>44</v>
      </c>
      <c r="G3245">
        <v>-333.53570000000002</v>
      </c>
      <c r="H3245">
        <v>0.83253480000000002</v>
      </c>
      <c r="I3245">
        <v>214.40860000000001</v>
      </c>
      <c r="J3245">
        <v>-334.09199999999998</v>
      </c>
      <c r="K3245">
        <v>1.121489</v>
      </c>
      <c r="L3245">
        <v>214.4692</v>
      </c>
      <c r="M3245">
        <v>0.99989240000000001</v>
      </c>
      <c r="N3245">
        <v>-1.425617E-2</v>
      </c>
      <c r="O3245">
        <v>-3.496893E-3</v>
      </c>
      <c r="P3245">
        <v>0.97968299999999997</v>
      </c>
      <c r="Q3245">
        <v>0.20026749999999999</v>
      </c>
      <c r="R3245">
        <v>1.069618E-2</v>
      </c>
      <c r="S3245">
        <v>3.2769780000000002</v>
      </c>
      <c r="T3245">
        <v>-1.03349</v>
      </c>
      <c r="U3245">
        <v>-0.2204132</v>
      </c>
      <c r="V3245">
        <v>-1.4114450000000001E-2</v>
      </c>
      <c r="W3245">
        <v>0.2142134</v>
      </c>
      <c r="X3245">
        <v>0.97668489999999997</v>
      </c>
      <c r="Y3245">
        <v>6.0700079999999997E-2</v>
      </c>
      <c r="Z3245">
        <v>-8.7520959999999991E-3</v>
      </c>
      <c r="AA3245">
        <v>0.9981177</v>
      </c>
      <c r="AB3245">
        <v>35</v>
      </c>
      <c r="AC3245">
        <v>0.55629999999996405</v>
      </c>
      <c r="AD3245">
        <v>-0.288954199999999</v>
      </c>
      <c r="AE3245">
        <v>-6.0599999999993701E-2</v>
      </c>
      <c r="AF3245">
        <v>4.6307046068348998E-2</v>
      </c>
      <c r="AG3245">
        <v>-0.288954199999999</v>
      </c>
      <c r="AH3245">
        <v>0.43935993610424801</v>
      </c>
      <c r="AI3245">
        <v>123.186616480255</v>
      </c>
      <c r="AJ3245">
        <v>83.983431927536003</v>
      </c>
      <c r="AK3245">
        <v>0.52789774167611703</v>
      </c>
      <c r="AL3245">
        <v>77.630616638057106</v>
      </c>
      <c r="AM3245">
        <v>90.827945763596702</v>
      </c>
      <c r="AN3245">
        <v>0.99999999616318602</v>
      </c>
    </row>
    <row r="3246" spans="1:40" x14ac:dyDescent="0.25">
      <c r="A3246" t="str">
        <f>"20190303162844412"</f>
        <v>20190303162844412</v>
      </c>
      <c r="B3246" t="str">
        <f>"1551601724404542"</f>
        <v>1551601724404542</v>
      </c>
      <c r="C3246" t="s">
        <v>40</v>
      </c>
      <c r="D3246">
        <v>4.9015309999999896</v>
      </c>
      <c r="E3246">
        <v>0.5338039</v>
      </c>
      <c r="F3246" t="s">
        <v>44</v>
      </c>
      <c r="G3246">
        <v>-333.22059999999999</v>
      </c>
      <c r="H3246">
        <v>0.84549730000000001</v>
      </c>
      <c r="I3246">
        <v>214.40979999999999</v>
      </c>
      <c r="J3246">
        <v>-333.72039999999998</v>
      </c>
      <c r="K3246">
        <v>1.121491</v>
      </c>
      <c r="L3246">
        <v>214.46789999999999</v>
      </c>
      <c r="M3246">
        <v>0.99989150000000004</v>
      </c>
      <c r="N3246">
        <v>-1.4309799999999999E-2</v>
      </c>
      <c r="O3246">
        <v>-3.4967990000000001E-3</v>
      </c>
      <c r="P3246">
        <v>0.9796994</v>
      </c>
      <c r="Q3246">
        <v>0.20020170000000001</v>
      </c>
      <c r="R3246">
        <v>1.0420230000000001E-2</v>
      </c>
      <c r="S3246">
        <v>3.276764</v>
      </c>
      <c r="T3246">
        <v>-1.037712</v>
      </c>
      <c r="U3246">
        <v>-0.22300719999999999</v>
      </c>
      <c r="V3246">
        <v>-1.3838319999999999E-2</v>
      </c>
      <c r="W3246">
        <v>0.21420030000000001</v>
      </c>
      <c r="X3246">
        <v>0.97669170000000005</v>
      </c>
      <c r="Y3246">
        <v>6.1430239999999997E-2</v>
      </c>
      <c r="Z3246">
        <v>-8.9046430000000003E-3</v>
      </c>
      <c r="AA3246">
        <v>0.99807170000000001</v>
      </c>
      <c r="AB3246">
        <v>35</v>
      </c>
      <c r="AC3246">
        <v>0.49979999999999303</v>
      </c>
      <c r="AD3246">
        <v>-0.27599370000000001</v>
      </c>
      <c r="AE3246">
        <v>-5.8099999999996002E-2</v>
      </c>
      <c r="AF3246">
        <v>4.3318579189086097E-2</v>
      </c>
      <c r="AG3246">
        <v>-0.27599370000000001</v>
      </c>
      <c r="AH3246">
        <v>0.38435876719266698</v>
      </c>
      <c r="AI3246">
        <v>125.509575821765</v>
      </c>
      <c r="AJ3246">
        <v>83.569699434554906</v>
      </c>
      <c r="AK3246">
        <v>0.47516384927782301</v>
      </c>
      <c r="AL3246">
        <v>77.631384748229493</v>
      </c>
      <c r="AM3246">
        <v>90.811744669990006</v>
      </c>
      <c r="AN3246">
        <v>0.99999997223470005</v>
      </c>
    </row>
    <row r="3247" spans="1:40" x14ac:dyDescent="0.25">
      <c r="A3247" t="str">
        <f>"20190303162844433"</f>
        <v>20190303162844433</v>
      </c>
      <c r="B3247" t="str">
        <f>"1551601724425037"</f>
        <v>1551601724425037</v>
      </c>
      <c r="C3247" t="s">
        <v>40</v>
      </c>
      <c r="D3247">
        <v>4.9280030000000004</v>
      </c>
      <c r="E3247">
        <v>0.53378440000000005</v>
      </c>
      <c r="F3247" t="s">
        <v>44</v>
      </c>
      <c r="G3247">
        <v>-332.9042</v>
      </c>
      <c r="H3247">
        <v>0.86264039999999997</v>
      </c>
      <c r="I3247">
        <v>214.4117</v>
      </c>
      <c r="J3247">
        <v>-333.39600000000002</v>
      </c>
      <c r="K3247">
        <v>1.1214930000000001</v>
      </c>
      <c r="L3247">
        <v>214.4667</v>
      </c>
      <c r="M3247">
        <v>0.99989099999999997</v>
      </c>
      <c r="N3247">
        <v>-1.434993E-2</v>
      </c>
      <c r="O3247">
        <v>-3.4967280000000002E-3</v>
      </c>
      <c r="P3247">
        <v>0.97977270000000005</v>
      </c>
      <c r="Q3247">
        <v>0.19986000000000001</v>
      </c>
      <c r="R3247">
        <v>1.0082229999999999E-2</v>
      </c>
      <c r="S3247">
        <v>3.2769469999999998</v>
      </c>
      <c r="T3247">
        <v>-1.03935</v>
      </c>
      <c r="U3247">
        <v>-0.22460939999999999</v>
      </c>
      <c r="V3247">
        <v>-1.350064E-2</v>
      </c>
      <c r="W3247">
        <v>0.21389939999999999</v>
      </c>
      <c r="X3247">
        <v>0.97676240000000003</v>
      </c>
      <c r="Y3247">
        <v>6.1880230000000001E-2</v>
      </c>
      <c r="Z3247">
        <v>-8.991064E-3</v>
      </c>
      <c r="AA3247">
        <v>0.99804309999999996</v>
      </c>
      <c r="AB3247">
        <v>35</v>
      </c>
      <c r="AC3247">
        <v>0.491799999999955</v>
      </c>
      <c r="AD3247">
        <v>-0.25885259999999999</v>
      </c>
      <c r="AE3247">
        <v>-5.50000000000068E-2</v>
      </c>
      <c r="AF3247">
        <v>4.1833722005445502E-2</v>
      </c>
      <c r="AG3247">
        <v>-0.25885259999999999</v>
      </c>
      <c r="AH3247">
        <v>0.38629549191339502</v>
      </c>
      <c r="AI3247">
        <v>123.671335750019</v>
      </c>
      <c r="AJ3247">
        <v>83.819262443487801</v>
      </c>
      <c r="AK3247">
        <v>0.46688214347541801</v>
      </c>
      <c r="AL3247">
        <v>77.649034502893599</v>
      </c>
      <c r="AM3247">
        <v>90.791881873481898</v>
      </c>
      <c r="AN3247">
        <v>1.00000000332726</v>
      </c>
    </row>
    <row r="3248" spans="1:40" x14ac:dyDescent="0.25">
      <c r="A3248" t="str">
        <f>"20190303162844456"</f>
        <v>20190303162844456</v>
      </c>
      <c r="B3248" t="str">
        <f>"1551601724444557"</f>
        <v>1551601724444557</v>
      </c>
      <c r="C3248" t="s">
        <v>40</v>
      </c>
      <c r="D3248">
        <v>4.9075110000000004</v>
      </c>
      <c r="E3248">
        <v>0.53377469999999905</v>
      </c>
      <c r="F3248" t="s">
        <v>44</v>
      </c>
      <c r="G3248">
        <v>-332.59359999999998</v>
      </c>
      <c r="H3248">
        <v>0.86626099999999995</v>
      </c>
      <c r="I3248">
        <v>214.41149999999999</v>
      </c>
      <c r="J3248">
        <v>-333.04349999999999</v>
      </c>
      <c r="K3248">
        <v>1.1214919999999999</v>
      </c>
      <c r="L3248">
        <v>214.46549999999999</v>
      </c>
      <c r="M3248">
        <v>0.99989039999999996</v>
      </c>
      <c r="N3248">
        <v>-1.43873E-2</v>
      </c>
      <c r="O3248">
        <v>-3.4966379999999998E-3</v>
      </c>
      <c r="P3248">
        <v>0.97975040000000002</v>
      </c>
      <c r="Q3248">
        <v>0.1999601</v>
      </c>
      <c r="R3248">
        <v>1.025966E-2</v>
      </c>
      <c r="S3248">
        <v>3.2768549999999999</v>
      </c>
      <c r="T3248">
        <v>-1.042286</v>
      </c>
      <c r="U3248">
        <v>-0.2249756</v>
      </c>
      <c r="V3248">
        <v>-1.3677679999999999E-2</v>
      </c>
      <c r="W3248">
        <v>0.21403539999999999</v>
      </c>
      <c r="X3248">
        <v>0.97673010000000005</v>
      </c>
      <c r="Y3248">
        <v>6.1971739999999997E-2</v>
      </c>
      <c r="Z3248">
        <v>-9.0303650000000003E-3</v>
      </c>
      <c r="AA3248">
        <v>0.99803699999999995</v>
      </c>
      <c r="AB3248">
        <v>35</v>
      </c>
      <c r="AC3248">
        <v>0.44990000000001301</v>
      </c>
      <c r="AD3248">
        <v>-0.25523099999999899</v>
      </c>
      <c r="AE3248">
        <v>-5.4000000000001998E-2</v>
      </c>
      <c r="AF3248">
        <v>3.9799394095778699E-2</v>
      </c>
      <c r="AG3248">
        <v>-0.25523099999999899</v>
      </c>
      <c r="AH3248">
        <v>0.34168212876501097</v>
      </c>
      <c r="AI3248">
        <v>126.57420649092801</v>
      </c>
      <c r="AJ3248">
        <v>83.356083802221704</v>
      </c>
      <c r="AK3248">
        <v>0.42833810506278802</v>
      </c>
      <c r="AL3248">
        <v>77.641056990490398</v>
      </c>
      <c r="AM3248">
        <v>90.802291357317898</v>
      </c>
      <c r="AN3248">
        <v>0.99999995981467504</v>
      </c>
    </row>
    <row r="3249" spans="1:40" x14ac:dyDescent="0.25">
      <c r="A3249" t="str">
        <f>"20190303162844477"</f>
        <v>20190303162844477</v>
      </c>
      <c r="B3249" t="str">
        <f>"1551601724465054"</f>
        <v>1551601724465054</v>
      </c>
      <c r="C3249" t="s">
        <v>40</v>
      </c>
      <c r="D3249">
        <v>4.9406150000000002</v>
      </c>
      <c r="E3249">
        <v>0.53377280000000005</v>
      </c>
      <c r="F3249" t="s">
        <v>44</v>
      </c>
      <c r="G3249">
        <v>-332.27980000000002</v>
      </c>
      <c r="H3249">
        <v>0.8784959</v>
      </c>
      <c r="I3249">
        <v>214.4128</v>
      </c>
      <c r="J3249">
        <v>-332.7165</v>
      </c>
      <c r="K3249">
        <v>1.1215010000000001</v>
      </c>
      <c r="L3249">
        <v>214.46440000000001</v>
      </c>
      <c r="M3249">
        <v>0.9998901</v>
      </c>
      <c r="N3249">
        <v>-1.441687E-2</v>
      </c>
      <c r="O3249">
        <v>-3.496851E-3</v>
      </c>
      <c r="P3249">
        <v>0.97967510000000002</v>
      </c>
      <c r="Q3249">
        <v>0.2003257</v>
      </c>
      <c r="R3249">
        <v>1.031728E-2</v>
      </c>
      <c r="S3249">
        <v>3.2771300000000001</v>
      </c>
      <c r="T3249">
        <v>-1.042692</v>
      </c>
      <c r="U3249">
        <v>-0.22476199999999999</v>
      </c>
      <c r="V3249">
        <v>-1.373515E-2</v>
      </c>
      <c r="W3249">
        <v>0.21442900000000001</v>
      </c>
      <c r="X3249">
        <v>0.97664300000000004</v>
      </c>
      <c r="Y3249">
        <v>6.1902520000000003E-2</v>
      </c>
      <c r="Z3249">
        <v>-9.0226079999999997E-3</v>
      </c>
      <c r="AA3249">
        <v>0.99804139999999997</v>
      </c>
      <c r="AB3249">
        <v>35</v>
      </c>
      <c r="AC3249">
        <v>0.436699999999973</v>
      </c>
      <c r="AD3249">
        <v>-0.2430051</v>
      </c>
      <c r="AE3249">
        <v>-5.1600000000007598E-2</v>
      </c>
      <c r="AF3249">
        <v>3.8358476791622603E-2</v>
      </c>
      <c r="AG3249">
        <v>-0.2430051</v>
      </c>
      <c r="AH3249">
        <v>0.334674377430215</v>
      </c>
      <c r="AI3249">
        <v>125.805604669004</v>
      </c>
      <c r="AJ3249">
        <v>83.461613858383203</v>
      </c>
      <c r="AK3249">
        <v>0.415367054875667</v>
      </c>
      <c r="AL3249">
        <v>77.6179698434904</v>
      </c>
      <c r="AM3249">
        <v>90.805733772276895</v>
      </c>
      <c r="AN3249">
        <v>0.99999999991776101</v>
      </c>
    </row>
    <row r="3250" spans="1:40" x14ac:dyDescent="0.25">
      <c r="A3250" t="str">
        <f>"20190303162844501"</f>
        <v>20190303162844501</v>
      </c>
      <c r="B3250" t="str">
        <f>"1551601724495310"</f>
        <v>1551601724495310</v>
      </c>
      <c r="C3250" t="s">
        <v>40</v>
      </c>
      <c r="D3250">
        <v>5.0015229999999997</v>
      </c>
      <c r="E3250">
        <v>0.52576429999999996</v>
      </c>
      <c r="F3250" t="s">
        <v>44</v>
      </c>
      <c r="G3250">
        <v>-331.96890000000002</v>
      </c>
      <c r="H3250">
        <v>0.88406099999999999</v>
      </c>
      <c r="I3250">
        <v>214.41300000000001</v>
      </c>
      <c r="J3250">
        <v>-332.34969999999998</v>
      </c>
      <c r="K3250">
        <v>1.1215090000000001</v>
      </c>
      <c r="L3250">
        <v>214.4631</v>
      </c>
      <c r="M3250">
        <v>0.99988960000000005</v>
      </c>
      <c r="N3250">
        <v>-1.444513E-2</v>
      </c>
      <c r="O3250">
        <v>-3.496697E-3</v>
      </c>
      <c r="P3250">
        <v>0.97961339999999997</v>
      </c>
      <c r="Q3250">
        <v>0.20062730000000001</v>
      </c>
      <c r="R3250">
        <v>1.031167E-2</v>
      </c>
      <c r="S3250">
        <v>3.277466</v>
      </c>
      <c r="T3250">
        <v>-1.040907</v>
      </c>
      <c r="U3250">
        <v>-0.2246399</v>
      </c>
      <c r="V3250">
        <v>-1.3729480000000001E-2</v>
      </c>
      <c r="W3250">
        <v>0.21475739999999999</v>
      </c>
      <c r="X3250">
        <v>0.97657090000000002</v>
      </c>
      <c r="Y3250">
        <v>6.1870469999999997E-2</v>
      </c>
      <c r="Z3250">
        <v>-9.0037030000000001E-3</v>
      </c>
      <c r="AA3250">
        <v>0.99804360000000003</v>
      </c>
      <c r="AB3250">
        <v>35</v>
      </c>
      <c r="AC3250">
        <v>0.380799999999965</v>
      </c>
      <c r="AD3250">
        <v>-0.23744799999999999</v>
      </c>
      <c r="AE3250">
        <v>-5.0100000000014598E-2</v>
      </c>
      <c r="AF3250">
        <v>3.5282904481692197E-2</v>
      </c>
      <c r="AG3250">
        <v>-0.23744799999999999</v>
      </c>
      <c r="AH3250">
        <v>0.27562799525354897</v>
      </c>
      <c r="AI3250">
        <v>130.51413065406899</v>
      </c>
      <c r="AJ3250">
        <v>82.705288072112097</v>
      </c>
      <c r="AK3250">
        <v>0.36550954545696202</v>
      </c>
      <c r="AL3250">
        <v>77.598704871753796</v>
      </c>
      <c r="AM3250">
        <v>90.805460656315603</v>
      </c>
      <c r="AN3250">
        <v>0.99999998110132005</v>
      </c>
    </row>
    <row r="3251" spans="1:40" x14ac:dyDescent="0.25">
      <c r="A3251" t="str">
        <f>"20190303162844523"</f>
        <v>20190303162844523</v>
      </c>
      <c r="B3251" t="str">
        <f>"1551601724514830"</f>
        <v>1551601724514830</v>
      </c>
      <c r="C3251" t="s">
        <v>40</v>
      </c>
      <c r="D3251">
        <v>4.9434329999999997</v>
      </c>
      <c r="E3251">
        <v>0.52475550000000004</v>
      </c>
      <c r="F3251" t="s">
        <v>49</v>
      </c>
      <c r="G3251">
        <v>-318.01080000000002</v>
      </c>
      <c r="H3251" s="1">
        <v>4.458119E-6</v>
      </c>
      <c r="I3251">
        <v>213.6927</v>
      </c>
      <c r="J3251">
        <v>-332.00409999999999</v>
      </c>
      <c r="K3251">
        <v>1.1215109999999999</v>
      </c>
      <c r="L3251">
        <v>214.46180000000001</v>
      </c>
      <c r="M3251">
        <v>0.99988940000000004</v>
      </c>
      <c r="N3251">
        <v>-1.446744E-2</v>
      </c>
      <c r="O3251">
        <v>-3.4967399999999999E-3</v>
      </c>
      <c r="P3251">
        <v>0.979545</v>
      </c>
      <c r="Q3251">
        <v>0.20095930000000001</v>
      </c>
      <c r="R3251">
        <v>1.035661E-2</v>
      </c>
      <c r="S3251">
        <v>3.1140750000000001</v>
      </c>
      <c r="T3251">
        <v>-0.2435658</v>
      </c>
      <c r="U3251">
        <v>-0.16729740000000001</v>
      </c>
      <c r="V3251">
        <v>-1.377402E-2</v>
      </c>
      <c r="W3251">
        <v>0.21510989999999999</v>
      </c>
      <c r="X3251">
        <v>0.97649269999999999</v>
      </c>
      <c r="Y3251">
        <v>4.9979790000000003E-2</v>
      </c>
      <c r="Z3251">
        <v>-2.0902809999999998E-3</v>
      </c>
      <c r="AA3251">
        <v>0.99874810000000003</v>
      </c>
      <c r="AB3251">
        <v>34</v>
      </c>
      <c r="AC3251">
        <v>13.9932999999999</v>
      </c>
      <c r="AD3251">
        <v>-1.121506541881</v>
      </c>
      <c r="AE3251">
        <v>-0.769100000000008</v>
      </c>
      <c r="AF3251">
        <v>0.71557667729921204</v>
      </c>
      <c r="AG3251">
        <v>-1.121506541881</v>
      </c>
      <c r="AH3251">
        <v>13.9068442035608</v>
      </c>
      <c r="AI3251">
        <v>94.604530241373794</v>
      </c>
      <c r="AJ3251">
        <v>87.054443364738205</v>
      </c>
      <c r="AK3251">
        <v>13.9703307980409</v>
      </c>
      <c r="AL3251">
        <v>77.578024936798599</v>
      </c>
      <c r="AM3251">
        <v>90.808138020648897</v>
      </c>
      <c r="AN3251">
        <v>0.99999999292913</v>
      </c>
    </row>
    <row r="3252" spans="1:40" x14ac:dyDescent="0.25">
      <c r="A3252" t="str">
        <f>"20190303162844545"</f>
        <v>20190303162844545</v>
      </c>
      <c r="B3252" t="str">
        <f>"1551601724534349"</f>
        <v>1551601724534349</v>
      </c>
      <c r="C3252" t="s">
        <v>40</v>
      </c>
      <c r="D3252">
        <v>5.0085980000000001</v>
      </c>
      <c r="E3252">
        <v>0.52400869999999999</v>
      </c>
      <c r="F3252" t="s">
        <v>49</v>
      </c>
      <c r="G3252">
        <v>-312.80419999999998</v>
      </c>
      <c r="H3252" s="1">
        <v>2.1491759999999999E-6</v>
      </c>
      <c r="I3252">
        <v>213.47370000000001</v>
      </c>
      <c r="J3252">
        <v>-331.67619999999999</v>
      </c>
      <c r="K3252">
        <v>1.121516</v>
      </c>
      <c r="L3252">
        <v>214.4607</v>
      </c>
      <c r="M3252">
        <v>0.99988909999999998</v>
      </c>
      <c r="N3252">
        <v>-1.4485090000000001E-2</v>
      </c>
      <c r="O3252">
        <v>-3.4966289999999998E-3</v>
      </c>
      <c r="P3252">
        <v>0.97949779999999997</v>
      </c>
      <c r="Q3252">
        <v>0.20117969999999999</v>
      </c>
      <c r="R3252">
        <v>1.0548449999999999E-2</v>
      </c>
      <c r="S3252">
        <v>3.1015009999999998</v>
      </c>
      <c r="T3252">
        <v>-0.18116560000000001</v>
      </c>
      <c r="U3252">
        <v>-0.15962219999999999</v>
      </c>
      <c r="V3252">
        <v>-1.396558E-2</v>
      </c>
      <c r="W3252">
        <v>0.21534639999999999</v>
      </c>
      <c r="X3252">
        <v>0.97643789999999997</v>
      </c>
      <c r="Y3252">
        <v>4.7807240000000001E-2</v>
      </c>
      <c r="Z3252">
        <v>-1.5876690000000001E-3</v>
      </c>
      <c r="AA3252">
        <v>0.9988553</v>
      </c>
      <c r="AB3252">
        <v>34</v>
      </c>
      <c r="AC3252">
        <v>18.872</v>
      </c>
      <c r="AD3252">
        <v>-1.1215138508239999</v>
      </c>
      <c r="AE3252">
        <v>-0.98699999999999399</v>
      </c>
      <c r="AF3252">
        <v>0.91776631060775804</v>
      </c>
      <c r="AG3252">
        <v>-1.1215138508239999</v>
      </c>
      <c r="AH3252">
        <v>18.8090908606877</v>
      </c>
      <c r="AI3252">
        <v>93.408241997374304</v>
      </c>
      <c r="AJ3252">
        <v>87.2065388614472</v>
      </c>
      <c r="AK3252">
        <v>18.864834675238502</v>
      </c>
      <c r="AL3252">
        <v>77.564149899547502</v>
      </c>
      <c r="AM3252">
        <v>90.819421529318404</v>
      </c>
      <c r="AN3252">
        <v>1.00000004098705</v>
      </c>
    </row>
    <row r="3253" spans="1:40" x14ac:dyDescent="0.25">
      <c r="A3253" t="str">
        <f>"20190303162844567"</f>
        <v>20190303162844567</v>
      </c>
      <c r="B3253" t="str">
        <f>"1551601724554846"</f>
        <v>1551601724554846</v>
      </c>
      <c r="C3253" t="s">
        <v>40</v>
      </c>
      <c r="D3253">
        <v>5.0235329999999996</v>
      </c>
      <c r="E3253">
        <v>0.52310230000000002</v>
      </c>
      <c r="F3253" t="s">
        <v>49</v>
      </c>
      <c r="G3253">
        <v>-311.83960000000002</v>
      </c>
      <c r="H3253" s="1">
        <v>1.7214259999999901E-6</v>
      </c>
      <c r="I3253">
        <v>213.4786</v>
      </c>
      <c r="J3253">
        <v>-331.33879999999999</v>
      </c>
      <c r="K3253">
        <v>1.1215250000000001</v>
      </c>
      <c r="L3253">
        <v>214.45949999999999</v>
      </c>
      <c r="M3253">
        <v>0.99988880000000002</v>
      </c>
      <c r="N3253">
        <v>-1.450036E-2</v>
      </c>
      <c r="O3253">
        <v>-3.4965009999999999E-3</v>
      </c>
      <c r="P3253">
        <v>0.97933300000000001</v>
      </c>
      <c r="Q3253">
        <v>0.2019485</v>
      </c>
      <c r="R3253">
        <v>1.111929E-2</v>
      </c>
      <c r="S3253">
        <v>3.1004939999999999</v>
      </c>
      <c r="T3253">
        <v>-0.17529400000000001</v>
      </c>
      <c r="U3253">
        <v>-0.15350339999999901</v>
      </c>
      <c r="V3253">
        <v>-1.453523E-2</v>
      </c>
      <c r="W3253">
        <v>0.21612770000000001</v>
      </c>
      <c r="X3253">
        <v>0.97625689999999998</v>
      </c>
      <c r="Y3253">
        <v>4.5867070000000003E-2</v>
      </c>
      <c r="Z3253">
        <v>-1.48112E-3</v>
      </c>
      <c r="AA3253">
        <v>0.99894640000000001</v>
      </c>
      <c r="AB3253">
        <v>34</v>
      </c>
      <c r="AC3253">
        <v>19.499199999999899</v>
      </c>
      <c r="AD3253">
        <v>-1.1215232785739999</v>
      </c>
      <c r="AE3253">
        <v>-0.980899999999991</v>
      </c>
      <c r="AF3253">
        <v>0.90970603247992798</v>
      </c>
      <c r="AG3253">
        <v>-1.1215232785739999</v>
      </c>
      <c r="AH3253">
        <v>19.438368461419</v>
      </c>
      <c r="AI3253">
        <v>93.298495383754499</v>
      </c>
      <c r="AJ3253">
        <v>87.320540886287503</v>
      </c>
      <c r="AK3253">
        <v>19.491935459871701</v>
      </c>
      <c r="AL3253">
        <v>77.518304551289802</v>
      </c>
      <c r="AM3253">
        <v>90.8529986359882</v>
      </c>
      <c r="AN3253">
        <v>0.99999999520802596</v>
      </c>
    </row>
    <row r="3254" spans="1:40" x14ac:dyDescent="0.25">
      <c r="A3254" t="str">
        <f>"20190303162844589"</f>
        <v>20190303162844589</v>
      </c>
      <c r="B3254" t="str">
        <f>"1551601724585101"</f>
        <v>1551601724585101</v>
      </c>
      <c r="C3254" t="s">
        <v>40</v>
      </c>
      <c r="D3254">
        <v>4.4194839999999997</v>
      </c>
      <c r="E3254">
        <v>0.52193599999999996</v>
      </c>
      <c r="F3254" t="s">
        <v>49</v>
      </c>
      <c r="G3254">
        <v>-311.35570000000001</v>
      </c>
      <c r="H3254" s="1">
        <v>1.5068279999999901E-6</v>
      </c>
      <c r="I3254">
        <v>213.5247</v>
      </c>
      <c r="J3254">
        <v>-330.99130000000002</v>
      </c>
      <c r="K3254">
        <v>1.1215349999999999</v>
      </c>
      <c r="L3254">
        <v>214.45830000000001</v>
      </c>
      <c r="M3254">
        <v>0.99988869999999996</v>
      </c>
      <c r="N3254">
        <v>-1.4513399999999999E-2</v>
      </c>
      <c r="O3254">
        <v>-3.4967140000000002E-3</v>
      </c>
      <c r="P3254">
        <v>0.97915050000000003</v>
      </c>
      <c r="Q3254">
        <v>0.20280010000000001</v>
      </c>
      <c r="R3254">
        <v>1.168931E-2</v>
      </c>
      <c r="S3254">
        <v>3.1008300000000002</v>
      </c>
      <c r="T3254">
        <v>-0.17402960000000001</v>
      </c>
      <c r="U3254">
        <v>-0.14505000000000001</v>
      </c>
      <c r="V3254">
        <v>-1.510532E-2</v>
      </c>
      <c r="W3254">
        <v>0.2169894</v>
      </c>
      <c r="X3254">
        <v>0.97605710000000001</v>
      </c>
      <c r="Y3254">
        <v>4.3150849999999998E-2</v>
      </c>
      <c r="Z3254">
        <v>-1.3776210000000001E-3</v>
      </c>
      <c r="AA3254">
        <v>0.99906759999999994</v>
      </c>
      <c r="AB3254">
        <v>34</v>
      </c>
      <c r="AC3254">
        <v>19.6356</v>
      </c>
      <c r="AD3254">
        <v>-1.121533493172</v>
      </c>
      <c r="AE3254">
        <v>-0.93360000000001198</v>
      </c>
      <c r="AF3254">
        <v>0.86212075901459995</v>
      </c>
      <c r="AG3254">
        <v>-1.121533493172</v>
      </c>
      <c r="AH3254">
        <v>19.575027437537599</v>
      </c>
      <c r="AI3254">
        <v>93.275956272881601</v>
      </c>
      <c r="AJ3254">
        <v>87.478216533958005</v>
      </c>
      <c r="AK3254">
        <v>19.626074206518702</v>
      </c>
      <c r="AL3254">
        <v>77.467732957364404</v>
      </c>
      <c r="AM3254">
        <v>90.886630505593303</v>
      </c>
      <c r="AN3254">
        <v>1.00000001643253</v>
      </c>
    </row>
    <row r="3255" spans="1:40" x14ac:dyDescent="0.25">
      <c r="A3255" t="str">
        <f>"20190303162844612"</f>
        <v>20190303162844612</v>
      </c>
      <c r="B3255" t="str">
        <f>"1551601724604622"</f>
        <v>1551601724604622</v>
      </c>
      <c r="C3255" t="s">
        <v>40</v>
      </c>
      <c r="D3255">
        <v>5.0791909999999998</v>
      </c>
      <c r="E3255">
        <v>0.52129269999999905</v>
      </c>
      <c r="F3255" t="s">
        <v>49</v>
      </c>
      <c r="G3255">
        <v>-310.2303</v>
      </c>
      <c r="H3255" s="1">
        <v>1.007781E-6</v>
      </c>
      <c r="I3255">
        <v>213.56540000000001</v>
      </c>
      <c r="J3255">
        <v>-330.63279999999997</v>
      </c>
      <c r="K3255">
        <v>1.12154</v>
      </c>
      <c r="L3255">
        <v>214.4571</v>
      </c>
      <c r="M3255">
        <v>0.99988840000000001</v>
      </c>
      <c r="N3255">
        <v>-1.452445E-2</v>
      </c>
      <c r="O3255">
        <v>-3.4966749999999999E-3</v>
      </c>
      <c r="P3255">
        <v>0.97897619999999996</v>
      </c>
      <c r="Q3255">
        <v>0.2036327</v>
      </c>
      <c r="R3255">
        <v>1.182482E-2</v>
      </c>
      <c r="S3255">
        <v>3.1001889999999999</v>
      </c>
      <c r="T3255">
        <v>-0.16747570000000001</v>
      </c>
      <c r="U3255">
        <v>-0.13334660000000001</v>
      </c>
      <c r="V3255">
        <v>-1.5240160000000001E-2</v>
      </c>
      <c r="W3255">
        <v>0.21783</v>
      </c>
      <c r="X3255">
        <v>0.9758677</v>
      </c>
      <c r="Y3255">
        <v>3.9408480000000003E-2</v>
      </c>
      <c r="Z3255">
        <v>-1.211859E-3</v>
      </c>
      <c r="AA3255">
        <v>0.99922250000000001</v>
      </c>
      <c r="AB3255">
        <v>34</v>
      </c>
      <c r="AC3255">
        <v>20.4024999999999</v>
      </c>
      <c r="AD3255">
        <v>-1.121538992219</v>
      </c>
      <c r="AE3255">
        <v>-0.89169999999998595</v>
      </c>
      <c r="AF3255">
        <v>0.81787937482865003</v>
      </c>
      <c r="AG3255">
        <v>-1.121538992219</v>
      </c>
      <c r="AH3255">
        <v>20.344135384028899</v>
      </c>
      <c r="AI3255">
        <v>93.152887135480995</v>
      </c>
      <c r="AJ3255">
        <v>87.697822295779503</v>
      </c>
      <c r="AK3255">
        <v>20.391434988899999</v>
      </c>
      <c r="AL3255">
        <v>77.418389260573704</v>
      </c>
      <c r="AM3255">
        <v>90.894717459117501</v>
      </c>
      <c r="AN3255">
        <v>0.999999969640057</v>
      </c>
    </row>
    <row r="3256" spans="1:40" x14ac:dyDescent="0.25">
      <c r="A3256" t="str">
        <f>"20190303162844634"</f>
        <v>20190303162844634</v>
      </c>
      <c r="B3256" t="str">
        <f>"1551601724625118"</f>
        <v>1551601724625118</v>
      </c>
      <c r="C3256" t="s">
        <v>40</v>
      </c>
      <c r="D3256">
        <v>5.0620880000000001</v>
      </c>
      <c r="E3256">
        <v>0.52090049999999999</v>
      </c>
      <c r="F3256" t="s">
        <v>49</v>
      </c>
      <c r="G3256">
        <v>-308.45740000000001</v>
      </c>
      <c r="H3256" s="1">
        <v>1.153053E-6</v>
      </c>
      <c r="I3256">
        <v>213.5437</v>
      </c>
      <c r="J3256">
        <v>-330.30430000000001</v>
      </c>
      <c r="K3256">
        <v>1.1215459999999999</v>
      </c>
      <c r="L3256">
        <v>214.45590000000001</v>
      </c>
      <c r="M3256">
        <v>0.99988840000000001</v>
      </c>
      <c r="N3256">
        <v>-1.453252E-2</v>
      </c>
      <c r="O3256">
        <v>-3.496734E-3</v>
      </c>
      <c r="P3256">
        <v>0.97896499999999997</v>
      </c>
      <c r="Q3256">
        <v>0.2036993</v>
      </c>
      <c r="R3256">
        <v>1.1598610000000001E-2</v>
      </c>
      <c r="S3256">
        <v>3.0985719999999999</v>
      </c>
      <c r="T3256">
        <v>-0.15671270000000001</v>
      </c>
      <c r="U3256">
        <v>-0.1276245</v>
      </c>
      <c r="V3256">
        <v>-1.5013749999999999E-2</v>
      </c>
      <c r="W3256">
        <v>0.21790490000000001</v>
      </c>
      <c r="X3256">
        <v>0.97585449999999996</v>
      </c>
      <c r="Y3256">
        <v>3.7599349999999997E-2</v>
      </c>
      <c r="Z3256">
        <v>-1.0974769999999999E-3</v>
      </c>
      <c r="AA3256">
        <v>0.99929230000000002</v>
      </c>
      <c r="AB3256">
        <v>34</v>
      </c>
      <c r="AC3256">
        <v>21.846900000000002</v>
      </c>
      <c r="AD3256">
        <v>-1.121544846947</v>
      </c>
      <c r="AE3256">
        <v>-0.912200000000012</v>
      </c>
      <c r="AF3256">
        <v>0.83360048157603195</v>
      </c>
      <c r="AG3256">
        <v>-1.121544846947</v>
      </c>
      <c r="AH3256">
        <v>21.7926232027915</v>
      </c>
      <c r="AI3256">
        <v>92.943946071499695</v>
      </c>
      <c r="AJ3256">
        <v>87.809418594207798</v>
      </c>
      <c r="AK3256">
        <v>21.8373803068373</v>
      </c>
      <c r="AL3256">
        <v>77.413992335192006</v>
      </c>
      <c r="AM3256">
        <v>90.881439442080193</v>
      </c>
      <c r="AN3256">
        <v>0.99999998165166104</v>
      </c>
    </row>
    <row r="3257" spans="1:40" x14ac:dyDescent="0.25">
      <c r="A3257" t="str">
        <f>"20190303162844658"</f>
        <v>20190303162844658</v>
      </c>
      <c r="B3257" t="str">
        <f>"1551601724644638"</f>
        <v>1551601724644638</v>
      </c>
      <c r="C3257" t="s">
        <v>40</v>
      </c>
      <c r="D3257">
        <v>5.096025</v>
      </c>
      <c r="E3257">
        <v>0.52049129999999999</v>
      </c>
      <c r="F3257" t="s">
        <v>49</v>
      </c>
      <c r="G3257">
        <v>-307.28149999999999</v>
      </c>
      <c r="H3257" s="1">
        <v>1.361647E-6</v>
      </c>
      <c r="I3257">
        <v>213.51920000000001</v>
      </c>
      <c r="J3257">
        <v>-329.94779999999997</v>
      </c>
      <c r="K3257">
        <v>1.121553</v>
      </c>
      <c r="L3257">
        <v>214.4547</v>
      </c>
      <c r="M3257">
        <v>0.9998882</v>
      </c>
      <c r="N3257">
        <v>-1.453933E-2</v>
      </c>
      <c r="O3257">
        <v>-3.4965450000000002E-3</v>
      </c>
      <c r="P3257">
        <v>0.97902579999999995</v>
      </c>
      <c r="Q3257">
        <v>0.2034137</v>
      </c>
      <c r="R3257">
        <v>1.1467629999999999E-2</v>
      </c>
      <c r="S3257">
        <v>3.0973510000000002</v>
      </c>
      <c r="T3257">
        <v>-0.15088570000000001</v>
      </c>
      <c r="U3257">
        <v>-0.1260223</v>
      </c>
      <c r="V3257">
        <v>-1.488255E-2</v>
      </c>
      <c r="W3257">
        <v>0.2176266</v>
      </c>
      <c r="X3257">
        <v>0.97591870000000003</v>
      </c>
      <c r="Y3257">
        <v>3.7104199999999997E-2</v>
      </c>
      <c r="Z3257">
        <v>-1.053556E-3</v>
      </c>
      <c r="AA3257">
        <v>0.9993109</v>
      </c>
      <c r="AB3257">
        <v>34</v>
      </c>
      <c r="AC3257">
        <v>22.6662999999999</v>
      </c>
      <c r="AD3257">
        <v>-1.121551638353</v>
      </c>
      <c r="AE3257">
        <v>-0.93549999999999001</v>
      </c>
      <c r="AF3257">
        <v>0.85414445876510703</v>
      </c>
      <c r="AG3257">
        <v>-1.121551638353</v>
      </c>
      <c r="AH3257">
        <v>22.614159073624698</v>
      </c>
      <c r="AI3257">
        <v>92.837244176737997</v>
      </c>
      <c r="AJ3257">
        <v>87.836947185124004</v>
      </c>
      <c r="AK3257">
        <v>22.658058863043301</v>
      </c>
      <c r="AL3257">
        <v>77.430330938811096</v>
      </c>
      <c r="AM3257">
        <v>90.873680575954097</v>
      </c>
      <c r="AN3257">
        <v>1.0000000681658701</v>
      </c>
    </row>
    <row r="3258" spans="1:40" x14ac:dyDescent="0.25">
      <c r="A3258" t="str">
        <f>"20190303162844679"</f>
        <v>20190303162844679</v>
      </c>
      <c r="B3258" t="str">
        <f>"1551601724665134"</f>
        <v>1551601724665134</v>
      </c>
      <c r="C3258" t="s">
        <v>40</v>
      </c>
      <c r="D3258">
        <v>5.1075920000000004</v>
      </c>
      <c r="E3258">
        <v>0.52029559999999997</v>
      </c>
      <c r="F3258" t="s">
        <v>49</v>
      </c>
      <c r="G3258">
        <v>-306.49299999999999</v>
      </c>
      <c r="H3258" s="1">
        <v>1.5015039999999901E-6</v>
      </c>
      <c r="I3258">
        <v>213.52209999999999</v>
      </c>
      <c r="J3258">
        <v>-329.61279999999999</v>
      </c>
      <c r="K3258">
        <v>1.121556</v>
      </c>
      <c r="L3258">
        <v>214.45349999999999</v>
      </c>
      <c r="M3258">
        <v>0.9998882</v>
      </c>
      <c r="N3258">
        <v>-1.454431E-2</v>
      </c>
      <c r="O3258">
        <v>-3.496463E-3</v>
      </c>
      <c r="P3258">
        <v>0.97914040000000002</v>
      </c>
      <c r="Q3258">
        <v>0.20286109999999999</v>
      </c>
      <c r="R3258">
        <v>1.146751E-2</v>
      </c>
      <c r="S3258">
        <v>3.0964659999999999</v>
      </c>
      <c r="T3258">
        <v>-0.14806559999999999</v>
      </c>
      <c r="U3258">
        <v>-0.1231232</v>
      </c>
      <c r="V3258">
        <v>-1.488301E-2</v>
      </c>
      <c r="W3258">
        <v>0.21708060000000001</v>
      </c>
      <c r="X3258">
        <v>0.97604020000000002</v>
      </c>
      <c r="Y3258">
        <v>3.6184830000000001E-2</v>
      </c>
      <c r="Z3258">
        <v>-1.011545E-3</v>
      </c>
      <c r="AA3258">
        <v>0.99934460000000003</v>
      </c>
      <c r="AB3258">
        <v>34</v>
      </c>
      <c r="AC3258">
        <v>23.119800000000001</v>
      </c>
      <c r="AD3258">
        <v>-1.121554498496</v>
      </c>
      <c r="AE3258">
        <v>-0.93139999999999601</v>
      </c>
      <c r="AF3258">
        <v>0.84855458942917406</v>
      </c>
      <c r="AG3258">
        <v>-1.121554498496</v>
      </c>
      <c r="AH3258">
        <v>23.068716533086999</v>
      </c>
      <c r="AI3258">
        <v>92.7815354507335</v>
      </c>
      <c r="AJ3258">
        <v>87.8933944315703</v>
      </c>
      <c r="AK3258">
        <v>23.111547154361102</v>
      </c>
      <c r="AL3258">
        <v>77.462379542293803</v>
      </c>
      <c r="AM3258">
        <v>90.873598831568202</v>
      </c>
      <c r="AN3258">
        <v>0.99999998144952995</v>
      </c>
    </row>
    <row r="3259" spans="1:40" x14ac:dyDescent="0.25">
      <c r="A3259" t="str">
        <f>"20190303162844703"</f>
        <v>20190303162844703</v>
      </c>
      <c r="B3259" t="str">
        <f>"1551601724694413"</f>
        <v>1551601724694413</v>
      </c>
      <c r="C3259" t="s">
        <v>40</v>
      </c>
      <c r="D3259">
        <v>5.3053089999999896</v>
      </c>
      <c r="E3259">
        <v>0.51993449999999997</v>
      </c>
      <c r="F3259" t="s">
        <v>49</v>
      </c>
      <c r="G3259">
        <v>-306.14080000000001</v>
      </c>
      <c r="H3259" s="1">
        <v>1.5639829999999999E-6</v>
      </c>
      <c r="I3259">
        <v>213.53460000000001</v>
      </c>
      <c r="J3259">
        <v>-329.26580000000001</v>
      </c>
      <c r="K3259">
        <v>1.121559</v>
      </c>
      <c r="L3259">
        <v>214.45230000000001</v>
      </c>
      <c r="M3259">
        <v>0.999888</v>
      </c>
      <c r="N3259">
        <v>-1.454827E-2</v>
      </c>
      <c r="O3259">
        <v>-3.4964919999999999E-3</v>
      </c>
      <c r="P3259">
        <v>0.97915140000000001</v>
      </c>
      <c r="Q3259">
        <v>0.20277429999999999</v>
      </c>
      <c r="R3259">
        <v>1.2052129999999999E-2</v>
      </c>
      <c r="S3259">
        <v>3.0959469999999998</v>
      </c>
      <c r="T3259">
        <v>-0.1479326</v>
      </c>
      <c r="U3259">
        <v>-0.12120060000000001</v>
      </c>
      <c r="V3259">
        <v>-1.546785E-2</v>
      </c>
      <c r="W3259">
        <v>0.21699779999999999</v>
      </c>
      <c r="X3259">
        <v>0.97604950000000001</v>
      </c>
      <c r="Y3259">
        <v>3.557279E-2</v>
      </c>
      <c r="Z3259">
        <v>-9.9206110000000006E-4</v>
      </c>
      <c r="AA3259">
        <v>0.99936659999999999</v>
      </c>
      <c r="AB3259">
        <v>34</v>
      </c>
      <c r="AC3259">
        <v>23.125</v>
      </c>
      <c r="AD3259">
        <v>-1.121557436017</v>
      </c>
      <c r="AE3259">
        <v>-0.91769999999999596</v>
      </c>
      <c r="AF3259">
        <v>0.834868734704999</v>
      </c>
      <c r="AG3259">
        <v>-1.121557436017</v>
      </c>
      <c r="AH3259">
        <v>23.073877984334299</v>
      </c>
      <c r="AI3259">
        <v>92.780982327306006</v>
      </c>
      <c r="AJ3259">
        <v>87.927804033534201</v>
      </c>
      <c r="AK3259">
        <v>23.116200858324898</v>
      </c>
      <c r="AL3259">
        <v>77.467239245065102</v>
      </c>
      <c r="AM3259">
        <v>90.907913321964799</v>
      </c>
      <c r="AN3259">
        <v>0.99999996301935501</v>
      </c>
    </row>
    <row r="3260" spans="1:40" x14ac:dyDescent="0.25">
      <c r="A3260" t="str">
        <f>"20190303162844726"</f>
        <v>20190303162844726</v>
      </c>
      <c r="B3260" t="str">
        <f>"1551601724714912"</f>
        <v>1551601724714912</v>
      </c>
      <c r="C3260" t="s">
        <v>40</v>
      </c>
      <c r="D3260">
        <v>5.101604</v>
      </c>
      <c r="E3260">
        <v>0.51974679999999995</v>
      </c>
      <c r="F3260" t="s">
        <v>49</v>
      </c>
      <c r="G3260">
        <v>-305.3648</v>
      </c>
      <c r="H3260" s="1">
        <v>1.7016360000000001E-6</v>
      </c>
      <c r="I3260">
        <v>213.553</v>
      </c>
      <c r="J3260">
        <v>-328.91669999999999</v>
      </c>
      <c r="K3260">
        <v>1.1215580000000001</v>
      </c>
      <c r="L3260">
        <v>214.4511</v>
      </c>
      <c r="M3260">
        <v>0.999888</v>
      </c>
      <c r="N3260">
        <v>-1.4551100000000001E-2</v>
      </c>
      <c r="O3260">
        <v>-3.4965119999999998E-3</v>
      </c>
      <c r="P3260">
        <v>0.9791784</v>
      </c>
      <c r="Q3260">
        <v>0.20261950000000001</v>
      </c>
      <c r="R3260">
        <v>1.245074E-2</v>
      </c>
      <c r="S3260">
        <v>3.0954280000000001</v>
      </c>
      <c r="T3260">
        <v>-0.1452533</v>
      </c>
      <c r="U3260">
        <v>-0.1164703</v>
      </c>
      <c r="V3260">
        <v>-1.5866330000000001E-2</v>
      </c>
      <c r="W3260">
        <v>0.2168465</v>
      </c>
      <c r="X3260">
        <v>0.97607679999999997</v>
      </c>
      <c r="Y3260">
        <v>3.4058089999999999E-2</v>
      </c>
      <c r="Z3260">
        <v>-9.3336039999999997E-4</v>
      </c>
      <c r="AA3260">
        <v>0.99941939999999996</v>
      </c>
      <c r="AB3260">
        <v>34</v>
      </c>
      <c r="AC3260">
        <v>23.5518999999999</v>
      </c>
      <c r="AD3260">
        <v>-1.1215562983639999</v>
      </c>
      <c r="AE3260">
        <v>-0.89809999999999901</v>
      </c>
      <c r="AF3260">
        <v>0.81389328165322705</v>
      </c>
      <c r="AG3260">
        <v>-1.1215562983639999</v>
      </c>
      <c r="AH3260">
        <v>23.501678607402901</v>
      </c>
      <c r="AI3260">
        <v>92.7305842551295</v>
      </c>
      <c r="AJ3260">
        <v>88.016566322106002</v>
      </c>
      <c r="AK3260">
        <v>23.542497916958101</v>
      </c>
      <c r="AL3260">
        <v>77.476120427580696</v>
      </c>
      <c r="AM3260">
        <v>90.931272712701301</v>
      </c>
      <c r="AN3260">
        <v>1.0000000322440701</v>
      </c>
    </row>
    <row r="3261" spans="1:40" x14ac:dyDescent="0.25">
      <c r="A3261" t="str">
        <f>"20190303162844746"</f>
        <v>20190303162844746</v>
      </c>
      <c r="B3261" t="str">
        <f>"1551601724734430"</f>
        <v>1551601724734430</v>
      </c>
      <c r="C3261" t="s">
        <v>40</v>
      </c>
      <c r="D3261">
        <v>5.1348830000000003</v>
      </c>
      <c r="E3261">
        <v>0.51985289999999995</v>
      </c>
      <c r="F3261" t="s">
        <v>49</v>
      </c>
      <c r="G3261">
        <v>-304.91230000000002</v>
      </c>
      <c r="H3261" s="1">
        <v>1.7819020000000001E-6</v>
      </c>
      <c r="I3261">
        <v>213.57210000000001</v>
      </c>
      <c r="J3261">
        <v>-328.6026</v>
      </c>
      <c r="K3261">
        <v>1.121561</v>
      </c>
      <c r="L3261">
        <v>214.45</v>
      </c>
      <c r="M3261">
        <v>0.99988809999999995</v>
      </c>
      <c r="N3261">
        <v>-1.4552890000000001E-2</v>
      </c>
      <c r="O3261">
        <v>-3.4965249999999999E-3</v>
      </c>
      <c r="P3261">
        <v>0.97922790000000004</v>
      </c>
      <c r="Q3261">
        <v>0.2023925</v>
      </c>
      <c r="R3261">
        <v>1.226031E-2</v>
      </c>
      <c r="S3261">
        <v>3.095154</v>
      </c>
      <c r="T3261">
        <v>-0.14461470000000001</v>
      </c>
      <c r="U3261">
        <v>-0.11334230000000001</v>
      </c>
      <c r="V3261">
        <v>-1.5676309999999999E-2</v>
      </c>
      <c r="W3261">
        <v>0.2166216</v>
      </c>
      <c r="X3261">
        <v>0.97612980000000005</v>
      </c>
      <c r="Y3261">
        <v>3.3054529999999999E-2</v>
      </c>
      <c r="Z3261">
        <v>-8.9993859999999996E-4</v>
      </c>
      <c r="AA3261">
        <v>0.99945309999999998</v>
      </c>
      <c r="AB3261">
        <v>34</v>
      </c>
      <c r="AC3261">
        <v>23.690299999999901</v>
      </c>
      <c r="AD3261">
        <v>-1.1215592180980001</v>
      </c>
      <c r="AE3261">
        <v>-0.87789999999998203</v>
      </c>
      <c r="AF3261">
        <v>0.79327659645204196</v>
      </c>
      <c r="AG3261">
        <v>-1.1215592180980001</v>
      </c>
      <c r="AH3261">
        <v>23.640312304867201</v>
      </c>
      <c r="AI3261">
        <v>92.714701637556502</v>
      </c>
      <c r="AJ3261">
        <v>88.078098449291204</v>
      </c>
      <c r="AK3261">
        <v>23.680193172984001</v>
      </c>
      <c r="AL3261">
        <v>77.489319905142906</v>
      </c>
      <c r="AM3261">
        <v>90.920071485805806</v>
      </c>
      <c r="AN3261">
        <v>1.0000000253649</v>
      </c>
    </row>
    <row r="3262" spans="1:40" x14ac:dyDescent="0.25">
      <c r="A3262" t="str">
        <f>"20190303162844769"</f>
        <v>20190303162844769</v>
      </c>
      <c r="B3262" t="str">
        <f>"1551601724764686"</f>
        <v>1551601724764686</v>
      </c>
      <c r="C3262" t="s">
        <v>40</v>
      </c>
      <c r="D3262">
        <v>5.0544289999999998</v>
      </c>
      <c r="E3262">
        <v>0.54075229999999996</v>
      </c>
      <c r="F3262" t="s">
        <v>49</v>
      </c>
      <c r="G3262">
        <v>-304.39600000000002</v>
      </c>
      <c r="H3262" s="1">
        <v>1.8734830000000001E-6</v>
      </c>
      <c r="I3262">
        <v>213.55160000000001</v>
      </c>
      <c r="J3262">
        <v>-328.25319999999999</v>
      </c>
      <c r="K3262">
        <v>1.1215619999999999</v>
      </c>
      <c r="L3262">
        <v>214.4487</v>
      </c>
      <c r="M3262">
        <v>0.99988809999999995</v>
      </c>
      <c r="N3262">
        <v>-1.4554299999999999E-2</v>
      </c>
      <c r="O3262">
        <v>-3.4965349999999998E-3</v>
      </c>
      <c r="P3262">
        <v>0.97934019999999999</v>
      </c>
      <c r="Q3262">
        <v>0.20190359999999999</v>
      </c>
      <c r="R3262">
        <v>1.131065E-2</v>
      </c>
      <c r="S3262">
        <v>3.0947879999999999</v>
      </c>
      <c r="T3262">
        <v>-0.14338989999999999</v>
      </c>
      <c r="U3262">
        <v>-0.11485289999999999</v>
      </c>
      <c r="V3262">
        <v>-1.4726990000000001E-2</v>
      </c>
      <c r="W3262">
        <v>0.2161361</v>
      </c>
      <c r="X3262">
        <v>0.97625220000000001</v>
      </c>
      <c r="Y3262">
        <v>3.3545989999999998E-2</v>
      </c>
      <c r="Z3262">
        <v>-9.0984129999999999E-4</v>
      </c>
      <c r="AA3262">
        <v>0.99943669999999996</v>
      </c>
      <c r="AB3262">
        <v>34</v>
      </c>
      <c r="AC3262">
        <v>23.857199999999999</v>
      </c>
      <c r="AD3262">
        <v>-1.1215601265170001</v>
      </c>
      <c r="AE3262">
        <v>-0.89709999999999401</v>
      </c>
      <c r="AF3262">
        <v>0.81187638404471896</v>
      </c>
      <c r="AG3262">
        <v>-1.1215601265170001</v>
      </c>
      <c r="AH3262">
        <v>23.807648910832999</v>
      </c>
      <c r="AI3262">
        <v>92.695601658335093</v>
      </c>
      <c r="AJ3262">
        <v>88.046885214125894</v>
      </c>
      <c r="AK3262">
        <v>23.8478759440301</v>
      </c>
      <c r="AL3262">
        <v>77.5178120314811</v>
      </c>
      <c r="AM3262">
        <v>90.864254518323506</v>
      </c>
      <c r="AN3262">
        <v>1.00000002798125</v>
      </c>
    </row>
    <row r="3263" spans="1:40" x14ac:dyDescent="0.25">
      <c r="A3263" t="str">
        <f>"20190303162844791"</f>
        <v>20190303162844791</v>
      </c>
      <c r="B3263" t="str">
        <f>"1551601724785182"</f>
        <v>1551601724785182</v>
      </c>
      <c r="C3263" t="s">
        <v>40</v>
      </c>
      <c r="D3263">
        <v>5.0437849999999997</v>
      </c>
      <c r="E3263">
        <v>0.54071449999999999</v>
      </c>
      <c r="F3263" t="s">
        <v>49</v>
      </c>
      <c r="G3263">
        <v>-284.62889999999999</v>
      </c>
      <c r="H3263" s="1">
        <v>5.5386989999999998E-6</v>
      </c>
      <c r="I3263">
        <v>210.4178</v>
      </c>
      <c r="J3263">
        <v>-327.91809999999998</v>
      </c>
      <c r="K3263">
        <v>1.12157</v>
      </c>
      <c r="L3263">
        <v>214.44759999999999</v>
      </c>
      <c r="M3263">
        <v>0.99988790000000005</v>
      </c>
      <c r="N3263">
        <v>-1.4554950000000001E-2</v>
      </c>
      <c r="O3263">
        <v>-3.4963009999999998E-3</v>
      </c>
      <c r="P3263">
        <v>0.97949989999999998</v>
      </c>
      <c r="Q3263">
        <v>0.20118069999999999</v>
      </c>
      <c r="R3263">
        <v>1.0317079999999999E-2</v>
      </c>
      <c r="S3263">
        <v>3.0829469999999999</v>
      </c>
      <c r="T3263">
        <v>-7.9260830000000004E-2</v>
      </c>
      <c r="U3263">
        <v>-0.28486630000000002</v>
      </c>
      <c r="V3263">
        <v>-1.373396E-2</v>
      </c>
      <c r="W3263">
        <v>0.2154163</v>
      </c>
      <c r="X3263">
        <v>0.97642569999999995</v>
      </c>
      <c r="Y3263">
        <v>8.8480989999999995E-2</v>
      </c>
      <c r="Z3263">
        <v>-1.7413839999999999E-3</v>
      </c>
      <c r="AA3263">
        <v>0.99607630000000003</v>
      </c>
      <c r="AB3263">
        <v>34</v>
      </c>
      <c r="AC3263">
        <v>43.289200000000001</v>
      </c>
      <c r="AD3263">
        <v>-1.1215644613010001</v>
      </c>
      <c r="AE3263">
        <v>-4.0297999999999901</v>
      </c>
      <c r="AF3263">
        <v>3.8758279200724202</v>
      </c>
      <c r="AG3263">
        <v>-1.1215644613010001</v>
      </c>
      <c r="AH3263">
        <v>43.274227642814203</v>
      </c>
      <c r="AI3263">
        <v>91.478720692437903</v>
      </c>
      <c r="AJ3263">
        <v>84.881996948846805</v>
      </c>
      <c r="AK3263">
        <v>43.461922725403703</v>
      </c>
      <c r="AL3263">
        <v>77.560047844901902</v>
      </c>
      <c r="AM3263">
        <v>90.805843247445907</v>
      </c>
      <c r="AN3263">
        <v>0.99999997579172994</v>
      </c>
    </row>
    <row r="3264" spans="1:40" x14ac:dyDescent="0.25">
      <c r="A3264" t="str">
        <f>"20190303162844814"</f>
        <v>20190303162844814</v>
      </c>
      <c r="B3264" t="str">
        <f>"1551601724804702"</f>
        <v>1551601724804702</v>
      </c>
      <c r="C3264" t="s">
        <v>40</v>
      </c>
      <c r="D3264">
        <v>5.0108739999999896</v>
      </c>
      <c r="E3264">
        <v>0.54061539999999997</v>
      </c>
      <c r="F3264" t="s">
        <v>49</v>
      </c>
      <c r="G3264">
        <v>-289.1266</v>
      </c>
      <c r="H3264" s="1">
        <v>3.4951330000000001E-6</v>
      </c>
      <c r="I3264">
        <v>210.8289</v>
      </c>
      <c r="J3264">
        <v>-327.57369999999997</v>
      </c>
      <c r="K3264">
        <v>1.12157</v>
      </c>
      <c r="L3264">
        <v>214.44640000000001</v>
      </c>
      <c r="M3264">
        <v>0.99988790000000005</v>
      </c>
      <c r="N3264">
        <v>-1.455496E-2</v>
      </c>
      <c r="O3264">
        <v>-3.496182E-3</v>
      </c>
      <c r="P3264">
        <v>0.97945729999999998</v>
      </c>
      <c r="Q3264">
        <v>0.20141290000000001</v>
      </c>
      <c r="R3264">
        <v>9.8247339999999999E-3</v>
      </c>
      <c r="S3264">
        <v>3.0841370000000001</v>
      </c>
      <c r="T3264">
        <v>-8.9170689999999997E-2</v>
      </c>
      <c r="U3264">
        <v>-0.28770449999999997</v>
      </c>
      <c r="V3264">
        <v>-1.324066E-2</v>
      </c>
      <c r="W3264">
        <v>0.2156477</v>
      </c>
      <c r="X3264">
        <v>0.97638150000000001</v>
      </c>
      <c r="Y3264">
        <v>8.9344530000000005E-2</v>
      </c>
      <c r="Z3264">
        <v>-1.8903150000000001E-3</v>
      </c>
      <c r="AA3264">
        <v>0.99599899999999997</v>
      </c>
      <c r="AB3264">
        <v>34</v>
      </c>
      <c r="AC3264">
        <v>38.447099999999899</v>
      </c>
      <c r="AD3264">
        <v>-1.121566504867</v>
      </c>
      <c r="AE3264">
        <v>-3.6175000000000002</v>
      </c>
      <c r="AF3264">
        <v>3.4801100393923798</v>
      </c>
      <c r="AG3264">
        <v>-1.121566504867</v>
      </c>
      <c r="AH3264">
        <v>38.4270997547981</v>
      </c>
      <c r="AI3264">
        <v>91.664999247543307</v>
      </c>
      <c r="AJ3264">
        <v>84.825184582411794</v>
      </c>
      <c r="AK3264">
        <v>38.600661560086301</v>
      </c>
      <c r="AL3264">
        <v>77.546471296530399</v>
      </c>
      <c r="AM3264">
        <v>90.776937536202297</v>
      </c>
      <c r="AN3264">
        <v>1.00000003956738</v>
      </c>
    </row>
    <row r="3265" spans="1:40" x14ac:dyDescent="0.25">
      <c r="A3265" t="str">
        <f>"20190303162844834"</f>
        <v>20190303162844834</v>
      </c>
      <c r="B3265" t="str">
        <f>"1551601724825198"</f>
        <v>1551601724825198</v>
      </c>
      <c r="C3265" t="s">
        <v>40</v>
      </c>
      <c r="D3265">
        <v>5.0066179999999996</v>
      </c>
      <c r="E3265">
        <v>0.5400007</v>
      </c>
      <c r="F3265" t="s">
        <v>49</v>
      </c>
      <c r="G3265">
        <v>-289.72840000000002</v>
      </c>
      <c r="H3265" s="1">
        <v>3.2196399999999999E-6</v>
      </c>
      <c r="I3265">
        <v>210.9014</v>
      </c>
      <c r="J3265">
        <v>-327.25900000000001</v>
      </c>
      <c r="K3265">
        <v>1.121575</v>
      </c>
      <c r="L3265">
        <v>214.4453</v>
      </c>
      <c r="M3265">
        <v>0.99988809999999995</v>
      </c>
      <c r="N3265">
        <v>-1.455453E-2</v>
      </c>
      <c r="O3265">
        <v>-3.4962970000000002E-3</v>
      </c>
      <c r="P3265">
        <v>0.97941029999999996</v>
      </c>
      <c r="Q3265">
        <v>0.20164119999999999</v>
      </c>
      <c r="R3265">
        <v>9.8359529999999997E-3</v>
      </c>
      <c r="S3265">
        <v>3.0846559999999998</v>
      </c>
      <c r="T3265">
        <v>-9.1415410000000002E-2</v>
      </c>
      <c r="U3265">
        <v>-0.28894039999999999</v>
      </c>
      <c r="V3265">
        <v>-1.3252089999999999E-2</v>
      </c>
      <c r="W3265">
        <v>0.21587439999999999</v>
      </c>
      <c r="X3265">
        <v>0.97633119999999995</v>
      </c>
      <c r="Y3265">
        <v>8.9722010000000005E-2</v>
      </c>
      <c r="Z3265">
        <v>-1.9283049999999999E-3</v>
      </c>
      <c r="AA3265">
        <v>0.99596499999999999</v>
      </c>
      <c r="AB3265">
        <v>34</v>
      </c>
      <c r="AC3265">
        <v>37.5305999999999</v>
      </c>
      <c r="AD3265">
        <v>-1.12157178036</v>
      </c>
      <c r="AE3265">
        <v>-3.5438999999999998</v>
      </c>
      <c r="AF3265">
        <v>3.4096282187529501</v>
      </c>
      <c r="AG3265">
        <v>-1.12157178036</v>
      </c>
      <c r="AH3265">
        <v>37.509559967588302</v>
      </c>
      <c r="AI3265">
        <v>91.705660268853705</v>
      </c>
      <c r="AJ3265">
        <v>84.806073729349194</v>
      </c>
      <c r="AK3265">
        <v>37.680904670810698</v>
      </c>
      <c r="AL3265">
        <v>77.533168438335593</v>
      </c>
      <c r="AM3265">
        <v>90.777648202212802</v>
      </c>
      <c r="AN3265">
        <v>0.99999999327908395</v>
      </c>
    </row>
    <row r="3266" spans="1:40" x14ac:dyDescent="0.25">
      <c r="A3266" t="str">
        <f>"20190303162844870"</f>
        <v>20190303162844870</v>
      </c>
      <c r="B3266" t="str">
        <f>"1551601724865214"</f>
        <v>1551601724865214</v>
      </c>
      <c r="C3266" t="s">
        <v>40</v>
      </c>
      <c r="D3266">
        <v>4.9674930000000002</v>
      </c>
      <c r="E3266">
        <v>0.53964449999999997</v>
      </c>
      <c r="F3266" t="s">
        <v>49</v>
      </c>
      <c r="G3266">
        <v>-288.6404</v>
      </c>
      <c r="H3266" s="1">
        <v>3.703455E-6</v>
      </c>
      <c r="I3266">
        <v>210.8903</v>
      </c>
      <c r="J3266">
        <v>-326.73790000000002</v>
      </c>
      <c r="K3266">
        <v>1.1215809999999999</v>
      </c>
      <c r="L3266">
        <v>214.4435</v>
      </c>
      <c r="M3266">
        <v>0.9998882</v>
      </c>
      <c r="N3266">
        <v>-1.4553099999999999E-2</v>
      </c>
      <c r="O3266">
        <v>-3.4962859999999999E-3</v>
      </c>
      <c r="P3266">
        <v>0.97928939999999998</v>
      </c>
      <c r="Q3266">
        <v>0.2021966</v>
      </c>
      <c r="R3266">
        <v>1.045768E-2</v>
      </c>
      <c r="S3266">
        <v>3.08432</v>
      </c>
      <c r="T3266">
        <v>-8.9575409999999994E-2</v>
      </c>
      <c r="U3266">
        <v>-0.28392030000000001</v>
      </c>
      <c r="V3266">
        <v>-1.3873720000000001E-2</v>
      </c>
      <c r="W3266">
        <v>0.2164266</v>
      </c>
      <c r="X3266">
        <v>0.97620030000000002</v>
      </c>
      <c r="Y3266">
        <v>8.8127670000000005E-2</v>
      </c>
      <c r="Z3266">
        <v>-1.8690709999999999E-3</v>
      </c>
      <c r="AA3266">
        <v>0.99610750000000003</v>
      </c>
      <c r="AB3266">
        <v>34</v>
      </c>
      <c r="AC3266">
        <v>38.097499999999997</v>
      </c>
      <c r="AD3266">
        <v>-1.1215772965449999</v>
      </c>
      <c r="AE3266">
        <v>-3.5531999999999999</v>
      </c>
      <c r="AF3266">
        <v>3.41702846612684</v>
      </c>
      <c r="AG3266">
        <v>-1.1215772965449999</v>
      </c>
      <c r="AH3266">
        <v>38.0769749389938</v>
      </c>
      <c r="AI3266">
        <v>91.680440384680793</v>
      </c>
      <c r="AJ3266">
        <v>84.872011894802</v>
      </c>
      <c r="AK3266">
        <v>38.246438261297101</v>
      </c>
      <c r="AL3266">
        <v>77.500763613193598</v>
      </c>
      <c r="AM3266">
        <v>90.814230532744901</v>
      </c>
      <c r="AN3266">
        <v>0.99999998950714397</v>
      </c>
    </row>
    <row r="3267" spans="1:40" x14ac:dyDescent="0.25">
      <c r="A3267" t="str">
        <f>"20190303162844892"</f>
        <v>20190303162844892</v>
      </c>
      <c r="B3267" t="str">
        <f>"1551601724884734"</f>
        <v>1551601724884734</v>
      </c>
      <c r="C3267" t="s">
        <v>40</v>
      </c>
      <c r="D3267">
        <v>4.9815579999999997</v>
      </c>
      <c r="E3267">
        <v>0.53944099999999995</v>
      </c>
      <c r="F3267" t="s">
        <v>49</v>
      </c>
      <c r="G3267">
        <v>-284.98219999999998</v>
      </c>
      <c r="H3267" s="1">
        <v>5.3523800000000001E-6</v>
      </c>
      <c r="I3267">
        <v>210.66650000000001</v>
      </c>
      <c r="J3267">
        <v>-326.39060000000001</v>
      </c>
      <c r="K3267">
        <v>1.1215790000000001</v>
      </c>
      <c r="L3267">
        <v>214.44220000000001</v>
      </c>
      <c r="M3267">
        <v>0.99988809999999995</v>
      </c>
      <c r="N3267">
        <v>-1.4551690000000001E-2</v>
      </c>
      <c r="O3267">
        <v>-3.4961559999999998E-3</v>
      </c>
      <c r="P3267">
        <v>0.9791706</v>
      </c>
      <c r="Q3267">
        <v>0.20273840000000001</v>
      </c>
      <c r="R3267">
        <v>1.1065119999999999E-2</v>
      </c>
      <c r="S3267">
        <v>3.0835270000000001</v>
      </c>
      <c r="T3267">
        <v>-8.2824709999999996E-2</v>
      </c>
      <c r="U3267">
        <v>-0.27891539999999998</v>
      </c>
      <c r="V3267">
        <v>-1.448034E-2</v>
      </c>
      <c r="W3267">
        <v>0.2169652</v>
      </c>
      <c r="X3267">
        <v>0.97607200000000005</v>
      </c>
      <c r="Y3267">
        <v>8.6555149999999997E-2</v>
      </c>
      <c r="Z3267">
        <v>-1.7482039999999999E-3</v>
      </c>
      <c r="AA3267">
        <v>0.99624550000000001</v>
      </c>
      <c r="AB3267">
        <v>34</v>
      </c>
      <c r="AC3267">
        <v>41.4084</v>
      </c>
      <c r="AD3267">
        <v>-1.12157364762</v>
      </c>
      <c r="AE3267">
        <v>-3.7757000000000001</v>
      </c>
      <c r="AF3267">
        <v>3.6282515211335502</v>
      </c>
      <c r="AG3267">
        <v>-1.12157364762</v>
      </c>
      <c r="AH3267">
        <v>41.391233131374001</v>
      </c>
      <c r="AI3267">
        <v>91.546231332283995</v>
      </c>
      <c r="AJ3267">
        <v>84.990400688252294</v>
      </c>
      <c r="AK3267">
        <v>41.565085308265601</v>
      </c>
      <c r="AL3267">
        <v>77.469153956000596</v>
      </c>
      <c r="AM3267">
        <v>90.849938846790906</v>
      </c>
      <c r="AN3267">
        <v>1.00000006372077</v>
      </c>
    </row>
    <row r="3268" spans="1:40" x14ac:dyDescent="0.25">
      <c r="A3268" t="str">
        <f>"20190303162844913"</f>
        <v>20190303162844913</v>
      </c>
      <c r="B3268" t="str">
        <f>"1551601724905230"</f>
        <v>1551601724905230</v>
      </c>
      <c r="C3268" t="s">
        <v>40</v>
      </c>
      <c r="D3268">
        <v>4.9136810000000004</v>
      </c>
      <c r="E3268">
        <v>0.53929559999999999</v>
      </c>
      <c r="F3268" t="s">
        <v>49</v>
      </c>
      <c r="G3268">
        <v>-282.71120000000002</v>
      </c>
      <c r="H3268" s="1">
        <v>6.3746659999999996E-6</v>
      </c>
      <c r="I3268">
        <v>210.53880000000001</v>
      </c>
      <c r="J3268">
        <v>-326.0745</v>
      </c>
      <c r="K3268">
        <v>1.1215820000000001</v>
      </c>
      <c r="L3268">
        <v>214.44110000000001</v>
      </c>
      <c r="M3268">
        <v>0.9998882</v>
      </c>
      <c r="N3268">
        <v>-1.455013E-2</v>
      </c>
      <c r="O3268">
        <v>-3.4961440000000001E-3</v>
      </c>
      <c r="P3268">
        <v>0.979159</v>
      </c>
      <c r="Q3268">
        <v>0.20278289999999999</v>
      </c>
      <c r="R3268">
        <v>1.127126E-2</v>
      </c>
      <c r="S3268">
        <v>3.083313</v>
      </c>
      <c r="T3268">
        <v>-7.9171539999999999E-2</v>
      </c>
      <c r="U3268">
        <v>-0.27554319999999999</v>
      </c>
      <c r="V3268">
        <v>-1.468684E-2</v>
      </c>
      <c r="W3268">
        <v>0.21700800000000001</v>
      </c>
      <c r="X3268">
        <v>0.97605929999999996</v>
      </c>
      <c r="Y3268">
        <v>8.5484340000000006E-2</v>
      </c>
      <c r="Z3268">
        <v>-1.679675E-3</v>
      </c>
      <c r="AA3268">
        <v>0.9963381</v>
      </c>
      <c r="AB3268">
        <v>34</v>
      </c>
      <c r="AC3268">
        <v>43.363299999999903</v>
      </c>
      <c r="AD3268">
        <v>-1.1215756253339999</v>
      </c>
      <c r="AE3268">
        <v>-3.9022999999999901</v>
      </c>
      <c r="AF3268">
        <v>3.7481684775073698</v>
      </c>
      <c r="AG3268">
        <v>-1.1215756253339999</v>
      </c>
      <c r="AH3268">
        <v>43.3479134858039</v>
      </c>
      <c r="AI3268">
        <v>91.476622069680204</v>
      </c>
      <c r="AJ3268">
        <v>85.058091659520798</v>
      </c>
      <c r="AK3268">
        <v>43.524111735816703</v>
      </c>
      <c r="AL3268">
        <v>77.466640602878002</v>
      </c>
      <c r="AM3268">
        <v>90.862068981042</v>
      </c>
      <c r="AN3268">
        <v>0.999999966224837</v>
      </c>
    </row>
    <row r="3269" spans="1:40" x14ac:dyDescent="0.25">
      <c r="A3269" t="str">
        <f>"20190303162844926"</f>
        <v>20190303162844926</v>
      </c>
      <c r="B3269" t="str">
        <f>"1551601724914991"</f>
        <v>1551601724914991</v>
      </c>
      <c r="C3269" t="s">
        <v>40</v>
      </c>
      <c r="D3269">
        <v>4.9651509999999996</v>
      </c>
      <c r="E3269">
        <v>0.53932389999999997</v>
      </c>
      <c r="F3269" t="s">
        <v>49</v>
      </c>
      <c r="G3269">
        <v>-282.1841</v>
      </c>
      <c r="H3269" s="1">
        <v>6.6075200000000004E-6</v>
      </c>
      <c r="I3269">
        <v>210.54640000000001</v>
      </c>
      <c r="J3269">
        <v>-325.87569999999999</v>
      </c>
      <c r="K3269">
        <v>1.121583</v>
      </c>
      <c r="L3269">
        <v>214.44040000000001</v>
      </c>
      <c r="M3269">
        <v>0.9998882</v>
      </c>
      <c r="N3269">
        <v>-1.4549029999999999E-2</v>
      </c>
      <c r="O3269">
        <v>-3.4962550000000002E-3</v>
      </c>
      <c r="P3269">
        <v>0.97913289999999997</v>
      </c>
      <c r="Q3269">
        <v>0.20289360000000001</v>
      </c>
      <c r="R3269">
        <v>1.154605E-2</v>
      </c>
      <c r="S3269">
        <v>3.0832820000000001</v>
      </c>
      <c r="T3269">
        <v>-7.8790310000000002E-2</v>
      </c>
      <c r="U3269">
        <v>-0.2736053</v>
      </c>
      <c r="V3269">
        <v>-1.4961530000000001E-2</v>
      </c>
      <c r="W3269">
        <v>0.2171179</v>
      </c>
      <c r="X3269">
        <v>0.97603070000000003</v>
      </c>
      <c r="Y3269">
        <v>8.4864480000000006E-2</v>
      </c>
      <c r="Z3269">
        <v>-1.66238E-3</v>
      </c>
      <c r="AA3269">
        <v>0.99639109999999997</v>
      </c>
      <c r="AB3269">
        <v>34</v>
      </c>
      <c r="AC3269">
        <v>43.691600000000001</v>
      </c>
      <c r="AD3269">
        <v>-1.12157639248</v>
      </c>
      <c r="AE3269">
        <v>-3.8940000000000001</v>
      </c>
      <c r="AF3269">
        <v>3.7387587813405898</v>
      </c>
      <c r="AG3269">
        <v>-1.12157639248</v>
      </c>
      <c r="AH3269">
        <v>43.676394393079697</v>
      </c>
      <c r="AI3269">
        <v>91.465630883257006</v>
      </c>
      <c r="AJ3269">
        <v>85.107330557642101</v>
      </c>
      <c r="AK3269">
        <v>43.850469530086698</v>
      </c>
      <c r="AL3269">
        <v>77.460190156501994</v>
      </c>
      <c r="AM3269">
        <v>90.878215603525305</v>
      </c>
      <c r="AN3269">
        <v>0.99999997861141998</v>
      </c>
    </row>
    <row r="3270" spans="1:40" x14ac:dyDescent="0.25">
      <c r="A3270" t="str">
        <f>"20190303162844946"</f>
        <v>20190303162844946</v>
      </c>
      <c r="B3270" t="str">
        <f>"1551601724934510"</f>
        <v>1551601724934510</v>
      </c>
      <c r="C3270" t="s">
        <v>40</v>
      </c>
      <c r="D3270">
        <v>4.9399810000000004</v>
      </c>
      <c r="E3270">
        <v>0.53940169999999998</v>
      </c>
      <c r="F3270" t="s">
        <v>49</v>
      </c>
      <c r="G3270">
        <v>-281.94439999999997</v>
      </c>
      <c r="H3270" s="1">
        <v>6.7130620000000004E-6</v>
      </c>
      <c r="I3270">
        <v>210.55269999999999</v>
      </c>
      <c r="J3270">
        <v>-325.58449999999999</v>
      </c>
      <c r="K3270">
        <v>1.1215930000000001</v>
      </c>
      <c r="L3270">
        <v>214.43940000000001</v>
      </c>
      <c r="M3270">
        <v>0.99988809999999995</v>
      </c>
      <c r="N3270">
        <v>-1.4547269999999999E-2</v>
      </c>
      <c r="O3270">
        <v>-3.4962420000000001E-3</v>
      </c>
      <c r="P3270">
        <v>0.97904709999999995</v>
      </c>
      <c r="Q3270">
        <v>0.2033256</v>
      </c>
      <c r="R3270">
        <v>1.1202780000000001E-2</v>
      </c>
      <c r="S3270">
        <v>3.0834350000000001</v>
      </c>
      <c r="T3270">
        <v>-7.8720929999999995E-2</v>
      </c>
      <c r="U3270">
        <v>-0.27287289999999997</v>
      </c>
      <c r="V3270">
        <v>-1.4618030000000001E-2</v>
      </c>
      <c r="W3270">
        <v>0.2175465</v>
      </c>
      <c r="X3270">
        <v>0.97594049999999999</v>
      </c>
      <c r="Y3270">
        <v>8.4625500000000006E-2</v>
      </c>
      <c r="Z3270">
        <v>-1.6565939999999999E-3</v>
      </c>
      <c r="AA3270">
        <v>0.99641139999999995</v>
      </c>
      <c r="AB3270">
        <v>34</v>
      </c>
      <c r="AC3270">
        <v>43.640099999999997</v>
      </c>
      <c r="AD3270">
        <v>-1.121586286938</v>
      </c>
      <c r="AE3270">
        <v>-3.88670000000001</v>
      </c>
      <c r="AF3270">
        <v>3.7316382781373298</v>
      </c>
      <c r="AG3270">
        <v>-1.121586286938</v>
      </c>
      <c r="AH3270">
        <v>43.624834670711898</v>
      </c>
      <c r="AI3270">
        <v>91.467383010269202</v>
      </c>
      <c r="AJ3270">
        <v>85.110859917567794</v>
      </c>
      <c r="AK3270">
        <v>43.798507738105101</v>
      </c>
      <c r="AL3270">
        <v>77.435032282179293</v>
      </c>
      <c r="AM3270">
        <v>90.858135098016405</v>
      </c>
      <c r="AN3270">
        <v>1.0000000130017901</v>
      </c>
    </row>
    <row r="3271" spans="1:40" x14ac:dyDescent="0.25">
      <c r="A3271" t="str">
        <f>"20190303162844969"</f>
        <v>20190303162844969</v>
      </c>
      <c r="B3271" t="str">
        <f>"1551601724964766"</f>
        <v>1551601724964766</v>
      </c>
      <c r="C3271" t="s">
        <v>40</v>
      </c>
      <c r="D3271">
        <v>4.9120650000000001</v>
      </c>
      <c r="E3271">
        <v>0.53958079999999997</v>
      </c>
      <c r="F3271" t="s">
        <v>49</v>
      </c>
      <c r="G3271">
        <v>-281.78649999999999</v>
      </c>
      <c r="H3271" s="1">
        <v>6.7845279999999999E-6</v>
      </c>
      <c r="I3271">
        <v>210.54060000000001</v>
      </c>
      <c r="J3271">
        <v>-325.22989999999999</v>
      </c>
      <c r="K3271">
        <v>1.12159599999999</v>
      </c>
      <c r="L3271">
        <v>214.43819999999999</v>
      </c>
      <c r="M3271">
        <v>0.9998882</v>
      </c>
      <c r="N3271">
        <v>-1.454488E-2</v>
      </c>
      <c r="O3271">
        <v>-3.4962249999999999E-3</v>
      </c>
      <c r="P3271">
        <v>0.97899159999999996</v>
      </c>
      <c r="Q3271">
        <v>0.2035904</v>
      </c>
      <c r="R3271">
        <v>1.127209E-2</v>
      </c>
      <c r="S3271">
        <v>3.0837400000000001</v>
      </c>
      <c r="T3271">
        <v>-7.8968880000000005E-2</v>
      </c>
      <c r="U3271">
        <v>-0.27450560000000002</v>
      </c>
      <c r="V3271">
        <v>-1.4686960000000001E-2</v>
      </c>
      <c r="W3271">
        <v>0.2178081</v>
      </c>
      <c r="X3271">
        <v>0.97588109999999995</v>
      </c>
      <c r="Y3271">
        <v>8.5139800000000002E-2</v>
      </c>
      <c r="Z3271">
        <v>-1.669811E-3</v>
      </c>
      <c r="AA3271">
        <v>0.99636760000000002</v>
      </c>
      <c r="AB3271">
        <v>34</v>
      </c>
      <c r="AC3271">
        <v>43.443399999999997</v>
      </c>
      <c r="AD3271">
        <v>-1.12158921547199</v>
      </c>
      <c r="AE3271">
        <v>-3.8975999999999802</v>
      </c>
      <c r="AF3271">
        <v>3.7431971846740399</v>
      </c>
      <c r="AG3271">
        <v>-1.12158921547199</v>
      </c>
      <c r="AH3271">
        <v>43.428047763488401</v>
      </c>
      <c r="AI3271">
        <v>91.473951027046198</v>
      </c>
      <c r="AJ3271">
        <v>85.073675857361295</v>
      </c>
      <c r="AK3271">
        <v>43.603495502991997</v>
      </c>
      <c r="AL3271">
        <v>77.4196752738208</v>
      </c>
      <c r="AM3271">
        <v>90.862233418532597</v>
      </c>
      <c r="AN3271">
        <v>0.99999999827843</v>
      </c>
    </row>
    <row r="3272" spans="1:40" x14ac:dyDescent="0.25">
      <c r="A3272" t="str">
        <f>"20190303162844993"</f>
        <v>20190303162844993</v>
      </c>
      <c r="B3272" t="str">
        <f>"1551601724985262"</f>
        <v>1551601724985262</v>
      </c>
      <c r="C3272" t="s">
        <v>40</v>
      </c>
      <c r="D3272">
        <v>4.9243639999999997</v>
      </c>
      <c r="E3272">
        <v>0.53973130000000002</v>
      </c>
      <c r="F3272" t="s">
        <v>49</v>
      </c>
      <c r="G3272">
        <v>-284.84339999999997</v>
      </c>
      <c r="H3272" s="1">
        <v>5.3942809999999999E-6</v>
      </c>
      <c r="I3272">
        <v>210.8312</v>
      </c>
      <c r="J3272">
        <v>-324.88040000000001</v>
      </c>
      <c r="K3272">
        <v>1.121605</v>
      </c>
      <c r="L3272">
        <v>214.43700000000001</v>
      </c>
      <c r="M3272">
        <v>0.9998882</v>
      </c>
      <c r="N3272">
        <v>-1.4542340000000001E-2</v>
      </c>
      <c r="O3272">
        <v>-3.4960870000000002E-3</v>
      </c>
      <c r="P3272">
        <v>0.97895670000000001</v>
      </c>
      <c r="Q3272">
        <v>0.20376130000000001</v>
      </c>
      <c r="R3272">
        <v>1.1192860000000001E-2</v>
      </c>
      <c r="S3272">
        <v>3.085388</v>
      </c>
      <c r="T3272">
        <v>-8.5685609999999995E-2</v>
      </c>
      <c r="U3272">
        <v>-0.27555849999999998</v>
      </c>
      <c r="V3272">
        <v>-1.4607749999999999E-2</v>
      </c>
      <c r="W3272">
        <v>0.21797610000000001</v>
      </c>
      <c r="X3272">
        <v>0.97584479999999996</v>
      </c>
      <c r="Y3272">
        <v>8.5423979999999997E-2</v>
      </c>
      <c r="Z3272">
        <v>-1.7600350000000001E-3</v>
      </c>
      <c r="AA3272">
        <v>0.99634310000000004</v>
      </c>
      <c r="AB3272">
        <v>34</v>
      </c>
      <c r="AC3272">
        <v>40.036999999999999</v>
      </c>
      <c r="AD3272">
        <v>-1.1215996057190001</v>
      </c>
      <c r="AE3272">
        <v>-3.6058000000000101</v>
      </c>
      <c r="AF3272">
        <v>3.4630943991307701</v>
      </c>
      <c r="AG3272">
        <v>-1.1215996057190001</v>
      </c>
      <c r="AH3272">
        <v>40.018209647026801</v>
      </c>
      <c r="AI3272">
        <v>91.599447077011007</v>
      </c>
      <c r="AJ3272">
        <v>85.054061728878395</v>
      </c>
      <c r="AK3272">
        <v>40.183430812291597</v>
      </c>
      <c r="AL3272">
        <v>77.4098128906694</v>
      </c>
      <c r="AM3272">
        <v>90.857615796873603</v>
      </c>
      <c r="AN3272">
        <v>1.0000000201091499</v>
      </c>
    </row>
    <row r="3273" spans="1:40" x14ac:dyDescent="0.25">
      <c r="A3273" t="str">
        <f>"20190303162845013"</f>
        <v>20190303162845013</v>
      </c>
      <c r="B3273" t="str">
        <f>"1551601725004782"</f>
        <v>1551601725004782</v>
      </c>
      <c r="C3273" t="s">
        <v>40</v>
      </c>
      <c r="D3273">
        <v>4.9058400000000004</v>
      </c>
      <c r="E3273">
        <v>0.53984670000000001</v>
      </c>
      <c r="F3273" t="s">
        <v>49</v>
      </c>
      <c r="G3273">
        <v>-286.05759999999998</v>
      </c>
      <c r="H3273" s="1">
        <v>4.84134E-6</v>
      </c>
      <c r="I3273">
        <v>210.95269999999999</v>
      </c>
      <c r="J3273">
        <v>-324.5711</v>
      </c>
      <c r="K3273">
        <v>1.1215999999999999</v>
      </c>
      <c r="L3273">
        <v>214.4359</v>
      </c>
      <c r="M3273">
        <v>0.9998882</v>
      </c>
      <c r="N3273">
        <v>-1.4539939999999999E-2</v>
      </c>
      <c r="O3273">
        <v>-3.49607E-3</v>
      </c>
      <c r="P3273">
        <v>0.97889040000000005</v>
      </c>
      <c r="Q3273">
        <v>0.20407939999999999</v>
      </c>
      <c r="R3273">
        <v>1.120526E-2</v>
      </c>
      <c r="S3273">
        <v>3.086182</v>
      </c>
      <c r="T3273">
        <v>-8.916056E-2</v>
      </c>
      <c r="U3273">
        <v>-0.27697749999999999</v>
      </c>
      <c r="V3273">
        <v>-1.4619729999999999E-2</v>
      </c>
      <c r="W3273">
        <v>0.2182907</v>
      </c>
      <c r="X3273">
        <v>0.97577429999999998</v>
      </c>
      <c r="Y3273">
        <v>8.585218E-2</v>
      </c>
      <c r="Z3273">
        <v>-1.8129800000000001E-3</v>
      </c>
      <c r="AA3273">
        <v>0.99630620000000003</v>
      </c>
      <c r="AB3273">
        <v>34</v>
      </c>
      <c r="AC3273">
        <v>38.513500000000001</v>
      </c>
      <c r="AD3273">
        <v>-1.1215951586599999</v>
      </c>
      <c r="AE3273">
        <v>-3.4832000000000098</v>
      </c>
      <c r="AF3273">
        <v>3.3457041194185502</v>
      </c>
      <c r="AG3273">
        <v>-1.1215951586599999</v>
      </c>
      <c r="AH3273">
        <v>38.493062338199202</v>
      </c>
      <c r="AI3273">
        <v>91.662723619667602</v>
      </c>
      <c r="AJ3273">
        <v>85.032502843766096</v>
      </c>
      <c r="AK3273">
        <v>38.654463648162498</v>
      </c>
      <c r="AL3273">
        <v>77.391342928741906</v>
      </c>
      <c r="AM3273">
        <v>90.858381037766705</v>
      </c>
      <c r="AN3273">
        <v>1.0000000253761201</v>
      </c>
    </row>
    <row r="3274" spans="1:40" x14ac:dyDescent="0.25">
      <c r="A3274" t="str">
        <f>"20190303162845027"</f>
        <v>20190303162845027</v>
      </c>
      <c r="B3274" t="str">
        <f>"1551601725014543"</f>
        <v>1551601725014543</v>
      </c>
      <c r="C3274" t="s">
        <v>40</v>
      </c>
      <c r="D3274">
        <v>4.8813259999999996</v>
      </c>
      <c r="E3274">
        <v>0.53997759999999995</v>
      </c>
      <c r="F3274" t="s">
        <v>49</v>
      </c>
      <c r="G3274">
        <v>-286.87689999999998</v>
      </c>
      <c r="H3274" s="1">
        <v>4.466902E-6</v>
      </c>
      <c r="I3274">
        <v>211.0461</v>
      </c>
      <c r="J3274">
        <v>-324.37169999999998</v>
      </c>
      <c r="K3274">
        <v>1.1216010000000001</v>
      </c>
      <c r="L3274">
        <v>214.43520000000001</v>
      </c>
      <c r="M3274">
        <v>0.9998882</v>
      </c>
      <c r="N3274">
        <v>-1.453834E-2</v>
      </c>
      <c r="O3274">
        <v>-3.4961770000000001E-3</v>
      </c>
      <c r="P3274">
        <v>0.9788308</v>
      </c>
      <c r="Q3274">
        <v>0.2043625</v>
      </c>
      <c r="R3274">
        <v>1.1227050000000001E-2</v>
      </c>
      <c r="S3274">
        <v>3.087097</v>
      </c>
      <c r="T3274">
        <v>-9.1856960000000001E-2</v>
      </c>
      <c r="U3274">
        <v>-0.27761839999999999</v>
      </c>
      <c r="V3274">
        <v>-1.464158E-2</v>
      </c>
      <c r="W3274">
        <v>0.21857180000000001</v>
      </c>
      <c r="X3274">
        <v>0.97571099999999999</v>
      </c>
      <c r="Y3274">
        <v>8.6028190000000004E-2</v>
      </c>
      <c r="Z3274">
        <v>-1.850815E-3</v>
      </c>
      <c r="AA3274">
        <v>0.99629100000000004</v>
      </c>
      <c r="AB3274">
        <v>33</v>
      </c>
      <c r="AC3274">
        <v>37.494799999999998</v>
      </c>
      <c r="AD3274">
        <v>-1.121596533098</v>
      </c>
      <c r="AE3274">
        <v>-3.3891000000000102</v>
      </c>
      <c r="AF3274">
        <v>3.2550878855221099</v>
      </c>
      <c r="AG3274">
        <v>-1.121596533098</v>
      </c>
      <c r="AH3274">
        <v>37.473161286106098</v>
      </c>
      <c r="AI3274">
        <v>91.707961082455398</v>
      </c>
      <c r="AJ3274">
        <v>85.035491493885601</v>
      </c>
      <c r="AK3274">
        <v>37.630989791660397</v>
      </c>
      <c r="AL3274">
        <v>77.3748379810106</v>
      </c>
      <c r="AM3274">
        <v>90.859719506582806</v>
      </c>
      <c r="AN3274">
        <v>0.99999998157056702</v>
      </c>
    </row>
    <row r="3275" spans="1:40" x14ac:dyDescent="0.25">
      <c r="A3275" t="str">
        <f>"20190303162845047"</f>
        <v>20190303162845047</v>
      </c>
      <c r="B3275" t="str">
        <f>"1551601725035038"</f>
        <v>1551601725035038</v>
      </c>
      <c r="C3275" t="s">
        <v>40</v>
      </c>
      <c r="D3275">
        <v>4.8964460000000001</v>
      </c>
      <c r="E3275">
        <v>0.54017680000000001</v>
      </c>
      <c r="F3275" t="s">
        <v>49</v>
      </c>
      <c r="G3275">
        <v>-286.79649999999998</v>
      </c>
      <c r="H3275" s="1">
        <v>4.5024689999999999E-6</v>
      </c>
      <c r="I3275">
        <v>211.04679999999999</v>
      </c>
      <c r="J3275">
        <v>-324.0736</v>
      </c>
      <c r="K3275">
        <v>1.1216090000000001</v>
      </c>
      <c r="L3275">
        <v>214.4341</v>
      </c>
      <c r="M3275">
        <v>0.99988829999999995</v>
      </c>
      <c r="N3275">
        <v>-1.4535849999999999E-2</v>
      </c>
      <c r="O3275">
        <v>-3.4961599999999999E-3</v>
      </c>
      <c r="P3275">
        <v>0.97882190000000002</v>
      </c>
      <c r="Q3275">
        <v>0.20443510000000001</v>
      </c>
      <c r="R3275">
        <v>1.0681599999999999E-2</v>
      </c>
      <c r="S3275">
        <v>3.0873110000000001</v>
      </c>
      <c r="T3275">
        <v>-9.2154260000000002E-2</v>
      </c>
      <c r="U3275">
        <v>-0.27839659999999999</v>
      </c>
      <c r="V3275">
        <v>-1.409561E-2</v>
      </c>
      <c r="W3275">
        <v>0.21864149999999999</v>
      </c>
      <c r="X3275">
        <v>0.9757034</v>
      </c>
      <c r="Y3275">
        <v>8.627071E-2</v>
      </c>
      <c r="Z3275">
        <v>-1.859786E-3</v>
      </c>
      <c r="AA3275">
        <v>0.99626999999999999</v>
      </c>
      <c r="AB3275">
        <v>33</v>
      </c>
      <c r="AC3275">
        <v>37.277099999999997</v>
      </c>
      <c r="AD3275">
        <v>-1.121604497531</v>
      </c>
      <c r="AE3275">
        <v>-3.38730000000001</v>
      </c>
      <c r="AF3275">
        <v>3.2540170703867699</v>
      </c>
      <c r="AG3275">
        <v>-1.121604497531</v>
      </c>
      <c r="AH3275">
        <v>37.2552647271512</v>
      </c>
      <c r="AI3275">
        <v>91.717885595402805</v>
      </c>
      <c r="AJ3275">
        <v>85.008236087326793</v>
      </c>
      <c r="AK3275">
        <v>37.413919517117797</v>
      </c>
      <c r="AL3275">
        <v>77.370745180745203</v>
      </c>
      <c r="AM3275">
        <v>90.827672410578302</v>
      </c>
      <c r="AN3275">
        <v>0.99999995825753996</v>
      </c>
    </row>
    <row r="3276" spans="1:40" x14ac:dyDescent="0.25">
      <c r="A3276" t="str">
        <f>"20190303162845071"</f>
        <v>20190303162845071</v>
      </c>
      <c r="B3276" t="str">
        <f>"1551601725065295"</f>
        <v>1551601725065295</v>
      </c>
      <c r="C3276" t="s">
        <v>40</v>
      </c>
      <c r="D3276">
        <v>4.8870769999999997</v>
      </c>
      <c r="E3276">
        <v>0.51098350000000003</v>
      </c>
      <c r="F3276" t="s">
        <v>49</v>
      </c>
      <c r="G3276">
        <v>-287.26580000000001</v>
      </c>
      <c r="H3276" s="1">
        <v>4.291127E-6</v>
      </c>
      <c r="I3276">
        <v>211.0737</v>
      </c>
      <c r="J3276">
        <v>-323.71859999999998</v>
      </c>
      <c r="K3276">
        <v>1.1216090000000001</v>
      </c>
      <c r="L3276">
        <v>214.43289999999999</v>
      </c>
      <c r="M3276">
        <v>0.99988840000000001</v>
      </c>
      <c r="N3276">
        <v>-1.453277E-2</v>
      </c>
      <c r="O3276">
        <v>-3.4961369999999999E-3</v>
      </c>
      <c r="P3276">
        <v>0.97875259999999997</v>
      </c>
      <c r="Q3276">
        <v>0.20478879999999999</v>
      </c>
      <c r="R3276">
        <v>1.025883E-2</v>
      </c>
      <c r="S3276">
        <v>3.0876160000000001</v>
      </c>
      <c r="T3276">
        <v>-9.4085810000000006E-2</v>
      </c>
      <c r="U3276">
        <v>-0.2818909</v>
      </c>
      <c r="V3276">
        <v>-1.367253E-2</v>
      </c>
      <c r="W3276">
        <v>0.21899099999999999</v>
      </c>
      <c r="X3276">
        <v>0.97563109999999997</v>
      </c>
      <c r="Y3276">
        <v>8.7377430000000006E-2</v>
      </c>
      <c r="Z3276">
        <v>-1.9091170000000001E-3</v>
      </c>
      <c r="AA3276">
        <v>0.99617339999999999</v>
      </c>
      <c r="AB3276">
        <v>33</v>
      </c>
      <c r="AC3276">
        <v>36.452799999999897</v>
      </c>
      <c r="AD3276">
        <v>-1.1216047088729999</v>
      </c>
      <c r="AE3276">
        <v>-3.35919999999998</v>
      </c>
      <c r="AF3276">
        <v>3.22869113576902</v>
      </c>
      <c r="AG3276">
        <v>-1.1216047088729999</v>
      </c>
      <c r="AH3276">
        <v>36.430124212690203</v>
      </c>
      <c r="AI3276">
        <v>91.756575160188106</v>
      </c>
      <c r="AJ3276">
        <v>84.935282295881393</v>
      </c>
      <c r="AK3276">
        <v>36.590113333046602</v>
      </c>
      <c r="AL3276">
        <v>77.350223761684703</v>
      </c>
      <c r="AM3276">
        <v>90.802892596304005</v>
      </c>
      <c r="AN3276">
        <v>1.0000000197223999</v>
      </c>
    </row>
    <row r="3277" spans="1:40" x14ac:dyDescent="0.25">
      <c r="A3277" t="str">
        <f>"20190303162845093"</f>
        <v>20190303162845093</v>
      </c>
      <c r="B3277" t="str">
        <f>"1551601725084814"</f>
        <v>1551601725084814</v>
      </c>
      <c r="C3277" t="s">
        <v>40</v>
      </c>
      <c r="D3277">
        <v>4.8832719999999998</v>
      </c>
      <c r="E3277">
        <v>0.49126839999999999</v>
      </c>
      <c r="F3277" t="s">
        <v>42</v>
      </c>
      <c r="G3277">
        <v>-144.60339999999999</v>
      </c>
      <c r="H3277">
        <v>-0.05</v>
      </c>
      <c r="I3277">
        <v>211.45310000000001</v>
      </c>
      <c r="J3277">
        <v>-323.37970000000001</v>
      </c>
      <c r="K3277">
        <v>1.121605</v>
      </c>
      <c r="L3277">
        <v>214.43170000000001</v>
      </c>
      <c r="M3277">
        <v>0.99988840000000001</v>
      </c>
      <c r="N3277">
        <v>-1.452968E-2</v>
      </c>
      <c r="O3277">
        <v>-3.4961150000000002E-3</v>
      </c>
      <c r="P3277">
        <v>0.97881899999999999</v>
      </c>
      <c r="Q3277">
        <v>0.20449580000000001</v>
      </c>
      <c r="R3277">
        <v>9.7293020000000004E-3</v>
      </c>
      <c r="S3277">
        <v>3.069855</v>
      </c>
      <c r="T3277">
        <v>-2.0080210000000001E-2</v>
      </c>
      <c r="U3277">
        <v>-5.1071169999999999E-2</v>
      </c>
      <c r="V3277">
        <v>-1.314353E-2</v>
      </c>
      <c r="W3277">
        <v>0.218696</v>
      </c>
      <c r="X3277">
        <v>0.97570460000000003</v>
      </c>
      <c r="Y3277">
        <v>1.313715E-2</v>
      </c>
      <c r="Z3277">
        <v>-1.6634780000000001E-4</v>
      </c>
      <c r="AA3277">
        <v>0.99991370000000002</v>
      </c>
      <c r="AB3277">
        <v>33</v>
      </c>
      <c r="AC3277">
        <v>178.77629999999999</v>
      </c>
      <c r="AD3277">
        <v>-1.171605</v>
      </c>
      <c r="AE3277">
        <v>-2.9786000000000001</v>
      </c>
      <c r="AF3277">
        <v>2.3533923039489002</v>
      </c>
      <c r="AG3277">
        <v>-1.171605</v>
      </c>
      <c r="AH3277">
        <v>178.77794580026099</v>
      </c>
      <c r="AI3277">
        <v>90.375444775154406</v>
      </c>
      <c r="AJ3277">
        <v>89.2458149230131</v>
      </c>
      <c r="AK3277">
        <v>178.79727351996499</v>
      </c>
      <c r="AL3277">
        <v>77.367546674895905</v>
      </c>
      <c r="AM3277">
        <v>90.771773803840503</v>
      </c>
      <c r="AN3277">
        <v>1.0000000796290001</v>
      </c>
    </row>
    <row r="3278" spans="1:40" x14ac:dyDescent="0.25">
      <c r="A3278" t="str">
        <f>"20190303162845114"</f>
        <v>20190303162845114</v>
      </c>
      <c r="B3278" t="str">
        <f>"1551601725104334"</f>
        <v>1551601725104334</v>
      </c>
      <c r="C3278" t="s">
        <v>40</v>
      </c>
      <c r="D3278">
        <v>4.9041790000000001</v>
      </c>
      <c r="E3278">
        <v>0.47827959999999903</v>
      </c>
      <c r="F3278" t="s">
        <v>48</v>
      </c>
      <c r="G3278">
        <v>-212.5076</v>
      </c>
      <c r="H3278" s="1">
        <v>-3.5985290000000002E-7</v>
      </c>
      <c r="I3278">
        <v>218.21879999999999</v>
      </c>
      <c r="J3278">
        <v>-323.06909999999999</v>
      </c>
      <c r="K3278">
        <v>1.121604</v>
      </c>
      <c r="L3278">
        <v>214.4306</v>
      </c>
      <c r="M3278">
        <v>0.99988840000000001</v>
      </c>
      <c r="N3278">
        <v>-1.452673E-2</v>
      </c>
      <c r="O3278">
        <v>-3.496093E-3</v>
      </c>
      <c r="P3278">
        <v>0.97889570000000004</v>
      </c>
      <c r="Q3278">
        <v>0.20414399999999999</v>
      </c>
      <c r="R3278">
        <v>9.4061179999999998E-3</v>
      </c>
      <c r="S3278">
        <v>3.0703429999999998</v>
      </c>
      <c r="T3278">
        <v>-3.1060219999999999E-2</v>
      </c>
      <c r="U3278">
        <v>0.1048737</v>
      </c>
      <c r="V3278">
        <v>-1.282076E-2</v>
      </c>
      <c r="W3278">
        <v>0.21834229999999999</v>
      </c>
      <c r="X3278">
        <v>0.97578799999999999</v>
      </c>
      <c r="Y3278">
        <v>-3.7626569999999998E-2</v>
      </c>
      <c r="Z3278">
        <v>4.4824719999999999E-4</v>
      </c>
      <c r="AA3278">
        <v>0.99929179999999995</v>
      </c>
      <c r="AB3278">
        <v>33</v>
      </c>
      <c r="AC3278">
        <v>110.5615</v>
      </c>
      <c r="AD3278">
        <v>-1.1216043598529</v>
      </c>
      <c r="AE3278">
        <v>3.7881999999999798</v>
      </c>
      <c r="AF3278">
        <v>-4.1743218197149297</v>
      </c>
      <c r="AG3278">
        <v>-1.1216043598529</v>
      </c>
      <c r="AH3278">
        <v>110.53621657194699</v>
      </c>
      <c r="AI3278">
        <v>90.580942809189196</v>
      </c>
      <c r="AJ3278">
        <v>92.162706757570305</v>
      </c>
      <c r="AK3278">
        <v>110.6206948678</v>
      </c>
      <c r="AL3278">
        <v>77.388312760228999</v>
      </c>
      <c r="AM3278">
        <v>90.752758972826996</v>
      </c>
      <c r="AN3278">
        <v>0.99999997640013305</v>
      </c>
    </row>
    <row r="3279" spans="1:40" x14ac:dyDescent="0.25">
      <c r="A3279" t="str">
        <f>"20190303162845136"</f>
        <v>20190303162845136</v>
      </c>
      <c r="B3279" t="str">
        <f>"1551601725124830"</f>
        <v>1551601725124830</v>
      </c>
      <c r="C3279" t="s">
        <v>40</v>
      </c>
      <c r="D3279">
        <v>4.8653769999999996</v>
      </c>
      <c r="E3279">
        <v>0.47278910000000002</v>
      </c>
      <c r="F3279" t="s">
        <v>48</v>
      </c>
      <c r="G3279">
        <v>-268.38229999999999</v>
      </c>
      <c r="H3279" s="1">
        <v>2.7704300000000002E-6</v>
      </c>
      <c r="I3279">
        <v>218.12620000000001</v>
      </c>
      <c r="J3279">
        <v>-322.74160000000001</v>
      </c>
      <c r="K3279">
        <v>1.121605</v>
      </c>
      <c r="L3279">
        <v>214.42949999999999</v>
      </c>
      <c r="M3279">
        <v>0.99988840000000001</v>
      </c>
      <c r="N3279">
        <v>-1.452354E-2</v>
      </c>
      <c r="O3279">
        <v>-3.49607E-3</v>
      </c>
      <c r="P3279">
        <v>0.97884329999999997</v>
      </c>
      <c r="Q3279">
        <v>0.20436360000000001</v>
      </c>
      <c r="R3279">
        <v>1.0070590000000001E-2</v>
      </c>
      <c r="S3279">
        <v>3.0758359999999998</v>
      </c>
      <c r="T3279">
        <v>-6.3084009999999996E-2</v>
      </c>
      <c r="U3279">
        <v>0.20785519999999999</v>
      </c>
      <c r="V3279">
        <v>-1.348452E-2</v>
      </c>
      <c r="W3279">
        <v>0.21855830000000001</v>
      </c>
      <c r="X3279">
        <v>0.97573069999999895</v>
      </c>
      <c r="Y3279">
        <v>-7.0885660000000003E-2</v>
      </c>
      <c r="Z3279">
        <v>1.2623720000000001E-3</v>
      </c>
      <c r="AA3279">
        <v>0.99748369999999997</v>
      </c>
      <c r="AB3279">
        <v>33</v>
      </c>
      <c r="AC3279">
        <v>54.359299999999998</v>
      </c>
      <c r="AD3279">
        <v>-1.1216022295700001</v>
      </c>
      <c r="AE3279">
        <v>3.6967000000000199</v>
      </c>
      <c r="AF3279">
        <v>-3.8850949997006801</v>
      </c>
      <c r="AG3279">
        <v>-1.1216022295700001</v>
      </c>
      <c r="AH3279">
        <v>54.323022186544499</v>
      </c>
      <c r="AI3279">
        <v>91.179799844732898</v>
      </c>
      <c r="AJ3279">
        <v>94.090736758064395</v>
      </c>
      <c r="AK3279">
        <v>54.473320939684598</v>
      </c>
      <c r="AL3279">
        <v>77.375630629382599</v>
      </c>
      <c r="AM3279">
        <v>90.791772672182702</v>
      </c>
      <c r="AN3279">
        <v>0.99999998085050401</v>
      </c>
    </row>
    <row r="3280" spans="1:40" x14ac:dyDescent="0.25">
      <c r="A3280" t="str">
        <f>"20190303162845158"</f>
        <v>20190303162845158</v>
      </c>
      <c r="B3280" t="str">
        <f>"1551601725155086"</f>
        <v>1551601725155086</v>
      </c>
      <c r="C3280" t="s">
        <v>40</v>
      </c>
      <c r="D3280">
        <v>4.8074450000000004</v>
      </c>
      <c r="E3280">
        <v>0.46948770000000001</v>
      </c>
      <c r="F3280" t="s">
        <v>48</v>
      </c>
      <c r="G3280">
        <v>-277.76389999999998</v>
      </c>
      <c r="H3280" s="1">
        <v>2.4413740000000002E-6</v>
      </c>
      <c r="I3280">
        <v>218.12530000000001</v>
      </c>
      <c r="J3280">
        <v>-322.41000000000003</v>
      </c>
      <c r="K3280">
        <v>1.1216140000000001</v>
      </c>
      <c r="L3280">
        <v>214.42830000000001</v>
      </c>
      <c r="M3280">
        <v>0.99988849999999996</v>
      </c>
      <c r="N3280">
        <v>-1.452026E-2</v>
      </c>
      <c r="O3280">
        <v>-3.496046E-3</v>
      </c>
      <c r="P3280">
        <v>0.9787631</v>
      </c>
      <c r="Q3280">
        <v>0.20468549999999999</v>
      </c>
      <c r="R3280">
        <v>1.1255869999999999E-2</v>
      </c>
      <c r="S3280">
        <v>3.0782780000000001</v>
      </c>
      <c r="T3280">
        <v>-7.6762559999999994E-2</v>
      </c>
      <c r="U3280">
        <v>0.25294489999999997</v>
      </c>
      <c r="V3280">
        <v>-1.4669400000000001E-2</v>
      </c>
      <c r="W3280">
        <v>0.2188756</v>
      </c>
      <c r="X3280">
        <v>0.97564249999999997</v>
      </c>
      <c r="Y3280">
        <v>-8.5337120000000002E-2</v>
      </c>
      <c r="Z3280">
        <v>1.7191979999999999E-3</v>
      </c>
      <c r="AA3280">
        <v>0.99635059999999998</v>
      </c>
      <c r="AB3280">
        <v>33</v>
      </c>
      <c r="AC3280">
        <v>44.646099999999997</v>
      </c>
      <c r="AD3280">
        <v>-1.12161155862599</v>
      </c>
      <c r="AE3280">
        <v>3.6970000000000001</v>
      </c>
      <c r="AF3280">
        <v>-3.85066495848882</v>
      </c>
      <c r="AG3280">
        <v>-1.12161155862599</v>
      </c>
      <c r="AH3280">
        <v>44.604941119978399</v>
      </c>
      <c r="AI3280">
        <v>91.435089555056393</v>
      </c>
      <c r="AJ3280">
        <v>94.934009649166498</v>
      </c>
      <c r="AK3280">
        <v>44.784890369718603</v>
      </c>
      <c r="AL3280">
        <v>77.356999883323894</v>
      </c>
      <c r="AM3280">
        <v>90.861413252957703</v>
      </c>
      <c r="AN3280">
        <v>1.00000000368898</v>
      </c>
    </row>
    <row r="3281" spans="1:40" x14ac:dyDescent="0.25">
      <c r="A3281" t="str">
        <f>"20190303162845182"</f>
        <v>20190303162845182</v>
      </c>
      <c r="B3281" t="str">
        <f>"1551601725174606"</f>
        <v>1551601725174606</v>
      </c>
      <c r="C3281" t="s">
        <v>40</v>
      </c>
      <c r="D3281">
        <v>4.8084030000000002</v>
      </c>
      <c r="E3281">
        <v>0.46856150000000002</v>
      </c>
      <c r="F3281" t="s">
        <v>49</v>
      </c>
      <c r="G3281">
        <v>-282.14890000000003</v>
      </c>
      <c r="H3281" s="1">
        <v>5.7201030000000004E-6</v>
      </c>
      <c r="I3281">
        <v>218.1216</v>
      </c>
      <c r="J3281">
        <v>-322.06439999999998</v>
      </c>
      <c r="K3281">
        <v>1.121621</v>
      </c>
      <c r="L3281">
        <v>214.4271</v>
      </c>
      <c r="M3281">
        <v>0.99988869999999996</v>
      </c>
      <c r="N3281">
        <v>-1.451681E-2</v>
      </c>
      <c r="O3281">
        <v>-3.4962589999999998E-3</v>
      </c>
      <c r="P3281">
        <v>0.9786726</v>
      </c>
      <c r="Q3281">
        <v>0.20508460000000001</v>
      </c>
      <c r="R3281">
        <v>1.187068E-2</v>
      </c>
      <c r="S3281">
        <v>3.0798030000000001</v>
      </c>
      <c r="T3281">
        <v>-8.5798260000000001E-2</v>
      </c>
      <c r="U3281">
        <v>0.2825165</v>
      </c>
      <c r="V3281">
        <v>-1.528443E-2</v>
      </c>
      <c r="W3281">
        <v>0.2192701</v>
      </c>
      <c r="X3281">
        <v>0.97554450000000004</v>
      </c>
      <c r="Y3281">
        <v>-9.4773969999999999E-2</v>
      </c>
      <c r="Z3281">
        <v>2.0532279999999998E-3</v>
      </c>
      <c r="AA3281">
        <v>0.99549670000000001</v>
      </c>
      <c r="AB3281">
        <v>33</v>
      </c>
      <c r="AC3281">
        <v>39.915499999999902</v>
      </c>
      <c r="AD3281">
        <v>-1.1216152798970001</v>
      </c>
      <c r="AE3281">
        <v>3.6945000000000001</v>
      </c>
      <c r="AF3281">
        <v>-3.8310477384164598</v>
      </c>
      <c r="AG3281">
        <v>-1.1216152798970001</v>
      </c>
      <c r="AH3281">
        <v>39.871123054697698</v>
      </c>
      <c r="AI3281">
        <v>91.603980183841799</v>
      </c>
      <c r="AJ3281">
        <v>95.488460042292601</v>
      </c>
      <c r="AK3281">
        <v>40.070455466003501</v>
      </c>
      <c r="AL3281">
        <v>77.333834315280598</v>
      </c>
      <c r="AM3281">
        <v>90.897613266663896</v>
      </c>
      <c r="AN3281">
        <v>1.00000003101734</v>
      </c>
    </row>
    <row r="3282" spans="1:40" x14ac:dyDescent="0.25">
      <c r="A3282" t="str">
        <f>"20190303162845204"</f>
        <v>20190303162845204</v>
      </c>
      <c r="B3282" t="str">
        <f>"1551601725195102"</f>
        <v>1551601725195102</v>
      </c>
      <c r="C3282" t="s">
        <v>40</v>
      </c>
      <c r="D3282">
        <v>4.8445039999999997</v>
      </c>
      <c r="E3282">
        <v>0.46786169999999999</v>
      </c>
      <c r="F3282" t="s">
        <v>49</v>
      </c>
      <c r="G3282">
        <v>-283.64760000000001</v>
      </c>
      <c r="H3282" s="1">
        <v>5.0614099999999901E-6</v>
      </c>
      <c r="I3282">
        <v>218.07169999999999</v>
      </c>
      <c r="J3282">
        <v>-321.73570000000001</v>
      </c>
      <c r="K3282">
        <v>1.1216250000000001</v>
      </c>
      <c r="L3282">
        <v>214.42599999999999</v>
      </c>
      <c r="M3282">
        <v>0.99988869999999996</v>
      </c>
      <c r="N3282">
        <v>-1.451348E-2</v>
      </c>
      <c r="O3282">
        <v>-3.4962349999999999E-3</v>
      </c>
      <c r="P3282">
        <v>0.97859339999999995</v>
      </c>
      <c r="Q3282">
        <v>0.20543629999999999</v>
      </c>
      <c r="R3282">
        <v>1.230494E-2</v>
      </c>
      <c r="S3282">
        <v>3.0806879999999999</v>
      </c>
      <c r="T3282">
        <v>-8.9943770000000006E-2</v>
      </c>
      <c r="U3282">
        <v>0.29226679999999999</v>
      </c>
      <c r="V3282">
        <v>-1.5718119999999999E-2</v>
      </c>
      <c r="W3282">
        <v>0.21961720000000001</v>
      </c>
      <c r="X3282">
        <v>0.97545950000000003</v>
      </c>
      <c r="Y3282">
        <v>-9.786454E-2</v>
      </c>
      <c r="Z3282">
        <v>2.1883610000000002E-3</v>
      </c>
      <c r="AA3282">
        <v>0.99519740000000001</v>
      </c>
      <c r="AB3282">
        <v>33</v>
      </c>
      <c r="AC3282">
        <v>38.088099999999997</v>
      </c>
      <c r="AD3282">
        <v>-1.1216199385899901</v>
      </c>
      <c r="AE3282">
        <v>3.6457000000000002</v>
      </c>
      <c r="AF3282">
        <v>-3.7756122331230402</v>
      </c>
      <c r="AG3282">
        <v>-1.1216199385899901</v>
      </c>
      <c r="AH3282">
        <v>38.042429197049103</v>
      </c>
      <c r="AI3282">
        <v>91.680533218910696</v>
      </c>
      <c r="AJ3282">
        <v>95.667896166883594</v>
      </c>
      <c r="AK3282">
        <v>38.245780136298002</v>
      </c>
      <c r="AL3282">
        <v>77.313449753060496</v>
      </c>
      <c r="AM3282">
        <v>90.923158783794904</v>
      </c>
      <c r="AN3282">
        <v>1.0000000049862099</v>
      </c>
    </row>
    <row r="3283" spans="1:40" x14ac:dyDescent="0.25">
      <c r="A3283" t="str">
        <f>"20190303162845225"</f>
        <v>20190303162845225</v>
      </c>
      <c r="B3283" t="str">
        <f>"1551601725214623"</f>
        <v>1551601725214623</v>
      </c>
      <c r="C3283" t="s">
        <v>40</v>
      </c>
      <c r="D3283">
        <v>4.8834710000000001</v>
      </c>
      <c r="E3283">
        <v>0.46716370000000002</v>
      </c>
      <c r="F3283" t="s">
        <v>49</v>
      </c>
      <c r="G3283">
        <v>-284.80790000000002</v>
      </c>
      <c r="H3283" s="1">
        <v>4.5535499999999998E-6</v>
      </c>
      <c r="I3283">
        <v>218.01589999999999</v>
      </c>
      <c r="J3283">
        <v>-321.42849999999999</v>
      </c>
      <c r="K3283">
        <v>1.121626</v>
      </c>
      <c r="L3283">
        <v>214.42490000000001</v>
      </c>
      <c r="M3283">
        <v>0.99988869999999996</v>
      </c>
      <c r="N3283">
        <v>-1.451035E-2</v>
      </c>
      <c r="O3283">
        <v>-3.496332E-3</v>
      </c>
      <c r="P3283">
        <v>0.97864180000000001</v>
      </c>
      <c r="Q3283">
        <v>0.20519490000000001</v>
      </c>
      <c r="R3283">
        <v>1.2465850000000001E-2</v>
      </c>
      <c r="S3283">
        <v>3.0815429999999999</v>
      </c>
      <c r="T3283">
        <v>-9.3596700000000005E-2</v>
      </c>
      <c r="U3283">
        <v>0.2995758</v>
      </c>
      <c r="V3283">
        <v>-1.5879480000000001E-2</v>
      </c>
      <c r="W3283">
        <v>0.2193734</v>
      </c>
      <c r="X3283">
        <v>0.97551169999999998</v>
      </c>
      <c r="Y3283">
        <v>-0.1001715</v>
      </c>
      <c r="Z3283">
        <v>2.301417E-3</v>
      </c>
      <c r="AA3283">
        <v>0.9949675</v>
      </c>
      <c r="AB3283">
        <v>33</v>
      </c>
      <c r="AC3283">
        <v>36.620599999999897</v>
      </c>
      <c r="AD3283">
        <v>-1.1216214464500001</v>
      </c>
      <c r="AE3283">
        <v>3.5909999999999802</v>
      </c>
      <c r="AF3283">
        <v>-3.7155769649051602</v>
      </c>
      <c r="AG3283">
        <v>-1.1216214464500001</v>
      </c>
      <c r="AH3283">
        <v>36.5738369084686</v>
      </c>
      <c r="AI3283">
        <v>91.747567952813995</v>
      </c>
      <c r="AJ3283">
        <v>95.800840549331298</v>
      </c>
      <c r="AK3283">
        <v>36.779193752154598</v>
      </c>
      <c r="AL3283">
        <v>77.327767068082494</v>
      </c>
      <c r="AM3283">
        <v>90.932584239279606</v>
      </c>
      <c r="AN3283">
        <v>0.99999996167475902</v>
      </c>
    </row>
    <row r="3284" spans="1:40" x14ac:dyDescent="0.25">
      <c r="A3284" t="str">
        <f>"20190303162845240"</f>
        <v>20190303162845240</v>
      </c>
      <c r="B3284" t="str">
        <f>"1551601725235118"</f>
        <v>1551601725235118</v>
      </c>
      <c r="C3284" t="s">
        <v>40</v>
      </c>
      <c r="D3284">
        <v>4.754759</v>
      </c>
      <c r="E3284">
        <v>0.46665869999999998</v>
      </c>
      <c r="F3284" t="s">
        <v>49</v>
      </c>
      <c r="G3284">
        <v>-283.73349999999999</v>
      </c>
      <c r="H3284" s="1">
        <v>5.0126299999999996E-6</v>
      </c>
      <c r="I3284">
        <v>218.1617</v>
      </c>
      <c r="J3284">
        <v>-321.18939999999998</v>
      </c>
      <c r="K3284">
        <v>1.121624</v>
      </c>
      <c r="L3284">
        <v>214.42410000000001</v>
      </c>
      <c r="M3284">
        <v>0.99988869999999996</v>
      </c>
      <c r="N3284">
        <v>-1.4507900000000001E-2</v>
      </c>
      <c r="O3284">
        <v>-3.4961950000000001E-3</v>
      </c>
      <c r="P3284">
        <v>0.9785684</v>
      </c>
      <c r="Q3284">
        <v>0.20554649999999999</v>
      </c>
      <c r="R3284">
        <v>1.2441900000000001E-2</v>
      </c>
      <c r="S3284">
        <v>3.0808110000000002</v>
      </c>
      <c r="T3284">
        <v>-9.1670039999999994E-2</v>
      </c>
      <c r="U3284">
        <v>0.30540469999999997</v>
      </c>
      <c r="V3284">
        <v>-1.585541E-2</v>
      </c>
      <c r="W3284">
        <v>0.21972179999999999</v>
      </c>
      <c r="X3284">
        <v>0.97543369999999996</v>
      </c>
      <c r="Y3284">
        <v>-0.1020595</v>
      </c>
      <c r="Z3284">
        <v>2.309944E-3</v>
      </c>
      <c r="AA3284">
        <v>0.99477559999999998</v>
      </c>
      <c r="AB3284">
        <v>33</v>
      </c>
      <c r="AC3284">
        <v>37.4558999999999</v>
      </c>
      <c r="AD3284">
        <v>-1.12161898737</v>
      </c>
      <c r="AE3284">
        <v>3.73759999999998</v>
      </c>
      <c r="AF3284">
        <v>-3.8651123585343798</v>
      </c>
      <c r="AG3284">
        <v>-1.12161898737</v>
      </c>
      <c r="AH3284">
        <v>37.409387774191998</v>
      </c>
      <c r="AI3284">
        <v>91.708255933260901</v>
      </c>
      <c r="AJ3284">
        <v>95.898830399049501</v>
      </c>
      <c r="AK3284">
        <v>37.625249717932697</v>
      </c>
      <c r="AL3284">
        <v>77.307306282755903</v>
      </c>
      <c r="AM3284">
        <v>90.931245331416704</v>
      </c>
      <c r="AN3284">
        <v>0.99999998325859796</v>
      </c>
    </row>
    <row r="3285" spans="1:40" x14ac:dyDescent="0.25">
      <c r="A3285" t="str">
        <f>"20190303162845260"</f>
        <v>20190303162845260</v>
      </c>
      <c r="B3285" t="str">
        <f>"1551601725254638"</f>
        <v>1551601725254638</v>
      </c>
      <c r="C3285" t="s">
        <v>40</v>
      </c>
      <c r="D3285">
        <v>4.7797859999999996</v>
      </c>
      <c r="E3285">
        <v>0.46618999999999999</v>
      </c>
      <c r="F3285" t="s">
        <v>49</v>
      </c>
      <c r="G3285">
        <v>-282.84930000000003</v>
      </c>
      <c r="H3285" s="1">
        <v>5.3918550000000002E-6</v>
      </c>
      <c r="I3285">
        <v>218.26949999999999</v>
      </c>
      <c r="J3285">
        <v>-320.91239999999999</v>
      </c>
      <c r="K3285">
        <v>1.1216269999999999</v>
      </c>
      <c r="L3285">
        <v>214.42310000000001</v>
      </c>
      <c r="M3285">
        <v>0.99988869999999996</v>
      </c>
      <c r="N3285">
        <v>-1.4505489999999999E-2</v>
      </c>
      <c r="O3285">
        <v>-3.496178E-3</v>
      </c>
      <c r="P3285">
        <v>0.97857810000000001</v>
      </c>
      <c r="Q3285">
        <v>0.20550270000000001</v>
      </c>
      <c r="R3285">
        <v>1.240432E-2</v>
      </c>
      <c r="S3285">
        <v>3.0807190000000002</v>
      </c>
      <c r="T3285">
        <v>-9.0124960000000004E-2</v>
      </c>
      <c r="U3285">
        <v>0.3089905</v>
      </c>
      <c r="V3285">
        <v>-1.5817899999999999E-2</v>
      </c>
      <c r="W3285">
        <v>0.21967629999999999</v>
      </c>
      <c r="X3285">
        <v>0.97544459999999999</v>
      </c>
      <c r="Y3285">
        <v>-0.10321</v>
      </c>
      <c r="Z3285">
        <v>2.307712E-3</v>
      </c>
      <c r="AA3285">
        <v>0.99465689999999995</v>
      </c>
      <c r="AB3285">
        <v>33</v>
      </c>
      <c r="AC3285">
        <v>38.063099999999899</v>
      </c>
      <c r="AD3285">
        <v>-1.1216216081449999</v>
      </c>
      <c r="AE3285">
        <v>3.8463999999999801</v>
      </c>
      <c r="AF3285">
        <v>-3.9760482403830899</v>
      </c>
      <c r="AG3285">
        <v>-1.1216216081449999</v>
      </c>
      <c r="AH3285">
        <v>38.016740854799401</v>
      </c>
      <c r="AI3285">
        <v>91.680765681453906</v>
      </c>
      <c r="AJ3285">
        <v>95.970673957172707</v>
      </c>
      <c r="AK3285">
        <v>38.240548895938701</v>
      </c>
      <c r="AL3285">
        <v>77.309979071114995</v>
      </c>
      <c r="AM3285">
        <v>90.929032240959003</v>
      </c>
      <c r="AN3285">
        <v>1.00000002520562</v>
      </c>
    </row>
    <row r="3286" spans="1:40" x14ac:dyDescent="0.25">
      <c r="A3286" t="str">
        <f>"20190303162845284"</f>
        <v>20190303162845284</v>
      </c>
      <c r="B3286" t="str">
        <f>"1551601725275135"</f>
        <v>1551601725275135</v>
      </c>
      <c r="C3286" t="s">
        <v>40</v>
      </c>
      <c r="D3286">
        <v>4.7928199999999999</v>
      </c>
      <c r="E3286">
        <v>0.46583799999999997</v>
      </c>
      <c r="F3286" t="s">
        <v>49</v>
      </c>
      <c r="G3286">
        <v>-281.25420000000003</v>
      </c>
      <c r="H3286" s="1">
        <v>6.078803E-6</v>
      </c>
      <c r="I3286">
        <v>218.441</v>
      </c>
      <c r="J3286">
        <v>-320.57069999999999</v>
      </c>
      <c r="K3286">
        <v>1.1216269999999999</v>
      </c>
      <c r="L3286">
        <v>214.42189999999999</v>
      </c>
      <c r="M3286">
        <v>0.99988889999999997</v>
      </c>
      <c r="N3286">
        <v>-1.450212E-2</v>
      </c>
      <c r="O3286">
        <v>-3.4961530000000001E-3</v>
      </c>
      <c r="P3286">
        <v>0.97839290000000001</v>
      </c>
      <c r="Q3286">
        <v>0.20638419999999999</v>
      </c>
      <c r="R3286">
        <v>1.237183E-2</v>
      </c>
      <c r="S3286">
        <v>3.079987</v>
      </c>
      <c r="T3286">
        <v>-8.7108729999999995E-2</v>
      </c>
      <c r="U3286">
        <v>0.31204219999999999</v>
      </c>
      <c r="V3286">
        <v>-1.5784469999999998E-2</v>
      </c>
      <c r="W3286">
        <v>0.2205512</v>
      </c>
      <c r="X3286">
        <v>0.97524770000000005</v>
      </c>
      <c r="Y3286">
        <v>-0.104212</v>
      </c>
      <c r="Z3286">
        <v>2.2755050000000001E-3</v>
      </c>
      <c r="AA3286">
        <v>0.99455249999999995</v>
      </c>
      <c r="AB3286">
        <v>33</v>
      </c>
      <c r="AC3286">
        <v>39.316499999999898</v>
      </c>
      <c r="AD3286">
        <v>-1.1216209211970001</v>
      </c>
      <c r="AE3286">
        <v>4.0190999999999697</v>
      </c>
      <c r="AF3286">
        <v>-4.1532012514804801</v>
      </c>
      <c r="AG3286">
        <v>-1.1216209211970001</v>
      </c>
      <c r="AH3286">
        <v>39.270577102396601</v>
      </c>
      <c r="AI3286">
        <v>91.626932075380097</v>
      </c>
      <c r="AJ3286">
        <v>96.037080155358197</v>
      </c>
      <c r="AK3286">
        <v>39.505510249602402</v>
      </c>
      <c r="AL3286">
        <v>77.258590698513004</v>
      </c>
      <c r="AM3286">
        <v>90.927256281017506</v>
      </c>
      <c r="AN3286">
        <v>1.00000002883495</v>
      </c>
    </row>
    <row r="3287" spans="1:40" x14ac:dyDescent="0.25">
      <c r="A3287" t="str">
        <f>"20190303162845305"</f>
        <v>20190303162845305</v>
      </c>
      <c r="B3287" t="str">
        <f>"1551601725294654"</f>
        <v>1551601725294654</v>
      </c>
      <c r="C3287" t="s">
        <v>40</v>
      </c>
      <c r="D3287">
        <v>4.7621289999999998</v>
      </c>
      <c r="E3287">
        <v>0.46549639999999998</v>
      </c>
      <c r="F3287" t="s">
        <v>48</v>
      </c>
      <c r="G3287">
        <v>-278.60509999999999</v>
      </c>
      <c r="H3287" s="1">
        <v>2.8633819999999999E-6</v>
      </c>
      <c r="I3287">
        <v>218.71270000000001</v>
      </c>
      <c r="J3287">
        <v>-320.24599999999998</v>
      </c>
      <c r="K3287">
        <v>1.1216299999999999</v>
      </c>
      <c r="L3287">
        <v>214.42080000000001</v>
      </c>
      <c r="M3287">
        <v>0.99988889999999997</v>
      </c>
      <c r="N3287">
        <v>-1.4498509999999999E-2</v>
      </c>
      <c r="O3287">
        <v>-3.4962460000000002E-3</v>
      </c>
      <c r="P3287">
        <v>0.97825770000000001</v>
      </c>
      <c r="Q3287">
        <v>0.20700779999999999</v>
      </c>
      <c r="R3287">
        <v>1.2646910000000001E-2</v>
      </c>
      <c r="S3287">
        <v>3.0796199999999998</v>
      </c>
      <c r="T3287">
        <v>-8.2309720000000003E-2</v>
      </c>
      <c r="U3287">
        <v>0.3148804</v>
      </c>
      <c r="V3287">
        <v>-1.6058860000000001E-2</v>
      </c>
      <c r="W3287">
        <v>0.22116920000000001</v>
      </c>
      <c r="X3287">
        <v>0.97510319999999995</v>
      </c>
      <c r="Y3287">
        <v>-0.1051363</v>
      </c>
      <c r="Z3287">
        <v>2.2081240000000001E-3</v>
      </c>
      <c r="AA3287">
        <v>0.99445539999999999</v>
      </c>
      <c r="AB3287">
        <v>33</v>
      </c>
      <c r="AC3287">
        <v>41.640899999999903</v>
      </c>
      <c r="AD3287">
        <v>-1.121627136618</v>
      </c>
      <c r="AE3287">
        <v>4.2918999999999903</v>
      </c>
      <c r="AF3287">
        <v>-4.4342924747838302</v>
      </c>
      <c r="AG3287">
        <v>-1.121627136618</v>
      </c>
      <c r="AH3287">
        <v>41.595776476567202</v>
      </c>
      <c r="AI3287">
        <v>91.535903777044496</v>
      </c>
      <c r="AJ3287">
        <v>96.085000214225701</v>
      </c>
      <c r="AK3287">
        <v>41.846500664620301</v>
      </c>
      <c r="AL3287">
        <v>77.222284682005494</v>
      </c>
      <c r="AM3287">
        <v>90.943512164101506</v>
      </c>
      <c r="AN3287">
        <v>0.99999997633168902</v>
      </c>
    </row>
    <row r="3288" spans="1:40" x14ac:dyDescent="0.25">
      <c r="A3288" t="str">
        <f>"20190303162845325"</f>
        <v>20190303162845325</v>
      </c>
      <c r="B3288" t="str">
        <f>"1551601725315151"</f>
        <v>1551601725315151</v>
      </c>
      <c r="C3288" t="s">
        <v>40</v>
      </c>
      <c r="D3288">
        <v>4.8432870000000001</v>
      </c>
      <c r="E3288">
        <v>0.46508349999999998</v>
      </c>
      <c r="F3288" t="s">
        <v>48</v>
      </c>
      <c r="G3288">
        <v>-275.84039999999999</v>
      </c>
      <c r="H3288" s="1">
        <v>1.3789179999999999E-6</v>
      </c>
      <c r="I3288">
        <v>219.01499999999999</v>
      </c>
      <c r="J3288">
        <v>-319.94499999999999</v>
      </c>
      <c r="K3288">
        <v>1.121626</v>
      </c>
      <c r="L3288">
        <v>214.41970000000001</v>
      </c>
      <c r="M3288">
        <v>0.99988880000000002</v>
      </c>
      <c r="N3288">
        <v>-1.449508E-2</v>
      </c>
      <c r="O3288">
        <v>-3.4961020000000001E-3</v>
      </c>
      <c r="P3288">
        <v>0.97806950000000004</v>
      </c>
      <c r="Q3288">
        <v>0.20785899999999999</v>
      </c>
      <c r="R3288">
        <v>1.322602E-2</v>
      </c>
      <c r="S3288">
        <v>3.0790410000000001</v>
      </c>
      <c r="T3288">
        <v>-7.7772620000000001E-2</v>
      </c>
      <c r="U3288">
        <v>0.3185577</v>
      </c>
      <c r="V3288">
        <v>-1.6637260000000001E-2</v>
      </c>
      <c r="W3288">
        <v>0.22201409999999999</v>
      </c>
      <c r="X3288">
        <v>0.97490149999999998</v>
      </c>
      <c r="Y3288">
        <v>-0.10633479999999999</v>
      </c>
      <c r="Z3288">
        <v>2.1496280000000002E-3</v>
      </c>
      <c r="AA3288">
        <v>0.99432810000000005</v>
      </c>
      <c r="AB3288">
        <v>33</v>
      </c>
      <c r="AC3288">
        <v>44.104599999999998</v>
      </c>
      <c r="AD3288">
        <v>-1.121624621082</v>
      </c>
      <c r="AE3288">
        <v>4.5952999999999804</v>
      </c>
      <c r="AF3288">
        <v>-4.7464455633764997</v>
      </c>
      <c r="AG3288">
        <v>-1.121624621082</v>
      </c>
      <c r="AH3288">
        <v>44.060073839881497</v>
      </c>
      <c r="AI3288">
        <v>91.449862248928</v>
      </c>
      <c r="AJ3288">
        <v>96.148572575487805</v>
      </c>
      <c r="AK3288">
        <v>44.329187834343699</v>
      </c>
      <c r="AL3288">
        <v>77.172641586374894</v>
      </c>
      <c r="AM3288">
        <v>90.977690831043205</v>
      </c>
      <c r="AN3288">
        <v>0.99999999686068297</v>
      </c>
    </row>
    <row r="3289" spans="1:40" x14ac:dyDescent="0.25">
      <c r="A3289" t="str">
        <f>"20190303162845341"</f>
        <v>20190303162845341</v>
      </c>
      <c r="B3289" t="str">
        <f>"1551601725335646"</f>
        <v>1551601725335646</v>
      </c>
      <c r="C3289" t="s">
        <v>40</v>
      </c>
      <c r="D3289">
        <v>4.8775690000000003</v>
      </c>
      <c r="E3289">
        <v>0.46482449999999997</v>
      </c>
      <c r="F3289" t="s">
        <v>48</v>
      </c>
      <c r="G3289">
        <v>-274.59160000000003</v>
      </c>
      <c r="H3289" s="1">
        <v>7.0670429999999998E-7</v>
      </c>
      <c r="I3289">
        <v>219.19040000000001</v>
      </c>
      <c r="J3289">
        <v>-319.70049999999998</v>
      </c>
      <c r="K3289">
        <v>1.1216269999999999</v>
      </c>
      <c r="L3289">
        <v>214.41890000000001</v>
      </c>
      <c r="M3289">
        <v>0.99988900000000003</v>
      </c>
      <c r="N3289">
        <v>-1.4492359999999999E-2</v>
      </c>
      <c r="O3289">
        <v>-3.4960820000000002E-3</v>
      </c>
      <c r="P3289">
        <v>0.97802869999999997</v>
      </c>
      <c r="Q3289">
        <v>0.2080198</v>
      </c>
      <c r="R3289">
        <v>1.370732E-2</v>
      </c>
      <c r="S3289">
        <v>3.0790709999999999</v>
      </c>
      <c r="T3289">
        <v>-7.6147909999999999E-2</v>
      </c>
      <c r="U3289">
        <v>0.32388309999999998</v>
      </c>
      <c r="V3289">
        <v>-1.7118689999999999E-2</v>
      </c>
      <c r="W3289">
        <v>0.2221717</v>
      </c>
      <c r="X3289">
        <v>0.97485730000000004</v>
      </c>
      <c r="Y3289">
        <v>-0.1080358</v>
      </c>
      <c r="Z3289">
        <v>2.1529499999999998E-3</v>
      </c>
      <c r="AA3289">
        <v>0.99414469999999999</v>
      </c>
      <c r="AB3289">
        <v>33</v>
      </c>
      <c r="AC3289">
        <v>45.108899999999899</v>
      </c>
      <c r="AD3289">
        <v>-1.1216262932957</v>
      </c>
      <c r="AE3289">
        <v>4.7714999999999996</v>
      </c>
      <c r="AF3289">
        <v>-4.9261798254108502</v>
      </c>
      <c r="AG3289">
        <v>-1.1216262932957</v>
      </c>
      <c r="AH3289">
        <v>45.064387695904799</v>
      </c>
      <c r="AI3289">
        <v>91.417324517363298</v>
      </c>
      <c r="AJ3289">
        <v>96.238474857380496</v>
      </c>
      <c r="AK3289">
        <v>45.346712467619</v>
      </c>
      <c r="AL3289">
        <v>77.163380972730394</v>
      </c>
      <c r="AM3289">
        <v>91.006021999441401</v>
      </c>
      <c r="AN3289">
        <v>1.0000000345957401</v>
      </c>
    </row>
    <row r="3290" spans="1:40" x14ac:dyDescent="0.25">
      <c r="A3290" t="str">
        <f>"20190303162845361"</f>
        <v>20190303162845361</v>
      </c>
      <c r="B3290" t="str">
        <f>"1551601725355167"</f>
        <v>1551601725355167</v>
      </c>
      <c r="C3290" t="s">
        <v>40</v>
      </c>
      <c r="D3290">
        <v>4.7459150000000001</v>
      </c>
      <c r="E3290">
        <v>0.46462710000000002</v>
      </c>
      <c r="F3290" t="s">
        <v>48</v>
      </c>
      <c r="G3290">
        <v>-274.07819999999998</v>
      </c>
      <c r="H3290" s="1">
        <v>4.2999380000000002E-7</v>
      </c>
      <c r="I3290">
        <v>219.2698</v>
      </c>
      <c r="J3290">
        <v>-319.43509999999998</v>
      </c>
      <c r="K3290">
        <v>1.1216390000000001</v>
      </c>
      <c r="L3290">
        <v>214.41800000000001</v>
      </c>
      <c r="M3290">
        <v>0.99988900000000003</v>
      </c>
      <c r="N3290">
        <v>-1.4489480000000001E-2</v>
      </c>
      <c r="O3290">
        <v>-3.496061E-3</v>
      </c>
      <c r="P3290">
        <v>0.97785319999999998</v>
      </c>
      <c r="Q3290">
        <v>0.20883769999999999</v>
      </c>
      <c r="R3290">
        <v>1.3793440000000001E-2</v>
      </c>
      <c r="S3290">
        <v>3.0789179999999998</v>
      </c>
      <c r="T3290">
        <v>-7.5695280000000004E-2</v>
      </c>
      <c r="U3290">
        <v>0.32737729999999998</v>
      </c>
      <c r="V3290">
        <v>-1.7204210000000001E-2</v>
      </c>
      <c r="W3290">
        <v>0.2229843</v>
      </c>
      <c r="X3290">
        <v>0.97467020000000004</v>
      </c>
      <c r="Y3290">
        <v>-0.10915660000000001</v>
      </c>
      <c r="Z3290">
        <v>2.1662909999999999E-3</v>
      </c>
      <c r="AA3290">
        <v>0.99402219999999997</v>
      </c>
      <c r="AB3290">
        <v>33</v>
      </c>
      <c r="AC3290">
        <v>45.356900000000003</v>
      </c>
      <c r="AD3290">
        <v>-1.1216385700061999</v>
      </c>
      <c r="AE3290">
        <v>4.8517999999999901</v>
      </c>
      <c r="AF3290">
        <v>-5.00732996617774</v>
      </c>
      <c r="AG3290">
        <v>-1.1216385700061999</v>
      </c>
      <c r="AH3290">
        <v>45.312262373475903</v>
      </c>
      <c r="AI3290">
        <v>91.409407265431497</v>
      </c>
      <c r="AJ3290">
        <v>96.306008304673199</v>
      </c>
      <c r="AK3290">
        <v>45.601891933061601</v>
      </c>
      <c r="AL3290">
        <v>77.115623870832707</v>
      </c>
      <c r="AM3290">
        <v>91.011240794952499</v>
      </c>
      <c r="AN3290">
        <v>0.99999999082812696</v>
      </c>
    </row>
    <row r="3291" spans="1:40" x14ac:dyDescent="0.25">
      <c r="A3291" t="str">
        <f>"20190303162845383"</f>
        <v>20190303162845383</v>
      </c>
      <c r="B3291" t="str">
        <f>"1551601725374686"</f>
        <v>1551601725374686</v>
      </c>
      <c r="C3291" t="s">
        <v>40</v>
      </c>
      <c r="D3291">
        <v>4.7766400000000004</v>
      </c>
      <c r="E3291">
        <v>0.4643292</v>
      </c>
      <c r="F3291" t="s">
        <v>48</v>
      </c>
      <c r="G3291">
        <v>-272.3023</v>
      </c>
      <c r="H3291" s="1">
        <v>-5.2335779999999996E-7</v>
      </c>
      <c r="I3291">
        <v>219.46039999999999</v>
      </c>
      <c r="J3291">
        <v>-319.10849999999999</v>
      </c>
      <c r="K3291">
        <v>1.1216379999999999</v>
      </c>
      <c r="L3291">
        <v>214.41679999999999</v>
      </c>
      <c r="M3291">
        <v>0.99988900000000003</v>
      </c>
      <c r="N3291">
        <v>-1.4486000000000001E-2</v>
      </c>
      <c r="O3291">
        <v>-3.4960360000000001E-3</v>
      </c>
      <c r="P3291">
        <v>0.97774039999999995</v>
      </c>
      <c r="Q3291">
        <v>0.209394</v>
      </c>
      <c r="R3291">
        <v>1.3347889999999999E-2</v>
      </c>
      <c r="S3291">
        <v>3.0788880000000001</v>
      </c>
      <c r="T3291">
        <v>-7.3269719999999997E-2</v>
      </c>
      <c r="U3291">
        <v>0.3293915</v>
      </c>
      <c r="V3291">
        <v>-1.6758189999999999E-2</v>
      </c>
      <c r="W3291">
        <v>0.2235356</v>
      </c>
      <c r="X3291">
        <v>0.97455170000000002</v>
      </c>
      <c r="Y3291">
        <v>-0.109803</v>
      </c>
      <c r="Z3291">
        <v>2.132859E-3</v>
      </c>
      <c r="AA3291">
        <v>0.99395109999999998</v>
      </c>
      <c r="AB3291">
        <v>33</v>
      </c>
      <c r="AC3291">
        <v>46.806199999999897</v>
      </c>
      <c r="AD3291">
        <v>-1.1216385233577999</v>
      </c>
      <c r="AE3291">
        <v>5.0435999999999899</v>
      </c>
      <c r="AF3291">
        <v>-5.2042682611537598</v>
      </c>
      <c r="AG3291">
        <v>-1.1216385233577999</v>
      </c>
      <c r="AH3291">
        <v>46.761734849666702</v>
      </c>
      <c r="AI3291">
        <v>91.365619080580998</v>
      </c>
      <c r="AJ3291">
        <v>96.350503469461898</v>
      </c>
      <c r="AK3291">
        <v>47.0638112275415</v>
      </c>
      <c r="AL3291">
        <v>77.083219002359897</v>
      </c>
      <c r="AM3291">
        <v>90.985149311684197</v>
      </c>
      <c r="AN3291">
        <v>1.00000000868616</v>
      </c>
    </row>
    <row r="3292" spans="1:40" x14ac:dyDescent="0.25">
      <c r="A3292" t="str">
        <f>"20190303162845404"</f>
        <v>20190303162845404</v>
      </c>
      <c r="B3292" t="str">
        <f>"1551601725395183"</f>
        <v>1551601725395183</v>
      </c>
      <c r="C3292" t="s">
        <v>40</v>
      </c>
      <c r="D3292">
        <v>4.7953239999999999</v>
      </c>
      <c r="E3292">
        <v>0.4640821</v>
      </c>
      <c r="F3292" t="s">
        <v>48</v>
      </c>
      <c r="G3292">
        <v>-273.1207</v>
      </c>
      <c r="H3292" s="1">
        <v>-8.3119829999999998E-8</v>
      </c>
      <c r="I3292">
        <v>219.35249999999999</v>
      </c>
      <c r="J3292">
        <v>-318.79689999999999</v>
      </c>
      <c r="K3292">
        <v>1.121637</v>
      </c>
      <c r="L3292">
        <v>214.41569999999999</v>
      </c>
      <c r="M3292">
        <v>0.99988900000000003</v>
      </c>
      <c r="N3292">
        <v>-1.4482699999999999E-2</v>
      </c>
      <c r="O3292">
        <v>-3.4960120000000002E-3</v>
      </c>
      <c r="P3292">
        <v>0.97772320000000001</v>
      </c>
      <c r="Q3292">
        <v>0.209511</v>
      </c>
      <c r="R3292">
        <v>1.273645E-2</v>
      </c>
      <c r="S3292">
        <v>3.0798649999999999</v>
      </c>
      <c r="T3292">
        <v>-7.5117710000000004E-2</v>
      </c>
      <c r="U3292">
        <v>0.33055109999999999</v>
      </c>
      <c r="V3292">
        <v>-1.6146199999999999E-2</v>
      </c>
      <c r="W3292">
        <v>0.2236494</v>
      </c>
      <c r="X3292">
        <v>0.97453590000000001</v>
      </c>
      <c r="Y3292">
        <v>-0.1101374</v>
      </c>
      <c r="Z3292">
        <v>2.1736669999999998E-3</v>
      </c>
      <c r="AA3292">
        <v>0.99391399999999996</v>
      </c>
      <c r="AB3292">
        <v>33</v>
      </c>
      <c r="AC3292">
        <v>45.676200000000001</v>
      </c>
      <c r="AD3292">
        <v>-1.1216370831198299</v>
      </c>
      <c r="AE3292">
        <v>4.9367999999999999</v>
      </c>
      <c r="AF3292">
        <v>-5.0934351896034196</v>
      </c>
      <c r="AG3292">
        <v>-1.1216370831198299</v>
      </c>
      <c r="AH3292">
        <v>45.631461372370502</v>
      </c>
      <c r="AI3292">
        <v>91.399379363340003</v>
      </c>
      <c r="AJ3292">
        <v>96.369055578031606</v>
      </c>
      <c r="AK3292">
        <v>45.928546882685701</v>
      </c>
      <c r="AL3292">
        <v>77.076529096369995</v>
      </c>
      <c r="AM3292">
        <v>90.949194874317001</v>
      </c>
      <c r="AN3292">
        <v>0.99999998714180405</v>
      </c>
    </row>
    <row r="3293" spans="1:40" x14ac:dyDescent="0.25">
      <c r="A3293" t="str">
        <f>"20190303162845426"</f>
        <v>20190303162845426</v>
      </c>
      <c r="B3293" t="str">
        <f>"1551601725414702"</f>
        <v>1551601725414702</v>
      </c>
      <c r="C3293" t="s">
        <v>40</v>
      </c>
      <c r="D3293">
        <v>4.7516069999999999</v>
      </c>
      <c r="E3293">
        <v>0.46400429999999998</v>
      </c>
      <c r="F3293" t="s">
        <v>48</v>
      </c>
      <c r="G3293">
        <v>-274.48649999999998</v>
      </c>
      <c r="H3293" s="1">
        <v>6.5171229999999998E-7</v>
      </c>
      <c r="I3293">
        <v>219.16890000000001</v>
      </c>
      <c r="J3293">
        <v>-318.47789999999998</v>
      </c>
      <c r="K3293">
        <v>1.121648</v>
      </c>
      <c r="L3293">
        <v>214.41460000000001</v>
      </c>
      <c r="M3293">
        <v>0.99988909999999998</v>
      </c>
      <c r="N3293">
        <v>-1.447935E-2</v>
      </c>
      <c r="O3293">
        <v>-3.496107E-3</v>
      </c>
      <c r="P3293">
        <v>0.97757729999999998</v>
      </c>
      <c r="Q3293">
        <v>0.2102398</v>
      </c>
      <c r="R3293">
        <v>1.19162E-2</v>
      </c>
      <c r="S3293">
        <v>3.0807500000000001</v>
      </c>
      <c r="T3293">
        <v>-7.7983499999999997E-2</v>
      </c>
      <c r="U3293">
        <v>0.33047490000000002</v>
      </c>
      <c r="V3293">
        <v>-1.532618E-2</v>
      </c>
      <c r="W3293">
        <v>0.2243725</v>
      </c>
      <c r="X3293">
        <v>0.97438290000000005</v>
      </c>
      <c r="Y3293">
        <v>-0.1100797</v>
      </c>
      <c r="Z3293">
        <v>2.226249E-3</v>
      </c>
      <c r="AA3293">
        <v>0.99392029999999998</v>
      </c>
      <c r="AB3293">
        <v>33</v>
      </c>
      <c r="AC3293">
        <v>43.991399999999999</v>
      </c>
      <c r="AD3293">
        <v>-1.1216473482877001</v>
      </c>
      <c r="AE3293">
        <v>4.7542999999999997</v>
      </c>
      <c r="AF3293">
        <v>-4.9049338362073698</v>
      </c>
      <c r="AG3293">
        <v>-1.1216473482877001</v>
      </c>
      <c r="AH3293">
        <v>43.9462683763021</v>
      </c>
      <c r="AI3293">
        <v>91.453033063365396</v>
      </c>
      <c r="AJ3293">
        <v>96.368542792212693</v>
      </c>
      <c r="AK3293">
        <v>44.233369450150001</v>
      </c>
      <c r="AL3293">
        <v>77.034017986374295</v>
      </c>
      <c r="AM3293">
        <v>90.901137554091306</v>
      </c>
      <c r="AN3293">
        <v>0.99999997318102596</v>
      </c>
    </row>
    <row r="3294" spans="1:40" x14ac:dyDescent="0.25">
      <c r="A3294" t="str">
        <f>"20190303162845448"</f>
        <v>20190303162845448</v>
      </c>
      <c r="B3294" t="str">
        <f>"1551601725444958"</f>
        <v>1551601725444958</v>
      </c>
      <c r="C3294" t="s">
        <v>40</v>
      </c>
      <c r="D3294">
        <v>4.7447379999999999</v>
      </c>
      <c r="E3294">
        <v>0.46473900000000001</v>
      </c>
      <c r="F3294" t="s">
        <v>48</v>
      </c>
      <c r="G3294">
        <v>-273.11540000000002</v>
      </c>
      <c r="H3294" s="1">
        <v>-8.1263409999999996E-8</v>
      </c>
      <c r="I3294">
        <v>219.24510000000001</v>
      </c>
      <c r="J3294">
        <v>-318.14429999999999</v>
      </c>
      <c r="K3294">
        <v>1.1216539999999999</v>
      </c>
      <c r="L3294">
        <v>214.4134</v>
      </c>
      <c r="M3294">
        <v>0.99988909999999998</v>
      </c>
      <c r="N3294">
        <v>-1.447609E-2</v>
      </c>
      <c r="O3294">
        <v>-3.496084E-3</v>
      </c>
      <c r="P3294">
        <v>0.97740539999999998</v>
      </c>
      <c r="Q3294">
        <v>0.21104899999999999</v>
      </c>
      <c r="R3294">
        <v>1.171909E-2</v>
      </c>
      <c r="S3294">
        <v>3.081207</v>
      </c>
      <c r="T3294">
        <v>-7.6186899999999905E-2</v>
      </c>
      <c r="U3294">
        <v>0.3281097</v>
      </c>
      <c r="V3294">
        <v>-1.512817E-2</v>
      </c>
      <c r="W3294">
        <v>0.22517590000000001</v>
      </c>
      <c r="X3294">
        <v>0.97420070000000003</v>
      </c>
      <c r="Y3294">
        <v>-0.1093121</v>
      </c>
      <c r="Z3294">
        <v>2.1768260000000002E-3</v>
      </c>
      <c r="AA3294">
        <v>0.99400509999999997</v>
      </c>
      <c r="AB3294">
        <v>33</v>
      </c>
      <c r="AC3294">
        <v>45.028899999999901</v>
      </c>
      <c r="AD3294">
        <v>-1.1216540812634099</v>
      </c>
      <c r="AE3294">
        <v>4.8317000000000103</v>
      </c>
      <c r="AF3294">
        <v>-4.9860531972020699</v>
      </c>
      <c r="AG3294">
        <v>-1.1216540812634099</v>
      </c>
      <c r="AH3294">
        <v>44.984136439874298</v>
      </c>
      <c r="AI3294">
        <v>91.419651599501407</v>
      </c>
      <c r="AJ3294">
        <v>96.324861687963605</v>
      </c>
      <c r="AK3294">
        <v>45.273517265666101</v>
      </c>
      <c r="AL3294">
        <v>76.986778412390507</v>
      </c>
      <c r="AM3294">
        <v>90.889663320881198</v>
      </c>
      <c r="AN3294">
        <v>1.0000000256744199</v>
      </c>
    </row>
    <row r="3295" spans="1:40" x14ac:dyDescent="0.25">
      <c r="A3295" t="str">
        <f>"20190303162845474"</f>
        <v>20190303162845474</v>
      </c>
      <c r="B3295" t="str">
        <f>"1551601725464478"</f>
        <v>1551601725464478</v>
      </c>
      <c r="C3295" t="s">
        <v>40</v>
      </c>
      <c r="D3295">
        <v>4.7738880000000004</v>
      </c>
      <c r="E3295">
        <v>0.46533219999999997</v>
      </c>
      <c r="F3295" t="s">
        <v>48</v>
      </c>
      <c r="G3295">
        <v>-272.48570000000001</v>
      </c>
      <c r="H3295" s="1">
        <v>-4.139861E-7</v>
      </c>
      <c r="I3295">
        <v>219.19059999999999</v>
      </c>
      <c r="J3295">
        <v>-317.78359999999998</v>
      </c>
      <c r="K3295">
        <v>1.121659</v>
      </c>
      <c r="L3295">
        <v>214.41220000000001</v>
      </c>
      <c r="M3295">
        <v>0.99988920000000003</v>
      </c>
      <c r="N3295">
        <v>-1.4472479999999999E-2</v>
      </c>
      <c r="O3295">
        <v>-3.4960579999999998E-3</v>
      </c>
      <c r="P3295">
        <v>0.97709089999999998</v>
      </c>
      <c r="Q3295">
        <v>0.21249609999999999</v>
      </c>
      <c r="R3295">
        <v>1.179039E-2</v>
      </c>
      <c r="S3295">
        <v>3.0818180000000002</v>
      </c>
      <c r="T3295">
        <v>-7.5708150000000002E-2</v>
      </c>
      <c r="U3295">
        <v>0.32244869999999998</v>
      </c>
      <c r="V3295">
        <v>-1.519822E-2</v>
      </c>
      <c r="W3295">
        <v>0.2266145</v>
      </c>
      <c r="X3295">
        <v>0.97386589999999995</v>
      </c>
      <c r="Y3295">
        <v>-0.10748679999999999</v>
      </c>
      <c r="Z3295">
        <v>2.1318029999999998E-3</v>
      </c>
      <c r="AA3295">
        <v>0.99420419999999998</v>
      </c>
      <c r="AB3295">
        <v>33</v>
      </c>
      <c r="AC3295">
        <v>45.297899999999899</v>
      </c>
      <c r="AD3295">
        <v>-1.1216594139861</v>
      </c>
      <c r="AE3295">
        <v>4.7783999999999702</v>
      </c>
      <c r="AF3295">
        <v>-4.9337596220293998</v>
      </c>
      <c r="AG3295">
        <v>-1.1216594139861</v>
      </c>
      <c r="AH3295">
        <v>45.253474056760197</v>
      </c>
      <c r="AI3295">
        <v>91.411490482706697</v>
      </c>
      <c r="AJ3295">
        <v>96.222096653628697</v>
      </c>
      <c r="AK3295">
        <v>45.535447928562398</v>
      </c>
      <c r="AL3295">
        <v>76.902164641393099</v>
      </c>
      <c r="AM3295">
        <v>90.894089400454604</v>
      </c>
      <c r="AN3295">
        <v>0.99999995434211297</v>
      </c>
    </row>
    <row r="3296" spans="1:40" x14ac:dyDescent="0.25">
      <c r="A3296" t="str">
        <f>"20190303162845495"</f>
        <v>20190303162845495</v>
      </c>
      <c r="B3296" t="str">
        <f>"1551601725484976"</f>
        <v>1551601725484976</v>
      </c>
      <c r="C3296" t="s">
        <v>40</v>
      </c>
      <c r="D3296">
        <v>4.8733000000000004</v>
      </c>
      <c r="E3296">
        <v>0.46583910000000001</v>
      </c>
      <c r="F3296" t="s">
        <v>48</v>
      </c>
      <c r="G3296">
        <v>-270.03390000000002</v>
      </c>
      <c r="H3296" s="1">
        <v>-1.7255250000000001E-6</v>
      </c>
      <c r="I3296">
        <v>219.34739999999999</v>
      </c>
      <c r="J3296">
        <v>-317.47460000000001</v>
      </c>
      <c r="K3296">
        <v>1.1216680000000001</v>
      </c>
      <c r="L3296">
        <v>214.4111</v>
      </c>
      <c r="M3296">
        <v>0.99988920000000003</v>
      </c>
      <c r="N3296">
        <v>-1.4469279999999999E-2</v>
      </c>
      <c r="O3296">
        <v>-3.4960350000000002E-3</v>
      </c>
      <c r="P3296">
        <v>0.97703359999999995</v>
      </c>
      <c r="Q3296">
        <v>0.21275959999999999</v>
      </c>
      <c r="R3296">
        <v>1.1782000000000001E-2</v>
      </c>
      <c r="S3296">
        <v>3.0822750000000001</v>
      </c>
      <c r="T3296">
        <v>-7.2404029999999994E-2</v>
      </c>
      <c r="U3296">
        <v>0.318573</v>
      </c>
      <c r="V3296">
        <v>-1.518984E-2</v>
      </c>
      <c r="W3296">
        <v>0.2268741</v>
      </c>
      <c r="X3296">
        <v>0.97380560000000005</v>
      </c>
      <c r="Y3296">
        <v>-0.10623879999999999</v>
      </c>
      <c r="Z3296">
        <v>2.0466149999999999E-3</v>
      </c>
      <c r="AA3296">
        <v>0.99433850000000001</v>
      </c>
      <c r="AB3296">
        <v>33</v>
      </c>
      <c r="AC3296">
        <v>47.4406999999999</v>
      </c>
      <c r="AD3296">
        <v>-1.1216697255249899</v>
      </c>
      <c r="AE3296">
        <v>4.9362999999999797</v>
      </c>
      <c r="AF3296">
        <v>-5.0993214465132999</v>
      </c>
      <c r="AG3296">
        <v>-1.1216697255249899</v>
      </c>
      <c r="AH3296">
        <v>47.396938665535203</v>
      </c>
      <c r="AI3296">
        <v>91.347901471968299</v>
      </c>
      <c r="AJ3296">
        <v>96.140693353708699</v>
      </c>
      <c r="AK3296">
        <v>47.683655659487101</v>
      </c>
      <c r="AL3296">
        <v>76.886893069398894</v>
      </c>
      <c r="AM3296">
        <v>90.893651821398606</v>
      </c>
      <c r="AN3296">
        <v>0.99999996754069698</v>
      </c>
    </row>
    <row r="3297" spans="1:40" x14ac:dyDescent="0.25">
      <c r="A3297" t="str">
        <f>"20190303162845516"</f>
        <v>20190303162845516</v>
      </c>
      <c r="B3297" t="str">
        <f>"1551601725504494"</f>
        <v>1551601725504494</v>
      </c>
      <c r="C3297" t="s">
        <v>40</v>
      </c>
      <c r="D3297">
        <v>4.7394629999999998</v>
      </c>
      <c r="E3297">
        <v>0.466308</v>
      </c>
      <c r="F3297" t="s">
        <v>48</v>
      </c>
      <c r="G3297">
        <v>-268.96390000000002</v>
      </c>
      <c r="H3297" s="1">
        <v>3.0259379999999999E-6</v>
      </c>
      <c r="I3297">
        <v>219.36109999999999</v>
      </c>
      <c r="J3297">
        <v>-317.16739999999999</v>
      </c>
      <c r="K3297">
        <v>1.1216759999999999</v>
      </c>
      <c r="L3297">
        <v>214.41</v>
      </c>
      <c r="M3297">
        <v>0.99988929999999998</v>
      </c>
      <c r="N3297">
        <v>-1.4466079999999999E-2</v>
      </c>
      <c r="O3297">
        <v>-3.4960109999999998E-3</v>
      </c>
      <c r="P3297">
        <v>0.97694429999999999</v>
      </c>
      <c r="Q3297">
        <v>0.2131816</v>
      </c>
      <c r="R3297">
        <v>1.157095E-2</v>
      </c>
      <c r="S3297">
        <v>3.0822449999999999</v>
      </c>
      <c r="T3297">
        <v>-7.12676E-2</v>
      </c>
      <c r="U3297">
        <v>0.31451420000000002</v>
      </c>
      <c r="V3297">
        <v>-1.4978460000000001E-2</v>
      </c>
      <c r="W3297">
        <v>0.22729160000000001</v>
      </c>
      <c r="X3297">
        <v>0.97371160000000001</v>
      </c>
      <c r="Y3297">
        <v>-0.10494580000000001</v>
      </c>
      <c r="Z3297">
        <v>2.0013980000000002E-3</v>
      </c>
      <c r="AA3297">
        <v>0.99447600000000003</v>
      </c>
      <c r="AB3297">
        <v>33</v>
      </c>
      <c r="AC3297">
        <v>48.203499999999899</v>
      </c>
      <c r="AD3297">
        <v>-1.121672974062</v>
      </c>
      <c r="AE3297">
        <v>4.9510999999999896</v>
      </c>
      <c r="AF3297">
        <v>-5.1168656197168803</v>
      </c>
      <c r="AG3297">
        <v>-1.121672974062</v>
      </c>
      <c r="AH3297">
        <v>48.160089390952699</v>
      </c>
      <c r="AI3297">
        <v>91.326741923278206</v>
      </c>
      <c r="AJ3297">
        <v>96.064753185273801</v>
      </c>
      <c r="AK3297">
        <v>48.444139729956397</v>
      </c>
      <c r="AL3297">
        <v>76.862331531969801</v>
      </c>
      <c r="AM3297">
        <v>90.881302901661101</v>
      </c>
      <c r="AN3297">
        <v>1.0000000528345401</v>
      </c>
    </row>
    <row r="3298" spans="1:40" x14ac:dyDescent="0.25">
      <c r="A3298" t="str">
        <f>"20190303162845538"</f>
        <v>20190303162845538</v>
      </c>
      <c r="B3298" t="str">
        <f>"1551601725534751"</f>
        <v>1551601725534751</v>
      </c>
      <c r="C3298" t="s">
        <v>40</v>
      </c>
      <c r="D3298">
        <v>4.7368360000000003</v>
      </c>
      <c r="E3298">
        <v>0.466837</v>
      </c>
      <c r="F3298" t="s">
        <v>48</v>
      </c>
      <c r="G3298">
        <v>-267.7235</v>
      </c>
      <c r="H3298" s="1">
        <v>2.3648589999999999E-6</v>
      </c>
      <c r="I3298">
        <v>219.3845</v>
      </c>
      <c r="J3298">
        <v>-316.84710000000001</v>
      </c>
      <c r="K3298">
        <v>1.121677</v>
      </c>
      <c r="L3298">
        <v>214.40889999999999</v>
      </c>
      <c r="M3298">
        <v>0.99988929999999998</v>
      </c>
      <c r="N3298">
        <v>-1.446273E-2</v>
      </c>
      <c r="O3298">
        <v>-3.4959869999999999E-3</v>
      </c>
      <c r="P3298">
        <v>0.97694990000000004</v>
      </c>
      <c r="Q3298">
        <v>0.21318129999999999</v>
      </c>
      <c r="R3298">
        <v>1.1081489999999999E-2</v>
      </c>
      <c r="S3298">
        <v>3.0823969999999998</v>
      </c>
      <c r="T3298">
        <v>-6.9926619999999995E-2</v>
      </c>
      <c r="U3298">
        <v>0.3101196</v>
      </c>
      <c r="V3298">
        <v>-1.4488630000000001E-2</v>
      </c>
      <c r="W3298">
        <v>0.2272883</v>
      </c>
      <c r="X3298">
        <v>0.97371969999999997</v>
      </c>
      <c r="Y3298">
        <v>-0.1035392</v>
      </c>
      <c r="Z3298">
        <v>1.950809E-3</v>
      </c>
      <c r="AA3298">
        <v>0.99462349999999999</v>
      </c>
      <c r="AB3298">
        <v>33</v>
      </c>
      <c r="AC3298">
        <v>49.123600000000003</v>
      </c>
      <c r="AD3298">
        <v>-1.1216746351410001</v>
      </c>
      <c r="AE3298">
        <v>4.9756000000000098</v>
      </c>
      <c r="AF3298">
        <v>-5.1446679359332297</v>
      </c>
      <c r="AG3298">
        <v>-1.1216746351410001</v>
      </c>
      <c r="AH3298">
        <v>49.080573578308297</v>
      </c>
      <c r="AI3298">
        <v>91.302063775400995</v>
      </c>
      <c r="AJ3298">
        <v>95.983940725437904</v>
      </c>
      <c r="AK3298">
        <v>49.3622169775008</v>
      </c>
      <c r="AL3298">
        <v>76.862524621322905</v>
      </c>
      <c r="AM3298">
        <v>90.852479509906004</v>
      </c>
      <c r="AN3298">
        <v>0.99999997294212795</v>
      </c>
    </row>
    <row r="3299" spans="1:40" x14ac:dyDescent="0.25">
      <c r="A3299" t="str">
        <f>"20190303162845561"</f>
        <v>20190303162845561</v>
      </c>
      <c r="B3299" t="str">
        <f>"1551601725554942"</f>
        <v>1551601725554942</v>
      </c>
      <c r="C3299" t="s">
        <v>40</v>
      </c>
      <c r="D3299">
        <v>4.7967690000000003</v>
      </c>
      <c r="E3299">
        <v>0.4672289</v>
      </c>
      <c r="F3299" t="s">
        <v>48</v>
      </c>
      <c r="G3299">
        <v>-268.78859999999997</v>
      </c>
      <c r="H3299" s="1">
        <v>2.941563E-6</v>
      </c>
      <c r="I3299">
        <v>219.1576</v>
      </c>
      <c r="J3299">
        <v>-316.50020000000001</v>
      </c>
      <c r="K3299">
        <v>1.121675</v>
      </c>
      <c r="L3299">
        <v>214.40770000000001</v>
      </c>
      <c r="M3299">
        <v>0.99988929999999998</v>
      </c>
      <c r="N3299">
        <v>-1.4459090000000001E-2</v>
      </c>
      <c r="O3299">
        <v>-3.4959610000000001E-3</v>
      </c>
      <c r="P3299">
        <v>0.97691660000000002</v>
      </c>
      <c r="Q3299">
        <v>0.21337049999999999</v>
      </c>
      <c r="R3299">
        <v>1.034583E-2</v>
      </c>
      <c r="S3299">
        <v>3.0830380000000002</v>
      </c>
      <c r="T3299">
        <v>-7.1957350000000003E-2</v>
      </c>
      <c r="U3299">
        <v>0.30464170000000002</v>
      </c>
      <c r="V3299">
        <v>-1.375256E-2</v>
      </c>
      <c r="W3299">
        <v>0.2274736</v>
      </c>
      <c r="X3299">
        <v>0.97368710000000003</v>
      </c>
      <c r="Y3299">
        <v>-0.1017673</v>
      </c>
      <c r="Z3299">
        <v>1.953251E-3</v>
      </c>
      <c r="AA3299">
        <v>0.99480630000000003</v>
      </c>
      <c r="AB3299">
        <v>32</v>
      </c>
      <c r="AC3299">
        <v>47.711599999999997</v>
      </c>
      <c r="AD3299">
        <v>-1.1216720584369999</v>
      </c>
      <c r="AE3299">
        <v>4.7498999999999896</v>
      </c>
      <c r="AF3299">
        <v>-4.9139970302681304</v>
      </c>
      <c r="AG3299">
        <v>-1.1216720584369999</v>
      </c>
      <c r="AH3299">
        <v>47.668613630697898</v>
      </c>
      <c r="AI3299">
        <v>91.340853414456802</v>
      </c>
      <c r="AJ3299">
        <v>95.885639320709998</v>
      </c>
      <c r="AK3299">
        <v>47.9343534481578</v>
      </c>
      <c r="AL3299">
        <v>76.851622094705604</v>
      </c>
      <c r="AM3299">
        <v>90.809203751343404</v>
      </c>
      <c r="AN3299">
        <v>0.999999970154961</v>
      </c>
    </row>
    <row r="3300" spans="1:40" x14ac:dyDescent="0.25">
      <c r="A3300" t="str">
        <f>"20190303162845584"</f>
        <v>20190303162845584</v>
      </c>
      <c r="B3300" t="str">
        <f>"1551601725574461"</f>
        <v>1551601725574461</v>
      </c>
      <c r="C3300" t="s">
        <v>40</v>
      </c>
      <c r="D3300">
        <v>4.8084619999999996</v>
      </c>
      <c r="E3300">
        <v>0.4675011</v>
      </c>
      <c r="F3300" t="s">
        <v>48</v>
      </c>
      <c r="G3300">
        <v>-268.96690000000001</v>
      </c>
      <c r="H3300" s="1">
        <v>3.042105E-6</v>
      </c>
      <c r="I3300">
        <v>219.0284</v>
      </c>
      <c r="J3300">
        <v>-316.1943</v>
      </c>
      <c r="K3300">
        <v>1.121664</v>
      </c>
      <c r="L3300">
        <v>214.4066</v>
      </c>
      <c r="M3300">
        <v>0.99988949999999999</v>
      </c>
      <c r="N3300">
        <v>-1.4455910000000001E-2</v>
      </c>
      <c r="O3300">
        <v>-3.4961760000000001E-3</v>
      </c>
      <c r="P3300">
        <v>0.97708899999999999</v>
      </c>
      <c r="Q3300">
        <v>0.21258850000000001</v>
      </c>
      <c r="R3300">
        <v>1.0168109999999999E-2</v>
      </c>
      <c r="S3300">
        <v>3.083618</v>
      </c>
      <c r="T3300">
        <v>-7.2766070000000002E-2</v>
      </c>
      <c r="U3300">
        <v>0.29975889999999999</v>
      </c>
      <c r="V3300">
        <v>-1.357588E-2</v>
      </c>
      <c r="W3300">
        <v>0.22669069999999999</v>
      </c>
      <c r="X3300">
        <v>0.97387219999999997</v>
      </c>
      <c r="Y3300">
        <v>-0.10018879999999999</v>
      </c>
      <c r="Z3300">
        <v>1.9371080000000001E-3</v>
      </c>
      <c r="AA3300">
        <v>0.99496660000000003</v>
      </c>
      <c r="AB3300">
        <v>32</v>
      </c>
      <c r="AC3300">
        <v>47.227399999999903</v>
      </c>
      <c r="AD3300">
        <v>-1.1216609578950001</v>
      </c>
      <c r="AE3300">
        <v>4.6218000000000004</v>
      </c>
      <c r="AF3300">
        <v>-4.78423123311903</v>
      </c>
      <c r="AG3300">
        <v>-1.1216609578950001</v>
      </c>
      <c r="AH3300">
        <v>47.184587930298598</v>
      </c>
      <c r="AI3300">
        <v>91.354821501088793</v>
      </c>
      <c r="AJ3300">
        <v>95.789658239557497</v>
      </c>
      <c r="AK3300">
        <v>47.4397758210185</v>
      </c>
      <c r="AL3300">
        <v>76.897682921265101</v>
      </c>
      <c r="AM3300">
        <v>90.798657409085706</v>
      </c>
      <c r="AN3300">
        <v>1.0000000199585499</v>
      </c>
    </row>
    <row r="3301" spans="1:40" x14ac:dyDescent="0.25">
      <c r="A3301" t="str">
        <f>"20190303162845605"</f>
        <v>20190303162845605</v>
      </c>
      <c r="B3301" t="str">
        <f>"1551601725594958"</f>
        <v>1551601725594958</v>
      </c>
      <c r="C3301" t="s">
        <v>40</v>
      </c>
      <c r="D3301">
        <v>4.7828619999999997</v>
      </c>
      <c r="E3301">
        <v>0.4678253</v>
      </c>
      <c r="F3301" t="s">
        <v>48</v>
      </c>
      <c r="G3301">
        <v>-271.31760000000003</v>
      </c>
      <c r="H3301" s="1">
        <v>-1.015352E-6</v>
      </c>
      <c r="I3301">
        <v>218.72810000000001</v>
      </c>
      <c r="J3301">
        <v>-315.87830000000002</v>
      </c>
      <c r="K3301">
        <v>1.1216630000000001</v>
      </c>
      <c r="L3301">
        <v>214.40549999999999</v>
      </c>
      <c r="M3301">
        <v>0.99988949999999999</v>
      </c>
      <c r="N3301">
        <v>-1.4452599999999999E-2</v>
      </c>
      <c r="O3301">
        <v>-3.4961530000000001E-3</v>
      </c>
      <c r="P3301">
        <v>0.97722030000000004</v>
      </c>
      <c r="Q3301">
        <v>0.21199689999999999</v>
      </c>
      <c r="R3301">
        <v>9.9060650000000004E-3</v>
      </c>
      <c r="S3301">
        <v>3.084015</v>
      </c>
      <c r="T3301">
        <v>-7.7082990000000004E-2</v>
      </c>
      <c r="U3301">
        <v>0.29698180000000002</v>
      </c>
      <c r="V3301">
        <v>-1.331446E-2</v>
      </c>
      <c r="W3301">
        <v>0.22609799999999999</v>
      </c>
      <c r="X3301">
        <v>0.97401360000000003</v>
      </c>
      <c r="Y3301">
        <v>-9.9284739999999996E-2</v>
      </c>
      <c r="Z3301">
        <v>1.9938180000000001E-3</v>
      </c>
      <c r="AA3301">
        <v>0.99505699999999997</v>
      </c>
      <c r="AB3301">
        <v>32</v>
      </c>
      <c r="AC3301">
        <v>44.560699999999997</v>
      </c>
      <c r="AD3301">
        <v>-1.1216640153520001</v>
      </c>
      <c r="AE3301">
        <v>4.32260000000002</v>
      </c>
      <c r="AF3301">
        <v>-4.4755715376839502</v>
      </c>
      <c r="AG3301">
        <v>-1.1216640153520001</v>
      </c>
      <c r="AH3301">
        <v>44.5173698857893</v>
      </c>
      <c r="AI3301">
        <v>91.436088465116896</v>
      </c>
      <c r="AJ3301">
        <v>95.740963896051298</v>
      </c>
      <c r="AK3301">
        <v>44.755838639226099</v>
      </c>
      <c r="AL3301">
        <v>76.932547582321703</v>
      </c>
      <c r="AM3301">
        <v>90.783166532365499</v>
      </c>
      <c r="AN3301">
        <v>1.0000000367170201</v>
      </c>
    </row>
    <row r="3302" spans="1:40" x14ac:dyDescent="0.25">
      <c r="A3302" t="str">
        <f>"20190303162845627"</f>
        <v>20190303162845627</v>
      </c>
      <c r="B3302" t="str">
        <f>"1551601725614477"</f>
        <v>1551601725614477</v>
      </c>
      <c r="C3302" t="s">
        <v>40</v>
      </c>
      <c r="D3302">
        <v>4.819261</v>
      </c>
      <c r="E3302">
        <v>0.46804319999999999</v>
      </c>
      <c r="F3302" t="s">
        <v>48</v>
      </c>
      <c r="G3302">
        <v>-272.5958</v>
      </c>
      <c r="H3302" s="1">
        <v>-3.2638510000000001E-7</v>
      </c>
      <c r="I3302">
        <v>218.52719999999999</v>
      </c>
      <c r="J3302">
        <v>-315.55869999999999</v>
      </c>
      <c r="K3302">
        <v>1.121658</v>
      </c>
      <c r="L3302">
        <v>214.40440000000001</v>
      </c>
      <c r="M3302">
        <v>0.99988960000000005</v>
      </c>
      <c r="N3302">
        <v>-1.444923E-2</v>
      </c>
      <c r="O3302">
        <v>-3.496248E-3</v>
      </c>
      <c r="P3302">
        <v>0.97747360000000005</v>
      </c>
      <c r="Q3302">
        <v>0.2108341</v>
      </c>
      <c r="R3302">
        <v>9.7182870000000008E-3</v>
      </c>
      <c r="S3302">
        <v>3.08432</v>
      </c>
      <c r="T3302">
        <v>-7.992995E-2</v>
      </c>
      <c r="U3302">
        <v>0.29371639999999999</v>
      </c>
      <c r="V3302">
        <v>-1.3127669999999999E-2</v>
      </c>
      <c r="W3302">
        <v>0.2249362</v>
      </c>
      <c r="X3302">
        <v>0.97428510000000002</v>
      </c>
      <c r="Y3302">
        <v>-9.8229040000000004E-2</v>
      </c>
      <c r="Z3302">
        <v>2.021194E-3</v>
      </c>
      <c r="AA3302">
        <v>0.99516179999999999</v>
      </c>
      <c r="AB3302">
        <v>32</v>
      </c>
      <c r="AC3302">
        <v>42.962899999999898</v>
      </c>
      <c r="AD3302">
        <v>-1.1216583263851001</v>
      </c>
      <c r="AE3302">
        <v>4.1227999999999803</v>
      </c>
      <c r="AF3302">
        <v>-4.2701154338079901</v>
      </c>
      <c r="AG3302">
        <v>-1.1216583263851001</v>
      </c>
      <c r="AH3302">
        <v>42.919234411698397</v>
      </c>
      <c r="AI3302">
        <v>91.489685128374802</v>
      </c>
      <c r="AJ3302">
        <v>95.681766957781704</v>
      </c>
      <c r="AK3302">
        <v>43.145714569415901</v>
      </c>
      <c r="AL3302">
        <v>77.000874044777305</v>
      </c>
      <c r="AM3302">
        <v>90.771965589796096</v>
      </c>
      <c r="AN3302">
        <v>1.0000000429360301</v>
      </c>
    </row>
    <row r="3303" spans="1:40" x14ac:dyDescent="0.25">
      <c r="A3303" t="str">
        <f>"20190303162845651"</f>
        <v>20190303162845651</v>
      </c>
      <c r="B3303" t="str">
        <f>"1551601725644733"</f>
        <v>1551601725644733</v>
      </c>
      <c r="C3303" t="s">
        <v>40</v>
      </c>
      <c r="D3303">
        <v>4.9703140000000001</v>
      </c>
      <c r="E3303">
        <v>0.49217949999999999</v>
      </c>
      <c r="F3303" t="s">
        <v>48</v>
      </c>
      <c r="G3303">
        <v>-274.72120000000001</v>
      </c>
      <c r="H3303" s="1">
        <v>8.1598559999999996E-7</v>
      </c>
      <c r="I3303">
        <v>218.26759999999999</v>
      </c>
      <c r="J3303">
        <v>-315.21690000000001</v>
      </c>
      <c r="K3303">
        <v>1.1216549999999901</v>
      </c>
      <c r="L3303">
        <v>214.40309999999999</v>
      </c>
      <c r="M3303">
        <v>0.99988960000000005</v>
      </c>
      <c r="N3303">
        <v>-1.4445609999999999E-2</v>
      </c>
      <c r="O3303">
        <v>-3.496103E-3</v>
      </c>
      <c r="P3303">
        <v>0.97782639999999998</v>
      </c>
      <c r="Q3303">
        <v>0.20921190000000001</v>
      </c>
      <c r="R3303">
        <v>9.2717619999999994E-3</v>
      </c>
      <c r="S3303">
        <v>3.0845030000000002</v>
      </c>
      <c r="T3303">
        <v>-8.4719900000000001E-2</v>
      </c>
      <c r="U3303">
        <v>0.29179379999999999</v>
      </c>
      <c r="V3303">
        <v>-1.268234E-2</v>
      </c>
      <c r="W3303">
        <v>0.22331529999999999</v>
      </c>
      <c r="X3303">
        <v>0.97466379999999997</v>
      </c>
      <c r="Y3303">
        <v>-9.7603679999999998E-2</v>
      </c>
      <c r="Z3303">
        <v>2.0893610000000001E-3</v>
      </c>
      <c r="AA3303">
        <v>0.99522319999999997</v>
      </c>
      <c r="AB3303">
        <v>32</v>
      </c>
      <c r="AC3303">
        <v>40.495699999999999</v>
      </c>
      <c r="AD3303">
        <v>-1.1216541840144001</v>
      </c>
      <c r="AE3303">
        <v>3.8644999999999898</v>
      </c>
      <c r="AF3303">
        <v>-4.0030249365896697</v>
      </c>
      <c r="AG3303">
        <v>-1.1216541840144001</v>
      </c>
      <c r="AH3303">
        <v>40.451186885521501</v>
      </c>
      <c r="AI3303">
        <v>91.580607303800306</v>
      </c>
      <c r="AJ3303">
        <v>95.651555057997399</v>
      </c>
      <c r="AK3303">
        <v>40.664245194013702</v>
      </c>
      <c r="AL3303">
        <v>77.096169079002095</v>
      </c>
      <c r="AM3303">
        <v>90.745491471525796</v>
      </c>
      <c r="AN3303">
        <v>1.0000000439962</v>
      </c>
    </row>
    <row r="3304" spans="1:40" x14ac:dyDescent="0.25">
      <c r="A3304" t="str">
        <f>"20190303162845673"</f>
        <v>20190303162845673</v>
      </c>
      <c r="B3304" t="str">
        <f>"1551601725665151"</f>
        <v>1551601725665151</v>
      </c>
      <c r="C3304" t="s">
        <v>40</v>
      </c>
      <c r="D3304">
        <v>4.8867859999999999</v>
      </c>
      <c r="E3304">
        <v>0.54335619999999996</v>
      </c>
      <c r="F3304" t="s">
        <v>53</v>
      </c>
      <c r="G3304">
        <v>-157.8382</v>
      </c>
      <c r="H3304">
        <v>0.74688529999999997</v>
      </c>
      <c r="I3304">
        <v>219.37780000000001</v>
      </c>
      <c r="J3304">
        <v>-314.8904</v>
      </c>
      <c r="K3304">
        <v>1.1216520000000001</v>
      </c>
      <c r="L3304">
        <v>214.40199999999999</v>
      </c>
      <c r="M3304">
        <v>0.99988960000000005</v>
      </c>
      <c r="N3304">
        <v>-1.4442150000000001E-2</v>
      </c>
      <c r="O3304">
        <v>-3.4960780000000001E-3</v>
      </c>
      <c r="P3304">
        <v>0.97806890000000002</v>
      </c>
      <c r="Q3304">
        <v>0.20811399999999999</v>
      </c>
      <c r="R3304">
        <v>8.3718209999999998E-3</v>
      </c>
      <c r="S3304">
        <v>3.068695</v>
      </c>
      <c r="T3304">
        <v>-7.3064569999999997E-3</v>
      </c>
      <c r="U3304">
        <v>9.7000119999999995E-2</v>
      </c>
      <c r="V3304">
        <v>-1.1783739999999999E-2</v>
      </c>
      <c r="W3304">
        <v>0.22221779999999999</v>
      </c>
      <c r="X3304">
        <v>0.97492590000000001</v>
      </c>
      <c r="Y3304">
        <v>-3.5087340000000002E-2</v>
      </c>
      <c r="Z3304">
        <v>2.5304910000000002E-4</v>
      </c>
      <c r="AA3304">
        <v>0.99938419999999895</v>
      </c>
      <c r="AB3304">
        <v>32</v>
      </c>
      <c r="AC3304">
        <v>157.0522</v>
      </c>
      <c r="AD3304">
        <v>-0.37476670000000001</v>
      </c>
      <c r="AE3304">
        <v>4.9757999999999898</v>
      </c>
      <c r="AF3304">
        <v>-5.5248621651921903</v>
      </c>
      <c r="AG3304">
        <v>-0.37476670000000001</v>
      </c>
      <c r="AH3304">
        <v>157.032949124613</v>
      </c>
      <c r="AI3304">
        <v>90.1366543281069</v>
      </c>
      <c r="AJ3304">
        <v>92.014996029940605</v>
      </c>
      <c r="AK3304">
        <v>157.13055610796201</v>
      </c>
      <c r="AL3304">
        <v>77.160672233686199</v>
      </c>
      <c r="AM3304">
        <v>90.692489237995005</v>
      </c>
      <c r="AN3304">
        <v>1.00000005882801</v>
      </c>
    </row>
    <row r="3305" spans="1:40" x14ac:dyDescent="0.25">
      <c r="A3305" t="str">
        <f>"20190303162845695"</f>
        <v>20190303162845695</v>
      </c>
      <c r="B3305" t="str">
        <f>"1551601725684671"</f>
        <v>1551601725684671</v>
      </c>
      <c r="C3305" t="s">
        <v>40</v>
      </c>
      <c r="D3305">
        <v>4.9182730000000001</v>
      </c>
      <c r="E3305">
        <v>0.551925</v>
      </c>
      <c r="F3305" t="s">
        <v>48</v>
      </c>
      <c r="G3305">
        <v>-257.27800000000002</v>
      </c>
      <c r="H3305">
        <v>8.0001059999999999E-2</v>
      </c>
      <c r="I3305">
        <v>208.54329999999999</v>
      </c>
      <c r="J3305">
        <v>-314.5813</v>
      </c>
      <c r="K3305">
        <v>1.121651</v>
      </c>
      <c r="L3305">
        <v>214.40090000000001</v>
      </c>
      <c r="M3305">
        <v>0.99988980000000005</v>
      </c>
      <c r="N3305">
        <v>-1.4438869999999999E-2</v>
      </c>
      <c r="O3305">
        <v>-3.496173E-3</v>
      </c>
      <c r="P3305">
        <v>0.97823830000000001</v>
      </c>
      <c r="Q3305">
        <v>0.20735300000000001</v>
      </c>
      <c r="R3305">
        <v>7.3808719999999897E-3</v>
      </c>
      <c r="S3305">
        <v>3.0818479999999999</v>
      </c>
      <c r="T3305">
        <v>-5.5720810000000003E-2</v>
      </c>
      <c r="U3305">
        <v>-0.31340030000000002</v>
      </c>
      <c r="V3305">
        <v>-1.0792670000000001E-2</v>
      </c>
      <c r="W3305">
        <v>0.22145570000000001</v>
      </c>
      <c r="X3305">
        <v>0.9751107</v>
      </c>
      <c r="Y3305">
        <v>9.7662810000000003E-2</v>
      </c>
      <c r="Z3305">
        <v>-1.57488299999999E-3</v>
      </c>
      <c r="AA3305">
        <v>0.9952183</v>
      </c>
      <c r="AB3305">
        <v>32</v>
      </c>
      <c r="AC3305">
        <v>57.303299999999901</v>
      </c>
      <c r="AD3305">
        <v>-1.0416499400000001</v>
      </c>
      <c r="AE3305">
        <v>-5.8576000000000104</v>
      </c>
      <c r="AF3305">
        <v>5.6553516932735404</v>
      </c>
      <c r="AG3305">
        <v>-1.0416499400000001</v>
      </c>
      <c r="AH3305">
        <v>57.304691436998198</v>
      </c>
      <c r="AI3305">
        <v>91.036339851532802</v>
      </c>
      <c r="AJ3305">
        <v>84.363778620006698</v>
      </c>
      <c r="AK3305">
        <v>57.592496890321399</v>
      </c>
      <c r="AL3305">
        <v>77.205452258063602</v>
      </c>
      <c r="AM3305">
        <v>90.634132300504504</v>
      </c>
      <c r="AN3305">
        <v>0.99999999302135401</v>
      </c>
    </row>
    <row r="3306" spans="1:40" x14ac:dyDescent="0.25">
      <c r="A3306" t="str">
        <f>"20190303162845719"</f>
        <v>20190303162845719</v>
      </c>
      <c r="B3306" t="str">
        <f>"1551601725714927"</f>
        <v>1551601725714927</v>
      </c>
      <c r="C3306" t="s">
        <v>40</v>
      </c>
      <c r="D3306">
        <v>4.8690199999999999</v>
      </c>
      <c r="E3306">
        <v>0.55373109999999903</v>
      </c>
      <c r="F3306" t="s">
        <v>48</v>
      </c>
      <c r="G3306">
        <v>-242.07339999999999</v>
      </c>
      <c r="H3306">
        <v>8.0001260000000005E-2</v>
      </c>
      <c r="I3306">
        <v>205.3296</v>
      </c>
      <c r="J3306">
        <v>-314.25310000000002</v>
      </c>
      <c r="K3306">
        <v>1.121664</v>
      </c>
      <c r="L3306">
        <v>214.3998</v>
      </c>
      <c r="M3306">
        <v>0.9998899</v>
      </c>
      <c r="N3306">
        <v>-1.4435389999999999E-2</v>
      </c>
      <c r="O3306">
        <v>-3.4961480000000001E-3</v>
      </c>
      <c r="P3306">
        <v>0.97838029999999998</v>
      </c>
      <c r="Q3306">
        <v>0.2067205</v>
      </c>
      <c r="R3306">
        <v>6.252082E-3</v>
      </c>
      <c r="S3306">
        <v>3.0790099999999998</v>
      </c>
      <c r="T3306">
        <v>-4.4233080000000001E-2</v>
      </c>
      <c r="U3306">
        <v>-0.3852081</v>
      </c>
      <c r="V3306">
        <v>-9.6646730000000004E-3</v>
      </c>
      <c r="W3306">
        <v>0.2208223</v>
      </c>
      <c r="X3306">
        <v>0.97526619999999997</v>
      </c>
      <c r="Y3306">
        <v>0.12064510000000001</v>
      </c>
      <c r="Z3306">
        <v>-1.737733E-3</v>
      </c>
      <c r="AA3306">
        <v>0.99269419999999997</v>
      </c>
      <c r="AB3306">
        <v>32</v>
      </c>
      <c r="AC3306">
        <v>72.179699999999997</v>
      </c>
      <c r="AD3306">
        <v>-1.04166274</v>
      </c>
      <c r="AE3306">
        <v>-9.0701999999999998</v>
      </c>
      <c r="AF3306">
        <v>8.8159598512086799</v>
      </c>
      <c r="AG3306">
        <v>-1.04166274</v>
      </c>
      <c r="AH3306">
        <v>72.196170374443895</v>
      </c>
      <c r="AI3306">
        <v>90.820525155757494</v>
      </c>
      <c r="AJ3306">
        <v>83.038011720012506</v>
      </c>
      <c r="AK3306">
        <v>72.739901196645505</v>
      </c>
      <c r="AL3306">
        <v>77.242665147218702</v>
      </c>
      <c r="AM3306">
        <v>90.567769956279406</v>
      </c>
      <c r="AN3306">
        <v>1.00000002747196</v>
      </c>
    </row>
    <row r="3307" spans="1:40" x14ac:dyDescent="0.25">
      <c r="A3307" t="str">
        <f>"20190303162845740"</f>
        <v>20190303162845740</v>
      </c>
      <c r="B3307" t="str">
        <f>"1551601725734448"</f>
        <v>1551601725734448</v>
      </c>
      <c r="C3307" t="s">
        <v>40</v>
      </c>
      <c r="D3307">
        <v>4.8780460000000003</v>
      </c>
      <c r="E3307">
        <v>0.55387169999999997</v>
      </c>
      <c r="F3307" t="s">
        <v>48</v>
      </c>
      <c r="G3307">
        <v>-269.74669999999998</v>
      </c>
      <c r="H3307">
        <v>8.0000329999999995E-2</v>
      </c>
      <c r="I3307">
        <v>208.58</v>
      </c>
      <c r="J3307">
        <v>-313.93450000000001</v>
      </c>
      <c r="K3307">
        <v>1.1216710000000001</v>
      </c>
      <c r="L3307">
        <v>214.39859999999999</v>
      </c>
      <c r="M3307">
        <v>0.9998899</v>
      </c>
      <c r="N3307">
        <v>-1.443201E-2</v>
      </c>
      <c r="O3307">
        <v>-3.4961229999999999E-3</v>
      </c>
      <c r="P3307">
        <v>0.97864770000000001</v>
      </c>
      <c r="Q3307">
        <v>0.20547380000000001</v>
      </c>
      <c r="R3307">
        <v>5.452915E-3</v>
      </c>
      <c r="S3307">
        <v>3.0841059999999998</v>
      </c>
      <c r="T3307">
        <v>-7.2183010000000006E-2</v>
      </c>
      <c r="U3307">
        <v>-0.40328979999999998</v>
      </c>
      <c r="V3307">
        <v>-8.8664239999999995E-3</v>
      </c>
      <c r="W3307">
        <v>0.2195762</v>
      </c>
      <c r="X3307">
        <v>0.97555510000000001</v>
      </c>
      <c r="Y3307">
        <v>0.1261372</v>
      </c>
      <c r="Z3307">
        <v>-2.352748E-3</v>
      </c>
      <c r="AA3307">
        <v>0.99200999999999995</v>
      </c>
      <c r="AB3307">
        <v>32</v>
      </c>
      <c r="AC3307">
        <v>44.187800000000003</v>
      </c>
      <c r="AD3307">
        <v>-1.04167066999999</v>
      </c>
      <c r="AE3307">
        <v>-5.8185999999999698</v>
      </c>
      <c r="AF3307">
        <v>5.6609700856626697</v>
      </c>
      <c r="AG3307">
        <v>-1.04167066999999</v>
      </c>
      <c r="AH3307">
        <v>44.183739246378501</v>
      </c>
      <c r="AI3307">
        <v>91.3396020232815</v>
      </c>
      <c r="AJ3307">
        <v>82.698848507929597</v>
      </c>
      <c r="AK3307">
        <v>44.557092296148298</v>
      </c>
      <c r="AL3307">
        <v>77.315858069352004</v>
      </c>
      <c r="AM3307">
        <v>90.520723727101597</v>
      </c>
      <c r="AN3307">
        <v>1.0000000371084901</v>
      </c>
    </row>
    <row r="3308" spans="1:40" x14ac:dyDescent="0.25">
      <c r="A3308" t="str">
        <f>"20190303162845763"</f>
        <v>20190303162845763</v>
      </c>
      <c r="B3308" t="str">
        <f>"1551601725754666"</f>
        <v>1551601725754666</v>
      </c>
      <c r="C3308" t="s">
        <v>40</v>
      </c>
      <c r="D3308">
        <v>4.8735980000000003</v>
      </c>
      <c r="E3308">
        <v>0.55386080000000004</v>
      </c>
      <c r="F3308" t="s">
        <v>48</v>
      </c>
      <c r="G3308">
        <v>-275.88749999999999</v>
      </c>
      <c r="H3308">
        <v>8.0001429999999998E-2</v>
      </c>
      <c r="I3308">
        <v>209.3861</v>
      </c>
      <c r="J3308">
        <v>-313.61090000000002</v>
      </c>
      <c r="K3308">
        <v>1.1216790000000001</v>
      </c>
      <c r="L3308">
        <v>214.39750000000001</v>
      </c>
      <c r="M3308">
        <v>0.9998899</v>
      </c>
      <c r="N3308">
        <v>-1.442858E-2</v>
      </c>
      <c r="O3308">
        <v>-3.4960989999999999E-3</v>
      </c>
      <c r="P3308">
        <v>0.97880780000000001</v>
      </c>
      <c r="Q3308">
        <v>0.20471739999999999</v>
      </c>
      <c r="R3308">
        <v>5.124829E-3</v>
      </c>
      <c r="S3308">
        <v>3.0854490000000001</v>
      </c>
      <c r="T3308">
        <v>-8.4475040000000001E-2</v>
      </c>
      <c r="U3308">
        <v>-0.40649410000000002</v>
      </c>
      <c r="V3308">
        <v>-8.5390269999999994E-3</v>
      </c>
      <c r="W3308">
        <v>0.21881929999999999</v>
      </c>
      <c r="X3308">
        <v>0.97572800000000004</v>
      </c>
      <c r="Y3308">
        <v>0.127078</v>
      </c>
      <c r="Z3308">
        <v>-2.6077740000000002E-3</v>
      </c>
      <c r="AA3308">
        <v>0.99188929999999997</v>
      </c>
      <c r="AB3308">
        <v>32</v>
      </c>
      <c r="AC3308">
        <v>37.723399999999998</v>
      </c>
      <c r="AD3308">
        <v>-1.0416775700000001</v>
      </c>
      <c r="AE3308">
        <v>-5.0114000000000001</v>
      </c>
      <c r="AF3308">
        <v>4.87581753051579</v>
      </c>
      <c r="AG3308">
        <v>-1.0416775700000001</v>
      </c>
      <c r="AH3308">
        <v>37.712434200228898</v>
      </c>
      <c r="AI3308">
        <v>91.569144747856299</v>
      </c>
      <c r="AJ3308">
        <v>82.633129932556997</v>
      </c>
      <c r="AK3308">
        <v>38.040588613444399</v>
      </c>
      <c r="AL3308">
        <v>77.360305282934803</v>
      </c>
      <c r="AM3308">
        <v>90.501407890962795</v>
      </c>
      <c r="AN3308">
        <v>0.99999996550929704</v>
      </c>
    </row>
    <row r="3309" spans="1:40" x14ac:dyDescent="0.25">
      <c r="A3309" t="str">
        <f>"20190303162845784"</f>
        <v>20190303162845784</v>
      </c>
      <c r="B3309" t="str">
        <f>"1551601725775148"</f>
        <v>1551601725775148</v>
      </c>
      <c r="C3309" t="s">
        <v>40</v>
      </c>
      <c r="D3309">
        <v>4.8785769999999999</v>
      </c>
      <c r="E3309">
        <v>0.55368949999999995</v>
      </c>
      <c r="F3309" t="s">
        <v>48</v>
      </c>
      <c r="G3309">
        <v>-277.31330000000003</v>
      </c>
      <c r="H3309">
        <v>4.2634089999999999E-2</v>
      </c>
      <c r="I3309">
        <v>209.6163</v>
      </c>
      <c r="J3309">
        <v>-313.3066</v>
      </c>
      <c r="K3309">
        <v>1.121691</v>
      </c>
      <c r="L3309">
        <v>214.3964</v>
      </c>
      <c r="M3309">
        <v>0.9998899</v>
      </c>
      <c r="N3309">
        <v>-1.442535E-2</v>
      </c>
      <c r="O3309">
        <v>-3.496075E-3</v>
      </c>
      <c r="P3309">
        <v>0.97860320000000001</v>
      </c>
      <c r="Q3309">
        <v>0.20567659999999999</v>
      </c>
      <c r="R3309">
        <v>5.7730469999999999E-3</v>
      </c>
      <c r="S3309">
        <v>3.0862430000000001</v>
      </c>
      <c r="T3309">
        <v>-9.1746930000000004E-2</v>
      </c>
      <c r="U3309">
        <v>-0.40652470000000002</v>
      </c>
      <c r="V3309">
        <v>-9.1865169999999999E-3</v>
      </c>
      <c r="W3309">
        <v>0.21977160000000001</v>
      </c>
      <c r="X3309">
        <v>0.97550809999999999</v>
      </c>
      <c r="Y3309">
        <v>0.1270443</v>
      </c>
      <c r="Z3309">
        <v>-2.7472130000000001E-3</v>
      </c>
      <c r="AA3309">
        <v>0.99189320000000003</v>
      </c>
      <c r="AB3309">
        <v>32</v>
      </c>
      <c r="AC3309">
        <v>35.993299999999898</v>
      </c>
      <c r="AD3309">
        <v>-1.07905691</v>
      </c>
      <c r="AE3309">
        <v>-4.7801</v>
      </c>
      <c r="AF3309">
        <v>4.6501154995234497</v>
      </c>
      <c r="AG3309">
        <v>-1.07905691</v>
      </c>
      <c r="AH3309">
        <v>35.978018018410097</v>
      </c>
      <c r="AI3309">
        <v>91.703743386922696</v>
      </c>
      <c r="AJ3309">
        <v>82.635417464889102</v>
      </c>
      <c r="AK3309">
        <v>36.293328843011402</v>
      </c>
      <c r="AL3309">
        <v>77.304381686666503</v>
      </c>
      <c r="AM3309">
        <v>90.539547640838407</v>
      </c>
      <c r="AN3309">
        <v>1.00000000071338</v>
      </c>
    </row>
    <row r="3310" spans="1:40" x14ac:dyDescent="0.25">
      <c r="A3310" t="str">
        <f>"20190303162845806"</f>
        <v>20190303162845806</v>
      </c>
      <c r="B3310" t="str">
        <f>"1551601725794668"</f>
        <v>1551601725794668</v>
      </c>
      <c r="C3310" t="s">
        <v>40</v>
      </c>
      <c r="D3310">
        <v>4.8758650000000001</v>
      </c>
      <c r="E3310">
        <v>0.55354799999999904</v>
      </c>
      <c r="F3310" t="s">
        <v>48</v>
      </c>
      <c r="G3310">
        <v>-276.70760000000001</v>
      </c>
      <c r="H3310">
        <v>2.3498649999999999E-2</v>
      </c>
      <c r="I3310">
        <v>209.6163</v>
      </c>
      <c r="J3310">
        <v>-312.98930000000001</v>
      </c>
      <c r="K3310">
        <v>1.121705</v>
      </c>
      <c r="L3310">
        <v>214.39529999999999</v>
      </c>
      <c r="M3310">
        <v>0.9998901</v>
      </c>
      <c r="N3310">
        <v>-1.4421979999999999E-2</v>
      </c>
      <c r="O3310">
        <v>-3.4961699999999998E-3</v>
      </c>
      <c r="P3310">
        <v>0.97791150000000004</v>
      </c>
      <c r="Q3310">
        <v>0.20889550000000001</v>
      </c>
      <c r="R3310">
        <v>7.234234E-3</v>
      </c>
      <c r="S3310">
        <v>3.0874329999999999</v>
      </c>
      <c r="T3310">
        <v>-9.2641829999999994E-2</v>
      </c>
      <c r="U3310">
        <v>-0.40324399999999999</v>
      </c>
      <c r="V3310">
        <v>-1.064474E-2</v>
      </c>
      <c r="W3310">
        <v>0.2229768</v>
      </c>
      <c r="X3310">
        <v>0.97476560000000001</v>
      </c>
      <c r="Y3310">
        <v>0.12595789999999901</v>
      </c>
      <c r="Z3310">
        <v>-2.739586E-3</v>
      </c>
      <c r="AA3310">
        <v>0.99203180000000002</v>
      </c>
      <c r="AB3310">
        <v>32</v>
      </c>
      <c r="AC3310">
        <v>36.281700000000001</v>
      </c>
      <c r="AD3310">
        <v>-1.0982063500000001</v>
      </c>
      <c r="AE3310">
        <v>-4.7789999999999901</v>
      </c>
      <c r="AF3310">
        <v>4.6479248010601202</v>
      </c>
      <c r="AG3310">
        <v>-1.0982063500000001</v>
      </c>
      <c r="AH3310">
        <v>36.2655281376651</v>
      </c>
      <c r="AI3310">
        <v>91.720458299692396</v>
      </c>
      <c r="AJ3310">
        <v>82.696574928609806</v>
      </c>
      <c r="AK3310">
        <v>36.578652151866798</v>
      </c>
      <c r="AL3310">
        <v>77.116064406659305</v>
      </c>
      <c r="AM3310">
        <v>90.625662655353494</v>
      </c>
      <c r="AN3310">
        <v>0.99999996938563296</v>
      </c>
    </row>
    <row r="3311" spans="1:40" x14ac:dyDescent="0.25">
      <c r="A3311" t="str">
        <f>"20190303162845829"</f>
        <v>20190303162845829</v>
      </c>
      <c r="B3311" t="str">
        <f>"1551601725824925"</f>
        <v>1551601725824925</v>
      </c>
      <c r="C3311" t="s">
        <v>40</v>
      </c>
      <c r="D3311">
        <v>4.8949400000000001</v>
      </c>
      <c r="E3311">
        <v>0.553886199999999</v>
      </c>
      <c r="F3311" t="s">
        <v>48</v>
      </c>
      <c r="G3311">
        <v>-273.90890000000002</v>
      </c>
      <c r="H3311">
        <v>8.0000539999999995E-2</v>
      </c>
      <c r="I3311">
        <v>209.35910000000001</v>
      </c>
      <c r="J3311">
        <v>-312.66210000000001</v>
      </c>
      <c r="K3311">
        <v>1.12171</v>
      </c>
      <c r="L3311">
        <v>214.39420000000001</v>
      </c>
      <c r="M3311">
        <v>0.9998901</v>
      </c>
      <c r="N3311">
        <v>-1.441855E-2</v>
      </c>
      <c r="O3311">
        <v>-3.496145E-3</v>
      </c>
      <c r="P3311">
        <v>0.97699400000000003</v>
      </c>
      <c r="Q3311">
        <v>0.21309149999999999</v>
      </c>
      <c r="R3311">
        <v>8.6743789999999994E-3</v>
      </c>
      <c r="S3311">
        <v>3.0882869999999998</v>
      </c>
      <c r="T3311">
        <v>-8.2319619999999996E-2</v>
      </c>
      <c r="U3311">
        <v>-0.39797969999999999</v>
      </c>
      <c r="V3311">
        <v>-1.2082010000000001E-2</v>
      </c>
      <c r="W3311">
        <v>0.227156</v>
      </c>
      <c r="X3311">
        <v>0.97378339999999997</v>
      </c>
      <c r="Y3311">
        <v>0.124275</v>
      </c>
      <c r="Z3311">
        <v>-2.5065199999999999E-3</v>
      </c>
      <c r="AA3311">
        <v>0.99224469999999998</v>
      </c>
      <c r="AB3311">
        <v>32</v>
      </c>
      <c r="AC3311">
        <v>38.7531999999999</v>
      </c>
      <c r="AD3311">
        <v>-1.0417094600000001</v>
      </c>
      <c r="AE3311">
        <v>-5.0350999999999999</v>
      </c>
      <c r="AF3311">
        <v>4.8960893292412102</v>
      </c>
      <c r="AG3311">
        <v>-1.0417094600000001</v>
      </c>
      <c r="AH3311">
        <v>38.743038670078498</v>
      </c>
      <c r="AI3311">
        <v>91.5280307284999</v>
      </c>
      <c r="AJ3311">
        <v>82.797517667034498</v>
      </c>
      <c r="AK3311">
        <v>39.065072567578298</v>
      </c>
      <c r="AL3311">
        <v>76.870308371989196</v>
      </c>
      <c r="AM3311">
        <v>90.710848698567503</v>
      </c>
      <c r="AN3311">
        <v>0.99999996670859903</v>
      </c>
    </row>
    <row r="3312" spans="1:40" x14ac:dyDescent="0.25">
      <c r="A3312" t="str">
        <f>"20190303162845852"</f>
        <v>20190303162845852</v>
      </c>
      <c r="B3312" t="str">
        <f>"1551601725844444"</f>
        <v>1551601725844444</v>
      </c>
      <c r="C3312" t="s">
        <v>40</v>
      </c>
      <c r="D3312">
        <v>4.9020479999999997</v>
      </c>
      <c r="E3312">
        <v>0.55403570000000002</v>
      </c>
      <c r="F3312" t="s">
        <v>48</v>
      </c>
      <c r="G3312">
        <v>-264.73259999999999</v>
      </c>
      <c r="H3312">
        <v>8.0000340000000003E-2</v>
      </c>
      <c r="I3312">
        <v>208.24420000000001</v>
      </c>
      <c r="J3312">
        <v>-312.34100000000001</v>
      </c>
      <c r="K3312">
        <v>1.1217269999999999</v>
      </c>
      <c r="L3312">
        <v>214.3931</v>
      </c>
      <c r="M3312">
        <v>0.99988999999999995</v>
      </c>
      <c r="N3312">
        <v>-1.441516E-2</v>
      </c>
      <c r="O3312">
        <v>-3.4960009999999999E-3</v>
      </c>
      <c r="P3312">
        <v>0.97627609999999998</v>
      </c>
      <c r="Q3312">
        <v>0.21631120000000001</v>
      </c>
      <c r="R3312">
        <v>9.7276140000000007E-3</v>
      </c>
      <c r="S3312">
        <v>3.0887760000000002</v>
      </c>
      <c r="T3312">
        <v>-6.7132120000000003E-2</v>
      </c>
      <c r="U3312">
        <v>-0.39633180000000001</v>
      </c>
      <c r="V3312">
        <v>-1.3132380000000001E-2</v>
      </c>
      <c r="W3312">
        <v>0.23036219999999999</v>
      </c>
      <c r="X3312">
        <v>0.97301629999999995</v>
      </c>
      <c r="Y3312">
        <v>0.1237534</v>
      </c>
      <c r="Z3312">
        <v>-2.209553E-3</v>
      </c>
      <c r="AA3312">
        <v>0.99231049999999998</v>
      </c>
      <c r="AB3312">
        <v>32</v>
      </c>
      <c r="AC3312">
        <v>47.608400000000003</v>
      </c>
      <c r="AD3312">
        <v>-1.0417266599999999</v>
      </c>
      <c r="AE3312">
        <v>-6.1488999999999896</v>
      </c>
      <c r="AF3312">
        <v>5.9795901458165099</v>
      </c>
      <c r="AG3312">
        <v>-1.0417266599999999</v>
      </c>
      <c r="AH3312">
        <v>47.6071881838946</v>
      </c>
      <c r="AI3312">
        <v>91.243760255861801</v>
      </c>
      <c r="AJ3312">
        <v>82.840986731542699</v>
      </c>
      <c r="AK3312">
        <v>47.992552125541899</v>
      </c>
      <c r="AL3312">
        <v>76.6816025696004</v>
      </c>
      <c r="AM3312">
        <v>90.773249396827097</v>
      </c>
      <c r="AN3312">
        <v>0.99999996132949598</v>
      </c>
    </row>
    <row r="3313" spans="1:40" x14ac:dyDescent="0.25">
      <c r="A3313" t="str">
        <f>"20190303162845875"</f>
        <v>20190303162845875</v>
      </c>
      <c r="B3313" t="str">
        <f>"1551601725865306"</f>
        <v>1551601725865306</v>
      </c>
      <c r="C3313" t="s">
        <v>40</v>
      </c>
      <c r="D3313">
        <v>4.8818229999999998</v>
      </c>
      <c r="E3313">
        <v>0.55421919999999902</v>
      </c>
      <c r="F3313" t="s">
        <v>48</v>
      </c>
      <c r="G3313">
        <v>-256.0111</v>
      </c>
      <c r="H3313">
        <v>8.000148E-2</v>
      </c>
      <c r="I3313">
        <v>207.2046</v>
      </c>
      <c r="J3313">
        <v>-312.02010000000001</v>
      </c>
      <c r="K3313">
        <v>1.12174</v>
      </c>
      <c r="L3313">
        <v>214.392</v>
      </c>
      <c r="M3313">
        <v>0.99989019999999995</v>
      </c>
      <c r="N3313">
        <v>-1.4411780000000001E-2</v>
      </c>
      <c r="O3313">
        <v>-3.4960960000000002E-3</v>
      </c>
      <c r="P3313">
        <v>0.97611139999999996</v>
      </c>
      <c r="Q3313">
        <v>0.21705469999999999</v>
      </c>
      <c r="R3313">
        <v>9.701154E-3</v>
      </c>
      <c r="S3313">
        <v>3.0894469999999998</v>
      </c>
      <c r="T3313">
        <v>-5.7134030000000002E-2</v>
      </c>
      <c r="U3313">
        <v>-0.39425660000000001</v>
      </c>
      <c r="V3313">
        <v>-1.3105439999999999E-2</v>
      </c>
      <c r="W3313">
        <v>0.23109940000000001</v>
      </c>
      <c r="X3313">
        <v>0.97284190000000004</v>
      </c>
      <c r="Y3313">
        <v>0.1230812</v>
      </c>
      <c r="Z3313">
        <v>-2.00987E-3</v>
      </c>
      <c r="AA3313">
        <v>0.99239460000000002</v>
      </c>
      <c r="AB3313">
        <v>32</v>
      </c>
      <c r="AC3313">
        <v>56.009</v>
      </c>
      <c r="AD3313">
        <v>-1.04173852</v>
      </c>
      <c r="AE3313">
        <v>-7.1873999999999896</v>
      </c>
      <c r="AF3313">
        <v>6.9891442599915701</v>
      </c>
      <c r="AG3313">
        <v>-1.04173852</v>
      </c>
      <c r="AH3313">
        <v>56.014724238371699</v>
      </c>
      <c r="AI3313">
        <v>91.057244103581397</v>
      </c>
      <c r="AJ3313">
        <v>82.887770846410703</v>
      </c>
      <c r="AK3313">
        <v>56.4586812468362</v>
      </c>
      <c r="AL3313">
        <v>76.638193670293802</v>
      </c>
      <c r="AM3313">
        <v>90.771801649416304</v>
      </c>
      <c r="AN3313">
        <v>1.0000000238167801</v>
      </c>
    </row>
    <row r="3314" spans="1:40" x14ac:dyDescent="0.25">
      <c r="A3314" t="str">
        <f>"20190303162845896"</f>
        <v>20190303162845896</v>
      </c>
      <c r="B3314" t="str">
        <f>"1551601725884825"</f>
        <v>1551601725884825</v>
      </c>
      <c r="C3314" t="s">
        <v>40</v>
      </c>
      <c r="D3314">
        <v>4.8442489999999996</v>
      </c>
      <c r="E3314">
        <v>0.55434649999999996</v>
      </c>
      <c r="F3314" t="s">
        <v>48</v>
      </c>
      <c r="G3314">
        <v>-253.71449999999999</v>
      </c>
      <c r="H3314">
        <v>8.0000710000000003E-2</v>
      </c>
      <c r="I3314">
        <v>206.91970000000001</v>
      </c>
      <c r="J3314">
        <v>-311.71499999999997</v>
      </c>
      <c r="K3314">
        <v>1.12175</v>
      </c>
      <c r="L3314">
        <v>214.39089999999999</v>
      </c>
      <c r="M3314">
        <v>0.99988999999999995</v>
      </c>
      <c r="N3314">
        <v>-1.4408560000000001E-2</v>
      </c>
      <c r="O3314">
        <v>-3.4959539999999999E-3</v>
      </c>
      <c r="P3314">
        <v>0.97572060000000005</v>
      </c>
      <c r="Q3314">
        <v>0.21878800000000001</v>
      </c>
      <c r="R3314">
        <v>1.0047779999999999E-2</v>
      </c>
      <c r="S3314">
        <v>3.0896910000000002</v>
      </c>
      <c r="T3314">
        <v>-5.5203080000000002E-2</v>
      </c>
      <c r="U3314">
        <v>-0.39596559999999997</v>
      </c>
      <c r="V3314">
        <v>-1.3450449999999999E-2</v>
      </c>
      <c r="W3314">
        <v>0.2328239</v>
      </c>
      <c r="X3314">
        <v>0.97242589999999995</v>
      </c>
      <c r="Y3314">
        <v>0.1236134</v>
      </c>
      <c r="Z3314">
        <v>-1.982026E-3</v>
      </c>
      <c r="AA3314">
        <v>0.99232849999999995</v>
      </c>
      <c r="AB3314">
        <v>32</v>
      </c>
      <c r="AC3314">
        <v>58.000499999999903</v>
      </c>
      <c r="AD3314">
        <v>-1.04174929</v>
      </c>
      <c r="AE3314">
        <v>-7.4711999999999801</v>
      </c>
      <c r="AF3314">
        <v>7.2660604230818198</v>
      </c>
      <c r="AG3314">
        <v>-1.04174929</v>
      </c>
      <c r="AH3314">
        <v>58.007859339621803</v>
      </c>
      <c r="AI3314">
        <v>91.020874711637205</v>
      </c>
      <c r="AJ3314">
        <v>82.860320327839105</v>
      </c>
      <c r="AK3314">
        <v>58.470442283434402</v>
      </c>
      <c r="AL3314">
        <v>76.536616332720499</v>
      </c>
      <c r="AM3314">
        <v>90.792456140865895</v>
      </c>
      <c r="AN3314">
        <v>1.0000000070036099</v>
      </c>
    </row>
    <row r="3315" spans="1:40" x14ac:dyDescent="0.25">
      <c r="A3315" t="str">
        <f>"20190303162845918"</f>
        <v>20190303162845918</v>
      </c>
      <c r="B3315" t="str">
        <f>"1551601725915081"</f>
        <v>1551601725915081</v>
      </c>
      <c r="C3315" t="s">
        <v>40</v>
      </c>
      <c r="D3315">
        <v>4.8515860000000002</v>
      </c>
      <c r="E3315">
        <v>0.55450600000000005</v>
      </c>
      <c r="F3315" t="s">
        <v>48</v>
      </c>
      <c r="G3315">
        <v>-247.65950000000001</v>
      </c>
      <c r="H3315">
        <v>8.0001050000000004E-2</v>
      </c>
      <c r="I3315">
        <v>206.17679999999999</v>
      </c>
      <c r="J3315">
        <v>-311.40030000000002</v>
      </c>
      <c r="K3315">
        <v>1.1217569999999999</v>
      </c>
      <c r="L3315">
        <v>214.38980000000001</v>
      </c>
      <c r="M3315">
        <v>0.99989030000000001</v>
      </c>
      <c r="N3315">
        <v>-1.440524E-2</v>
      </c>
      <c r="O3315">
        <v>-3.4960500000000001E-3</v>
      </c>
      <c r="P3315">
        <v>0.9752402</v>
      </c>
      <c r="Q3315">
        <v>0.220918</v>
      </c>
      <c r="R3315">
        <v>1.010636E-2</v>
      </c>
      <c r="S3315">
        <v>3.0899960000000002</v>
      </c>
      <c r="T3315">
        <v>-5.0253270000000003E-2</v>
      </c>
      <c r="U3315">
        <v>-0.39624019999999999</v>
      </c>
      <c r="V3315">
        <v>-1.350735E-2</v>
      </c>
      <c r="W3315">
        <v>0.2349436</v>
      </c>
      <c r="X3315">
        <v>0.97191510000000003</v>
      </c>
      <c r="Y3315">
        <v>0.12369239999999999</v>
      </c>
      <c r="Z3315">
        <v>-1.8898929999999999E-3</v>
      </c>
      <c r="AA3315">
        <v>0.99231879999999995</v>
      </c>
      <c r="AB3315">
        <v>32</v>
      </c>
      <c r="AC3315">
        <v>63.7408</v>
      </c>
      <c r="AD3315">
        <v>-1.04175595</v>
      </c>
      <c r="AE3315">
        <v>-8.2130000000000205</v>
      </c>
      <c r="AF3315">
        <v>7.98798682966002</v>
      </c>
      <c r="AG3315">
        <v>-1.04175595</v>
      </c>
      <c r="AH3315">
        <v>63.752375361939698</v>
      </c>
      <c r="AI3315">
        <v>90.928905659601796</v>
      </c>
      <c r="AJ3315">
        <v>82.858224389318906</v>
      </c>
      <c r="AK3315">
        <v>64.259307133985203</v>
      </c>
      <c r="AL3315">
        <v>76.411701132696805</v>
      </c>
      <c r="AM3315">
        <v>90.796226262228402</v>
      </c>
      <c r="AN3315">
        <v>0.99999995264649499</v>
      </c>
    </row>
    <row r="3316" spans="1:40" x14ac:dyDescent="0.25">
      <c r="A3316" t="str">
        <f>"20190303162845941"</f>
        <v>20190303162845941</v>
      </c>
      <c r="B3316" t="str">
        <f>"1551601725934601"</f>
        <v>1551601725934601</v>
      </c>
      <c r="C3316" t="s">
        <v>40</v>
      </c>
      <c r="D3316">
        <v>4.8492189999999997</v>
      </c>
      <c r="E3316">
        <v>0.55461689999999997</v>
      </c>
      <c r="F3316" t="s">
        <v>48</v>
      </c>
      <c r="G3316">
        <v>-240.12289999999999</v>
      </c>
      <c r="H3316">
        <v>8.0001820000000001E-2</v>
      </c>
      <c r="I3316">
        <v>205.20359999999999</v>
      </c>
      <c r="J3316">
        <v>-311.0702</v>
      </c>
      <c r="K3316">
        <v>1.121761</v>
      </c>
      <c r="L3316">
        <v>214.3886</v>
      </c>
      <c r="M3316">
        <v>0.99989030000000001</v>
      </c>
      <c r="N3316">
        <v>-1.440174E-2</v>
      </c>
      <c r="O3316">
        <v>-3.4960239999999999E-3</v>
      </c>
      <c r="P3316">
        <v>0.97500909999999996</v>
      </c>
      <c r="Q3316">
        <v>0.2219537</v>
      </c>
      <c r="R3316">
        <v>9.7030559999999998E-3</v>
      </c>
      <c r="S3316">
        <v>3.0904850000000001</v>
      </c>
      <c r="T3316">
        <v>-4.5169000000000001E-2</v>
      </c>
      <c r="U3316">
        <v>-0.39830019999999999</v>
      </c>
      <c r="V3316">
        <v>-1.3103109999999999E-2</v>
      </c>
      <c r="W3316">
        <v>0.2359724</v>
      </c>
      <c r="X3316">
        <v>0.97167139999999996</v>
      </c>
      <c r="Y3316">
        <v>0.1243277</v>
      </c>
      <c r="Z3316">
        <v>-1.8031290000000001E-3</v>
      </c>
      <c r="AA3316">
        <v>0.9922396</v>
      </c>
      <c r="AB3316">
        <v>32</v>
      </c>
      <c r="AC3316">
        <v>70.947299999999998</v>
      </c>
      <c r="AD3316">
        <v>-1.0417591799999999</v>
      </c>
      <c r="AE3316">
        <v>-9.1850000000000005</v>
      </c>
      <c r="AF3316">
        <v>8.9349900074991204</v>
      </c>
      <c r="AG3316">
        <v>-1.0417591799999999</v>
      </c>
      <c r="AH3316">
        <v>70.963932540985695</v>
      </c>
      <c r="AI3316">
        <v>90.834461188415005</v>
      </c>
      <c r="AJ3316">
        <v>82.823714976483203</v>
      </c>
      <c r="AK3316">
        <v>71.531804327199794</v>
      </c>
      <c r="AL3316">
        <v>76.351050475305101</v>
      </c>
      <c r="AM3316">
        <v>90.772593902295796</v>
      </c>
      <c r="AN3316">
        <v>0.99999998731569595</v>
      </c>
    </row>
    <row r="3317" spans="1:40" x14ac:dyDescent="0.25">
      <c r="A3317" t="str">
        <f>"20190303162845962"</f>
        <v>20190303162845962</v>
      </c>
      <c r="B3317" t="str">
        <f>"1551601725955114"</f>
        <v>1551601725955114</v>
      </c>
      <c r="C3317" t="s">
        <v>40</v>
      </c>
      <c r="D3317">
        <v>4.809844</v>
      </c>
      <c r="E3317">
        <v>0.55462549999999999</v>
      </c>
      <c r="F3317" t="s">
        <v>48</v>
      </c>
      <c r="G3317">
        <v>-236.17959999999999</v>
      </c>
      <c r="H3317">
        <v>8.0001550000000005E-2</v>
      </c>
      <c r="I3317">
        <v>204.6644</v>
      </c>
      <c r="J3317">
        <v>-310.76369999999997</v>
      </c>
      <c r="K3317">
        <v>1.1217600000000001</v>
      </c>
      <c r="L3317">
        <v>214.38749999999999</v>
      </c>
      <c r="M3317">
        <v>0.99989030000000001</v>
      </c>
      <c r="N3317">
        <v>-1.439846E-2</v>
      </c>
      <c r="O3317">
        <v>-3.4960009999999999E-3</v>
      </c>
      <c r="P3317">
        <v>0.9750027</v>
      </c>
      <c r="Q3317">
        <v>0.22202259999999999</v>
      </c>
      <c r="R3317">
        <v>8.7040039999999996E-3</v>
      </c>
      <c r="S3317">
        <v>3.0906370000000001</v>
      </c>
      <c r="T3317">
        <v>-4.2992000000000002E-2</v>
      </c>
      <c r="U3317">
        <v>-0.4013062</v>
      </c>
      <c r="V3317">
        <v>-1.210396E-2</v>
      </c>
      <c r="W3317">
        <v>0.2360382</v>
      </c>
      <c r="X3317">
        <v>0.97166839999999999</v>
      </c>
      <c r="Y3317">
        <v>0.1252723</v>
      </c>
      <c r="Z3317">
        <v>-1.77509E-3</v>
      </c>
      <c r="AA3317">
        <v>0.99212080000000002</v>
      </c>
      <c r="AB3317">
        <v>32</v>
      </c>
      <c r="AC3317">
        <v>74.584099999999907</v>
      </c>
      <c r="AD3317">
        <v>-1.0417584499999999</v>
      </c>
      <c r="AE3317">
        <v>-9.7230999999999792</v>
      </c>
      <c r="AF3317">
        <v>9.4604526434138201</v>
      </c>
      <c r="AG3317">
        <v>-1.0417584499999999</v>
      </c>
      <c r="AH3317">
        <v>74.603328245269395</v>
      </c>
      <c r="AI3317">
        <v>90.7936692634797</v>
      </c>
      <c r="AJ3317">
        <v>82.772893138855807</v>
      </c>
      <c r="AK3317">
        <v>75.207991664169796</v>
      </c>
      <c r="AL3317">
        <v>76.347171116219698</v>
      </c>
      <c r="AM3317">
        <v>90.713689933098294</v>
      </c>
      <c r="AN3317">
        <v>1.0000000086327401</v>
      </c>
    </row>
    <row r="3318" spans="1:40" x14ac:dyDescent="0.25">
      <c r="A3318" t="str">
        <f>"20190303162845977"</f>
        <v>20190303162845977</v>
      </c>
      <c r="B3318" t="str">
        <f>"1551601725964863"</f>
        <v>1551601725964863</v>
      </c>
      <c r="C3318" t="s">
        <v>40</v>
      </c>
      <c r="D3318">
        <v>4.7665230000000003</v>
      </c>
      <c r="E3318">
        <v>0.55463580000000001</v>
      </c>
      <c r="F3318" t="s">
        <v>48</v>
      </c>
      <c r="G3318">
        <v>-240.4659</v>
      </c>
      <c r="H3318">
        <v>8.0001729999999993E-2</v>
      </c>
      <c r="I3318">
        <v>205.2039</v>
      </c>
      <c r="J3318">
        <v>-310.56240000000003</v>
      </c>
      <c r="K3318">
        <v>1.1217600000000001</v>
      </c>
      <c r="L3318">
        <v>214.38679999999999</v>
      </c>
      <c r="M3318">
        <v>0.99989030000000001</v>
      </c>
      <c r="N3318">
        <v>-1.4396320000000001E-2</v>
      </c>
      <c r="O3318">
        <v>-3.4959850000000001E-3</v>
      </c>
      <c r="P3318">
        <v>0.97510419999999998</v>
      </c>
      <c r="Q3318">
        <v>0.2215956</v>
      </c>
      <c r="R3318">
        <v>8.1865410000000003E-3</v>
      </c>
      <c r="S3318">
        <v>3.0909119999999999</v>
      </c>
      <c r="T3318">
        <v>-4.5804860000000003E-2</v>
      </c>
      <c r="U3318">
        <v>-0.40379330000000002</v>
      </c>
      <c r="V3318">
        <v>-1.158673E-2</v>
      </c>
      <c r="W3318">
        <v>0.23561090000000001</v>
      </c>
      <c r="X3318">
        <v>0.97177840000000004</v>
      </c>
      <c r="Y3318">
        <v>0.1260435</v>
      </c>
      <c r="Z3318">
        <v>-1.839734E-3</v>
      </c>
      <c r="AA3318">
        <v>0.99202299999999999</v>
      </c>
      <c r="AB3318">
        <v>32</v>
      </c>
      <c r="AC3318">
        <v>70.096500000000006</v>
      </c>
      <c r="AD3318">
        <v>-1.0417582700000001</v>
      </c>
      <c r="AE3318">
        <v>-9.1828999999999894</v>
      </c>
      <c r="AF3318">
        <v>8.9358217969031806</v>
      </c>
      <c r="AG3318">
        <v>-1.0417582700000001</v>
      </c>
      <c r="AH3318">
        <v>70.112953437020295</v>
      </c>
      <c r="AI3318">
        <v>90.8444249336046</v>
      </c>
      <c r="AJ3318">
        <v>82.736870134968697</v>
      </c>
      <c r="AK3318">
        <v>70.6877670544268</v>
      </c>
      <c r="AL3318">
        <v>76.372364086392594</v>
      </c>
      <c r="AM3318">
        <v>90.683117952307299</v>
      </c>
      <c r="AN3318">
        <v>1.00000000360873</v>
      </c>
    </row>
    <row r="3319" spans="1:40" x14ac:dyDescent="0.25">
      <c r="A3319" t="str">
        <f>"20190303162845991"</f>
        <v>20190303162845991</v>
      </c>
      <c r="B3319" t="str">
        <f>"1551601725985359"</f>
        <v>1551601725985359</v>
      </c>
      <c r="C3319" t="s">
        <v>40</v>
      </c>
      <c r="D3319">
        <v>4.7634280000000002</v>
      </c>
      <c r="E3319">
        <v>0.55467949999999999</v>
      </c>
      <c r="F3319" t="s">
        <v>48</v>
      </c>
      <c r="G3319">
        <v>-243.52760000000001</v>
      </c>
      <c r="H3319">
        <v>8.0000829999999995E-2</v>
      </c>
      <c r="I3319">
        <v>205.5941</v>
      </c>
      <c r="J3319">
        <v>-310.3673</v>
      </c>
      <c r="K3319">
        <v>1.121759</v>
      </c>
      <c r="L3319">
        <v>214.3862</v>
      </c>
      <c r="M3319">
        <v>0.99989030000000001</v>
      </c>
      <c r="N3319">
        <v>-1.4394219999999999E-2</v>
      </c>
      <c r="O3319">
        <v>-3.4959700000000002E-3</v>
      </c>
      <c r="P3319">
        <v>0.97510730000000001</v>
      </c>
      <c r="Q3319">
        <v>0.2216024</v>
      </c>
      <c r="R3319">
        <v>7.6423259999999996E-3</v>
      </c>
      <c r="S3319">
        <v>3.0909119999999999</v>
      </c>
      <c r="T3319">
        <v>-4.8034550000000002E-2</v>
      </c>
      <c r="U3319">
        <v>-0.40542600000000001</v>
      </c>
      <c r="V3319">
        <v>-1.1042710000000001E-2</v>
      </c>
      <c r="W3319">
        <v>0.23561560000000001</v>
      </c>
      <c r="X3319">
        <v>0.97178359999999997</v>
      </c>
      <c r="Y3319">
        <v>0.12655649999999999</v>
      </c>
      <c r="Z3319">
        <v>-1.890028E-3</v>
      </c>
      <c r="AA3319">
        <v>0.99195759999999999</v>
      </c>
      <c r="AB3319">
        <v>32</v>
      </c>
      <c r="AC3319">
        <v>66.839699999999993</v>
      </c>
      <c r="AD3319">
        <v>-1.04175817</v>
      </c>
      <c r="AE3319">
        <v>-8.7920999999999996</v>
      </c>
      <c r="AF3319">
        <v>8.5563093131279508</v>
      </c>
      <c r="AG3319">
        <v>-1.04175817</v>
      </c>
      <c r="AH3319">
        <v>66.854067538678095</v>
      </c>
      <c r="AI3319">
        <v>90.885521373383696</v>
      </c>
      <c r="AJ3319">
        <v>82.706656460602204</v>
      </c>
      <c r="AK3319">
        <v>67.407433088738898</v>
      </c>
      <c r="AL3319">
        <v>76.372087067619802</v>
      </c>
      <c r="AM3319">
        <v>90.651043552173306</v>
      </c>
      <c r="AN3319">
        <v>1.0000000088182299</v>
      </c>
    </row>
    <row r="3320" spans="1:40" x14ac:dyDescent="0.25">
      <c r="A3320" t="str">
        <f>"20190303162846006"</f>
        <v>20190303162846006</v>
      </c>
      <c r="B3320" t="str">
        <f>"1551601725995119"</f>
        <v>1551601725995119</v>
      </c>
      <c r="C3320" t="s">
        <v>40</v>
      </c>
      <c r="D3320">
        <v>4.7773700000000003</v>
      </c>
      <c r="E3320">
        <v>0.5547048</v>
      </c>
      <c r="F3320" t="s">
        <v>48</v>
      </c>
      <c r="G3320">
        <v>-245.52369999999999</v>
      </c>
      <c r="H3320">
        <v>8.000169E-2</v>
      </c>
      <c r="I3320">
        <v>205.8348</v>
      </c>
      <c r="J3320">
        <v>-310.14100000000002</v>
      </c>
      <c r="K3320">
        <v>1.1217569999999999</v>
      </c>
      <c r="L3320">
        <v>214.3853</v>
      </c>
      <c r="M3320">
        <v>0.99989039999999996</v>
      </c>
      <c r="N3320">
        <v>-1.439175E-2</v>
      </c>
      <c r="O3320">
        <v>-3.4961910000000001E-3</v>
      </c>
      <c r="P3320">
        <v>0.9751959</v>
      </c>
      <c r="Q3320">
        <v>0.22122939999999999</v>
      </c>
      <c r="R3320">
        <v>7.1300030000000002E-3</v>
      </c>
      <c r="S3320">
        <v>3.0910639999999998</v>
      </c>
      <c r="T3320">
        <v>-4.9660089999999997E-2</v>
      </c>
      <c r="U3320">
        <v>-0.40763850000000001</v>
      </c>
      <c r="V3320">
        <v>-1.0531189999999999E-2</v>
      </c>
      <c r="W3320">
        <v>0.23524110000000001</v>
      </c>
      <c r="X3320">
        <v>0.97187999999999997</v>
      </c>
      <c r="Y3320">
        <v>0.1272462</v>
      </c>
      <c r="Z3320">
        <v>-1.9316170000000001E-3</v>
      </c>
      <c r="AA3320">
        <v>0.99186929999999995</v>
      </c>
      <c r="AB3320">
        <v>32</v>
      </c>
      <c r="AC3320">
        <v>64.617299999999901</v>
      </c>
      <c r="AD3320">
        <v>-1.0417553100000001</v>
      </c>
      <c r="AE3320">
        <v>-8.5504999999999995</v>
      </c>
      <c r="AF3320">
        <v>8.3223840262772608</v>
      </c>
      <c r="AG3320">
        <v>-1.0417553100000001</v>
      </c>
      <c r="AH3320">
        <v>64.630292872522801</v>
      </c>
      <c r="AI3320">
        <v>90.915891736682497</v>
      </c>
      <c r="AJ3320">
        <v>82.6624525971433</v>
      </c>
      <c r="AK3320">
        <v>65.172249361172305</v>
      </c>
      <c r="AL3320">
        <v>76.394164892501394</v>
      </c>
      <c r="AM3320">
        <v>90.620826774704895</v>
      </c>
      <c r="AN3320">
        <v>1.0000000077460101</v>
      </c>
    </row>
    <row r="3321" spans="1:40" x14ac:dyDescent="0.25">
      <c r="A3321" t="str">
        <f>"20190303162846030"</f>
        <v>20190303162846030</v>
      </c>
      <c r="B3321" t="str">
        <f>"1551601726025374"</f>
        <v>1551601726025374</v>
      </c>
      <c r="C3321" t="s">
        <v>40</v>
      </c>
      <c r="D3321">
        <v>4.8116159999999999</v>
      </c>
      <c r="E3321">
        <v>0.55462500000000003</v>
      </c>
      <c r="F3321" t="s">
        <v>48</v>
      </c>
      <c r="G3321">
        <v>-246.74359999999999</v>
      </c>
      <c r="H3321">
        <v>8.0001329999999996E-2</v>
      </c>
      <c r="I3321">
        <v>205.96209999999999</v>
      </c>
      <c r="J3321">
        <v>-309.8159</v>
      </c>
      <c r="K3321">
        <v>1.1217520000000001</v>
      </c>
      <c r="L3321">
        <v>214.38419999999999</v>
      </c>
      <c r="M3321">
        <v>0.99989039999999996</v>
      </c>
      <c r="N3321">
        <v>-1.4388150000000001E-2</v>
      </c>
      <c r="O3321">
        <v>-3.4961649999999999E-3</v>
      </c>
      <c r="P3321">
        <v>0.97537640000000003</v>
      </c>
      <c r="Q3321">
        <v>0.22042300000000001</v>
      </c>
      <c r="R3321">
        <v>7.4089519999999999E-3</v>
      </c>
      <c r="S3321">
        <v>3.0908199999999999</v>
      </c>
      <c r="T3321">
        <v>-5.0788880000000002E-2</v>
      </c>
      <c r="U3321">
        <v>-0.41065980000000002</v>
      </c>
      <c r="V3321">
        <v>-1.081095E-2</v>
      </c>
      <c r="W3321">
        <v>0.23443420000000001</v>
      </c>
      <c r="X3321">
        <v>0.97207189999999999</v>
      </c>
      <c r="Y3321">
        <v>0.12820790000000001</v>
      </c>
      <c r="Z3321">
        <v>-1.9681220000000001E-3</v>
      </c>
      <c r="AA3321">
        <v>0.9917454</v>
      </c>
      <c r="AB3321">
        <v>32</v>
      </c>
      <c r="AC3321">
        <v>63.072299999999998</v>
      </c>
      <c r="AD3321">
        <v>-1.0417506700000001</v>
      </c>
      <c r="AE3321">
        <v>-8.4221000000000004</v>
      </c>
      <c r="AF3321">
        <v>8.1993169072462493</v>
      </c>
      <c r="AG3321">
        <v>-1.0417506700000001</v>
      </c>
      <c r="AH3321">
        <v>63.0844543555922</v>
      </c>
      <c r="AI3321">
        <v>90.938183070929</v>
      </c>
      <c r="AJ3321">
        <v>82.594572425702296</v>
      </c>
      <c r="AK3321">
        <v>63.623599580239897</v>
      </c>
      <c r="AL3321">
        <v>76.441727184988906</v>
      </c>
      <c r="AM3321">
        <v>90.637191827966205</v>
      </c>
      <c r="AN3321">
        <v>1.00000002476957</v>
      </c>
    </row>
    <row r="3322" spans="1:40" x14ac:dyDescent="0.25">
      <c r="A3322" t="str">
        <f>"20190303162846044"</f>
        <v>20190303162846044</v>
      </c>
      <c r="B3322" t="str">
        <f>"1551601726035135"</f>
        <v>1551601726035135</v>
      </c>
      <c r="C3322" t="s">
        <v>40</v>
      </c>
      <c r="D3322">
        <v>4.798686</v>
      </c>
      <c r="E3322">
        <v>0.54320290000000004</v>
      </c>
      <c r="F3322" t="s">
        <v>48</v>
      </c>
      <c r="G3322">
        <v>-251.49449999999999</v>
      </c>
      <c r="H3322">
        <v>8.0001379999999997E-2</v>
      </c>
      <c r="I3322">
        <v>206.65629999999999</v>
      </c>
      <c r="J3322">
        <v>-309.61509999999998</v>
      </c>
      <c r="K3322">
        <v>1.121753</v>
      </c>
      <c r="L3322">
        <v>214.3835</v>
      </c>
      <c r="M3322">
        <v>0.99989059999999996</v>
      </c>
      <c r="N3322">
        <v>-1.43859E-2</v>
      </c>
      <c r="O3322">
        <v>-3.496149E-3</v>
      </c>
      <c r="P3322">
        <v>0.97538199999999997</v>
      </c>
      <c r="Q3322">
        <v>0.22040029999999999</v>
      </c>
      <c r="R3322">
        <v>7.332814E-3</v>
      </c>
      <c r="S3322">
        <v>3.0913390000000001</v>
      </c>
      <c r="T3322">
        <v>-5.5218219999999998E-2</v>
      </c>
      <c r="U3322">
        <v>-0.40962219999999999</v>
      </c>
      <c r="V3322">
        <v>-1.073408E-2</v>
      </c>
      <c r="W3322">
        <v>0.23440910000000001</v>
      </c>
      <c r="X3322">
        <v>0.97207880000000002</v>
      </c>
      <c r="Y3322">
        <v>0.12785479999999999</v>
      </c>
      <c r="Z3322">
        <v>-2.0485740000000001E-3</v>
      </c>
      <c r="AA3322">
        <v>0.99179079999999997</v>
      </c>
      <c r="AB3322">
        <v>32</v>
      </c>
      <c r="AC3322">
        <v>58.120600000000003</v>
      </c>
      <c r="AD3322">
        <v>-1.0417516200000001</v>
      </c>
      <c r="AE3322">
        <v>-7.7272000000000096</v>
      </c>
      <c r="AF3322">
        <v>7.5215590283376299</v>
      </c>
      <c r="AG3322">
        <v>-1.0417516200000001</v>
      </c>
      <c r="AH3322">
        <v>58.128912328327999</v>
      </c>
      <c r="AI3322">
        <v>91.018223971810301</v>
      </c>
      <c r="AJ3322">
        <v>82.627208982991604</v>
      </c>
      <c r="AK3322">
        <v>58.622773263715402</v>
      </c>
      <c r="AL3322">
        <v>76.443206465389807</v>
      </c>
      <c r="AM3322">
        <v>90.632657028931206</v>
      </c>
      <c r="AN3322">
        <v>1.0000000200228401</v>
      </c>
    </row>
    <row r="3323" spans="1:40" x14ac:dyDescent="0.25">
      <c r="A3323" t="str">
        <f>"20190303162846063"</f>
        <v>20190303162846063</v>
      </c>
      <c r="B3323" t="str">
        <f>"1551601726054655"</f>
        <v>1551601726054655</v>
      </c>
      <c r="C3323" t="s">
        <v>40</v>
      </c>
      <c r="D3323">
        <v>4.8023699999999998</v>
      </c>
      <c r="E3323">
        <v>0.53963280000000002</v>
      </c>
      <c r="F3323" t="s">
        <v>48</v>
      </c>
      <c r="G3323">
        <v>-274.19850000000002</v>
      </c>
      <c r="H3323" s="1">
        <v>8.6647859999999996E-7</v>
      </c>
      <c r="I3323">
        <v>210.74879999999999</v>
      </c>
      <c r="J3323">
        <v>-309.34460000000001</v>
      </c>
      <c r="K3323">
        <v>1.1217549999999901</v>
      </c>
      <c r="L3323">
        <v>214.3826</v>
      </c>
      <c r="M3323">
        <v>0.99989059999999996</v>
      </c>
      <c r="N3323">
        <v>-1.438273E-2</v>
      </c>
      <c r="O3323">
        <v>-3.4962460000000002E-3</v>
      </c>
      <c r="P3323">
        <v>0.97534069999999995</v>
      </c>
      <c r="Q3323">
        <v>0.220585</v>
      </c>
      <c r="R3323">
        <v>7.2846780000000002E-3</v>
      </c>
      <c r="S3323">
        <v>3.1003419999999999</v>
      </c>
      <c r="T3323">
        <v>-9.8197220000000002E-2</v>
      </c>
      <c r="U3323">
        <v>-0.31817630000000002</v>
      </c>
      <c r="V3323">
        <v>-1.068585E-2</v>
      </c>
      <c r="W3323">
        <v>0.2345904</v>
      </c>
      <c r="X3323">
        <v>0.9720356</v>
      </c>
      <c r="Y3323">
        <v>9.8540219999999998E-2</v>
      </c>
      <c r="Z3323">
        <v>-2.2065850000000001E-3</v>
      </c>
      <c r="AA3323">
        <v>0.99513059999999998</v>
      </c>
      <c r="AB3323">
        <v>32</v>
      </c>
      <c r="AC3323">
        <v>35.146099999999898</v>
      </c>
      <c r="AD3323">
        <v>-1.1217541335214001</v>
      </c>
      <c r="AE3323">
        <v>-3.6337999999999999</v>
      </c>
      <c r="AF3323">
        <v>3.5073505756885499</v>
      </c>
      <c r="AG3323">
        <v>-1.1217541335214001</v>
      </c>
      <c r="AH3323">
        <v>35.123189984399403</v>
      </c>
      <c r="AI3323">
        <v>91.820227237719493</v>
      </c>
      <c r="AJ3323">
        <v>84.297431620186202</v>
      </c>
      <c r="AK3323">
        <v>35.315695024692197</v>
      </c>
      <c r="AL3323">
        <v>76.432520857679606</v>
      </c>
      <c r="AM3323">
        <v>90.629842614052194</v>
      </c>
      <c r="AN3323">
        <v>1.00000002541487</v>
      </c>
    </row>
    <row r="3324" spans="1:40" x14ac:dyDescent="0.25">
      <c r="A3324" t="str">
        <f>"20190303162846086"</f>
        <v>20190303162846086</v>
      </c>
      <c r="B3324" t="str">
        <f>"1551601726075151"</f>
        <v>1551601726075151</v>
      </c>
      <c r="C3324" t="s">
        <v>40</v>
      </c>
      <c r="D3324">
        <v>4.7472719999999997</v>
      </c>
      <c r="E3324">
        <v>0.53873289999999996</v>
      </c>
      <c r="F3324" t="s">
        <v>48</v>
      </c>
      <c r="G3324">
        <v>-277.72329999999999</v>
      </c>
      <c r="H3324" s="1">
        <v>2.7121930000000001E-6</v>
      </c>
      <c r="I3324">
        <v>211.43549999999999</v>
      </c>
      <c r="J3324">
        <v>-309.02699999999999</v>
      </c>
      <c r="K3324">
        <v>1.1217539999999999</v>
      </c>
      <c r="L3324">
        <v>214.38149999999999</v>
      </c>
      <c r="M3324">
        <v>0.99989050000000002</v>
      </c>
      <c r="N3324">
        <v>-1.437916E-2</v>
      </c>
      <c r="O3324">
        <v>-3.4961010000000002E-3</v>
      </c>
      <c r="P3324">
        <v>0.97549030000000003</v>
      </c>
      <c r="Q3324">
        <v>0.21993470000000001</v>
      </c>
      <c r="R3324">
        <v>6.8719519999999997E-3</v>
      </c>
      <c r="S3324">
        <v>3.1029360000000001</v>
      </c>
      <c r="T3324">
        <v>-0.1100751</v>
      </c>
      <c r="U3324">
        <v>-0.28918460000000001</v>
      </c>
      <c r="V3324">
        <v>-1.0273600000000001E-2</v>
      </c>
      <c r="W3324">
        <v>0.23393910000000001</v>
      </c>
      <c r="X3324">
        <v>0.97219699999999998</v>
      </c>
      <c r="Y3324">
        <v>8.9235419999999996E-2</v>
      </c>
      <c r="Z3324">
        <v>-2.148591E-3</v>
      </c>
      <c r="AA3324">
        <v>0.99600820000000001</v>
      </c>
      <c r="AB3324">
        <v>31</v>
      </c>
      <c r="AC3324">
        <v>31.3036999999999</v>
      </c>
      <c r="AD3324">
        <v>-1.121751287807</v>
      </c>
      <c r="AE3324">
        <v>-2.94599999999999</v>
      </c>
      <c r="AF3324">
        <v>2.8329239328635301</v>
      </c>
      <c r="AG3324">
        <v>-1.121751287807</v>
      </c>
      <c r="AH3324">
        <v>31.2740025670169</v>
      </c>
      <c r="AI3324">
        <v>92.045863198611698</v>
      </c>
      <c r="AJ3324">
        <v>84.824045868899901</v>
      </c>
      <c r="AK3324">
        <v>31.422078551917402</v>
      </c>
      <c r="AL3324">
        <v>76.470905777905401</v>
      </c>
      <c r="AM3324">
        <v>90.605445203950396</v>
      </c>
      <c r="AN3324">
        <v>1.00000002808738</v>
      </c>
    </row>
    <row r="3325" spans="1:40" x14ac:dyDescent="0.25">
      <c r="A3325" t="str">
        <f>"20190303162846110"</f>
        <v>20190303162846110</v>
      </c>
      <c r="B3325" t="str">
        <f>"1551601726105408"</f>
        <v>1551601726105408</v>
      </c>
      <c r="C3325" t="s">
        <v>40</v>
      </c>
      <c r="D3325">
        <v>4.7678310000000002</v>
      </c>
      <c r="E3325">
        <v>0.53852500000000003</v>
      </c>
      <c r="F3325" t="s">
        <v>48</v>
      </c>
      <c r="G3325">
        <v>-278.87920000000003</v>
      </c>
      <c r="H3325" s="1">
        <v>3.3185609999999999E-6</v>
      </c>
      <c r="I3325">
        <v>211.6352</v>
      </c>
      <c r="J3325">
        <v>-308.7013</v>
      </c>
      <c r="K3325">
        <v>1.121753</v>
      </c>
      <c r="L3325">
        <v>214.38030000000001</v>
      </c>
      <c r="M3325">
        <v>0.99989059999999996</v>
      </c>
      <c r="N3325">
        <v>-1.4375499999999999E-2</v>
      </c>
      <c r="O3325">
        <v>-3.496075E-3</v>
      </c>
      <c r="P3325">
        <v>0.97574260000000002</v>
      </c>
      <c r="Q3325">
        <v>0.2188397</v>
      </c>
      <c r="R3325">
        <v>5.98206E-3</v>
      </c>
      <c r="S3325">
        <v>3.103424</v>
      </c>
      <c r="T3325">
        <v>-0.11547300000000001</v>
      </c>
      <c r="U3325">
        <v>-0.282699599999999</v>
      </c>
      <c r="V3325">
        <v>-9.3846710000000007E-3</v>
      </c>
      <c r="W3325">
        <v>0.23284389999999999</v>
      </c>
      <c r="X3325">
        <v>0.97246889999999997</v>
      </c>
      <c r="Y3325">
        <v>8.7152439999999998E-2</v>
      </c>
      <c r="Z3325">
        <v>-2.165929E-3</v>
      </c>
      <c r="AA3325">
        <v>0.99619259999999998</v>
      </c>
      <c r="AB3325">
        <v>31</v>
      </c>
      <c r="AC3325">
        <v>29.822099999999899</v>
      </c>
      <c r="AD3325">
        <v>-1.121749681439</v>
      </c>
      <c r="AE3325">
        <v>-2.7450999999999999</v>
      </c>
      <c r="AF3325">
        <v>2.63711233901159</v>
      </c>
      <c r="AG3325">
        <v>-1.121749681439</v>
      </c>
      <c r="AH3325">
        <v>29.7897214244332</v>
      </c>
      <c r="AI3325">
        <v>92.148095310289193</v>
      </c>
      <c r="AJ3325">
        <v>84.941122072653002</v>
      </c>
      <c r="AK3325">
        <v>29.9272482260182</v>
      </c>
      <c r="AL3325">
        <v>76.535438728027998</v>
      </c>
      <c r="AM3325">
        <v>90.552907501104499</v>
      </c>
      <c r="AN3325">
        <v>1.00000005764209</v>
      </c>
    </row>
    <row r="3326" spans="1:40" x14ac:dyDescent="0.25">
      <c r="A3326" t="str">
        <f>"20190303162846132"</f>
        <v>20190303162846132</v>
      </c>
      <c r="B3326" t="str">
        <f>"1551601726124928"</f>
        <v>1551601726124928</v>
      </c>
      <c r="C3326" t="s">
        <v>40</v>
      </c>
      <c r="D3326">
        <v>4.7871110000000003</v>
      </c>
      <c r="E3326">
        <v>0.53854230000000003</v>
      </c>
      <c r="F3326" t="s">
        <v>49</v>
      </c>
      <c r="G3326">
        <v>-280.26580000000001</v>
      </c>
      <c r="H3326" s="1">
        <v>7.3114899999999902E-6</v>
      </c>
      <c r="I3326">
        <v>211.77709999999999</v>
      </c>
      <c r="J3326">
        <v>-308.38380000000001</v>
      </c>
      <c r="K3326">
        <v>1.1217549999999901</v>
      </c>
      <c r="L3326">
        <v>214.3792</v>
      </c>
      <c r="M3326">
        <v>0.99989070000000002</v>
      </c>
      <c r="N3326">
        <v>-1.437197E-2</v>
      </c>
      <c r="O3326">
        <v>-3.4961689999999999E-3</v>
      </c>
      <c r="P3326">
        <v>0.9759698</v>
      </c>
      <c r="Q3326">
        <v>0.21785930000000001</v>
      </c>
      <c r="R3326">
        <v>4.5499109999999898E-3</v>
      </c>
      <c r="S3326">
        <v>3.10379</v>
      </c>
      <c r="T3326">
        <v>-0.1224411</v>
      </c>
      <c r="U3326">
        <v>-0.28414919999999999</v>
      </c>
      <c r="V3326">
        <v>-7.9537150000000001E-3</v>
      </c>
      <c r="W3326">
        <v>0.2318635</v>
      </c>
      <c r="X3326">
        <v>0.97271589999999997</v>
      </c>
      <c r="Y3326">
        <v>8.7594050000000007E-2</v>
      </c>
      <c r="Z3326">
        <v>-2.2671610000000002E-3</v>
      </c>
      <c r="AA3326">
        <v>0.99615370000000003</v>
      </c>
      <c r="AB3326">
        <v>31</v>
      </c>
      <c r="AC3326">
        <v>28.117999999999899</v>
      </c>
      <c r="AD3326">
        <v>-1.12174768850999</v>
      </c>
      <c r="AE3326">
        <v>-2.6021000000000001</v>
      </c>
      <c r="AF3326">
        <v>2.4998238465576201</v>
      </c>
      <c r="AG3326">
        <v>-1.12174768850999</v>
      </c>
      <c r="AH3326">
        <v>28.0826109525403</v>
      </c>
      <c r="AI3326">
        <v>92.278439138754393</v>
      </c>
      <c r="AJ3326">
        <v>84.913121547410896</v>
      </c>
      <c r="AK3326">
        <v>28.2159613526144</v>
      </c>
      <c r="AL3326">
        <v>76.593192490701995</v>
      </c>
      <c r="AM3326">
        <v>90.468486374044105</v>
      </c>
      <c r="AN3326">
        <v>1.00000008316367</v>
      </c>
    </row>
    <row r="3327" spans="1:40" x14ac:dyDescent="0.25">
      <c r="A3327" t="str">
        <f>"20190303162846153"</f>
        <v>20190303162846153</v>
      </c>
      <c r="B3327" t="str">
        <f>"1551601726144448"</f>
        <v>1551601726144448</v>
      </c>
      <c r="C3327" t="s">
        <v>40</v>
      </c>
      <c r="D3327">
        <v>4.7917050000000003</v>
      </c>
      <c r="E3327">
        <v>0.53845919999999903</v>
      </c>
      <c r="F3327" t="s">
        <v>49</v>
      </c>
      <c r="G3327">
        <v>-279.95890000000003</v>
      </c>
      <c r="H3327" s="1">
        <v>7.4524479999999996E-6</v>
      </c>
      <c r="I3327">
        <v>211.73660000000001</v>
      </c>
      <c r="J3327">
        <v>-308.0831</v>
      </c>
      <c r="K3327">
        <v>1.121748</v>
      </c>
      <c r="L3327">
        <v>214.37809999999999</v>
      </c>
      <c r="M3327">
        <v>0.99989070000000002</v>
      </c>
      <c r="N3327">
        <v>-1.4368570000000001E-2</v>
      </c>
      <c r="O3327">
        <v>-3.4960249999999998E-3</v>
      </c>
      <c r="P3327">
        <v>0.97618199999999999</v>
      </c>
      <c r="Q3327">
        <v>0.21693299999999999</v>
      </c>
      <c r="R3327">
        <v>2.9387340000000001E-3</v>
      </c>
      <c r="S3327">
        <v>3.1025390000000002</v>
      </c>
      <c r="T3327">
        <v>-0.12243709999999999</v>
      </c>
      <c r="U3327">
        <v>-0.2884369</v>
      </c>
      <c r="V3327">
        <v>-6.3433400000000003E-3</v>
      </c>
      <c r="W3327">
        <v>0.230937</v>
      </c>
      <c r="X3327">
        <v>0.97294800000000004</v>
      </c>
      <c r="Y3327">
        <v>8.8994110000000001E-2</v>
      </c>
      <c r="Z3327">
        <v>-2.3051679999999998E-3</v>
      </c>
      <c r="AA3327">
        <v>0.99602950000000001</v>
      </c>
      <c r="AB3327">
        <v>31</v>
      </c>
      <c r="AC3327">
        <v>28.124199999999899</v>
      </c>
      <c r="AD3327">
        <v>-1.1217405475519999</v>
      </c>
      <c r="AE3327">
        <v>-2.6414999999999802</v>
      </c>
      <c r="AF3327">
        <v>2.5391467650679398</v>
      </c>
      <c r="AG3327">
        <v>-1.1217405475519999</v>
      </c>
      <c r="AH3327">
        <v>28.088969687815901</v>
      </c>
      <c r="AI3327">
        <v>92.277630018280206</v>
      </c>
      <c r="AJ3327">
        <v>84.834696514900401</v>
      </c>
      <c r="AK3327">
        <v>28.225800011224099</v>
      </c>
      <c r="AL3327">
        <v>76.647756516951802</v>
      </c>
      <c r="AM3327">
        <v>90.373546644339797</v>
      </c>
      <c r="AN3327">
        <v>0.99999997331767698</v>
      </c>
    </row>
    <row r="3328" spans="1:40" x14ac:dyDescent="0.25">
      <c r="A3328" t="str">
        <f>"20190303162846167"</f>
        <v>20190303162846167</v>
      </c>
      <c r="B3328" t="str">
        <f>"1551601726155183"</f>
        <v>1551601726155183</v>
      </c>
      <c r="C3328" t="s">
        <v>40</v>
      </c>
      <c r="D3328">
        <v>4.8095850000000002</v>
      </c>
      <c r="E3328">
        <v>0.53841249999999996</v>
      </c>
      <c r="F3328" t="s">
        <v>49</v>
      </c>
      <c r="G3328">
        <v>-280.09309999999999</v>
      </c>
      <c r="H3328" s="1">
        <v>7.3924109999999998E-6</v>
      </c>
      <c r="I3328">
        <v>211.7407</v>
      </c>
      <c r="J3328">
        <v>-307.88080000000002</v>
      </c>
      <c r="K3328">
        <v>1.1217459999999999</v>
      </c>
      <c r="L3328">
        <v>214.37739999999999</v>
      </c>
      <c r="M3328">
        <v>0.99989070000000002</v>
      </c>
      <c r="N3328">
        <v>-1.436626E-2</v>
      </c>
      <c r="O3328">
        <v>-3.4960080000000001E-3</v>
      </c>
      <c r="P3328">
        <v>0.97637079999999998</v>
      </c>
      <c r="Q3328">
        <v>0.21609010000000001</v>
      </c>
      <c r="R3328">
        <v>2.3190649999999999E-3</v>
      </c>
      <c r="S3328">
        <v>3.1017459999999999</v>
      </c>
      <c r="T3328">
        <v>-0.1243073</v>
      </c>
      <c r="U3328">
        <v>-0.29226679999999999</v>
      </c>
      <c r="V3328">
        <v>-5.7242289999999999E-3</v>
      </c>
      <c r="W3328">
        <v>0.23009489999999999</v>
      </c>
      <c r="X3328">
        <v>0.9731514</v>
      </c>
      <c r="Y3328">
        <v>9.023291E-2</v>
      </c>
      <c r="Z3328">
        <v>-2.3637369999999999E-3</v>
      </c>
      <c r="AA3328">
        <v>0.99591790000000002</v>
      </c>
      <c r="AB3328">
        <v>31</v>
      </c>
      <c r="AC3328">
        <v>27.787700000000001</v>
      </c>
      <c r="AD3328">
        <v>-1.1217386075889999</v>
      </c>
      <c r="AE3328">
        <v>-2.6366999999999901</v>
      </c>
      <c r="AF3328">
        <v>2.5354329909786002</v>
      </c>
      <c r="AG3328">
        <v>-1.1217386075889999</v>
      </c>
      <c r="AH3328">
        <v>27.751928333920699</v>
      </c>
      <c r="AI3328">
        <v>92.305057628058407</v>
      </c>
      <c r="AJ3328">
        <v>84.779914276338005</v>
      </c>
      <c r="AK3328">
        <v>27.890074295465201</v>
      </c>
      <c r="AL3328">
        <v>76.697341553148604</v>
      </c>
      <c r="AM3328">
        <v>90.337018864829204</v>
      </c>
      <c r="AN3328">
        <v>1.0000000385628001</v>
      </c>
    </row>
    <row r="3329" spans="1:40" x14ac:dyDescent="0.25">
      <c r="A3329" t="str">
        <f>"20190303162846186"</f>
        <v>20190303162846186</v>
      </c>
      <c r="B3329" t="str">
        <f>"1551601726174703"</f>
        <v>1551601726174703</v>
      </c>
      <c r="C3329" t="s">
        <v>40</v>
      </c>
      <c r="D3329">
        <v>4.8130410000000001</v>
      </c>
      <c r="E3329">
        <v>0.53838779999999997</v>
      </c>
      <c r="F3329" t="s">
        <v>49</v>
      </c>
      <c r="G3329">
        <v>-280.23270000000002</v>
      </c>
      <c r="H3329" s="1">
        <v>7.3286219999999998E-6</v>
      </c>
      <c r="I3329">
        <v>211.75659999999999</v>
      </c>
      <c r="J3329">
        <v>-307.62950000000001</v>
      </c>
      <c r="K3329">
        <v>1.121737</v>
      </c>
      <c r="L3329">
        <v>214.37649999999999</v>
      </c>
      <c r="M3329">
        <v>0.99989070000000002</v>
      </c>
      <c r="N3329">
        <v>-1.436349E-2</v>
      </c>
      <c r="O3329">
        <v>-3.496107E-3</v>
      </c>
      <c r="P3329">
        <v>0.97662629999999995</v>
      </c>
      <c r="Q3329">
        <v>0.2149334</v>
      </c>
      <c r="R3329">
        <v>2.1688979999999998E-3</v>
      </c>
      <c r="S3329">
        <v>3.101105</v>
      </c>
      <c r="T3329">
        <v>-0.12581789999999901</v>
      </c>
      <c r="U3329">
        <v>-0.29396060000000002</v>
      </c>
      <c r="V3329">
        <v>-5.5749780000000004E-3</v>
      </c>
      <c r="W3329">
        <v>0.22893920000000001</v>
      </c>
      <c r="X3329">
        <v>0.97342470000000003</v>
      </c>
      <c r="Y3329">
        <v>9.0788480000000005E-2</v>
      </c>
      <c r="Z3329">
        <v>-2.3993690000000002E-3</v>
      </c>
      <c r="AA3329">
        <v>0.99586730000000001</v>
      </c>
      <c r="AB3329">
        <v>31</v>
      </c>
      <c r="AC3329">
        <v>27.396799999999899</v>
      </c>
      <c r="AD3329">
        <v>-1.1217296713779901</v>
      </c>
      <c r="AE3329">
        <v>-2.6198999999999999</v>
      </c>
      <c r="AF3329">
        <v>2.51990587576597</v>
      </c>
      <c r="AG3329">
        <v>-1.1217296713779901</v>
      </c>
      <c r="AH3329">
        <v>27.3603417856331</v>
      </c>
      <c r="AI3329">
        <v>92.337835890945499</v>
      </c>
      <c r="AJ3329">
        <v>84.737865418497407</v>
      </c>
      <c r="AK3329">
        <v>27.499027359254502</v>
      </c>
      <c r="AL3329">
        <v>76.765373150458501</v>
      </c>
      <c r="AM3329">
        <v>90.328139626958006</v>
      </c>
      <c r="AN3329">
        <v>0.99999994212321297</v>
      </c>
    </row>
    <row r="3330" spans="1:40" x14ac:dyDescent="0.25">
      <c r="A3330" t="str">
        <f>"20190303162846200"</f>
        <v>20190303162846200</v>
      </c>
      <c r="B3330" t="str">
        <f>"1551601726195200"</f>
        <v>1551601726195200</v>
      </c>
      <c r="C3330" t="s">
        <v>40</v>
      </c>
      <c r="D3330">
        <v>4.8327390000000001</v>
      </c>
      <c r="E3330">
        <v>0.53832279999999999</v>
      </c>
      <c r="F3330" t="s">
        <v>49</v>
      </c>
      <c r="G3330">
        <v>-280.62869999999998</v>
      </c>
      <c r="H3330" s="1">
        <v>7.1460660000000004E-6</v>
      </c>
      <c r="I3330">
        <v>211.815</v>
      </c>
      <c r="J3330">
        <v>-307.42770000000002</v>
      </c>
      <c r="K3330">
        <v>1.1217360000000001</v>
      </c>
      <c r="L3330">
        <v>214.3758</v>
      </c>
      <c r="M3330">
        <v>0.99989090000000003</v>
      </c>
      <c r="N3330">
        <v>-1.4361270000000001E-2</v>
      </c>
      <c r="O3330">
        <v>-3.4960920000000001E-3</v>
      </c>
      <c r="P3330">
        <v>0.97676580000000002</v>
      </c>
      <c r="Q3330">
        <v>0.21429819999999999</v>
      </c>
      <c r="R3330">
        <v>2.27312E-3</v>
      </c>
      <c r="S3330">
        <v>3.1008</v>
      </c>
      <c r="T3330">
        <v>-0.1288204</v>
      </c>
      <c r="U3330">
        <v>-0.2941742</v>
      </c>
      <c r="V3330">
        <v>-5.6798219999999898E-3</v>
      </c>
      <c r="W3330">
        <v>0.2283038</v>
      </c>
      <c r="X3330">
        <v>0.97357340000000003</v>
      </c>
      <c r="Y3330">
        <v>9.0861499999999998E-2</v>
      </c>
      <c r="Z3330">
        <v>-2.4419049999999999E-3</v>
      </c>
      <c r="AA3330">
        <v>0.99586050000000004</v>
      </c>
      <c r="AB3330">
        <v>31</v>
      </c>
      <c r="AC3330">
        <v>26.798999999999999</v>
      </c>
      <c r="AD3330">
        <v>-1.121728853934</v>
      </c>
      <c r="AE3330">
        <v>-2.5608</v>
      </c>
      <c r="AF3330">
        <v>2.4628070867674601</v>
      </c>
      <c r="AG3330">
        <v>-1.121728853934</v>
      </c>
      <c r="AH3330">
        <v>26.761327811514999</v>
      </c>
      <c r="AI3330">
        <v>92.390118945728105</v>
      </c>
      <c r="AJ3330">
        <v>84.741961103287196</v>
      </c>
      <c r="AK3330">
        <v>26.897813305243702</v>
      </c>
      <c r="AL3330">
        <v>76.802770432594002</v>
      </c>
      <c r="AM3330">
        <v>90.334259478541597</v>
      </c>
      <c r="AN3330">
        <v>1.0000000253299699</v>
      </c>
    </row>
    <row r="3331" spans="1:40" x14ac:dyDescent="0.25">
      <c r="A3331" t="str">
        <f>"20190303162846221"</f>
        <v>20190303162846221</v>
      </c>
      <c r="B3331" t="str">
        <f>"1551601726214720"</f>
        <v>1551601726214720</v>
      </c>
      <c r="C3331" t="s">
        <v>40</v>
      </c>
      <c r="D3331">
        <v>4.8403530000000003</v>
      </c>
      <c r="E3331">
        <v>0.53826079999999998</v>
      </c>
      <c r="F3331" t="s">
        <v>49</v>
      </c>
      <c r="G3331">
        <v>-280.19069999999999</v>
      </c>
      <c r="H3331" s="1">
        <v>7.3421569999999996E-6</v>
      </c>
      <c r="I3331">
        <v>211.79939999999999</v>
      </c>
      <c r="J3331">
        <v>-307.137</v>
      </c>
      <c r="K3331">
        <v>1.1217299999999999</v>
      </c>
      <c r="L3331">
        <v>214.37479999999999</v>
      </c>
      <c r="M3331">
        <v>0.99989070000000002</v>
      </c>
      <c r="N3331">
        <v>-1.43581E-2</v>
      </c>
      <c r="O3331">
        <v>-3.4959499999999998E-3</v>
      </c>
      <c r="P3331">
        <v>0.97691890000000003</v>
      </c>
      <c r="Q3331">
        <v>0.2135948</v>
      </c>
      <c r="R3331">
        <v>2.6060250000000001E-3</v>
      </c>
      <c r="S3331">
        <v>3.1000670000000001</v>
      </c>
      <c r="T3331">
        <v>-0.12767300000000001</v>
      </c>
      <c r="U3331">
        <v>-0.29324339999999999</v>
      </c>
      <c r="V3331">
        <v>-6.0132329999999998E-3</v>
      </c>
      <c r="W3331">
        <v>0.22759950000000001</v>
      </c>
      <c r="X3331">
        <v>0.9737363</v>
      </c>
      <c r="Y3331">
        <v>9.0589260000000005E-2</v>
      </c>
      <c r="Z3331">
        <v>-2.4191550000000001E-3</v>
      </c>
      <c r="AA3331">
        <v>0.99588540000000003</v>
      </c>
      <c r="AB3331">
        <v>31</v>
      </c>
      <c r="AC3331">
        <v>26.946300000000001</v>
      </c>
      <c r="AD3331">
        <v>-1.121722657843</v>
      </c>
      <c r="AE3331">
        <v>-2.5754000000000001</v>
      </c>
      <c r="AF3331">
        <v>2.4769182291671199</v>
      </c>
      <c r="AG3331">
        <v>-1.121722657843</v>
      </c>
      <c r="AH3331">
        <v>26.908931394346201</v>
      </c>
      <c r="AI3331">
        <v>92.377006142299194</v>
      </c>
      <c r="AJ3331">
        <v>84.740847584010794</v>
      </c>
      <c r="AK3331">
        <v>27.0459604085477</v>
      </c>
      <c r="AL3331">
        <v>76.844215135079097</v>
      </c>
      <c r="AM3331">
        <v>90.353821144949805</v>
      </c>
      <c r="AN3331">
        <v>1.0000000366545201</v>
      </c>
    </row>
    <row r="3332" spans="1:40" x14ac:dyDescent="0.25">
      <c r="A3332" t="str">
        <f>"20190303162846243"</f>
        <v>20190303162846243</v>
      </c>
      <c r="B3332" t="str">
        <f>"1551601726235215"</f>
        <v>1551601726235215</v>
      </c>
      <c r="C3332" t="s">
        <v>40</v>
      </c>
      <c r="D3332">
        <v>4.8572340000000001</v>
      </c>
      <c r="E3332">
        <v>0.53820290000000004</v>
      </c>
      <c r="F3332" t="s">
        <v>49</v>
      </c>
      <c r="G3332">
        <v>-280.03149999999999</v>
      </c>
      <c r="H3332" s="1">
        <v>7.409058E-6</v>
      </c>
      <c r="I3332">
        <v>211.83019999999999</v>
      </c>
      <c r="J3332">
        <v>-306.83510000000001</v>
      </c>
      <c r="K3332">
        <v>1.1217280000000001</v>
      </c>
      <c r="L3332">
        <v>214.37370000000001</v>
      </c>
      <c r="M3332">
        <v>0.99989099999999997</v>
      </c>
      <c r="N3332">
        <v>-1.4354799999999999E-2</v>
      </c>
      <c r="O3332">
        <v>-3.4960450000000001E-3</v>
      </c>
      <c r="P3332">
        <v>0.97697730000000005</v>
      </c>
      <c r="Q3332">
        <v>0.21331829999999999</v>
      </c>
      <c r="R3332">
        <v>3.2895929999999999E-3</v>
      </c>
      <c r="S3332">
        <v>3.0997620000000001</v>
      </c>
      <c r="T3332">
        <v>-0.12827959999999999</v>
      </c>
      <c r="U3332">
        <v>-0.29100039999999999</v>
      </c>
      <c r="V3332">
        <v>-6.6966839999999996E-3</v>
      </c>
      <c r="W3332">
        <v>0.22732079999999999</v>
      </c>
      <c r="X3332">
        <v>0.97379689999999997</v>
      </c>
      <c r="Y3332">
        <v>8.9884000000000006E-2</v>
      </c>
      <c r="Z3332">
        <v>-2.4077199999999999E-3</v>
      </c>
      <c r="AA3332">
        <v>0.99594930000000004</v>
      </c>
      <c r="AB3332">
        <v>31</v>
      </c>
      <c r="AC3332">
        <v>26.803599999999999</v>
      </c>
      <c r="AD3332">
        <v>-1.1217205909420001</v>
      </c>
      <c r="AE3332">
        <v>-2.5435000000000199</v>
      </c>
      <c r="AF3332">
        <v>2.4455233754235701</v>
      </c>
      <c r="AG3332">
        <v>-1.1217205909420001</v>
      </c>
      <c r="AH3332">
        <v>26.765870122803801</v>
      </c>
      <c r="AI3332">
        <v>92.389839769099297</v>
      </c>
      <c r="AJ3332">
        <v>84.7795379693288</v>
      </c>
      <c r="AK3332">
        <v>26.900755474422802</v>
      </c>
      <c r="AL3332">
        <v>76.860612777734005</v>
      </c>
      <c r="AM3332">
        <v>90.394009964146903</v>
      </c>
      <c r="AN3332">
        <v>0.999999997069422</v>
      </c>
    </row>
    <row r="3333" spans="1:40" x14ac:dyDescent="0.25">
      <c r="A3333" t="str">
        <f>"20190303162846264"</f>
        <v>20190303162846264</v>
      </c>
      <c r="B3333" t="str">
        <f>"1551601726254735"</f>
        <v>1551601726254735</v>
      </c>
      <c r="C3333" t="s">
        <v>40</v>
      </c>
      <c r="D3333">
        <v>4.8653659999999999</v>
      </c>
      <c r="E3333">
        <v>0.53825449999999997</v>
      </c>
      <c r="F3333" t="s">
        <v>48</v>
      </c>
      <c r="G3333">
        <v>-279.56299999999999</v>
      </c>
      <c r="H3333" s="1">
        <v>3.6733620000000001E-6</v>
      </c>
      <c r="I3333">
        <v>211.84399999999999</v>
      </c>
      <c r="J3333">
        <v>-306.54930000000002</v>
      </c>
      <c r="K3333">
        <v>1.1217269999999999</v>
      </c>
      <c r="L3333">
        <v>214.37280000000001</v>
      </c>
      <c r="M3333">
        <v>0.99989090000000003</v>
      </c>
      <c r="N3333">
        <v>-1.435172E-2</v>
      </c>
      <c r="O3333">
        <v>-3.496023E-3</v>
      </c>
      <c r="P3333">
        <v>0.97692630000000003</v>
      </c>
      <c r="Q3333">
        <v>0.21353040000000001</v>
      </c>
      <c r="R3333">
        <v>4.4754449999999998E-3</v>
      </c>
      <c r="S3333">
        <v>3.0994869999999999</v>
      </c>
      <c r="T3333">
        <v>-0.12748489999999901</v>
      </c>
      <c r="U3333">
        <v>-0.28750609999999999</v>
      </c>
      <c r="V3333">
        <v>-7.8826809999999903E-3</v>
      </c>
      <c r="W3333">
        <v>0.22752929999999999</v>
      </c>
      <c r="X3333">
        <v>0.97373929999999997</v>
      </c>
      <c r="Y3333">
        <v>8.8781390000000002E-2</v>
      </c>
      <c r="Z3333">
        <v>-2.3666350000000002E-3</v>
      </c>
      <c r="AA3333">
        <v>0.9960483</v>
      </c>
      <c r="AB3333">
        <v>31</v>
      </c>
      <c r="AC3333">
        <v>26.9863</v>
      </c>
      <c r="AD3333">
        <v>-1.121723326638</v>
      </c>
      <c r="AE3333">
        <v>-2.52879999999998</v>
      </c>
      <c r="AF3333">
        <v>2.4302677170273399</v>
      </c>
      <c r="AG3333">
        <v>-1.121723326638</v>
      </c>
      <c r="AH3333">
        <v>26.948820752660598</v>
      </c>
      <c r="AI3333">
        <v>92.373893241202893</v>
      </c>
      <c r="AJ3333">
        <v>84.846956596796602</v>
      </c>
      <c r="AK3333">
        <v>27.081421756565501</v>
      </c>
      <c r="AL3333">
        <v>76.848344801691198</v>
      </c>
      <c r="AM3333">
        <v>90.463814582620003</v>
      </c>
      <c r="AN3333">
        <v>0.99999997169136301</v>
      </c>
    </row>
    <row r="3334" spans="1:40" x14ac:dyDescent="0.25">
      <c r="A3334" t="str">
        <f>"20190303162846280"</f>
        <v>20190303162846280</v>
      </c>
      <c r="B3334" t="str">
        <f>"1551601726275232"</f>
        <v>1551601726275232</v>
      </c>
      <c r="C3334" t="s">
        <v>40</v>
      </c>
      <c r="D3334">
        <v>4.9204040000000004</v>
      </c>
      <c r="E3334">
        <v>0.5380393</v>
      </c>
      <c r="F3334" t="s">
        <v>48</v>
      </c>
      <c r="G3334">
        <v>-278.80329999999998</v>
      </c>
      <c r="H3334" s="1">
        <v>3.2697179999999999E-6</v>
      </c>
      <c r="I3334">
        <v>211.82929999999999</v>
      </c>
      <c r="J3334">
        <v>-306.3236</v>
      </c>
      <c r="K3334">
        <v>1.121726</v>
      </c>
      <c r="L3334">
        <v>214.37200000000001</v>
      </c>
      <c r="M3334">
        <v>0.99989099999999997</v>
      </c>
      <c r="N3334">
        <v>-1.4349280000000001E-2</v>
      </c>
      <c r="O3334">
        <v>-3.4960049999999999E-3</v>
      </c>
      <c r="P3334">
        <v>0.97690469999999896</v>
      </c>
      <c r="Q3334">
        <v>0.21361440000000001</v>
      </c>
      <c r="R3334">
        <v>5.1258800000000002E-3</v>
      </c>
      <c r="S3334">
        <v>3.099548</v>
      </c>
      <c r="T3334">
        <v>-0.12530949999999999</v>
      </c>
      <c r="U3334">
        <v>-0.28413389999999999</v>
      </c>
      <c r="V3334">
        <v>-8.5330170000000004E-3</v>
      </c>
      <c r="W3334">
        <v>0.2276106</v>
      </c>
      <c r="X3334">
        <v>0.97371479999999999</v>
      </c>
      <c r="Y3334">
        <v>8.7709090000000003E-2</v>
      </c>
      <c r="Z3334">
        <v>-2.308587E-3</v>
      </c>
      <c r="AA3334">
        <v>0.99614349999999996</v>
      </c>
      <c r="AB3334">
        <v>31</v>
      </c>
      <c r="AC3334">
        <v>27.520299999999999</v>
      </c>
      <c r="AD3334">
        <v>-1.1217227302820001</v>
      </c>
      <c r="AE3334">
        <v>-2.5427000000000199</v>
      </c>
      <c r="AF3334">
        <v>2.4424400170572702</v>
      </c>
      <c r="AG3334">
        <v>-1.1217227302820001</v>
      </c>
      <c r="AH3334">
        <v>27.4837479786827</v>
      </c>
      <c r="AI3334">
        <v>92.328010315479901</v>
      </c>
      <c r="AJ3334">
        <v>84.921550023601895</v>
      </c>
      <c r="AK3334">
        <v>27.614854301196299</v>
      </c>
      <c r="AL3334">
        <v>76.843560911797297</v>
      </c>
      <c r="AM3334">
        <v>90.502090905635896</v>
      </c>
      <c r="AN3334">
        <v>0.99999995467526004</v>
      </c>
    </row>
    <row r="3335" spans="1:40" x14ac:dyDescent="0.25">
      <c r="A3335" t="str">
        <f>"20190303162846300"</f>
        <v>20190303162846300</v>
      </c>
      <c r="B3335" t="str">
        <f>"1551601726294751"</f>
        <v>1551601726294751</v>
      </c>
      <c r="C3335" t="s">
        <v>40</v>
      </c>
      <c r="D3335">
        <v>4.865691</v>
      </c>
      <c r="E3335">
        <v>0.51774089999999995</v>
      </c>
      <c r="F3335" t="s">
        <v>48</v>
      </c>
      <c r="G3335">
        <v>-278.39409999999998</v>
      </c>
      <c r="H3335" s="1">
        <v>3.051256E-6</v>
      </c>
      <c r="I3335">
        <v>211.84559999999999</v>
      </c>
      <c r="J3335">
        <v>-306.04309999999998</v>
      </c>
      <c r="K3335">
        <v>1.1217269999999999</v>
      </c>
      <c r="L3335">
        <v>214.37100000000001</v>
      </c>
      <c r="M3335">
        <v>0.99989099999999997</v>
      </c>
      <c r="N3335">
        <v>-1.434627E-2</v>
      </c>
      <c r="O3335">
        <v>-3.4959840000000002E-3</v>
      </c>
      <c r="P3335">
        <v>0.97703030000000002</v>
      </c>
      <c r="Q3335">
        <v>0.21300430000000001</v>
      </c>
      <c r="R3335">
        <v>6.3993829999999998E-3</v>
      </c>
      <c r="S3335">
        <v>3.0996090000000001</v>
      </c>
      <c r="T3335">
        <v>-0.12448869999999999</v>
      </c>
      <c r="U3335">
        <v>-0.28038020000000002</v>
      </c>
      <c r="V3335">
        <v>-9.8071019999999998E-3</v>
      </c>
      <c r="W3335">
        <v>0.22699900000000001</v>
      </c>
      <c r="X3335">
        <v>0.97384559999999998</v>
      </c>
      <c r="Y3335">
        <v>8.6513209999999993E-2</v>
      </c>
      <c r="Z3335">
        <v>-2.2652570000000001E-3</v>
      </c>
      <c r="AA3335">
        <v>0.99624809999999997</v>
      </c>
      <c r="AB3335">
        <v>31</v>
      </c>
      <c r="AC3335">
        <v>27.649000000000001</v>
      </c>
      <c r="AD3335">
        <v>-1.1217239487440001</v>
      </c>
      <c r="AE3335">
        <v>-2.5253999999999901</v>
      </c>
      <c r="AF3335">
        <v>2.42475618093829</v>
      </c>
      <c r="AG3335">
        <v>-1.1217239487440001</v>
      </c>
      <c r="AH3335">
        <v>27.612588119785201</v>
      </c>
      <c r="AI3335">
        <v>92.317376298395999</v>
      </c>
      <c r="AJ3335">
        <v>84.981533899546093</v>
      </c>
      <c r="AK3335">
        <v>27.741534381268298</v>
      </c>
      <c r="AL3335">
        <v>76.879545400658401</v>
      </c>
      <c r="AM3335">
        <v>90.576977048350898</v>
      </c>
      <c r="AN3335">
        <v>0.99999998894499897</v>
      </c>
    </row>
    <row r="3336" spans="1:40" x14ac:dyDescent="0.25">
      <c r="A3336" t="str">
        <f>"20190303162846322"</f>
        <v>20190303162846322</v>
      </c>
      <c r="B3336" t="str">
        <f>"1551601726315248"</f>
        <v>1551601726315248</v>
      </c>
      <c r="C3336" t="s">
        <v>40</v>
      </c>
      <c r="D3336">
        <v>4.8760859999999999</v>
      </c>
      <c r="E3336">
        <v>0.51296200000000003</v>
      </c>
      <c r="F3336" t="s">
        <v>48</v>
      </c>
      <c r="G3336">
        <v>-231.3776</v>
      </c>
      <c r="H3336" s="1">
        <v>-6.7092149999999996E-7</v>
      </c>
      <c r="I3336">
        <v>211.57839999999999</v>
      </c>
      <c r="J3336">
        <v>-305.73610000000002</v>
      </c>
      <c r="K3336">
        <v>1.1217349999999999</v>
      </c>
      <c r="L3336">
        <v>214.3699</v>
      </c>
      <c r="M3336">
        <v>0.99989099999999997</v>
      </c>
      <c r="N3336">
        <v>-1.434299E-2</v>
      </c>
      <c r="O3336">
        <v>-3.4959600000000002E-3</v>
      </c>
      <c r="P3336">
        <v>0.97692710000000005</v>
      </c>
      <c r="Q3336">
        <v>0.21345900000000001</v>
      </c>
      <c r="R3336">
        <v>6.9755260000000001E-3</v>
      </c>
      <c r="S3336">
        <v>3.0813899999999999</v>
      </c>
      <c r="T3336">
        <v>-4.6292899999999998E-2</v>
      </c>
      <c r="U3336">
        <v>-0.11524959999999999</v>
      </c>
      <c r="V3336">
        <v>-1.038272E-2</v>
      </c>
      <c r="W3336">
        <v>0.2274495</v>
      </c>
      <c r="X3336">
        <v>0.97373460000000001</v>
      </c>
      <c r="Y3336">
        <v>3.3874130000000002E-2</v>
      </c>
      <c r="Z3336">
        <v>-4.9503049999999999E-4</v>
      </c>
      <c r="AA3336">
        <v>0.99942600000000004</v>
      </c>
      <c r="AB3336">
        <v>31</v>
      </c>
      <c r="AC3336">
        <v>74.358500000000006</v>
      </c>
      <c r="AD3336">
        <v>-1.1217356709214901</v>
      </c>
      <c r="AE3336">
        <v>-2.7915000000000099</v>
      </c>
      <c r="AF3336">
        <v>2.5309266884524999</v>
      </c>
      <c r="AG3336">
        <v>-1.1217356709214901</v>
      </c>
      <c r="AH3336">
        <v>74.350909075513599</v>
      </c>
      <c r="AI3336">
        <v>90.863858276127203</v>
      </c>
      <c r="AJ3336">
        <v>88.050387709218796</v>
      </c>
      <c r="AK3336">
        <v>74.402429806915805</v>
      </c>
      <c r="AL3336">
        <v>76.853041477049402</v>
      </c>
      <c r="AM3336">
        <v>90.610909268531103</v>
      </c>
      <c r="AN3336">
        <v>1.000000073581</v>
      </c>
    </row>
    <row r="3337" spans="1:40" x14ac:dyDescent="0.25">
      <c r="A3337" t="str">
        <f>"20190303162846342"</f>
        <v>20190303162846342</v>
      </c>
      <c r="B3337" t="str">
        <f>"1551601726334768"</f>
        <v>1551601726334768</v>
      </c>
      <c r="C3337" t="s">
        <v>40</v>
      </c>
      <c r="D3337">
        <v>4.7784509999999996</v>
      </c>
      <c r="E3337">
        <v>0.51192309999999996</v>
      </c>
      <c r="F3337" t="s">
        <v>48</v>
      </c>
      <c r="G3337">
        <v>-255.44290000000001</v>
      </c>
      <c r="H3337" s="1">
        <v>1.423476E-6</v>
      </c>
      <c r="I3337">
        <v>213.1558</v>
      </c>
      <c r="J3337">
        <v>-305.44929999999999</v>
      </c>
      <c r="K3337">
        <v>1.121734</v>
      </c>
      <c r="L3337">
        <v>214.3689</v>
      </c>
      <c r="M3337">
        <v>0.99989119999999998</v>
      </c>
      <c r="N3337">
        <v>-1.4339950000000001E-2</v>
      </c>
      <c r="O3337">
        <v>-3.4961770000000001E-3</v>
      </c>
      <c r="P3337">
        <v>0.97684280000000001</v>
      </c>
      <c r="Q3337">
        <v>0.21382789999999999</v>
      </c>
      <c r="R3337">
        <v>7.504831E-3</v>
      </c>
      <c r="S3337">
        <v>3.0864560000000001</v>
      </c>
      <c r="T3337">
        <v>-6.8839910000000004E-2</v>
      </c>
      <c r="U3337">
        <v>-7.4508669999999999E-2</v>
      </c>
      <c r="V3337">
        <v>-1.0911550000000001E-2</v>
      </c>
      <c r="W3337">
        <v>0.22781399999999999</v>
      </c>
      <c r="X3337">
        <v>0.9736435</v>
      </c>
      <c r="Y3337">
        <v>2.062951E-2</v>
      </c>
      <c r="Z3337">
        <v>-3.5014170000000002E-4</v>
      </c>
      <c r="AA3337">
        <v>0.99978719999999999</v>
      </c>
      <c r="AB3337">
        <v>31</v>
      </c>
      <c r="AC3337">
        <v>50.0063999999999</v>
      </c>
      <c r="AD3337">
        <v>-1.121732576524</v>
      </c>
      <c r="AE3337">
        <v>-1.2130999999999901</v>
      </c>
      <c r="AF3337">
        <v>1.0377215454801201</v>
      </c>
      <c r="AG3337">
        <v>-1.121732576524</v>
      </c>
      <c r="AH3337">
        <v>49.985198966057197</v>
      </c>
      <c r="AI3337">
        <v>91.285298826949202</v>
      </c>
      <c r="AJ3337">
        <v>88.810677435019898</v>
      </c>
      <c r="AK3337">
        <v>50.008551925200898</v>
      </c>
      <c r="AL3337">
        <v>76.831592764632603</v>
      </c>
      <c r="AM3337">
        <v>90.642082642650607</v>
      </c>
      <c r="AN3337">
        <v>0.99999997280582598</v>
      </c>
    </row>
    <row r="3338" spans="1:40" x14ac:dyDescent="0.25">
      <c r="A3338" t="str">
        <f>"20190303162846359"</f>
        <v>20190303162846359</v>
      </c>
      <c r="B3338" t="str">
        <f>"1551601726355264"</f>
        <v>1551601726355264</v>
      </c>
      <c r="C3338" t="s">
        <v>40</v>
      </c>
      <c r="D3338">
        <v>4.8621939999999997</v>
      </c>
      <c r="E3338">
        <v>0.51074279999999905</v>
      </c>
      <c r="F3338" t="s">
        <v>48</v>
      </c>
      <c r="G3338">
        <v>-259.04770000000002</v>
      </c>
      <c r="H3338" s="1">
        <v>3.330671E-6</v>
      </c>
      <c r="I3338">
        <v>213.41</v>
      </c>
      <c r="J3338">
        <v>-305.23200000000003</v>
      </c>
      <c r="K3338">
        <v>1.1217349999999999</v>
      </c>
      <c r="L3338">
        <v>214.3681</v>
      </c>
      <c r="M3338">
        <v>0.99989119999999998</v>
      </c>
      <c r="N3338">
        <v>-1.433764E-2</v>
      </c>
      <c r="O3338">
        <v>-3.4961599999999999E-3</v>
      </c>
      <c r="P3338">
        <v>0.97683450000000005</v>
      </c>
      <c r="Q3338">
        <v>0.2138707</v>
      </c>
      <c r="R3338">
        <v>7.3418679999999997E-3</v>
      </c>
      <c r="S3338">
        <v>3.087952</v>
      </c>
      <c r="T3338">
        <v>-7.464933E-2</v>
      </c>
      <c r="U3338">
        <v>-6.3812259999999996E-2</v>
      </c>
      <c r="V3338">
        <v>-1.074895E-2</v>
      </c>
      <c r="W3338">
        <v>0.22785440000000001</v>
      </c>
      <c r="X3338">
        <v>0.9736359</v>
      </c>
      <c r="Y3338">
        <v>1.7156790000000002E-2</v>
      </c>
      <c r="Z3338">
        <v>-2.9599310000000002E-4</v>
      </c>
      <c r="AA3338">
        <v>0.99985279999999999</v>
      </c>
      <c r="AB3338">
        <v>31</v>
      </c>
      <c r="AC3338">
        <v>46.1843</v>
      </c>
      <c r="AD3338">
        <v>-1.121731669329</v>
      </c>
      <c r="AE3338">
        <v>-0.95810000000000095</v>
      </c>
      <c r="AF3338">
        <v>0.79614040562652399</v>
      </c>
      <c r="AG3338">
        <v>-1.121731669329</v>
      </c>
      <c r="AH3338">
        <v>46.1601488603429</v>
      </c>
      <c r="AI3338">
        <v>91.391856258339402</v>
      </c>
      <c r="AJ3338">
        <v>89.011897405495702</v>
      </c>
      <c r="AK3338">
        <v>46.180639496356697</v>
      </c>
      <c r="AL3338">
        <v>76.829216080498696</v>
      </c>
      <c r="AM3338">
        <v>90.632520277785204</v>
      </c>
      <c r="AN3338">
        <v>1.0000000166471299</v>
      </c>
    </row>
    <row r="3339" spans="1:40" x14ac:dyDescent="0.25">
      <c r="A3339" t="str">
        <f>"20190303162846376"</f>
        <v>20190303162846376</v>
      </c>
      <c r="B3339" t="str">
        <f>"1551601726365024"</f>
        <v>1551601726365024</v>
      </c>
      <c r="C3339" t="s">
        <v>40</v>
      </c>
      <c r="D3339">
        <v>4.8128479999999998</v>
      </c>
      <c r="E3339">
        <v>0.51031139999999997</v>
      </c>
      <c r="F3339" t="s">
        <v>48</v>
      </c>
      <c r="G3339">
        <v>-247.6268</v>
      </c>
      <c r="H3339" s="1">
        <v>2.5779400000000002E-6</v>
      </c>
      <c r="I3339">
        <v>213.33240000000001</v>
      </c>
      <c r="J3339">
        <v>-304.9914</v>
      </c>
      <c r="K3339">
        <v>1.1217330000000001</v>
      </c>
      <c r="L3339">
        <v>214.3673</v>
      </c>
      <c r="M3339">
        <v>0.99989119999999998</v>
      </c>
      <c r="N3339">
        <v>-1.433508E-2</v>
      </c>
      <c r="O3339">
        <v>-3.4961419999999998E-3</v>
      </c>
      <c r="P3339">
        <v>0.97687599999999997</v>
      </c>
      <c r="Q3339">
        <v>0.21370729999999999</v>
      </c>
      <c r="R3339">
        <v>6.5486759999999998E-3</v>
      </c>
      <c r="S3339">
        <v>3.0847470000000001</v>
      </c>
      <c r="T3339">
        <v>-6.0068610000000001E-2</v>
      </c>
      <c r="U3339">
        <v>-5.5465699999999903E-2</v>
      </c>
      <c r="V3339">
        <v>-9.9559109999999996E-3</v>
      </c>
      <c r="W3339">
        <v>0.22768910000000001</v>
      </c>
      <c r="X3339">
        <v>0.97368299999999997</v>
      </c>
      <c r="Y3339">
        <v>1.4476960000000001E-2</v>
      </c>
      <c r="Z3339">
        <v>-2.2677179999999999E-4</v>
      </c>
      <c r="AA3339">
        <v>0.99989519999999998</v>
      </c>
      <c r="AB3339">
        <v>31</v>
      </c>
      <c r="AC3339">
        <v>57.364600000000003</v>
      </c>
      <c r="AD3339">
        <v>-1.12173042206</v>
      </c>
      <c r="AE3339">
        <v>-1.0348999999999899</v>
      </c>
      <c r="AF3339">
        <v>0.83399949337701795</v>
      </c>
      <c r="AG3339">
        <v>-1.12173042206</v>
      </c>
      <c r="AH3339">
        <v>57.345947371482303</v>
      </c>
      <c r="AI3339">
        <v>91.120487732327405</v>
      </c>
      <c r="AJ3339">
        <v>89.166788853194603</v>
      </c>
      <c r="AK3339">
        <v>57.3629803464529</v>
      </c>
      <c r="AL3339">
        <v>76.838942726397406</v>
      </c>
      <c r="AM3339">
        <v>90.585829066629103</v>
      </c>
      <c r="AN3339">
        <v>1.00000001545582</v>
      </c>
    </row>
    <row r="3340" spans="1:40" x14ac:dyDescent="0.25">
      <c r="A3340" t="str">
        <f>"20190303162846399"</f>
        <v>20190303162846399</v>
      </c>
      <c r="B3340" t="str">
        <f>"1551601726395280"</f>
        <v>1551601726395280</v>
      </c>
      <c r="C3340" t="s">
        <v>40</v>
      </c>
      <c r="D3340">
        <v>4.877605</v>
      </c>
      <c r="E3340">
        <v>0.5098625</v>
      </c>
      <c r="F3340" t="s">
        <v>48</v>
      </c>
      <c r="G3340">
        <v>-245.17250000000001</v>
      </c>
      <c r="H3340" s="1">
        <v>1.272657E-6</v>
      </c>
      <c r="I3340">
        <v>213.3152</v>
      </c>
      <c r="J3340">
        <v>-304.68049999999999</v>
      </c>
      <c r="K3340">
        <v>1.1217330000000001</v>
      </c>
      <c r="L3340">
        <v>214.36619999999999</v>
      </c>
      <c r="M3340">
        <v>0.99989119999999998</v>
      </c>
      <c r="N3340">
        <v>-1.4331770000000001E-2</v>
      </c>
      <c r="O3340">
        <v>-3.4961179999999999E-3</v>
      </c>
      <c r="P3340">
        <v>0.97701740000000004</v>
      </c>
      <c r="Q3340">
        <v>0.2130996</v>
      </c>
      <c r="R3340">
        <v>5.0913019999999998E-3</v>
      </c>
      <c r="S3340">
        <v>3.084076</v>
      </c>
      <c r="T3340">
        <v>-5.7833080000000002E-2</v>
      </c>
      <c r="U3340">
        <v>-5.4245000000000002E-2</v>
      </c>
      <c r="V3340">
        <v>-8.4988110000000002E-3</v>
      </c>
      <c r="W3340">
        <v>0.2270798</v>
      </c>
      <c r="X3340">
        <v>0.97383900000000001</v>
      </c>
      <c r="Y3340">
        <v>1.408564E-2</v>
      </c>
      <c r="Z3340">
        <v>-2.175663E-4</v>
      </c>
      <c r="AA3340">
        <v>0.99990080000000003</v>
      </c>
      <c r="AB3340">
        <v>31</v>
      </c>
      <c r="AC3340">
        <v>59.507999999999903</v>
      </c>
      <c r="AD3340">
        <v>-1.1217317273430001</v>
      </c>
      <c r="AE3340">
        <v>-1.05099999999998</v>
      </c>
      <c r="AF3340">
        <v>0.84262590576140795</v>
      </c>
      <c r="AG3340">
        <v>-1.1217317273430001</v>
      </c>
      <c r="AH3340">
        <v>59.4901792121657</v>
      </c>
      <c r="AI3340">
        <v>91.080118357704507</v>
      </c>
      <c r="AJ3340">
        <v>89.188510094792505</v>
      </c>
      <c r="AK3340">
        <v>59.506719983383199</v>
      </c>
      <c r="AL3340">
        <v>76.874790997505102</v>
      </c>
      <c r="AM3340">
        <v>90.500014519216293</v>
      </c>
      <c r="AN3340">
        <v>0.99999993163872403</v>
      </c>
    </row>
    <row r="3341" spans="1:40" x14ac:dyDescent="0.25">
      <c r="A3341" t="str">
        <f>"20190303162846421"</f>
        <v>20190303162846421</v>
      </c>
      <c r="B3341" t="str">
        <f>"1551601726415775"</f>
        <v>1551601726415775</v>
      </c>
      <c r="C3341" t="s">
        <v>40</v>
      </c>
      <c r="D3341">
        <v>4.8274239999999997</v>
      </c>
      <c r="E3341">
        <v>0.50969140000000002</v>
      </c>
      <c r="F3341" t="s">
        <v>48</v>
      </c>
      <c r="G3341">
        <v>-243.27</v>
      </c>
      <c r="H3341" s="1">
        <v>2.6223339999999998E-7</v>
      </c>
      <c r="I3341">
        <v>213.26900000000001</v>
      </c>
      <c r="J3341">
        <v>-304.36759999999998</v>
      </c>
      <c r="K3341">
        <v>1.1217349999999999</v>
      </c>
      <c r="L3341">
        <v>214.36510000000001</v>
      </c>
      <c r="M3341">
        <v>0.99989130000000004</v>
      </c>
      <c r="N3341">
        <v>-1.4328469999999999E-2</v>
      </c>
      <c r="O3341">
        <v>-3.4960949999999998E-3</v>
      </c>
      <c r="P3341">
        <v>0.97718179999999999</v>
      </c>
      <c r="Q3341">
        <v>0.21238109999999999</v>
      </c>
      <c r="R3341">
        <v>3.2243419999999998E-3</v>
      </c>
      <c r="S3341">
        <v>3.0831300000000001</v>
      </c>
      <c r="T3341">
        <v>-5.6316850000000002E-2</v>
      </c>
      <c r="U3341">
        <v>-5.5084229999999998E-2</v>
      </c>
      <c r="V3341">
        <v>-6.6322689999999997E-3</v>
      </c>
      <c r="W3341">
        <v>0.2263609</v>
      </c>
      <c r="X3341">
        <v>0.97402089999999997</v>
      </c>
      <c r="Y3341">
        <v>1.4363229999999999E-2</v>
      </c>
      <c r="Z3341">
        <v>-2.20332E-4</v>
      </c>
      <c r="AA3341">
        <v>0.99989680000000003</v>
      </c>
      <c r="AB3341">
        <v>31</v>
      </c>
      <c r="AC3341">
        <v>61.0975999999999</v>
      </c>
      <c r="AD3341">
        <v>-1.1217347377665901</v>
      </c>
      <c r="AE3341">
        <v>-1.0961000000000001</v>
      </c>
      <c r="AF3341">
        <v>0.88217110482385097</v>
      </c>
      <c r="AG3341">
        <v>-1.1217347377665901</v>
      </c>
      <c r="AH3341">
        <v>61.080476659211797</v>
      </c>
      <c r="AI3341">
        <v>91.052001323226804</v>
      </c>
      <c r="AJ3341">
        <v>89.172547925493205</v>
      </c>
      <c r="AK3341">
        <v>61.097145134585602</v>
      </c>
      <c r="AL3341">
        <v>76.917082833281</v>
      </c>
      <c r="AM3341">
        <v>90.390130385885399</v>
      </c>
      <c r="AN3341">
        <v>0.99999997883885305</v>
      </c>
    </row>
    <row r="3342" spans="1:40" x14ac:dyDescent="0.25">
      <c r="A3342" t="str">
        <f>"20190303162846444"</f>
        <v>20190303162846444</v>
      </c>
      <c r="B3342" t="str">
        <f>"1551601726435296"</f>
        <v>1551601726435296</v>
      </c>
      <c r="C3342" t="s">
        <v>40</v>
      </c>
      <c r="D3342">
        <v>4.8873239999999996</v>
      </c>
      <c r="E3342">
        <v>0.50959309999999902</v>
      </c>
      <c r="F3342" t="s">
        <v>48</v>
      </c>
      <c r="G3342">
        <v>-242.64959999999999</v>
      </c>
      <c r="H3342" s="1">
        <v>-6.4032669999999996E-8</v>
      </c>
      <c r="I3342">
        <v>213.18</v>
      </c>
      <c r="J3342">
        <v>-304.05849999999998</v>
      </c>
      <c r="K3342">
        <v>1.121734</v>
      </c>
      <c r="L3342">
        <v>214.364</v>
      </c>
      <c r="M3342">
        <v>0.99989130000000004</v>
      </c>
      <c r="N3342">
        <v>-1.43252E-2</v>
      </c>
      <c r="O3342">
        <v>-3.4961910000000001E-3</v>
      </c>
      <c r="P3342">
        <v>0.97725359999999994</v>
      </c>
      <c r="Q3342">
        <v>0.21207300000000001</v>
      </c>
      <c r="R3342">
        <v>9.2820730000000001E-4</v>
      </c>
      <c r="S3342">
        <v>3.0824280000000002</v>
      </c>
      <c r="T3342">
        <v>-5.60236E-2</v>
      </c>
      <c r="U3342">
        <v>-5.918884E-2</v>
      </c>
      <c r="V3342">
        <v>-4.336337E-3</v>
      </c>
      <c r="W3342">
        <v>0.22605069999999999</v>
      </c>
      <c r="X3342">
        <v>0.97410589999999997</v>
      </c>
      <c r="Y3342">
        <v>1.5697849999999999E-2</v>
      </c>
      <c r="Z3342">
        <v>-2.4164980000000001E-4</v>
      </c>
      <c r="AA3342">
        <v>0.99987669999999995</v>
      </c>
      <c r="AB3342">
        <v>31</v>
      </c>
      <c r="AC3342">
        <v>61.408899999999903</v>
      </c>
      <c r="AD3342">
        <v>-1.1217340640326701</v>
      </c>
      <c r="AE3342">
        <v>-1.1839999999999899</v>
      </c>
      <c r="AF3342">
        <v>0.96895030169868901</v>
      </c>
      <c r="AG3342">
        <v>-1.1217340640326701</v>
      </c>
      <c r="AH3342">
        <v>61.392187405503599</v>
      </c>
      <c r="AI3342">
        <v>91.046639298412202</v>
      </c>
      <c r="AJ3342">
        <v>89.095778207199501</v>
      </c>
      <c r="AK3342">
        <v>61.410079192507503</v>
      </c>
      <c r="AL3342">
        <v>76.935329394180698</v>
      </c>
      <c r="AM3342">
        <v>90.255056629344693</v>
      </c>
      <c r="AN3342">
        <v>1.00000001360193</v>
      </c>
    </row>
    <row r="3343" spans="1:40" x14ac:dyDescent="0.25">
      <c r="A3343" t="str">
        <f>"20190303162846458"</f>
        <v>20190303162846458</v>
      </c>
      <c r="B3343" t="str">
        <f>"1551601726454816"</f>
        <v>1551601726454816</v>
      </c>
      <c r="C3343" t="s">
        <v>40</v>
      </c>
      <c r="D3343">
        <v>4.8336040000000002</v>
      </c>
      <c r="E3343">
        <v>0.50941139999999996</v>
      </c>
      <c r="F3343" t="s">
        <v>48</v>
      </c>
      <c r="G3343">
        <v>-240.70269999999999</v>
      </c>
      <c r="H3343" s="1">
        <v>-1.093639E-6</v>
      </c>
      <c r="I3343">
        <v>213.03229999999999</v>
      </c>
      <c r="J3343">
        <v>-303.84710000000001</v>
      </c>
      <c r="K3343">
        <v>1.1217349999999999</v>
      </c>
      <c r="L3343">
        <v>214.36330000000001</v>
      </c>
      <c r="M3343">
        <v>0.99989150000000004</v>
      </c>
      <c r="N3343">
        <v>-1.4322959999999999E-2</v>
      </c>
      <c r="O3343">
        <v>-3.4961760000000001E-3</v>
      </c>
      <c r="P3343">
        <v>0.97727799999999998</v>
      </c>
      <c r="Q3343">
        <v>0.21196190000000001</v>
      </c>
      <c r="R3343">
        <v>1.84888E-4</v>
      </c>
      <c r="S3343">
        <v>3.0817260000000002</v>
      </c>
      <c r="T3343">
        <v>-5.4562930000000003E-2</v>
      </c>
      <c r="U3343">
        <v>-6.4773559999999994E-2</v>
      </c>
      <c r="V3343">
        <v>-3.5937120000000002E-3</v>
      </c>
      <c r="W3343">
        <v>0.22593779999999999</v>
      </c>
      <c r="X3343">
        <v>0.97413510000000003</v>
      </c>
      <c r="Y3343">
        <v>1.751312E-2</v>
      </c>
      <c r="Z3343">
        <v>-2.6865029999999999E-4</v>
      </c>
      <c r="AA3343">
        <v>0.99984660000000003</v>
      </c>
      <c r="AB3343">
        <v>31</v>
      </c>
      <c r="AC3343">
        <v>63.144399999999997</v>
      </c>
      <c r="AD3343">
        <v>-1.121736093639</v>
      </c>
      <c r="AE3343">
        <v>-1.33100000000001</v>
      </c>
      <c r="AF3343">
        <v>1.1098552277263201</v>
      </c>
      <c r="AG3343">
        <v>-1.121736093639</v>
      </c>
      <c r="AH3343">
        <v>63.128754464646498</v>
      </c>
      <c r="AI3343">
        <v>91.017825463951198</v>
      </c>
      <c r="AJ3343">
        <v>88.992797013105303</v>
      </c>
      <c r="AK3343">
        <v>63.148473542500703</v>
      </c>
      <c r="AL3343">
        <v>76.941969687403997</v>
      </c>
      <c r="AM3343">
        <v>90.211370677736895</v>
      </c>
      <c r="AN3343">
        <v>0.99999999864339395</v>
      </c>
    </row>
    <row r="3344" spans="1:40" x14ac:dyDescent="0.25">
      <c r="A3344" t="str">
        <f>"20190303162846476"</f>
        <v>20190303162846476</v>
      </c>
      <c r="B3344" t="str">
        <f>"1551601726464575"</f>
        <v>1551601726464575</v>
      </c>
      <c r="C3344" t="s">
        <v>40</v>
      </c>
      <c r="D3344">
        <v>4.8805059999999996</v>
      </c>
      <c r="E3344">
        <v>0.50937920000000003</v>
      </c>
      <c r="F3344" t="s">
        <v>48</v>
      </c>
      <c r="G3344">
        <v>-239.1729</v>
      </c>
      <c r="H3344" s="1">
        <v>3.415901E-6</v>
      </c>
      <c r="I3344">
        <v>212.9845</v>
      </c>
      <c r="J3344">
        <v>-303.61079999999998</v>
      </c>
      <c r="K3344">
        <v>1.1217299999999999</v>
      </c>
      <c r="L3344">
        <v>214.36240000000001</v>
      </c>
      <c r="M3344">
        <v>0.99989150000000004</v>
      </c>
      <c r="N3344">
        <v>-1.432045E-2</v>
      </c>
      <c r="O3344">
        <v>-3.4961580000000001E-3</v>
      </c>
      <c r="P3344">
        <v>0.97737350000000001</v>
      </c>
      <c r="Q3344">
        <v>0.21151919999999999</v>
      </c>
      <c r="R3344">
        <v>-1.0222619999999999E-3</v>
      </c>
      <c r="S3344">
        <v>3.0813600000000001</v>
      </c>
      <c r="T3344">
        <v>-5.3444150000000003E-2</v>
      </c>
      <c r="U3344">
        <v>-6.5689090000000006E-2</v>
      </c>
      <c r="V3344">
        <v>-2.3867160000000001E-3</v>
      </c>
      <c r="W3344">
        <v>0.2254941</v>
      </c>
      <c r="X3344">
        <v>0.97424160000000004</v>
      </c>
      <c r="Y3344">
        <v>1.7812649999999999E-2</v>
      </c>
      <c r="Z3344">
        <v>-2.7146309999999998E-4</v>
      </c>
      <c r="AA3344">
        <v>0.99984130000000004</v>
      </c>
      <c r="AB3344">
        <v>31</v>
      </c>
      <c r="AC3344">
        <v>64.4378999999999</v>
      </c>
      <c r="AD3344">
        <v>-1.1217265840989901</v>
      </c>
      <c r="AE3344">
        <v>-1.3779000000000099</v>
      </c>
      <c r="AF3344">
        <v>1.15223442218759</v>
      </c>
      <c r="AG3344">
        <v>-1.1217265840989901</v>
      </c>
      <c r="AH3344">
        <v>64.422810575982993</v>
      </c>
      <c r="AI3344">
        <v>90.9973708136542</v>
      </c>
      <c r="AJ3344">
        <v>88.975345368870506</v>
      </c>
      <c r="AK3344">
        <v>64.442877319391499</v>
      </c>
      <c r="AL3344">
        <v>76.968065159763</v>
      </c>
      <c r="AM3344">
        <v>90.1403640330347</v>
      </c>
      <c r="AN3344">
        <v>0.99999999035931697</v>
      </c>
    </row>
    <row r="3345" spans="1:40" x14ac:dyDescent="0.25">
      <c r="A3345" t="str">
        <f>"20190303162846501"</f>
        <v>20190303162846501</v>
      </c>
      <c r="B3345" t="str">
        <f>"1551601726494832"</f>
        <v>1551601726494832</v>
      </c>
      <c r="C3345" t="s">
        <v>40</v>
      </c>
      <c r="D3345">
        <v>4.8523489999999896</v>
      </c>
      <c r="E3345">
        <v>0.50898100000000002</v>
      </c>
      <c r="F3345" t="s">
        <v>48</v>
      </c>
      <c r="G3345">
        <v>-239.8151</v>
      </c>
      <c r="H3345" s="1">
        <v>3.7599830000000002E-6</v>
      </c>
      <c r="I3345">
        <v>212.93090000000001</v>
      </c>
      <c r="J3345">
        <v>-303.27159999999998</v>
      </c>
      <c r="K3345">
        <v>1.1217299999999999</v>
      </c>
      <c r="L3345">
        <v>214.3612</v>
      </c>
      <c r="M3345">
        <v>0.99989130000000004</v>
      </c>
      <c r="N3345">
        <v>-1.4316850000000001E-2</v>
      </c>
      <c r="O3345">
        <v>-3.4960130000000001E-3</v>
      </c>
      <c r="P3345">
        <v>0.97752700000000003</v>
      </c>
      <c r="Q3345">
        <v>0.21080579999999999</v>
      </c>
      <c r="R3345">
        <v>-1.3399799999999999E-3</v>
      </c>
      <c r="S3345">
        <v>3.0810849999999999</v>
      </c>
      <c r="T3345">
        <v>-5.4175019999999997E-2</v>
      </c>
      <c r="U3345">
        <v>-6.9137569999999995E-2</v>
      </c>
      <c r="V3345">
        <v>-2.0693119999999998E-3</v>
      </c>
      <c r="W3345">
        <v>0.22477910000000001</v>
      </c>
      <c r="X3345">
        <v>0.97440760000000004</v>
      </c>
      <c r="Y3345">
        <v>1.8932790000000001E-2</v>
      </c>
      <c r="Z3345">
        <v>-2.9057719999999999E-4</v>
      </c>
      <c r="AA3345">
        <v>0.99982070000000001</v>
      </c>
      <c r="AB3345">
        <v>31</v>
      </c>
      <c r="AC3345">
        <v>63.456499999999899</v>
      </c>
      <c r="AD3345">
        <v>-1.1217262400169901</v>
      </c>
      <c r="AE3345">
        <v>-1.4302999999999799</v>
      </c>
      <c r="AF3345">
        <v>1.2080464495297001</v>
      </c>
      <c r="AG3345">
        <v>-1.1217262400169901</v>
      </c>
      <c r="AH3345">
        <v>63.441298954714597</v>
      </c>
      <c r="AI3345">
        <v>91.012776201096202</v>
      </c>
      <c r="AJ3345">
        <v>88.909108102122005</v>
      </c>
      <c r="AK3345">
        <v>63.462713927496402</v>
      </c>
      <c r="AL3345">
        <v>77.010111846730396</v>
      </c>
      <c r="AM3345">
        <v>90.121676663707404</v>
      </c>
      <c r="AN3345">
        <v>1.00000004839336</v>
      </c>
    </row>
    <row r="3346" spans="1:40" x14ac:dyDescent="0.25">
      <c r="A3346" t="str">
        <f>"20190303162846524"</f>
        <v>20190303162846524</v>
      </c>
      <c r="B3346" t="str">
        <f>"1551601726515330"</f>
        <v>1551601726515330</v>
      </c>
      <c r="C3346" t="s">
        <v>40</v>
      </c>
      <c r="D3346">
        <v>4.8764279999999998</v>
      </c>
      <c r="E3346">
        <v>0.50851139999999995</v>
      </c>
      <c r="F3346" t="s">
        <v>48</v>
      </c>
      <c r="G3346">
        <v>-239.3272</v>
      </c>
      <c r="H3346" s="1">
        <v>3.4981820000000002E-6</v>
      </c>
      <c r="I3346">
        <v>212.9802</v>
      </c>
      <c r="J3346">
        <v>-302.96690000000001</v>
      </c>
      <c r="K3346">
        <v>1.121721</v>
      </c>
      <c r="L3346">
        <v>214.36009999999999</v>
      </c>
      <c r="M3346">
        <v>0.99989159999999999</v>
      </c>
      <c r="N3346">
        <v>-1.4313599999999999E-2</v>
      </c>
      <c r="O3346">
        <v>-3.4961100000000002E-3</v>
      </c>
      <c r="P3346">
        <v>0.97764329999999999</v>
      </c>
      <c r="Q3346">
        <v>0.21026449999999999</v>
      </c>
      <c r="R3346">
        <v>-1.6799759999999999E-3</v>
      </c>
      <c r="S3346">
        <v>3.0805359999999999</v>
      </c>
      <c r="T3346">
        <v>-5.4039360000000002E-2</v>
      </c>
      <c r="U3346">
        <v>-6.6528320000000002E-2</v>
      </c>
      <c r="V3346">
        <v>-1.7298859999999999E-3</v>
      </c>
      <c r="W3346">
        <v>0.22423689999999999</v>
      </c>
      <c r="X3346">
        <v>0.97453310000000004</v>
      </c>
      <c r="Y3346">
        <v>1.8090490000000001E-2</v>
      </c>
      <c r="Z3346">
        <v>-2.7687419999999999E-4</v>
      </c>
      <c r="AA3346">
        <v>0.99983630000000001</v>
      </c>
      <c r="AB3346">
        <v>31</v>
      </c>
      <c r="AC3346">
        <v>63.639699999999998</v>
      </c>
      <c r="AD3346">
        <v>-1.1217175018179999</v>
      </c>
      <c r="AE3346">
        <v>-1.3798999999999899</v>
      </c>
      <c r="AF3346">
        <v>1.1570181216954301</v>
      </c>
      <c r="AG3346">
        <v>-1.1217175018179999</v>
      </c>
      <c r="AH3346">
        <v>63.624378351026998</v>
      </c>
      <c r="AI3346">
        <v>91.009870769672006</v>
      </c>
      <c r="AJ3346">
        <v>88.958183156188994</v>
      </c>
      <c r="AK3346">
        <v>63.644783459781202</v>
      </c>
      <c r="AL3346">
        <v>77.041990416569504</v>
      </c>
      <c r="AM3346">
        <v>90.101705178342897</v>
      </c>
      <c r="AN3346">
        <v>0.99999997141139596</v>
      </c>
    </row>
    <row r="3347" spans="1:40" x14ac:dyDescent="0.25">
      <c r="A3347" t="str">
        <f>"20190303162846543"</f>
        <v>20190303162846543</v>
      </c>
      <c r="B3347" t="str">
        <f>"1551601726534848"</f>
        <v>1551601726534848</v>
      </c>
      <c r="C3347" t="s">
        <v>40</v>
      </c>
      <c r="D3347">
        <v>4.8166510000000002</v>
      </c>
      <c r="E3347">
        <v>0.50834259999999998</v>
      </c>
      <c r="F3347" t="s">
        <v>48</v>
      </c>
      <c r="G3347">
        <v>-239.64830000000001</v>
      </c>
      <c r="H3347" s="1">
        <v>3.665803E-6</v>
      </c>
      <c r="I3347">
        <v>213.05459999999999</v>
      </c>
      <c r="J3347">
        <v>-302.68900000000002</v>
      </c>
      <c r="K3347">
        <v>1.1217200000000001</v>
      </c>
      <c r="L3347">
        <v>214.35919999999999</v>
      </c>
      <c r="M3347">
        <v>0.99989150000000004</v>
      </c>
      <c r="N3347">
        <v>-1.431061E-2</v>
      </c>
      <c r="O3347">
        <v>-3.4960880000000001E-3</v>
      </c>
      <c r="P3347">
        <v>0.97767510000000002</v>
      </c>
      <c r="Q3347">
        <v>0.210114</v>
      </c>
      <c r="R3347">
        <v>-1.866473E-3</v>
      </c>
      <c r="S3347">
        <v>3.0802</v>
      </c>
      <c r="T3347">
        <v>-5.4567099999999903E-2</v>
      </c>
      <c r="U3347">
        <v>-6.3507079999999994E-2</v>
      </c>
      <c r="V3347">
        <v>-1.543134E-3</v>
      </c>
      <c r="W3347">
        <v>0.22408400000000001</v>
      </c>
      <c r="X3347">
        <v>0.97456860000000001</v>
      </c>
      <c r="Y3347">
        <v>1.71127999999999E-2</v>
      </c>
      <c r="Z3347">
        <v>-2.6214180000000003E-4</v>
      </c>
      <c r="AA3347">
        <v>0.99985360000000001</v>
      </c>
      <c r="AB3347">
        <v>31</v>
      </c>
      <c r="AC3347">
        <v>63.040700000000001</v>
      </c>
      <c r="AD3347">
        <v>-1.121716334197</v>
      </c>
      <c r="AE3347">
        <v>-1.30459999999999</v>
      </c>
      <c r="AF3347">
        <v>1.08383061828412</v>
      </c>
      <c r="AG3347">
        <v>-1.121716334197</v>
      </c>
      <c r="AH3347">
        <v>63.024930367880501</v>
      </c>
      <c r="AI3347">
        <v>91.019490673280501</v>
      </c>
      <c r="AJ3347">
        <v>89.014789872584203</v>
      </c>
      <c r="AK3347">
        <v>63.044228793916801</v>
      </c>
      <c r="AL3347">
        <v>77.050979919845005</v>
      </c>
      <c r="AM3347">
        <v>90.090722183674799</v>
      </c>
      <c r="AN3347">
        <v>0.99999998821225</v>
      </c>
    </row>
    <row r="3348" spans="1:40" x14ac:dyDescent="0.25">
      <c r="A3348" t="str">
        <f>"20190303162846566"</f>
        <v>20190303162846566</v>
      </c>
      <c r="B3348" t="str">
        <f>"1551601726555344"</f>
        <v>1551601726555344</v>
      </c>
      <c r="C3348" t="s">
        <v>40</v>
      </c>
      <c r="D3348">
        <v>4.8670900000000001</v>
      </c>
      <c r="E3348">
        <v>0.50846420000000003</v>
      </c>
      <c r="F3348" t="s">
        <v>48</v>
      </c>
      <c r="G3348">
        <v>-239.24209999999999</v>
      </c>
      <c r="H3348" s="1">
        <v>3.4491979999999999E-6</v>
      </c>
      <c r="I3348">
        <v>213.06569999999999</v>
      </c>
      <c r="J3348">
        <v>-302.38400000000001</v>
      </c>
      <c r="K3348">
        <v>1.121718</v>
      </c>
      <c r="L3348">
        <v>214.35810000000001</v>
      </c>
      <c r="M3348">
        <v>0.99989159999999999</v>
      </c>
      <c r="N3348">
        <v>-1.430726E-2</v>
      </c>
      <c r="O3348">
        <v>-3.496065E-3</v>
      </c>
      <c r="P3348">
        <v>0.97773120000000002</v>
      </c>
      <c r="Q3348">
        <v>0.20984249999999999</v>
      </c>
      <c r="R3348">
        <v>-2.864494E-3</v>
      </c>
      <c r="S3348">
        <v>3.0800480000000001</v>
      </c>
      <c r="T3348">
        <v>-5.4454089999999997E-2</v>
      </c>
      <c r="U3348">
        <v>-6.2789919999999999E-2</v>
      </c>
      <c r="V3348">
        <v>-5.4543579999999999E-4</v>
      </c>
      <c r="W3348">
        <v>0.2238098</v>
      </c>
      <c r="X3348">
        <v>0.97463270000000002</v>
      </c>
      <c r="Y3348">
        <v>1.6881219999999999E-2</v>
      </c>
      <c r="Z3348">
        <v>-2.582164E-4</v>
      </c>
      <c r="AA3348">
        <v>0.99985749999999995</v>
      </c>
      <c r="AB3348">
        <v>31</v>
      </c>
      <c r="AC3348">
        <v>63.1419</v>
      </c>
      <c r="AD3348">
        <v>-1.1217145508020001</v>
      </c>
      <c r="AE3348">
        <v>-1.29240000000001</v>
      </c>
      <c r="AF3348">
        <v>1.07128338179698</v>
      </c>
      <c r="AG3348">
        <v>-1.1217145508020001</v>
      </c>
      <c r="AH3348">
        <v>63.126118908923601</v>
      </c>
      <c r="AI3348">
        <v>91.017859131947901</v>
      </c>
      <c r="AJ3348">
        <v>89.027753866974905</v>
      </c>
      <c r="AK3348">
        <v>63.145172262978001</v>
      </c>
      <c r="AL3348">
        <v>77.067100160165595</v>
      </c>
      <c r="AM3348">
        <v>90.032064557317696</v>
      </c>
      <c r="AN3348">
        <v>1.0000000119927701</v>
      </c>
    </row>
    <row r="3349" spans="1:40" x14ac:dyDescent="0.25">
      <c r="A3349" t="str">
        <f>"20190303162846588"</f>
        <v>20190303162846588</v>
      </c>
      <c r="B3349" t="str">
        <f>"1551601726584624"</f>
        <v>1551601726584624</v>
      </c>
      <c r="C3349" t="s">
        <v>40</v>
      </c>
      <c r="D3349">
        <v>4.9599320000000002</v>
      </c>
      <c r="E3349">
        <v>0.53256769999999998</v>
      </c>
      <c r="F3349" t="s">
        <v>48</v>
      </c>
      <c r="G3349">
        <v>-238.3518</v>
      </c>
      <c r="H3349" s="1">
        <v>2.979323E-6</v>
      </c>
      <c r="I3349">
        <v>212.97579999999999</v>
      </c>
      <c r="J3349">
        <v>-302.07850000000002</v>
      </c>
      <c r="K3349">
        <v>1.121721</v>
      </c>
      <c r="L3349">
        <v>214.357</v>
      </c>
      <c r="M3349">
        <v>0.9998918</v>
      </c>
      <c r="N3349">
        <v>-1.4303929999999999E-2</v>
      </c>
      <c r="O3349">
        <v>-3.4962790000000001E-3</v>
      </c>
      <c r="P3349">
        <v>0.97782820000000004</v>
      </c>
      <c r="Q3349">
        <v>0.2093671</v>
      </c>
      <c r="R3349">
        <v>-4.2481009999999998E-3</v>
      </c>
      <c r="S3349">
        <v>3.0797119999999998</v>
      </c>
      <c r="T3349">
        <v>-5.3950310000000001E-2</v>
      </c>
      <c r="U3349">
        <v>-6.6482540000000007E-2</v>
      </c>
      <c r="V3349">
        <v>8.3750719999999999E-4</v>
      </c>
      <c r="W3349">
        <v>0.22333249999999999</v>
      </c>
      <c r="X3349">
        <v>0.974742</v>
      </c>
      <c r="Y3349">
        <v>1.8081259999999998E-2</v>
      </c>
      <c r="Z3349">
        <v>-2.7647099999999998E-4</v>
      </c>
      <c r="AA3349">
        <v>0.99983650000000002</v>
      </c>
      <c r="AB3349">
        <v>31</v>
      </c>
      <c r="AC3349">
        <v>63.726700000000001</v>
      </c>
      <c r="AD3349">
        <v>-1.1217180206770001</v>
      </c>
      <c r="AE3349">
        <v>-1.3812</v>
      </c>
      <c r="AF3349">
        <v>1.15800386863589</v>
      </c>
      <c r="AG3349">
        <v>-1.1217180206770001</v>
      </c>
      <c r="AH3349">
        <v>63.711409490276203</v>
      </c>
      <c r="AI3349">
        <v>91.008492187923295</v>
      </c>
      <c r="AJ3349">
        <v>88.958719795715993</v>
      </c>
      <c r="AK3349">
        <v>63.731804646623203</v>
      </c>
      <c r="AL3349">
        <v>77.095157962706693</v>
      </c>
      <c r="AM3349">
        <v>89.950770956762398</v>
      </c>
      <c r="AN3349">
        <v>1.0000000367692701</v>
      </c>
    </row>
    <row r="3350" spans="1:40" x14ac:dyDescent="0.25">
      <c r="A3350" t="str">
        <f>"20190303162846612"</f>
        <v>20190303162846612</v>
      </c>
      <c r="B3350" t="str">
        <f>"1551601726605119"</f>
        <v>1551601726605119</v>
      </c>
      <c r="C3350" t="s">
        <v>40</v>
      </c>
      <c r="D3350">
        <v>4.9579570000000004</v>
      </c>
      <c r="E3350">
        <v>0.53424530000000003</v>
      </c>
      <c r="F3350" t="s">
        <v>44</v>
      </c>
      <c r="G3350">
        <v>-301.17340000000002</v>
      </c>
      <c r="H3350">
        <v>0.98396130000000004</v>
      </c>
      <c r="I3350">
        <v>214.28389999999999</v>
      </c>
      <c r="J3350">
        <v>-301.76010000000002</v>
      </c>
      <c r="K3350">
        <v>1.121721</v>
      </c>
      <c r="L3350">
        <v>214.35579999999999</v>
      </c>
      <c r="M3350">
        <v>0.9998918</v>
      </c>
      <c r="N3350">
        <v>-1.4300429999999999E-2</v>
      </c>
      <c r="O3350">
        <v>-3.4962550000000002E-3</v>
      </c>
      <c r="P3350">
        <v>0.97797990000000001</v>
      </c>
      <c r="Q3350">
        <v>0.20861350000000001</v>
      </c>
      <c r="R3350">
        <v>-6.0154539999999999E-3</v>
      </c>
      <c r="S3350">
        <v>3.1702270000000001</v>
      </c>
      <c r="T3350">
        <v>-0.48261569999999998</v>
      </c>
      <c r="U3350">
        <v>-0.25552370000000002</v>
      </c>
      <c r="V3350">
        <v>2.6043529999999998E-3</v>
      </c>
      <c r="W3350">
        <v>0.22257759999999999</v>
      </c>
      <c r="X3350">
        <v>0.97491150000000004</v>
      </c>
      <c r="Y3350">
        <v>7.5935329999999995E-2</v>
      </c>
      <c r="Z3350">
        <v>-5.8062840000000001E-3</v>
      </c>
      <c r="AA3350">
        <v>0.99709579999999998</v>
      </c>
      <c r="AB3350">
        <v>31</v>
      </c>
      <c r="AC3350">
        <v>0.58670000000000699</v>
      </c>
      <c r="AD3350">
        <v>-0.13775969999999901</v>
      </c>
      <c r="AE3350">
        <v>-7.1899999999999395E-2</v>
      </c>
      <c r="AF3350">
        <v>6.6249598239741803E-2</v>
      </c>
      <c r="AG3350">
        <v>-0.13775969999999901</v>
      </c>
      <c r="AH3350">
        <v>0.556708890252405</v>
      </c>
      <c r="AI3350">
        <v>103.805209910207</v>
      </c>
      <c r="AJ3350">
        <v>83.213589816375105</v>
      </c>
      <c r="AK3350">
        <v>0.57731406764176596</v>
      </c>
      <c r="AL3350">
        <v>77.139526922981105</v>
      </c>
      <c r="AM3350">
        <v>89.846941922101607</v>
      </c>
      <c r="AN3350">
        <v>1.0000000017542701</v>
      </c>
    </row>
    <row r="3351" spans="1:40" x14ac:dyDescent="0.25">
      <c r="A3351" t="str">
        <f>"20190303162846633"</f>
        <v>20190303162846633</v>
      </c>
      <c r="B3351" t="str">
        <f>"1551601726624640"</f>
        <v>1551601726624640</v>
      </c>
      <c r="C3351" t="s">
        <v>40</v>
      </c>
      <c r="D3351">
        <v>4.9190480000000001</v>
      </c>
      <c r="E3351">
        <v>0.53332709999999905</v>
      </c>
      <c r="F3351" t="s">
        <v>44</v>
      </c>
      <c r="G3351">
        <v>-300.9479</v>
      </c>
      <c r="H3351">
        <v>0.88532690000000003</v>
      </c>
      <c r="I3351">
        <v>214.2895</v>
      </c>
      <c r="J3351">
        <v>-301.46550000000002</v>
      </c>
      <c r="K3351">
        <v>1.121718</v>
      </c>
      <c r="L3351">
        <v>214.35480000000001</v>
      </c>
      <c r="M3351">
        <v>0.99989170000000005</v>
      </c>
      <c r="N3351">
        <v>-1.4297199999999999E-2</v>
      </c>
      <c r="O3351">
        <v>-3.4959930000000002E-3</v>
      </c>
      <c r="P3351">
        <v>0.97815359999999996</v>
      </c>
      <c r="Q3351">
        <v>0.20775650000000001</v>
      </c>
      <c r="R3351">
        <v>-7.2763719999999997E-3</v>
      </c>
      <c r="S3351">
        <v>3.2688600000000001</v>
      </c>
      <c r="T3351">
        <v>-0.95138</v>
      </c>
      <c r="U3351">
        <v>-0.26629639999999999</v>
      </c>
      <c r="V3351">
        <v>3.8647619999999999E-3</v>
      </c>
      <c r="W3351">
        <v>0.22172030000000001</v>
      </c>
      <c r="X3351">
        <v>0.97510269999999999</v>
      </c>
      <c r="Y3351">
        <v>7.4606939999999997E-2</v>
      </c>
      <c r="Z3351">
        <v>-1.0219020000000001E-2</v>
      </c>
      <c r="AA3351">
        <v>0.99716070000000001</v>
      </c>
      <c r="AB3351">
        <v>30</v>
      </c>
      <c r="AC3351">
        <v>0.51760000000001505</v>
      </c>
      <c r="AD3351">
        <v>-0.23639109999999999</v>
      </c>
      <c r="AE3351">
        <v>-6.5300000000007602E-2</v>
      </c>
      <c r="AF3351">
        <v>5.2675035415562101E-2</v>
      </c>
      <c r="AG3351">
        <v>-0.23639109999999999</v>
      </c>
      <c r="AH3351">
        <v>0.42961892082244002</v>
      </c>
      <c r="AI3351">
        <v>118.64092314903699</v>
      </c>
      <c r="AJ3351">
        <v>83.009924277139106</v>
      </c>
      <c r="AK3351">
        <v>0.49318133444391199</v>
      </c>
      <c r="AL3351">
        <v>77.189906067460001</v>
      </c>
      <c r="AM3351">
        <v>89.772912748638305</v>
      </c>
      <c r="AN3351">
        <v>1.00000005168234</v>
      </c>
    </row>
    <row r="3352" spans="1:40" x14ac:dyDescent="0.25">
      <c r="A3352" t="str">
        <f>"20190303162846648"</f>
        <v>20190303162846648</v>
      </c>
      <c r="B3352" t="str">
        <f>"1551601726645136"</f>
        <v>1551601726645136</v>
      </c>
      <c r="C3352" t="s">
        <v>40</v>
      </c>
      <c r="D3352">
        <v>4.9009390000000002</v>
      </c>
      <c r="E3352">
        <v>0.53316989999999997</v>
      </c>
      <c r="F3352" t="s">
        <v>44</v>
      </c>
      <c r="G3352">
        <v>-300.67899999999997</v>
      </c>
      <c r="H3352">
        <v>0.87767680000000003</v>
      </c>
      <c r="I3352">
        <v>214.29220000000001</v>
      </c>
      <c r="J3352">
        <v>-301.26659999999998</v>
      </c>
      <c r="K3352">
        <v>1.1217140000000001</v>
      </c>
      <c r="L3352">
        <v>214.35409999999999</v>
      </c>
      <c r="M3352">
        <v>0.9998918</v>
      </c>
      <c r="N3352">
        <v>-1.429502E-2</v>
      </c>
      <c r="O3352">
        <v>-3.4962159999999999E-3</v>
      </c>
      <c r="P3352">
        <v>0.97826500000000005</v>
      </c>
      <c r="Q3352">
        <v>0.2072174</v>
      </c>
      <c r="R3352">
        <v>-7.6712169999999897E-3</v>
      </c>
      <c r="S3352">
        <v>3.2813110000000001</v>
      </c>
      <c r="T3352">
        <v>-1.018157</v>
      </c>
      <c r="U3352">
        <v>-0.26065060000000001</v>
      </c>
      <c r="V3352">
        <v>4.2590800000000002E-3</v>
      </c>
      <c r="W3352">
        <v>0.2211804</v>
      </c>
      <c r="X3352">
        <v>0.97522359999999997</v>
      </c>
      <c r="Y3352">
        <v>7.2304480000000004E-2</v>
      </c>
      <c r="Z3352">
        <v>-1.0464340000000001E-2</v>
      </c>
      <c r="AA3352">
        <v>0.99732770000000004</v>
      </c>
      <c r="AB3352">
        <v>30</v>
      </c>
      <c r="AC3352">
        <v>0.58759999999995205</v>
      </c>
      <c r="AD3352">
        <v>-0.24403719999999901</v>
      </c>
      <c r="AE3352">
        <v>-6.1899999999979999E-2</v>
      </c>
      <c r="AF3352">
        <v>5.1123788693743698E-2</v>
      </c>
      <c r="AG3352">
        <v>-0.24403719999999901</v>
      </c>
      <c r="AH3352">
        <v>0.50215058868183104</v>
      </c>
      <c r="AI3352">
        <v>115.80306311542201</v>
      </c>
      <c r="AJ3352">
        <v>84.1867651729724</v>
      </c>
      <c r="AK3352">
        <v>0.56064517340984199</v>
      </c>
      <c r="AL3352">
        <v>77.2216268449193</v>
      </c>
      <c r="AM3352">
        <v>89.749774557171094</v>
      </c>
      <c r="AN3352">
        <v>0.99999998955178304</v>
      </c>
    </row>
    <row r="3353" spans="1:40" x14ac:dyDescent="0.25">
      <c r="A3353" t="str">
        <f>"20190303162846665"</f>
        <v>20190303162846665</v>
      </c>
      <c r="B3353" t="str">
        <f>"1551601726654896"</f>
        <v>1551601726654896</v>
      </c>
      <c r="C3353" t="s">
        <v>40</v>
      </c>
      <c r="D3353">
        <v>4.9122940000000002</v>
      </c>
      <c r="E3353">
        <v>0.5332962</v>
      </c>
      <c r="F3353" t="s">
        <v>44</v>
      </c>
      <c r="G3353">
        <v>-300.41629999999998</v>
      </c>
      <c r="H3353">
        <v>0.85505059999999999</v>
      </c>
      <c r="I3353">
        <v>214.2867</v>
      </c>
      <c r="J3353">
        <v>-301.02820000000003</v>
      </c>
      <c r="K3353">
        <v>1.121705</v>
      </c>
      <c r="L3353">
        <v>214.35329999999999</v>
      </c>
      <c r="M3353">
        <v>0.9998918</v>
      </c>
      <c r="N3353">
        <v>-1.429246E-2</v>
      </c>
      <c r="O3353">
        <v>-3.4961979999999998E-3</v>
      </c>
      <c r="P3353">
        <v>0.97839449999999994</v>
      </c>
      <c r="Q3353">
        <v>0.20656559999999999</v>
      </c>
      <c r="R3353">
        <v>-8.6737180000000004E-3</v>
      </c>
      <c r="S3353">
        <v>3.2826230000000001</v>
      </c>
      <c r="T3353">
        <v>-1.029482</v>
      </c>
      <c r="U3353">
        <v>-0.25982670000000002</v>
      </c>
      <c r="V3353">
        <v>5.2610759999999999E-3</v>
      </c>
      <c r="W3353">
        <v>0.2205279</v>
      </c>
      <c r="X3353">
        <v>0.97536650000000003</v>
      </c>
      <c r="Y3353">
        <v>7.1971140000000003E-2</v>
      </c>
      <c r="Z3353">
        <v>-1.051231E-2</v>
      </c>
      <c r="AA3353">
        <v>0.99735130000000005</v>
      </c>
      <c r="AB3353">
        <v>30</v>
      </c>
      <c r="AC3353">
        <v>0.61190000000004796</v>
      </c>
      <c r="AD3353">
        <v>-0.26665440000000001</v>
      </c>
      <c r="AE3353">
        <v>-6.6599999999993997E-2</v>
      </c>
      <c r="AF3353">
        <v>5.4273842291409399E-2</v>
      </c>
      <c r="AG3353">
        <v>-0.26665440000000001</v>
      </c>
      <c r="AH3353">
        <v>0.51539828780766495</v>
      </c>
      <c r="AI3353">
        <v>117.227199398203</v>
      </c>
      <c r="AJ3353">
        <v>83.988642125150406</v>
      </c>
      <c r="AK3353">
        <v>0.58282554342745196</v>
      </c>
      <c r="AL3353">
        <v>77.259959294484204</v>
      </c>
      <c r="AM3353">
        <v>89.690952552562905</v>
      </c>
      <c r="AN3353">
        <v>1.0000000214606599</v>
      </c>
    </row>
    <row r="3354" spans="1:40" x14ac:dyDescent="0.25">
      <c r="A3354" t="str">
        <f>"20190303162846689"</f>
        <v>20190303162846689</v>
      </c>
      <c r="B3354" t="str">
        <f>"1551601726685152"</f>
        <v>1551601726685152</v>
      </c>
      <c r="C3354" t="s">
        <v>40</v>
      </c>
      <c r="D3354">
        <v>4.956137</v>
      </c>
      <c r="E3354">
        <v>0.53336790000000001</v>
      </c>
      <c r="F3354" t="s">
        <v>44</v>
      </c>
      <c r="G3354">
        <v>-300.14850000000001</v>
      </c>
      <c r="H3354">
        <v>0.8462269</v>
      </c>
      <c r="I3354">
        <v>214.2826</v>
      </c>
      <c r="J3354">
        <v>-300.7097</v>
      </c>
      <c r="K3354">
        <v>1.1216950000000001</v>
      </c>
      <c r="L3354">
        <v>214.35210000000001</v>
      </c>
      <c r="M3354">
        <v>0.99989189999999994</v>
      </c>
      <c r="N3354">
        <v>-1.428917E-2</v>
      </c>
      <c r="O3354">
        <v>-3.4961749999999998E-3</v>
      </c>
      <c r="P3354">
        <v>0.97855309999999995</v>
      </c>
      <c r="Q3354">
        <v>0.2057611</v>
      </c>
      <c r="R3354">
        <v>-9.8068080000000002E-3</v>
      </c>
      <c r="S3354">
        <v>3.2808229999999998</v>
      </c>
      <c r="T3354">
        <v>-1.0273859999999999</v>
      </c>
      <c r="U3354">
        <v>-0.2633972</v>
      </c>
      <c r="V3354">
        <v>6.393775E-3</v>
      </c>
      <c r="W3354">
        <v>0.21972269999999999</v>
      </c>
      <c r="X3354">
        <v>0.9755414</v>
      </c>
      <c r="Y3354">
        <v>7.3049160000000002E-2</v>
      </c>
      <c r="Z3354">
        <v>-1.067014E-2</v>
      </c>
      <c r="AA3354">
        <v>0.99727120000000002</v>
      </c>
      <c r="AB3354">
        <v>30</v>
      </c>
      <c r="AC3354">
        <v>0.56119999999998504</v>
      </c>
      <c r="AD3354">
        <v>-0.27546809999999999</v>
      </c>
      <c r="AE3354">
        <v>-6.9500000000005002E-2</v>
      </c>
      <c r="AF3354">
        <v>5.4584448554572201E-2</v>
      </c>
      <c r="AG3354">
        <v>-0.27546809999999999</v>
      </c>
      <c r="AH3354">
        <v>0.45376199483365298</v>
      </c>
      <c r="AI3354">
        <v>121.078671069317</v>
      </c>
      <c r="AJ3354">
        <v>83.140670725268706</v>
      </c>
      <c r="AK3354">
        <v>0.53363103741914497</v>
      </c>
      <c r="AL3354">
        <v>77.307253436778296</v>
      </c>
      <c r="AM3354">
        <v>89.624484335210795</v>
      </c>
      <c r="AN3354">
        <v>0.99999998418400005</v>
      </c>
    </row>
    <row r="3355" spans="1:40" x14ac:dyDescent="0.25">
      <c r="A3355" t="str">
        <f>"20190303162846713"</f>
        <v>20190303162846713</v>
      </c>
      <c r="B3355" t="str">
        <f>"1551601726704671"</f>
        <v>1551601726704671</v>
      </c>
      <c r="C3355" t="s">
        <v>40</v>
      </c>
      <c r="D3355">
        <v>4.9457719999999998</v>
      </c>
      <c r="E3355">
        <v>0.53337500000000004</v>
      </c>
      <c r="F3355" t="s">
        <v>44</v>
      </c>
      <c r="G3355">
        <v>-299.87209999999999</v>
      </c>
      <c r="H3355">
        <v>0.85969089999999904</v>
      </c>
      <c r="I3355">
        <v>214.2841</v>
      </c>
      <c r="J3355">
        <v>-300.39760000000001</v>
      </c>
      <c r="K3355">
        <v>1.121688</v>
      </c>
      <c r="L3355">
        <v>214.351</v>
      </c>
      <c r="M3355">
        <v>0.99989189999999994</v>
      </c>
      <c r="N3355">
        <v>-1.4285819999999999E-2</v>
      </c>
      <c r="O3355">
        <v>-3.4961509999999999E-3</v>
      </c>
      <c r="P3355">
        <v>0.97871699999999995</v>
      </c>
      <c r="Q3355">
        <v>0.20489879999999999</v>
      </c>
      <c r="R3355">
        <v>-1.1385350000000001E-2</v>
      </c>
      <c r="S3355">
        <v>3.2787169999999999</v>
      </c>
      <c r="T3355">
        <v>-1.0255939999999999</v>
      </c>
      <c r="U3355">
        <v>-0.26538089999999998</v>
      </c>
      <c r="V3355">
        <v>7.971667E-3</v>
      </c>
      <c r="W3355">
        <v>0.2188602</v>
      </c>
      <c r="X3355">
        <v>0.97572369999999997</v>
      </c>
      <c r="Y3355">
        <v>7.3676099999999994E-2</v>
      </c>
      <c r="Z3355">
        <v>-1.0759350000000001E-2</v>
      </c>
      <c r="AA3355">
        <v>0.99722420000000001</v>
      </c>
      <c r="AB3355">
        <v>30</v>
      </c>
      <c r="AC3355">
        <v>0.52550000000002195</v>
      </c>
      <c r="AD3355">
        <v>-0.26199709999999998</v>
      </c>
      <c r="AE3355">
        <v>-6.6900000000003901E-2</v>
      </c>
      <c r="AF3355">
        <v>5.2275362716474802E-2</v>
      </c>
      <c r="AG3355">
        <v>-0.26199709999999998</v>
      </c>
      <c r="AH3355">
        <v>0.422407684557779</v>
      </c>
      <c r="AI3355">
        <v>121.614423964194</v>
      </c>
      <c r="AJ3355">
        <v>82.945190150522293</v>
      </c>
      <c r="AK3355">
        <v>0.49980340728031603</v>
      </c>
      <c r="AL3355">
        <v>77.357904587021196</v>
      </c>
      <c r="AM3355">
        <v>89.5319036395056</v>
      </c>
      <c r="AN3355">
        <v>1.00000003668024</v>
      </c>
    </row>
    <row r="3356" spans="1:40" x14ac:dyDescent="0.25">
      <c r="A3356" t="str">
        <f>"20190303162846734"</f>
        <v>20190303162846734</v>
      </c>
      <c r="B3356" t="str">
        <f>"1551601726725173"</f>
        <v>1551601726725173</v>
      </c>
      <c r="C3356" t="s">
        <v>40</v>
      </c>
      <c r="D3356">
        <v>4.9933740000000002</v>
      </c>
      <c r="E3356">
        <v>0.53329069999999901</v>
      </c>
      <c r="F3356" t="s">
        <v>44</v>
      </c>
      <c r="G3356">
        <v>-299.5967</v>
      </c>
      <c r="H3356">
        <v>0.87153459999999905</v>
      </c>
      <c r="I3356">
        <v>214.28579999999999</v>
      </c>
      <c r="J3356">
        <v>-300.09649999999999</v>
      </c>
      <c r="K3356">
        <v>1.1216820000000001</v>
      </c>
      <c r="L3356">
        <v>214.35</v>
      </c>
      <c r="M3356">
        <v>0.99989189999999994</v>
      </c>
      <c r="N3356">
        <v>-1.428257E-2</v>
      </c>
      <c r="O3356">
        <v>-3.4961279999999998E-3</v>
      </c>
      <c r="P3356">
        <v>0.97892060000000003</v>
      </c>
      <c r="Q3356">
        <v>0.2037764</v>
      </c>
      <c r="R3356">
        <v>-1.377947E-2</v>
      </c>
      <c r="S3356">
        <v>3.2763369999999998</v>
      </c>
      <c r="T3356">
        <v>-1.023272</v>
      </c>
      <c r="U3356">
        <v>-0.2672119</v>
      </c>
      <c r="V3356">
        <v>1.0365050000000001E-2</v>
      </c>
      <c r="W3356">
        <v>0.21773729999999999</v>
      </c>
      <c r="X3356">
        <v>0.97595240000000005</v>
      </c>
      <c r="Y3356">
        <v>7.4269180000000004E-2</v>
      </c>
      <c r="Z3356">
        <v>-1.083868E-2</v>
      </c>
      <c r="AA3356">
        <v>0.99717929999999999</v>
      </c>
      <c r="AB3356">
        <v>30</v>
      </c>
      <c r="AC3356">
        <v>0.49979999999999303</v>
      </c>
      <c r="AD3356">
        <v>-0.25014740000000002</v>
      </c>
      <c r="AE3356">
        <v>-6.4199999999999494E-2</v>
      </c>
      <c r="AF3356">
        <v>5.0104782142787699E-2</v>
      </c>
      <c r="AG3356">
        <v>-0.25014740000000002</v>
      </c>
      <c r="AH3356">
        <v>0.40116310726715498</v>
      </c>
      <c r="AI3356">
        <v>121.74706260491401</v>
      </c>
      <c r="AJ3356">
        <v>82.880694053631402</v>
      </c>
      <c r="AK3356">
        <v>0.47541145290429698</v>
      </c>
      <c r="AL3356">
        <v>77.423831929718304</v>
      </c>
      <c r="AM3356">
        <v>89.391516130789995</v>
      </c>
      <c r="AN3356">
        <v>1.0000000265692699</v>
      </c>
    </row>
    <row r="3357" spans="1:40" x14ac:dyDescent="0.25">
      <c r="A3357" t="str">
        <f>"20190303162846755"</f>
        <v>20190303162846755</v>
      </c>
      <c r="B3357" t="str">
        <f>"1551601726744688"</f>
        <v>1551601726744688</v>
      </c>
      <c r="C3357" t="s">
        <v>40</v>
      </c>
      <c r="D3357">
        <v>4.956385</v>
      </c>
      <c r="E3357">
        <v>0.53298299999999998</v>
      </c>
      <c r="F3357" t="s">
        <v>44</v>
      </c>
      <c r="G3357">
        <v>-299.3229</v>
      </c>
      <c r="H3357">
        <v>0.88014519999999996</v>
      </c>
      <c r="I3357">
        <v>214.28579999999999</v>
      </c>
      <c r="J3357">
        <v>-299.80880000000002</v>
      </c>
      <c r="K3357">
        <v>1.121677</v>
      </c>
      <c r="L3357">
        <v>214.34889999999999</v>
      </c>
      <c r="M3357">
        <v>0.999892</v>
      </c>
      <c r="N3357">
        <v>-1.4279480000000001E-2</v>
      </c>
      <c r="O3357">
        <v>-3.4961060000000001E-3</v>
      </c>
      <c r="P3357">
        <v>0.97898450000000004</v>
      </c>
      <c r="Q3357">
        <v>0.20330870000000001</v>
      </c>
      <c r="R3357">
        <v>-1.5973899999999999E-2</v>
      </c>
      <c r="S3357">
        <v>3.2735289999999999</v>
      </c>
      <c r="T3357">
        <v>-1.022051</v>
      </c>
      <c r="U3357">
        <v>-0.27078249999999998</v>
      </c>
      <c r="V3357">
        <v>1.2559239999999999E-2</v>
      </c>
      <c r="W3357">
        <v>0.2172673</v>
      </c>
      <c r="X3357">
        <v>0.97603139999999999</v>
      </c>
      <c r="Y3357">
        <v>7.5367089999999998E-2</v>
      </c>
      <c r="Z3357">
        <v>-1.1010010000000001E-2</v>
      </c>
      <c r="AA3357">
        <v>0.99709499999999995</v>
      </c>
      <c r="AB3357">
        <v>30</v>
      </c>
      <c r="AC3357">
        <v>0.48590000000001499</v>
      </c>
      <c r="AD3357">
        <v>-0.24153179999999999</v>
      </c>
      <c r="AE3357">
        <v>-6.3099999999991496E-2</v>
      </c>
      <c r="AF3357">
        <v>4.9397490531384702E-2</v>
      </c>
      <c r="AG3357">
        <v>-0.24153179999999999</v>
      </c>
      <c r="AH3357">
        <v>0.391086728283285</v>
      </c>
      <c r="AI3357">
        <v>121.496764503883</v>
      </c>
      <c r="AJ3357">
        <v>82.801190074821704</v>
      </c>
      <c r="AK3357">
        <v>0.46230569055697601</v>
      </c>
      <c r="AL3357">
        <v>77.451421793368894</v>
      </c>
      <c r="AM3357">
        <v>89.262778088916406</v>
      </c>
      <c r="AN3357">
        <v>1.00000005397231</v>
      </c>
    </row>
    <row r="3358" spans="1:40" x14ac:dyDescent="0.25">
      <c r="A3358" t="str">
        <f>"20190303162846777"</f>
        <v>20190303162846777</v>
      </c>
      <c r="B3358" t="str">
        <f>"1551601726774944"</f>
        <v>1551601726774944</v>
      </c>
      <c r="C3358" t="s">
        <v>40</v>
      </c>
      <c r="D3358">
        <v>4.9837669999999896</v>
      </c>
      <c r="E3358">
        <v>0.53242959999999995</v>
      </c>
      <c r="F3358" t="s">
        <v>44</v>
      </c>
      <c r="G3358">
        <v>-299.05149999999998</v>
      </c>
      <c r="H3358">
        <v>0.88355589999999995</v>
      </c>
      <c r="I3358">
        <v>214.28579999999999</v>
      </c>
      <c r="J3358">
        <v>-299.51260000000002</v>
      </c>
      <c r="K3358">
        <v>1.1216619999999999</v>
      </c>
      <c r="L3358">
        <v>214.34790000000001</v>
      </c>
      <c r="M3358">
        <v>0.999892</v>
      </c>
      <c r="N3358">
        <v>-1.427631E-2</v>
      </c>
      <c r="O3358">
        <v>-3.4960830000000001E-3</v>
      </c>
      <c r="P3358">
        <v>0.97922949999999997</v>
      </c>
      <c r="Q3358">
        <v>0.2020362</v>
      </c>
      <c r="R3358">
        <v>-1.7058239999999999E-2</v>
      </c>
      <c r="S3358">
        <v>3.2737120000000002</v>
      </c>
      <c r="T3358">
        <v>-1.0293810000000001</v>
      </c>
      <c r="U3358">
        <v>-0.27235409999999999</v>
      </c>
      <c r="V3358">
        <v>1.364273E-2</v>
      </c>
      <c r="W3358">
        <v>0.21599550000000001</v>
      </c>
      <c r="X3358">
        <v>0.97629900000000003</v>
      </c>
      <c r="Y3358">
        <v>7.5769130000000004E-2</v>
      </c>
      <c r="Z3358">
        <v>-1.114511E-2</v>
      </c>
      <c r="AA3358">
        <v>0.99706309999999998</v>
      </c>
      <c r="AB3358">
        <v>30</v>
      </c>
      <c r="AC3358">
        <v>0.46110000000004397</v>
      </c>
      <c r="AD3358">
        <v>-0.23810609999999999</v>
      </c>
      <c r="AE3358">
        <v>-6.2100000000015101E-2</v>
      </c>
      <c r="AF3358">
        <v>4.7933405154174102E-2</v>
      </c>
      <c r="AG3358">
        <v>-0.23810609999999999</v>
      </c>
      <c r="AH3358">
        <v>0.36556970965302898</v>
      </c>
      <c r="AI3358">
        <v>122.85441790506</v>
      </c>
      <c r="AJ3358">
        <v>82.5300067939244</v>
      </c>
      <c r="AK3358">
        <v>0.43890014673349598</v>
      </c>
      <c r="AL3358">
        <v>77.526061831236603</v>
      </c>
      <c r="AM3358">
        <v>89.199405123960304</v>
      </c>
      <c r="AN3358">
        <v>0.99999995875155001</v>
      </c>
    </row>
    <row r="3359" spans="1:40" x14ac:dyDescent="0.25">
      <c r="A3359" t="str">
        <f>"20190303162846801"</f>
        <v>20190303162846801</v>
      </c>
      <c r="B3359" t="str">
        <f>"1551601726795441"</f>
        <v>1551601726795441</v>
      </c>
      <c r="C3359" t="s">
        <v>40</v>
      </c>
      <c r="D3359">
        <v>5.018859</v>
      </c>
      <c r="E3359">
        <v>0.53213569999999999</v>
      </c>
      <c r="F3359" t="s">
        <v>44</v>
      </c>
      <c r="G3359">
        <v>-298.78050000000002</v>
      </c>
      <c r="H3359">
        <v>0.88677799999999996</v>
      </c>
      <c r="I3359">
        <v>214.28729999999999</v>
      </c>
      <c r="J3359">
        <v>-299.1968</v>
      </c>
      <c r="K3359">
        <v>1.121637</v>
      </c>
      <c r="L3359">
        <v>214.3468</v>
      </c>
      <c r="M3359">
        <v>0.99989220000000001</v>
      </c>
      <c r="N3359">
        <v>-1.427292E-2</v>
      </c>
      <c r="O3359">
        <v>-3.496178E-3</v>
      </c>
      <c r="P3359">
        <v>0.97968849999999996</v>
      </c>
      <c r="Q3359">
        <v>0.19980629999999999</v>
      </c>
      <c r="R3359">
        <v>-1.697216E-2</v>
      </c>
      <c r="S3359">
        <v>3.2757869999999998</v>
      </c>
      <c r="T3359">
        <v>-1.0508839999999999</v>
      </c>
      <c r="U3359">
        <v>-0.27053829999999901</v>
      </c>
      <c r="V3359">
        <v>1.355482E-2</v>
      </c>
      <c r="W3359">
        <v>0.21376899999999999</v>
      </c>
      <c r="X3359">
        <v>0.97679020000000005</v>
      </c>
      <c r="Y3359">
        <v>7.506235E-2</v>
      </c>
      <c r="Z3359">
        <v>-1.123336E-2</v>
      </c>
      <c r="AA3359">
        <v>0.99711559999999999</v>
      </c>
      <c r="AB3359">
        <v>30</v>
      </c>
      <c r="AC3359">
        <v>0.41629999999997802</v>
      </c>
      <c r="AD3359">
        <v>-0.23485900000000001</v>
      </c>
      <c r="AE3359">
        <v>-5.9500000000014097E-2</v>
      </c>
      <c r="AF3359">
        <v>4.4244152734839198E-2</v>
      </c>
      <c r="AG3359">
        <v>-0.23485900000000001</v>
      </c>
      <c r="AH3359">
        <v>0.31748197208715201</v>
      </c>
      <c r="AI3359">
        <v>126.229298657482</v>
      </c>
      <c r="AJ3359">
        <v>82.066381039079204</v>
      </c>
      <c r="AK3359">
        <v>0.39738029333696301</v>
      </c>
      <c r="AL3359">
        <v>77.656682819153005</v>
      </c>
      <c r="AM3359">
        <v>89.204963223311097</v>
      </c>
      <c r="AN3359">
        <v>1.0000000066611301</v>
      </c>
    </row>
    <row r="3360" spans="1:40" x14ac:dyDescent="0.25">
      <c r="A3360" t="str">
        <f>"20190303162846823"</f>
        <v>20190303162846823</v>
      </c>
      <c r="B3360" t="str">
        <f>"1551601726814960"</f>
        <v>1551601726814960</v>
      </c>
      <c r="C3360" t="s">
        <v>40</v>
      </c>
      <c r="D3360">
        <v>5.020778</v>
      </c>
      <c r="E3360">
        <v>0.53190190000000004</v>
      </c>
      <c r="F3360" t="s">
        <v>44</v>
      </c>
      <c r="G3360">
        <v>-298.50639999999999</v>
      </c>
      <c r="H3360">
        <v>0.89711879999999999</v>
      </c>
      <c r="I3360">
        <v>214.2903</v>
      </c>
      <c r="J3360">
        <v>-298.89659999999998</v>
      </c>
      <c r="K3360">
        <v>1.1216120000000001</v>
      </c>
      <c r="L3360">
        <v>214.34569999999999</v>
      </c>
      <c r="M3360">
        <v>0.99989220000000001</v>
      </c>
      <c r="N3360">
        <v>-1.426971E-2</v>
      </c>
      <c r="O3360">
        <v>-3.4961549999999999E-3</v>
      </c>
      <c r="P3360">
        <v>0.98029109999999997</v>
      </c>
      <c r="Q3360">
        <v>0.1970027</v>
      </c>
      <c r="R3360">
        <v>-1.48165E-2</v>
      </c>
      <c r="S3360">
        <v>3.2747190000000002</v>
      </c>
      <c r="T3360">
        <v>-1.0648879999999901</v>
      </c>
      <c r="U3360">
        <v>-0.26702880000000001</v>
      </c>
      <c r="V3360">
        <v>1.1397050000000001E-2</v>
      </c>
      <c r="W3360">
        <v>0.2109714</v>
      </c>
      <c r="X3360">
        <v>0.97742580000000001</v>
      </c>
      <c r="Y3360">
        <v>7.3986389999999999E-2</v>
      </c>
      <c r="Z3360">
        <v>-1.1193969999999999E-2</v>
      </c>
      <c r="AA3360">
        <v>0.99719639999999998</v>
      </c>
      <c r="AB3360">
        <v>30</v>
      </c>
      <c r="AC3360">
        <v>0.390199999999993</v>
      </c>
      <c r="AD3360">
        <v>-0.2244932</v>
      </c>
      <c r="AE3360">
        <v>-5.5399999999991602E-2</v>
      </c>
      <c r="AF3360">
        <v>4.07979270621152E-2</v>
      </c>
      <c r="AG3360">
        <v>-0.2244932</v>
      </c>
      <c r="AH3360">
        <v>0.29475453822468201</v>
      </c>
      <c r="AI3360">
        <v>127.032183623007</v>
      </c>
      <c r="AJ3360">
        <v>82.119576626037201</v>
      </c>
      <c r="AK3360">
        <v>0.372749118715057</v>
      </c>
      <c r="AL3360">
        <v>77.820715284701294</v>
      </c>
      <c r="AM3360">
        <v>89.331945942285898</v>
      </c>
      <c r="AN3360">
        <v>1.0000000094361501</v>
      </c>
    </row>
    <row r="3361" spans="1:40" x14ac:dyDescent="0.25">
      <c r="A3361" t="str">
        <f>"20190303162846845"</f>
        <v>20190303162846845</v>
      </c>
      <c r="B3361" t="str">
        <f>"1551601726834480"</f>
        <v>1551601726834480</v>
      </c>
      <c r="C3361" t="s">
        <v>40</v>
      </c>
      <c r="D3361">
        <v>4.982081</v>
      </c>
      <c r="E3361">
        <v>0.53181060000000002</v>
      </c>
      <c r="F3361" t="s">
        <v>44</v>
      </c>
      <c r="G3361">
        <v>-298.23430000000002</v>
      </c>
      <c r="H3361">
        <v>0.90314919999999999</v>
      </c>
      <c r="I3361">
        <v>214.29349999999999</v>
      </c>
      <c r="J3361">
        <v>-298.61489999999998</v>
      </c>
      <c r="K3361">
        <v>1.12159599999999</v>
      </c>
      <c r="L3361">
        <v>214.34479999999999</v>
      </c>
      <c r="M3361">
        <v>0.99989209999999995</v>
      </c>
      <c r="N3361">
        <v>-1.426674E-2</v>
      </c>
      <c r="O3361">
        <v>-3.4961340000000001E-3</v>
      </c>
      <c r="P3361">
        <v>0.98093189999999997</v>
      </c>
      <c r="Q3361">
        <v>0.1938665</v>
      </c>
      <c r="R3361">
        <v>-1.373272E-2</v>
      </c>
      <c r="S3361">
        <v>3.2734990000000002</v>
      </c>
      <c r="T3361">
        <v>-1.079869</v>
      </c>
      <c r="U3361">
        <v>-0.2577972</v>
      </c>
      <c r="V3361">
        <v>1.0310730000000001E-2</v>
      </c>
      <c r="W3361">
        <v>0.20784130000000001</v>
      </c>
      <c r="X3361">
        <v>0.97810819999999998</v>
      </c>
      <c r="Y3361">
        <v>7.126565E-2</v>
      </c>
      <c r="Z3361">
        <v>-1.088428E-2</v>
      </c>
      <c r="AA3361">
        <v>0.99739800000000001</v>
      </c>
      <c r="AB3361">
        <v>30</v>
      </c>
      <c r="AC3361">
        <v>0.38059999999995803</v>
      </c>
      <c r="AD3361">
        <v>-0.218446799999999</v>
      </c>
      <c r="AE3361">
        <v>-5.1299999999997598E-2</v>
      </c>
      <c r="AF3361">
        <v>3.7753855469250003E-2</v>
      </c>
      <c r="AG3361">
        <v>-0.218446799999999</v>
      </c>
      <c r="AH3361">
        <v>0.28769484680339003</v>
      </c>
      <c r="AI3361">
        <v>126.97410315566501</v>
      </c>
      <c r="AJ3361">
        <v>82.523862630596597</v>
      </c>
      <c r="AK3361">
        <v>0.36319785642299601</v>
      </c>
      <c r="AL3361">
        <v>78.0041229725162</v>
      </c>
      <c r="AM3361">
        <v>89.3960387698272</v>
      </c>
      <c r="AN3361">
        <v>0.99999998402303103</v>
      </c>
    </row>
    <row r="3362" spans="1:40" x14ac:dyDescent="0.25">
      <c r="A3362" t="str">
        <f>"20190303162846866"</f>
        <v>20190303162846866</v>
      </c>
      <c r="B3362" t="str">
        <f>"1551601726854977"</f>
        <v>1551601726854977</v>
      </c>
      <c r="C3362" t="s">
        <v>40</v>
      </c>
      <c r="D3362">
        <v>5.02536</v>
      </c>
      <c r="E3362">
        <v>0.53174259999999995</v>
      </c>
      <c r="F3362" t="s">
        <v>44</v>
      </c>
      <c r="G3362">
        <v>-297.72910000000002</v>
      </c>
      <c r="H3362">
        <v>0.82556890000000005</v>
      </c>
      <c r="I3362">
        <v>214.2766</v>
      </c>
      <c r="J3362">
        <v>-298.31549999999999</v>
      </c>
      <c r="K3362">
        <v>1.1215710000000001</v>
      </c>
      <c r="L3362">
        <v>214.34370000000001</v>
      </c>
      <c r="M3362">
        <v>0.99989220000000001</v>
      </c>
      <c r="N3362">
        <v>-1.426354E-2</v>
      </c>
      <c r="O3362">
        <v>-3.4961110000000001E-3</v>
      </c>
      <c r="P3362">
        <v>0.9813423</v>
      </c>
      <c r="Q3362">
        <v>0.19181670000000001</v>
      </c>
      <c r="R3362">
        <v>-1.317103E-2</v>
      </c>
      <c r="S3362">
        <v>3.270813</v>
      </c>
      <c r="T3362">
        <v>-1.093037</v>
      </c>
      <c r="U3362">
        <v>-0.25141910000000001</v>
      </c>
      <c r="V3362">
        <v>9.7477589999999999E-3</v>
      </c>
      <c r="W3362">
        <v>0.20579510000000001</v>
      </c>
      <c r="X3362">
        <v>0.97854660000000004</v>
      </c>
      <c r="Y3362">
        <v>6.9407010000000005E-2</v>
      </c>
      <c r="Z3362">
        <v>-1.069703E-2</v>
      </c>
      <c r="AA3362">
        <v>0.9975311</v>
      </c>
      <c r="AB3362">
        <v>30</v>
      </c>
      <c r="AC3362">
        <v>0.58639999999996895</v>
      </c>
      <c r="AD3362">
        <v>-0.29600209999999899</v>
      </c>
      <c r="AE3362">
        <v>-6.7100000000010596E-2</v>
      </c>
      <c r="AF3362">
        <v>5.1976697312474E-2</v>
      </c>
      <c r="AG3362">
        <v>-0.29600209999999899</v>
      </c>
      <c r="AH3362">
        <v>0.46873926819798201</v>
      </c>
      <c r="AI3362">
        <v>122.113974705806</v>
      </c>
      <c r="AJ3362">
        <v>83.672540159261501</v>
      </c>
      <c r="AK3362">
        <v>0.55680815530908101</v>
      </c>
      <c r="AL3362">
        <v>78.123953145047295</v>
      </c>
      <c r="AM3362">
        <v>89.429268899548703</v>
      </c>
      <c r="AN3362">
        <v>1.00000004518054</v>
      </c>
    </row>
    <row r="3363" spans="1:40" x14ac:dyDescent="0.25">
      <c r="A3363" t="str">
        <f>"20190303162846892"</f>
        <v>20190303162846892</v>
      </c>
      <c r="B3363" t="str">
        <f>"1551601726885233"</f>
        <v>1551601726885233</v>
      </c>
      <c r="C3363" t="s">
        <v>40</v>
      </c>
      <c r="D3363">
        <v>5.0020530000000001</v>
      </c>
      <c r="E3363">
        <v>0.53156530000000002</v>
      </c>
      <c r="F3363" t="s">
        <v>44</v>
      </c>
      <c r="G3363">
        <v>-297.4579</v>
      </c>
      <c r="H3363">
        <v>0.83315249999999996</v>
      </c>
      <c r="I3363">
        <v>214.27799999999999</v>
      </c>
      <c r="J3363">
        <v>-297.98149999999998</v>
      </c>
      <c r="K3363">
        <v>1.1215619999999999</v>
      </c>
      <c r="L3363">
        <v>214.3426</v>
      </c>
      <c r="M3363">
        <v>0.99989220000000001</v>
      </c>
      <c r="N3363">
        <v>-1.425995E-2</v>
      </c>
      <c r="O3363">
        <v>-3.4960859999999998E-3</v>
      </c>
      <c r="P3363">
        <v>0.98154589999999997</v>
      </c>
      <c r="Q3363">
        <v>0.19078629999999999</v>
      </c>
      <c r="R3363">
        <v>-1.2965600000000001E-2</v>
      </c>
      <c r="S3363">
        <v>3.2685550000000001</v>
      </c>
      <c r="T3363">
        <v>-1.099289</v>
      </c>
      <c r="U3363">
        <v>-0.25024410000000002</v>
      </c>
      <c r="V3363">
        <v>9.5415469999999992E-3</v>
      </c>
      <c r="W3363">
        <v>0.2047638</v>
      </c>
      <c r="X3363">
        <v>0.97876490000000005</v>
      </c>
      <c r="Y3363">
        <v>6.9076180000000001E-2</v>
      </c>
      <c r="Z3363">
        <v>-1.070232E-2</v>
      </c>
      <c r="AA3363">
        <v>0.99755400000000005</v>
      </c>
      <c r="AB3363">
        <v>30</v>
      </c>
      <c r="AC3363">
        <v>0.52359999999998696</v>
      </c>
      <c r="AD3363">
        <v>-0.28840949999999999</v>
      </c>
      <c r="AE3363">
        <v>-6.46000000000128E-2</v>
      </c>
      <c r="AF3363">
        <v>4.8326350414939101E-2</v>
      </c>
      <c r="AG3363">
        <v>-0.28840949999999999</v>
      </c>
      <c r="AH3363">
        <v>0.40329606948916602</v>
      </c>
      <c r="AI3363">
        <v>125.37670792978101</v>
      </c>
      <c r="AJ3363">
        <v>83.166915292403004</v>
      </c>
      <c r="AK3363">
        <v>0.49815980919789898</v>
      </c>
      <c r="AL3363">
        <v>78.184327428040405</v>
      </c>
      <c r="AM3363">
        <v>89.441466427756495</v>
      </c>
      <c r="AN3363">
        <v>0.99999999219080105</v>
      </c>
    </row>
    <row r="3364" spans="1:40" x14ac:dyDescent="0.25">
      <c r="A3364" t="str">
        <f>"20190303162846913"</f>
        <v>20190303162846913</v>
      </c>
      <c r="B3364" t="str">
        <f>"1551601726904752"</f>
        <v>1551601726904752</v>
      </c>
      <c r="C3364" t="s">
        <v>40</v>
      </c>
      <c r="D3364">
        <v>4.9586110000000003</v>
      </c>
      <c r="E3364">
        <v>0.53140509999999996</v>
      </c>
      <c r="F3364" t="s">
        <v>44</v>
      </c>
      <c r="G3364">
        <v>-297.18259999999998</v>
      </c>
      <c r="H3364">
        <v>0.85183299999999995</v>
      </c>
      <c r="I3364">
        <v>214.2808</v>
      </c>
      <c r="J3364">
        <v>-297.68860000000001</v>
      </c>
      <c r="K3364">
        <v>1.121564</v>
      </c>
      <c r="L3364">
        <v>214.3415</v>
      </c>
      <c r="M3364">
        <v>0.99989229999999996</v>
      </c>
      <c r="N3364">
        <v>-1.425682E-2</v>
      </c>
      <c r="O3364">
        <v>-3.4960630000000002E-3</v>
      </c>
      <c r="P3364">
        <v>0.98147850000000003</v>
      </c>
      <c r="Q3364">
        <v>0.19112000000000001</v>
      </c>
      <c r="R3364">
        <v>-1.316209E-2</v>
      </c>
      <c r="S3364">
        <v>3.2675169999999998</v>
      </c>
      <c r="T3364">
        <v>-1.1032949999999999</v>
      </c>
      <c r="U3364">
        <v>-0.25178529999999999</v>
      </c>
      <c r="V3364">
        <v>9.7382289999999993E-3</v>
      </c>
      <c r="W3364">
        <v>0.20509330000000001</v>
      </c>
      <c r="X3364">
        <v>0.97869399999999995</v>
      </c>
      <c r="Y3364">
        <v>6.9514480000000003E-2</v>
      </c>
      <c r="Z3364">
        <v>-1.081535E-2</v>
      </c>
      <c r="AA3364">
        <v>0.99752229999999997</v>
      </c>
      <c r="AB3364">
        <v>30</v>
      </c>
      <c r="AC3364">
        <v>0.50600000000002798</v>
      </c>
      <c r="AD3364">
        <v>-0.269731</v>
      </c>
      <c r="AE3364">
        <v>-6.0699999999996999E-2</v>
      </c>
      <c r="AF3364">
        <v>4.6034827244810797E-2</v>
      </c>
      <c r="AG3364">
        <v>-0.269731</v>
      </c>
      <c r="AH3364">
        <v>0.395436547805748</v>
      </c>
      <c r="AI3364">
        <v>124.118965277936</v>
      </c>
      <c r="AJ3364">
        <v>83.359789519155797</v>
      </c>
      <c r="AK3364">
        <v>0.48087844724107498</v>
      </c>
      <c r="AL3364">
        <v>78.165039447797895</v>
      </c>
      <c r="AM3364">
        <v>89.429912711476902</v>
      </c>
      <c r="AN3364">
        <v>1.0000000202224699</v>
      </c>
    </row>
    <row r="3365" spans="1:40" x14ac:dyDescent="0.25">
      <c r="A3365" t="str">
        <f>"20190303162846934"</f>
        <v>20190303162846934</v>
      </c>
      <c r="B3365" t="str">
        <f>"1551601726925248"</f>
        <v>1551601726925248</v>
      </c>
      <c r="C3365" t="s">
        <v>40</v>
      </c>
      <c r="D3365">
        <v>5.0217419999999997</v>
      </c>
      <c r="E3365">
        <v>0.52117069999999999</v>
      </c>
      <c r="F3365" t="s">
        <v>44</v>
      </c>
      <c r="G3365">
        <v>-296.91030000000001</v>
      </c>
      <c r="H3365">
        <v>0.86385540000000005</v>
      </c>
      <c r="I3365">
        <v>214.28059999999999</v>
      </c>
      <c r="J3365">
        <v>-297.41829999999999</v>
      </c>
      <c r="K3365">
        <v>1.121577</v>
      </c>
      <c r="L3365">
        <v>214.34059999999999</v>
      </c>
      <c r="M3365">
        <v>0.99989240000000001</v>
      </c>
      <c r="N3365">
        <v>-1.425395E-2</v>
      </c>
      <c r="O3365">
        <v>-3.4961620000000001E-3</v>
      </c>
      <c r="P3365">
        <v>0.98116840000000005</v>
      </c>
      <c r="Q3365">
        <v>0.1926725</v>
      </c>
      <c r="R3365">
        <v>-1.364426E-2</v>
      </c>
      <c r="S3365">
        <v>3.2636720000000001</v>
      </c>
      <c r="T3365">
        <v>-1.0807639999999901</v>
      </c>
      <c r="U3365">
        <v>-0.25457760000000001</v>
      </c>
      <c r="V3365">
        <v>1.022137E-2</v>
      </c>
      <c r="W3365">
        <v>0.20663870000000001</v>
      </c>
      <c r="X3365">
        <v>0.97836389999999995</v>
      </c>
      <c r="Y3365">
        <v>7.0535619999999993E-2</v>
      </c>
      <c r="Z3365">
        <v>-1.0798820000000001E-2</v>
      </c>
      <c r="AA3365">
        <v>0.99745079999999997</v>
      </c>
      <c r="AB3365">
        <v>30</v>
      </c>
      <c r="AC3365">
        <v>0.50799999999998102</v>
      </c>
      <c r="AD3365">
        <v>-0.2577216</v>
      </c>
      <c r="AE3365">
        <v>-6.0000000000002197E-2</v>
      </c>
      <c r="AF3365">
        <v>4.6436122420971199E-2</v>
      </c>
      <c r="AG3365">
        <v>-0.2577216</v>
      </c>
      <c r="AH3365">
        <v>0.40532065785284699</v>
      </c>
      <c r="AI3365">
        <v>122.28117333198099</v>
      </c>
      <c r="AJ3365">
        <v>83.464324852803898</v>
      </c>
      <c r="AK3365">
        <v>0.482557325355568</v>
      </c>
      <c r="AL3365">
        <v>78.074555862386404</v>
      </c>
      <c r="AM3365">
        <v>89.401429206490405</v>
      </c>
      <c r="AN3365">
        <v>0.99999997478278801</v>
      </c>
    </row>
    <row r="3366" spans="1:40" x14ac:dyDescent="0.25">
      <c r="A3366" t="str">
        <f>"20190303162846956"</f>
        <v>20190303162846956</v>
      </c>
      <c r="B3366" t="str">
        <f>"1551601726944768"</f>
        <v>1551601726944768</v>
      </c>
      <c r="C3366" t="s">
        <v>40</v>
      </c>
      <c r="D3366">
        <v>4.9658160000000002</v>
      </c>
      <c r="E3366">
        <v>0.52214439999999995</v>
      </c>
      <c r="F3366" t="s">
        <v>49</v>
      </c>
      <c r="G3366">
        <v>-280.73610000000002</v>
      </c>
      <c r="H3366" s="1">
        <v>6.921059E-6</v>
      </c>
      <c r="I3366">
        <v>213.3031</v>
      </c>
      <c r="J3366">
        <v>-297.11770000000001</v>
      </c>
      <c r="K3366">
        <v>1.1215850000000001</v>
      </c>
      <c r="L3366">
        <v>214.33949999999999</v>
      </c>
      <c r="M3366">
        <v>0.99989240000000001</v>
      </c>
      <c r="N3366">
        <v>-1.4250759999999999E-2</v>
      </c>
      <c r="O3366">
        <v>-3.4960199999999999E-3</v>
      </c>
      <c r="P3366">
        <v>0.98093370000000002</v>
      </c>
      <c r="Q3366">
        <v>0.19380549999999999</v>
      </c>
      <c r="R3366">
        <v>-1.4442699999999999E-2</v>
      </c>
      <c r="S3366">
        <v>3.0957949999999999</v>
      </c>
      <c r="T3366">
        <v>-0.20813380000000001</v>
      </c>
      <c r="U3366">
        <v>-0.1925354</v>
      </c>
      <c r="V3366">
        <v>1.10209E-2</v>
      </c>
      <c r="W3366">
        <v>0.20776530000000001</v>
      </c>
      <c r="X3366">
        <v>0.9781166</v>
      </c>
      <c r="Y3366">
        <v>5.842812E-2</v>
      </c>
      <c r="Z3366">
        <v>-2.192495E-3</v>
      </c>
      <c r="AA3366">
        <v>0.99828919999999999</v>
      </c>
      <c r="AB3366">
        <v>30</v>
      </c>
      <c r="AC3366">
        <v>16.381599999999899</v>
      </c>
      <c r="AD3366">
        <v>-1.1215780789409999</v>
      </c>
      <c r="AE3366">
        <v>-1.03639999999998</v>
      </c>
      <c r="AF3366">
        <v>0.97456732532384205</v>
      </c>
      <c r="AG3366">
        <v>-1.1215780789409999</v>
      </c>
      <c r="AH3366">
        <v>16.308979050083099</v>
      </c>
      <c r="AI3366">
        <v>93.927087056518602</v>
      </c>
      <c r="AJ3366">
        <v>86.580271951251007</v>
      </c>
      <c r="AK3366">
        <v>16.376523334175602</v>
      </c>
      <c r="AL3366">
        <v>78.008574599887396</v>
      </c>
      <c r="AM3366">
        <v>89.354448808734205</v>
      </c>
      <c r="AN3366">
        <v>0.99999998165822901</v>
      </c>
    </row>
    <row r="3367" spans="1:40" x14ac:dyDescent="0.25">
      <c r="A3367" t="str">
        <f>"20190303162846978"</f>
        <v>20190303162846978</v>
      </c>
      <c r="B3367" t="str">
        <f>"1551601726975024"</f>
        <v>1551601726975024</v>
      </c>
      <c r="C3367" t="s">
        <v>40</v>
      </c>
      <c r="D3367">
        <v>5.0170379999999897</v>
      </c>
      <c r="E3367">
        <v>0.52280519999999997</v>
      </c>
      <c r="F3367" t="s">
        <v>48</v>
      </c>
      <c r="G3367">
        <v>-271.18560000000002</v>
      </c>
      <c r="H3367" s="1">
        <v>-8.1902869999999899E-7</v>
      </c>
      <c r="I3367">
        <v>212.62950000000001</v>
      </c>
      <c r="J3367">
        <v>-296.81439999999998</v>
      </c>
      <c r="K3367">
        <v>1.1215930000000001</v>
      </c>
      <c r="L3367">
        <v>214.33850000000001</v>
      </c>
      <c r="M3367">
        <v>0.99989260000000002</v>
      </c>
      <c r="N3367">
        <v>-1.4247549999999999E-2</v>
      </c>
      <c r="O3367">
        <v>-3.4961160000000001E-3</v>
      </c>
      <c r="P3367">
        <v>0.98085710000000004</v>
      </c>
      <c r="Q3367">
        <v>0.19415560000000001</v>
      </c>
      <c r="R3367">
        <v>-1.4951310000000001E-2</v>
      </c>
      <c r="S3367">
        <v>3.0816650000000001</v>
      </c>
      <c r="T3367">
        <v>-0.1332846</v>
      </c>
      <c r="U3367">
        <v>-0.2032166</v>
      </c>
      <c r="V3367">
        <v>1.152951E-2</v>
      </c>
      <c r="W3367">
        <v>0.20811089999999999</v>
      </c>
      <c r="X3367">
        <v>0.9780373</v>
      </c>
      <c r="Y3367">
        <v>6.2235899999999997E-2</v>
      </c>
      <c r="Z3367">
        <v>-1.6866979999999999E-3</v>
      </c>
      <c r="AA3367">
        <v>0.99805999999999995</v>
      </c>
      <c r="AB3367">
        <v>30</v>
      </c>
      <c r="AC3367">
        <v>25.628799999999899</v>
      </c>
      <c r="AD3367">
        <v>-1.1215938190287</v>
      </c>
      <c r="AE3367">
        <v>-1.7090000000000001</v>
      </c>
      <c r="AF3367">
        <v>1.6162973863357999</v>
      </c>
      <c r="AG3367">
        <v>-1.1215938190287</v>
      </c>
      <c r="AH3367">
        <v>25.5858336854341</v>
      </c>
      <c r="AI3367">
        <v>92.505053369604099</v>
      </c>
      <c r="AJ3367">
        <v>86.385338597848602</v>
      </c>
      <c r="AK3367">
        <v>25.661357628049501</v>
      </c>
      <c r="AL3367">
        <v>77.988331132289602</v>
      </c>
      <c r="AM3367">
        <v>89.324604833284297</v>
      </c>
      <c r="AN3367">
        <v>1.00000001824546</v>
      </c>
    </row>
    <row r="3368" spans="1:40" x14ac:dyDescent="0.25">
      <c r="A3368" t="str">
        <f>"20190303162847003"</f>
        <v>20190303162847003</v>
      </c>
      <c r="B3368" t="str">
        <f>"1551601726994544"</f>
        <v>1551601726994544</v>
      </c>
      <c r="C3368" t="s">
        <v>40</v>
      </c>
      <c r="D3368">
        <v>5.0005509999999997</v>
      </c>
      <c r="E3368">
        <v>0.52221779999999995</v>
      </c>
      <c r="F3368" t="s">
        <v>48</v>
      </c>
      <c r="G3368">
        <v>-272.70650000000001</v>
      </c>
      <c r="H3368" s="1">
        <v>-1.265103E-8</v>
      </c>
      <c r="I3368">
        <v>212.69739999999999</v>
      </c>
      <c r="J3368">
        <v>-296.49279999999999</v>
      </c>
      <c r="K3368">
        <v>1.121605</v>
      </c>
      <c r="L3368">
        <v>214.3374</v>
      </c>
      <c r="M3368">
        <v>0.99989249999999996</v>
      </c>
      <c r="N3368">
        <v>-1.4244110000000001E-2</v>
      </c>
      <c r="O3368">
        <v>-3.495972E-3</v>
      </c>
      <c r="P3368">
        <v>0.98022350000000003</v>
      </c>
      <c r="Q3368">
        <v>0.19729659999999999</v>
      </c>
      <c r="R3368">
        <v>-1.5362900000000001E-2</v>
      </c>
      <c r="S3368">
        <v>3.08371</v>
      </c>
      <c r="T3368">
        <v>-0.14346589999999901</v>
      </c>
      <c r="U3368">
        <v>-0.2099152</v>
      </c>
      <c r="V3368">
        <v>1.1943789999999999E-2</v>
      </c>
      <c r="W3368">
        <v>0.21123939999999999</v>
      </c>
      <c r="X3368">
        <v>0.97736140000000005</v>
      </c>
      <c r="Y3368">
        <v>6.433767E-2</v>
      </c>
      <c r="Z3368">
        <v>-1.8405330000000001E-3</v>
      </c>
      <c r="AA3368">
        <v>0.99792650000000005</v>
      </c>
      <c r="AB3368">
        <v>30</v>
      </c>
      <c r="AC3368">
        <v>23.786299999999901</v>
      </c>
      <c r="AD3368">
        <v>-1.12160501265103</v>
      </c>
      <c r="AE3368">
        <v>-1.6400000000000099</v>
      </c>
      <c r="AF3368">
        <v>1.55338777642271</v>
      </c>
      <c r="AG3368">
        <v>-1.12160501265103</v>
      </c>
      <c r="AH3368">
        <v>23.739355203618</v>
      </c>
      <c r="AI3368">
        <v>92.699258049552597</v>
      </c>
      <c r="AJ3368">
        <v>86.256180547758106</v>
      </c>
      <c r="AK3368">
        <v>23.8165488027105</v>
      </c>
      <c r="AL3368">
        <v>77.805006138369095</v>
      </c>
      <c r="AM3368">
        <v>89.299855001712501</v>
      </c>
      <c r="AN3368">
        <v>1.00000002222094</v>
      </c>
    </row>
    <row r="3369" spans="1:40" x14ac:dyDescent="0.25">
      <c r="A3369" t="str">
        <f>"20190303162847023"</f>
        <v>20190303162847023</v>
      </c>
      <c r="B3369" t="str">
        <f>"1551601727015040"</f>
        <v>1551601727015040</v>
      </c>
      <c r="C3369" t="s">
        <v>40</v>
      </c>
      <c r="D3369">
        <v>5.0481699999999998</v>
      </c>
      <c r="E3369">
        <v>0.52293279999999998</v>
      </c>
      <c r="F3369" t="s">
        <v>48</v>
      </c>
      <c r="G3369">
        <v>-272.02569999999997</v>
      </c>
      <c r="H3369" s="1">
        <v>-3.7499219999999998E-7</v>
      </c>
      <c r="I3369">
        <v>212.69829999999999</v>
      </c>
      <c r="J3369">
        <v>-296.22129999999999</v>
      </c>
      <c r="K3369">
        <v>1.121632</v>
      </c>
      <c r="L3369">
        <v>214.3364</v>
      </c>
      <c r="M3369">
        <v>0.99989260000000002</v>
      </c>
      <c r="N3369">
        <v>-1.4241210000000001E-2</v>
      </c>
      <c r="O3369">
        <v>-3.4960709999999999E-3</v>
      </c>
      <c r="P3369">
        <v>0.97938610000000004</v>
      </c>
      <c r="Q3369">
        <v>0.20137050000000001</v>
      </c>
      <c r="R3369">
        <v>-1.5906429999999999E-2</v>
      </c>
      <c r="S3369">
        <v>3.085785</v>
      </c>
      <c r="T3369">
        <v>-0.14145650000000001</v>
      </c>
      <c r="U3369">
        <v>-0.2067108</v>
      </c>
      <c r="V3369">
        <v>1.249021E-2</v>
      </c>
      <c r="W3369">
        <v>0.21529799999999999</v>
      </c>
      <c r="X3369">
        <v>0.97646849999999996</v>
      </c>
      <c r="Y3369">
        <v>6.3264230000000005E-2</v>
      </c>
      <c r="Z3369">
        <v>-1.788715E-3</v>
      </c>
      <c r="AA3369">
        <v>0.99799519999999997</v>
      </c>
      <c r="AB3369">
        <v>30</v>
      </c>
      <c r="AC3369">
        <v>24.195599999999999</v>
      </c>
      <c r="AD3369">
        <v>-1.1216323749921999</v>
      </c>
      <c r="AE3369">
        <v>-1.6380999999999999</v>
      </c>
      <c r="AF3369">
        <v>1.55017581695911</v>
      </c>
      <c r="AG3369">
        <v>-1.1216323749921999</v>
      </c>
      <c r="AH3369">
        <v>24.149520039140398</v>
      </c>
      <c r="AI3369">
        <v>92.653756353406493</v>
      </c>
      <c r="AJ3369">
        <v>86.327179938357702</v>
      </c>
      <c r="AK3369">
        <v>24.225202215233601</v>
      </c>
      <c r="AL3369">
        <v>77.566988891710295</v>
      </c>
      <c r="AM3369">
        <v>89.2671578320641</v>
      </c>
      <c r="AN3369">
        <v>0.99999998282104596</v>
      </c>
    </row>
    <row r="3370" spans="1:40" x14ac:dyDescent="0.25">
      <c r="A3370" t="str">
        <f>"20190303162847045"</f>
        <v>20190303162847045</v>
      </c>
      <c r="B3370" t="str">
        <f>"1551601727034560"</f>
        <v>1551601727034560</v>
      </c>
      <c r="C3370" t="s">
        <v>40</v>
      </c>
      <c r="D3370">
        <v>5.0123819999999997</v>
      </c>
      <c r="E3370">
        <v>0.5227058</v>
      </c>
      <c r="F3370" t="s">
        <v>48</v>
      </c>
      <c r="G3370">
        <v>-269.81990000000002</v>
      </c>
      <c r="H3370" s="1">
        <v>3.7810899999999998E-6</v>
      </c>
      <c r="I3370">
        <v>212.5059</v>
      </c>
      <c r="J3370">
        <v>-295.93329999999997</v>
      </c>
      <c r="K3370">
        <v>1.1216459999999999</v>
      </c>
      <c r="L3370">
        <v>214.33539999999999</v>
      </c>
      <c r="M3370">
        <v>0.99989249999999996</v>
      </c>
      <c r="N3370">
        <v>-1.423807E-2</v>
      </c>
      <c r="O3370">
        <v>-3.49593E-3</v>
      </c>
      <c r="P3370">
        <v>0.97872079999999995</v>
      </c>
      <c r="Q3370">
        <v>0.20458689999999999</v>
      </c>
      <c r="R3370">
        <v>-1.579908E-2</v>
      </c>
      <c r="S3370">
        <v>3.0866389999999999</v>
      </c>
      <c r="T3370">
        <v>-0.13113129999999901</v>
      </c>
      <c r="U3370">
        <v>-0.21400449999999999</v>
      </c>
      <c r="V3370">
        <v>1.238567E-2</v>
      </c>
      <c r="W3370">
        <v>0.21850149999999999</v>
      </c>
      <c r="X3370">
        <v>0.97575800000000001</v>
      </c>
      <c r="Y3370">
        <v>6.5600809999999996E-2</v>
      </c>
      <c r="Z3370">
        <v>-1.760494E-3</v>
      </c>
      <c r="AA3370">
        <v>0.99784439999999996</v>
      </c>
      <c r="AB3370">
        <v>30</v>
      </c>
      <c r="AC3370">
        <v>26.113399999999899</v>
      </c>
      <c r="AD3370">
        <v>-1.1216422189099999</v>
      </c>
      <c r="AE3370">
        <v>-1.8294999999999899</v>
      </c>
      <c r="AF3370">
        <v>1.7350036030332201</v>
      </c>
      <c r="AG3370">
        <v>-1.1216422189099999</v>
      </c>
      <c r="AH3370">
        <v>26.071770980995201</v>
      </c>
      <c r="AI3370">
        <v>92.457991551602802</v>
      </c>
      <c r="AJ3370">
        <v>86.192739331683896</v>
      </c>
      <c r="AK3370">
        <v>26.153499973335201</v>
      </c>
      <c r="AL3370">
        <v>77.378965784723405</v>
      </c>
      <c r="AM3370">
        <v>89.272761783244206</v>
      </c>
      <c r="AN3370">
        <v>0.999999992443799</v>
      </c>
    </row>
    <row r="3371" spans="1:40" x14ac:dyDescent="0.25">
      <c r="A3371" t="str">
        <f>"20190303162847067"</f>
        <v>20190303162847067</v>
      </c>
      <c r="B3371" t="str">
        <f>"1551601727055057"</f>
        <v>1551601727055057</v>
      </c>
      <c r="C3371" t="s">
        <v>40</v>
      </c>
      <c r="D3371">
        <v>5.0331130000000002</v>
      </c>
      <c r="E3371">
        <v>0.52291989999999999</v>
      </c>
      <c r="F3371" t="s">
        <v>48</v>
      </c>
      <c r="G3371">
        <v>-268.64139999999998</v>
      </c>
      <c r="H3371" s="1">
        <v>3.1556680000000001E-6</v>
      </c>
      <c r="I3371">
        <v>212.46719999999999</v>
      </c>
      <c r="J3371">
        <v>-295.63389999999998</v>
      </c>
      <c r="K3371">
        <v>1.1216520000000001</v>
      </c>
      <c r="L3371">
        <v>214.33439999999999</v>
      </c>
      <c r="M3371">
        <v>0.99989249999999996</v>
      </c>
      <c r="N3371">
        <v>-1.423467E-2</v>
      </c>
      <c r="O3371">
        <v>-3.495906E-3</v>
      </c>
      <c r="P3371">
        <v>0.97850590000000004</v>
      </c>
      <c r="Q3371">
        <v>0.20563339999999999</v>
      </c>
      <c r="R3371">
        <v>-1.5538929999999999E-2</v>
      </c>
      <c r="S3371">
        <v>3.0883790000000002</v>
      </c>
      <c r="T3371">
        <v>-0.12692619999999999</v>
      </c>
      <c r="U3371">
        <v>-0.2114105</v>
      </c>
      <c r="V3371">
        <v>1.212601E-2</v>
      </c>
      <c r="W3371">
        <v>0.21954129999999999</v>
      </c>
      <c r="X3371">
        <v>0.97552779999999994</v>
      </c>
      <c r="Y3371">
        <v>6.4733159999999998E-2</v>
      </c>
      <c r="Z3371">
        <v>-1.6958920000000001E-3</v>
      </c>
      <c r="AA3371">
        <v>0.99790109999999999</v>
      </c>
      <c r="AB3371">
        <v>30</v>
      </c>
      <c r="AC3371">
        <v>26.9925</v>
      </c>
      <c r="AD3371">
        <v>-1.1216488443320001</v>
      </c>
      <c r="AE3371">
        <v>-1.86719999999999</v>
      </c>
      <c r="AF3371">
        <v>1.76977438541739</v>
      </c>
      <c r="AG3371">
        <v>-1.1216488443320001</v>
      </c>
      <c r="AH3371">
        <v>26.952544774318302</v>
      </c>
      <c r="AI3371">
        <v>92.377913673229799</v>
      </c>
      <c r="AJ3371">
        <v>86.243202730563397</v>
      </c>
      <c r="AK3371">
        <v>27.033865193806498</v>
      </c>
      <c r="AL3371">
        <v>77.317906652972596</v>
      </c>
      <c r="AM3371">
        <v>89.287838423748696</v>
      </c>
      <c r="AN3371">
        <v>0.99999995554852406</v>
      </c>
    </row>
    <row r="3372" spans="1:40" x14ac:dyDescent="0.25">
      <c r="A3372" t="str">
        <f>"20190303162847092"</f>
        <v>20190303162847092</v>
      </c>
      <c r="B3372" t="str">
        <f>"1551601727085313"</f>
        <v>1551601727085313</v>
      </c>
      <c r="C3372" t="s">
        <v>40</v>
      </c>
      <c r="D3372">
        <v>5.0641020000000001</v>
      </c>
      <c r="E3372">
        <v>0.52300179999999996</v>
      </c>
      <c r="F3372" t="s">
        <v>48</v>
      </c>
      <c r="G3372">
        <v>-268.84960000000001</v>
      </c>
      <c r="H3372" s="1">
        <v>3.2652160000000001E-6</v>
      </c>
      <c r="I3372">
        <v>212.4957</v>
      </c>
      <c r="J3372">
        <v>-295.31810000000002</v>
      </c>
      <c r="K3372">
        <v>1.1216549999999901</v>
      </c>
      <c r="L3372">
        <v>214.33320000000001</v>
      </c>
      <c r="M3372">
        <v>0.99989249999999996</v>
      </c>
      <c r="N3372">
        <v>-1.4231219999999999E-2</v>
      </c>
      <c r="O3372">
        <v>-3.4958810000000002E-3</v>
      </c>
      <c r="P3372">
        <v>0.9784716</v>
      </c>
      <c r="Q3372">
        <v>0.20581920000000001</v>
      </c>
      <c r="R3372">
        <v>-1.522681E-2</v>
      </c>
      <c r="S3372">
        <v>3.0897220000000001</v>
      </c>
      <c r="T3372">
        <v>-0.1293888</v>
      </c>
      <c r="U3372">
        <v>-0.21209720000000001</v>
      </c>
      <c r="V3372">
        <v>1.181422E-2</v>
      </c>
      <c r="W3372">
        <v>0.21972320000000001</v>
      </c>
      <c r="X3372">
        <v>0.97549070000000004</v>
      </c>
      <c r="Y3372">
        <v>6.4921779999999998E-2</v>
      </c>
      <c r="Z3372">
        <v>-1.7235E-3</v>
      </c>
      <c r="AA3372">
        <v>0.99788889999999997</v>
      </c>
      <c r="AB3372">
        <v>30</v>
      </c>
      <c r="AC3372">
        <v>26.468499999999999</v>
      </c>
      <c r="AD3372">
        <v>-1.1216517347839901</v>
      </c>
      <c r="AE3372">
        <v>-1.8374999999999999</v>
      </c>
      <c r="AF3372">
        <v>1.7418356790483001</v>
      </c>
      <c r="AG3372">
        <v>-1.1216517347839901</v>
      </c>
      <c r="AH3372">
        <v>26.427531687340501</v>
      </c>
      <c r="AI3372">
        <v>92.425064800026902</v>
      </c>
      <c r="AJ3372">
        <v>86.229095635296204</v>
      </c>
      <c r="AK3372">
        <v>26.5086122841678</v>
      </c>
      <c r="AL3372">
        <v>77.307224057267405</v>
      </c>
      <c r="AM3372">
        <v>89.306121676454396</v>
      </c>
      <c r="AN3372">
        <v>0.99999998309946903</v>
      </c>
    </row>
    <row r="3373" spans="1:40" x14ac:dyDescent="0.25">
      <c r="A3373" t="str">
        <f>"20190303162847114"</f>
        <v>20190303162847114</v>
      </c>
      <c r="B3373" t="str">
        <f>"1551601727104832"</f>
        <v>1551601727104832</v>
      </c>
      <c r="C3373" t="s">
        <v>40</v>
      </c>
      <c r="D3373">
        <v>5.0472390000000003</v>
      </c>
      <c r="E3373">
        <v>0.52305800000000002</v>
      </c>
      <c r="F3373" t="s">
        <v>48</v>
      </c>
      <c r="G3373">
        <v>-270.87450000000001</v>
      </c>
      <c r="H3373" s="1">
        <v>-9.8592929999999994E-7</v>
      </c>
      <c r="I3373">
        <v>212.66069999999999</v>
      </c>
      <c r="J3373">
        <v>-295.02050000000003</v>
      </c>
      <c r="K3373">
        <v>1.121645</v>
      </c>
      <c r="L3373">
        <v>214.3322</v>
      </c>
      <c r="M3373">
        <v>0.99989269999999997</v>
      </c>
      <c r="N3373">
        <v>-1.4227979999999999E-2</v>
      </c>
      <c r="O3373">
        <v>-3.4958580000000001E-3</v>
      </c>
      <c r="P3373">
        <v>0.9784659</v>
      </c>
      <c r="Q3373">
        <v>0.20582490000000001</v>
      </c>
      <c r="R3373">
        <v>-1.5520809999999999E-2</v>
      </c>
      <c r="S3373">
        <v>3.0925600000000002</v>
      </c>
      <c r="T3373">
        <v>-0.14191010000000001</v>
      </c>
      <c r="U3373">
        <v>-0.21160889999999999</v>
      </c>
      <c r="V3373">
        <v>1.210833E-2</v>
      </c>
      <c r="W3373">
        <v>0.219726</v>
      </c>
      <c r="X3373">
        <v>0.97548650000000003</v>
      </c>
      <c r="Y3373">
        <v>6.4689940000000001E-2</v>
      </c>
      <c r="Z3373">
        <v>-1.8323289999999999E-3</v>
      </c>
      <c r="AA3373">
        <v>0.99790369999999995</v>
      </c>
      <c r="AB3373">
        <v>30</v>
      </c>
      <c r="AC3373">
        <v>24.146000000000001</v>
      </c>
      <c r="AD3373">
        <v>-1.1216459859293</v>
      </c>
      <c r="AE3373">
        <v>-1.6715</v>
      </c>
      <c r="AF3373">
        <v>1.5836692321033501</v>
      </c>
      <c r="AG3373">
        <v>-1.1216459859293</v>
      </c>
      <c r="AH3373">
        <v>24.099940308948199</v>
      </c>
      <c r="AI3373">
        <v>92.658978841694605</v>
      </c>
      <c r="AJ3373">
        <v>86.240351909512</v>
      </c>
      <c r="AK3373">
        <v>24.177949062096399</v>
      </c>
      <c r="AL3373">
        <v>77.3070600762737</v>
      </c>
      <c r="AM3373">
        <v>89.288846560570803</v>
      </c>
      <c r="AN3373">
        <v>1.0000000192068099</v>
      </c>
    </row>
    <row r="3374" spans="1:40" x14ac:dyDescent="0.25">
      <c r="A3374" t="str">
        <f>"20190303162847136"</f>
        <v>20190303162847136</v>
      </c>
      <c r="B3374" t="str">
        <f>"1551601727125328"</f>
        <v>1551601727125328</v>
      </c>
      <c r="C3374" t="s">
        <v>40</v>
      </c>
      <c r="D3374">
        <v>4.8632369999999998</v>
      </c>
      <c r="E3374">
        <v>0.52254679999999998</v>
      </c>
      <c r="F3374" t="s">
        <v>48</v>
      </c>
      <c r="G3374">
        <v>-271.57240000000002</v>
      </c>
      <c r="H3374" s="1">
        <v>-6.1714479999999997E-7</v>
      </c>
      <c r="I3374">
        <v>212.72049999999999</v>
      </c>
      <c r="J3374">
        <v>-294.73180000000002</v>
      </c>
      <c r="K3374">
        <v>1.121645</v>
      </c>
      <c r="L3374">
        <v>214.3312</v>
      </c>
      <c r="M3374">
        <v>0.99989289999999997</v>
      </c>
      <c r="N3374">
        <v>-1.4224830000000001E-2</v>
      </c>
      <c r="O3374">
        <v>-3.4959549999999998E-3</v>
      </c>
      <c r="P3374">
        <v>0.97862360000000004</v>
      </c>
      <c r="Q3374">
        <v>0.2050768</v>
      </c>
      <c r="R3374">
        <v>-1.5482630000000001E-2</v>
      </c>
      <c r="S3374">
        <v>3.0938110000000001</v>
      </c>
      <c r="T3374">
        <v>-0.1479934</v>
      </c>
      <c r="U3374">
        <v>-0.21264649999999999</v>
      </c>
      <c r="V3374">
        <v>1.206925E-2</v>
      </c>
      <c r="W3374">
        <v>0.218977</v>
      </c>
      <c r="X3374">
        <v>0.97565539999999995</v>
      </c>
      <c r="Y3374">
        <v>6.4988480000000001E-2</v>
      </c>
      <c r="Z3374">
        <v>-1.8975140000000001E-3</v>
      </c>
      <c r="AA3374">
        <v>0.9978842</v>
      </c>
      <c r="AB3374">
        <v>30</v>
      </c>
      <c r="AC3374">
        <v>23.159400000000002</v>
      </c>
      <c r="AD3374">
        <v>-1.1216456171447999</v>
      </c>
      <c r="AE3374">
        <v>-1.6107</v>
      </c>
      <c r="AF3374">
        <v>1.5261552171953801</v>
      </c>
      <c r="AG3374">
        <v>-1.1216456171447999</v>
      </c>
      <c r="AH3374">
        <v>23.110941528656401</v>
      </c>
      <c r="AI3374">
        <v>92.772532374902397</v>
      </c>
      <c r="AJ3374">
        <v>86.221898646011596</v>
      </c>
      <c r="AK3374">
        <v>23.1884207521428</v>
      </c>
      <c r="AL3374">
        <v>77.351045942424904</v>
      </c>
      <c r="AM3374">
        <v>89.291264296221499</v>
      </c>
      <c r="AN3374">
        <v>1.00000002643686</v>
      </c>
    </row>
    <row r="3375" spans="1:40" x14ac:dyDescent="0.25">
      <c r="A3375" t="str">
        <f>"20190303162847157"</f>
        <v>20190303162847157</v>
      </c>
      <c r="B3375" t="str">
        <f>"1551601727144848"</f>
        <v>1551601727144848</v>
      </c>
      <c r="C3375" t="s">
        <v>40</v>
      </c>
      <c r="D3375">
        <v>5.2056060000000004</v>
      </c>
      <c r="E3375">
        <v>0.50118799999999997</v>
      </c>
      <c r="F3375" t="s">
        <v>48</v>
      </c>
      <c r="G3375">
        <v>-271.37389999999999</v>
      </c>
      <c r="H3375" s="1">
        <v>-7.2438209999999997E-7</v>
      </c>
      <c r="I3375">
        <v>212.75649999999999</v>
      </c>
      <c r="J3375">
        <v>-294.4513</v>
      </c>
      <c r="K3375">
        <v>1.1216539999999999</v>
      </c>
      <c r="L3375">
        <v>214.33019999999999</v>
      </c>
      <c r="M3375">
        <v>0.99989300000000003</v>
      </c>
      <c r="N3375">
        <v>-1.422177E-2</v>
      </c>
      <c r="O3375">
        <v>-3.4959330000000001E-3</v>
      </c>
      <c r="P3375">
        <v>0.97867939999999998</v>
      </c>
      <c r="Q3375">
        <v>0.20484169999999999</v>
      </c>
      <c r="R3375">
        <v>-1.506708E-2</v>
      </c>
      <c r="S3375">
        <v>3.0933839999999999</v>
      </c>
      <c r="T3375">
        <v>-0.14854439999999999</v>
      </c>
      <c r="U3375">
        <v>-0.2085419</v>
      </c>
      <c r="V3375">
        <v>1.165362E-2</v>
      </c>
      <c r="W3375">
        <v>0.21873970000000001</v>
      </c>
      <c r="X3375">
        <v>0.97571370000000002</v>
      </c>
      <c r="Y3375">
        <v>6.3681219999999997E-2</v>
      </c>
      <c r="Z3375">
        <v>-1.8621429999999999E-3</v>
      </c>
      <c r="AA3375">
        <v>0.99796859999999998</v>
      </c>
      <c r="AB3375">
        <v>30</v>
      </c>
      <c r="AC3375">
        <v>23.077400000000001</v>
      </c>
      <c r="AD3375">
        <v>-1.1216547243821</v>
      </c>
      <c r="AE3375">
        <v>-1.5737000000000001</v>
      </c>
      <c r="AF3375">
        <v>1.48950275415157</v>
      </c>
      <c r="AG3375">
        <v>-1.1216547243821</v>
      </c>
      <c r="AH3375">
        <v>23.028611174609001</v>
      </c>
      <c r="AI3375">
        <v>92.782696640910103</v>
      </c>
      <c r="AJ3375">
        <v>86.299233729575107</v>
      </c>
      <c r="AK3375">
        <v>23.103974991474601</v>
      </c>
      <c r="AL3375">
        <v>77.364980262790695</v>
      </c>
      <c r="AM3375">
        <v>89.315709623527098</v>
      </c>
      <c r="AN3375">
        <v>1.00000004379144</v>
      </c>
    </row>
    <row r="3376" spans="1:40" x14ac:dyDescent="0.25">
      <c r="A3376" t="str">
        <f>"20190303162847179"</f>
        <v>20190303162847179</v>
      </c>
      <c r="B3376" t="str">
        <f>"1551601727175104"</f>
        <v>1551601727175104</v>
      </c>
      <c r="C3376" t="s">
        <v>40</v>
      </c>
      <c r="D3376">
        <v>5.1999029999999999</v>
      </c>
      <c r="E3376">
        <v>0.50164430000000004</v>
      </c>
      <c r="F3376" t="s">
        <v>48</v>
      </c>
      <c r="G3376">
        <v>-245.559</v>
      </c>
      <c r="H3376" s="1">
        <v>1.4611439999999901E-6</v>
      </c>
      <c r="I3376">
        <v>213.70779999999999</v>
      </c>
      <c r="J3376">
        <v>-294.15390000000002</v>
      </c>
      <c r="K3376">
        <v>1.1216630000000001</v>
      </c>
      <c r="L3376">
        <v>214.32919999999999</v>
      </c>
      <c r="M3376">
        <v>0.99989280000000003</v>
      </c>
      <c r="N3376">
        <v>-1.421851E-2</v>
      </c>
      <c r="O3376">
        <v>-3.4957909999999998E-3</v>
      </c>
      <c r="P3376">
        <v>0.97863350000000005</v>
      </c>
      <c r="Q3376">
        <v>0.2050932</v>
      </c>
      <c r="R3376">
        <v>-1.460057E-2</v>
      </c>
      <c r="S3376">
        <v>3.079529</v>
      </c>
      <c r="T3376">
        <v>-7.0648429999999998E-2</v>
      </c>
      <c r="U3376">
        <v>-3.9199829999999998E-2</v>
      </c>
      <c r="V3376">
        <v>1.1187519999999999E-2</v>
      </c>
      <c r="W3376">
        <v>0.21898770000000001</v>
      </c>
      <c r="X3376">
        <v>0.97566350000000002</v>
      </c>
      <c r="Y3376">
        <v>9.2283929999999997E-3</v>
      </c>
      <c r="Z3376">
        <v>-1.4098419999999999E-4</v>
      </c>
      <c r="AA3376">
        <v>0.9999574</v>
      </c>
      <c r="AB3376">
        <v>30</v>
      </c>
      <c r="AC3376">
        <v>48.594900000000003</v>
      </c>
      <c r="AD3376">
        <v>-1.1216615388559901</v>
      </c>
      <c r="AE3376">
        <v>-0.62139999999999396</v>
      </c>
      <c r="AF3376">
        <v>0.45126103329570599</v>
      </c>
      <c r="AG3376">
        <v>-1.1216615388559901</v>
      </c>
      <c r="AH3376">
        <v>48.5709024763107</v>
      </c>
      <c r="AI3376">
        <v>91.322855375055696</v>
      </c>
      <c r="AJ3376">
        <v>89.467693465508304</v>
      </c>
      <c r="AK3376">
        <v>48.585947850085297</v>
      </c>
      <c r="AL3376">
        <v>77.350417535804397</v>
      </c>
      <c r="AM3376">
        <v>89.343042362314804</v>
      </c>
      <c r="AN3376">
        <v>1.00000001929364</v>
      </c>
    </row>
    <row r="3377" spans="1:40" x14ac:dyDescent="0.25">
      <c r="A3377" t="str">
        <f>"20190303162847203"</f>
        <v>20190303162847203</v>
      </c>
      <c r="B3377" t="str">
        <f>"1551601727194624"</f>
        <v>1551601727194624</v>
      </c>
      <c r="C3377" t="s">
        <v>40</v>
      </c>
      <c r="D3377">
        <v>5.2007209999999997</v>
      </c>
      <c r="E3377">
        <v>0.50205080000000002</v>
      </c>
      <c r="F3377" t="s">
        <v>48</v>
      </c>
      <c r="G3377">
        <v>-235.15199999999999</v>
      </c>
      <c r="H3377" s="1">
        <v>1.2528450000000001E-6</v>
      </c>
      <c r="I3377">
        <v>213.5179</v>
      </c>
      <c r="J3377">
        <v>-293.83909999999997</v>
      </c>
      <c r="K3377">
        <v>1.121664</v>
      </c>
      <c r="L3377">
        <v>214.32810000000001</v>
      </c>
      <c r="M3377">
        <v>0.99989280000000003</v>
      </c>
      <c r="N3377">
        <v>-1.421509E-2</v>
      </c>
      <c r="O3377">
        <v>-3.4958860000000001E-3</v>
      </c>
      <c r="P3377">
        <v>0.97846500000000003</v>
      </c>
      <c r="Q3377">
        <v>0.20594270000000001</v>
      </c>
      <c r="R3377">
        <v>-1.3930100000000001E-2</v>
      </c>
      <c r="S3377">
        <v>3.077118</v>
      </c>
      <c r="T3377">
        <v>-5.8497790000000001E-2</v>
      </c>
      <c r="U3377">
        <v>-4.2312620000000002E-2</v>
      </c>
      <c r="V3377">
        <v>1.0517500000000001E-2</v>
      </c>
      <c r="W3377">
        <v>0.21983159999999999</v>
      </c>
      <c r="X3377">
        <v>0.97548120000000005</v>
      </c>
      <c r="Y3377">
        <v>1.0250240000000001E-2</v>
      </c>
      <c r="Z3377">
        <v>-1.535354E-4</v>
      </c>
      <c r="AA3377">
        <v>0.99994740000000004</v>
      </c>
      <c r="AB3377">
        <v>29</v>
      </c>
      <c r="AC3377">
        <v>58.687099999999901</v>
      </c>
      <c r="AD3377">
        <v>-1.121662747155</v>
      </c>
      <c r="AE3377">
        <v>-0.81020000000000802</v>
      </c>
      <c r="AF3377">
        <v>0.60479001267299703</v>
      </c>
      <c r="AG3377">
        <v>-1.121662747155</v>
      </c>
      <c r="AH3377">
        <v>58.668147087401202</v>
      </c>
      <c r="AI3377">
        <v>91.095233150003097</v>
      </c>
      <c r="AJ3377">
        <v>89.409378179684893</v>
      </c>
      <c r="AK3377">
        <v>58.681985148312101</v>
      </c>
      <c r="AL3377">
        <v>77.300858537421902</v>
      </c>
      <c r="AM3377">
        <v>89.382268964392694</v>
      </c>
      <c r="AN3377">
        <v>1.00000006085912</v>
      </c>
    </row>
    <row r="3378" spans="1:40" x14ac:dyDescent="0.25">
      <c r="A3378" t="str">
        <f>"20190303162847225"</f>
        <v>20190303162847225</v>
      </c>
      <c r="B3378" t="str">
        <f>"1551601727215122"</f>
        <v>1551601727215122</v>
      </c>
      <c r="C3378" t="s">
        <v>40</v>
      </c>
      <c r="D3378">
        <v>5.0276949999999996</v>
      </c>
      <c r="E3378">
        <v>0.50202329999999995</v>
      </c>
      <c r="F3378" t="s">
        <v>48</v>
      </c>
      <c r="G3378">
        <v>-230.20480000000001</v>
      </c>
      <c r="H3378" s="1">
        <v>-1.3763839999999901E-6</v>
      </c>
      <c r="I3378">
        <v>213.43969999999999</v>
      </c>
      <c r="J3378">
        <v>-293.56200000000001</v>
      </c>
      <c r="K3378">
        <v>1.1216649999999999</v>
      </c>
      <c r="L3378">
        <v>214.3271</v>
      </c>
      <c r="M3378">
        <v>0.99989289999999997</v>
      </c>
      <c r="N3378">
        <v>-1.421207E-2</v>
      </c>
      <c r="O3378">
        <v>-3.4958649999999999E-3</v>
      </c>
      <c r="P3378">
        <v>0.97843000000000002</v>
      </c>
      <c r="Q3378">
        <v>0.20615120000000001</v>
      </c>
      <c r="R3378">
        <v>-1.328901E-2</v>
      </c>
      <c r="S3378">
        <v>3.0768430000000002</v>
      </c>
      <c r="T3378">
        <v>-5.4234739999999997E-2</v>
      </c>
      <c r="U3378">
        <v>-4.2953489999999997E-2</v>
      </c>
      <c r="V3378">
        <v>9.8764620000000008E-3</v>
      </c>
      <c r="W3378">
        <v>0.22003629999999999</v>
      </c>
      <c r="X3378">
        <v>0.97544169999999997</v>
      </c>
      <c r="Y3378">
        <v>1.046001E-2</v>
      </c>
      <c r="Z3378">
        <v>-1.54594E-4</v>
      </c>
      <c r="AA3378">
        <v>0.99994530000000004</v>
      </c>
      <c r="AB3378">
        <v>29</v>
      </c>
      <c r="AC3378">
        <v>63.357199999999999</v>
      </c>
      <c r="AD3378">
        <v>-1.121666376384</v>
      </c>
      <c r="AE3378">
        <v>-0.88740000000001296</v>
      </c>
      <c r="AF3378">
        <v>0.66567538906636203</v>
      </c>
      <c r="AG3378">
        <v>-1.121666376384</v>
      </c>
      <c r="AH3378">
        <v>63.340066768427199</v>
      </c>
      <c r="AI3378">
        <v>91.014468223004499</v>
      </c>
      <c r="AJ3378">
        <v>89.397869497952797</v>
      </c>
      <c r="AK3378">
        <v>63.353494910796599</v>
      </c>
      <c r="AL3378">
        <v>77.288835104209198</v>
      </c>
      <c r="AM3378">
        <v>89.419893313260403</v>
      </c>
      <c r="AN3378">
        <v>1.0000000139591001</v>
      </c>
    </row>
    <row r="3379" spans="1:40" x14ac:dyDescent="0.25">
      <c r="A3379" t="str">
        <f>"20190303162847246"</f>
        <v>20190303162847246</v>
      </c>
      <c r="B3379" t="str">
        <f>"1551601727234641"</f>
        <v>1551601727234641</v>
      </c>
      <c r="C3379" t="s">
        <v>40</v>
      </c>
      <c r="D3379">
        <v>4.9083040000000002</v>
      </c>
      <c r="E3379">
        <v>0.50214579999999998</v>
      </c>
      <c r="F3379" t="s">
        <v>48</v>
      </c>
      <c r="G3379">
        <v>-227.7115</v>
      </c>
      <c r="H3379" s="1">
        <v>2.6180760000000002E-6</v>
      </c>
      <c r="I3379">
        <v>213.44470000000001</v>
      </c>
      <c r="J3379">
        <v>-293.2808</v>
      </c>
      <c r="K3379">
        <v>1.1216660000000001</v>
      </c>
      <c r="L3379">
        <v>214.3261</v>
      </c>
      <c r="M3379">
        <v>0.99989300000000003</v>
      </c>
      <c r="N3379">
        <v>-1.4208989999999999E-2</v>
      </c>
      <c r="O3379">
        <v>-3.4958430000000002E-3</v>
      </c>
      <c r="P3379">
        <v>0.97832819999999998</v>
      </c>
      <c r="Q3379">
        <v>0.2066209</v>
      </c>
      <c r="R3379">
        <v>-1.348589E-2</v>
      </c>
      <c r="S3379">
        <v>3.0766300000000002</v>
      </c>
      <c r="T3379">
        <v>-5.2405599999999997E-2</v>
      </c>
      <c r="U3379">
        <v>-4.1229250000000002E-2</v>
      </c>
      <c r="V3379">
        <v>1.007388E-2</v>
      </c>
      <c r="W3379">
        <v>0.22050139999999999</v>
      </c>
      <c r="X3379">
        <v>0.97533460000000005</v>
      </c>
      <c r="Y3379">
        <v>9.9009969999999999E-3</v>
      </c>
      <c r="Z3379">
        <v>-1.4480539999999999E-4</v>
      </c>
      <c r="AA3379">
        <v>0.99995089999999998</v>
      </c>
      <c r="AB3379">
        <v>29</v>
      </c>
      <c r="AC3379">
        <v>65.569299999999998</v>
      </c>
      <c r="AD3379">
        <v>-1.1216633819239901</v>
      </c>
      <c r="AE3379">
        <v>-0.88139999999998497</v>
      </c>
      <c r="AF3379">
        <v>0.65196075556472699</v>
      </c>
      <c r="AG3379">
        <v>-1.1216633819239901</v>
      </c>
      <c r="AH3379">
        <v>65.552801328547602</v>
      </c>
      <c r="AI3379">
        <v>90.980234686025</v>
      </c>
      <c r="AJ3379">
        <v>89.430178918678493</v>
      </c>
      <c r="AK3379">
        <v>65.565638436525404</v>
      </c>
      <c r="AL3379">
        <v>77.261515236151894</v>
      </c>
      <c r="AM3379">
        <v>89.408233560487901</v>
      </c>
      <c r="AN3379">
        <v>0.99999996620868603</v>
      </c>
    </row>
    <row r="3380" spans="1:40" x14ac:dyDescent="0.25">
      <c r="A3380" t="str">
        <f>"20190303162847293"</f>
        <v>20190303162847293</v>
      </c>
      <c r="B3380" t="str">
        <f>"1551601727285394"</f>
        <v>1551601727285394</v>
      </c>
      <c r="C3380" t="s">
        <v>40</v>
      </c>
      <c r="D3380">
        <v>5.0833130000000004</v>
      </c>
      <c r="E3380">
        <v>0.50288789999999906</v>
      </c>
      <c r="F3380" t="s">
        <v>48</v>
      </c>
      <c r="G3380">
        <v>-223.37139999999999</v>
      </c>
      <c r="H3380" s="1">
        <v>3.1251150000000003E-7</v>
      </c>
      <c r="I3380">
        <v>213.3528</v>
      </c>
      <c r="J3380">
        <v>-292.67430000000002</v>
      </c>
      <c r="K3380">
        <v>1.121664</v>
      </c>
      <c r="L3380">
        <v>214.32400000000001</v>
      </c>
      <c r="M3380">
        <v>0.99989309999999998</v>
      </c>
      <c r="N3380">
        <v>-1.420241E-2</v>
      </c>
      <c r="O3380">
        <v>-3.4960350000000002E-3</v>
      </c>
      <c r="P3380">
        <v>0.97840499999999997</v>
      </c>
      <c r="Q3380">
        <v>0.20608190000000001</v>
      </c>
      <c r="R3380">
        <v>-1.5944239999999998E-2</v>
      </c>
      <c r="S3380">
        <v>3.0763240000000001</v>
      </c>
      <c r="T3380">
        <v>-4.9358249999999999E-2</v>
      </c>
      <c r="U3380">
        <v>-4.2831420000000002E-2</v>
      </c>
      <c r="V3380">
        <v>1.2531769999999999E-2</v>
      </c>
      <c r="W3380">
        <v>0.21995719999999999</v>
      </c>
      <c r="X3380">
        <v>0.97542899999999999</v>
      </c>
      <c r="Y3380">
        <v>1.042292E-2</v>
      </c>
      <c r="Z3380">
        <v>-1.5120429999999999E-4</v>
      </c>
      <c r="AA3380">
        <v>0.99994559999999999</v>
      </c>
      <c r="AB3380">
        <v>29</v>
      </c>
      <c r="AC3380">
        <v>69.302899999999994</v>
      </c>
      <c r="AD3380">
        <v>-1.1216636874885</v>
      </c>
      <c r="AE3380">
        <v>-0.97120000000001006</v>
      </c>
      <c r="AF3380">
        <v>0.72869343211083004</v>
      </c>
      <c r="AG3380">
        <v>-1.1216636874885</v>
      </c>
      <c r="AH3380">
        <v>69.2877255583373</v>
      </c>
      <c r="AI3380">
        <v>90.927399892811806</v>
      </c>
      <c r="AJ3380">
        <v>89.397447113693701</v>
      </c>
      <c r="AK3380">
        <v>69.300635181744894</v>
      </c>
      <c r="AL3380">
        <v>77.293480513572703</v>
      </c>
      <c r="AM3380">
        <v>89.263936144840599</v>
      </c>
      <c r="AN3380">
        <v>0.99999997456608603</v>
      </c>
    </row>
    <row r="3381" spans="1:40" x14ac:dyDescent="0.25">
      <c r="A3381" t="str">
        <f>"20190303162847314"</f>
        <v>20190303162847314</v>
      </c>
      <c r="B3381" t="str">
        <f>"1551601727304912"</f>
        <v>1551601727304912</v>
      </c>
      <c r="C3381" t="s">
        <v>40</v>
      </c>
      <c r="D3381">
        <v>4.9574780000000001</v>
      </c>
      <c r="E3381">
        <v>0.50303290000000001</v>
      </c>
      <c r="F3381" t="s">
        <v>48</v>
      </c>
      <c r="G3381">
        <v>-225.62569999999999</v>
      </c>
      <c r="H3381" s="1">
        <v>1.52263E-6</v>
      </c>
      <c r="I3381">
        <v>213.11269999999999</v>
      </c>
      <c r="J3381">
        <v>-292.38560000000001</v>
      </c>
      <c r="K3381">
        <v>1.121664</v>
      </c>
      <c r="L3381">
        <v>214.32300000000001</v>
      </c>
      <c r="M3381">
        <v>0.99989309999999998</v>
      </c>
      <c r="N3381">
        <v>-1.41993E-2</v>
      </c>
      <c r="O3381">
        <v>-3.4951729999999999E-3</v>
      </c>
      <c r="P3381">
        <v>0.97864209999999996</v>
      </c>
      <c r="Q3381">
        <v>0.2049059</v>
      </c>
      <c r="R3381">
        <v>-1.6533889999999999E-2</v>
      </c>
      <c r="S3381">
        <v>3.0761720000000001</v>
      </c>
      <c r="T3381">
        <v>-5.146158E-2</v>
      </c>
      <c r="U3381">
        <v>-5.5572509999999999E-2</v>
      </c>
      <c r="V3381">
        <v>1.312112E-2</v>
      </c>
      <c r="W3381">
        <v>0.21878159999999999</v>
      </c>
      <c r="X3381">
        <v>0.97568569999999999</v>
      </c>
      <c r="Y3381">
        <v>1.4563710000000001E-2</v>
      </c>
      <c r="Z3381">
        <v>-2.1639040000000001E-4</v>
      </c>
      <c r="AA3381">
        <v>0.9998939</v>
      </c>
      <c r="AB3381">
        <v>29</v>
      </c>
      <c r="AC3381">
        <v>66.759900000000002</v>
      </c>
      <c r="AD3381">
        <v>-1.1216624773699999</v>
      </c>
      <c r="AE3381">
        <v>-1.2102999999999799</v>
      </c>
      <c r="AF3381">
        <v>0.97665607703541402</v>
      </c>
      <c r="AG3381">
        <v>-1.1216624773699999</v>
      </c>
      <c r="AH3381">
        <v>66.7448876566134</v>
      </c>
      <c r="AI3381">
        <v>90.962674478150902</v>
      </c>
      <c r="AJ3381">
        <v>89.161669456785603</v>
      </c>
      <c r="AK3381">
        <v>66.761456036397902</v>
      </c>
      <c r="AL3381">
        <v>77.362520298532203</v>
      </c>
      <c r="AM3381">
        <v>89.229527005519103</v>
      </c>
      <c r="AN3381">
        <v>1.00000006873654</v>
      </c>
    </row>
    <row r="3382" spans="1:40" x14ac:dyDescent="0.25">
      <c r="A3382" t="str">
        <f>"20190303162847337"</f>
        <v>20190303162847337</v>
      </c>
      <c r="B3382" t="str">
        <f>"1551601727325409"</f>
        <v>1551601727325409</v>
      </c>
      <c r="C3382" t="s">
        <v>40</v>
      </c>
      <c r="D3382">
        <v>4.9234999999999998</v>
      </c>
      <c r="E3382">
        <v>0.50326329999999997</v>
      </c>
      <c r="F3382" t="s">
        <v>48</v>
      </c>
      <c r="G3382">
        <v>-229.45490000000001</v>
      </c>
      <c r="H3382" s="1">
        <v>3.56027E-6</v>
      </c>
      <c r="I3382">
        <v>213.1146</v>
      </c>
      <c r="J3382">
        <v>-292.09379999999999</v>
      </c>
      <c r="K3382">
        <v>1.1216660000000001</v>
      </c>
      <c r="L3382">
        <v>214.322</v>
      </c>
      <c r="M3382">
        <v>0.99989320000000004</v>
      </c>
      <c r="N3382">
        <v>-1.4196159999999999E-2</v>
      </c>
      <c r="O3382">
        <v>-3.4927489999999999E-3</v>
      </c>
      <c r="P3382">
        <v>0.9787188</v>
      </c>
      <c r="Q3382">
        <v>0.20455380000000001</v>
      </c>
      <c r="R3382">
        <v>-1.636336E-2</v>
      </c>
      <c r="S3382">
        <v>3.075958</v>
      </c>
      <c r="T3382">
        <v>-5.4825069999999997E-2</v>
      </c>
      <c r="U3382">
        <v>-5.9066769999999998E-2</v>
      </c>
      <c r="V3382">
        <v>1.2952109999999999E-2</v>
      </c>
      <c r="W3382">
        <v>0.21842800000000001</v>
      </c>
      <c r="X3382">
        <v>0.9757671</v>
      </c>
      <c r="Y3382">
        <v>1.570216E-2</v>
      </c>
      <c r="Z3382">
        <v>-2.387372E-4</v>
      </c>
      <c r="AA3382">
        <v>0.99987669999999995</v>
      </c>
      <c r="AB3382">
        <v>29</v>
      </c>
      <c r="AC3382">
        <v>62.6388999999999</v>
      </c>
      <c r="AD3382">
        <v>-1.1216624397299999</v>
      </c>
      <c r="AE3382">
        <v>-1.2074</v>
      </c>
      <c r="AF3382">
        <v>0.98827186971491299</v>
      </c>
      <c r="AG3382">
        <v>-1.1216624397299999</v>
      </c>
      <c r="AH3382">
        <v>62.622662692720397</v>
      </c>
      <c r="AI3382">
        <v>91.0260128034529</v>
      </c>
      <c r="AJ3382">
        <v>89.095868737308805</v>
      </c>
      <c r="AK3382">
        <v>62.640503595065503</v>
      </c>
      <c r="AL3382">
        <v>77.383281245754603</v>
      </c>
      <c r="AM3382">
        <v>89.239513548834793</v>
      </c>
      <c r="AN3382">
        <v>0.99999999088993097</v>
      </c>
    </row>
    <row r="3383" spans="1:40" x14ac:dyDescent="0.25">
      <c r="A3383" t="str">
        <f>"20190303162847358"</f>
        <v>20190303162847358</v>
      </c>
      <c r="B3383" t="str">
        <f>"1551601727344930"</f>
        <v>1551601727344930</v>
      </c>
      <c r="C3383" t="s">
        <v>40</v>
      </c>
      <c r="D3383">
        <v>4.9529719999999999</v>
      </c>
      <c r="E3383">
        <v>0.50332270000000001</v>
      </c>
      <c r="F3383" t="s">
        <v>48</v>
      </c>
      <c r="G3383">
        <v>-230.09899999999999</v>
      </c>
      <c r="H3383" s="1">
        <v>-1.417148E-6</v>
      </c>
      <c r="I3383">
        <v>213.08500000000001</v>
      </c>
      <c r="J3383">
        <v>-291.81619999999998</v>
      </c>
      <c r="K3383">
        <v>1.121678</v>
      </c>
      <c r="L3383">
        <v>214.321</v>
      </c>
      <c r="M3383">
        <v>0.99989320000000004</v>
      </c>
      <c r="N3383">
        <v>-1.419321E-2</v>
      </c>
      <c r="O3383">
        <v>-3.4891309999999999E-3</v>
      </c>
      <c r="P3383">
        <v>0.97871379999999997</v>
      </c>
      <c r="Q3383">
        <v>0.2046568</v>
      </c>
      <c r="R3383">
        <v>-1.53268E-2</v>
      </c>
      <c r="S3383">
        <v>3.0758359999999998</v>
      </c>
      <c r="T3383">
        <v>-5.5650949999999998E-2</v>
      </c>
      <c r="U3383">
        <v>-6.1370849999999998E-2</v>
      </c>
      <c r="V3383">
        <v>1.1918740000000001E-2</v>
      </c>
      <c r="W3383">
        <v>0.21852750000000001</v>
      </c>
      <c r="X3383">
        <v>0.97575800000000001</v>
      </c>
      <c r="Y3383">
        <v>1.6454920000000001E-2</v>
      </c>
      <c r="Z3383">
        <v>-2.5204319999999999E-4</v>
      </c>
      <c r="AA3383">
        <v>0.99986459999999999</v>
      </c>
      <c r="AB3383">
        <v>29</v>
      </c>
      <c r="AC3383">
        <v>61.717199999999899</v>
      </c>
      <c r="AD3383">
        <v>-1.121679417148</v>
      </c>
      <c r="AE3383">
        <v>-1.23599999999999</v>
      </c>
      <c r="AF3383">
        <v>1.0202945086688</v>
      </c>
      <c r="AG3383">
        <v>-1.121679417148</v>
      </c>
      <c r="AH3383">
        <v>61.700764883754601</v>
      </c>
      <c r="AI3383">
        <v>91.041342616967299</v>
      </c>
      <c r="AJ3383">
        <v>89.052633435097306</v>
      </c>
      <c r="AK3383">
        <v>61.719393652559802</v>
      </c>
      <c r="AL3383">
        <v>77.377439294318904</v>
      </c>
      <c r="AM3383">
        <v>89.300175310899405</v>
      </c>
      <c r="AN3383">
        <v>0.99999999959171804</v>
      </c>
    </row>
    <row r="3384" spans="1:40" x14ac:dyDescent="0.25">
      <c r="A3384" t="str">
        <f>"20190303162847374"</f>
        <v>20190303162847374</v>
      </c>
      <c r="B3384" t="str">
        <f>"1551601727365194"</f>
        <v>1551601727365194</v>
      </c>
      <c r="C3384" t="s">
        <v>40</v>
      </c>
      <c r="D3384">
        <v>5.018249</v>
      </c>
      <c r="E3384">
        <v>0.46550239999999998</v>
      </c>
      <c r="F3384" t="s">
        <v>48</v>
      </c>
      <c r="G3384">
        <v>-228.57759999999999</v>
      </c>
      <c r="H3384" s="1">
        <v>3.094018E-6</v>
      </c>
      <c r="I3384">
        <v>213.10149999999999</v>
      </c>
      <c r="J3384">
        <v>-291.60180000000003</v>
      </c>
      <c r="K3384">
        <v>1.1216790000000001</v>
      </c>
      <c r="L3384">
        <v>214.3203</v>
      </c>
      <c r="M3384">
        <v>0.99989329999999998</v>
      </c>
      <c r="N3384">
        <v>-1.4190899999999999E-2</v>
      </c>
      <c r="O3384">
        <v>-3.4857600000000001E-3</v>
      </c>
      <c r="P3384">
        <v>0.97867179999999998</v>
      </c>
      <c r="Q3384">
        <v>0.2048856</v>
      </c>
      <c r="R3384">
        <v>-1.495871E-2</v>
      </c>
      <c r="S3384">
        <v>3.0756839999999999</v>
      </c>
      <c r="T3384">
        <v>-5.4553989999999997E-2</v>
      </c>
      <c r="U3384">
        <v>-5.9310910000000001E-2</v>
      </c>
      <c r="V3384">
        <v>1.155336E-2</v>
      </c>
      <c r="W3384">
        <v>0.2187537</v>
      </c>
      <c r="X3384">
        <v>0.97571169999999996</v>
      </c>
      <c r="Y3384">
        <v>1.5790209999999999E-2</v>
      </c>
      <c r="Z3384">
        <v>-2.3973080000000001E-4</v>
      </c>
      <c r="AA3384">
        <v>0.99987530000000002</v>
      </c>
      <c r="AB3384">
        <v>29</v>
      </c>
      <c r="AC3384">
        <v>63.0242</v>
      </c>
      <c r="AD3384">
        <v>-1.1216759059819901</v>
      </c>
      <c r="AE3384">
        <v>-1.2188000000000101</v>
      </c>
      <c r="AF3384">
        <v>0.99876700679790398</v>
      </c>
      <c r="AG3384">
        <v>-1.1216759059819901</v>
      </c>
      <c r="AH3384">
        <v>63.008115385970697</v>
      </c>
      <c r="AI3384">
        <v>91.019748601765997</v>
      </c>
      <c r="AJ3384">
        <v>89.091857586125798</v>
      </c>
      <c r="AK3384">
        <v>63.026012858689803</v>
      </c>
      <c r="AL3384">
        <v>77.364157540990405</v>
      </c>
      <c r="AM3384">
        <v>89.321594860001895</v>
      </c>
      <c r="AN3384">
        <v>0.99999999145393403</v>
      </c>
    </row>
    <row r="3385" spans="1:40" x14ac:dyDescent="0.25">
      <c r="A3385" t="str">
        <f>"20190303162847393"</f>
        <v>20190303162847393</v>
      </c>
      <c r="B3385" t="str">
        <f>"1551601727384714"</f>
        <v>1551601727384714</v>
      </c>
      <c r="C3385" t="s">
        <v>40</v>
      </c>
      <c r="D3385">
        <v>5.1906549999999996</v>
      </c>
      <c r="E3385">
        <v>0.45819019999999999</v>
      </c>
      <c r="F3385" t="s">
        <v>48</v>
      </c>
      <c r="G3385">
        <v>-258.13139999999999</v>
      </c>
      <c r="H3385" s="1">
        <v>2.6876349999999998E-6</v>
      </c>
      <c r="I3385">
        <v>216.9659</v>
      </c>
      <c r="J3385">
        <v>-291.36529999999999</v>
      </c>
      <c r="K3385">
        <v>1.1216710000000001</v>
      </c>
      <c r="L3385">
        <v>214.31950000000001</v>
      </c>
      <c r="M3385">
        <v>0.99989340000000004</v>
      </c>
      <c r="N3385">
        <v>-1.418753E-2</v>
      </c>
      <c r="O3385">
        <v>-3.4813090000000001E-3</v>
      </c>
      <c r="P3385">
        <v>0.97884269999999995</v>
      </c>
      <c r="Q3385">
        <v>0.20411589999999999</v>
      </c>
      <c r="R3385">
        <v>-1.4272780000000001E-2</v>
      </c>
      <c r="S3385">
        <v>3.0908199999999999</v>
      </c>
      <c r="T3385">
        <v>-0.10358100000000001</v>
      </c>
      <c r="U3385">
        <v>0.24430850000000001</v>
      </c>
      <c r="V3385">
        <v>1.087073E-2</v>
      </c>
      <c r="W3385">
        <v>0.21798310000000001</v>
      </c>
      <c r="X3385">
        <v>0.97589199999999998</v>
      </c>
      <c r="Y3385">
        <v>-8.2201800000000005E-2</v>
      </c>
      <c r="Z3385">
        <v>2.0263019999999998E-3</v>
      </c>
      <c r="AA3385">
        <v>0.99661359999999999</v>
      </c>
      <c r="AB3385">
        <v>29</v>
      </c>
      <c r="AC3385">
        <v>33.233899999999998</v>
      </c>
      <c r="AD3385">
        <v>-1.12166831236499</v>
      </c>
      <c r="AE3385">
        <v>2.6463999999999999</v>
      </c>
      <c r="AF3385">
        <v>-2.75897009613906</v>
      </c>
      <c r="AG3385">
        <v>-1.12166831236499</v>
      </c>
      <c r="AH3385">
        <v>33.186919298543899</v>
      </c>
      <c r="AI3385">
        <v>91.929125051693902</v>
      </c>
      <c r="AJ3385">
        <v>94.752314308242305</v>
      </c>
      <c r="AK3385">
        <v>33.3202891392379</v>
      </c>
      <c r="AL3385">
        <v>77.4094016828885</v>
      </c>
      <c r="AM3385">
        <v>89.361792914097606</v>
      </c>
      <c r="AN3385">
        <v>1.0000000001601701</v>
      </c>
    </row>
    <row r="3386" spans="1:40" x14ac:dyDescent="0.25">
      <c r="A3386" t="str">
        <f>"20190303162847413"</f>
        <v>20190303162847413</v>
      </c>
      <c r="B3386" t="str">
        <f>"1551601727405212"</f>
        <v>1551601727405212</v>
      </c>
      <c r="C3386" t="s">
        <v>40</v>
      </c>
      <c r="D3386">
        <v>4.991276</v>
      </c>
      <c r="E3386">
        <v>0.45697369999999998</v>
      </c>
      <c r="F3386" t="s">
        <v>48</v>
      </c>
      <c r="G3386">
        <v>-257.82690000000002</v>
      </c>
      <c r="H3386" s="1">
        <v>2.4965140000000001E-6</v>
      </c>
      <c r="I3386">
        <v>217.6309</v>
      </c>
      <c r="J3386">
        <v>-291.08920000000001</v>
      </c>
      <c r="K3386">
        <v>1.121672</v>
      </c>
      <c r="L3386">
        <v>214.3185</v>
      </c>
      <c r="M3386">
        <v>0.99989340000000004</v>
      </c>
      <c r="N3386">
        <v>-1.418207E-2</v>
      </c>
      <c r="O3386">
        <v>-3.4752989999999998E-3</v>
      </c>
      <c r="P3386">
        <v>0.97900200000000004</v>
      </c>
      <c r="Q3386">
        <v>0.20338990000000001</v>
      </c>
      <c r="R3386">
        <v>-1.369952E-2</v>
      </c>
      <c r="S3386">
        <v>3.0908509999999998</v>
      </c>
      <c r="T3386">
        <v>-0.1033713</v>
      </c>
      <c r="U3386">
        <v>0.3051758</v>
      </c>
      <c r="V3386">
        <v>1.030244E-2</v>
      </c>
      <c r="W3386">
        <v>0.2172538</v>
      </c>
      <c r="X3386">
        <v>0.97606079999999995</v>
      </c>
      <c r="Y3386">
        <v>-0.10163469999999999</v>
      </c>
      <c r="Z3386">
        <v>2.4844810000000002E-3</v>
      </c>
      <c r="AA3386">
        <v>0.99481869999999994</v>
      </c>
      <c r="AB3386">
        <v>29</v>
      </c>
      <c r="AC3386">
        <v>33.262299999999897</v>
      </c>
      <c r="AD3386">
        <v>-1.121669503486</v>
      </c>
      <c r="AE3386">
        <v>3.31239999999999</v>
      </c>
      <c r="AF3386">
        <v>-3.42413247261302</v>
      </c>
      <c r="AG3386">
        <v>-1.121669503486</v>
      </c>
      <c r="AH3386">
        <v>33.213188202205103</v>
      </c>
      <c r="AI3386">
        <v>91.924056727677197</v>
      </c>
      <c r="AJ3386">
        <v>95.886145643486302</v>
      </c>
      <c r="AK3386">
        <v>33.408063341357398</v>
      </c>
      <c r="AL3386">
        <v>77.452213775948906</v>
      </c>
      <c r="AM3386">
        <v>89.395258563021201</v>
      </c>
      <c r="AN3386">
        <v>1.0000000195905101</v>
      </c>
    </row>
    <row r="3387" spans="1:40" x14ac:dyDescent="0.25">
      <c r="A3387" t="str">
        <f>"20190303162847431"</f>
        <v>20190303162847431</v>
      </c>
      <c r="B3387" t="str">
        <f>"1551601727424730"</f>
        <v>1551601727424730</v>
      </c>
      <c r="C3387" t="s">
        <v>40</v>
      </c>
      <c r="D3387">
        <v>5.0575570000000001</v>
      </c>
      <c r="E3387">
        <v>0.45669769999999998</v>
      </c>
      <c r="F3387" t="s">
        <v>48</v>
      </c>
      <c r="G3387">
        <v>-256.95260000000002</v>
      </c>
      <c r="H3387" s="1">
        <v>2.0230899999999999E-6</v>
      </c>
      <c r="I3387">
        <v>217.8184</v>
      </c>
      <c r="J3387">
        <v>-290.86989999999997</v>
      </c>
      <c r="K3387">
        <v>1.1216729999999999</v>
      </c>
      <c r="L3387">
        <v>214.31780000000001</v>
      </c>
      <c r="M3387">
        <v>0.99989360000000005</v>
      </c>
      <c r="N3387">
        <v>-1.417714E-2</v>
      </c>
      <c r="O3387">
        <v>-3.470014E-3</v>
      </c>
      <c r="P3387">
        <v>0.9790934</v>
      </c>
      <c r="Q3387">
        <v>0.20295179999999999</v>
      </c>
      <c r="R3387">
        <v>-1.366407E-2</v>
      </c>
      <c r="S3387">
        <v>3.089874</v>
      </c>
      <c r="T3387">
        <v>-0.10152799999999999</v>
      </c>
      <c r="U3387">
        <v>0.31678770000000001</v>
      </c>
      <c r="V3387">
        <v>1.02717E-2</v>
      </c>
      <c r="W3387">
        <v>0.21681249999999999</v>
      </c>
      <c r="X3387">
        <v>0.9761592</v>
      </c>
      <c r="Y3387">
        <v>-0.1053601</v>
      </c>
      <c r="Z3387">
        <v>2.5397559999999998E-3</v>
      </c>
      <c r="AA3387">
        <v>0.99443090000000001</v>
      </c>
      <c r="AB3387">
        <v>29</v>
      </c>
      <c r="AC3387">
        <v>33.917299999999898</v>
      </c>
      <c r="AD3387">
        <v>-1.12167097691</v>
      </c>
      <c r="AE3387">
        <v>3.5005999999999902</v>
      </c>
      <c r="AF3387">
        <v>-3.6143729548522798</v>
      </c>
      <c r="AG3387">
        <v>-1.12167097691</v>
      </c>
      <c r="AH3387">
        <v>33.868296899117098</v>
      </c>
      <c r="AI3387">
        <v>91.886160985367397</v>
      </c>
      <c r="AJ3387">
        <v>96.0914630744699</v>
      </c>
      <c r="AK3387">
        <v>34.079075287982199</v>
      </c>
      <c r="AL3387">
        <v>77.478115241238896</v>
      </c>
      <c r="AM3387">
        <v>89.397123605959493</v>
      </c>
      <c r="AN3387">
        <v>0.99999997586088896</v>
      </c>
    </row>
    <row r="3388" spans="1:40" x14ac:dyDescent="0.25">
      <c r="A3388" t="str">
        <f>"20190303162847449"</f>
        <v>20190303162847449</v>
      </c>
      <c r="B3388" t="str">
        <f>"1551601727434491"</f>
        <v>1551601727434491</v>
      </c>
      <c r="C3388" t="s">
        <v>40</v>
      </c>
      <c r="D3388">
        <v>4.9634090000000004</v>
      </c>
      <c r="E3388">
        <v>0.45666459999999998</v>
      </c>
      <c r="F3388" t="s">
        <v>48</v>
      </c>
      <c r="G3388">
        <v>-254.9417</v>
      </c>
      <c r="H3388" s="1">
        <v>9.4379409999999995E-7</v>
      </c>
      <c r="I3388">
        <v>218.0283</v>
      </c>
      <c r="J3388">
        <v>-290.6465</v>
      </c>
      <c r="K3388">
        <v>1.121664</v>
      </c>
      <c r="L3388">
        <v>214.31700000000001</v>
      </c>
      <c r="M3388">
        <v>0.9998937</v>
      </c>
      <c r="N3388">
        <v>-1.4170830000000001E-2</v>
      </c>
      <c r="O3388">
        <v>-3.4642459999999998E-3</v>
      </c>
      <c r="P3388">
        <v>0.9791221</v>
      </c>
      <c r="Q3388">
        <v>0.20280090000000001</v>
      </c>
      <c r="R3388">
        <v>-1.384847E-2</v>
      </c>
      <c r="S3388">
        <v>3.0885310000000001</v>
      </c>
      <c r="T3388">
        <v>-9.6423270000000005E-2</v>
      </c>
      <c r="U3388">
        <v>0.31896970000000002</v>
      </c>
      <c r="V3388">
        <v>1.046148E-2</v>
      </c>
      <c r="W3388">
        <v>0.21665609999999999</v>
      </c>
      <c r="X3388">
        <v>0.9761919</v>
      </c>
      <c r="Y3388">
        <v>-0.10609970000000001</v>
      </c>
      <c r="Z3388">
        <v>2.4643590000000002E-3</v>
      </c>
      <c r="AA3388">
        <v>0.99435249999999997</v>
      </c>
      <c r="AB3388">
        <v>29</v>
      </c>
      <c r="AC3388">
        <v>35.704799999999999</v>
      </c>
      <c r="AD3388">
        <v>-1.12166305620589</v>
      </c>
      <c r="AE3388">
        <v>3.7112999999999898</v>
      </c>
      <c r="AF3388">
        <v>-3.8312397214496299</v>
      </c>
      <c r="AG3388">
        <v>-1.12166305620589</v>
      </c>
      <c r="AH3388">
        <v>35.656914017106203</v>
      </c>
      <c r="AI3388">
        <v>91.791460140460501</v>
      </c>
      <c r="AJ3388">
        <v>96.132749258873503</v>
      </c>
      <c r="AK3388">
        <v>35.879688446782502</v>
      </c>
      <c r="AL3388">
        <v>77.487294372680495</v>
      </c>
      <c r="AM3388">
        <v>89.386006268989505</v>
      </c>
      <c r="AN3388">
        <v>0.99999996692830395</v>
      </c>
    </row>
    <row r="3389" spans="1:40" x14ac:dyDescent="0.25">
      <c r="A3389" t="str">
        <f>"20190303162847471"</f>
        <v>20190303162847471</v>
      </c>
      <c r="B3389" t="str">
        <f>"1551601727465574"</f>
        <v>1551601727465574</v>
      </c>
      <c r="C3389" t="s">
        <v>40</v>
      </c>
      <c r="D3389">
        <v>4.9554359999999997</v>
      </c>
      <c r="E3389">
        <v>0.4567908</v>
      </c>
      <c r="F3389" t="s">
        <v>48</v>
      </c>
      <c r="G3389">
        <v>-254.20169999999999</v>
      </c>
      <c r="H3389" s="1">
        <v>5.4769410000000005E-7</v>
      </c>
      <c r="I3389">
        <v>218.08080000000001</v>
      </c>
      <c r="J3389">
        <v>-290.35230000000001</v>
      </c>
      <c r="K3389">
        <v>1.121661</v>
      </c>
      <c r="L3389">
        <v>214.316</v>
      </c>
      <c r="M3389">
        <v>0.9998939</v>
      </c>
      <c r="N3389">
        <v>-1.4157400000000001E-2</v>
      </c>
      <c r="O3389">
        <v>-3.4564040000000002E-3</v>
      </c>
      <c r="P3389">
        <v>0.97911429999999999</v>
      </c>
      <c r="Q3389">
        <v>0.20280490000000001</v>
      </c>
      <c r="R3389">
        <v>-1.435058E-2</v>
      </c>
      <c r="S3389">
        <v>3.088165</v>
      </c>
      <c r="T3389">
        <v>-9.5044489999999995E-2</v>
      </c>
      <c r="U3389">
        <v>0.31892399999999999</v>
      </c>
      <c r="V3389">
        <v>1.097128E-2</v>
      </c>
      <c r="W3389">
        <v>0.2166468</v>
      </c>
      <c r="X3389">
        <v>0.97618839999999996</v>
      </c>
      <c r="Y3389">
        <v>-0.1060912</v>
      </c>
      <c r="Z3389">
        <v>2.4384250000000001E-3</v>
      </c>
      <c r="AA3389">
        <v>0.99435340000000005</v>
      </c>
      <c r="AB3389">
        <v>29</v>
      </c>
      <c r="AC3389">
        <v>36.150599999999997</v>
      </c>
      <c r="AD3389">
        <v>-1.1216604523058999</v>
      </c>
      <c r="AE3389">
        <v>3.7648000000000299</v>
      </c>
      <c r="AF3389">
        <v>-3.8860401385635801</v>
      </c>
      <c r="AG3389">
        <v>-1.1216604523058999</v>
      </c>
      <c r="AH3389">
        <v>36.102986540531397</v>
      </c>
      <c r="AI3389">
        <v>91.769299927490195</v>
      </c>
      <c r="AJ3389">
        <v>96.143529120207802</v>
      </c>
      <c r="AK3389">
        <v>36.328846214469699</v>
      </c>
      <c r="AL3389">
        <v>77.487840589966893</v>
      </c>
      <c r="AM3389">
        <v>89.356085797798301</v>
      </c>
      <c r="AN3389">
        <v>0.99999999861481903</v>
      </c>
    </row>
    <row r="3390" spans="1:40" x14ac:dyDescent="0.25">
      <c r="A3390" t="str">
        <f>"20190303162847492"</f>
        <v>20190303162847492</v>
      </c>
      <c r="B3390" t="str">
        <f>"1551601727485093"</f>
        <v>1551601727485093</v>
      </c>
      <c r="C3390" t="s">
        <v>40</v>
      </c>
      <c r="D3390">
        <v>5.0506760000000002</v>
      </c>
      <c r="E3390">
        <v>0.45704339999999999</v>
      </c>
      <c r="F3390" t="s">
        <v>48</v>
      </c>
      <c r="G3390">
        <v>-252.11660000000001</v>
      </c>
      <c r="H3390" s="1">
        <v>-5.6871330000000002E-7</v>
      </c>
      <c r="I3390">
        <v>218.23679999999999</v>
      </c>
      <c r="J3390">
        <v>-290.0634</v>
      </c>
      <c r="K3390">
        <v>1.121664</v>
      </c>
      <c r="L3390">
        <v>214.315</v>
      </c>
      <c r="M3390">
        <v>0.99989410000000001</v>
      </c>
      <c r="N3390">
        <v>-1.4141340000000001E-2</v>
      </c>
      <c r="O3390">
        <v>-3.4490179999999999E-3</v>
      </c>
      <c r="P3390">
        <v>0.97909100000000004</v>
      </c>
      <c r="Q3390">
        <v>0.20293919999999999</v>
      </c>
      <c r="R3390">
        <v>-1.402129E-2</v>
      </c>
      <c r="S3390">
        <v>3.087402</v>
      </c>
      <c r="T3390">
        <v>-9.0570209999999998E-2</v>
      </c>
      <c r="U3390">
        <v>0.31658940000000002</v>
      </c>
      <c r="V3390">
        <v>1.064939E-2</v>
      </c>
      <c r="W3390">
        <v>0.21676509999999999</v>
      </c>
      <c r="X3390">
        <v>0.97616570000000003</v>
      </c>
      <c r="Y3390">
        <v>-0.1053711</v>
      </c>
      <c r="Z3390">
        <v>2.340703E-3</v>
      </c>
      <c r="AA3390">
        <v>0.99443020000000004</v>
      </c>
      <c r="AB3390">
        <v>29</v>
      </c>
      <c r="AC3390">
        <v>37.946800000000003</v>
      </c>
      <c r="AD3390">
        <v>-1.1216645687133</v>
      </c>
      <c r="AE3390">
        <v>3.92179999999999</v>
      </c>
      <c r="AF3390">
        <v>-4.0491684701654096</v>
      </c>
      <c r="AG3390">
        <v>-1.1216645687133</v>
      </c>
      <c r="AH3390">
        <v>37.9002820115007</v>
      </c>
      <c r="AI3390">
        <v>91.685595425272496</v>
      </c>
      <c r="AJ3390">
        <v>96.0982015471522</v>
      </c>
      <c r="AK3390">
        <v>38.132470064969198</v>
      </c>
      <c r="AL3390">
        <v>77.480897476668204</v>
      </c>
      <c r="AM3390">
        <v>89.374961754123206</v>
      </c>
      <c r="AN3390">
        <v>0.99999999597093603</v>
      </c>
    </row>
    <row r="3391" spans="1:40" x14ac:dyDescent="0.25">
      <c r="A3391" t="str">
        <f>"20190303162847515"</f>
        <v>20190303162847515</v>
      </c>
      <c r="B3391" t="str">
        <f>"1551601727504613"</f>
        <v>1551601727504613</v>
      </c>
      <c r="C3391" t="s">
        <v>40</v>
      </c>
      <c r="D3391">
        <v>4.9657809999999998</v>
      </c>
      <c r="E3391">
        <v>0.45751989999999998</v>
      </c>
      <c r="F3391" t="s">
        <v>48</v>
      </c>
      <c r="G3391">
        <v>-250.5412</v>
      </c>
      <c r="H3391" s="1">
        <v>-1.4120659999999999E-6</v>
      </c>
      <c r="I3391">
        <v>218.352</v>
      </c>
      <c r="J3391">
        <v>-289.78739999999999</v>
      </c>
      <c r="K3391">
        <v>1.1216680000000001</v>
      </c>
      <c r="L3391">
        <v>214.3141</v>
      </c>
      <c r="M3391">
        <v>0.99989439999999996</v>
      </c>
      <c r="N3391">
        <v>-1.41262E-2</v>
      </c>
      <c r="O3391">
        <v>-3.4424719999999998E-3</v>
      </c>
      <c r="P3391">
        <v>0.97906389999999999</v>
      </c>
      <c r="Q3391">
        <v>0.20312050000000001</v>
      </c>
      <c r="R3391">
        <v>-1.326782E-2</v>
      </c>
      <c r="S3391">
        <v>3.0867309999999999</v>
      </c>
      <c r="T3391">
        <v>-8.7603570000000006E-2</v>
      </c>
      <c r="U3391">
        <v>0.31529239999999997</v>
      </c>
      <c r="V3391">
        <v>9.9023800000000006E-3</v>
      </c>
      <c r="W3391">
        <v>0.21693119999999999</v>
      </c>
      <c r="X3391">
        <v>0.97613669999999997</v>
      </c>
      <c r="Y3391">
        <v>-0.1049769</v>
      </c>
      <c r="Z3391">
        <v>2.2780740000000002E-3</v>
      </c>
      <c r="AA3391">
        <v>0.99447200000000002</v>
      </c>
      <c r="AB3391">
        <v>29</v>
      </c>
      <c r="AC3391">
        <v>39.246199999999902</v>
      </c>
      <c r="AD3391">
        <v>-1.121669412066</v>
      </c>
      <c r="AE3391">
        <v>4.0378999999999996</v>
      </c>
      <c r="AF3391">
        <v>-4.1696232618001599</v>
      </c>
      <c r="AG3391">
        <v>-1.121669412066</v>
      </c>
      <c r="AH3391">
        <v>39.200380810280102</v>
      </c>
      <c r="AI3391">
        <v>91.629810353760803</v>
      </c>
      <c r="AJ3391">
        <v>96.071545871188505</v>
      </c>
      <c r="AK3391">
        <v>39.4374664004457</v>
      </c>
      <c r="AL3391">
        <v>77.471149110048003</v>
      </c>
      <c r="AM3391">
        <v>89.418785176475794</v>
      </c>
      <c r="AN3391">
        <v>1.00000002987499</v>
      </c>
    </row>
    <row r="3392" spans="1:40" x14ac:dyDescent="0.25">
      <c r="A3392" t="str">
        <f>"20190303162847537"</f>
        <v>20190303162847537</v>
      </c>
      <c r="B3392" t="str">
        <f>"1551601727525110"</f>
        <v>1551601727525110</v>
      </c>
      <c r="C3392" t="s">
        <v>40</v>
      </c>
      <c r="D3392">
        <v>5.0459820000000004</v>
      </c>
      <c r="E3392">
        <v>0.45782440000000002</v>
      </c>
      <c r="F3392" t="s">
        <v>48</v>
      </c>
      <c r="G3392">
        <v>-248.81110000000001</v>
      </c>
      <c r="H3392" s="1">
        <v>2.9836990000000001E-6</v>
      </c>
      <c r="I3392">
        <v>218.4675</v>
      </c>
      <c r="J3392">
        <v>-289.49349999999998</v>
      </c>
      <c r="K3392">
        <v>1.121667</v>
      </c>
      <c r="L3392">
        <v>214.31309999999999</v>
      </c>
      <c r="M3392">
        <v>0.99989470000000003</v>
      </c>
      <c r="N3392">
        <v>-1.410758E-2</v>
      </c>
      <c r="O3392">
        <v>-3.4356640000000002E-3</v>
      </c>
      <c r="P3392">
        <v>0.97898209999999997</v>
      </c>
      <c r="Q3392">
        <v>0.20355670000000001</v>
      </c>
      <c r="R3392">
        <v>-1.2622639999999999E-2</v>
      </c>
      <c r="S3392">
        <v>3.0859070000000002</v>
      </c>
      <c r="T3392">
        <v>-8.4471939999999995E-2</v>
      </c>
      <c r="U3392">
        <v>0.31278990000000001</v>
      </c>
      <c r="V3392">
        <v>9.2640329999999996E-3</v>
      </c>
      <c r="W3392">
        <v>0.21734780000000001</v>
      </c>
      <c r="X3392">
        <v>0.97605030000000004</v>
      </c>
      <c r="Y3392">
        <v>-0.1042029</v>
      </c>
      <c r="Z3392">
        <v>2.204887E-3</v>
      </c>
      <c r="AA3392">
        <v>0.99455360000000004</v>
      </c>
      <c r="AB3392">
        <v>29</v>
      </c>
      <c r="AC3392">
        <v>40.682399999999902</v>
      </c>
      <c r="AD3392">
        <v>-1.1216640163010001</v>
      </c>
      <c r="AE3392">
        <v>4.1544000000000096</v>
      </c>
      <c r="AF3392">
        <v>-4.2909322404774999</v>
      </c>
      <c r="AG3392">
        <v>-1.1216640163010001</v>
      </c>
      <c r="AH3392">
        <v>40.637312731398197</v>
      </c>
      <c r="AI3392">
        <v>91.572330089391002</v>
      </c>
      <c r="AJ3392">
        <v>96.027580305254602</v>
      </c>
      <c r="AK3392">
        <v>40.878618074579002</v>
      </c>
      <c r="AL3392">
        <v>77.446696365549599</v>
      </c>
      <c r="AM3392">
        <v>89.456202150471896</v>
      </c>
      <c r="AN3392">
        <v>1.00000003830117</v>
      </c>
    </row>
    <row r="3393" spans="1:40" x14ac:dyDescent="0.25">
      <c r="A3393" t="str">
        <f>"20190303162847560"</f>
        <v>20190303162847560</v>
      </c>
      <c r="B3393" t="str">
        <f>"1551601727555365"</f>
        <v>1551601727555365</v>
      </c>
      <c r="C3393" t="s">
        <v>40</v>
      </c>
      <c r="D3393">
        <v>4.9124999999999996</v>
      </c>
      <c r="E3393">
        <v>0.45837299999999997</v>
      </c>
      <c r="F3393" t="s">
        <v>48</v>
      </c>
      <c r="G3393">
        <v>-246.71979999999999</v>
      </c>
      <c r="H3393" s="1">
        <v>1.863322E-6</v>
      </c>
      <c r="I3393">
        <v>218.63919999999999</v>
      </c>
      <c r="J3393">
        <v>-289.20679999999999</v>
      </c>
      <c r="K3393">
        <v>1.121659</v>
      </c>
      <c r="L3393">
        <v>214.31209999999999</v>
      </c>
      <c r="M3393">
        <v>0.99989499999999998</v>
      </c>
      <c r="N3393">
        <v>-1.407717E-2</v>
      </c>
      <c r="O3393">
        <v>-3.4287739999999999E-3</v>
      </c>
      <c r="P3393">
        <v>0.97909120000000005</v>
      </c>
      <c r="Q3393">
        <v>0.20309079999999999</v>
      </c>
      <c r="R3393">
        <v>-1.1598310000000001E-2</v>
      </c>
      <c r="S3393">
        <v>3.0852659999999998</v>
      </c>
      <c r="T3393">
        <v>-8.09058E-2</v>
      </c>
      <c r="U3393">
        <v>0.31204219999999999</v>
      </c>
      <c r="V3393">
        <v>8.2461549999999998E-3</v>
      </c>
      <c r="W3393">
        <v>0.21685389999999999</v>
      </c>
      <c r="X3393">
        <v>0.97616919999999996</v>
      </c>
      <c r="Y3393">
        <v>-0.1039824</v>
      </c>
      <c r="Z3393">
        <v>2.1351920000000002E-3</v>
      </c>
      <c r="AA3393">
        <v>0.99457680000000004</v>
      </c>
      <c r="AB3393">
        <v>29</v>
      </c>
      <c r="AC3393">
        <v>42.487000000000002</v>
      </c>
      <c r="AD3393">
        <v>-1.1216571366779999</v>
      </c>
      <c r="AE3393">
        <v>4.3270999999999997</v>
      </c>
      <c r="AF3393">
        <v>-4.4696841088863302</v>
      </c>
      <c r="AG3393">
        <v>-1.1216571366779999</v>
      </c>
      <c r="AH3393">
        <v>42.4426349215369</v>
      </c>
      <c r="AI3393">
        <v>91.505516250993196</v>
      </c>
      <c r="AJ3393">
        <v>96.011727445725697</v>
      </c>
      <c r="AK3393">
        <v>42.692077132043501</v>
      </c>
      <c r="AL3393">
        <v>77.475685184845304</v>
      </c>
      <c r="AM3393">
        <v>89.516007429079394</v>
      </c>
      <c r="AN3393">
        <v>0.99999996002306601</v>
      </c>
    </row>
    <row r="3394" spans="1:40" x14ac:dyDescent="0.25">
      <c r="A3394" t="str">
        <f>"20190303162847584"</f>
        <v>20190303162847584</v>
      </c>
      <c r="B3394" t="str">
        <f>"1551601727575391"</f>
        <v>1551601727575391</v>
      </c>
      <c r="C3394" t="s">
        <v>40</v>
      </c>
      <c r="D3394">
        <v>5.0307820000000003</v>
      </c>
      <c r="E3394">
        <v>0.45825290000000002</v>
      </c>
      <c r="F3394" t="s">
        <v>48</v>
      </c>
      <c r="G3394">
        <v>-248.82749999999999</v>
      </c>
      <c r="H3394" s="1">
        <v>2.9960140000000002E-6</v>
      </c>
      <c r="I3394">
        <v>218.38550000000001</v>
      </c>
      <c r="J3394">
        <v>-288.9008</v>
      </c>
      <c r="K3394">
        <v>1.121648</v>
      </c>
      <c r="L3394">
        <v>214.31110000000001</v>
      </c>
      <c r="M3394">
        <v>0.99989600000000001</v>
      </c>
      <c r="N3394">
        <v>-1.401868E-2</v>
      </c>
      <c r="O3394">
        <v>-3.4218109999999999E-3</v>
      </c>
      <c r="P3394">
        <v>0.97916199999999998</v>
      </c>
      <c r="Q3394">
        <v>0.2027833</v>
      </c>
      <c r="R3394">
        <v>-1.1003519999999999E-2</v>
      </c>
      <c r="S3394">
        <v>3.0855100000000002</v>
      </c>
      <c r="T3394">
        <v>-8.570933E-2</v>
      </c>
      <c r="U3394">
        <v>0.31126399999999999</v>
      </c>
      <c r="V3394">
        <v>7.6580140000000003E-3</v>
      </c>
      <c r="W3394">
        <v>0.21648990000000001</v>
      </c>
      <c r="X3394">
        <v>0.97625479999999998</v>
      </c>
      <c r="Y3394">
        <v>-0.103714</v>
      </c>
      <c r="Z3394">
        <v>2.2125679999999998E-3</v>
      </c>
      <c r="AA3394">
        <v>0.99460470000000001</v>
      </c>
      <c r="AB3394">
        <v>29</v>
      </c>
      <c r="AC3394">
        <v>40.073300000000003</v>
      </c>
      <c r="AD3394">
        <v>-1.121645003986</v>
      </c>
      <c r="AE3394">
        <v>4.07439999999999</v>
      </c>
      <c r="AF3394">
        <v>-4.2082497205470304</v>
      </c>
      <c r="AG3394">
        <v>-1.121645003986</v>
      </c>
      <c r="AH3394">
        <v>40.028083780093397</v>
      </c>
      <c r="AI3394">
        <v>91.596297911013593</v>
      </c>
      <c r="AJ3394">
        <v>96.001597790359597</v>
      </c>
      <c r="AK3394">
        <v>40.264313533594802</v>
      </c>
      <c r="AL3394">
        <v>77.497048574087202</v>
      </c>
      <c r="AM3394">
        <v>89.550565198369597</v>
      </c>
      <c r="AN3394">
        <v>0.99999997825173603</v>
      </c>
    </row>
    <row r="3395" spans="1:40" x14ac:dyDescent="0.25">
      <c r="A3395" t="str">
        <f>"20190303162847603"</f>
        <v>20190303162847603</v>
      </c>
      <c r="B3395" t="str">
        <f>"1551601727594912"</f>
        <v>1551601727594912</v>
      </c>
      <c r="C3395" t="s">
        <v>40</v>
      </c>
      <c r="D3395">
        <v>5.061426</v>
      </c>
      <c r="E3395">
        <v>0.45811239999999998</v>
      </c>
      <c r="F3395" t="s">
        <v>48</v>
      </c>
      <c r="G3395">
        <v>-252.22059999999999</v>
      </c>
      <c r="H3395" s="1">
        <v>-5.0495160000000001E-7</v>
      </c>
      <c r="I3395">
        <v>218.04480000000001</v>
      </c>
      <c r="J3395">
        <v>-288.64120000000003</v>
      </c>
      <c r="K3395">
        <v>1.121632</v>
      </c>
      <c r="L3395">
        <v>214.31020000000001</v>
      </c>
      <c r="M3395">
        <v>0.99989709999999998</v>
      </c>
      <c r="N3395">
        <v>-1.3940279999999999E-2</v>
      </c>
      <c r="O3395">
        <v>-3.415661E-3</v>
      </c>
      <c r="P3395">
        <v>0.97921349999999996</v>
      </c>
      <c r="Q3395">
        <v>0.20258760000000001</v>
      </c>
      <c r="R3395">
        <v>-9.9721040000000007E-3</v>
      </c>
      <c r="S3395">
        <v>3.0869450000000001</v>
      </c>
      <c r="T3395">
        <v>-9.4395999999999994E-2</v>
      </c>
      <c r="U3395">
        <v>0.31422420000000001</v>
      </c>
      <c r="V3395">
        <v>6.6324979999999997E-3</v>
      </c>
      <c r="W3395">
        <v>0.21621850000000001</v>
      </c>
      <c r="X3395">
        <v>0.97632249999999998</v>
      </c>
      <c r="Y3395">
        <v>-0.1045948</v>
      </c>
      <c r="Z3395">
        <v>2.3825890000000001E-3</v>
      </c>
      <c r="AA3395">
        <v>0.99451210000000001</v>
      </c>
      <c r="AB3395">
        <v>29</v>
      </c>
      <c r="AC3395">
        <v>36.4206</v>
      </c>
      <c r="AD3395">
        <v>-1.1216325049516001</v>
      </c>
      <c r="AE3395">
        <v>3.7345999999999999</v>
      </c>
      <c r="AF3395">
        <v>-3.8553721920758401</v>
      </c>
      <c r="AG3395">
        <v>-1.1216325049516001</v>
      </c>
      <c r="AH3395">
        <v>36.3734912499812</v>
      </c>
      <c r="AI3395">
        <v>91.756411094450002</v>
      </c>
      <c r="AJ3395">
        <v>96.050418634052804</v>
      </c>
      <c r="AK3395">
        <v>36.594437007939497</v>
      </c>
      <c r="AL3395">
        <v>77.512976505609799</v>
      </c>
      <c r="AM3395">
        <v>89.610775847774605</v>
      </c>
      <c r="AN3395">
        <v>1.0000000268891001</v>
      </c>
    </row>
    <row r="3396" spans="1:40" x14ac:dyDescent="0.25">
      <c r="A3396" t="str">
        <f>"20190303162847620"</f>
        <v>20190303162847620</v>
      </c>
      <c r="B3396" t="str">
        <f>"1551601727615409"</f>
        <v>1551601727615409</v>
      </c>
      <c r="C3396" t="s">
        <v>40</v>
      </c>
      <c r="D3396">
        <v>5.0416169999999996</v>
      </c>
      <c r="E3396">
        <v>0.4580979</v>
      </c>
      <c r="F3396" t="s">
        <v>48</v>
      </c>
      <c r="G3396">
        <v>-254.6266</v>
      </c>
      <c r="H3396" s="1">
        <v>7.8528669999999995E-7</v>
      </c>
      <c r="I3396">
        <v>217.81809999999999</v>
      </c>
      <c r="J3396">
        <v>-288.43049999999999</v>
      </c>
      <c r="K3396">
        <v>1.1216140000000001</v>
      </c>
      <c r="L3396">
        <v>214.30950000000001</v>
      </c>
      <c r="M3396">
        <v>0.99989810000000001</v>
      </c>
      <c r="N3396">
        <v>-1.3868770000000001E-2</v>
      </c>
      <c r="O3396">
        <v>-3.4111089999999998E-3</v>
      </c>
      <c r="P3396">
        <v>0.97918780000000005</v>
      </c>
      <c r="Q3396">
        <v>0.20270820000000001</v>
      </c>
      <c r="R3396">
        <v>-1.004145E-2</v>
      </c>
      <c r="S3396">
        <v>3.0880130000000001</v>
      </c>
      <c r="T3396">
        <v>-0.1018271</v>
      </c>
      <c r="U3396">
        <v>0.31846619999999998</v>
      </c>
      <c r="V3396">
        <v>6.706259E-3</v>
      </c>
      <c r="W3396">
        <v>0.21626919999999999</v>
      </c>
      <c r="X3396">
        <v>0.97631069999999998</v>
      </c>
      <c r="Y3396">
        <v>-0.1058968</v>
      </c>
      <c r="Z3396">
        <v>2.5424559999999998E-3</v>
      </c>
      <c r="AA3396">
        <v>0.99437390000000003</v>
      </c>
      <c r="AB3396">
        <v>29</v>
      </c>
      <c r="AC3396">
        <v>33.803899999999999</v>
      </c>
      <c r="AD3396">
        <v>-1.1216132147133</v>
      </c>
      <c r="AE3396">
        <v>3.5085999999999702</v>
      </c>
      <c r="AF3396">
        <v>-3.6199566726582701</v>
      </c>
      <c r="AG3396">
        <v>-1.1216132147133</v>
      </c>
      <c r="AH3396">
        <v>33.754968746866403</v>
      </c>
      <c r="AI3396">
        <v>91.892286809500703</v>
      </c>
      <c r="AJ3396">
        <v>96.121130101267099</v>
      </c>
      <c r="AK3396">
        <v>33.967043109715497</v>
      </c>
      <c r="AL3396">
        <v>77.5100003870336</v>
      </c>
      <c r="AM3396">
        <v>89.606442606843501</v>
      </c>
      <c r="AN3396">
        <v>0.99999996185645101</v>
      </c>
    </row>
    <row r="3397" spans="1:40" x14ac:dyDescent="0.25">
      <c r="A3397" t="str">
        <f>"20190303162847637"</f>
        <v>20190303162847637</v>
      </c>
      <c r="B3397" t="str">
        <f>"1551601727625170"</f>
        <v>1551601727625170</v>
      </c>
      <c r="C3397" t="s">
        <v>40</v>
      </c>
      <c r="D3397">
        <v>5.1219190000000001</v>
      </c>
      <c r="E3397">
        <v>0.45807829999999999</v>
      </c>
      <c r="F3397" t="s">
        <v>48</v>
      </c>
      <c r="G3397">
        <v>-255.89250000000001</v>
      </c>
      <c r="H3397" s="1">
        <v>1.4657030000000001E-6</v>
      </c>
      <c r="I3397">
        <v>217.6643</v>
      </c>
      <c r="J3397">
        <v>-288.2038</v>
      </c>
      <c r="K3397">
        <v>1.1215949999999999</v>
      </c>
      <c r="L3397">
        <v>214.30869999999999</v>
      </c>
      <c r="M3397">
        <v>0.99989930000000005</v>
      </c>
      <c r="N3397">
        <v>-1.377983E-2</v>
      </c>
      <c r="O3397">
        <v>-3.4091579999999998E-3</v>
      </c>
      <c r="P3397">
        <v>0.97930430000000002</v>
      </c>
      <c r="Q3397">
        <v>0.20213600000000001</v>
      </c>
      <c r="R3397">
        <v>-1.022411E-2</v>
      </c>
      <c r="S3397">
        <v>3.0890810000000002</v>
      </c>
      <c r="T3397">
        <v>-0.1064832</v>
      </c>
      <c r="U3397">
        <v>0.31849670000000002</v>
      </c>
      <c r="V3397">
        <v>6.889442E-3</v>
      </c>
      <c r="W3397">
        <v>0.21561179999999999</v>
      </c>
      <c r="X3397">
        <v>0.97645490000000001</v>
      </c>
      <c r="Y3397">
        <v>-0.1058632</v>
      </c>
      <c r="Z3397">
        <v>2.6212200000000001E-3</v>
      </c>
      <c r="AA3397">
        <v>0.99437730000000002</v>
      </c>
      <c r="AB3397">
        <v>29</v>
      </c>
      <c r="AC3397">
        <v>32.311299999999903</v>
      </c>
      <c r="AD3397">
        <v>-1.121593534297</v>
      </c>
      <c r="AE3397">
        <v>3.3555999999999999</v>
      </c>
      <c r="AF3397">
        <v>-3.46161877069187</v>
      </c>
      <c r="AG3397">
        <v>-1.121593534297</v>
      </c>
      <c r="AH3397">
        <v>32.261213586465701</v>
      </c>
      <c r="AI3397">
        <v>91.979788299803602</v>
      </c>
      <c r="AJ3397">
        <v>96.124388268568197</v>
      </c>
      <c r="AK3397">
        <v>32.465777037387198</v>
      </c>
      <c r="AL3397">
        <v>77.548577802871804</v>
      </c>
      <c r="AM3397">
        <v>89.5957525535716</v>
      </c>
      <c r="AN3397">
        <v>1.00000004222215</v>
      </c>
    </row>
    <row r="3398" spans="1:40" x14ac:dyDescent="0.25">
      <c r="A3398" t="str">
        <f>"20190303162847653"</f>
        <v>20190303162847653</v>
      </c>
      <c r="B3398" t="str">
        <f>"1551601727644688"</f>
        <v>1551601727644688</v>
      </c>
      <c r="C3398" t="s">
        <v>40</v>
      </c>
      <c r="D3398">
        <v>4.9939429999999998</v>
      </c>
      <c r="E3398">
        <v>0.4579936</v>
      </c>
      <c r="F3398" t="s">
        <v>48</v>
      </c>
      <c r="G3398">
        <v>-256.113</v>
      </c>
      <c r="H3398" s="1">
        <v>1.585211E-6</v>
      </c>
      <c r="I3398">
        <v>217.6138</v>
      </c>
      <c r="J3398">
        <v>-287.99599999999998</v>
      </c>
      <c r="K3398">
        <v>1.1215710000000001</v>
      </c>
      <c r="L3398">
        <v>214.30799999999999</v>
      </c>
      <c r="M3398">
        <v>0.99990069999999998</v>
      </c>
      <c r="N3398">
        <v>-1.367575E-2</v>
      </c>
      <c r="O3398">
        <v>-3.4062979999999999E-3</v>
      </c>
      <c r="P3398">
        <v>0.97930220000000001</v>
      </c>
      <c r="Q3398">
        <v>0.20212930000000001</v>
      </c>
      <c r="R3398">
        <v>-1.053663E-2</v>
      </c>
      <c r="S3398">
        <v>3.0890200000000001</v>
      </c>
      <c r="T3398">
        <v>-0.107963</v>
      </c>
      <c r="U3398">
        <v>0.31814579999999998</v>
      </c>
      <c r="V3398">
        <v>7.204851E-3</v>
      </c>
      <c r="W3398">
        <v>0.21550340000000001</v>
      </c>
      <c r="X3398">
        <v>0.97647660000000003</v>
      </c>
      <c r="Y3398">
        <v>-0.1057487</v>
      </c>
      <c r="Z3398">
        <v>2.6401530000000001E-3</v>
      </c>
      <c r="AA3398">
        <v>0.99438939999999998</v>
      </c>
      <c r="AB3398">
        <v>29</v>
      </c>
      <c r="AC3398">
        <v>31.8829999999999</v>
      </c>
      <c r="AD3398">
        <v>-1.1215694147890001</v>
      </c>
      <c r="AE3398">
        <v>3.3058000000000001</v>
      </c>
      <c r="AF3398">
        <v>-3.4102188213545901</v>
      </c>
      <c r="AG3398">
        <v>-1.1215694147890001</v>
      </c>
      <c r="AH3398">
        <v>31.832580590088298</v>
      </c>
      <c r="AI3398">
        <v>92.006417945863504</v>
      </c>
      <c r="AJ3398">
        <v>96.114765412365799</v>
      </c>
      <c r="AK3398">
        <v>32.034367441642701</v>
      </c>
      <c r="AL3398">
        <v>77.554938767193306</v>
      </c>
      <c r="AM3398">
        <v>89.577255549858904</v>
      </c>
      <c r="AN3398">
        <v>1.00000008781852</v>
      </c>
    </row>
    <row r="3399" spans="1:40" x14ac:dyDescent="0.25">
      <c r="A3399" t="str">
        <f>"20190303162847667"</f>
        <v>20190303162847667</v>
      </c>
      <c r="B3399" t="str">
        <f>"1551601727655425"</f>
        <v>1551601727655425</v>
      </c>
      <c r="C3399" t="s">
        <v>40</v>
      </c>
      <c r="D3399">
        <v>4.9573010000000002</v>
      </c>
      <c r="E3399">
        <v>0.4579532</v>
      </c>
      <c r="F3399" t="s">
        <v>48</v>
      </c>
      <c r="G3399">
        <v>-255.70830000000001</v>
      </c>
      <c r="H3399" s="1">
        <v>1.3690039999999901E-6</v>
      </c>
      <c r="I3399">
        <v>217.6336</v>
      </c>
      <c r="J3399">
        <v>-287.82060000000001</v>
      </c>
      <c r="K3399">
        <v>1.1215489999999999</v>
      </c>
      <c r="L3399">
        <v>214.3074</v>
      </c>
      <c r="M3399">
        <v>0.99990210000000002</v>
      </c>
      <c r="N3399">
        <v>-1.357189E-2</v>
      </c>
      <c r="O3399">
        <v>-3.4023859999999999E-3</v>
      </c>
      <c r="P3399">
        <v>0.97937879999999999</v>
      </c>
      <c r="Q3399">
        <v>0.20173530000000001</v>
      </c>
      <c r="R3399">
        <v>-1.0963290000000001E-2</v>
      </c>
      <c r="S3399">
        <v>3.088959</v>
      </c>
      <c r="T3399">
        <v>-0.10730049999999999</v>
      </c>
      <c r="U3399">
        <v>0.31816100000000003</v>
      </c>
      <c r="V3399">
        <v>7.6355809999999998E-3</v>
      </c>
      <c r="W3399">
        <v>0.2150088</v>
      </c>
      <c r="X3399">
        <v>0.97658230000000001</v>
      </c>
      <c r="Y3399">
        <v>-0.10575279999999999</v>
      </c>
      <c r="Z3399">
        <v>2.6230200000000002E-3</v>
      </c>
      <c r="AA3399">
        <v>0.99438899999999997</v>
      </c>
      <c r="AB3399">
        <v>29</v>
      </c>
      <c r="AC3399">
        <v>32.112299999999998</v>
      </c>
      <c r="AD3399">
        <v>-1.121547630996</v>
      </c>
      <c r="AE3399">
        <v>3.3262</v>
      </c>
      <c r="AF3399">
        <v>-3.43130813017881</v>
      </c>
      <c r="AG3399">
        <v>-1.121547630996</v>
      </c>
      <c r="AH3399">
        <v>32.062101474761903</v>
      </c>
      <c r="AI3399">
        <v>91.992050682643097</v>
      </c>
      <c r="AJ3399">
        <v>96.108583092960799</v>
      </c>
      <c r="AK3399">
        <v>32.264688059095697</v>
      </c>
      <c r="AL3399">
        <v>77.583956890173297</v>
      </c>
      <c r="AM3399">
        <v>89.552031968026299</v>
      </c>
      <c r="AN3399">
        <v>1.0000000374239599</v>
      </c>
    </row>
    <row r="3400" spans="1:40" x14ac:dyDescent="0.25">
      <c r="A3400" t="str">
        <f>"20190303162847682"</f>
        <v>20190303162847682</v>
      </c>
      <c r="B3400" t="str">
        <f>"1551601727675305"</f>
        <v>1551601727675305</v>
      </c>
      <c r="C3400" t="s">
        <v>40</v>
      </c>
      <c r="D3400">
        <v>5.0636260000000002</v>
      </c>
      <c r="E3400">
        <v>0.4578643</v>
      </c>
      <c r="F3400" t="s">
        <v>48</v>
      </c>
      <c r="G3400">
        <v>-255.7467</v>
      </c>
      <c r="H3400" s="1">
        <v>1.390742E-6</v>
      </c>
      <c r="I3400">
        <v>217.60319999999999</v>
      </c>
      <c r="J3400">
        <v>-287.62189999999998</v>
      </c>
      <c r="K3400">
        <v>1.1215219999999999</v>
      </c>
      <c r="L3400">
        <v>214.30670000000001</v>
      </c>
      <c r="M3400">
        <v>0.99990400000000002</v>
      </c>
      <c r="N3400">
        <v>-1.343635E-2</v>
      </c>
      <c r="O3400">
        <v>-3.3969629999999998E-3</v>
      </c>
      <c r="P3400">
        <v>0.97946880000000003</v>
      </c>
      <c r="Q3400">
        <v>0.20125190000000001</v>
      </c>
      <c r="R3400">
        <v>-1.177432E-2</v>
      </c>
      <c r="S3400">
        <v>3.088959</v>
      </c>
      <c r="T3400">
        <v>-0.1080135</v>
      </c>
      <c r="U3400">
        <v>0.31741329999999901</v>
      </c>
      <c r="V3400">
        <v>8.452289E-3</v>
      </c>
      <c r="W3400">
        <v>0.21439459999999999</v>
      </c>
      <c r="X3400">
        <v>0.97671059999999998</v>
      </c>
      <c r="Y3400">
        <v>-0.1055087</v>
      </c>
      <c r="Z3400">
        <v>2.6232349999999998E-3</v>
      </c>
      <c r="AA3400">
        <v>0.99441489999999999</v>
      </c>
      <c r="AB3400">
        <v>29</v>
      </c>
      <c r="AC3400">
        <v>31.8751999999999</v>
      </c>
      <c r="AD3400">
        <v>-1.1215206092579999</v>
      </c>
      <c r="AE3400">
        <v>3.29649999999998</v>
      </c>
      <c r="AF3400">
        <v>-3.4006043401483002</v>
      </c>
      <c r="AG3400">
        <v>-1.1215206092579999</v>
      </c>
      <c r="AH3400">
        <v>31.824835818258698</v>
      </c>
      <c r="AI3400">
        <v>92.006877111657403</v>
      </c>
      <c r="AJ3400">
        <v>96.099128738954306</v>
      </c>
      <c r="AK3400">
        <v>32.025647428496299</v>
      </c>
      <c r="AL3400">
        <v>77.619988263722703</v>
      </c>
      <c r="AM3400">
        <v>89.504184352656296</v>
      </c>
      <c r="AN3400">
        <v>1.0000000409254199</v>
      </c>
    </row>
    <row r="3401" spans="1:40" x14ac:dyDescent="0.25">
      <c r="A3401" t="str">
        <f>"20190303162847700"</f>
        <v>20190303162847700</v>
      </c>
      <c r="B3401" t="str">
        <f>"1551601727694825"</f>
        <v>1551601727694825</v>
      </c>
      <c r="C3401" t="s">
        <v>40</v>
      </c>
      <c r="D3401">
        <v>5.0378579999999999</v>
      </c>
      <c r="E3401">
        <v>0.45775759999999999</v>
      </c>
      <c r="F3401" t="s">
        <v>48</v>
      </c>
      <c r="G3401">
        <v>-256.29930000000002</v>
      </c>
      <c r="H3401" s="1">
        <v>1.6892840000000001E-6</v>
      </c>
      <c r="I3401">
        <v>217.50069999999999</v>
      </c>
      <c r="J3401">
        <v>-287.40480000000002</v>
      </c>
      <c r="K3401">
        <v>1.1214949999999999</v>
      </c>
      <c r="L3401">
        <v>214.30600000000001</v>
      </c>
      <c r="M3401">
        <v>0.99990610000000002</v>
      </c>
      <c r="N3401">
        <v>-1.3279020000000001E-2</v>
      </c>
      <c r="O3401">
        <v>-3.3903259999999999E-3</v>
      </c>
      <c r="P3401">
        <v>0.97953970000000001</v>
      </c>
      <c r="Q3401">
        <v>0.20090430000000001</v>
      </c>
      <c r="R3401">
        <v>-1.18081E-2</v>
      </c>
      <c r="S3401">
        <v>3.0893860000000002</v>
      </c>
      <c r="T3401">
        <v>-0.1106166</v>
      </c>
      <c r="U3401">
        <v>0.31501770000000001</v>
      </c>
      <c r="V3401">
        <v>8.4928550000000005E-3</v>
      </c>
      <c r="W3401">
        <v>0.2138938</v>
      </c>
      <c r="X3401">
        <v>0.97682000000000002</v>
      </c>
      <c r="Y3401">
        <v>-0.1047222</v>
      </c>
      <c r="Z3401">
        <v>2.6429499999999998E-3</v>
      </c>
      <c r="AA3401">
        <v>0.99449799999999999</v>
      </c>
      <c r="AB3401">
        <v>29</v>
      </c>
      <c r="AC3401">
        <v>31.105499999999999</v>
      </c>
      <c r="AD3401">
        <v>-1.1214933107159999</v>
      </c>
      <c r="AE3401">
        <v>3.1947000000000099</v>
      </c>
      <c r="AF3401">
        <v>-3.29590899954106</v>
      </c>
      <c r="AG3401">
        <v>-1.1214933107159999</v>
      </c>
      <c r="AH3401">
        <v>31.054541908445799</v>
      </c>
      <c r="AI3401">
        <v>92.056720527541202</v>
      </c>
      <c r="AJ3401">
        <v>96.058288670190294</v>
      </c>
      <c r="AK3401">
        <v>31.249085370977699</v>
      </c>
      <c r="AL3401">
        <v>77.649362910871403</v>
      </c>
      <c r="AM3401">
        <v>89.501860642840896</v>
      </c>
      <c r="AN3401">
        <v>0.99999999933224504</v>
      </c>
    </row>
    <row r="3402" spans="1:40" x14ac:dyDescent="0.25">
      <c r="A3402" t="str">
        <f>"20190303162847716"</f>
        <v>20190303162847716</v>
      </c>
      <c r="B3402" t="str">
        <f>"1551601727704584"</f>
        <v>1551601727704584</v>
      </c>
      <c r="C3402" t="s">
        <v>40</v>
      </c>
      <c r="D3402">
        <v>5.1688999999999998</v>
      </c>
      <c r="E3402">
        <v>0.4577639</v>
      </c>
      <c r="F3402" t="s">
        <v>48</v>
      </c>
      <c r="G3402">
        <v>-256.62880000000001</v>
      </c>
      <c r="H3402" s="1">
        <v>1.866844E-6</v>
      </c>
      <c r="I3402">
        <v>217.4502</v>
      </c>
      <c r="J3402">
        <v>-287.19139999999999</v>
      </c>
      <c r="K3402">
        <v>1.1214679999999999</v>
      </c>
      <c r="L3402">
        <v>214.30529999999999</v>
      </c>
      <c r="M3402">
        <v>0.99990840000000003</v>
      </c>
      <c r="N3402">
        <v>-1.311556E-2</v>
      </c>
      <c r="O3402">
        <v>-3.384012E-3</v>
      </c>
      <c r="P3402">
        <v>0.97952410000000001</v>
      </c>
      <c r="Q3402">
        <v>0.20096729999999999</v>
      </c>
      <c r="R3402">
        <v>-1.204611E-2</v>
      </c>
      <c r="S3402">
        <v>3.0895999999999999</v>
      </c>
      <c r="T3402">
        <v>-0.1125864</v>
      </c>
      <c r="U3402">
        <v>0.31564330000000002</v>
      </c>
      <c r="V3402">
        <v>8.7371649999999999E-3</v>
      </c>
      <c r="W3402">
        <v>0.2137974</v>
      </c>
      <c r="X3402">
        <v>0.97683889999999995</v>
      </c>
      <c r="Y3402">
        <v>-0.1049055</v>
      </c>
      <c r="Z3402">
        <v>2.6745839999999998E-3</v>
      </c>
      <c r="AA3402">
        <v>0.99447859999999999</v>
      </c>
      <c r="AB3402">
        <v>29</v>
      </c>
      <c r="AC3402">
        <v>30.5625999999999</v>
      </c>
      <c r="AD3402">
        <v>-1.1214661331559901</v>
      </c>
      <c r="AE3402">
        <v>3.1448999999999998</v>
      </c>
      <c r="AF3402">
        <v>-3.2439929524954501</v>
      </c>
      <c r="AG3402">
        <v>-1.1214661331559901</v>
      </c>
      <c r="AH3402">
        <v>30.511130264662899</v>
      </c>
      <c r="AI3402">
        <v>92.093226843655501</v>
      </c>
      <c r="AJ3402">
        <v>96.068980418134203</v>
      </c>
      <c r="AK3402">
        <v>30.703586868489602</v>
      </c>
      <c r="AL3402">
        <v>77.655016417080205</v>
      </c>
      <c r="AM3402">
        <v>89.487541568537296</v>
      </c>
      <c r="AN3402">
        <v>0.99999995142610199</v>
      </c>
    </row>
    <row r="3403" spans="1:40" x14ac:dyDescent="0.25">
      <c r="A3403" t="str">
        <f>"20190303162847740"</f>
        <v>20190303162847740</v>
      </c>
      <c r="B3403" t="str">
        <f>"1551601727734840"</f>
        <v>1551601727734840</v>
      </c>
      <c r="C3403" t="s">
        <v>40</v>
      </c>
      <c r="D3403">
        <v>5.0383839999999998</v>
      </c>
      <c r="E3403">
        <v>0.48641400000000001</v>
      </c>
      <c r="F3403" t="s">
        <v>48</v>
      </c>
      <c r="G3403">
        <v>-256.24259999999998</v>
      </c>
      <c r="H3403" s="1">
        <v>1.6610099999999999E-6</v>
      </c>
      <c r="I3403">
        <v>217.4572</v>
      </c>
      <c r="J3403">
        <v>-286.89589999999998</v>
      </c>
      <c r="K3403">
        <v>1.121437</v>
      </c>
      <c r="L3403">
        <v>214.30430000000001</v>
      </c>
      <c r="M3403">
        <v>0.99991129999999995</v>
      </c>
      <c r="N3403">
        <v>-1.288009E-2</v>
      </c>
      <c r="O3403">
        <v>-3.3760449999999998E-3</v>
      </c>
      <c r="P3403">
        <v>0.97946350000000004</v>
      </c>
      <c r="Q3403">
        <v>0.20125789999999999</v>
      </c>
      <c r="R3403">
        <v>-1.2090719999999999E-2</v>
      </c>
      <c r="S3403">
        <v>3.0895389999999998</v>
      </c>
      <c r="T3403">
        <v>-0.111953</v>
      </c>
      <c r="U3403">
        <v>0.31465149999999997</v>
      </c>
      <c r="V3403">
        <v>8.7899840000000007E-3</v>
      </c>
      <c r="W3403">
        <v>0.21385709999999999</v>
      </c>
      <c r="X3403">
        <v>0.97682539999999995</v>
      </c>
      <c r="Y3403">
        <v>-0.1045852</v>
      </c>
      <c r="Z3403">
        <v>2.6435989999999999E-3</v>
      </c>
      <c r="AA3403">
        <v>0.99451239999999996</v>
      </c>
      <c r="AB3403">
        <v>29</v>
      </c>
      <c r="AC3403">
        <v>30.653300000000002</v>
      </c>
      <c r="AD3403">
        <v>-1.12143533898999</v>
      </c>
      <c r="AE3403">
        <v>3.1528999999999798</v>
      </c>
      <c r="AF3403">
        <v>-3.2520704543418</v>
      </c>
      <c r="AG3403">
        <v>-1.12143533898999</v>
      </c>
      <c r="AH3403">
        <v>30.601950438270698</v>
      </c>
      <c r="AI3403">
        <v>92.086974136276993</v>
      </c>
      <c r="AJ3403">
        <v>96.066057753730703</v>
      </c>
      <c r="AK3403">
        <v>30.794690290469202</v>
      </c>
      <c r="AL3403">
        <v>77.651515389360299</v>
      </c>
      <c r="AM3403">
        <v>89.484436632858007</v>
      </c>
      <c r="AN3403">
        <v>0.999999992562145</v>
      </c>
    </row>
    <row r="3404" spans="1:40" x14ac:dyDescent="0.25">
      <c r="A3404" t="str">
        <f>"20190303162847762"</f>
        <v>20190303162847762</v>
      </c>
      <c r="B3404" t="str">
        <f>"1551601727755336"</f>
        <v>1551601727755336</v>
      </c>
      <c r="C3404" t="s">
        <v>40</v>
      </c>
      <c r="D3404">
        <v>5.0907859999999996</v>
      </c>
      <c r="E3404">
        <v>0.51456930000000001</v>
      </c>
      <c r="F3404" t="s">
        <v>48</v>
      </c>
      <c r="G3404">
        <v>-275.70510000000002</v>
      </c>
      <c r="H3404" s="1">
        <v>1.4986769999999999E-6</v>
      </c>
      <c r="I3404">
        <v>214.62799999999999</v>
      </c>
      <c r="J3404">
        <v>-286.60309999999998</v>
      </c>
      <c r="K3404">
        <v>1.1214010000000001</v>
      </c>
      <c r="L3404">
        <v>214.30330000000001</v>
      </c>
      <c r="M3404">
        <v>0.99991439999999998</v>
      </c>
      <c r="N3404">
        <v>-1.264506E-2</v>
      </c>
      <c r="O3404">
        <v>-3.3695320000000002E-3</v>
      </c>
      <c r="P3404">
        <v>0.97933590000000004</v>
      </c>
      <c r="Q3404">
        <v>0.2019204</v>
      </c>
      <c r="R3404">
        <v>-1.138722E-2</v>
      </c>
      <c r="S3404">
        <v>3.1284480000000001</v>
      </c>
      <c r="T3404">
        <v>-0.31350420000000001</v>
      </c>
      <c r="U3404">
        <v>9.0484620000000002E-2</v>
      </c>
      <c r="V3404">
        <v>8.0928949999999993E-3</v>
      </c>
      <c r="W3404">
        <v>0.21428829999999999</v>
      </c>
      <c r="X3404">
        <v>0.97673690000000002</v>
      </c>
      <c r="Y3404">
        <v>-3.2085469999999998E-2</v>
      </c>
      <c r="Z3404">
        <v>2.1010349999999998E-3</v>
      </c>
      <c r="AA3404">
        <v>0.99948289999999995</v>
      </c>
      <c r="AB3404">
        <v>29</v>
      </c>
      <c r="AC3404">
        <v>10.8979999999999</v>
      </c>
      <c r="AD3404">
        <v>-1.121399501323</v>
      </c>
      <c r="AE3404">
        <v>0.32469999999997801</v>
      </c>
      <c r="AF3404">
        <v>-0.35763881516224999</v>
      </c>
      <c r="AG3404">
        <v>-1.121399501323</v>
      </c>
      <c r="AH3404">
        <v>10.7827737376076</v>
      </c>
      <c r="AI3404">
        <v>95.934129122633706</v>
      </c>
      <c r="AJ3404">
        <v>91.899667571507393</v>
      </c>
      <c r="AK3404">
        <v>10.8468268097226</v>
      </c>
      <c r="AL3404">
        <v>77.626222847311595</v>
      </c>
      <c r="AM3404">
        <v>89.525278386696797</v>
      </c>
      <c r="AN3404">
        <v>0.99999997114398997</v>
      </c>
    </row>
    <row r="3405" spans="1:40" x14ac:dyDescent="0.25">
      <c r="A3405" t="str">
        <f>"20190303162847784"</f>
        <v>20190303162847784</v>
      </c>
      <c r="B3405" t="str">
        <f>"1551601727774506"</f>
        <v>1551601727774506</v>
      </c>
      <c r="C3405" t="s">
        <v>40</v>
      </c>
      <c r="D3405">
        <v>5.0786369999999996</v>
      </c>
      <c r="E3405">
        <v>0.51679059999999999</v>
      </c>
      <c r="F3405" t="s">
        <v>44</v>
      </c>
      <c r="G3405">
        <v>-285.89229999999998</v>
      </c>
      <c r="H3405">
        <v>0.96731509999999998</v>
      </c>
      <c r="I3405">
        <v>214.27539999999999</v>
      </c>
      <c r="J3405">
        <v>-286.32490000000001</v>
      </c>
      <c r="K3405">
        <v>1.1213799999999901</v>
      </c>
      <c r="L3405">
        <v>214.30240000000001</v>
      </c>
      <c r="M3405">
        <v>0.9999171</v>
      </c>
      <c r="N3405">
        <v>-1.242762E-2</v>
      </c>
      <c r="O3405">
        <v>-3.363394E-3</v>
      </c>
      <c r="P3405">
        <v>0.97931579999999996</v>
      </c>
      <c r="Q3405">
        <v>0.20205139999999999</v>
      </c>
      <c r="R3405">
        <v>-1.0771930000000001E-2</v>
      </c>
      <c r="S3405">
        <v>3.2051090000000002</v>
      </c>
      <c r="T3405">
        <v>-0.69491610000000004</v>
      </c>
      <c r="U3405">
        <v>-0.124588</v>
      </c>
      <c r="V3405">
        <v>7.4833909999999998E-3</v>
      </c>
      <c r="W3405">
        <v>0.2142068</v>
      </c>
      <c r="X3405">
        <v>0.97675970000000001</v>
      </c>
      <c r="Y3405">
        <v>3.4698109999999997E-2</v>
      </c>
      <c r="Z3405">
        <v>-3.256049E-3</v>
      </c>
      <c r="AA3405">
        <v>0.99939250000000002</v>
      </c>
      <c r="AB3405">
        <v>29</v>
      </c>
      <c r="AC3405">
        <v>0.43260000000003601</v>
      </c>
      <c r="AD3405">
        <v>-0.15406489999999901</v>
      </c>
      <c r="AE3405">
        <v>-2.7000000000015199E-2</v>
      </c>
      <c r="AF3405">
        <v>2.2679384011907701E-2</v>
      </c>
      <c r="AG3405">
        <v>-0.15406489999999901</v>
      </c>
      <c r="AH3405">
        <v>0.38415381551100602</v>
      </c>
      <c r="AI3405">
        <v>111.81884031987001</v>
      </c>
      <c r="AJ3405">
        <v>86.621336550856597</v>
      </c>
      <c r="AK3405">
        <v>0.41451719125126002</v>
      </c>
      <c r="AL3405">
        <v>77.631004238527098</v>
      </c>
      <c r="AM3405">
        <v>89.561040108607401</v>
      </c>
      <c r="AN3405">
        <v>1.00000003292559</v>
      </c>
    </row>
    <row r="3406" spans="1:40" x14ac:dyDescent="0.25">
      <c r="A3406" t="str">
        <f>"20190303162847804"</f>
        <v>20190303162847804</v>
      </c>
      <c r="B3406" t="str">
        <f>"1551601727795002"</f>
        <v>1551601727795002</v>
      </c>
      <c r="C3406" t="s">
        <v>40</v>
      </c>
      <c r="D3406">
        <v>5.0665990000000001</v>
      </c>
      <c r="E3406">
        <v>0.51709870000000002</v>
      </c>
      <c r="F3406" t="s">
        <v>44</v>
      </c>
      <c r="G3406">
        <v>-285.4058</v>
      </c>
      <c r="H3406">
        <v>0.90321549999999995</v>
      </c>
      <c r="I3406">
        <v>214.26259999999999</v>
      </c>
      <c r="J3406">
        <v>-286.04640000000001</v>
      </c>
      <c r="K3406">
        <v>1.1213630000000001</v>
      </c>
      <c r="L3406">
        <v>214.3014</v>
      </c>
      <c r="M3406">
        <v>0.99991980000000003</v>
      </c>
      <c r="N3406">
        <v>-1.221803E-2</v>
      </c>
      <c r="O3406">
        <v>-3.357329E-3</v>
      </c>
      <c r="P3406">
        <v>0.97916340000000002</v>
      </c>
      <c r="Q3406">
        <v>0.20281740000000001</v>
      </c>
      <c r="R3406">
        <v>-1.022003E-2</v>
      </c>
      <c r="S3406">
        <v>3.2195429999999998</v>
      </c>
      <c r="T3406">
        <v>-0.76425600000000005</v>
      </c>
      <c r="U3406">
        <v>-0.13873289999999999</v>
      </c>
      <c r="V3406">
        <v>6.9376189999999999E-3</v>
      </c>
      <c r="W3406">
        <v>0.21476619999999999</v>
      </c>
      <c r="X3406">
        <v>0.97664090000000003</v>
      </c>
      <c r="Y3406">
        <v>3.8651089999999999E-2</v>
      </c>
      <c r="Z3406">
        <v>-4.0170559999999998E-3</v>
      </c>
      <c r="AA3406">
        <v>0.99924469999999999</v>
      </c>
      <c r="AB3406">
        <v>29</v>
      </c>
      <c r="AC3406">
        <v>0.64060000000000605</v>
      </c>
      <c r="AD3406">
        <v>-0.21814749999999899</v>
      </c>
      <c r="AE3406">
        <v>-3.8800000000009001E-2</v>
      </c>
      <c r="AF3406">
        <v>3.2853041067223199E-2</v>
      </c>
      <c r="AG3406">
        <v>-0.21814749999999899</v>
      </c>
      <c r="AH3406">
        <v>0.57436403851670503</v>
      </c>
      <c r="AI3406">
        <v>110.766088175715</v>
      </c>
      <c r="AJ3406">
        <v>86.726306560664099</v>
      </c>
      <c r="AK3406">
        <v>0.61527368122229398</v>
      </c>
      <c r="AL3406">
        <v>77.598189483306996</v>
      </c>
      <c r="AM3406">
        <v>89.5930033210511</v>
      </c>
      <c r="AN3406">
        <v>1.0000000493863099</v>
      </c>
    </row>
    <row r="3407" spans="1:40" x14ac:dyDescent="0.25">
      <c r="A3407" t="str">
        <f>"20190303162847824"</f>
        <v>20190303162847824</v>
      </c>
      <c r="B3407" t="str">
        <f>"1551601727815498"</f>
        <v>1551601727815498</v>
      </c>
      <c r="C3407" t="s">
        <v>40</v>
      </c>
      <c r="D3407">
        <v>5.0186789999999997</v>
      </c>
      <c r="E3407">
        <v>0.51705219999999996</v>
      </c>
      <c r="F3407" t="s">
        <v>44</v>
      </c>
      <c r="G3407">
        <v>-285.14699999999999</v>
      </c>
      <c r="H3407">
        <v>0.90323699999999996</v>
      </c>
      <c r="I3407">
        <v>214.26259999999999</v>
      </c>
      <c r="J3407">
        <v>-285.79539999999997</v>
      </c>
      <c r="K3407">
        <v>1.121343</v>
      </c>
      <c r="L3407">
        <v>214.3006</v>
      </c>
      <c r="M3407">
        <v>0.99992190000000003</v>
      </c>
      <c r="N3407">
        <v>-1.203974E-2</v>
      </c>
      <c r="O3407">
        <v>-3.3512419999999999E-3</v>
      </c>
      <c r="P3407">
        <v>0.97908439999999997</v>
      </c>
      <c r="Q3407">
        <v>0.2031983</v>
      </c>
      <c r="R3407">
        <v>-1.021406E-2</v>
      </c>
      <c r="S3407">
        <v>3.2244259999999998</v>
      </c>
      <c r="T3407">
        <v>-0.78206999999999904</v>
      </c>
      <c r="U3407">
        <v>-0.13821410000000001</v>
      </c>
      <c r="V3407">
        <v>6.9380479999999996E-3</v>
      </c>
      <c r="W3407">
        <v>0.214972</v>
      </c>
      <c r="X3407">
        <v>0.97659560000000001</v>
      </c>
      <c r="Y3407">
        <v>3.8396260000000001E-2</v>
      </c>
      <c r="Z3407">
        <v>-4.061523E-3</v>
      </c>
      <c r="AA3407">
        <v>0.99925430000000004</v>
      </c>
      <c r="AB3407">
        <v>29</v>
      </c>
      <c r="AC3407">
        <v>0.64839999999997999</v>
      </c>
      <c r="AD3407">
        <v>-0.218105999999999</v>
      </c>
      <c r="AE3407">
        <v>-3.80000000000109E-2</v>
      </c>
      <c r="AF3407">
        <v>3.2196198173359898E-2</v>
      </c>
      <c r="AG3407">
        <v>-0.218105999999999</v>
      </c>
      <c r="AH3407">
        <v>0.58280577088080199</v>
      </c>
      <c r="AI3407">
        <v>110.48894147541201</v>
      </c>
      <c r="AJ3407">
        <v>86.837997818721703</v>
      </c>
      <c r="AK3407">
        <v>0.62311266155069001</v>
      </c>
      <c r="AL3407">
        <v>77.586115786531806</v>
      </c>
      <c r="AM3407">
        <v>89.592959275206198</v>
      </c>
      <c r="AN3407">
        <v>1.0000000316166999</v>
      </c>
    </row>
    <row r="3408" spans="1:40" x14ac:dyDescent="0.25">
      <c r="A3408" t="str">
        <f>"20190303162847837"</f>
        <v>20190303162847837</v>
      </c>
      <c r="B3408" t="str">
        <f>"1551601727835019"</f>
        <v>1551601727835019</v>
      </c>
      <c r="C3408" t="s">
        <v>40</v>
      </c>
      <c r="D3408">
        <v>5.1064449999999999</v>
      </c>
      <c r="E3408">
        <v>0.51707599999999998</v>
      </c>
      <c r="F3408" t="s">
        <v>44</v>
      </c>
      <c r="G3408">
        <v>-284.88940000000002</v>
      </c>
      <c r="H3408">
        <v>0.89968799999999904</v>
      </c>
      <c r="I3408">
        <v>214.26220000000001</v>
      </c>
      <c r="J3408">
        <v>-285.61009999999999</v>
      </c>
      <c r="K3408">
        <v>1.121332</v>
      </c>
      <c r="L3408">
        <v>214.3</v>
      </c>
      <c r="M3408">
        <v>0.99992360000000002</v>
      </c>
      <c r="N3408">
        <v>-1.1915149999999999E-2</v>
      </c>
      <c r="O3408">
        <v>-3.3468030000000002E-3</v>
      </c>
      <c r="P3408">
        <v>0.97895410000000005</v>
      </c>
      <c r="Q3408">
        <v>0.20382110000000001</v>
      </c>
      <c r="R3408">
        <v>-1.0303629999999999E-2</v>
      </c>
      <c r="S3408">
        <v>3.2265009999999998</v>
      </c>
      <c r="T3408">
        <v>-0.78945120000000002</v>
      </c>
      <c r="U3408">
        <v>-0.13638310000000001</v>
      </c>
      <c r="V3408">
        <v>7.0324690000000004E-3</v>
      </c>
      <c r="W3408">
        <v>0.2154712</v>
      </c>
      <c r="X3408">
        <v>0.97648489999999999</v>
      </c>
      <c r="Y3408">
        <v>3.7807630000000002E-2</v>
      </c>
      <c r="Z3408">
        <v>-4.0176259999999998E-3</v>
      </c>
      <c r="AA3408">
        <v>0.99927690000000002</v>
      </c>
      <c r="AB3408">
        <v>29</v>
      </c>
      <c r="AC3408">
        <v>0.72069999999996504</v>
      </c>
      <c r="AD3408">
        <v>-0.22164400000000001</v>
      </c>
      <c r="AE3408">
        <v>-3.7800000000004198E-2</v>
      </c>
      <c r="AF3408">
        <v>3.2337464349282002E-2</v>
      </c>
      <c r="AG3408">
        <v>-0.22164400000000001</v>
      </c>
      <c r="AH3408">
        <v>0.65869363068699804</v>
      </c>
      <c r="AI3408">
        <v>108.576750659089</v>
      </c>
      <c r="AJ3408">
        <v>87.189415871121</v>
      </c>
      <c r="AK3408">
        <v>0.69573635340131501</v>
      </c>
      <c r="AL3408">
        <v>77.556827305791003</v>
      </c>
      <c r="AM3408">
        <v>89.587373212521996</v>
      </c>
      <c r="AN3408">
        <v>1.00000002678884</v>
      </c>
    </row>
    <row r="3409" spans="1:40" x14ac:dyDescent="0.25">
      <c r="A3409" t="str">
        <f>"20190303162847861"</f>
        <v>20190303162847861</v>
      </c>
      <c r="B3409" t="str">
        <f>"1551601727854538"</f>
        <v>1551601727854538</v>
      </c>
      <c r="C3409" t="s">
        <v>40</v>
      </c>
      <c r="D3409">
        <v>5.1149319999999996</v>
      </c>
      <c r="E3409">
        <v>0.51735279999999995</v>
      </c>
      <c r="F3409" t="s">
        <v>44</v>
      </c>
      <c r="G3409">
        <v>-284.8707</v>
      </c>
      <c r="H3409">
        <v>0.94039910000000004</v>
      </c>
      <c r="I3409">
        <v>214.26859999999999</v>
      </c>
      <c r="J3409">
        <v>-285.31009999999998</v>
      </c>
      <c r="K3409">
        <v>1.121319</v>
      </c>
      <c r="L3409">
        <v>214.29900000000001</v>
      </c>
      <c r="M3409">
        <v>0.99992570000000003</v>
      </c>
      <c r="N3409">
        <v>-1.1724790000000001E-2</v>
      </c>
      <c r="O3409">
        <v>-3.3387669999999999E-3</v>
      </c>
      <c r="P3409">
        <v>0.97893459999999999</v>
      </c>
      <c r="Q3409">
        <v>0.20388419999999999</v>
      </c>
      <c r="R3409">
        <v>-1.088134E-2</v>
      </c>
      <c r="S3409">
        <v>3.227509</v>
      </c>
      <c r="T3409">
        <v>-0.78986299999999998</v>
      </c>
      <c r="U3409">
        <v>-0.13638310000000001</v>
      </c>
      <c r="V3409">
        <v>7.6182380000000003E-3</v>
      </c>
      <c r="W3409">
        <v>0.21534780000000001</v>
      </c>
      <c r="X3409">
        <v>0.97650769999999998</v>
      </c>
      <c r="Y3409">
        <v>3.7803040000000003E-2</v>
      </c>
      <c r="Z3409">
        <v>-4.0153680000000001E-3</v>
      </c>
      <c r="AA3409">
        <v>0.99927710000000003</v>
      </c>
      <c r="AB3409">
        <v>29</v>
      </c>
      <c r="AC3409">
        <v>0.43939999999997698</v>
      </c>
      <c r="AD3409">
        <v>-0.180919899999999</v>
      </c>
      <c r="AE3409">
        <v>-3.0400000000014402E-2</v>
      </c>
      <c r="AF3409">
        <v>2.47557656419179E-2</v>
      </c>
      <c r="AG3409">
        <v>-0.180919899999999</v>
      </c>
      <c r="AH3409">
        <v>0.376050104238142</v>
      </c>
      <c r="AI3409">
        <v>115.64411280665701</v>
      </c>
      <c r="AJ3409">
        <v>86.233594409051804</v>
      </c>
      <c r="AK3409">
        <v>0.41804131260683502</v>
      </c>
      <c r="AL3409">
        <v>77.564067244614805</v>
      </c>
      <c r="AM3409">
        <v>89.553015271115299</v>
      </c>
      <c r="AN3409">
        <v>1.0000000003371701</v>
      </c>
    </row>
    <row r="3410" spans="1:40" x14ac:dyDescent="0.25">
      <c r="A3410" t="str">
        <f>"20190303162847882"</f>
        <v>20190303162847882</v>
      </c>
      <c r="B3410" t="str">
        <f>"1551601727875034"</f>
        <v>1551601727875034</v>
      </c>
      <c r="C3410" t="s">
        <v>40</v>
      </c>
      <c r="D3410">
        <v>5.0817100000000002</v>
      </c>
      <c r="E3410">
        <v>0.51766880000000004</v>
      </c>
      <c r="F3410" t="s">
        <v>44</v>
      </c>
      <c r="G3410">
        <v>-284.60719999999998</v>
      </c>
      <c r="H3410">
        <v>0.9494416</v>
      </c>
      <c r="I3410">
        <v>214.268</v>
      </c>
      <c r="J3410">
        <v>-285.03309999999999</v>
      </c>
      <c r="K3410">
        <v>1.121294</v>
      </c>
      <c r="L3410">
        <v>214.29810000000001</v>
      </c>
      <c r="M3410">
        <v>0.99992760000000003</v>
      </c>
      <c r="N3410">
        <v>-1.1566130000000001E-2</v>
      </c>
      <c r="O3410">
        <v>-3.331409E-3</v>
      </c>
      <c r="P3410">
        <v>0.97886320000000004</v>
      </c>
      <c r="Q3410">
        <v>0.20417930000000001</v>
      </c>
      <c r="R3410">
        <v>-1.174795E-2</v>
      </c>
      <c r="S3410">
        <v>3.2273559999999999</v>
      </c>
      <c r="T3410">
        <v>-0.78923669999999901</v>
      </c>
      <c r="U3410">
        <v>-0.14172360000000001</v>
      </c>
      <c r="V3410">
        <v>8.4921449999999996E-3</v>
      </c>
      <c r="W3410">
        <v>0.2154875</v>
      </c>
      <c r="X3410">
        <v>0.9764697</v>
      </c>
      <c r="Y3410">
        <v>3.9415440000000003E-2</v>
      </c>
      <c r="Z3410">
        <v>-4.2143149999999997E-3</v>
      </c>
      <c r="AA3410">
        <v>0.99921400000000005</v>
      </c>
      <c r="AB3410">
        <v>29</v>
      </c>
      <c r="AC3410">
        <v>0.42590000000001199</v>
      </c>
      <c r="AD3410">
        <v>-0.17185239999999999</v>
      </c>
      <c r="AE3410">
        <v>-3.0100000000004401E-2</v>
      </c>
      <c r="AF3410">
        <v>2.4682214797083098E-2</v>
      </c>
      <c r="AG3410">
        <v>-0.17185239999999999</v>
      </c>
      <c r="AH3410">
        <v>0.36660549095588202</v>
      </c>
      <c r="AI3410">
        <v>115.065856356168</v>
      </c>
      <c r="AJ3410">
        <v>86.1482961823111</v>
      </c>
      <c r="AK3410">
        <v>0.40563782505093399</v>
      </c>
      <c r="AL3410">
        <v>77.555870921458407</v>
      </c>
      <c r="AM3410">
        <v>89.501723605826598</v>
      </c>
      <c r="AN3410">
        <v>1.0000000271005201</v>
      </c>
    </row>
    <row r="3411" spans="1:40" x14ac:dyDescent="0.25">
      <c r="A3411" t="str">
        <f>"20190303162847906"</f>
        <v>20190303162847906</v>
      </c>
      <c r="B3411" t="str">
        <f>"1551601727894554"</f>
        <v>1551601727894554</v>
      </c>
      <c r="C3411" t="s">
        <v>40</v>
      </c>
      <c r="D3411">
        <v>5.1322000000000001</v>
      </c>
      <c r="E3411">
        <v>0.51782600000000001</v>
      </c>
      <c r="F3411" t="s">
        <v>44</v>
      </c>
      <c r="G3411">
        <v>-284.34570000000002</v>
      </c>
      <c r="H3411">
        <v>0.95361819999999997</v>
      </c>
      <c r="I3411">
        <v>214.26660000000001</v>
      </c>
      <c r="J3411">
        <v>-284.74759999999998</v>
      </c>
      <c r="K3411">
        <v>1.121283</v>
      </c>
      <c r="L3411">
        <v>214.2971</v>
      </c>
      <c r="M3411">
        <v>0.99992930000000002</v>
      </c>
      <c r="N3411">
        <v>-1.1420929999999999E-2</v>
      </c>
      <c r="O3411">
        <v>-3.323898E-3</v>
      </c>
      <c r="P3411">
        <v>0.97889199999999998</v>
      </c>
      <c r="Q3411">
        <v>0.2039984</v>
      </c>
      <c r="R3411">
        <v>-1.2460840000000001E-2</v>
      </c>
      <c r="S3411">
        <v>3.2272340000000002</v>
      </c>
      <c r="T3411">
        <v>-0.78716949999999997</v>
      </c>
      <c r="U3411">
        <v>-0.14733889999999999</v>
      </c>
      <c r="V3411">
        <v>9.2121819999999993E-3</v>
      </c>
      <c r="W3411">
        <v>0.21516479999999999</v>
      </c>
      <c r="X3411">
        <v>0.97653429999999997</v>
      </c>
      <c r="Y3411">
        <v>4.111385E-2</v>
      </c>
      <c r="Z3411">
        <v>-4.4164909999999998E-3</v>
      </c>
      <c r="AA3411">
        <v>0.9991447</v>
      </c>
      <c r="AB3411">
        <v>29</v>
      </c>
      <c r="AC3411">
        <v>0.40189999999995502</v>
      </c>
      <c r="AD3411">
        <v>-0.1676648</v>
      </c>
      <c r="AE3411">
        <v>-3.04999999999893E-2</v>
      </c>
      <c r="AF3411">
        <v>2.4861725093223999E-2</v>
      </c>
      <c r="AG3411">
        <v>-0.1676648</v>
      </c>
      <c r="AH3411">
        <v>0.34269775558593002</v>
      </c>
      <c r="AI3411">
        <v>116.010865227937</v>
      </c>
      <c r="AJ3411">
        <v>85.8506272031495</v>
      </c>
      <c r="AK3411">
        <v>0.38232360928575199</v>
      </c>
      <c r="AL3411">
        <v>77.5748040305687</v>
      </c>
      <c r="AM3411">
        <v>89.459513616316897</v>
      </c>
      <c r="AN3411">
        <v>0.99999999726636501</v>
      </c>
    </row>
    <row r="3412" spans="1:40" x14ac:dyDescent="0.25">
      <c r="A3412" t="str">
        <f>"20190303162847928"</f>
        <v>20190303162847928</v>
      </c>
      <c r="B3412" t="str">
        <f>"1551601727915050"</f>
        <v>1551601727915050</v>
      </c>
      <c r="C3412" t="s">
        <v>40</v>
      </c>
      <c r="D3412">
        <v>5.1408909999999999</v>
      </c>
      <c r="E3412">
        <v>0.51793509999999998</v>
      </c>
      <c r="F3412" t="s">
        <v>44</v>
      </c>
      <c r="G3412">
        <v>-283.84989999999999</v>
      </c>
      <c r="H3412">
        <v>0.90222619999999998</v>
      </c>
      <c r="I3412">
        <v>214.2552</v>
      </c>
      <c r="J3412">
        <v>-284.4522</v>
      </c>
      <c r="K3412">
        <v>1.121275</v>
      </c>
      <c r="L3412">
        <v>214.2962</v>
      </c>
      <c r="M3412">
        <v>0.99993089999999996</v>
      </c>
      <c r="N3412">
        <v>-1.128841E-2</v>
      </c>
      <c r="O3412">
        <v>-3.3165880000000001E-3</v>
      </c>
      <c r="P3412">
        <v>0.97893269999999999</v>
      </c>
      <c r="Q3412">
        <v>0.2037756</v>
      </c>
      <c r="R3412">
        <v>-1.28965E-2</v>
      </c>
      <c r="S3412">
        <v>3.2268979999999998</v>
      </c>
      <c r="T3412">
        <v>-0.78749199999999997</v>
      </c>
      <c r="U3412">
        <v>-0.1500244</v>
      </c>
      <c r="V3412">
        <v>9.6549719999999995E-3</v>
      </c>
      <c r="W3412">
        <v>0.21481320000000001</v>
      </c>
      <c r="X3412">
        <v>0.97660740000000001</v>
      </c>
      <c r="Y3412">
        <v>4.1930080000000002E-2</v>
      </c>
      <c r="Z3412">
        <v>-4.5197470000000002E-3</v>
      </c>
      <c r="AA3412">
        <v>0.99911030000000001</v>
      </c>
      <c r="AB3412">
        <v>29</v>
      </c>
      <c r="AC3412">
        <v>0.60230000000001305</v>
      </c>
      <c r="AD3412">
        <v>-0.21904879999999999</v>
      </c>
      <c r="AE3412">
        <v>-4.0999999999996803E-2</v>
      </c>
      <c r="AF3412">
        <v>3.4464525800514803E-2</v>
      </c>
      <c r="AG3412">
        <v>-0.21904879999999999</v>
      </c>
      <c r="AH3412">
        <v>0.53234503645246201</v>
      </c>
      <c r="AI3412">
        <v>112.324002439176</v>
      </c>
      <c r="AJ3412">
        <v>86.295786041810501</v>
      </c>
      <c r="AK3412">
        <v>0.57668138356953003</v>
      </c>
      <c r="AL3412">
        <v>77.595431247551005</v>
      </c>
      <c r="AM3412">
        <v>89.433578810175305</v>
      </c>
      <c r="AN3412">
        <v>0.99999997155665898</v>
      </c>
    </row>
    <row r="3413" spans="1:40" x14ac:dyDescent="0.25">
      <c r="A3413" t="str">
        <f>"20190303162847952"</f>
        <v>20190303162847952</v>
      </c>
      <c r="B3413" t="str">
        <f>"1551601727945306"</f>
        <v>1551601727945306</v>
      </c>
      <c r="C3413" t="s">
        <v>40</v>
      </c>
      <c r="D3413">
        <v>5.1522779999999999</v>
      </c>
      <c r="E3413">
        <v>0.51803180000000004</v>
      </c>
      <c r="F3413" t="s">
        <v>44</v>
      </c>
      <c r="G3413">
        <v>-283.58609999999999</v>
      </c>
      <c r="H3413">
        <v>0.9100395</v>
      </c>
      <c r="I3413">
        <v>214.255</v>
      </c>
      <c r="J3413">
        <v>-284.14179999999999</v>
      </c>
      <c r="K3413">
        <v>1.121267</v>
      </c>
      <c r="L3413">
        <v>214.29509999999999</v>
      </c>
      <c r="M3413">
        <v>0.99993220000000005</v>
      </c>
      <c r="N3413">
        <v>-1.116632E-2</v>
      </c>
      <c r="O3413">
        <v>-3.3092260000000002E-3</v>
      </c>
      <c r="P3413">
        <v>0.97882239999999998</v>
      </c>
      <c r="Q3413">
        <v>0.2042842</v>
      </c>
      <c r="R3413">
        <v>-1.3232519999999999E-2</v>
      </c>
      <c r="S3413">
        <v>3.2263489999999999</v>
      </c>
      <c r="T3413">
        <v>-0.78691420000000001</v>
      </c>
      <c r="U3413">
        <v>-0.1524353</v>
      </c>
      <c r="V3413">
        <v>9.9984710000000001E-3</v>
      </c>
      <c r="W3413">
        <v>0.21520120000000001</v>
      </c>
      <c r="X3413">
        <v>0.97651860000000001</v>
      </c>
      <c r="Y3413">
        <v>4.2669489999999997E-2</v>
      </c>
      <c r="Z3413">
        <v>-4.6090530000000001E-3</v>
      </c>
      <c r="AA3413">
        <v>0.99907860000000004</v>
      </c>
      <c r="AB3413">
        <v>29</v>
      </c>
      <c r="AC3413">
        <v>0.55570000000000097</v>
      </c>
      <c r="AD3413">
        <v>-0.21122750000000001</v>
      </c>
      <c r="AE3413">
        <v>-4.0099999999995299E-2</v>
      </c>
      <c r="AF3413">
        <v>3.3452422951448998E-2</v>
      </c>
      <c r="AG3413">
        <v>-0.21122750000000001</v>
      </c>
      <c r="AH3413">
        <v>0.48597738677017799</v>
      </c>
      <c r="AI3413">
        <v>113.44245271882301</v>
      </c>
      <c r="AJ3413">
        <v>86.062236632090901</v>
      </c>
      <c r="AK3413">
        <v>0.53095210877210397</v>
      </c>
      <c r="AL3413">
        <v>77.572669113935106</v>
      </c>
      <c r="AM3413">
        <v>89.413375052762404</v>
      </c>
      <c r="AN3413">
        <v>1.0000000510248599</v>
      </c>
    </row>
    <row r="3414" spans="1:40" x14ac:dyDescent="0.25">
      <c r="A3414" t="str">
        <f>"20190303162847973"</f>
        <v>20190303162847973</v>
      </c>
      <c r="B3414" t="str">
        <f>"1551601727964825"</f>
        <v>1551601727964825</v>
      </c>
      <c r="C3414" t="s">
        <v>40</v>
      </c>
      <c r="D3414">
        <v>5.1231949999999999</v>
      </c>
      <c r="E3414">
        <v>0.51812799999999903</v>
      </c>
      <c r="F3414" t="s">
        <v>44</v>
      </c>
      <c r="G3414">
        <v>-283.32060000000001</v>
      </c>
      <c r="H3414">
        <v>0.92119439999999997</v>
      </c>
      <c r="I3414">
        <v>214.25540000000001</v>
      </c>
      <c r="J3414">
        <v>-283.86439999999999</v>
      </c>
      <c r="K3414">
        <v>1.1212610000000001</v>
      </c>
      <c r="L3414">
        <v>214.29419999999999</v>
      </c>
      <c r="M3414">
        <v>0.99993319999999997</v>
      </c>
      <c r="N3414">
        <v>-1.107055E-2</v>
      </c>
      <c r="O3414">
        <v>-3.3023729999999999E-3</v>
      </c>
      <c r="P3414">
        <v>0.97881309999999999</v>
      </c>
      <c r="Q3414">
        <v>0.20432139999999999</v>
      </c>
      <c r="R3414">
        <v>-1.3327530000000001E-2</v>
      </c>
      <c r="S3414">
        <v>3.2268680000000001</v>
      </c>
      <c r="T3414">
        <v>-0.78606929999999997</v>
      </c>
      <c r="U3414">
        <v>-0.1549835</v>
      </c>
      <c r="V3414">
        <v>1.010015E-2</v>
      </c>
      <c r="W3414">
        <v>0.21514520000000001</v>
      </c>
      <c r="X3414">
        <v>0.9765298</v>
      </c>
      <c r="Y3414">
        <v>4.3435849999999998E-2</v>
      </c>
      <c r="Z3414">
        <v>-4.6992170000000003E-3</v>
      </c>
      <c r="AA3414">
        <v>0.99904519999999997</v>
      </c>
      <c r="AB3414">
        <v>29</v>
      </c>
      <c r="AC3414">
        <v>0.54379999999997597</v>
      </c>
      <c r="AD3414">
        <v>-0.20006660000000001</v>
      </c>
      <c r="AE3414">
        <v>-3.87999999999806E-2</v>
      </c>
      <c r="AF3414">
        <v>3.2612038880398403E-2</v>
      </c>
      <c r="AG3414">
        <v>-0.20006660000000001</v>
      </c>
      <c r="AH3414">
        <v>0.479369308643178</v>
      </c>
      <c r="AI3414">
        <v>112.606421601039</v>
      </c>
      <c r="AJ3414">
        <v>86.108099819632201</v>
      </c>
      <c r="AK3414">
        <v>0.52046625595184903</v>
      </c>
      <c r="AL3414">
        <v>77.575953491417707</v>
      </c>
      <c r="AM3414">
        <v>89.407416616135905</v>
      </c>
      <c r="AN3414">
        <v>0.99999996020055004</v>
      </c>
    </row>
    <row r="3415" spans="1:40" x14ac:dyDescent="0.25">
      <c r="A3415" t="str">
        <f>"20190303162847994"</f>
        <v>20190303162847994</v>
      </c>
      <c r="B3415" t="str">
        <f>"1551601727985322"</f>
        <v>1551601727985322</v>
      </c>
      <c r="C3415" t="s">
        <v>40</v>
      </c>
      <c r="D3415">
        <v>5.1802270000000004</v>
      </c>
      <c r="E3415">
        <v>0.51834409999999997</v>
      </c>
      <c r="F3415" t="s">
        <v>44</v>
      </c>
      <c r="G3415">
        <v>-283.05790000000002</v>
      </c>
      <c r="H3415">
        <v>0.92539119999999997</v>
      </c>
      <c r="I3415">
        <v>214.2551</v>
      </c>
      <c r="J3415">
        <v>-283.58300000000003</v>
      </c>
      <c r="K3415">
        <v>1.1212549999999999</v>
      </c>
      <c r="L3415">
        <v>214.29329999999999</v>
      </c>
      <c r="M3415">
        <v>0.9999342</v>
      </c>
      <c r="N3415">
        <v>-1.098555E-2</v>
      </c>
      <c r="O3415">
        <v>-3.2958240000000001E-3</v>
      </c>
      <c r="P3415">
        <v>0.97888390000000003</v>
      </c>
      <c r="Q3415">
        <v>0.20396410000000001</v>
      </c>
      <c r="R3415">
        <v>-1.359722E-2</v>
      </c>
      <c r="S3415">
        <v>3.2263489999999999</v>
      </c>
      <c r="T3415">
        <v>-0.7835377</v>
      </c>
      <c r="U3415">
        <v>-0.15542600000000001</v>
      </c>
      <c r="V3415">
        <v>1.0375809999999999E-2</v>
      </c>
      <c r="W3415">
        <v>0.2147057</v>
      </c>
      <c r="X3415">
        <v>0.97662369999999998</v>
      </c>
      <c r="Y3415">
        <v>4.3589749999999997E-2</v>
      </c>
      <c r="Z3415">
        <v>-4.7046529999999996E-3</v>
      </c>
      <c r="AA3415">
        <v>0.99903850000000005</v>
      </c>
      <c r="AB3415">
        <v>29</v>
      </c>
      <c r="AC3415">
        <v>0.52509999999995205</v>
      </c>
      <c r="AD3415">
        <v>-0.19586379999999901</v>
      </c>
      <c r="AE3415">
        <v>-3.8199999999989097E-2</v>
      </c>
      <c r="AF3415">
        <v>3.2035394334986901E-2</v>
      </c>
      <c r="AG3415">
        <v>-0.19586379999999901</v>
      </c>
      <c r="AH3415">
        <v>0.46137004720059999</v>
      </c>
      <c r="AI3415">
        <v>112.952987189197</v>
      </c>
      <c r="AJ3415">
        <v>86.028022183629702</v>
      </c>
      <c r="AK3415">
        <v>0.50224616981568104</v>
      </c>
      <c r="AL3415">
        <v>77.601738343247902</v>
      </c>
      <c r="AM3415">
        <v>89.391303163870603</v>
      </c>
      <c r="AN3415">
        <v>1.0000000232236601</v>
      </c>
    </row>
    <row r="3416" spans="1:40" x14ac:dyDescent="0.25">
      <c r="A3416" t="str">
        <f>"20190303162848017"</f>
        <v>20190303162848017</v>
      </c>
      <c r="B3416" t="str">
        <f>"1551601728004842"</f>
        <v>1551601728004842</v>
      </c>
      <c r="C3416" t="s">
        <v>40</v>
      </c>
      <c r="D3416">
        <v>5.1540860000000004</v>
      </c>
      <c r="E3416">
        <v>0.5183044</v>
      </c>
      <c r="F3416" t="s">
        <v>44</v>
      </c>
      <c r="G3416">
        <v>-282.76220000000001</v>
      </c>
      <c r="H3416">
        <v>0.99750839999999996</v>
      </c>
      <c r="I3416">
        <v>214.25059999999999</v>
      </c>
      <c r="J3416">
        <v>-283.28629999999998</v>
      </c>
      <c r="K3416">
        <v>1.1212610000000001</v>
      </c>
      <c r="L3416">
        <v>214.29230000000001</v>
      </c>
      <c r="M3416">
        <v>0.99993520000000002</v>
      </c>
      <c r="N3416">
        <v>-1.090753E-2</v>
      </c>
      <c r="O3416">
        <v>-3.2886030000000002E-3</v>
      </c>
      <c r="P3416">
        <v>0.97877239999999999</v>
      </c>
      <c r="Q3416">
        <v>0.20449829999999999</v>
      </c>
      <c r="R3416">
        <v>-1.3613699999999999E-2</v>
      </c>
      <c r="S3416">
        <v>3.161743</v>
      </c>
      <c r="T3416">
        <v>-0.47671790000000003</v>
      </c>
      <c r="U3416">
        <v>-0.164077799999999</v>
      </c>
      <c r="V3416">
        <v>1.039966E-2</v>
      </c>
      <c r="W3416">
        <v>0.21516250000000001</v>
      </c>
      <c r="X3416">
        <v>0.97652289999999997</v>
      </c>
      <c r="Y3416">
        <v>4.7991569999999997E-2</v>
      </c>
      <c r="Z3416">
        <v>-3.4017330000000001E-3</v>
      </c>
      <c r="AA3416">
        <v>0.99884189999999995</v>
      </c>
      <c r="AB3416">
        <v>29</v>
      </c>
      <c r="AC3416">
        <v>0.52409999999997503</v>
      </c>
      <c r="AD3416">
        <v>-0.1237526</v>
      </c>
      <c r="AE3416">
        <v>-4.1700000000019999E-2</v>
      </c>
      <c r="AF3416">
        <v>3.7877554257085201E-2</v>
      </c>
      <c r="AG3416">
        <v>-0.1237526</v>
      </c>
      <c r="AH3416">
        <v>0.496714433749744</v>
      </c>
      <c r="AI3416">
        <v>103.951069498165</v>
      </c>
      <c r="AJ3416">
        <v>85.639281158033</v>
      </c>
      <c r="AK3416">
        <v>0.51329781201422198</v>
      </c>
      <c r="AL3416">
        <v>77.574939186211296</v>
      </c>
      <c r="AM3416">
        <v>89.389841137988</v>
      </c>
      <c r="AN3416">
        <v>1.0000000142793799</v>
      </c>
    </row>
    <row r="3417" spans="1:40" x14ac:dyDescent="0.25">
      <c r="A3417" t="str">
        <f>"20190303162848040"</f>
        <v>20190303162848040</v>
      </c>
      <c r="B3417" t="str">
        <f>"1551601728035098"</f>
        <v>1551601728035098</v>
      </c>
      <c r="C3417" t="s">
        <v>40</v>
      </c>
      <c r="D3417">
        <v>5.1916370000000001</v>
      </c>
      <c r="E3417">
        <v>0.51860459999999997</v>
      </c>
      <c r="F3417" t="s">
        <v>44</v>
      </c>
      <c r="G3417">
        <v>-282.49040000000002</v>
      </c>
      <c r="H3417">
        <v>1.019155</v>
      </c>
      <c r="I3417">
        <v>214.2501</v>
      </c>
      <c r="J3417">
        <v>-282.976</v>
      </c>
      <c r="K3417">
        <v>1.121265</v>
      </c>
      <c r="L3417">
        <v>214.29130000000001</v>
      </c>
      <c r="M3417">
        <v>0.99993589999999999</v>
      </c>
      <c r="N3417">
        <v>-1.083718E-2</v>
      </c>
      <c r="O3417">
        <v>-3.2810690000000002E-3</v>
      </c>
      <c r="P3417">
        <v>0.97872289999999995</v>
      </c>
      <c r="Q3417">
        <v>0.20471719999999999</v>
      </c>
      <c r="R3417">
        <v>-1.3868129999999999E-2</v>
      </c>
      <c r="S3417">
        <v>3.147125</v>
      </c>
      <c r="T3417">
        <v>-0.40385019999999999</v>
      </c>
      <c r="U3417">
        <v>-0.1651917</v>
      </c>
      <c r="V3417">
        <v>1.0661800000000001E-2</v>
      </c>
      <c r="W3417">
        <v>0.215312</v>
      </c>
      <c r="X3417">
        <v>0.97648710000000005</v>
      </c>
      <c r="Y3417">
        <v>4.8730519999999999E-2</v>
      </c>
      <c r="Z3417">
        <v>-2.993538E-3</v>
      </c>
      <c r="AA3417">
        <v>0.99880749999999996</v>
      </c>
      <c r="AB3417">
        <v>29</v>
      </c>
      <c r="AC3417">
        <v>0.485599999999976</v>
      </c>
      <c r="AD3417">
        <v>-0.10210999999999899</v>
      </c>
      <c r="AE3417">
        <v>-4.1200000000003401E-2</v>
      </c>
      <c r="AF3417">
        <v>3.7940797890590801E-2</v>
      </c>
      <c r="AG3417">
        <v>-0.10210999999999899</v>
      </c>
      <c r="AH3417">
        <v>0.46530567172327197</v>
      </c>
      <c r="AI3417">
        <v>102.337514794352</v>
      </c>
      <c r="AJ3417">
        <v>85.338442871637398</v>
      </c>
      <c r="AK3417">
        <v>0.47788630905521901</v>
      </c>
      <c r="AL3417">
        <v>77.566167626132199</v>
      </c>
      <c r="AM3417">
        <v>89.374439387157295</v>
      </c>
      <c r="AN3417">
        <v>0.99999999389482497</v>
      </c>
    </row>
    <row r="3418" spans="1:40" x14ac:dyDescent="0.25">
      <c r="A3418" t="str">
        <f>"20190303162848062"</f>
        <v>20190303162848062</v>
      </c>
      <c r="B3418" t="str">
        <f>"1551601728054618"</f>
        <v>1551601728054618</v>
      </c>
      <c r="C3418" t="s">
        <v>40</v>
      </c>
      <c r="D3418">
        <v>5.2245879999999998</v>
      </c>
      <c r="E3418">
        <v>0.51816579999999901</v>
      </c>
      <c r="F3418" t="s">
        <v>44</v>
      </c>
      <c r="G3418">
        <v>-282.22359999999998</v>
      </c>
      <c r="H3418">
        <v>1.029881</v>
      </c>
      <c r="I3418">
        <v>214.25069999999999</v>
      </c>
      <c r="J3418">
        <v>-282.69529999999997</v>
      </c>
      <c r="K3418">
        <v>1.1212629999999999</v>
      </c>
      <c r="L3418">
        <v>214.29040000000001</v>
      </c>
      <c r="M3418">
        <v>0.99993659999999995</v>
      </c>
      <c r="N3418">
        <v>-1.078253E-2</v>
      </c>
      <c r="O3418">
        <v>-3.274337E-3</v>
      </c>
      <c r="P3418">
        <v>0.97845629999999995</v>
      </c>
      <c r="Q3418">
        <v>0.20599239999999999</v>
      </c>
      <c r="R3418">
        <v>-1.3820610000000001E-2</v>
      </c>
      <c r="S3418">
        <v>3.1426090000000002</v>
      </c>
      <c r="T3418">
        <v>-0.38166870000000003</v>
      </c>
      <c r="U3418">
        <v>-0.16941829999999999</v>
      </c>
      <c r="V3418">
        <v>1.0621719999999999E-2</v>
      </c>
      <c r="W3418">
        <v>0.2165309</v>
      </c>
      <c r="X3418">
        <v>0.97621800000000003</v>
      </c>
      <c r="Y3418">
        <v>5.0181160000000002E-2</v>
      </c>
      <c r="Z3418">
        <v>-2.9449760000000002E-3</v>
      </c>
      <c r="AA3418">
        <v>0.99873579999999995</v>
      </c>
      <c r="AB3418">
        <v>29</v>
      </c>
      <c r="AC3418">
        <v>0.47169999999999801</v>
      </c>
      <c r="AD3418">
        <v>-9.1381999999999797E-2</v>
      </c>
      <c r="AE3418">
        <v>-3.9700000000010498E-2</v>
      </c>
      <c r="AF3418">
        <v>3.6784351453008401E-2</v>
      </c>
      <c r="AG3418">
        <v>-9.1381999999999797E-2</v>
      </c>
      <c r="AH3418">
        <v>0.45487563355917199</v>
      </c>
      <c r="AI3418">
        <v>101.32319839873399</v>
      </c>
      <c r="AJ3418">
        <v>85.376732175611494</v>
      </c>
      <c r="AK3418">
        <v>0.46541981096820101</v>
      </c>
      <c r="AL3418">
        <v>77.494642872213305</v>
      </c>
      <c r="AM3418">
        <v>89.376619040687203</v>
      </c>
      <c r="AN3418">
        <v>1.0000000175572801</v>
      </c>
    </row>
    <row r="3419" spans="1:40" x14ac:dyDescent="0.25">
      <c r="A3419" t="str">
        <f>"20190303162848083"</f>
        <v>20190303162848083</v>
      </c>
      <c r="B3419" t="str">
        <f>"1551601728075114"</f>
        <v>1551601728075114</v>
      </c>
      <c r="C3419" t="s">
        <v>40</v>
      </c>
      <c r="D3419">
        <v>5.3721079999999999</v>
      </c>
      <c r="E3419">
        <v>0.51834769999999997</v>
      </c>
      <c r="F3419" t="s">
        <v>44</v>
      </c>
      <c r="G3419">
        <v>-281.95740000000001</v>
      </c>
      <c r="H3419">
        <v>1.038816</v>
      </c>
      <c r="I3419">
        <v>214.251</v>
      </c>
      <c r="J3419">
        <v>-282.41829999999999</v>
      </c>
      <c r="K3419">
        <v>1.1212549999999999</v>
      </c>
      <c r="L3419">
        <v>214.2895</v>
      </c>
      <c r="M3419">
        <v>0.99993710000000002</v>
      </c>
      <c r="N3419">
        <v>-1.0735979999999999E-2</v>
      </c>
      <c r="O3419">
        <v>-3.2676480000000002E-3</v>
      </c>
      <c r="P3419">
        <v>0.97832269999999999</v>
      </c>
      <c r="Q3419">
        <v>0.20661260000000001</v>
      </c>
      <c r="R3419">
        <v>-1.4004549999999999E-2</v>
      </c>
      <c r="S3419">
        <v>3.137543</v>
      </c>
      <c r="T3419">
        <v>-0.35069929999999999</v>
      </c>
      <c r="U3419">
        <v>-0.16616819999999999</v>
      </c>
      <c r="V3419">
        <v>1.0812550000000001E-2</v>
      </c>
      <c r="W3419">
        <v>0.2171044</v>
      </c>
      <c r="X3419">
        <v>0.97608850000000003</v>
      </c>
      <c r="Y3419">
        <v>4.9304340000000002E-2</v>
      </c>
      <c r="Z3419">
        <v>-2.6819109999999999E-3</v>
      </c>
      <c r="AA3419">
        <v>0.99878020000000001</v>
      </c>
      <c r="AB3419">
        <v>29</v>
      </c>
      <c r="AC3419">
        <v>0.46089999999998099</v>
      </c>
      <c r="AD3419">
        <v>-8.2438999999999901E-2</v>
      </c>
      <c r="AE3419">
        <v>-3.8500000000027498E-2</v>
      </c>
      <c r="AF3419">
        <v>3.5854511660222903E-2</v>
      </c>
      <c r="AG3419">
        <v>-8.2438999999999901E-2</v>
      </c>
      <c r="AH3419">
        <v>0.44682716230805303</v>
      </c>
      <c r="AI3419">
        <v>100.420682411277</v>
      </c>
      <c r="AJ3419">
        <v>85.412275292148706</v>
      </c>
      <c r="AK3419">
        <v>0.45578092073238502</v>
      </c>
      <c r="AL3419">
        <v>77.460982769446701</v>
      </c>
      <c r="AM3419">
        <v>89.3653360913531</v>
      </c>
      <c r="AN3419">
        <v>0.99999999578455601</v>
      </c>
    </row>
    <row r="3420" spans="1:40" x14ac:dyDescent="0.25">
      <c r="A3420" t="str">
        <f>"20190303162848106"</f>
        <v>20190303162848106</v>
      </c>
      <c r="B3420" t="str">
        <f>"1551601728094634"</f>
        <v>1551601728094634</v>
      </c>
      <c r="C3420" t="s">
        <v>40</v>
      </c>
      <c r="D3420">
        <v>5.2068570000000003</v>
      </c>
      <c r="E3420">
        <v>0.518538099999999</v>
      </c>
      <c r="F3420" t="s">
        <v>44</v>
      </c>
      <c r="G3420">
        <v>-281.4436</v>
      </c>
      <c r="H3420">
        <v>1.017736</v>
      </c>
      <c r="I3420">
        <v>214.2371</v>
      </c>
      <c r="J3420">
        <v>-282.12689999999998</v>
      </c>
      <c r="K3420">
        <v>1.1212549999999999</v>
      </c>
      <c r="L3420">
        <v>214.2885</v>
      </c>
      <c r="M3420">
        <v>0.99993759999999998</v>
      </c>
      <c r="N3420">
        <v>-1.0694260000000001E-2</v>
      </c>
      <c r="O3420">
        <v>-3.2608680000000001E-3</v>
      </c>
      <c r="P3420">
        <v>0.97822549999999997</v>
      </c>
      <c r="Q3420">
        <v>0.20705180000000001</v>
      </c>
      <c r="R3420">
        <v>-1.4308319999999999E-2</v>
      </c>
      <c r="S3420">
        <v>3.1343990000000002</v>
      </c>
      <c r="T3420">
        <v>-0.33303280000000002</v>
      </c>
      <c r="U3420">
        <v>-0.16755680000000001</v>
      </c>
      <c r="V3420">
        <v>1.112339E-2</v>
      </c>
      <c r="W3420">
        <v>0.21750140000000001</v>
      </c>
      <c r="X3420">
        <v>0.97599659999999999</v>
      </c>
      <c r="Y3420">
        <v>4.9831199999999902E-2</v>
      </c>
      <c r="Z3420">
        <v>-2.5949979999999998E-3</v>
      </c>
      <c r="AA3420">
        <v>0.99875429999999998</v>
      </c>
      <c r="AB3420">
        <v>29</v>
      </c>
      <c r="AC3420">
        <v>0.68329999999997404</v>
      </c>
      <c r="AD3420">
        <v>-0.103518999999999</v>
      </c>
      <c r="AE3420">
        <v>-5.1400000000000903E-2</v>
      </c>
      <c r="AF3420">
        <v>4.8074264549786999E-2</v>
      </c>
      <c r="AG3420">
        <v>-0.103518999999999</v>
      </c>
      <c r="AH3420">
        <v>0.66821355675122995</v>
      </c>
      <c r="AI3420">
        <v>98.783854975879905</v>
      </c>
      <c r="AJ3420">
        <v>85.884976015598298</v>
      </c>
      <c r="AK3420">
        <v>0.67789134505400805</v>
      </c>
      <c r="AL3420">
        <v>77.437679242309102</v>
      </c>
      <c r="AM3420">
        <v>89.347030810428393</v>
      </c>
      <c r="AN3420">
        <v>0.99999997600930501</v>
      </c>
    </row>
    <row r="3421" spans="1:40" x14ac:dyDescent="0.25">
      <c r="A3421" t="str">
        <f>"20190303162848130"</f>
        <v>20190303162848130</v>
      </c>
      <c r="B3421" t="str">
        <f>"1551601728115131"</f>
        <v>1551601728115131</v>
      </c>
      <c r="C3421" t="s">
        <v>40</v>
      </c>
      <c r="D3421">
        <v>5.1968839999999998</v>
      </c>
      <c r="E3421">
        <v>0.51853970000000005</v>
      </c>
      <c r="F3421" t="s">
        <v>44</v>
      </c>
      <c r="G3421">
        <v>-281.1782</v>
      </c>
      <c r="H3421">
        <v>1.0234350000000001</v>
      </c>
      <c r="I3421">
        <v>214.23689999999999</v>
      </c>
      <c r="J3421">
        <v>-281.8134</v>
      </c>
      <c r="K3421">
        <v>1.1212569999999999</v>
      </c>
      <c r="L3421">
        <v>214.28749999999999</v>
      </c>
      <c r="M3421">
        <v>0.99993799999999999</v>
      </c>
      <c r="N3421">
        <v>-1.06561E-2</v>
      </c>
      <c r="O3421">
        <v>-3.2533929999999998E-3</v>
      </c>
      <c r="P3421">
        <v>0.97812399999999999</v>
      </c>
      <c r="Q3421">
        <v>0.20752290000000001</v>
      </c>
      <c r="R3421">
        <v>-1.4424670000000001E-2</v>
      </c>
      <c r="S3421">
        <v>3.13266</v>
      </c>
      <c r="T3421">
        <v>-0.32301489999999999</v>
      </c>
      <c r="U3421">
        <v>-0.1703491</v>
      </c>
      <c r="V3421">
        <v>1.124724E-2</v>
      </c>
      <c r="W3421">
        <v>0.21793419999999999</v>
      </c>
      <c r="X3421">
        <v>0.97589870000000001</v>
      </c>
      <c r="Y3421">
        <v>5.0766659999999998E-2</v>
      </c>
      <c r="Z3421">
        <v>-2.5802149999999999E-3</v>
      </c>
      <c r="AA3421">
        <v>0.99870720000000002</v>
      </c>
      <c r="AB3421">
        <v>29</v>
      </c>
      <c r="AC3421">
        <v>0.63519999999999699</v>
      </c>
      <c r="AD3421">
        <v>-9.7821999999999798E-2</v>
      </c>
      <c r="AE3421">
        <v>-5.0600000000002802E-2</v>
      </c>
      <c r="AF3421">
        <v>4.7415614429977E-2</v>
      </c>
      <c r="AG3421">
        <v>-9.7821999999999798E-2</v>
      </c>
      <c r="AH3421">
        <v>0.62073244729368104</v>
      </c>
      <c r="AI3421">
        <v>98.930065974449505</v>
      </c>
      <c r="AJ3421">
        <v>85.631855401108297</v>
      </c>
      <c r="AK3421">
        <v>0.63017946277149794</v>
      </c>
      <c r="AL3421">
        <v>77.412273030585993</v>
      </c>
      <c r="AM3421">
        <v>89.339694935956004</v>
      </c>
      <c r="AN3421">
        <v>1.0000000442994701</v>
      </c>
    </row>
    <row r="3422" spans="1:40" x14ac:dyDescent="0.25">
      <c r="A3422" t="str">
        <f>"20190303162848153"</f>
        <v>20190303162848153</v>
      </c>
      <c r="B3422" t="str">
        <f>"1551601728145386"</f>
        <v>1551601728145386</v>
      </c>
      <c r="C3422" t="s">
        <v>40</v>
      </c>
      <c r="D3422">
        <v>5.1148030000000002</v>
      </c>
      <c r="E3422">
        <v>0.51864460000000001</v>
      </c>
      <c r="F3422" t="s">
        <v>44</v>
      </c>
      <c r="G3422">
        <v>-280.9126</v>
      </c>
      <c r="H3422">
        <v>1.0292289999999999</v>
      </c>
      <c r="I3422">
        <v>214.2381</v>
      </c>
      <c r="J3422">
        <v>-281.51179999999999</v>
      </c>
      <c r="K3422">
        <v>1.1212580000000001</v>
      </c>
      <c r="L3422">
        <v>214.28649999999999</v>
      </c>
      <c r="M3422">
        <v>0.99993840000000001</v>
      </c>
      <c r="N3422">
        <v>-1.0624929999999999E-2</v>
      </c>
      <c r="O3422">
        <v>-3.2460750000000002E-3</v>
      </c>
      <c r="P3422">
        <v>0.97811179999999998</v>
      </c>
      <c r="Q3422">
        <v>0.20758789999999999</v>
      </c>
      <c r="R3422">
        <v>-1.430622E-2</v>
      </c>
      <c r="S3422">
        <v>3.1325069999999999</v>
      </c>
      <c r="T3422">
        <v>-0.32012259999999998</v>
      </c>
      <c r="U3422">
        <v>-0.170929</v>
      </c>
      <c r="V3422">
        <v>1.1136149999999999E-2</v>
      </c>
      <c r="W3422">
        <v>0.21796869999999999</v>
      </c>
      <c r="X3422">
        <v>0.97589219999999999</v>
      </c>
      <c r="Y3422">
        <v>5.0964580000000002E-2</v>
      </c>
      <c r="Z3422">
        <v>-2.570952E-3</v>
      </c>
      <c r="AA3422">
        <v>0.99869719999999995</v>
      </c>
      <c r="AB3422">
        <v>29</v>
      </c>
      <c r="AC3422">
        <v>0.59919999999999596</v>
      </c>
      <c r="AD3422">
        <v>-9.2028999999999903E-2</v>
      </c>
      <c r="AE3422">
        <v>-4.83999999999866E-2</v>
      </c>
      <c r="AF3422">
        <v>4.5390813167959697E-2</v>
      </c>
      <c r="AG3422">
        <v>-9.2028999999999903E-2</v>
      </c>
      <c r="AH3422">
        <v>0.585629219787835</v>
      </c>
      <c r="AI3422">
        <v>98.904461527497901</v>
      </c>
      <c r="AJ3422">
        <v>85.567992919348796</v>
      </c>
      <c r="AK3422">
        <v>0.594551297896453</v>
      </c>
      <c r="AL3422">
        <v>77.410246774040203</v>
      </c>
      <c r="AM3422">
        <v>89.346211905279404</v>
      </c>
      <c r="AN3422">
        <v>0.99999997701867505</v>
      </c>
    </row>
    <row r="3423" spans="1:40" x14ac:dyDescent="0.25">
      <c r="A3423" t="str">
        <f>"20190303162848174"</f>
        <v>20190303162848174</v>
      </c>
      <c r="B3423" t="str">
        <f>"1551601728164907"</f>
        <v>1551601728164907</v>
      </c>
      <c r="C3423" t="s">
        <v>40</v>
      </c>
      <c r="D3423">
        <v>5.3868450000000001</v>
      </c>
      <c r="E3423">
        <v>0.50229409999999997</v>
      </c>
      <c r="F3423" t="s">
        <v>44</v>
      </c>
      <c r="G3423">
        <v>-280.64769999999999</v>
      </c>
      <c r="H3423">
        <v>1.0331109999999999</v>
      </c>
      <c r="I3423">
        <v>214.23920000000001</v>
      </c>
      <c r="J3423">
        <v>-281.2321</v>
      </c>
      <c r="K3423">
        <v>1.1212489999999999</v>
      </c>
      <c r="L3423">
        <v>214.28559999999999</v>
      </c>
      <c r="M3423">
        <v>0.99993869999999896</v>
      </c>
      <c r="N3423">
        <v>-1.0600129999999999E-2</v>
      </c>
      <c r="O3423">
        <v>-3.2393880000000002E-3</v>
      </c>
      <c r="P3423">
        <v>0.9781126</v>
      </c>
      <c r="Q3423">
        <v>0.2075825</v>
      </c>
      <c r="R3423">
        <v>-1.433563E-2</v>
      </c>
      <c r="S3423">
        <v>3.1324770000000002</v>
      </c>
      <c r="T3423">
        <v>-0.3196697</v>
      </c>
      <c r="U3423">
        <v>-0.17106629999999901</v>
      </c>
      <c r="V3423">
        <v>1.117215E-2</v>
      </c>
      <c r="W3423">
        <v>0.2179393</v>
      </c>
      <c r="X3423">
        <v>0.97589840000000005</v>
      </c>
      <c r="Y3423">
        <v>5.1015930000000001E-2</v>
      </c>
      <c r="Z3423">
        <v>-2.5705609999999999E-3</v>
      </c>
      <c r="AA3423">
        <v>0.99869450000000004</v>
      </c>
      <c r="AB3423">
        <v>29</v>
      </c>
      <c r="AC3423">
        <v>0.58440000000001602</v>
      </c>
      <c r="AD3423">
        <v>-8.81379999999998E-2</v>
      </c>
      <c r="AE3423">
        <v>-4.6399999999977098E-2</v>
      </c>
      <c r="AF3423">
        <v>4.3522782391370397E-2</v>
      </c>
      <c r="AG3423">
        <v>-8.81379999999998E-2</v>
      </c>
      <c r="AH3423">
        <v>0.57162645860419403</v>
      </c>
      <c r="AI3423">
        <v>98.740395169090206</v>
      </c>
      <c r="AJ3423">
        <v>85.645985707725998</v>
      </c>
      <c r="AK3423">
        <v>0.580016678904546</v>
      </c>
      <c r="AL3423">
        <v>77.411973330652799</v>
      </c>
      <c r="AM3423">
        <v>89.344102745651298</v>
      </c>
      <c r="AN3423">
        <v>1.00000002127133</v>
      </c>
    </row>
    <row r="3424" spans="1:40" x14ac:dyDescent="0.25">
      <c r="A3424" t="str">
        <f>"20190303162848195"</f>
        <v>20190303162848195</v>
      </c>
      <c r="B3424" t="str">
        <f>"1551601728185403"</f>
        <v>1551601728185403</v>
      </c>
      <c r="C3424" t="s">
        <v>40</v>
      </c>
      <c r="D3424">
        <v>5.394476</v>
      </c>
      <c r="E3424">
        <v>0.50168400000000002</v>
      </c>
      <c r="F3424" t="s">
        <v>48</v>
      </c>
      <c r="G3424">
        <v>-235.54220000000001</v>
      </c>
      <c r="H3424" s="1">
        <v>1.4566059999999999E-6</v>
      </c>
      <c r="I3424">
        <v>213.60730000000001</v>
      </c>
      <c r="J3424">
        <v>-280.95069999999998</v>
      </c>
      <c r="K3424">
        <v>1.1212420000000001</v>
      </c>
      <c r="L3424">
        <v>214.28469999999999</v>
      </c>
      <c r="M3424">
        <v>0.99993900000000002</v>
      </c>
      <c r="N3424">
        <v>-1.057872E-2</v>
      </c>
      <c r="O3424">
        <v>-3.2324820000000001E-3</v>
      </c>
      <c r="P3424">
        <v>0.97818380000000005</v>
      </c>
      <c r="Q3424">
        <v>0.2072455</v>
      </c>
      <c r="R3424">
        <v>-1.435753E-2</v>
      </c>
      <c r="S3424">
        <v>3.0825200000000001</v>
      </c>
      <c r="T3424">
        <v>-7.5646160000000004E-2</v>
      </c>
      <c r="U3424">
        <v>-4.5761110000000001E-2</v>
      </c>
      <c r="V3424">
        <v>1.1200440000000001E-2</v>
      </c>
      <c r="W3424">
        <v>0.21758189999999999</v>
      </c>
      <c r="X3424">
        <v>0.97597780000000001</v>
      </c>
      <c r="Y3424">
        <v>1.160666E-2</v>
      </c>
      <c r="Z3424">
        <v>-1.5867910000000001E-4</v>
      </c>
      <c r="AA3424">
        <v>0.99993259999999995</v>
      </c>
      <c r="AB3424">
        <v>29</v>
      </c>
      <c r="AC3424">
        <v>45.408499999999897</v>
      </c>
      <c r="AD3424">
        <v>-1.121240543394</v>
      </c>
      <c r="AE3424">
        <v>-0.67739999999997702</v>
      </c>
      <c r="AF3424">
        <v>0.53028286758018695</v>
      </c>
      <c r="AG3424">
        <v>-1.121240543394</v>
      </c>
      <c r="AH3424">
        <v>45.382788362388297</v>
      </c>
      <c r="AI3424">
        <v>91.415181931994894</v>
      </c>
      <c r="AJ3424">
        <v>89.330548238089705</v>
      </c>
      <c r="AK3424">
        <v>45.399734138220801</v>
      </c>
      <c r="AL3424">
        <v>77.4329540626225</v>
      </c>
      <c r="AM3424">
        <v>89.342495525690097</v>
      </c>
      <c r="AN3424">
        <v>0.99999999957832097</v>
      </c>
    </row>
    <row r="3425" spans="1:40" x14ac:dyDescent="0.25">
      <c r="A3425" t="str">
        <f>"20190303162848220"</f>
        <v>20190303162848220</v>
      </c>
      <c r="B3425" t="str">
        <f>"1551601728214682"</f>
        <v>1551601728214682</v>
      </c>
      <c r="C3425" t="s">
        <v>40</v>
      </c>
      <c r="D3425">
        <v>5.3896790000000001</v>
      </c>
      <c r="E3425">
        <v>0.50167829999999902</v>
      </c>
      <c r="F3425" t="s">
        <v>48</v>
      </c>
      <c r="G3425">
        <v>-220.57130000000001</v>
      </c>
      <c r="H3425" s="1">
        <v>-1.182896E-6</v>
      </c>
      <c r="I3425">
        <v>213.47579999999999</v>
      </c>
      <c r="J3425">
        <v>-280.63869999999997</v>
      </c>
      <c r="K3425">
        <v>1.1212310000000001</v>
      </c>
      <c r="L3425">
        <v>214.28370000000001</v>
      </c>
      <c r="M3425">
        <v>0.99993909999999997</v>
      </c>
      <c r="N3425">
        <v>-1.0558700000000001E-2</v>
      </c>
      <c r="O3425">
        <v>-3.2245120000000001E-3</v>
      </c>
      <c r="P3425">
        <v>0.97827430000000004</v>
      </c>
      <c r="Q3425">
        <v>0.2068017</v>
      </c>
      <c r="R3425">
        <v>-1.458305E-2</v>
      </c>
      <c r="S3425">
        <v>3.0783999999999998</v>
      </c>
      <c r="T3425">
        <v>-5.7165859999999999E-2</v>
      </c>
      <c r="U3425">
        <v>-4.1244509999999998E-2</v>
      </c>
      <c r="V3425">
        <v>1.1433850000000001E-2</v>
      </c>
      <c r="W3425">
        <v>0.2171197</v>
      </c>
      <c r="X3425">
        <v>0.976078</v>
      </c>
      <c r="Y3425">
        <v>1.016972E-2</v>
      </c>
      <c r="Z3425">
        <v>-1.2228820000000001E-4</v>
      </c>
      <c r="AA3425">
        <v>0.99994830000000001</v>
      </c>
      <c r="AB3425">
        <v>29</v>
      </c>
      <c r="AC3425">
        <v>60.0673999999999</v>
      </c>
      <c r="AD3425">
        <v>-1.1212321828959999</v>
      </c>
      <c r="AE3425">
        <v>-0.80790000000001705</v>
      </c>
      <c r="AF3425">
        <v>0.61398306774668299</v>
      </c>
      <c r="AG3425">
        <v>-1.1212321828959999</v>
      </c>
      <c r="AH3425">
        <v>60.048774009058803</v>
      </c>
      <c r="AI3425">
        <v>91.069647999276796</v>
      </c>
      <c r="AJ3425">
        <v>89.414185997776201</v>
      </c>
      <c r="AK3425">
        <v>60.062379213668002</v>
      </c>
      <c r="AL3425">
        <v>77.460084515973307</v>
      </c>
      <c r="AM3425">
        <v>89.328863690850795</v>
      </c>
      <c r="AN3425">
        <v>0.99999997956895603</v>
      </c>
    </row>
    <row r="3426" spans="1:40" x14ac:dyDescent="0.25">
      <c r="A3426" t="str">
        <f>"20190303162848241"</f>
        <v>20190303162848241</v>
      </c>
      <c r="B3426" t="str">
        <f>"1551601728235178"</f>
        <v>1551601728235178</v>
      </c>
      <c r="C3426" t="s">
        <v>40</v>
      </c>
      <c r="D3426">
        <v>5.389945</v>
      </c>
      <c r="E3426">
        <v>0.50166449999999996</v>
      </c>
      <c r="F3426" t="s">
        <v>48</v>
      </c>
      <c r="G3426">
        <v>-214.69280000000001</v>
      </c>
      <c r="H3426" s="1">
        <v>1.0143350000000001E-6</v>
      </c>
      <c r="I3426">
        <v>213.38409999999999</v>
      </c>
      <c r="J3426">
        <v>-280.34410000000003</v>
      </c>
      <c r="K3426">
        <v>1.1212260000000001</v>
      </c>
      <c r="L3426">
        <v>214.28280000000001</v>
      </c>
      <c r="M3426">
        <v>0.99993929999999998</v>
      </c>
      <c r="N3426">
        <v>-1.054299E-2</v>
      </c>
      <c r="O3426">
        <v>-3.2168019999999999E-3</v>
      </c>
      <c r="P3426">
        <v>0.97839980000000004</v>
      </c>
      <c r="Q3426">
        <v>0.20618500000000001</v>
      </c>
      <c r="R3426">
        <v>-1.4896080000000001E-2</v>
      </c>
      <c r="S3426">
        <v>3.0770569999999999</v>
      </c>
      <c r="T3426">
        <v>-5.23169E-2</v>
      </c>
      <c r="U3426">
        <v>-4.1976930000000003E-2</v>
      </c>
      <c r="V3426">
        <v>1.175402E-2</v>
      </c>
      <c r="W3426">
        <v>0.21648899999999999</v>
      </c>
      <c r="X3426">
        <v>0.97621429999999998</v>
      </c>
      <c r="Y3426">
        <v>1.042152E-2</v>
      </c>
      <c r="Z3426">
        <v>-1.2275900000000001E-4</v>
      </c>
      <c r="AA3426">
        <v>0.99994570000000005</v>
      </c>
      <c r="AB3426">
        <v>29</v>
      </c>
      <c r="AC3426">
        <v>65.651300000000006</v>
      </c>
      <c r="AD3426">
        <v>-1.1212249856649901</v>
      </c>
      <c r="AE3426">
        <v>-0.89870000000001904</v>
      </c>
      <c r="AF3426">
        <v>0.687295960211323</v>
      </c>
      <c r="AG3426">
        <v>-1.1212249856649901</v>
      </c>
      <c r="AH3426">
        <v>65.634710985159401</v>
      </c>
      <c r="AI3426">
        <v>90.978623808159696</v>
      </c>
      <c r="AJ3426">
        <v>89.400047353711997</v>
      </c>
      <c r="AK3426">
        <v>65.647885017803901</v>
      </c>
      <c r="AL3426">
        <v>77.4971016922768</v>
      </c>
      <c r="AM3426">
        <v>89.310168682031801</v>
      </c>
      <c r="AN3426">
        <v>1.0000000018158199</v>
      </c>
    </row>
    <row r="3427" spans="1:40" x14ac:dyDescent="0.25">
      <c r="A3427" t="str">
        <f>"20190303162848263"</f>
        <v>20190303162848263</v>
      </c>
      <c r="B3427" t="str">
        <f>"1551601728254698"</f>
        <v>1551601728254698</v>
      </c>
      <c r="C3427" t="s">
        <v>40</v>
      </c>
      <c r="D3427">
        <v>5.3891269999999896</v>
      </c>
      <c r="E3427">
        <v>0.50168089999999999</v>
      </c>
      <c r="F3427" t="s">
        <v>48</v>
      </c>
      <c r="G3427">
        <v>-216.52170000000001</v>
      </c>
      <c r="H3427" s="1">
        <v>1.987344E-6</v>
      </c>
      <c r="I3427">
        <v>213.39</v>
      </c>
      <c r="J3427">
        <v>-280.0566</v>
      </c>
      <c r="K3427">
        <v>1.1212200000000001</v>
      </c>
      <c r="L3427">
        <v>214.28190000000001</v>
      </c>
      <c r="M3427">
        <v>0.99993949999999998</v>
      </c>
      <c r="N3427">
        <v>-1.053016E-2</v>
      </c>
      <c r="O3427">
        <v>-3.2099369999999999E-3</v>
      </c>
      <c r="P3427">
        <v>0.97856790000000005</v>
      </c>
      <c r="Q3427">
        <v>0.20540449999999999</v>
      </c>
      <c r="R3427">
        <v>-1.463251E-2</v>
      </c>
      <c r="S3427">
        <v>3.0769959999999998</v>
      </c>
      <c r="T3427">
        <v>-5.405629E-2</v>
      </c>
      <c r="U3427">
        <v>-4.304504E-2</v>
      </c>
      <c r="V3427">
        <v>1.1496360000000001E-2</v>
      </c>
      <c r="W3427">
        <v>0.21569749999999999</v>
      </c>
      <c r="X3427">
        <v>0.97639260000000005</v>
      </c>
      <c r="Y3427">
        <v>1.077549E-2</v>
      </c>
      <c r="Z3427">
        <v>-1.287998E-4</v>
      </c>
      <c r="AA3427">
        <v>0.99994190000000005</v>
      </c>
      <c r="AB3427">
        <v>29</v>
      </c>
      <c r="AC3427">
        <v>63.534899999999901</v>
      </c>
      <c r="AD3427">
        <v>-1.1212180126559901</v>
      </c>
      <c r="AE3427">
        <v>-0.89190000000002101</v>
      </c>
      <c r="AF3427">
        <v>0.68772695567703301</v>
      </c>
      <c r="AG3427">
        <v>-1.1212180126559901</v>
      </c>
      <c r="AH3427">
        <v>63.517658563443298</v>
      </c>
      <c r="AI3427">
        <v>91.0112246941557</v>
      </c>
      <c r="AJ3427">
        <v>89.3796636521175</v>
      </c>
      <c r="AK3427">
        <v>63.531276136873203</v>
      </c>
      <c r="AL3427">
        <v>77.543549247992402</v>
      </c>
      <c r="AM3427">
        <v>89.325412266461996</v>
      </c>
      <c r="AN3427">
        <v>1.0000000435671199</v>
      </c>
    </row>
    <row r="3428" spans="1:40" x14ac:dyDescent="0.25">
      <c r="A3428" t="str">
        <f>"20190303162848285"</f>
        <v>20190303162848285</v>
      </c>
      <c r="B3428" t="str">
        <f>"1551601728275194"</f>
        <v>1551601728275194</v>
      </c>
      <c r="C3428" t="s">
        <v>40</v>
      </c>
      <c r="D3428">
        <v>5.1535630000000001</v>
      </c>
      <c r="E3428">
        <v>0.50172329999999998</v>
      </c>
      <c r="F3428" t="s">
        <v>48</v>
      </c>
      <c r="G3428">
        <v>-219.55240000000001</v>
      </c>
      <c r="H3428" s="1">
        <v>3.5978149999999999E-6</v>
      </c>
      <c r="I3428">
        <v>213.44239999999999</v>
      </c>
      <c r="J3428">
        <v>-279.76490000000001</v>
      </c>
      <c r="K3428">
        <v>1.121211</v>
      </c>
      <c r="L3428">
        <v>214.28100000000001</v>
      </c>
      <c r="M3428">
        <v>0.99993960000000004</v>
      </c>
      <c r="N3428">
        <v>-1.051941E-2</v>
      </c>
      <c r="O3428">
        <v>-3.2033220000000002E-3</v>
      </c>
      <c r="P3428">
        <v>0.97870610000000002</v>
      </c>
      <c r="Q3428">
        <v>0.20471220000000001</v>
      </c>
      <c r="R3428">
        <v>-1.50771E-2</v>
      </c>
      <c r="S3428">
        <v>3.0769959999999998</v>
      </c>
      <c r="T3428">
        <v>-5.7020429999999997E-2</v>
      </c>
      <c r="U3428">
        <v>-4.2694089999999997E-2</v>
      </c>
      <c r="V3428">
        <v>1.19469E-2</v>
      </c>
      <c r="W3428">
        <v>0.2149962</v>
      </c>
      <c r="X3428">
        <v>0.97654180000000002</v>
      </c>
      <c r="Y3428">
        <v>1.0667889999999999E-2</v>
      </c>
      <c r="Z3428">
        <v>-1.2929510000000001E-4</v>
      </c>
      <c r="AA3428">
        <v>0.99994309999999997</v>
      </c>
      <c r="AB3428">
        <v>30</v>
      </c>
      <c r="AC3428">
        <v>60.212499999999999</v>
      </c>
      <c r="AD3428">
        <v>-1.121207402185</v>
      </c>
      <c r="AE3428">
        <v>-0.83859999999998502</v>
      </c>
      <c r="AF3428">
        <v>0.64548124214480496</v>
      </c>
      <c r="AG3428">
        <v>-1.121207402185</v>
      </c>
      <c r="AH3428">
        <v>60.194010124693399</v>
      </c>
      <c r="AI3428">
        <v>91.067038601088996</v>
      </c>
      <c r="AJ3428">
        <v>89.3856210380889</v>
      </c>
      <c r="AK3428">
        <v>60.207911498111002</v>
      </c>
      <c r="AL3428">
        <v>77.584695516404594</v>
      </c>
      <c r="AM3428">
        <v>89.299084993853299</v>
      </c>
      <c r="AN3428">
        <v>0.99999999079064406</v>
      </c>
    </row>
    <row r="3429" spans="1:40" x14ac:dyDescent="0.25">
      <c r="A3429" t="str">
        <f>"20190303162848308"</f>
        <v>20190303162848308</v>
      </c>
      <c r="B3429" t="str">
        <f>"1551601728294714"</f>
        <v>1551601728294714</v>
      </c>
      <c r="C3429" t="s">
        <v>40</v>
      </c>
      <c r="D3429">
        <v>5.3933650000000002</v>
      </c>
      <c r="E3429">
        <v>0.5016465</v>
      </c>
      <c r="F3429" t="s">
        <v>48</v>
      </c>
      <c r="G3429">
        <v>-221.31890000000001</v>
      </c>
      <c r="H3429" s="1">
        <v>-7.8339739999999998E-7</v>
      </c>
      <c r="I3429">
        <v>213.4375</v>
      </c>
      <c r="J3429">
        <v>-279.46749999999997</v>
      </c>
      <c r="K3429">
        <v>1.1212040000000001</v>
      </c>
      <c r="L3429">
        <v>214.28</v>
      </c>
      <c r="M3429">
        <v>0.99993980000000005</v>
      </c>
      <c r="N3429">
        <v>-1.0510500000000001E-2</v>
      </c>
      <c r="O3429">
        <v>-3.1963600000000001E-3</v>
      </c>
      <c r="P3429">
        <v>0.97881110000000005</v>
      </c>
      <c r="Q3429">
        <v>0.20425450000000001</v>
      </c>
      <c r="R3429">
        <v>-1.446996E-2</v>
      </c>
      <c r="S3429">
        <v>3.0769350000000002</v>
      </c>
      <c r="T3429">
        <v>-5.9027080000000003E-2</v>
      </c>
      <c r="U3429">
        <v>-4.4403079999999998E-2</v>
      </c>
      <c r="V3429">
        <v>1.134626E-2</v>
      </c>
      <c r="W3429">
        <v>0.21453150000000001</v>
      </c>
      <c r="X3429">
        <v>0.97665119999999905</v>
      </c>
      <c r="Y3429">
        <v>1.123009E-2</v>
      </c>
      <c r="Z3429">
        <v>-1.3901650000000001E-4</v>
      </c>
      <c r="AA3429">
        <v>0.99993690000000002</v>
      </c>
      <c r="AB3429">
        <v>30</v>
      </c>
      <c r="AC3429">
        <v>58.148599999999902</v>
      </c>
      <c r="AD3429">
        <v>-1.1212047833973999</v>
      </c>
      <c r="AE3429">
        <v>-0.84250000000000103</v>
      </c>
      <c r="AF3429">
        <v>0.65637761672134898</v>
      </c>
      <c r="AG3429">
        <v>-1.1212047833973999</v>
      </c>
      <c r="AH3429">
        <v>58.129388930421797</v>
      </c>
      <c r="AI3429">
        <v>91.104918615368305</v>
      </c>
      <c r="AJ3429">
        <v>89.353062716262599</v>
      </c>
      <c r="AK3429">
        <v>58.143905864383598</v>
      </c>
      <c r="AL3429">
        <v>77.611957531968002</v>
      </c>
      <c r="AM3429">
        <v>89.334395363794698</v>
      </c>
      <c r="AN3429">
        <v>1.0000000342848301</v>
      </c>
    </row>
    <row r="3430" spans="1:40" x14ac:dyDescent="0.25">
      <c r="A3430" t="str">
        <f>"20190303162848330"</f>
        <v>20190303162848330</v>
      </c>
      <c r="B3430" t="str">
        <f>"1551601728324970"</f>
        <v>1551601728324970</v>
      </c>
      <c r="C3430" t="s">
        <v>40</v>
      </c>
      <c r="D3430">
        <v>5.3953749999999996</v>
      </c>
      <c r="E3430">
        <v>0.501444</v>
      </c>
      <c r="F3430" t="s">
        <v>48</v>
      </c>
      <c r="G3430">
        <v>-221.928</v>
      </c>
      <c r="H3430" s="1">
        <v>-4.6179499999999999E-7</v>
      </c>
      <c r="I3430">
        <v>213.4956</v>
      </c>
      <c r="J3430">
        <v>-279.1628</v>
      </c>
      <c r="K3430">
        <v>1.1211979999999999</v>
      </c>
      <c r="L3430">
        <v>214.2791</v>
      </c>
      <c r="M3430">
        <v>0.99993980000000005</v>
      </c>
      <c r="N3430">
        <v>-1.0503139999999999E-2</v>
      </c>
      <c r="O3430">
        <v>-3.1890500000000001E-3</v>
      </c>
      <c r="P3430">
        <v>0.97889020000000004</v>
      </c>
      <c r="Q3430">
        <v>0.20388039999999999</v>
      </c>
      <c r="R3430">
        <v>-1.439526E-2</v>
      </c>
      <c r="S3430">
        <v>3.0768430000000002</v>
      </c>
      <c r="T3430">
        <v>-5.9954880000000002E-2</v>
      </c>
      <c r="U3430">
        <v>-4.1946410000000003E-2</v>
      </c>
      <c r="V3430">
        <v>1.1278349999999999E-2</v>
      </c>
      <c r="W3430">
        <v>0.21415100000000001</v>
      </c>
      <c r="X3430">
        <v>0.97673549999999998</v>
      </c>
      <c r="Y3430">
        <v>1.0439749999999999E-2</v>
      </c>
      <c r="Z3430">
        <v>-1.2789750000000001E-4</v>
      </c>
      <c r="AA3430">
        <v>0.99994550000000004</v>
      </c>
      <c r="AB3430">
        <v>30</v>
      </c>
      <c r="AC3430">
        <v>57.2348</v>
      </c>
      <c r="AD3430">
        <v>-1.1211984617949999</v>
      </c>
      <c r="AE3430">
        <v>-0.78350000000000297</v>
      </c>
      <c r="AF3430">
        <v>0.60073083087597601</v>
      </c>
      <c r="AG3430">
        <v>-1.1211984617949999</v>
      </c>
      <c r="AH3430">
        <v>57.2150557106619</v>
      </c>
      <c r="AI3430">
        <v>91.122574796783397</v>
      </c>
      <c r="AJ3430">
        <v>89.398443712188893</v>
      </c>
      <c r="AK3430">
        <v>57.229193280143697</v>
      </c>
      <c r="AL3430">
        <v>77.634277441024395</v>
      </c>
      <c r="AM3430">
        <v>89.338435904921496</v>
      </c>
      <c r="AN3430">
        <v>1.0000000444699799</v>
      </c>
    </row>
    <row r="3431" spans="1:40" x14ac:dyDescent="0.25">
      <c r="A3431" t="str">
        <f>"20190303162848348"</f>
        <v>20190303162848348</v>
      </c>
      <c r="B3431" t="str">
        <f>"1551601728334730"</f>
        <v>1551601728334730</v>
      </c>
      <c r="C3431" t="s">
        <v>40</v>
      </c>
      <c r="D3431">
        <v>5.1776160000000004</v>
      </c>
      <c r="E3431">
        <v>0.5014305</v>
      </c>
      <c r="F3431" t="s">
        <v>48</v>
      </c>
      <c r="G3431">
        <v>-222.85720000000001</v>
      </c>
      <c r="H3431" s="1">
        <v>3.0509880000000001E-8</v>
      </c>
      <c r="I3431">
        <v>213.54519999999999</v>
      </c>
      <c r="J3431">
        <v>-278.93529999999998</v>
      </c>
      <c r="K3431">
        <v>1.1211949999999999</v>
      </c>
      <c r="L3431">
        <v>214.2783</v>
      </c>
      <c r="M3431">
        <v>0.99993989999999999</v>
      </c>
      <c r="N3431">
        <v>-1.04986E-2</v>
      </c>
      <c r="O3431">
        <v>-3.1836619999999999E-3</v>
      </c>
      <c r="P3431">
        <v>0.97894950000000003</v>
      </c>
      <c r="Q3431">
        <v>0.2035981</v>
      </c>
      <c r="R3431">
        <v>-1.4357419999999999E-2</v>
      </c>
      <c r="S3431">
        <v>3.0768430000000002</v>
      </c>
      <c r="T3431">
        <v>-6.1268450000000002E-2</v>
      </c>
      <c r="U3431">
        <v>-4.01001E-2</v>
      </c>
      <c r="V3431">
        <v>1.124551E-2</v>
      </c>
      <c r="W3431">
        <v>0.2138649</v>
      </c>
      <c r="X3431">
        <v>0.97679850000000001</v>
      </c>
      <c r="Y3431">
        <v>9.8452920000000003E-3</v>
      </c>
      <c r="Z3431">
        <v>-1.197379E-4</v>
      </c>
      <c r="AA3431">
        <v>0.99995149999999999</v>
      </c>
      <c r="AB3431">
        <v>30</v>
      </c>
      <c r="AC3431">
        <v>56.0780999999999</v>
      </c>
      <c r="AD3431">
        <v>-1.12119496949012</v>
      </c>
      <c r="AE3431">
        <v>-0.73310000000000697</v>
      </c>
      <c r="AF3431">
        <v>0.55433119323992797</v>
      </c>
      <c r="AG3431">
        <v>-1.12119496949012</v>
      </c>
      <c r="AH3431">
        <v>56.057745247871203</v>
      </c>
      <c r="AI3431">
        <v>91.145747769614502</v>
      </c>
      <c r="AJ3431">
        <v>89.433444878803698</v>
      </c>
      <c r="AK3431">
        <v>56.071696634814202</v>
      </c>
      <c r="AL3431">
        <v>77.651057781298704</v>
      </c>
      <c r="AM3431">
        <v>89.340404599744701</v>
      </c>
      <c r="AN3431">
        <v>0.99999998327470996</v>
      </c>
    </row>
    <row r="3432" spans="1:40" x14ac:dyDescent="0.25">
      <c r="A3432" t="str">
        <f>"20190303162848364"</f>
        <v>20190303162848364</v>
      </c>
      <c r="B3432" t="str">
        <f>"1551601728355227"</f>
        <v>1551601728355227</v>
      </c>
      <c r="C3432" t="s">
        <v>40</v>
      </c>
      <c r="D3432">
        <v>5.3873559999999996</v>
      </c>
      <c r="E3432">
        <v>0.5014845</v>
      </c>
      <c r="F3432" t="s">
        <v>48</v>
      </c>
      <c r="G3432">
        <v>-223.36590000000001</v>
      </c>
      <c r="H3432" s="1">
        <v>3.0073779999999999E-7</v>
      </c>
      <c r="I3432">
        <v>213.55600000000001</v>
      </c>
      <c r="J3432">
        <v>-278.71730000000002</v>
      </c>
      <c r="K3432">
        <v>1.121197</v>
      </c>
      <c r="L3432">
        <v>214.27760000000001</v>
      </c>
      <c r="M3432">
        <v>0.99993989999999999</v>
      </c>
      <c r="N3432">
        <v>-1.049492E-2</v>
      </c>
      <c r="O3432">
        <v>-3.178396E-3</v>
      </c>
      <c r="P3432">
        <v>0.97900949999999998</v>
      </c>
      <c r="Q3432">
        <v>0.203293</v>
      </c>
      <c r="R3432">
        <v>-1.4568859999999999E-2</v>
      </c>
      <c r="S3432">
        <v>3.0768430000000002</v>
      </c>
      <c r="T3432">
        <v>-6.2079910000000002E-2</v>
      </c>
      <c r="U3432">
        <v>-3.9993290000000001E-2</v>
      </c>
      <c r="V3432">
        <v>1.1462119999999999E-2</v>
      </c>
      <c r="W3432">
        <v>0.2135571</v>
      </c>
      <c r="X3432">
        <v>0.97686329999999999</v>
      </c>
      <c r="Y3432">
        <v>9.8158029999999997E-3</v>
      </c>
      <c r="Z3432">
        <v>-1.197654E-4</v>
      </c>
      <c r="AA3432">
        <v>0.99995179999999995</v>
      </c>
      <c r="AB3432">
        <v>30</v>
      </c>
      <c r="AC3432">
        <v>55.351399999999998</v>
      </c>
      <c r="AD3432">
        <v>-1.1211966992622</v>
      </c>
      <c r="AE3432">
        <v>-0.721600000000023</v>
      </c>
      <c r="AF3432">
        <v>0.54543424504039695</v>
      </c>
      <c r="AG3432">
        <v>-1.1211966992622</v>
      </c>
      <c r="AH3432">
        <v>55.330715449724799</v>
      </c>
      <c r="AI3432">
        <v>91.160800619501202</v>
      </c>
      <c r="AJ3432">
        <v>89.435213013629607</v>
      </c>
      <c r="AK3432">
        <v>55.344761746099401</v>
      </c>
      <c r="AL3432">
        <v>77.669110217059398</v>
      </c>
      <c r="AM3432">
        <v>89.327745280454806</v>
      </c>
      <c r="AN3432">
        <v>0.99999996102109601</v>
      </c>
    </row>
    <row r="3433" spans="1:40" x14ac:dyDescent="0.25">
      <c r="A3433" t="str">
        <f>"20190303162848386"</f>
        <v>20190303162848386</v>
      </c>
      <c r="B3433" t="str">
        <f>"1551601728374746"</f>
        <v>1551601728374746</v>
      </c>
      <c r="C3433" t="s">
        <v>40</v>
      </c>
      <c r="D3433">
        <v>5.1889019999999997</v>
      </c>
      <c r="E3433">
        <v>0.50152370000000002</v>
      </c>
      <c r="F3433" t="s">
        <v>48</v>
      </c>
      <c r="G3433">
        <v>-223.6378</v>
      </c>
      <c r="H3433" s="1">
        <v>4.4602999999999998E-7</v>
      </c>
      <c r="I3433">
        <v>213.54169999999999</v>
      </c>
      <c r="J3433">
        <v>-278.42680000000001</v>
      </c>
      <c r="K3433">
        <v>1.121183</v>
      </c>
      <c r="L3433">
        <v>214.27670000000001</v>
      </c>
      <c r="M3433">
        <v>0.9999401</v>
      </c>
      <c r="N3433">
        <v>-1.0490920000000001E-2</v>
      </c>
      <c r="O3433">
        <v>-3.1718200000000001E-3</v>
      </c>
      <c r="P3433">
        <v>0.9792594</v>
      </c>
      <c r="Q3433">
        <v>0.20206499999999999</v>
      </c>
      <c r="R3433">
        <v>-1.486841E-2</v>
      </c>
      <c r="S3433">
        <v>3.076721</v>
      </c>
      <c r="T3433">
        <v>-6.2629699999999996E-2</v>
      </c>
      <c r="U3433">
        <v>-4.110718E-2</v>
      </c>
      <c r="V3433">
        <v>1.1767329999999999E-2</v>
      </c>
      <c r="W3433">
        <v>0.2123275</v>
      </c>
      <c r="X3433">
        <v>0.97712770000000004</v>
      </c>
      <c r="Y3433">
        <v>1.01847E-2</v>
      </c>
      <c r="Z3433">
        <v>-1.2579790000000001E-4</v>
      </c>
      <c r="AA3433">
        <v>0.99994810000000001</v>
      </c>
      <c r="AB3433">
        <v>30</v>
      </c>
      <c r="AC3433">
        <v>54.789000000000001</v>
      </c>
      <c r="AD3433">
        <v>-1.12118255397</v>
      </c>
      <c r="AE3433">
        <v>-0.73500000000001298</v>
      </c>
      <c r="AF3433">
        <v>0.56097105024268201</v>
      </c>
      <c r="AG3433">
        <v>-1.12118255397</v>
      </c>
      <c r="AH3433">
        <v>54.768125172282602</v>
      </c>
      <c r="AI3433">
        <v>91.172701980404</v>
      </c>
      <c r="AJ3433">
        <v>89.413159578206304</v>
      </c>
      <c r="AK3433">
        <v>54.782472322133799</v>
      </c>
      <c r="AL3433">
        <v>77.741215208819796</v>
      </c>
      <c r="AM3433">
        <v>89.310033116081996</v>
      </c>
      <c r="AN3433">
        <v>0.99999998970943405</v>
      </c>
    </row>
    <row r="3434" spans="1:40" x14ac:dyDescent="0.25">
      <c r="A3434" t="str">
        <f>"20190303162848408"</f>
        <v>20190303162848408</v>
      </c>
      <c r="B3434" t="str">
        <f>"1551601728395243"</f>
        <v>1551601728395243</v>
      </c>
      <c r="C3434" t="s">
        <v>40</v>
      </c>
      <c r="D3434">
        <v>5.3178679999999998</v>
      </c>
      <c r="E3434">
        <v>0.50143590000000005</v>
      </c>
      <c r="F3434" t="s">
        <v>48</v>
      </c>
      <c r="G3434">
        <v>-226.12639999999999</v>
      </c>
      <c r="H3434" s="1">
        <v>1.7694740000000001E-6</v>
      </c>
      <c r="I3434">
        <v>213.56209999999999</v>
      </c>
      <c r="J3434">
        <v>-278.13159999999999</v>
      </c>
      <c r="K3434">
        <v>1.12117</v>
      </c>
      <c r="L3434">
        <v>214.2758</v>
      </c>
      <c r="M3434">
        <v>0.99994000000000005</v>
      </c>
      <c r="N3434">
        <v>-1.048781E-2</v>
      </c>
      <c r="O3434">
        <v>-3.1663310000000001E-3</v>
      </c>
      <c r="P3434">
        <v>0.97957380000000005</v>
      </c>
      <c r="Q3434">
        <v>0.20055770000000001</v>
      </c>
      <c r="R3434">
        <v>-1.456154E-2</v>
      </c>
      <c r="S3434">
        <v>3.076508</v>
      </c>
      <c r="T3434">
        <v>-6.5952179999999999E-2</v>
      </c>
      <c r="U3434">
        <v>-4.2037959999999999E-2</v>
      </c>
      <c r="V3434">
        <v>1.146499E-2</v>
      </c>
      <c r="W3434">
        <v>0.21082029999999999</v>
      </c>
      <c r="X3434">
        <v>0.97745760000000004</v>
      </c>
      <c r="Y3434">
        <v>1.0493229999999999E-2</v>
      </c>
      <c r="Z3434">
        <v>-1.3283349999999999E-4</v>
      </c>
      <c r="AA3434">
        <v>0.99994490000000003</v>
      </c>
      <c r="AB3434">
        <v>30</v>
      </c>
      <c r="AC3434">
        <v>52.005200000000002</v>
      </c>
      <c r="AD3434">
        <v>-1.121168230526</v>
      </c>
      <c r="AE3434">
        <v>-0.71370000000001699</v>
      </c>
      <c r="AF3434">
        <v>0.54876668197293998</v>
      </c>
      <c r="AG3434">
        <v>-1.121168230526</v>
      </c>
      <c r="AH3434">
        <v>51.983043050156802</v>
      </c>
      <c r="AI3434">
        <v>91.235492740577399</v>
      </c>
      <c r="AJ3434">
        <v>89.395171097108303</v>
      </c>
      <c r="AK3434">
        <v>51.9980281147933</v>
      </c>
      <c r="AL3434">
        <v>77.829571786919203</v>
      </c>
      <c r="AM3434">
        <v>89.327985769735307</v>
      </c>
      <c r="AN3434">
        <v>1.00000000234277</v>
      </c>
    </row>
    <row r="3435" spans="1:40" x14ac:dyDescent="0.25">
      <c r="A3435" t="str">
        <f>"20190303162848425"</f>
        <v>20190303162848425</v>
      </c>
      <c r="B3435" t="str">
        <f>"1551601728414764"</f>
        <v>1551601728414764</v>
      </c>
      <c r="C3435" t="s">
        <v>40</v>
      </c>
      <c r="D3435">
        <v>5.3857860000000004</v>
      </c>
      <c r="E3435">
        <v>0.50131859999999995</v>
      </c>
      <c r="F3435" t="s">
        <v>48</v>
      </c>
      <c r="G3435">
        <v>-228.50540000000001</v>
      </c>
      <c r="H3435" s="1">
        <v>3.0331709999999999E-6</v>
      </c>
      <c r="I3435">
        <v>213.6146</v>
      </c>
      <c r="J3435">
        <v>-277.90429999999998</v>
      </c>
      <c r="K3435">
        <v>1.1211660000000001</v>
      </c>
      <c r="L3435">
        <v>214.27510000000001</v>
      </c>
      <c r="M3435">
        <v>0.99994019999999995</v>
      </c>
      <c r="N3435">
        <v>-1.0485960000000001E-2</v>
      </c>
      <c r="O3435">
        <v>-3.1633529999999998E-3</v>
      </c>
      <c r="P3435">
        <v>0.97974119999999998</v>
      </c>
      <c r="Q3435">
        <v>0.19973679999999999</v>
      </c>
      <c r="R3435">
        <v>-1.45857E-2</v>
      </c>
      <c r="S3435">
        <v>3.0762019999999999</v>
      </c>
      <c r="T3435">
        <v>-6.9498420000000005E-2</v>
      </c>
      <c r="U3435">
        <v>-4.0985109999999998E-2</v>
      </c>
      <c r="V3435">
        <v>1.149211E-2</v>
      </c>
      <c r="W3435">
        <v>0.20999950000000001</v>
      </c>
      <c r="X3435">
        <v>0.977634</v>
      </c>
      <c r="Y3435">
        <v>1.0155229999999999E-2</v>
      </c>
      <c r="Z3435">
        <v>-1.296661E-4</v>
      </c>
      <c r="AA3435">
        <v>0.99994839999999996</v>
      </c>
      <c r="AB3435">
        <v>30</v>
      </c>
      <c r="AC3435">
        <v>49.398899999999898</v>
      </c>
      <c r="AD3435">
        <v>-1.121162966829</v>
      </c>
      <c r="AE3435">
        <v>-0.66050000000001297</v>
      </c>
      <c r="AF3435">
        <v>0.50396242164800897</v>
      </c>
      <c r="AG3435">
        <v>-1.121162966829</v>
      </c>
      <c r="AH3435">
        <v>49.375312974846601</v>
      </c>
      <c r="AI3435">
        <v>91.300721374814799</v>
      </c>
      <c r="AJ3435">
        <v>89.415215511459607</v>
      </c>
      <c r="AK3435">
        <v>49.390611616831301</v>
      </c>
      <c r="AL3435">
        <v>77.877677650563797</v>
      </c>
      <c r="AM3435">
        <v>89.326517822711196</v>
      </c>
      <c r="AN3435">
        <v>1.0000000482742499</v>
      </c>
    </row>
    <row r="3436" spans="1:40" x14ac:dyDescent="0.25">
      <c r="A3436" t="str">
        <f>"20190303162848441"</f>
        <v>20190303162848441</v>
      </c>
      <c r="B3436" t="str">
        <f>"1551601728435258"</f>
        <v>1551601728435258</v>
      </c>
      <c r="C3436" t="s">
        <v>40</v>
      </c>
      <c r="D3436">
        <v>5.2481809999999998</v>
      </c>
      <c r="E3436">
        <v>0.52433169999999996</v>
      </c>
      <c r="F3436" t="s">
        <v>48</v>
      </c>
      <c r="G3436">
        <v>-230.37700000000001</v>
      </c>
      <c r="H3436" s="1">
        <v>-1.2941919999999901E-6</v>
      </c>
      <c r="I3436">
        <v>213.6558</v>
      </c>
      <c r="J3436">
        <v>-277.6814</v>
      </c>
      <c r="K3436">
        <v>1.121154</v>
      </c>
      <c r="L3436">
        <v>214.27440000000001</v>
      </c>
      <c r="M3436">
        <v>0.99994019999999995</v>
      </c>
      <c r="N3436">
        <v>-1.048458E-2</v>
      </c>
      <c r="O3436">
        <v>-3.1609749999999999E-3</v>
      </c>
      <c r="P3436">
        <v>0.980132</v>
      </c>
      <c r="Q3436">
        <v>0.1977534</v>
      </c>
      <c r="R3436">
        <v>-1.53367E-2</v>
      </c>
      <c r="S3436">
        <v>3.0762330000000002</v>
      </c>
      <c r="T3436">
        <v>-7.2568179999999996E-2</v>
      </c>
      <c r="U3436">
        <v>-4.0084839999999997E-2</v>
      </c>
      <c r="V3436">
        <v>1.2244730000000001E-2</v>
      </c>
      <c r="W3436">
        <v>0.20801900000000001</v>
      </c>
      <c r="X3436">
        <v>0.97804809999999998</v>
      </c>
      <c r="Y3436">
        <v>9.8647500000000003E-3</v>
      </c>
      <c r="Z3436">
        <v>-1.266467E-4</v>
      </c>
      <c r="AA3436">
        <v>0.99995140000000005</v>
      </c>
      <c r="AB3436">
        <v>30</v>
      </c>
      <c r="AC3436">
        <v>47.304400000000001</v>
      </c>
      <c r="AD3436">
        <v>-1.121155294192</v>
      </c>
      <c r="AE3436">
        <v>-0.61860000000001403</v>
      </c>
      <c r="AF3436">
        <v>0.46879739520306601</v>
      </c>
      <c r="AG3436">
        <v>-1.121155294192</v>
      </c>
      <c r="AH3436">
        <v>47.279565271452697</v>
      </c>
      <c r="AI3436">
        <v>91.358351620944703</v>
      </c>
      <c r="AJ3436">
        <v>89.431906113528299</v>
      </c>
      <c r="AK3436">
        <v>47.295180012861799</v>
      </c>
      <c r="AL3436">
        <v>77.993713740419096</v>
      </c>
      <c r="AM3436">
        <v>89.282719634018903</v>
      </c>
      <c r="AN3436">
        <v>0.99999996184369</v>
      </c>
    </row>
    <row r="3437" spans="1:40" x14ac:dyDescent="0.25">
      <c r="A3437" t="str">
        <f>"20190303162848458"</f>
        <v>20190303162848458</v>
      </c>
      <c r="B3437" t="str">
        <f>"1551601728454779"</f>
        <v>1551601728454779</v>
      </c>
      <c r="C3437" t="s">
        <v>40</v>
      </c>
      <c r="D3437">
        <v>5.208691</v>
      </c>
      <c r="E3437">
        <v>0.52504439999999997</v>
      </c>
      <c r="F3437" t="s">
        <v>44</v>
      </c>
      <c r="G3437">
        <v>-276.96170000000001</v>
      </c>
      <c r="H3437">
        <v>0.98925980000000002</v>
      </c>
      <c r="I3437">
        <v>214.2253</v>
      </c>
      <c r="J3437">
        <v>-277.46129999999999</v>
      </c>
      <c r="K3437">
        <v>1.121148</v>
      </c>
      <c r="L3437">
        <v>214.27369999999999</v>
      </c>
      <c r="M3437">
        <v>0.9999401</v>
      </c>
      <c r="N3437">
        <v>-1.0483589999999999E-2</v>
      </c>
      <c r="O3437">
        <v>-3.159313E-3</v>
      </c>
      <c r="P3437">
        <v>0.98035220000000001</v>
      </c>
      <c r="Q3437">
        <v>0.1965915</v>
      </c>
      <c r="R3437">
        <v>-1.617532E-2</v>
      </c>
      <c r="S3437">
        <v>3.1748349999999999</v>
      </c>
      <c r="T3437">
        <v>-0.58193090000000003</v>
      </c>
      <c r="U3437">
        <v>-0.21568300000000001</v>
      </c>
      <c r="V3437">
        <v>1.308467E-2</v>
      </c>
      <c r="W3437">
        <v>0.20685799999999999</v>
      </c>
      <c r="X3437">
        <v>0.97828349999999997</v>
      </c>
      <c r="Y3437">
        <v>6.3557470000000005E-2</v>
      </c>
      <c r="Z3437">
        <v>-5.5659050000000003E-3</v>
      </c>
      <c r="AA3437">
        <v>0.99796269999999998</v>
      </c>
      <c r="AB3437">
        <v>30</v>
      </c>
      <c r="AC3437">
        <v>0.499599999999986</v>
      </c>
      <c r="AD3437">
        <v>-0.13188820000000001</v>
      </c>
      <c r="AE3437">
        <v>-4.83999999999866E-2</v>
      </c>
      <c r="AF3437">
        <v>4.3797439128791103E-2</v>
      </c>
      <c r="AG3437">
        <v>-0.13188820000000001</v>
      </c>
      <c r="AH3437">
        <v>0.46747524458780898</v>
      </c>
      <c r="AI3437">
        <v>105.689978752665</v>
      </c>
      <c r="AJ3437">
        <v>84.647621230101095</v>
      </c>
      <c r="AK3437">
        <v>0.48769438921922398</v>
      </c>
      <c r="AL3437">
        <v>78.061714016791498</v>
      </c>
      <c r="AM3437">
        <v>89.233707134288906</v>
      </c>
      <c r="AN3437">
        <v>1.0000000235626201</v>
      </c>
    </row>
    <row r="3438" spans="1:40" x14ac:dyDescent="0.25">
      <c r="A3438" t="str">
        <f>"20190303162848474"</f>
        <v>20190303162848474</v>
      </c>
      <c r="B3438" t="str">
        <f>"1551601728465514"</f>
        <v>1551601728465514</v>
      </c>
      <c r="C3438" t="s">
        <v>40</v>
      </c>
      <c r="D3438">
        <v>5.2330949999999996</v>
      </c>
      <c r="E3438">
        <v>0.52522749999999996</v>
      </c>
      <c r="F3438" t="s">
        <v>44</v>
      </c>
      <c r="G3438">
        <v>-276.72179999999997</v>
      </c>
      <c r="H3438">
        <v>0.93437709999999996</v>
      </c>
      <c r="I3438">
        <v>214.22329999999999</v>
      </c>
      <c r="J3438">
        <v>-277.2491</v>
      </c>
      <c r="K3438">
        <v>1.1211370000000001</v>
      </c>
      <c r="L3438">
        <v>214.273</v>
      </c>
      <c r="M3438">
        <v>0.99994019999999995</v>
      </c>
      <c r="N3438">
        <v>-1.048291E-2</v>
      </c>
      <c r="O3438">
        <v>-3.1586019999999999E-3</v>
      </c>
      <c r="P3438">
        <v>0.98073250000000001</v>
      </c>
      <c r="Q3438">
        <v>0.1944949</v>
      </c>
      <c r="R3438">
        <v>-1.831984E-2</v>
      </c>
      <c r="S3438">
        <v>3.2196349999999998</v>
      </c>
      <c r="T3438">
        <v>-0.81320609999999904</v>
      </c>
      <c r="U3438">
        <v>-0.21881100000000001</v>
      </c>
      <c r="V3438">
        <v>1.5229019999999999E-2</v>
      </c>
      <c r="W3438">
        <v>0.20476559999999999</v>
      </c>
      <c r="X3438">
        <v>0.97869249999999997</v>
      </c>
      <c r="Y3438">
        <v>6.2699630000000006E-2</v>
      </c>
      <c r="Z3438">
        <v>-7.3695749999999997E-3</v>
      </c>
      <c r="AA3438">
        <v>0.99800520000000004</v>
      </c>
      <c r="AB3438">
        <v>30</v>
      </c>
      <c r="AC3438">
        <v>0.52730000000002497</v>
      </c>
      <c r="AD3438">
        <v>-0.18675990000000001</v>
      </c>
      <c r="AE3438">
        <v>-4.9700000000001403E-2</v>
      </c>
      <c r="AF3438">
        <v>4.2722070980277901E-2</v>
      </c>
      <c r="AG3438">
        <v>-0.18675990000000001</v>
      </c>
      <c r="AH3438">
        <v>0.46912357242123398</v>
      </c>
      <c r="AI3438">
        <v>111.626505807497</v>
      </c>
      <c r="AJ3438">
        <v>84.796550056849696</v>
      </c>
      <c r="AK3438">
        <v>0.506735988260272</v>
      </c>
      <c r="AL3438">
        <v>78.184221458788002</v>
      </c>
      <c r="AM3438">
        <v>89.108516558883693</v>
      </c>
      <c r="AN3438">
        <v>0.99999994177488305</v>
      </c>
    </row>
    <row r="3439" spans="1:40" x14ac:dyDescent="0.25">
      <c r="A3439" t="str">
        <f>"20190303162848497"</f>
        <v>20190303162848497</v>
      </c>
      <c r="B3439" t="str">
        <f>"1551601728485035"</f>
        <v>1551601728485035</v>
      </c>
      <c r="C3439" t="s">
        <v>40</v>
      </c>
      <c r="D3439">
        <v>5.2617469999999997</v>
      </c>
      <c r="E3439">
        <v>0.52535140000000002</v>
      </c>
      <c r="F3439" t="s">
        <v>44</v>
      </c>
      <c r="G3439">
        <v>-276.4674</v>
      </c>
      <c r="H3439">
        <v>0.90743229999999997</v>
      </c>
      <c r="I3439">
        <v>214.2182</v>
      </c>
      <c r="J3439">
        <v>-276.94959999999998</v>
      </c>
      <c r="K3439">
        <v>1.121129</v>
      </c>
      <c r="L3439">
        <v>214.27209999999999</v>
      </c>
      <c r="M3439">
        <v>0.99994000000000005</v>
      </c>
      <c r="N3439">
        <v>-1.048235E-2</v>
      </c>
      <c r="O3439">
        <v>-3.1580110000000001E-3</v>
      </c>
      <c r="P3439">
        <v>0.98121820000000004</v>
      </c>
      <c r="Q3439">
        <v>0.19186639999999999</v>
      </c>
      <c r="R3439">
        <v>-1.9949749999999999E-2</v>
      </c>
      <c r="S3439">
        <v>3.2298580000000001</v>
      </c>
      <c r="T3439">
        <v>-0.88311759999999995</v>
      </c>
      <c r="U3439">
        <v>-0.22605900000000001</v>
      </c>
      <c r="V3439">
        <v>1.685828E-2</v>
      </c>
      <c r="W3439">
        <v>0.2021414</v>
      </c>
      <c r="X3439">
        <v>0.97921119999999995</v>
      </c>
      <c r="Y3439">
        <v>6.4331669999999994E-2</v>
      </c>
      <c r="Z3439">
        <v>-8.1558510000000004E-3</v>
      </c>
      <c r="AA3439">
        <v>0.99789519999999998</v>
      </c>
      <c r="AB3439">
        <v>30</v>
      </c>
      <c r="AC3439">
        <v>0.48219999999997698</v>
      </c>
      <c r="AD3439">
        <v>-0.21369669999999999</v>
      </c>
      <c r="AE3439">
        <v>-5.3899999999998699E-2</v>
      </c>
      <c r="AF3439">
        <v>4.3867585965526097E-2</v>
      </c>
      <c r="AG3439">
        <v>-0.21369669999999999</v>
      </c>
      <c r="AH3439">
        <v>0.40400119610309199</v>
      </c>
      <c r="AI3439">
        <v>117.738075218744</v>
      </c>
      <c r="AJ3439">
        <v>83.802941942149005</v>
      </c>
      <c r="AK3439">
        <v>0.45913789991903498</v>
      </c>
      <c r="AL3439">
        <v>78.337789252823399</v>
      </c>
      <c r="AM3439">
        <v>89.013682768284397</v>
      </c>
      <c r="AN3439">
        <v>0.99999996070197805</v>
      </c>
    </row>
    <row r="3440" spans="1:40" x14ac:dyDescent="0.25">
      <c r="A3440" t="str">
        <f>"20190303162848514"</f>
        <v>20190303162848514</v>
      </c>
      <c r="B3440" t="str">
        <f>"1551601728505530"</f>
        <v>1551601728505530</v>
      </c>
      <c r="C3440" t="s">
        <v>40</v>
      </c>
      <c r="D3440">
        <v>5.2297359999999999</v>
      </c>
      <c r="E3440">
        <v>0.52502360000000003</v>
      </c>
      <c r="F3440" t="s">
        <v>44</v>
      </c>
      <c r="G3440">
        <v>-276.20339999999999</v>
      </c>
      <c r="H3440">
        <v>0.90060019999999996</v>
      </c>
      <c r="I3440">
        <v>214.2182</v>
      </c>
      <c r="J3440">
        <v>-276.72289999999998</v>
      </c>
      <c r="K3440">
        <v>1.121124</v>
      </c>
      <c r="L3440">
        <v>214.2714</v>
      </c>
      <c r="M3440">
        <v>0.9999401</v>
      </c>
      <c r="N3440">
        <v>-1.048224E-2</v>
      </c>
      <c r="O3440">
        <v>-3.158133E-3</v>
      </c>
      <c r="P3440">
        <v>0.98136690000000004</v>
      </c>
      <c r="Q3440">
        <v>0.1910538</v>
      </c>
      <c r="R3440">
        <v>-2.043646E-2</v>
      </c>
      <c r="S3440">
        <v>3.23996</v>
      </c>
      <c r="T3440">
        <v>-0.95753029999999995</v>
      </c>
      <c r="U3440">
        <v>-0.23313900000000001</v>
      </c>
      <c r="V3440">
        <v>1.7344140000000001E-2</v>
      </c>
      <c r="W3440">
        <v>0.20133019999999999</v>
      </c>
      <c r="X3440">
        <v>0.97936990000000002</v>
      </c>
      <c r="Y3440">
        <v>6.584139E-2</v>
      </c>
      <c r="Z3440">
        <v>-8.9868259999999998E-3</v>
      </c>
      <c r="AA3440">
        <v>0.99778960000000005</v>
      </c>
      <c r="AB3440">
        <v>30</v>
      </c>
      <c r="AC3440">
        <v>0.51949999999999297</v>
      </c>
      <c r="AD3440">
        <v>-0.22052379999999899</v>
      </c>
      <c r="AE3440">
        <v>-5.3200000000003897E-2</v>
      </c>
      <c r="AF3440">
        <v>4.3756222532810703E-2</v>
      </c>
      <c r="AG3440">
        <v>-0.22052379999999899</v>
      </c>
      <c r="AH3440">
        <v>0.44102094055376501</v>
      </c>
      <c r="AI3440">
        <v>116.45434788438099</v>
      </c>
      <c r="AJ3440">
        <v>84.333899739563606</v>
      </c>
      <c r="AK3440">
        <v>0.495020023214928</v>
      </c>
      <c r="AL3440">
        <v>78.385244120745199</v>
      </c>
      <c r="AM3440">
        <v>88.985427107124906</v>
      </c>
      <c r="AN3440">
        <v>1.0000000348251901</v>
      </c>
    </row>
    <row r="3441" spans="1:40" x14ac:dyDescent="0.25">
      <c r="A3441" t="str">
        <f>"20190303162848527"</f>
        <v>20190303162848527</v>
      </c>
      <c r="B3441" t="str">
        <f>"1551601728525051"</f>
        <v>1551601728525051</v>
      </c>
      <c r="C3441" t="s">
        <v>40</v>
      </c>
      <c r="D3441">
        <v>5.2741239999999996</v>
      </c>
      <c r="E3441">
        <v>0.52498140000000004</v>
      </c>
      <c r="F3441" t="s">
        <v>44</v>
      </c>
      <c r="G3441">
        <v>-275.94400000000002</v>
      </c>
      <c r="H3441">
        <v>0.88227579999999906</v>
      </c>
      <c r="I3441">
        <v>214.21530000000001</v>
      </c>
      <c r="J3441">
        <v>-276.53519999999997</v>
      </c>
      <c r="K3441">
        <v>1.1211150000000001</v>
      </c>
      <c r="L3441">
        <v>214.27080000000001</v>
      </c>
      <c r="M3441">
        <v>0.99994019999999995</v>
      </c>
      <c r="N3441">
        <v>-1.048231E-2</v>
      </c>
      <c r="O3441">
        <v>-3.1584920000000002E-3</v>
      </c>
      <c r="P3441">
        <v>0.98152759999999994</v>
      </c>
      <c r="Q3441">
        <v>0.1901968</v>
      </c>
      <c r="R3441">
        <v>-2.0715560000000001E-2</v>
      </c>
      <c r="S3441">
        <v>3.2458800000000001</v>
      </c>
      <c r="T3441">
        <v>-0.99533830000000001</v>
      </c>
      <c r="U3441">
        <v>-0.23315429999999901</v>
      </c>
      <c r="V3441">
        <v>1.7622510000000001E-2</v>
      </c>
      <c r="W3441">
        <v>0.20047490000000001</v>
      </c>
      <c r="X3441">
        <v>0.97954030000000003</v>
      </c>
      <c r="Y3441">
        <v>6.552616E-2</v>
      </c>
      <c r="Z3441">
        <v>-9.2477619999999996E-3</v>
      </c>
      <c r="AA3441">
        <v>0.99780800000000003</v>
      </c>
      <c r="AB3441">
        <v>30</v>
      </c>
      <c r="AC3441">
        <v>0.59119999999995798</v>
      </c>
      <c r="AD3441">
        <v>-0.238839199999999</v>
      </c>
      <c r="AE3441">
        <v>-5.5499999999994998E-2</v>
      </c>
      <c r="AF3441">
        <v>4.61638186870919E-2</v>
      </c>
      <c r="AG3441">
        <v>-0.238839199999999</v>
      </c>
      <c r="AH3441">
        <v>0.50902153949289497</v>
      </c>
      <c r="AI3441">
        <v>115.04642896180501</v>
      </c>
      <c r="AJ3441">
        <v>84.817948273161704</v>
      </c>
      <c r="AK3441">
        <v>0.56416149219893696</v>
      </c>
      <c r="AL3441">
        <v>78.435268376214196</v>
      </c>
      <c r="AM3441">
        <v>88.969326187572094</v>
      </c>
      <c r="AN3441">
        <v>0.99999996885639897</v>
      </c>
    </row>
    <row r="3442" spans="1:40" x14ac:dyDescent="0.25">
      <c r="A3442" t="str">
        <f>"20190303162848542"</f>
        <v>20190303162848542</v>
      </c>
      <c r="B3442" t="str">
        <f>"1551601728534810"</f>
        <v>1551601728534810</v>
      </c>
      <c r="C3442" t="s">
        <v>40</v>
      </c>
      <c r="D3442">
        <v>5.2970259999999998</v>
      </c>
      <c r="E3442">
        <v>0.52497019999999905</v>
      </c>
      <c r="F3442" t="s">
        <v>44</v>
      </c>
      <c r="G3442">
        <v>-275.6875</v>
      </c>
      <c r="H3442">
        <v>0.85437249999999998</v>
      </c>
      <c r="I3442">
        <v>214.20920000000001</v>
      </c>
      <c r="J3442">
        <v>-276.34030000000001</v>
      </c>
      <c r="K3442">
        <v>1.1211120000000001</v>
      </c>
      <c r="L3442">
        <v>214.27019999999999</v>
      </c>
      <c r="M3442">
        <v>0.9999401</v>
      </c>
      <c r="N3442">
        <v>-1.048254E-2</v>
      </c>
      <c r="O3442">
        <v>-3.1586129999999998E-3</v>
      </c>
      <c r="P3442">
        <v>0.98143329999999995</v>
      </c>
      <c r="Q3442">
        <v>0.1906091</v>
      </c>
      <c r="R3442">
        <v>-2.1377030000000002E-2</v>
      </c>
      <c r="S3442">
        <v>3.2496339999999999</v>
      </c>
      <c r="T3442">
        <v>-1.0224759999999999</v>
      </c>
      <c r="U3442">
        <v>-0.2350159</v>
      </c>
      <c r="V3442">
        <v>1.8284330000000001E-2</v>
      </c>
      <c r="W3442">
        <v>0.20088639999999999</v>
      </c>
      <c r="X3442">
        <v>0.97944390000000003</v>
      </c>
      <c r="Y3442">
        <v>6.5846139999999997E-2</v>
      </c>
      <c r="Z3442">
        <v>-9.5194170000000005E-3</v>
      </c>
      <c r="AA3442">
        <v>0.99778440000000002</v>
      </c>
      <c r="AB3442">
        <v>30</v>
      </c>
      <c r="AC3442">
        <v>0.65280000000001304</v>
      </c>
      <c r="AD3442">
        <v>-0.26673950000000002</v>
      </c>
      <c r="AE3442">
        <v>-6.0999999999978599E-2</v>
      </c>
      <c r="AF3442">
        <v>5.0567872587260698E-2</v>
      </c>
      <c r="AG3442">
        <v>-0.26673950000000002</v>
      </c>
      <c r="AH3442">
        <v>0.560258034163576</v>
      </c>
      <c r="AI3442">
        <v>115.369074910777</v>
      </c>
      <c r="AJ3442">
        <v>84.842561801465493</v>
      </c>
      <c r="AK3442">
        <v>0.62257219295683697</v>
      </c>
      <c r="AL3442">
        <v>78.411202021943097</v>
      </c>
      <c r="AM3442">
        <v>88.930522443605597</v>
      </c>
      <c r="AN3442">
        <v>1.0000000078378499</v>
      </c>
    </row>
    <row r="3443" spans="1:40" x14ac:dyDescent="0.25">
      <c r="A3443" t="str">
        <f>"20190303162848566"</f>
        <v>20190303162848566</v>
      </c>
      <c r="B3443" t="str">
        <f>"1551601728555307"</f>
        <v>1551601728555307</v>
      </c>
      <c r="C3443" t="s">
        <v>40</v>
      </c>
      <c r="D3443">
        <v>5.2800260000000003</v>
      </c>
      <c r="E3443">
        <v>0.524875599999999</v>
      </c>
      <c r="F3443" t="s">
        <v>44</v>
      </c>
      <c r="G3443">
        <v>-275.6653</v>
      </c>
      <c r="H3443">
        <v>0.90746610000000005</v>
      </c>
      <c r="I3443">
        <v>214.22069999999999</v>
      </c>
      <c r="J3443">
        <v>-276.0367</v>
      </c>
      <c r="K3443">
        <v>1.121113</v>
      </c>
      <c r="L3443">
        <v>214.26920000000001</v>
      </c>
      <c r="M3443">
        <v>0.9999401</v>
      </c>
      <c r="N3443">
        <v>-1.048321E-2</v>
      </c>
      <c r="O3443">
        <v>-3.158976E-3</v>
      </c>
      <c r="P3443">
        <v>0.9813598</v>
      </c>
      <c r="Q3443">
        <v>0.19095719999999999</v>
      </c>
      <c r="R3443">
        <v>-2.163785E-2</v>
      </c>
      <c r="S3443">
        <v>3.2514949999999998</v>
      </c>
      <c r="T3443">
        <v>-1.0290969999999999</v>
      </c>
      <c r="U3443">
        <v>-0.23744199999999999</v>
      </c>
      <c r="V3443">
        <v>1.8544959999999999E-2</v>
      </c>
      <c r="W3443">
        <v>0.20123440000000001</v>
      </c>
      <c r="X3443">
        <v>0.9793676</v>
      </c>
      <c r="Y3443">
        <v>6.6478079999999995E-2</v>
      </c>
      <c r="Z3443">
        <v>-9.6714790000000002E-3</v>
      </c>
      <c r="AA3443">
        <v>0.99774099999999999</v>
      </c>
      <c r="AB3443">
        <v>30</v>
      </c>
      <c r="AC3443">
        <v>0.37139999999999401</v>
      </c>
      <c r="AD3443">
        <v>-0.2136469</v>
      </c>
      <c r="AE3443">
        <v>-4.8500000000018403E-2</v>
      </c>
      <c r="AF3443">
        <v>3.5708339835014903E-2</v>
      </c>
      <c r="AG3443">
        <v>-0.2136469</v>
      </c>
      <c r="AH3443">
        <v>0.28033969292064898</v>
      </c>
      <c r="AI3443">
        <v>127.088987701066</v>
      </c>
      <c r="AJ3443">
        <v>82.741024701858194</v>
      </c>
      <c r="AK3443">
        <v>0.35427450774819602</v>
      </c>
      <c r="AL3443">
        <v>78.390847894499601</v>
      </c>
      <c r="AM3443">
        <v>88.915196938041802</v>
      </c>
      <c r="AN3443">
        <v>1.0000000476072499</v>
      </c>
    </row>
    <row r="3444" spans="1:40" x14ac:dyDescent="0.25">
      <c r="A3444" t="str">
        <f>"20190303162848587"</f>
        <v>20190303162848587</v>
      </c>
      <c r="B3444" t="str">
        <f>"1551601728574826"</f>
        <v>1551601728574826</v>
      </c>
      <c r="C3444" t="s">
        <v>40</v>
      </c>
      <c r="D3444">
        <v>5.2660910000000003</v>
      </c>
      <c r="E3444">
        <v>0.52479540000000002</v>
      </c>
      <c r="F3444" t="s">
        <v>44</v>
      </c>
      <c r="G3444">
        <v>-275.15719999999999</v>
      </c>
      <c r="H3444">
        <v>0.84025819999999996</v>
      </c>
      <c r="I3444">
        <v>214.20519999999999</v>
      </c>
      <c r="J3444">
        <v>-275.74439999999998</v>
      </c>
      <c r="K3444">
        <v>1.1211139999999999</v>
      </c>
      <c r="L3444">
        <v>214.26830000000001</v>
      </c>
      <c r="M3444">
        <v>0.99994019999999995</v>
      </c>
      <c r="N3444">
        <v>-1.0484139999999999E-2</v>
      </c>
      <c r="O3444">
        <v>-3.1591010000000001E-3</v>
      </c>
      <c r="P3444">
        <v>0.98130919999999999</v>
      </c>
      <c r="Q3444">
        <v>0.1911863</v>
      </c>
      <c r="R3444">
        <v>-2.1917450000000002E-2</v>
      </c>
      <c r="S3444">
        <v>3.2539669999999998</v>
      </c>
      <c r="T3444">
        <v>-1.0390629999999901</v>
      </c>
      <c r="U3444">
        <v>-0.2359772</v>
      </c>
      <c r="V3444">
        <v>1.882472E-2</v>
      </c>
      <c r="W3444">
        <v>0.20146420000000001</v>
      </c>
      <c r="X3444">
        <v>0.97931500000000005</v>
      </c>
      <c r="Y3444">
        <v>6.5948069999999998E-2</v>
      </c>
      <c r="Z3444">
        <v>-9.6653190000000003E-3</v>
      </c>
      <c r="AA3444">
        <v>0.99777629999999995</v>
      </c>
      <c r="AB3444">
        <v>30</v>
      </c>
      <c r="AC3444">
        <v>0.58719999999999495</v>
      </c>
      <c r="AD3444">
        <v>-0.28085579999999899</v>
      </c>
      <c r="AE3444">
        <v>-6.3100000000019904E-2</v>
      </c>
      <c r="AF3444">
        <v>4.9948416826801401E-2</v>
      </c>
      <c r="AG3444">
        <v>-0.28085579999999899</v>
      </c>
      <c r="AH3444">
        <v>0.47905514459777698</v>
      </c>
      <c r="AI3444">
        <v>120.24686104827001</v>
      </c>
      <c r="AJ3444">
        <v>84.047595082836395</v>
      </c>
      <c r="AK3444">
        <v>0.557555966969004</v>
      </c>
      <c r="AL3444">
        <v>78.377405840216099</v>
      </c>
      <c r="AM3444">
        <v>88.898777010564402</v>
      </c>
      <c r="AN3444">
        <v>1.0000000315948501</v>
      </c>
    </row>
    <row r="3445" spans="1:40" x14ac:dyDescent="0.25">
      <c r="A3445" t="str">
        <f>"20190303162848603"</f>
        <v>20190303162848603</v>
      </c>
      <c r="B3445" t="str">
        <f>"1551601728595323"</f>
        <v>1551601728595323</v>
      </c>
      <c r="C3445" t="s">
        <v>40</v>
      </c>
      <c r="D3445">
        <v>5.2529190000000003</v>
      </c>
      <c r="E3445">
        <v>0.5246963</v>
      </c>
      <c r="F3445" t="s">
        <v>44</v>
      </c>
      <c r="G3445">
        <v>-274.88679999999999</v>
      </c>
      <c r="H3445">
        <v>0.84554830000000003</v>
      </c>
      <c r="I3445">
        <v>214.2063</v>
      </c>
      <c r="J3445">
        <v>-275.5222</v>
      </c>
      <c r="K3445">
        <v>1.1211139999999999</v>
      </c>
      <c r="L3445">
        <v>214.26759999999999</v>
      </c>
      <c r="M3445">
        <v>0.9999401</v>
      </c>
      <c r="N3445">
        <v>-1.048499E-2</v>
      </c>
      <c r="O3445">
        <v>-3.1589869999999998E-3</v>
      </c>
      <c r="P3445">
        <v>0.98133280000000001</v>
      </c>
      <c r="Q3445">
        <v>0.19108320000000001</v>
      </c>
      <c r="R3445">
        <v>-2.1756250000000001E-2</v>
      </c>
      <c r="S3445">
        <v>3.2557369999999999</v>
      </c>
      <c r="T3445">
        <v>-1.0461800000000001</v>
      </c>
      <c r="U3445">
        <v>-0.23510739999999999</v>
      </c>
      <c r="V3445">
        <v>1.8663559999999999E-2</v>
      </c>
      <c r="W3445">
        <v>0.20136190000000001</v>
      </c>
      <c r="X3445">
        <v>0.97933910000000002</v>
      </c>
      <c r="Y3445">
        <v>6.5621540000000006E-2</v>
      </c>
      <c r="Z3445">
        <v>-9.6683889999999995E-3</v>
      </c>
      <c r="AA3445">
        <v>0.99779770000000001</v>
      </c>
      <c r="AB3445">
        <v>30</v>
      </c>
      <c r="AC3445">
        <v>0.63540000000000396</v>
      </c>
      <c r="AD3445">
        <v>-0.27556569999999903</v>
      </c>
      <c r="AE3445">
        <v>-6.1299999999988503E-2</v>
      </c>
      <c r="AF3445">
        <v>4.9978756613383898E-2</v>
      </c>
      <c r="AG3445">
        <v>-0.27556569999999903</v>
      </c>
      <c r="AH3445">
        <v>0.53575233467072203</v>
      </c>
      <c r="AI3445">
        <v>117.11831152345501</v>
      </c>
      <c r="AJ3445">
        <v>84.670469879420807</v>
      </c>
      <c r="AK3445">
        <v>0.60453692627848599</v>
      </c>
      <c r="AL3445">
        <v>78.383389554093199</v>
      </c>
      <c r="AM3445">
        <v>88.908229241593503</v>
      </c>
      <c r="AN3445">
        <v>1.00000000801614</v>
      </c>
    </row>
    <row r="3446" spans="1:40" x14ac:dyDescent="0.25">
      <c r="A3446" t="str">
        <f>"20190303162848620"</f>
        <v>20190303162848620</v>
      </c>
      <c r="B3446" t="str">
        <f>"1551601728614842"</f>
        <v>1551601728614842</v>
      </c>
      <c r="C3446" t="s">
        <v>40</v>
      </c>
      <c r="D3446">
        <v>5.2548029999999999</v>
      </c>
      <c r="E3446">
        <v>0.52468819999999905</v>
      </c>
      <c r="F3446" t="s">
        <v>44</v>
      </c>
      <c r="G3446">
        <v>-274.62400000000002</v>
      </c>
      <c r="H3446">
        <v>0.83135599999999998</v>
      </c>
      <c r="I3446">
        <v>214.203</v>
      </c>
      <c r="J3446">
        <v>-275.28129999999999</v>
      </c>
      <c r="K3446">
        <v>1.1211089999999999</v>
      </c>
      <c r="L3446">
        <v>214.26679999999999</v>
      </c>
      <c r="M3446">
        <v>0.99994019999999995</v>
      </c>
      <c r="N3446">
        <v>-1.048606E-2</v>
      </c>
      <c r="O3446">
        <v>-3.1588739999999999E-3</v>
      </c>
      <c r="P3446">
        <v>0.98129279999999997</v>
      </c>
      <c r="Q3446">
        <v>0.19131970000000001</v>
      </c>
      <c r="R3446">
        <v>-2.147814E-2</v>
      </c>
      <c r="S3446">
        <v>3.2564090000000001</v>
      </c>
      <c r="T3446">
        <v>-1.0505199999999999</v>
      </c>
      <c r="U3446">
        <v>-0.2333527</v>
      </c>
      <c r="V3446">
        <v>1.8385970000000001E-2</v>
      </c>
      <c r="W3446">
        <v>0.20159920000000001</v>
      </c>
      <c r="X3446">
        <v>0.97929560000000004</v>
      </c>
      <c r="Y3446">
        <v>6.5075670000000002E-2</v>
      </c>
      <c r="Z3446">
        <v>-9.6148090000000002E-3</v>
      </c>
      <c r="AA3446">
        <v>0.997834</v>
      </c>
      <c r="AB3446">
        <v>30</v>
      </c>
      <c r="AC3446">
        <v>0.65729999999996302</v>
      </c>
      <c r="AD3446">
        <v>-0.28975299999999898</v>
      </c>
      <c r="AE3446">
        <v>-6.3799999999986298E-2</v>
      </c>
      <c r="AF3446">
        <v>5.1759041902017702E-2</v>
      </c>
      <c r="AG3446">
        <v>-0.28975299999999898</v>
      </c>
      <c r="AH3446">
        <v>0.55135602725450705</v>
      </c>
      <c r="AI3446">
        <v>117.619800632313</v>
      </c>
      <c r="AJ3446">
        <v>84.637024491910594</v>
      </c>
      <c r="AK3446">
        <v>0.62500341456466202</v>
      </c>
      <c r="AL3446">
        <v>78.369509412935301</v>
      </c>
      <c r="AM3446">
        <v>88.924415943164604</v>
      </c>
      <c r="AN3446">
        <v>1.0000000767564099</v>
      </c>
    </row>
    <row r="3447" spans="1:40" x14ac:dyDescent="0.25">
      <c r="A3447" t="str">
        <f>"20190303162848638"</f>
        <v>20190303162848638</v>
      </c>
      <c r="B3447" t="str">
        <f>"1551601728635339"</f>
        <v>1551601728635339</v>
      </c>
      <c r="C3447" t="s">
        <v>40</v>
      </c>
      <c r="D3447">
        <v>5.1438499999999996</v>
      </c>
      <c r="E3447">
        <v>0.52471749999999995</v>
      </c>
      <c r="F3447" t="s">
        <v>44</v>
      </c>
      <c r="G3447">
        <v>-274.59620000000001</v>
      </c>
      <c r="H3447">
        <v>0.89944899999999905</v>
      </c>
      <c r="I3447">
        <v>214.21799999999999</v>
      </c>
      <c r="J3447">
        <v>-275.06009999999998</v>
      </c>
      <c r="K3447">
        <v>1.1211089999999999</v>
      </c>
      <c r="L3447">
        <v>214.26609999999999</v>
      </c>
      <c r="M3447">
        <v>0.99994019999999995</v>
      </c>
      <c r="N3447">
        <v>-1.0487160000000001E-2</v>
      </c>
      <c r="O3447">
        <v>-3.1586420000000001E-3</v>
      </c>
      <c r="P3447">
        <v>0.98125709999999999</v>
      </c>
      <c r="Q3447">
        <v>0.19149640000000001</v>
      </c>
      <c r="R3447">
        <v>-2.1543880000000001E-2</v>
      </c>
      <c r="S3447">
        <v>3.2575989999999999</v>
      </c>
      <c r="T3447">
        <v>-1.0540449999999999</v>
      </c>
      <c r="U3447">
        <v>-0.23117070000000001</v>
      </c>
      <c r="V3447">
        <v>1.8451789999999999E-2</v>
      </c>
      <c r="W3447">
        <v>0.2017766</v>
      </c>
      <c r="X3447">
        <v>0.97925779999999996</v>
      </c>
      <c r="Y3447">
        <v>6.4401459999999994E-2</v>
      </c>
      <c r="Z3447">
        <v>-9.5315599999999997E-3</v>
      </c>
      <c r="AA3447">
        <v>0.99787859999999995</v>
      </c>
      <c r="AB3447">
        <v>30</v>
      </c>
      <c r="AC3447">
        <v>0.46389999999996601</v>
      </c>
      <c r="AD3447">
        <v>-0.22166</v>
      </c>
      <c r="AE3447">
        <v>-4.8100000000005097E-2</v>
      </c>
      <c r="AF3447">
        <v>3.8041493360748801E-2</v>
      </c>
      <c r="AG3447">
        <v>-0.22166</v>
      </c>
      <c r="AH3447">
        <v>0.378543438578963</v>
      </c>
      <c r="AI3447">
        <v>120.226175453229</v>
      </c>
      <c r="AJ3447">
        <v>84.261362025462006</v>
      </c>
      <c r="AK3447">
        <v>0.44031289523281197</v>
      </c>
      <c r="AL3447">
        <v>78.359131588692307</v>
      </c>
      <c r="AM3447">
        <v>88.920524708365804</v>
      </c>
      <c r="AN3447">
        <v>1.0000000518612999</v>
      </c>
    </row>
    <row r="3448" spans="1:40" x14ac:dyDescent="0.25">
      <c r="A3448" t="str">
        <f>"20190303162848653"</f>
        <v>20190303162848653</v>
      </c>
      <c r="B3448" t="str">
        <f>"1551601728645099"</f>
        <v>1551601728645099</v>
      </c>
      <c r="C3448" t="s">
        <v>40</v>
      </c>
      <c r="D3448">
        <v>5.1608739999999997</v>
      </c>
      <c r="E3448">
        <v>0.53048680000000004</v>
      </c>
      <c r="F3448" t="s">
        <v>44</v>
      </c>
      <c r="G3448">
        <v>-274.3331</v>
      </c>
      <c r="H3448">
        <v>0.88679039999999998</v>
      </c>
      <c r="I3448">
        <v>214.21440000000001</v>
      </c>
      <c r="J3448">
        <v>-274.84719999999999</v>
      </c>
      <c r="K3448">
        <v>1.1211100000000001</v>
      </c>
      <c r="L3448">
        <v>214.2655</v>
      </c>
      <c r="M3448">
        <v>0.99994019999999995</v>
      </c>
      <c r="N3448">
        <v>-1.0488320000000001E-2</v>
      </c>
      <c r="O3448">
        <v>-3.1585290000000002E-3</v>
      </c>
      <c r="P3448">
        <v>0.98123649999999996</v>
      </c>
      <c r="Q3448">
        <v>0.19160079999999999</v>
      </c>
      <c r="R3448">
        <v>-2.1555270000000001E-2</v>
      </c>
      <c r="S3448">
        <v>3.2570800000000002</v>
      </c>
      <c r="T3448">
        <v>-1.049777</v>
      </c>
      <c r="U3448">
        <v>-0.23162840000000001</v>
      </c>
      <c r="V3448">
        <v>1.8463429999999999E-2</v>
      </c>
      <c r="W3448">
        <v>0.20188130000000001</v>
      </c>
      <c r="X3448">
        <v>0.97923590000000005</v>
      </c>
      <c r="Y3448">
        <v>6.4567749999999993E-2</v>
      </c>
      <c r="Z3448">
        <v>-9.5246410000000004E-3</v>
      </c>
      <c r="AA3448">
        <v>0.99786790000000003</v>
      </c>
      <c r="AB3448">
        <v>30</v>
      </c>
      <c r="AC3448">
        <v>0.51409999999998401</v>
      </c>
      <c r="AD3448">
        <v>-0.23431959999999999</v>
      </c>
      <c r="AE3448">
        <v>-5.1099999999991E-2</v>
      </c>
      <c r="AF3448">
        <v>4.1034672965586202E-2</v>
      </c>
      <c r="AG3448">
        <v>-0.23431959999999999</v>
      </c>
      <c r="AH3448">
        <v>0.42652002607634598</v>
      </c>
      <c r="AI3448">
        <v>118.672060783299</v>
      </c>
      <c r="AJ3448">
        <v>84.504596531170293</v>
      </c>
      <c r="AK3448">
        <v>0.48837368067261699</v>
      </c>
      <c r="AL3448">
        <v>78.353005503795004</v>
      </c>
      <c r="AM3448">
        <v>88.919819749606503</v>
      </c>
      <c r="AN3448">
        <v>0.99999995269293096</v>
      </c>
    </row>
    <row r="3449" spans="1:40" x14ac:dyDescent="0.25">
      <c r="A3449" t="str">
        <f>"20190303162848676"</f>
        <v>20190303162848676</v>
      </c>
      <c r="B3449" t="str">
        <f>"1551601728664619"</f>
        <v>1551601728664619</v>
      </c>
      <c r="C3449" t="s">
        <v>40</v>
      </c>
      <c r="D3449">
        <v>5.1887670000000004</v>
      </c>
      <c r="E3449">
        <v>0.53032789999999996</v>
      </c>
      <c r="F3449" t="s">
        <v>44</v>
      </c>
      <c r="G3449">
        <v>-274.02879999999999</v>
      </c>
      <c r="H3449">
        <v>0.96376799999999996</v>
      </c>
      <c r="I3449">
        <v>214.19130000000001</v>
      </c>
      <c r="J3449">
        <v>-274.55</v>
      </c>
      <c r="K3449">
        <v>1.121097</v>
      </c>
      <c r="L3449">
        <v>214.2645</v>
      </c>
      <c r="M3449">
        <v>0.9999401</v>
      </c>
      <c r="N3449">
        <v>-1.0490070000000001E-2</v>
      </c>
      <c r="O3449">
        <v>-3.1583000000000002E-3</v>
      </c>
      <c r="P3449">
        <v>0.98128740000000003</v>
      </c>
      <c r="Q3449">
        <v>0.19138830000000001</v>
      </c>
      <c r="R3449">
        <v>-2.1123860000000001E-2</v>
      </c>
      <c r="S3449">
        <v>3.170105</v>
      </c>
      <c r="T3449">
        <v>-0.60960439999999905</v>
      </c>
      <c r="U3449">
        <v>-0.28646850000000001</v>
      </c>
      <c r="V3449">
        <v>1.8031789999999999E-2</v>
      </c>
      <c r="W3449">
        <v>0.20167109999999999</v>
      </c>
      <c r="X3449">
        <v>0.97928729999999997</v>
      </c>
      <c r="Y3449">
        <v>8.5267880000000004E-2</v>
      </c>
      <c r="Z3449">
        <v>-7.9924999999999996E-3</v>
      </c>
      <c r="AA3449">
        <v>0.99632600000000004</v>
      </c>
      <c r="AB3449">
        <v>30</v>
      </c>
      <c r="AC3449">
        <v>0.52120000000002098</v>
      </c>
      <c r="AD3449">
        <v>-0.157328999999999</v>
      </c>
      <c r="AE3449">
        <v>-7.3199999999985693E-2</v>
      </c>
      <c r="AF3449">
        <v>6.5684139087578905E-2</v>
      </c>
      <c r="AG3449">
        <v>-0.157328999999999</v>
      </c>
      <c r="AH3449">
        <v>0.478657482122538</v>
      </c>
      <c r="AI3449">
        <v>108.03713224756901</v>
      </c>
      <c r="AJ3449">
        <v>82.186345024118495</v>
      </c>
      <c r="AK3449">
        <v>0.50811396906655104</v>
      </c>
      <c r="AL3449">
        <v>78.365302518278199</v>
      </c>
      <c r="AM3449">
        <v>88.945121899514902</v>
      </c>
      <c r="AN3449">
        <v>0.99999999698355202</v>
      </c>
    </row>
    <row r="3450" spans="1:40" x14ac:dyDescent="0.25">
      <c r="A3450" t="str">
        <f>"20190303162848699"</f>
        <v>20190303162848699</v>
      </c>
      <c r="B3450" t="str">
        <f>"1551601728685119"</f>
        <v>1551601728685119</v>
      </c>
      <c r="C3450" t="s">
        <v>40</v>
      </c>
      <c r="D3450">
        <v>5.1292099999999996</v>
      </c>
      <c r="E3450">
        <v>0.53115690000000004</v>
      </c>
      <c r="F3450" t="s">
        <v>44</v>
      </c>
      <c r="G3450">
        <v>-273.72949999999997</v>
      </c>
      <c r="H3450">
        <v>1.0250429999999999</v>
      </c>
      <c r="I3450">
        <v>214.18860000000001</v>
      </c>
      <c r="J3450">
        <v>-274.2432</v>
      </c>
      <c r="K3450">
        <v>1.1210960000000001</v>
      </c>
      <c r="L3450">
        <v>214.26349999999999</v>
      </c>
      <c r="M3450">
        <v>0.9999401</v>
      </c>
      <c r="N3450">
        <v>-1.0492E-2</v>
      </c>
      <c r="O3450">
        <v>-3.1581909999999999E-3</v>
      </c>
      <c r="P3450">
        <v>0.98123939999999998</v>
      </c>
      <c r="Q3450">
        <v>0.19165209999999999</v>
      </c>
      <c r="R3450">
        <v>-2.094907E-2</v>
      </c>
      <c r="S3450">
        <v>3.1222840000000001</v>
      </c>
      <c r="T3450">
        <v>-0.3655119</v>
      </c>
      <c r="U3450">
        <v>-0.28861999999999999</v>
      </c>
      <c r="V3450">
        <v>1.7857689999999999E-2</v>
      </c>
      <c r="W3450">
        <v>0.2019368</v>
      </c>
      <c r="X3450">
        <v>0.97923570000000004</v>
      </c>
      <c r="Y3450">
        <v>8.8266699999999906E-2</v>
      </c>
      <c r="Z3450">
        <v>-5.2691200000000004E-3</v>
      </c>
      <c r="AA3450">
        <v>0.99608300000000005</v>
      </c>
      <c r="AB3450">
        <v>30</v>
      </c>
      <c r="AC3450">
        <v>0.51370000000002802</v>
      </c>
      <c r="AD3450">
        <v>-9.6052999999999902E-2</v>
      </c>
      <c r="AE3450">
        <v>-7.4899999999985298E-2</v>
      </c>
      <c r="AF3450">
        <v>7.0851590132047504E-2</v>
      </c>
      <c r="AG3450">
        <v>-9.6052999999999902E-2</v>
      </c>
      <c r="AH3450">
        <v>0.49692201244649498</v>
      </c>
      <c r="AI3450">
        <v>100.833188541788</v>
      </c>
      <c r="AJ3450">
        <v>81.885408976648705</v>
      </c>
      <c r="AK3450">
        <v>0.51105539140793099</v>
      </c>
      <c r="AL3450">
        <v>78.349758830522603</v>
      </c>
      <c r="AM3450">
        <v>88.955249621659505</v>
      </c>
      <c r="AN3450">
        <v>0.99999996222043197</v>
      </c>
    </row>
    <row r="3451" spans="1:40" x14ac:dyDescent="0.25">
      <c r="A3451" t="str">
        <f>"20190303162848716"</f>
        <v>20190303162848716</v>
      </c>
      <c r="B3451" t="str">
        <f>"1551601728704640"</f>
        <v>1551601728704640</v>
      </c>
      <c r="C3451" t="s">
        <v>40</v>
      </c>
      <c r="D3451">
        <v>5.1160949999999996</v>
      </c>
      <c r="E3451">
        <v>0.53123069999999994</v>
      </c>
      <c r="F3451" t="s">
        <v>48</v>
      </c>
      <c r="G3451">
        <v>-260.04450000000003</v>
      </c>
      <c r="H3451" s="1">
        <v>-1.438182E-6</v>
      </c>
      <c r="I3451">
        <v>212.9023</v>
      </c>
      <c r="J3451">
        <v>-274.00760000000002</v>
      </c>
      <c r="K3451">
        <v>1.1210979999999999</v>
      </c>
      <c r="L3451">
        <v>214.2628</v>
      </c>
      <c r="M3451">
        <v>0.99994000000000005</v>
      </c>
      <c r="N3451">
        <v>-1.049656E-2</v>
      </c>
      <c r="O3451">
        <v>-3.157857E-3</v>
      </c>
      <c r="P3451">
        <v>0.9811879</v>
      </c>
      <c r="Q3451">
        <v>0.19191849999999999</v>
      </c>
      <c r="R3451">
        <v>-2.092018E-2</v>
      </c>
      <c r="S3451">
        <v>3.0988159999999998</v>
      </c>
      <c r="T3451">
        <v>-0.24467530000000001</v>
      </c>
      <c r="U3451">
        <v>-0.29708859999999998</v>
      </c>
      <c r="V3451">
        <v>1.78292E-2</v>
      </c>
      <c r="W3451">
        <v>0.20220730000000001</v>
      </c>
      <c r="X3451">
        <v>0.97918050000000001</v>
      </c>
      <c r="Y3451">
        <v>9.1975570000000006E-2</v>
      </c>
      <c r="Z3451">
        <v>-3.8865219999999999E-3</v>
      </c>
      <c r="AA3451">
        <v>0.99575369999999996</v>
      </c>
      <c r="AB3451">
        <v>30</v>
      </c>
      <c r="AC3451">
        <v>13.963099999999899</v>
      </c>
      <c r="AD3451">
        <v>-1.1210994381820001</v>
      </c>
      <c r="AE3451">
        <v>-1.3605</v>
      </c>
      <c r="AF3451">
        <v>1.30804429850055</v>
      </c>
      <c r="AG3451">
        <v>-1.1210994381820001</v>
      </c>
      <c r="AH3451">
        <v>13.878699119123</v>
      </c>
      <c r="AI3451">
        <v>94.597947166181001</v>
      </c>
      <c r="AJ3451">
        <v>84.615872481576602</v>
      </c>
      <c r="AK3451">
        <v>13.9852112274459</v>
      </c>
      <c r="AL3451">
        <v>78.333935043973199</v>
      </c>
      <c r="AM3451">
        <v>88.956857249100196</v>
      </c>
      <c r="AN3451">
        <v>1.00000006206308</v>
      </c>
    </row>
    <row r="3452" spans="1:40" x14ac:dyDescent="0.25">
      <c r="A3452" t="str">
        <f>"20190303162848732"</f>
        <v>20190303162848732</v>
      </c>
      <c r="B3452" t="str">
        <f>"1551601728725136"</f>
        <v>1551601728725136</v>
      </c>
      <c r="C3452" t="s">
        <v>40</v>
      </c>
      <c r="D3452">
        <v>5.130172</v>
      </c>
      <c r="E3452">
        <v>0.53130710000000003</v>
      </c>
      <c r="F3452" t="s">
        <v>48</v>
      </c>
      <c r="G3452">
        <v>-257.03699999999998</v>
      </c>
      <c r="H3452" s="1">
        <v>2.294961E-6</v>
      </c>
      <c r="I3452">
        <v>212.6251</v>
      </c>
      <c r="J3452">
        <v>-273.78500000000003</v>
      </c>
      <c r="K3452">
        <v>1.1210990000000001</v>
      </c>
      <c r="L3452">
        <v>214.2621</v>
      </c>
      <c r="M3452">
        <v>0.99993989999999999</v>
      </c>
      <c r="N3452">
        <v>-1.0503520000000001E-2</v>
      </c>
      <c r="O3452">
        <v>-3.1577739999999999E-3</v>
      </c>
      <c r="P3452">
        <v>0.98126950000000002</v>
      </c>
      <c r="Q3452">
        <v>0.19151550000000001</v>
      </c>
      <c r="R3452">
        <v>-2.0783860000000001E-2</v>
      </c>
      <c r="S3452">
        <v>3.0910950000000001</v>
      </c>
      <c r="T3452">
        <v>-0.2042004</v>
      </c>
      <c r="U3452">
        <v>-0.29829410000000001</v>
      </c>
      <c r="V3452">
        <v>1.769271E-2</v>
      </c>
      <c r="W3452">
        <v>0.20181170000000001</v>
      </c>
      <c r="X3452">
        <v>0.97926449999999998</v>
      </c>
      <c r="Y3452">
        <v>9.268361E-2</v>
      </c>
      <c r="Z3452">
        <v>-3.3646599999999998E-3</v>
      </c>
      <c r="AA3452">
        <v>0.99568990000000002</v>
      </c>
      <c r="AB3452">
        <v>30</v>
      </c>
      <c r="AC3452">
        <v>16.747999999999902</v>
      </c>
      <c r="AD3452">
        <v>-1.1210967050389999</v>
      </c>
      <c r="AE3452">
        <v>-1.637</v>
      </c>
      <c r="AF3452">
        <v>1.5771026404499999</v>
      </c>
      <c r="AG3452">
        <v>-1.1210967050389999</v>
      </c>
      <c r="AH3452">
        <v>16.679056975945802</v>
      </c>
      <c r="AI3452">
        <v>93.828374184164204</v>
      </c>
      <c r="AJ3452">
        <v>84.598408075547695</v>
      </c>
      <c r="AK3452">
        <v>16.790921718816101</v>
      </c>
      <c r="AL3452">
        <v>78.357077389198906</v>
      </c>
      <c r="AM3452">
        <v>88.964929975015195</v>
      </c>
      <c r="AN3452">
        <v>0.99999997760214099</v>
      </c>
    </row>
    <row r="3453" spans="1:40" x14ac:dyDescent="0.25">
      <c r="A3453" t="str">
        <f>"20190303162848755"</f>
        <v>20190303162848755</v>
      </c>
      <c r="B3453" t="str">
        <f>"1551601728744656"</f>
        <v>1551601728744656</v>
      </c>
      <c r="C3453" t="s">
        <v>40</v>
      </c>
      <c r="D3453">
        <v>5.0992110000000004</v>
      </c>
      <c r="E3453">
        <v>0.53151419999999905</v>
      </c>
      <c r="F3453" t="s">
        <v>48</v>
      </c>
      <c r="G3453">
        <v>-255.00720000000001</v>
      </c>
      <c r="H3453" s="1">
        <v>1.222595E-6</v>
      </c>
      <c r="I3453">
        <v>212.44720000000001</v>
      </c>
      <c r="J3453">
        <v>-273.48390000000001</v>
      </c>
      <c r="K3453">
        <v>1.1211070000000001</v>
      </c>
      <c r="L3453">
        <v>214.2611</v>
      </c>
      <c r="M3453">
        <v>0.99993969999999999</v>
      </c>
      <c r="N3453">
        <v>-1.0515E-2</v>
      </c>
      <c r="O3453">
        <v>-3.1574770000000001E-3</v>
      </c>
      <c r="P3453">
        <v>0.98125119999999999</v>
      </c>
      <c r="Q3453">
        <v>0.19159950000000001</v>
      </c>
      <c r="R3453">
        <v>-2.0878689999999998E-2</v>
      </c>
      <c r="S3453">
        <v>3.086884</v>
      </c>
      <c r="T3453">
        <v>-0.1842973</v>
      </c>
      <c r="U3453">
        <v>-0.29835509999999998</v>
      </c>
      <c r="V3453">
        <v>1.7787879999999999E-2</v>
      </c>
      <c r="W3453">
        <v>0.20190649999999999</v>
      </c>
      <c r="X3453">
        <v>0.97924330000000004</v>
      </c>
      <c r="Y3453">
        <v>9.2871579999999995E-2</v>
      </c>
      <c r="Z3453">
        <v>-3.098614E-3</v>
      </c>
      <c r="AA3453">
        <v>0.99567329999999998</v>
      </c>
      <c r="AB3453">
        <v>30</v>
      </c>
      <c r="AC3453">
        <v>18.476699999999902</v>
      </c>
      <c r="AD3453">
        <v>-1.1211057774049999</v>
      </c>
      <c r="AE3453">
        <v>-1.8138999999999801</v>
      </c>
      <c r="AF3453">
        <v>1.7491695901515101</v>
      </c>
      <c r="AG3453">
        <v>-1.1211057774049999</v>
      </c>
      <c r="AH3453">
        <v>18.415184187726901</v>
      </c>
      <c r="AI3453">
        <v>93.468262004515395</v>
      </c>
      <c r="AJ3453">
        <v>84.574029014769593</v>
      </c>
      <c r="AK3453">
        <v>18.532012332370901</v>
      </c>
      <c r="AL3453">
        <v>78.351532347164607</v>
      </c>
      <c r="AM3453">
        <v>88.959340976857206</v>
      </c>
      <c r="AN3453">
        <v>1.00000004200601</v>
      </c>
    </row>
    <row r="3454" spans="1:40" x14ac:dyDescent="0.25">
      <c r="A3454" t="str">
        <f>"20190303162848777"</f>
        <v>20190303162848777</v>
      </c>
      <c r="B3454" t="str">
        <f>"1551601728766129"</f>
        <v>1551601728766129</v>
      </c>
      <c r="C3454" t="s">
        <v>40</v>
      </c>
      <c r="D3454">
        <v>5.0450480000000004</v>
      </c>
      <c r="E3454">
        <v>0.53164299999999998</v>
      </c>
      <c r="F3454" t="s">
        <v>48</v>
      </c>
      <c r="G3454">
        <v>-253.32220000000001</v>
      </c>
      <c r="H3454" s="1">
        <v>3.3271779999999999E-7</v>
      </c>
      <c r="I3454">
        <v>212.2921</v>
      </c>
      <c r="J3454">
        <v>-273.1848</v>
      </c>
      <c r="K3454">
        <v>1.121111</v>
      </c>
      <c r="L3454">
        <v>214.2602</v>
      </c>
      <c r="M3454">
        <v>0.99993969999999999</v>
      </c>
      <c r="N3454">
        <v>-1.0526519999999999E-2</v>
      </c>
      <c r="O3454">
        <v>-3.1572990000000001E-3</v>
      </c>
      <c r="P3454">
        <v>0.98124310000000003</v>
      </c>
      <c r="Q3454">
        <v>0.19166720000000001</v>
      </c>
      <c r="R3454">
        <v>-2.063825E-2</v>
      </c>
      <c r="S3454">
        <v>3.084381</v>
      </c>
      <c r="T3454">
        <v>-0.17150950000000001</v>
      </c>
      <c r="U3454">
        <v>-0.30122379999999999</v>
      </c>
      <c r="V3454">
        <v>1.75476E-2</v>
      </c>
      <c r="W3454">
        <v>0.2019859</v>
      </c>
      <c r="X3454">
        <v>0.97923119999999997</v>
      </c>
      <c r="Y3454">
        <v>9.3887650000000003E-2</v>
      </c>
      <c r="Z3454">
        <v>-2.9560820000000001E-3</v>
      </c>
      <c r="AA3454">
        <v>0.99557839999999997</v>
      </c>
      <c r="AB3454">
        <v>30</v>
      </c>
      <c r="AC3454">
        <v>19.862599999999901</v>
      </c>
      <c r="AD3454">
        <v>-1.1211106672822</v>
      </c>
      <c r="AE3454">
        <v>-1.96809999999999</v>
      </c>
      <c r="AF3454">
        <v>1.89938224614063</v>
      </c>
      <c r="AG3454">
        <v>-1.1211106672822</v>
      </c>
      <c r="AH3454">
        <v>19.806229104093401</v>
      </c>
      <c r="AI3454">
        <v>93.224946303857806</v>
      </c>
      <c r="AJ3454">
        <v>84.522187549922705</v>
      </c>
      <c r="AK3454">
        <v>19.928654078213299</v>
      </c>
      <c r="AL3454">
        <v>78.346886657561896</v>
      </c>
      <c r="AM3454">
        <v>88.9733825642775</v>
      </c>
      <c r="AN3454">
        <v>0.99999998255900402</v>
      </c>
    </row>
    <row r="3455" spans="1:40" x14ac:dyDescent="0.25">
      <c r="A3455" t="str">
        <f>"20190303162848800"</f>
        <v>20190303162848800</v>
      </c>
      <c r="B3455" t="str">
        <f>"1551601728795408"</f>
        <v>1551601728795408</v>
      </c>
      <c r="C3455" t="s">
        <v>40</v>
      </c>
      <c r="D3455">
        <v>5.0171849999999996</v>
      </c>
      <c r="E3455">
        <v>0.53211049999999904</v>
      </c>
      <c r="F3455" t="s">
        <v>48</v>
      </c>
      <c r="G3455">
        <v>-251.7816</v>
      </c>
      <c r="H3455" s="1">
        <v>-4.8162089999999998E-7</v>
      </c>
      <c r="I3455">
        <v>212.16579999999999</v>
      </c>
      <c r="J3455">
        <v>-272.88080000000002</v>
      </c>
      <c r="K3455">
        <v>1.1211089999999999</v>
      </c>
      <c r="L3455">
        <v>214.25919999999999</v>
      </c>
      <c r="M3455">
        <v>0.99993960000000004</v>
      </c>
      <c r="N3455">
        <v>-1.053777E-2</v>
      </c>
      <c r="O3455">
        <v>-3.1572390000000001E-3</v>
      </c>
      <c r="P3455">
        <v>0.98119579999999995</v>
      </c>
      <c r="Q3455">
        <v>0.19189600000000001</v>
      </c>
      <c r="R3455">
        <v>-2.0762349999999999E-2</v>
      </c>
      <c r="S3455">
        <v>3.0825499999999999</v>
      </c>
      <c r="T3455">
        <v>-0.161465</v>
      </c>
      <c r="U3455">
        <v>-0.30163570000000001</v>
      </c>
      <c r="V3455">
        <v>1.7671829999999999E-2</v>
      </c>
      <c r="W3455">
        <v>0.2022255</v>
      </c>
      <c r="X3455">
        <v>0.97917960000000004</v>
      </c>
      <c r="Y3455">
        <v>9.4093670000000004E-2</v>
      </c>
      <c r="Z3455">
        <v>-2.822466E-3</v>
      </c>
      <c r="AA3455">
        <v>0.99555930000000004</v>
      </c>
      <c r="AB3455">
        <v>30</v>
      </c>
      <c r="AC3455">
        <v>21.0992</v>
      </c>
      <c r="AD3455">
        <v>-1.1211094816209</v>
      </c>
      <c r="AE3455">
        <v>-2.0933999999999999</v>
      </c>
      <c r="AF3455">
        <v>2.0211199613037101</v>
      </c>
      <c r="AG3455">
        <v>-1.1211094816209</v>
      </c>
      <c r="AH3455">
        <v>21.046861245792901</v>
      </c>
      <c r="AI3455">
        <v>93.035173547709405</v>
      </c>
      <c r="AJ3455">
        <v>84.514733692527997</v>
      </c>
      <c r="AK3455">
        <v>21.1733837793447</v>
      </c>
      <c r="AL3455">
        <v>78.332870330582594</v>
      </c>
      <c r="AM3455">
        <v>88.9660616239522</v>
      </c>
      <c r="AN3455">
        <v>1.0000000677409699</v>
      </c>
    </row>
    <row r="3456" spans="1:40" x14ac:dyDescent="0.25">
      <c r="A3456" t="str">
        <f>"20190303162848822"</f>
        <v>20190303162848822</v>
      </c>
      <c r="B3456" t="str">
        <f>"1551601728814928"</f>
        <v>1551601728814928</v>
      </c>
      <c r="C3456" t="s">
        <v>40</v>
      </c>
      <c r="D3456">
        <v>5.0010760000000003</v>
      </c>
      <c r="E3456">
        <v>0.53251169999999903</v>
      </c>
      <c r="F3456" t="s">
        <v>48</v>
      </c>
      <c r="G3456">
        <v>-250.02860000000001</v>
      </c>
      <c r="H3456" s="1">
        <v>-1.406805E-6</v>
      </c>
      <c r="I3456">
        <v>211.99090000000001</v>
      </c>
      <c r="J3456">
        <v>-272.56599999999997</v>
      </c>
      <c r="K3456">
        <v>1.121102</v>
      </c>
      <c r="L3456">
        <v>214.25819999999999</v>
      </c>
      <c r="M3456">
        <v>0.99993940000000003</v>
      </c>
      <c r="N3456">
        <v>-1.0548989999999999E-2</v>
      </c>
      <c r="O3456">
        <v>-3.1569409999999999E-3</v>
      </c>
      <c r="P3456">
        <v>0.98112569999999999</v>
      </c>
      <c r="Q3456">
        <v>0.1922181</v>
      </c>
      <c r="R3456">
        <v>-2.1086170000000001E-2</v>
      </c>
      <c r="S3456">
        <v>3.0806269999999998</v>
      </c>
      <c r="T3456">
        <v>-0.1511332</v>
      </c>
      <c r="U3456">
        <v>-0.30578610000000001</v>
      </c>
      <c r="V3456">
        <v>1.799626E-2</v>
      </c>
      <c r="W3456">
        <v>0.2025575</v>
      </c>
      <c r="X3456">
        <v>0.979105</v>
      </c>
      <c r="Y3456">
        <v>9.5497330000000005E-2</v>
      </c>
      <c r="Z3456">
        <v>-2.7194989999999998E-3</v>
      </c>
      <c r="AA3456">
        <v>0.99542600000000003</v>
      </c>
      <c r="AB3456">
        <v>30</v>
      </c>
      <c r="AC3456">
        <v>22.537399999999899</v>
      </c>
      <c r="AD3456">
        <v>-1.1211034068050001</v>
      </c>
      <c r="AE3456">
        <v>-2.2672999999999699</v>
      </c>
      <c r="AF3456">
        <v>2.1907688050145699</v>
      </c>
      <c r="AG3456">
        <v>-1.1211034068050001</v>
      </c>
      <c r="AH3456">
        <v>22.489353951367701</v>
      </c>
      <c r="AI3456">
        <v>92.840432369960098</v>
      </c>
      <c r="AJ3456">
        <v>84.436167017735599</v>
      </c>
      <c r="AK3456">
        <v>22.623602320489798</v>
      </c>
      <c r="AL3456">
        <v>78.313445383373207</v>
      </c>
      <c r="AM3456">
        <v>88.947003995275296</v>
      </c>
      <c r="AN3456">
        <v>1.00000000360261</v>
      </c>
    </row>
    <row r="3457" spans="1:40" x14ac:dyDescent="0.25">
      <c r="A3457" t="str">
        <f>"20190303162848844"</f>
        <v>20190303162848844</v>
      </c>
      <c r="B3457" t="str">
        <f>"1551601728835424"</f>
        <v>1551601728835424</v>
      </c>
      <c r="C3457" t="s">
        <v>40</v>
      </c>
      <c r="D3457">
        <v>5.003501</v>
      </c>
      <c r="E3457">
        <v>0.53279299999999996</v>
      </c>
      <c r="F3457" t="s">
        <v>48</v>
      </c>
      <c r="G3457">
        <v>-248.851</v>
      </c>
      <c r="H3457" s="1">
        <v>3.2931650000000002E-6</v>
      </c>
      <c r="I3457">
        <v>211.87370000000001</v>
      </c>
      <c r="J3457">
        <v>-272.28530000000001</v>
      </c>
      <c r="K3457">
        <v>1.1211059999999999</v>
      </c>
      <c r="L3457">
        <v>214.25729999999999</v>
      </c>
      <c r="M3457">
        <v>0.99993929999999998</v>
      </c>
      <c r="N3457">
        <v>-1.055847E-2</v>
      </c>
      <c r="O3457">
        <v>-3.1568719999999998E-3</v>
      </c>
      <c r="P3457">
        <v>0.98101499999999997</v>
      </c>
      <c r="Q3457">
        <v>0.19274369999999999</v>
      </c>
      <c r="R3457">
        <v>-2.1441780000000001E-2</v>
      </c>
      <c r="S3457">
        <v>3.07959</v>
      </c>
      <c r="T3457">
        <v>-0.1455842</v>
      </c>
      <c r="U3457">
        <v>-0.30964659999999999</v>
      </c>
      <c r="V3457">
        <v>1.8352250000000001E-2</v>
      </c>
      <c r="W3457">
        <v>0.2030912</v>
      </c>
      <c r="X3457">
        <v>0.97898779999999996</v>
      </c>
      <c r="Y3457">
        <v>9.6772869999999997E-2</v>
      </c>
      <c r="Z3457">
        <v>-2.677394E-3</v>
      </c>
      <c r="AA3457">
        <v>0.99530289999999999</v>
      </c>
      <c r="AB3457">
        <v>30</v>
      </c>
      <c r="AC3457">
        <v>23.4343</v>
      </c>
      <c r="AD3457">
        <v>-1.1211027068349999</v>
      </c>
      <c r="AE3457">
        <v>-2.3835999999999702</v>
      </c>
      <c r="AF3457">
        <v>2.30438489785426</v>
      </c>
      <c r="AG3457">
        <v>-1.1211027068349999</v>
      </c>
      <c r="AH3457">
        <v>23.388726959905799</v>
      </c>
      <c r="AI3457">
        <v>92.731081227675304</v>
      </c>
      <c r="AJ3457">
        <v>84.373067899457496</v>
      </c>
      <c r="AK3457">
        <v>23.5286975806515</v>
      </c>
      <c r="AL3457">
        <v>78.282217238253395</v>
      </c>
      <c r="AM3457">
        <v>88.926050638479296</v>
      </c>
      <c r="AN3457">
        <v>0.99999997657316997</v>
      </c>
    </row>
    <row r="3458" spans="1:40" x14ac:dyDescent="0.25">
      <c r="A3458" t="str">
        <f>"20190303162848865"</f>
        <v>20190303162848865</v>
      </c>
      <c r="B3458" t="str">
        <f>"1551601728854944"</f>
        <v>1551601728854944</v>
      </c>
      <c r="C3458" t="s">
        <v>40</v>
      </c>
      <c r="D3458">
        <v>4.9799819999999997</v>
      </c>
      <c r="E3458">
        <v>0.53296169999999998</v>
      </c>
      <c r="F3458" t="s">
        <v>48</v>
      </c>
      <c r="G3458">
        <v>-247.73179999999999</v>
      </c>
      <c r="H3458" s="1">
        <v>2.7024510000000001E-6</v>
      </c>
      <c r="I3458">
        <v>211.76179999999999</v>
      </c>
      <c r="J3458">
        <v>-271.98500000000001</v>
      </c>
      <c r="K3458">
        <v>1.121108</v>
      </c>
      <c r="L3458">
        <v>214.25640000000001</v>
      </c>
      <c r="M3458">
        <v>0.99993929999999998</v>
      </c>
      <c r="N3458">
        <v>-1.056791E-2</v>
      </c>
      <c r="O3458">
        <v>-3.156683E-3</v>
      </c>
      <c r="P3458">
        <v>0.98091150000000005</v>
      </c>
      <c r="Q3458">
        <v>0.1932441</v>
      </c>
      <c r="R3458">
        <v>-2.167823E-2</v>
      </c>
      <c r="S3458">
        <v>3.0787960000000001</v>
      </c>
      <c r="T3458">
        <v>-0.1405766</v>
      </c>
      <c r="U3458">
        <v>-0.31291200000000002</v>
      </c>
      <c r="V3458">
        <v>1.8589080000000001E-2</v>
      </c>
      <c r="W3458">
        <v>0.20359959999999999</v>
      </c>
      <c r="X3458">
        <v>0.97887769999999996</v>
      </c>
      <c r="Y3458">
        <v>9.7849909999999998E-2</v>
      </c>
      <c r="Z3458">
        <v>-2.6352900000000002E-3</v>
      </c>
      <c r="AA3458">
        <v>0.99519769999999996</v>
      </c>
      <c r="AB3458">
        <v>30</v>
      </c>
      <c r="AC3458">
        <v>24.2532</v>
      </c>
      <c r="AD3458">
        <v>-1.1211052975489999</v>
      </c>
      <c r="AE3458">
        <v>-2.4946000000000201</v>
      </c>
      <c r="AF3458">
        <v>2.4129217919068102</v>
      </c>
      <c r="AG3458">
        <v>-1.1211052975489999</v>
      </c>
      <c r="AH3458">
        <v>24.209765463595101</v>
      </c>
      <c r="AI3458">
        <v>92.6383046869948</v>
      </c>
      <c r="AJ3458">
        <v>84.308281441473596</v>
      </c>
      <c r="AK3458">
        <v>24.355529402259702</v>
      </c>
      <c r="AL3458">
        <v>78.252466181019997</v>
      </c>
      <c r="AM3458">
        <v>88.912072647252003</v>
      </c>
      <c r="AN3458">
        <v>0.999999951286347</v>
      </c>
    </row>
    <row r="3459" spans="1:40" x14ac:dyDescent="0.25">
      <c r="A3459" t="str">
        <f>"20190303162848888"</f>
        <v>20190303162848888</v>
      </c>
      <c r="B3459" t="str">
        <f>"1551601728875441"</f>
        <v>1551601728875441</v>
      </c>
      <c r="C3459" t="s">
        <v>40</v>
      </c>
      <c r="D3459">
        <v>4.9803839999999999</v>
      </c>
      <c r="E3459">
        <v>0.53316680000000005</v>
      </c>
      <c r="F3459" t="s">
        <v>48</v>
      </c>
      <c r="G3459">
        <v>-246.52340000000001</v>
      </c>
      <c r="H3459" s="1">
        <v>2.064306E-6</v>
      </c>
      <c r="I3459">
        <v>211.65</v>
      </c>
      <c r="J3459">
        <v>-271.67790000000002</v>
      </c>
      <c r="K3459">
        <v>1.1211150000000001</v>
      </c>
      <c r="L3459">
        <v>214.25540000000001</v>
      </c>
      <c r="M3459">
        <v>0.99993920000000003</v>
      </c>
      <c r="N3459">
        <v>-1.0576810000000001E-2</v>
      </c>
      <c r="O3459">
        <v>-3.1564919999999999E-3</v>
      </c>
      <c r="P3459">
        <v>0.98078330000000002</v>
      </c>
      <c r="Q3459">
        <v>0.19387950000000001</v>
      </c>
      <c r="R3459">
        <v>-2.1797770000000001E-2</v>
      </c>
      <c r="S3459">
        <v>3.0781559999999999</v>
      </c>
      <c r="T3459">
        <v>-0.13553499999999999</v>
      </c>
      <c r="U3459">
        <v>-0.31509399999999999</v>
      </c>
      <c r="V3459">
        <v>1.8709380000000001E-2</v>
      </c>
      <c r="W3459">
        <v>0.2042419</v>
      </c>
      <c r="X3459">
        <v>0.97874159999999999</v>
      </c>
      <c r="Y3459">
        <v>9.8575960000000004E-2</v>
      </c>
      <c r="Z3459">
        <v>-2.581248E-3</v>
      </c>
      <c r="AA3459">
        <v>0.99512619999999896</v>
      </c>
      <c r="AB3459">
        <v>30</v>
      </c>
      <c r="AC3459">
        <v>25.154499999999999</v>
      </c>
      <c r="AD3459">
        <v>-1.1211129356939999</v>
      </c>
      <c r="AE3459">
        <v>-2.6053999999999999</v>
      </c>
      <c r="AF3459">
        <v>2.5210279845881201</v>
      </c>
      <c r="AG3459">
        <v>-1.1211129356939999</v>
      </c>
      <c r="AH3459">
        <v>25.1132435202008</v>
      </c>
      <c r="AI3459">
        <v>92.543351997913703</v>
      </c>
      <c r="AJ3459">
        <v>84.267488093563003</v>
      </c>
      <c r="AK3459">
        <v>25.2643518899371</v>
      </c>
      <c r="AL3459">
        <v>78.214875284678499</v>
      </c>
      <c r="AM3459">
        <v>88.904881564340997</v>
      </c>
      <c r="AN3459">
        <v>0.99999995709307599</v>
      </c>
    </row>
    <row r="3460" spans="1:40" x14ac:dyDescent="0.25">
      <c r="A3460" t="str">
        <f>"20190303162848904"</f>
        <v>20190303162848904</v>
      </c>
      <c r="B3460" t="str">
        <f>"1551601728894961"</f>
        <v>1551601728894961</v>
      </c>
      <c r="C3460" t="s">
        <v>40</v>
      </c>
      <c r="D3460">
        <v>4.9572880000000001</v>
      </c>
      <c r="E3460">
        <v>0.53338209999999997</v>
      </c>
      <c r="F3460" t="s">
        <v>48</v>
      </c>
      <c r="G3460">
        <v>-245.25370000000001</v>
      </c>
      <c r="H3460" s="1">
        <v>1.393804E-6</v>
      </c>
      <c r="I3460">
        <v>211.53219999999999</v>
      </c>
      <c r="J3460">
        <v>-271.44869999999997</v>
      </c>
      <c r="K3460">
        <v>1.1211169999999999</v>
      </c>
      <c r="L3460">
        <v>214.25470000000001</v>
      </c>
      <c r="M3460">
        <v>0.99993900000000002</v>
      </c>
      <c r="N3460">
        <v>-1.058303E-2</v>
      </c>
      <c r="O3460">
        <v>-3.1562869999999998E-3</v>
      </c>
      <c r="P3460">
        <v>0.98067969999999904</v>
      </c>
      <c r="Q3460">
        <v>0.1944101</v>
      </c>
      <c r="R3460">
        <v>-2.1730650000000001E-2</v>
      </c>
      <c r="S3460">
        <v>3.0775450000000002</v>
      </c>
      <c r="T3460">
        <v>-0.13057289999999999</v>
      </c>
      <c r="U3460">
        <v>-0.31716919999999998</v>
      </c>
      <c r="V3460">
        <v>1.8642800000000001E-2</v>
      </c>
      <c r="W3460">
        <v>0.2047773</v>
      </c>
      <c r="X3460">
        <v>0.97863100000000003</v>
      </c>
      <c r="Y3460">
        <v>9.9266800000000002E-2</v>
      </c>
      <c r="Z3460">
        <v>-2.5261060000000002E-3</v>
      </c>
      <c r="AA3460">
        <v>0.99505759999999999</v>
      </c>
      <c r="AB3460">
        <v>30</v>
      </c>
      <c r="AC3460">
        <v>26.194999999999901</v>
      </c>
      <c r="AD3460">
        <v>-1.1211156061959999</v>
      </c>
      <c r="AE3460">
        <v>-2.7225000000000201</v>
      </c>
      <c r="AF3460">
        <v>2.6350277602378398</v>
      </c>
      <c r="AG3460">
        <v>-1.1211156061959999</v>
      </c>
      <c r="AH3460">
        <v>26.156063851616999</v>
      </c>
      <c r="AI3460">
        <v>92.441995326045898</v>
      </c>
      <c r="AJ3460">
        <v>84.247287979952304</v>
      </c>
      <c r="AK3460">
        <v>26.312353519013602</v>
      </c>
      <c r="AL3460">
        <v>78.183536868416695</v>
      </c>
      <c r="AM3460">
        <v>88.908654460961699</v>
      </c>
      <c r="AN3460">
        <v>0.99999996537406399</v>
      </c>
    </row>
    <row r="3461" spans="1:40" x14ac:dyDescent="0.25">
      <c r="A3461" t="str">
        <f>"20190303162848922"</f>
        <v>20190303162848922</v>
      </c>
      <c r="B3461" t="str">
        <f>"1551601728915458"</f>
        <v>1551601728915458</v>
      </c>
      <c r="C3461" t="s">
        <v>40</v>
      </c>
      <c r="D3461">
        <v>5.0133700000000001</v>
      </c>
      <c r="E3461">
        <v>0.53333269999999899</v>
      </c>
      <c r="F3461" t="s">
        <v>48</v>
      </c>
      <c r="G3461">
        <v>-244.1815</v>
      </c>
      <c r="H3461" s="1">
        <v>8.2769900000000001E-7</v>
      </c>
      <c r="I3461">
        <v>211.42910000000001</v>
      </c>
      <c r="J3461">
        <v>-271.20609999999999</v>
      </c>
      <c r="K3461">
        <v>1.12112099999999</v>
      </c>
      <c r="L3461">
        <v>214.25389999999999</v>
      </c>
      <c r="M3461">
        <v>0.99993900000000002</v>
      </c>
      <c r="N3461">
        <v>-1.05892E-2</v>
      </c>
      <c r="O3461">
        <v>-3.1558430000000002E-3</v>
      </c>
      <c r="P3461">
        <v>0.98044819999999999</v>
      </c>
      <c r="Q3461">
        <v>0.1955249</v>
      </c>
      <c r="R3461">
        <v>-2.2164010000000001E-2</v>
      </c>
      <c r="S3461">
        <v>3.0771480000000002</v>
      </c>
      <c r="T3461">
        <v>-0.12651969999999901</v>
      </c>
      <c r="U3461">
        <v>-0.3188782</v>
      </c>
      <c r="V3461">
        <v>1.9077500000000001E-2</v>
      </c>
      <c r="W3461">
        <v>0.205896</v>
      </c>
      <c r="X3461">
        <v>0.97838789999999998</v>
      </c>
      <c r="Y3461">
        <v>9.9832439999999995E-2</v>
      </c>
      <c r="Z3461">
        <v>-2.4802610000000001E-3</v>
      </c>
      <c r="AA3461">
        <v>0.99500120000000003</v>
      </c>
      <c r="AB3461">
        <v>30</v>
      </c>
      <c r="AC3461">
        <v>27.0245999999999</v>
      </c>
      <c r="AD3461">
        <v>-1.12112017230099</v>
      </c>
      <c r="AE3461">
        <v>-2.8247999999999802</v>
      </c>
      <c r="AF3461">
        <v>2.7348399155972301</v>
      </c>
      <c r="AG3461">
        <v>-1.12112017230099</v>
      </c>
      <c r="AH3461">
        <v>26.987436610004501</v>
      </c>
      <c r="AI3461">
        <v>92.366723266615196</v>
      </c>
      <c r="AJ3461">
        <v>84.213541418842496</v>
      </c>
      <c r="AK3461">
        <v>27.148812028958002</v>
      </c>
      <c r="AL3461">
        <v>78.118044921018594</v>
      </c>
      <c r="AM3461">
        <v>88.882936169464898</v>
      </c>
      <c r="AN3461">
        <v>0.99999999834432896</v>
      </c>
    </row>
    <row r="3462" spans="1:40" x14ac:dyDescent="0.25">
      <c r="A3462" t="str">
        <f>"20190303162848938"</f>
        <v>20190303162848938</v>
      </c>
      <c r="B3462" t="str">
        <f>"1551601728925216"</f>
        <v>1551601728925216</v>
      </c>
      <c r="C3462" t="s">
        <v>40</v>
      </c>
      <c r="D3462">
        <v>4.9451460000000003</v>
      </c>
      <c r="E3462">
        <v>0.53333269999999899</v>
      </c>
      <c r="F3462" t="s">
        <v>48</v>
      </c>
      <c r="G3462">
        <v>-243.37870000000001</v>
      </c>
      <c r="H3462" s="1">
        <v>4.032082E-7</v>
      </c>
      <c r="I3462">
        <v>211.36680000000001</v>
      </c>
      <c r="J3462">
        <v>-270.99939999999998</v>
      </c>
      <c r="K3462">
        <v>1.121122</v>
      </c>
      <c r="L3462">
        <v>214.2533</v>
      </c>
      <c r="M3462">
        <v>0.99993909999999997</v>
      </c>
      <c r="N3462">
        <v>-1.0594289999999999E-2</v>
      </c>
      <c r="O3462">
        <v>-3.1558699999999999E-3</v>
      </c>
      <c r="P3462">
        <v>0.98036279999999998</v>
      </c>
      <c r="Q3462">
        <v>0.1959408</v>
      </c>
      <c r="R3462">
        <v>-2.2277979999999999E-2</v>
      </c>
      <c r="S3462">
        <v>3.0773619999999999</v>
      </c>
      <c r="T3462">
        <v>-0.1239817</v>
      </c>
      <c r="U3462">
        <v>-0.31927489999999997</v>
      </c>
      <c r="V3462">
        <v>1.919181E-2</v>
      </c>
      <c r="W3462">
        <v>0.20631630000000001</v>
      </c>
      <c r="X3462">
        <v>0.97829710000000003</v>
      </c>
      <c r="Y3462">
        <v>9.9955779999999994E-2</v>
      </c>
      <c r="Z3462">
        <v>-2.4450980000000001E-3</v>
      </c>
      <c r="AA3462">
        <v>0.99498889999999995</v>
      </c>
      <c r="AB3462">
        <v>30</v>
      </c>
      <c r="AC3462">
        <v>27.6206999999999</v>
      </c>
      <c r="AD3462">
        <v>-1.1211215967918</v>
      </c>
      <c r="AE3462">
        <v>-2.8864999999999799</v>
      </c>
      <c r="AF3462">
        <v>2.7947586768065098</v>
      </c>
      <c r="AG3462">
        <v>-1.1211215967918</v>
      </c>
      <c r="AH3462">
        <v>27.5847164099129</v>
      </c>
      <c r="AI3462">
        <v>92.315542092269197</v>
      </c>
      <c r="AJ3462">
        <v>84.2147916428233</v>
      </c>
      <c r="AK3462">
        <v>27.748588596750199</v>
      </c>
      <c r="AL3462">
        <v>78.093434884181406</v>
      </c>
      <c r="AM3462">
        <v>88.876140299756401</v>
      </c>
      <c r="AN3462">
        <v>0.99999997854258704</v>
      </c>
    </row>
    <row r="3463" spans="1:40" x14ac:dyDescent="0.25">
      <c r="A3463" t="str">
        <f>"20190303162848954"</f>
        <v>20190303162848954</v>
      </c>
      <c r="B3463" t="str">
        <f>"1551601728944736"</f>
        <v>1551601728944736</v>
      </c>
      <c r="C3463" t="s">
        <v>40</v>
      </c>
      <c r="D3463">
        <v>4.9453259999999997</v>
      </c>
      <c r="E3463">
        <v>0.52529749999999997</v>
      </c>
      <c r="F3463" t="s">
        <v>48</v>
      </c>
      <c r="G3463">
        <v>-242.8886</v>
      </c>
      <c r="H3463" s="1">
        <v>1.4387859999999999E-7</v>
      </c>
      <c r="I3463">
        <v>211.3339</v>
      </c>
      <c r="J3463">
        <v>-270.77699999999999</v>
      </c>
      <c r="K3463">
        <v>1.1211279999999999</v>
      </c>
      <c r="L3463">
        <v>214.2526</v>
      </c>
      <c r="M3463">
        <v>0.99993900000000002</v>
      </c>
      <c r="N3463">
        <v>-1.059941E-2</v>
      </c>
      <c r="O3463">
        <v>-3.1556589999999999E-3</v>
      </c>
      <c r="P3463">
        <v>0.98006490000000002</v>
      </c>
      <c r="Q3463">
        <v>0.19737060000000001</v>
      </c>
      <c r="R3463">
        <v>-2.2758299999999999E-2</v>
      </c>
      <c r="S3463">
        <v>3.0773929999999998</v>
      </c>
      <c r="T3463">
        <v>-0.1227336</v>
      </c>
      <c r="U3463">
        <v>-0.31959530000000003</v>
      </c>
      <c r="V3463">
        <v>1.9673179999999998E-2</v>
      </c>
      <c r="W3463">
        <v>0.2077476</v>
      </c>
      <c r="X3463">
        <v>0.97798459999999998</v>
      </c>
      <c r="Y3463">
        <v>0.1000591</v>
      </c>
      <c r="Z3463">
        <v>-2.4290340000000001E-3</v>
      </c>
      <c r="AA3463">
        <v>0.99497849999999999</v>
      </c>
      <c r="AB3463">
        <v>30</v>
      </c>
      <c r="AC3463">
        <v>27.888399999999901</v>
      </c>
      <c r="AD3463">
        <v>-1.1211278561214</v>
      </c>
      <c r="AE3463">
        <v>-2.9186999999999999</v>
      </c>
      <c r="AF3463">
        <v>2.8261564410648798</v>
      </c>
      <c r="AG3463">
        <v>-1.1211278561214</v>
      </c>
      <c r="AH3463">
        <v>27.852947128194401</v>
      </c>
      <c r="AI3463">
        <v>92.293244718829499</v>
      </c>
      <c r="AJ3463">
        <v>84.206195343150796</v>
      </c>
      <c r="AK3463">
        <v>28.0184002331528</v>
      </c>
      <c r="AL3463">
        <v>78.009611440822297</v>
      </c>
      <c r="AM3463">
        <v>88.847591077209799</v>
      </c>
      <c r="AN3463">
        <v>0.99999998857711603</v>
      </c>
    </row>
    <row r="3464" spans="1:40" x14ac:dyDescent="0.25">
      <c r="A3464" t="str">
        <f>"20190303162848978"</f>
        <v>20190303162848978</v>
      </c>
      <c r="B3464" t="str">
        <f>"1551601728965233"</f>
        <v>1551601728965233</v>
      </c>
      <c r="C3464" t="s">
        <v>40</v>
      </c>
      <c r="D3464">
        <v>4.9547499999999998</v>
      </c>
      <c r="E3464">
        <v>0.52496750000000003</v>
      </c>
      <c r="F3464" t="s">
        <v>44</v>
      </c>
      <c r="G3464">
        <v>-269.93079999999998</v>
      </c>
      <c r="H3464">
        <v>1.0392760000000001</v>
      </c>
      <c r="I3464">
        <v>214.18350000000001</v>
      </c>
      <c r="J3464">
        <v>-270.45729999999998</v>
      </c>
      <c r="K3464">
        <v>1.1211310000000001</v>
      </c>
      <c r="L3464">
        <v>214.2516</v>
      </c>
      <c r="M3464">
        <v>0.99993880000000002</v>
      </c>
      <c r="N3464">
        <v>-1.060607E-2</v>
      </c>
      <c r="O3464">
        <v>-3.1554560000000001E-3</v>
      </c>
      <c r="P3464">
        <v>0.97991760000000006</v>
      </c>
      <c r="Q3464">
        <v>0.19807759999999999</v>
      </c>
      <c r="R3464">
        <v>-2.2948880000000001E-2</v>
      </c>
      <c r="S3464">
        <v>3.1158450000000002</v>
      </c>
      <c r="T3464">
        <v>-0.30145939999999999</v>
      </c>
      <c r="U3464">
        <v>-0.25369259999999999</v>
      </c>
      <c r="V3464">
        <v>1.9864529999999998E-2</v>
      </c>
      <c r="W3464">
        <v>0.2084598</v>
      </c>
      <c r="X3464">
        <v>0.97782919999999995</v>
      </c>
      <c r="Y3464">
        <v>7.7617710000000006E-2</v>
      </c>
      <c r="Z3464">
        <v>-3.8825169999999998E-3</v>
      </c>
      <c r="AA3464">
        <v>0.99697570000000002</v>
      </c>
      <c r="AB3464">
        <v>30</v>
      </c>
      <c r="AC3464">
        <v>0.52649999999999797</v>
      </c>
      <c r="AD3464">
        <v>-8.1854999999999706E-2</v>
      </c>
      <c r="AE3464">
        <v>-6.8099999999986893E-2</v>
      </c>
      <c r="AF3464">
        <v>6.4895446209888602E-2</v>
      </c>
      <c r="AG3464">
        <v>-8.1854999999999706E-2</v>
      </c>
      <c r="AH3464">
        <v>0.51448139767482204</v>
      </c>
      <c r="AI3464">
        <v>98.970190418394594</v>
      </c>
      <c r="AJ3464">
        <v>82.810816025902</v>
      </c>
      <c r="AK3464">
        <v>0.52497882673229701</v>
      </c>
      <c r="AL3464">
        <v>77.967892347769904</v>
      </c>
      <c r="AM3464">
        <v>88.836200433414206</v>
      </c>
      <c r="AN3464">
        <v>1.0000000160703999</v>
      </c>
    </row>
    <row r="3465" spans="1:40" x14ac:dyDescent="0.25">
      <c r="A3465" t="str">
        <f>"20190303162849001"</f>
        <v>20190303162849001</v>
      </c>
      <c r="B3465" t="str">
        <f>"1551601728995488"</f>
        <v>1551601728995488</v>
      </c>
      <c r="C3465" t="s">
        <v>40</v>
      </c>
      <c r="D3465">
        <v>4.8728360000000004</v>
      </c>
      <c r="E3465">
        <v>0.52546969999999904</v>
      </c>
      <c r="F3465" t="s">
        <v>44</v>
      </c>
      <c r="G3465">
        <v>-269.65859999999998</v>
      </c>
      <c r="H3465">
        <v>1.0386879999999901</v>
      </c>
      <c r="I3465">
        <v>214.18719999999999</v>
      </c>
      <c r="J3465">
        <v>-270.14710000000002</v>
      </c>
      <c r="K3465">
        <v>1.12113</v>
      </c>
      <c r="L3465">
        <v>214.25059999999999</v>
      </c>
      <c r="M3465">
        <v>0.99993880000000002</v>
      </c>
      <c r="N3465">
        <v>-1.061193E-2</v>
      </c>
      <c r="O3465">
        <v>-3.1552490000000002E-3</v>
      </c>
      <c r="P3465">
        <v>0.97985449999999996</v>
      </c>
      <c r="Q3465">
        <v>0.1983065</v>
      </c>
      <c r="R3465">
        <v>-2.366292E-2</v>
      </c>
      <c r="S3465">
        <v>3.120819</v>
      </c>
      <c r="T3465">
        <v>-0.32232430000000001</v>
      </c>
      <c r="U3465">
        <v>-0.25027470000000002</v>
      </c>
      <c r="V3465">
        <v>2.0578969999999999E-2</v>
      </c>
      <c r="W3465">
        <v>0.20869389999999999</v>
      </c>
      <c r="X3465">
        <v>0.97776450000000004</v>
      </c>
      <c r="Y3465">
        <v>7.6360750000000005E-2</v>
      </c>
      <c r="Z3465">
        <v>-4.0425019999999999E-3</v>
      </c>
      <c r="AA3465">
        <v>0.99707199999999996</v>
      </c>
      <c r="AB3465">
        <v>30</v>
      </c>
      <c r="AC3465">
        <v>0.48850000000004401</v>
      </c>
      <c r="AD3465">
        <v>-8.2442000000000099E-2</v>
      </c>
      <c r="AE3465">
        <v>-6.34000000000014E-2</v>
      </c>
      <c r="AF3465">
        <v>6.0172816454998501E-2</v>
      </c>
      <c r="AG3465">
        <v>-8.2442000000000099E-2</v>
      </c>
      <c r="AH3465">
        <v>0.475382155835536</v>
      </c>
      <c r="AI3465">
        <v>99.762151028947798</v>
      </c>
      <c r="AJ3465">
        <v>82.7859918160257</v>
      </c>
      <c r="AK3465">
        <v>0.48621563661709699</v>
      </c>
      <c r="AL3465">
        <v>77.954177909188502</v>
      </c>
      <c r="AM3465">
        <v>88.794276053191098</v>
      </c>
      <c r="AN3465">
        <v>1.0000000276818599</v>
      </c>
    </row>
    <row r="3466" spans="1:40" x14ac:dyDescent="0.25">
      <c r="A3466" t="str">
        <f>"20190303162849022"</f>
        <v>20190303162849022</v>
      </c>
      <c r="B3466" t="str">
        <f>"1551601729015008"</f>
        <v>1551601729015008</v>
      </c>
      <c r="C3466" t="s">
        <v>40</v>
      </c>
      <c r="D3466">
        <v>4.8771899999999997</v>
      </c>
      <c r="E3466">
        <v>0.52596290000000001</v>
      </c>
      <c r="F3466" t="s">
        <v>44</v>
      </c>
      <c r="G3466">
        <v>-269.38510000000002</v>
      </c>
      <c r="H3466">
        <v>1.040454</v>
      </c>
      <c r="I3466">
        <v>214.18790000000001</v>
      </c>
      <c r="J3466">
        <v>-269.84890000000001</v>
      </c>
      <c r="K3466">
        <v>1.1211310000000001</v>
      </c>
      <c r="L3466">
        <v>214.24969999999999</v>
      </c>
      <c r="M3466">
        <v>0.99993869999999896</v>
      </c>
      <c r="N3466">
        <v>-1.061718E-2</v>
      </c>
      <c r="O3466">
        <v>-3.154919E-3</v>
      </c>
      <c r="P3466">
        <v>0.97976569999999996</v>
      </c>
      <c r="Q3466">
        <v>0.19867389999999999</v>
      </c>
      <c r="R3466">
        <v>-2.4247310000000001E-2</v>
      </c>
      <c r="S3466">
        <v>3.1224370000000001</v>
      </c>
      <c r="T3466">
        <v>-0.3306944</v>
      </c>
      <c r="U3466">
        <v>-0.25627139999999998</v>
      </c>
      <c r="V3466">
        <v>2.116386E-2</v>
      </c>
      <c r="W3466">
        <v>0.2090651</v>
      </c>
      <c r="X3466">
        <v>0.97767269999999995</v>
      </c>
      <c r="Y3466">
        <v>7.8189990000000001E-2</v>
      </c>
      <c r="Z3466">
        <v>-4.2398720000000004E-3</v>
      </c>
      <c r="AA3466">
        <v>0.99692950000000002</v>
      </c>
      <c r="AB3466">
        <v>30</v>
      </c>
      <c r="AC3466">
        <v>0.463799999999992</v>
      </c>
      <c r="AD3466">
        <v>-8.0676999999999804E-2</v>
      </c>
      <c r="AE3466">
        <v>-6.17999999999767E-2</v>
      </c>
      <c r="AF3466">
        <v>5.8594348841449498E-2</v>
      </c>
      <c r="AG3466">
        <v>-8.0676999999999804E-2</v>
      </c>
      <c r="AH3466">
        <v>0.45059644631795498</v>
      </c>
      <c r="AI3466">
        <v>100.067949028605</v>
      </c>
      <c r="AJ3466">
        <v>82.590985819519403</v>
      </c>
      <c r="AK3466">
        <v>0.461496731818897</v>
      </c>
      <c r="AL3466">
        <v>77.932429852362304</v>
      </c>
      <c r="AM3466">
        <v>88.759901446438207</v>
      </c>
      <c r="AN3466">
        <v>1.00000001666669</v>
      </c>
    </row>
    <row r="3467" spans="1:40" x14ac:dyDescent="0.25">
      <c r="A3467" t="str">
        <f>"20190303162849038"</f>
        <v>20190303162849038</v>
      </c>
      <c r="B3467" t="str">
        <f>"1551601729024768"</f>
        <v>1551601729024768</v>
      </c>
      <c r="C3467" t="s">
        <v>40</v>
      </c>
      <c r="D3467">
        <v>4.8806839999999996</v>
      </c>
      <c r="E3467">
        <v>0.52596290000000001</v>
      </c>
      <c r="F3467" t="s">
        <v>44</v>
      </c>
      <c r="G3467">
        <v>-269.11099999999999</v>
      </c>
      <c r="H3467">
        <v>1.0430809999999999</v>
      </c>
      <c r="I3467">
        <v>214.18719999999999</v>
      </c>
      <c r="J3467">
        <v>-269.63630000000001</v>
      </c>
      <c r="K3467">
        <v>1.1211340000000001</v>
      </c>
      <c r="L3467">
        <v>214.249</v>
      </c>
      <c r="M3467">
        <v>0.99993869999999896</v>
      </c>
      <c r="N3467">
        <v>-1.062069E-2</v>
      </c>
      <c r="O3467">
        <v>-3.1549379999999999E-3</v>
      </c>
      <c r="P3467">
        <v>0.97970659999999998</v>
      </c>
      <c r="Q3467">
        <v>0.1989667</v>
      </c>
      <c r="R3467">
        <v>-2.4230970000000001E-2</v>
      </c>
      <c r="S3467">
        <v>3.1224669999999999</v>
      </c>
      <c r="T3467">
        <v>-0.33045960000000002</v>
      </c>
      <c r="U3467">
        <v>-0.26281739999999998</v>
      </c>
      <c r="V3467">
        <v>2.1147880000000001E-2</v>
      </c>
      <c r="W3467">
        <v>0.20936070000000001</v>
      </c>
      <c r="X3467">
        <v>0.97760979999999997</v>
      </c>
      <c r="Y3467">
        <v>8.0252770000000001E-2</v>
      </c>
      <c r="Z3467">
        <v>-4.3566799999999999E-3</v>
      </c>
      <c r="AA3467">
        <v>0.99676500000000001</v>
      </c>
      <c r="AB3467">
        <v>30</v>
      </c>
      <c r="AC3467">
        <v>0.52530000000001498</v>
      </c>
      <c r="AD3467">
        <v>-7.8053000000000095E-2</v>
      </c>
      <c r="AE3467">
        <v>-6.1800000000033599E-2</v>
      </c>
      <c r="AF3467">
        <v>5.8860514810729701E-2</v>
      </c>
      <c r="AG3467">
        <v>-7.8053000000000095E-2</v>
      </c>
      <c r="AH3467">
        <v>0.51429270769387703</v>
      </c>
      <c r="AI3467">
        <v>98.574655022921405</v>
      </c>
      <c r="AJ3467">
        <v>83.470938305954604</v>
      </c>
      <c r="AK3467">
        <v>0.52350149971120796</v>
      </c>
      <c r="AL3467">
        <v>77.915110074969803</v>
      </c>
      <c r="AM3467">
        <v>88.760757800520395</v>
      </c>
      <c r="AN3467">
        <v>1.0000000282945101</v>
      </c>
    </row>
    <row r="3468" spans="1:40" x14ac:dyDescent="0.25">
      <c r="A3468" t="str">
        <f>"20190303162849052"</f>
        <v>20190303162849052</v>
      </c>
      <c r="B3468" t="str">
        <f>"1551601729045264"</f>
        <v>1551601729045264</v>
      </c>
      <c r="C3468" t="s">
        <v>40</v>
      </c>
      <c r="D3468">
        <v>4.8339629999999998</v>
      </c>
      <c r="E3468">
        <v>0.530582199999999</v>
      </c>
      <c r="F3468" t="s">
        <v>44</v>
      </c>
      <c r="G3468">
        <v>-268.8408</v>
      </c>
      <c r="H3468">
        <v>1.037229</v>
      </c>
      <c r="I3468">
        <v>214.18180000000001</v>
      </c>
      <c r="J3468">
        <v>-269.4427</v>
      </c>
      <c r="K3468">
        <v>1.1211329999999999</v>
      </c>
      <c r="L3468">
        <v>214.2484</v>
      </c>
      <c r="M3468">
        <v>0.99993860000000001</v>
      </c>
      <c r="N3468">
        <v>-1.0623759999999999E-2</v>
      </c>
      <c r="O3468">
        <v>-3.1548349999999999E-3</v>
      </c>
      <c r="P3468">
        <v>0.97964050000000003</v>
      </c>
      <c r="Q3468">
        <v>0.19926640000000001</v>
      </c>
      <c r="R3468">
        <v>-2.4444049999999998E-2</v>
      </c>
      <c r="S3468">
        <v>3.1225589999999999</v>
      </c>
      <c r="T3468">
        <v>-0.3294917</v>
      </c>
      <c r="U3468">
        <v>-0.26283260000000003</v>
      </c>
      <c r="V3468">
        <v>2.1361270000000002E-2</v>
      </c>
      <c r="W3468">
        <v>0.2096624</v>
      </c>
      <c r="X3468">
        <v>0.97754050000000003</v>
      </c>
      <c r="Y3468">
        <v>8.0257880000000004E-2</v>
      </c>
      <c r="Z3468">
        <v>-4.3456529999999997E-3</v>
      </c>
      <c r="AA3468">
        <v>0.99676469999999995</v>
      </c>
      <c r="AB3468">
        <v>31</v>
      </c>
      <c r="AC3468">
        <v>0.60189999999999999</v>
      </c>
      <c r="AD3468">
        <v>-8.3903999999999701E-2</v>
      </c>
      <c r="AE3468">
        <v>-6.6599999999993997E-2</v>
      </c>
      <c r="AF3468">
        <v>6.3482006730221002E-2</v>
      </c>
      <c r="AG3468">
        <v>-8.3903999999999701E-2</v>
      </c>
      <c r="AH3468">
        <v>0.59076623181574495</v>
      </c>
      <c r="AI3468">
        <v>98.037749727344902</v>
      </c>
      <c r="AJ3468">
        <v>83.8666984314426</v>
      </c>
      <c r="AK3468">
        <v>0.60006215265443197</v>
      </c>
      <c r="AL3468">
        <v>77.897431575425102</v>
      </c>
      <c r="AM3468">
        <v>88.748168632380398</v>
      </c>
      <c r="AN3468">
        <v>1.00000002748501</v>
      </c>
    </row>
    <row r="3469" spans="1:40" x14ac:dyDescent="0.25">
      <c r="A3469" t="str">
        <f>"20190303162849066"</f>
        <v>20190303162849066</v>
      </c>
      <c r="B3469" t="str">
        <f>"1551601729055024"</f>
        <v>1551601729055024</v>
      </c>
      <c r="C3469" t="s">
        <v>40</v>
      </c>
      <c r="D3469">
        <v>4.80579</v>
      </c>
      <c r="E3469">
        <v>0.53123999999999905</v>
      </c>
      <c r="F3469" t="s">
        <v>44</v>
      </c>
      <c r="G3469">
        <v>-268.5933</v>
      </c>
      <c r="H3469">
        <v>0.98471419999999998</v>
      </c>
      <c r="I3469">
        <v>214.16820000000001</v>
      </c>
      <c r="J3469">
        <v>-269.25189999999998</v>
      </c>
      <c r="K3469">
        <v>1.1211340000000001</v>
      </c>
      <c r="L3469">
        <v>214.24780000000001</v>
      </c>
      <c r="M3469">
        <v>0.99993860000000001</v>
      </c>
      <c r="N3469">
        <v>-1.062667E-2</v>
      </c>
      <c r="O3469">
        <v>-3.1547319999999999E-3</v>
      </c>
      <c r="P3469">
        <v>0.9794737</v>
      </c>
      <c r="Q3469">
        <v>0.20007220000000001</v>
      </c>
      <c r="R3469">
        <v>-2.455392E-2</v>
      </c>
      <c r="S3469">
        <v>3.1581419999999998</v>
      </c>
      <c r="T3469">
        <v>-0.50740719999999995</v>
      </c>
      <c r="U3469">
        <v>-0.29699710000000001</v>
      </c>
      <c r="V3469">
        <v>2.1471730000000001E-2</v>
      </c>
      <c r="W3469">
        <v>0.21046980000000001</v>
      </c>
      <c r="X3469">
        <v>0.97736449999999997</v>
      </c>
      <c r="Y3469">
        <v>8.9310169999999994E-2</v>
      </c>
      <c r="Z3469">
        <v>-7.1229860000000004E-3</v>
      </c>
      <c r="AA3469">
        <v>0.99597840000000004</v>
      </c>
      <c r="AB3469">
        <v>31</v>
      </c>
      <c r="AC3469">
        <v>0.65859999999997798</v>
      </c>
      <c r="AD3469">
        <v>-0.13641980000000001</v>
      </c>
      <c r="AE3469">
        <v>-7.9599999999999199E-2</v>
      </c>
      <c r="AF3469">
        <v>7.4376572220949594E-2</v>
      </c>
      <c r="AG3469">
        <v>-0.13641980000000001</v>
      </c>
      <c r="AH3469">
        <v>0.63211712706029399</v>
      </c>
      <c r="AI3469">
        <v>102.097486173091</v>
      </c>
      <c r="AJ3469">
        <v>83.289282443486698</v>
      </c>
      <c r="AK3469">
        <v>0.65093340569549596</v>
      </c>
      <c r="AL3469">
        <v>77.850114478523196</v>
      </c>
      <c r="AM3469">
        <v>88.741470919721806</v>
      </c>
      <c r="AN3469">
        <v>0.99999996888074005</v>
      </c>
    </row>
    <row r="3470" spans="1:40" x14ac:dyDescent="0.25">
      <c r="A3470" t="str">
        <f>"20190303162849083"</f>
        <v>20190303162849083</v>
      </c>
      <c r="B3470" t="str">
        <f>"1551601729075520"</f>
        <v>1551601729075520</v>
      </c>
      <c r="C3470" t="s">
        <v>40</v>
      </c>
      <c r="D3470">
        <v>4.833882</v>
      </c>
      <c r="E3470">
        <v>0.53031589999999995</v>
      </c>
      <c r="F3470" t="s">
        <v>44</v>
      </c>
      <c r="G3470">
        <v>-268.37279999999998</v>
      </c>
      <c r="H3470">
        <v>0.86885709999999905</v>
      </c>
      <c r="I3470">
        <v>214.16800000000001</v>
      </c>
      <c r="J3470">
        <v>-269.01749999999998</v>
      </c>
      <c r="K3470">
        <v>1.121138</v>
      </c>
      <c r="L3470">
        <v>214.24700000000001</v>
      </c>
      <c r="M3470">
        <v>0.99993860000000001</v>
      </c>
      <c r="N3470">
        <v>-1.063007E-2</v>
      </c>
      <c r="O3470">
        <v>-3.154394E-3</v>
      </c>
      <c r="P3470">
        <v>0.97942419999999997</v>
      </c>
      <c r="Q3470">
        <v>0.20027890000000001</v>
      </c>
      <c r="R3470">
        <v>-2.4839279999999998E-2</v>
      </c>
      <c r="S3470">
        <v>3.2457579999999999</v>
      </c>
      <c r="T3470">
        <v>-0.93146189999999995</v>
      </c>
      <c r="U3470">
        <v>-0.29475400000000002</v>
      </c>
      <c r="V3470">
        <v>2.175771E-2</v>
      </c>
      <c r="W3470">
        <v>0.21067910000000001</v>
      </c>
      <c r="X3470">
        <v>0.97731310000000005</v>
      </c>
      <c r="Y3470">
        <v>8.3924499999999999E-2</v>
      </c>
      <c r="Z3470">
        <v>-1.138451E-2</v>
      </c>
      <c r="AA3470">
        <v>0.99640709999999999</v>
      </c>
      <c r="AB3470">
        <v>31</v>
      </c>
      <c r="AC3470">
        <v>0.64470000000000005</v>
      </c>
      <c r="AD3470">
        <v>-0.25228089999999997</v>
      </c>
      <c r="AE3470">
        <v>-7.9000000000007703E-2</v>
      </c>
      <c r="AF3470">
        <v>6.6876683625562705E-2</v>
      </c>
      <c r="AG3470">
        <v>-0.25228089999999997</v>
      </c>
      <c r="AH3470">
        <v>0.56040240420552601</v>
      </c>
      <c r="AI3470">
        <v>114.08494874690599</v>
      </c>
      <c r="AJ3470">
        <v>83.194683227321093</v>
      </c>
      <c r="AK3470">
        <v>0.61819818663346005</v>
      </c>
      <c r="AL3470">
        <v>77.837847656742795</v>
      </c>
      <c r="AM3470">
        <v>88.724647136572997</v>
      </c>
      <c r="AN3470">
        <v>0.99999998827643199</v>
      </c>
    </row>
    <row r="3471" spans="1:40" x14ac:dyDescent="0.25">
      <c r="A3471" t="str">
        <f>"20190303162849096"</f>
        <v>20190303162849096</v>
      </c>
      <c r="B3471" t="str">
        <f>"1551601729085281"</f>
        <v>1551601729085281</v>
      </c>
      <c r="C3471" t="s">
        <v>40</v>
      </c>
      <c r="D3471">
        <v>4.8425060000000002</v>
      </c>
      <c r="E3471">
        <v>0.53006489999999995</v>
      </c>
      <c r="F3471" t="s">
        <v>44</v>
      </c>
      <c r="G3471">
        <v>-268.11160000000001</v>
      </c>
      <c r="H3471">
        <v>0.83726319999999999</v>
      </c>
      <c r="I3471">
        <v>214.16739999999999</v>
      </c>
      <c r="J3471">
        <v>-268.8365</v>
      </c>
      <c r="K3471">
        <v>1.121138</v>
      </c>
      <c r="L3471">
        <v>214.2465</v>
      </c>
      <c r="M3471">
        <v>0.99993860000000001</v>
      </c>
      <c r="N3471">
        <v>-1.0632559999999999E-2</v>
      </c>
      <c r="O3471">
        <v>-3.1541680000000002E-3</v>
      </c>
      <c r="P3471">
        <v>0.97941210000000001</v>
      </c>
      <c r="Q3471">
        <v>0.20033770000000001</v>
      </c>
      <c r="R3471">
        <v>-2.4840500000000001E-2</v>
      </c>
      <c r="S3471">
        <v>3.2649840000000001</v>
      </c>
      <c r="T3471">
        <v>-1.023196</v>
      </c>
      <c r="U3471">
        <v>-0.2861938</v>
      </c>
      <c r="V3471">
        <v>2.1758980000000001E-2</v>
      </c>
      <c r="W3471">
        <v>0.2107397</v>
      </c>
      <c r="X3471">
        <v>0.97729999999999995</v>
      </c>
      <c r="Y3471">
        <v>8.0356689999999995E-2</v>
      </c>
      <c r="Z3471">
        <v>-1.1781979999999999E-2</v>
      </c>
      <c r="AA3471">
        <v>0.99669649999999999</v>
      </c>
      <c r="AB3471">
        <v>31</v>
      </c>
      <c r="AC3471">
        <v>0.72489999999999</v>
      </c>
      <c r="AD3471">
        <v>-0.28387479999999998</v>
      </c>
      <c r="AE3471">
        <v>-7.9100000000010995E-2</v>
      </c>
      <c r="AF3471">
        <v>6.6704005572672698E-2</v>
      </c>
      <c r="AG3471">
        <v>-0.28387479999999998</v>
      </c>
      <c r="AH3471">
        <v>0.62971271847245702</v>
      </c>
      <c r="AI3471">
        <v>114.146332451258</v>
      </c>
      <c r="AJ3471">
        <v>83.953339752194196</v>
      </c>
      <c r="AK3471">
        <v>0.69395420183211698</v>
      </c>
      <c r="AL3471">
        <v>77.834295713301699</v>
      </c>
      <c r="AM3471">
        <v>88.724555628137296</v>
      </c>
      <c r="AN3471">
        <v>0.99999998218336505</v>
      </c>
    </row>
    <row r="3472" spans="1:40" x14ac:dyDescent="0.25">
      <c r="A3472" t="str">
        <f>"20190303162849112"</f>
        <v>20190303162849112</v>
      </c>
      <c r="B3472" t="str">
        <f>"1551601729104800"</f>
        <v>1551601729104800</v>
      </c>
      <c r="C3472" t="s">
        <v>40</v>
      </c>
      <c r="D3472">
        <v>4.8531069999999996</v>
      </c>
      <c r="E3472">
        <v>0.52982410000000002</v>
      </c>
      <c r="F3472" t="s">
        <v>44</v>
      </c>
      <c r="G3472">
        <v>-268.0926</v>
      </c>
      <c r="H3472">
        <v>0.88558269999999994</v>
      </c>
      <c r="I3472">
        <v>214.1816</v>
      </c>
      <c r="J3472">
        <v>-268.62810000000002</v>
      </c>
      <c r="K3472">
        <v>1.1211409999999999</v>
      </c>
      <c r="L3472">
        <v>214.2458</v>
      </c>
      <c r="M3472">
        <v>0.99993849999999995</v>
      </c>
      <c r="N3472">
        <v>-1.0635449999999999E-2</v>
      </c>
      <c r="O3472">
        <v>-3.1540639999999998E-3</v>
      </c>
      <c r="P3472">
        <v>0.97940419999999995</v>
      </c>
      <c r="Q3472">
        <v>0.2003733</v>
      </c>
      <c r="R3472">
        <v>-2.4862619999999998E-2</v>
      </c>
      <c r="S3472">
        <v>3.267487</v>
      </c>
      <c r="T3472">
        <v>-1.0346</v>
      </c>
      <c r="U3472">
        <v>-0.28366089999999999</v>
      </c>
      <c r="V3472">
        <v>2.1781370000000001E-2</v>
      </c>
      <c r="W3472">
        <v>0.2107784</v>
      </c>
      <c r="X3472">
        <v>0.97729120000000003</v>
      </c>
      <c r="Y3472">
        <v>7.9490329999999998E-2</v>
      </c>
      <c r="Z3472">
        <v>-1.17562E-2</v>
      </c>
      <c r="AA3472">
        <v>0.99676629999999999</v>
      </c>
      <c r="AB3472">
        <v>31</v>
      </c>
      <c r="AC3472">
        <v>0.53550000000001297</v>
      </c>
      <c r="AD3472">
        <v>-0.2355583</v>
      </c>
      <c r="AE3472">
        <v>-6.4199999999999494E-2</v>
      </c>
      <c r="AF3472">
        <v>5.24965142497925E-2</v>
      </c>
      <c r="AG3472">
        <v>-0.2355583</v>
      </c>
      <c r="AH3472">
        <v>0.44988180332085298</v>
      </c>
      <c r="AI3472">
        <v>117.477661773899</v>
      </c>
      <c r="AJ3472">
        <v>83.344280305869702</v>
      </c>
      <c r="AK3472">
        <v>0.51052642798046299</v>
      </c>
      <c r="AL3472">
        <v>77.832027954944905</v>
      </c>
      <c r="AM3472">
        <v>88.723232136794607</v>
      </c>
      <c r="AN3472">
        <v>1.00000002579153</v>
      </c>
    </row>
    <row r="3473" spans="1:40" x14ac:dyDescent="0.25">
      <c r="A3473" t="str">
        <f>"20190303162849129"</f>
        <v>20190303162849129</v>
      </c>
      <c r="B3473" t="str">
        <f>"1551601729125297"</f>
        <v>1551601729125297</v>
      </c>
      <c r="C3473" t="s">
        <v>40</v>
      </c>
      <c r="D3473">
        <v>4.8379490000000001</v>
      </c>
      <c r="E3473">
        <v>0.52980109999999903</v>
      </c>
      <c r="F3473" t="s">
        <v>44</v>
      </c>
      <c r="G3473">
        <v>-267.82589999999999</v>
      </c>
      <c r="H3473">
        <v>0.86706340000000004</v>
      </c>
      <c r="I3473">
        <v>214.17670000000001</v>
      </c>
      <c r="J3473">
        <v>-268.39780000000002</v>
      </c>
      <c r="K3473">
        <v>1.12114</v>
      </c>
      <c r="L3473">
        <v>214.24510000000001</v>
      </c>
      <c r="M3473">
        <v>0.99993849999999995</v>
      </c>
      <c r="N3473">
        <v>-1.063858E-2</v>
      </c>
      <c r="O3473">
        <v>-3.153842E-3</v>
      </c>
      <c r="P3473">
        <v>0.97942600000000002</v>
      </c>
      <c r="Q3473">
        <v>0.20023730000000001</v>
      </c>
      <c r="R3473">
        <v>-2.5097149999999999E-2</v>
      </c>
      <c r="S3473">
        <v>3.2677</v>
      </c>
      <c r="T3473">
        <v>-1.0350649999999999</v>
      </c>
      <c r="U3473">
        <v>-0.28125</v>
      </c>
      <c r="V3473">
        <v>2.2015969999999999E-2</v>
      </c>
      <c r="W3473">
        <v>0.21064550000000001</v>
      </c>
      <c r="X3473">
        <v>0.97731449999999997</v>
      </c>
      <c r="Y3473">
        <v>7.8787179999999998E-2</v>
      </c>
      <c r="Z3473">
        <v>-1.1648520000000001E-2</v>
      </c>
      <c r="AA3473">
        <v>0.99682340000000003</v>
      </c>
      <c r="AB3473">
        <v>31</v>
      </c>
      <c r="AC3473">
        <v>0.57190000000002705</v>
      </c>
      <c r="AD3473">
        <v>-0.25407659999999999</v>
      </c>
      <c r="AE3473">
        <v>-6.8399999999996894E-2</v>
      </c>
      <c r="AF3473">
        <v>5.5747887123656498E-2</v>
      </c>
      <c r="AG3473">
        <v>-0.25407659999999999</v>
      </c>
      <c r="AH3473">
        <v>0.47891982134157801</v>
      </c>
      <c r="AI3473">
        <v>117.787527821959</v>
      </c>
      <c r="AJ3473">
        <v>83.360457911980205</v>
      </c>
      <c r="AK3473">
        <v>0.54500178060274396</v>
      </c>
      <c r="AL3473">
        <v>77.839816278814695</v>
      </c>
      <c r="AM3473">
        <v>88.709515870747794</v>
      </c>
      <c r="AN3473">
        <v>0.99999993075776805</v>
      </c>
    </row>
    <row r="3474" spans="1:40" x14ac:dyDescent="0.25">
      <c r="A3474" t="str">
        <f>"20190303162849144"</f>
        <v>20190303162849144</v>
      </c>
      <c r="B3474" t="str">
        <f>"1551601729135056"</f>
        <v>1551601729135056</v>
      </c>
      <c r="C3474" t="s">
        <v>40</v>
      </c>
      <c r="D3474">
        <v>4.8451230000000001</v>
      </c>
      <c r="E3474">
        <v>0.52978340000000002</v>
      </c>
      <c r="F3474" t="s">
        <v>44</v>
      </c>
      <c r="G3474">
        <v>-267.5564</v>
      </c>
      <c r="H3474">
        <v>0.85543349999999996</v>
      </c>
      <c r="I3474">
        <v>214.1721</v>
      </c>
      <c r="J3474">
        <v>-268.17899999999997</v>
      </c>
      <c r="K3474">
        <v>1.12114</v>
      </c>
      <c r="L3474">
        <v>214.24440000000001</v>
      </c>
      <c r="M3474">
        <v>0.99993849999999995</v>
      </c>
      <c r="N3474">
        <v>-1.064141E-2</v>
      </c>
      <c r="O3474">
        <v>-3.153856E-3</v>
      </c>
      <c r="P3474">
        <v>0.97956200000000004</v>
      </c>
      <c r="Q3474">
        <v>0.19955519999999999</v>
      </c>
      <c r="R3474">
        <v>-2.5224759999999999E-2</v>
      </c>
      <c r="S3474">
        <v>3.2666930000000001</v>
      </c>
      <c r="T3474">
        <v>-1.0315179999999999</v>
      </c>
      <c r="U3474">
        <v>-0.2818756</v>
      </c>
      <c r="V3474">
        <v>2.2143039999999999E-2</v>
      </c>
      <c r="W3474">
        <v>0.20996770000000001</v>
      </c>
      <c r="X3474">
        <v>0.97745749999999998</v>
      </c>
      <c r="Y3474">
        <v>7.9014429999999997E-2</v>
      </c>
      <c r="Z3474">
        <v>-1.1651409999999999E-2</v>
      </c>
      <c r="AA3474">
        <v>0.99680539999999995</v>
      </c>
      <c r="AB3474">
        <v>31</v>
      </c>
      <c r="AC3474">
        <v>0.62260000000003302</v>
      </c>
      <c r="AD3474">
        <v>-0.26570650000000001</v>
      </c>
      <c r="AE3474">
        <v>-7.2300000000012604E-2</v>
      </c>
      <c r="AF3474">
        <v>5.9621454471173001E-2</v>
      </c>
      <c r="AG3474">
        <v>-0.26570650000000001</v>
      </c>
      <c r="AH3474">
        <v>0.52794815164517805</v>
      </c>
      <c r="AI3474">
        <v>116.569751657914</v>
      </c>
      <c r="AJ3474">
        <v>83.556856264142397</v>
      </c>
      <c r="AK3474">
        <v>0.59404032927156403</v>
      </c>
      <c r="AL3474">
        <v>77.879540078628807</v>
      </c>
      <c r="AM3474">
        <v>88.702259918612</v>
      </c>
      <c r="AN3474">
        <v>0.99999995678498899</v>
      </c>
    </row>
    <row r="3475" spans="1:40" x14ac:dyDescent="0.25">
      <c r="A3475" t="str">
        <f>"20190303162849168"</f>
        <v>20190303162849168</v>
      </c>
      <c r="B3475" t="str">
        <f>"1551601729155553"</f>
        <v>1551601729155553</v>
      </c>
      <c r="C3475" t="s">
        <v>40</v>
      </c>
      <c r="D3475">
        <v>4.8658769999999896</v>
      </c>
      <c r="E3475">
        <v>0.52982119999999999</v>
      </c>
      <c r="F3475" t="s">
        <v>44</v>
      </c>
      <c r="G3475">
        <v>-267.28829999999999</v>
      </c>
      <c r="H3475">
        <v>0.83961219999999903</v>
      </c>
      <c r="I3475">
        <v>214.16720000000001</v>
      </c>
      <c r="J3475">
        <v>-267.86779999999999</v>
      </c>
      <c r="K3475">
        <v>1.1211370000000001</v>
      </c>
      <c r="L3475">
        <v>214.24340000000001</v>
      </c>
      <c r="M3475">
        <v>0.99993849999999995</v>
      </c>
      <c r="N3475">
        <v>-1.0645150000000001E-2</v>
      </c>
      <c r="O3475">
        <v>-3.1536379999999998E-3</v>
      </c>
      <c r="P3475">
        <v>0.97964189999999995</v>
      </c>
      <c r="Q3475">
        <v>0.19916130000000001</v>
      </c>
      <c r="R3475">
        <v>-2.5233809999999999E-2</v>
      </c>
      <c r="S3475">
        <v>3.2655940000000001</v>
      </c>
      <c r="T3475">
        <v>-1.0320940000000001</v>
      </c>
      <c r="U3475">
        <v>-0.282196</v>
      </c>
      <c r="V3475">
        <v>2.2152270000000002E-2</v>
      </c>
      <c r="W3475">
        <v>0.2095784</v>
      </c>
      <c r="X3475">
        <v>0.97754090000000005</v>
      </c>
      <c r="Y3475">
        <v>7.9128199999999996E-2</v>
      </c>
      <c r="Z3475">
        <v>-1.167929E-2</v>
      </c>
      <c r="AA3475">
        <v>0.99679600000000002</v>
      </c>
      <c r="AB3475">
        <v>31</v>
      </c>
      <c r="AC3475">
        <v>0.57949999999999502</v>
      </c>
      <c r="AD3475">
        <v>-0.28152480000000002</v>
      </c>
      <c r="AE3475">
        <v>-7.6200000000000004E-2</v>
      </c>
      <c r="AF3475">
        <v>6.0367039650773002E-2</v>
      </c>
      <c r="AG3475">
        <v>-0.28152480000000002</v>
      </c>
      <c r="AH3475">
        <v>0.470567421152218</v>
      </c>
      <c r="AI3475">
        <v>120.685050676187</v>
      </c>
      <c r="AJ3475">
        <v>82.689702497764799</v>
      </c>
      <c r="AK3475">
        <v>0.55166483515000897</v>
      </c>
      <c r="AL3475">
        <v>77.902353686108</v>
      </c>
      <c r="AM3475">
        <v>88.701829886265998</v>
      </c>
      <c r="AN3475">
        <v>1.0000000199927599</v>
      </c>
    </row>
    <row r="3476" spans="1:40" x14ac:dyDescent="0.25">
      <c r="A3476" t="str">
        <f>"20190303162849190"</f>
        <v>20190303162849190</v>
      </c>
      <c r="B3476" t="str">
        <f>"1551601729184832"</f>
        <v>1551601729184832</v>
      </c>
      <c r="C3476" t="s">
        <v>40</v>
      </c>
      <c r="D3476">
        <v>4.8644569999999998</v>
      </c>
      <c r="E3476">
        <v>0.52978029999999998</v>
      </c>
      <c r="F3476" t="s">
        <v>44</v>
      </c>
      <c r="G3476">
        <v>-267.00959999999998</v>
      </c>
      <c r="H3476">
        <v>0.85013689999999997</v>
      </c>
      <c r="I3476">
        <v>214.1687</v>
      </c>
      <c r="J3476">
        <v>-267.54930000000002</v>
      </c>
      <c r="K3476">
        <v>1.121132</v>
      </c>
      <c r="L3476">
        <v>214.2424</v>
      </c>
      <c r="M3476">
        <v>0.99993840000000001</v>
      </c>
      <c r="N3476">
        <v>-1.064883E-2</v>
      </c>
      <c r="O3476">
        <v>-3.153299E-3</v>
      </c>
      <c r="P3476">
        <v>0.97975990000000002</v>
      </c>
      <c r="Q3476">
        <v>0.19853290000000001</v>
      </c>
      <c r="R3476">
        <v>-2.5598869999999999E-2</v>
      </c>
      <c r="S3476">
        <v>3.2646480000000002</v>
      </c>
      <c r="T3476">
        <v>-1.03095</v>
      </c>
      <c r="U3476">
        <v>-0.28320309999999999</v>
      </c>
      <c r="V3476">
        <v>2.2517220000000001E-2</v>
      </c>
      <c r="W3476">
        <v>0.20895459999999999</v>
      </c>
      <c r="X3476">
        <v>0.97766609999999998</v>
      </c>
      <c r="Y3476">
        <v>7.9448539999999998E-2</v>
      </c>
      <c r="Z3476">
        <v>-1.172168E-2</v>
      </c>
      <c r="AA3476">
        <v>0.99677000000000004</v>
      </c>
      <c r="AB3476">
        <v>31</v>
      </c>
      <c r="AC3476">
        <v>0.53970000000003804</v>
      </c>
      <c r="AD3476">
        <v>-0.27099509999999899</v>
      </c>
      <c r="AE3476">
        <v>-7.3700000000002305E-2</v>
      </c>
      <c r="AF3476">
        <v>5.7713094473787897E-2</v>
      </c>
      <c r="AG3476">
        <v>-0.27099509999999899</v>
      </c>
      <c r="AH3476">
        <v>0.43280569592360302</v>
      </c>
      <c r="AI3476">
        <v>121.825480282019</v>
      </c>
      <c r="AJ3476">
        <v>82.404619351052204</v>
      </c>
      <c r="AK3476">
        <v>0.51389679501011098</v>
      </c>
      <c r="AL3476">
        <v>77.938904148816107</v>
      </c>
      <c r="AM3476">
        <v>88.680619462711604</v>
      </c>
      <c r="AN3476">
        <v>1.0000000265734399</v>
      </c>
    </row>
    <row r="3477" spans="1:40" x14ac:dyDescent="0.25">
      <c r="A3477" t="str">
        <f>"20190303162849212"</f>
        <v>20190303162849212</v>
      </c>
      <c r="B3477" t="str">
        <f>"1551601729205329"</f>
        <v>1551601729205329</v>
      </c>
      <c r="C3477" t="s">
        <v>40</v>
      </c>
      <c r="D3477">
        <v>4.8710889999999996</v>
      </c>
      <c r="E3477">
        <v>0.52979699999999996</v>
      </c>
      <c r="F3477" t="s">
        <v>44</v>
      </c>
      <c r="G3477">
        <v>-266.73020000000002</v>
      </c>
      <c r="H3477">
        <v>0.86203339999999995</v>
      </c>
      <c r="I3477">
        <v>214.17089999999999</v>
      </c>
      <c r="J3477">
        <v>-267.2482</v>
      </c>
      <c r="K3477">
        <v>1.1211279999999999</v>
      </c>
      <c r="L3477">
        <v>214.2414</v>
      </c>
      <c r="M3477">
        <v>0.99993840000000001</v>
      </c>
      <c r="N3477">
        <v>-1.065223E-2</v>
      </c>
      <c r="O3477">
        <v>-3.1533170000000001E-3</v>
      </c>
      <c r="P3477">
        <v>0.97986629999999997</v>
      </c>
      <c r="Q3477">
        <v>0.19805500000000001</v>
      </c>
      <c r="R3477">
        <v>-2.5228029999999999E-2</v>
      </c>
      <c r="S3477">
        <v>3.2637330000000002</v>
      </c>
      <c r="T3477">
        <v>-1.032416</v>
      </c>
      <c r="U3477">
        <v>-0.28440860000000001</v>
      </c>
      <c r="V3477">
        <v>2.2145979999999999E-2</v>
      </c>
      <c r="W3477">
        <v>0.20848169999999999</v>
      </c>
      <c r="X3477">
        <v>0.97777550000000002</v>
      </c>
      <c r="Y3477">
        <v>7.9807530000000002E-2</v>
      </c>
      <c r="Z3477">
        <v>-1.179725E-2</v>
      </c>
      <c r="AA3477">
        <v>0.99674050000000003</v>
      </c>
      <c r="AB3477">
        <v>31</v>
      </c>
      <c r="AC3477">
        <v>0.51799999999997204</v>
      </c>
      <c r="AD3477">
        <v>-0.25909460000000001</v>
      </c>
      <c r="AE3477">
        <v>-7.0500000000009694E-2</v>
      </c>
      <c r="AF3477">
        <v>5.5286070511660297E-2</v>
      </c>
      <c r="AG3477">
        <v>-0.25909460000000001</v>
      </c>
      <c r="AH3477">
        <v>0.41602932774284801</v>
      </c>
      <c r="AI3477">
        <v>121.689206414952</v>
      </c>
      <c r="AJ3477">
        <v>82.4303245676183</v>
      </c>
      <c r="AK3477">
        <v>0.49322100815349101</v>
      </c>
      <c r="AL3477">
        <v>77.966609136929705</v>
      </c>
      <c r="AM3477">
        <v>88.702509645726195</v>
      </c>
      <c r="AN3477">
        <v>0.99999999603265</v>
      </c>
    </row>
    <row r="3478" spans="1:40" x14ac:dyDescent="0.25">
      <c r="A3478" t="str">
        <f>"20190303162849233"</f>
        <v>20190303162849233</v>
      </c>
      <c r="B3478" t="str">
        <f>"1551601729224848"</f>
        <v>1551601729224848</v>
      </c>
      <c r="C3478" t="s">
        <v>40</v>
      </c>
      <c r="D3478">
        <v>4.9234519999999904</v>
      </c>
      <c r="E3478">
        <v>0.52979149999999997</v>
      </c>
      <c r="F3478" t="s">
        <v>44</v>
      </c>
      <c r="G3478">
        <v>-266.45240000000001</v>
      </c>
      <c r="H3478">
        <v>0.869162199999999</v>
      </c>
      <c r="I3478">
        <v>214.1721</v>
      </c>
      <c r="J3478">
        <v>-266.95460000000003</v>
      </c>
      <c r="K3478">
        <v>1.121127</v>
      </c>
      <c r="L3478">
        <v>214.2405</v>
      </c>
      <c r="M3478">
        <v>0.99993840000000001</v>
      </c>
      <c r="N3478">
        <v>-1.065546E-2</v>
      </c>
      <c r="O3478">
        <v>-3.1529769999999999E-3</v>
      </c>
      <c r="P3478">
        <v>0.98003419999999997</v>
      </c>
      <c r="Q3478">
        <v>0.19722509999999999</v>
      </c>
      <c r="R3478">
        <v>-2.5210739999999999E-2</v>
      </c>
      <c r="S3478">
        <v>3.2631839999999999</v>
      </c>
      <c r="T3478">
        <v>-1.033209</v>
      </c>
      <c r="U3478">
        <v>-0.28323359999999997</v>
      </c>
      <c r="V3478">
        <v>2.212838E-2</v>
      </c>
      <c r="W3478">
        <v>0.2076566</v>
      </c>
      <c r="X3478">
        <v>0.97795149999999997</v>
      </c>
      <c r="Y3478">
        <v>7.9475729999999994E-2</v>
      </c>
      <c r="Z3478">
        <v>-1.1754779999999999E-2</v>
      </c>
      <c r="AA3478">
        <v>0.99676750000000003</v>
      </c>
      <c r="AB3478">
        <v>31</v>
      </c>
      <c r="AC3478">
        <v>0.50220000000001597</v>
      </c>
      <c r="AD3478">
        <v>-0.25196479999999999</v>
      </c>
      <c r="AE3478">
        <v>-6.8399999999996894E-2</v>
      </c>
      <c r="AF3478">
        <v>5.3575480719467203E-2</v>
      </c>
      <c r="AG3478">
        <v>-0.25196479999999999</v>
      </c>
      <c r="AH3478">
        <v>0.402852147505257</v>
      </c>
      <c r="AI3478">
        <v>121.798647155133</v>
      </c>
      <c r="AJ3478">
        <v>82.424661178736798</v>
      </c>
      <c r="AK3478">
        <v>0.478169891694322</v>
      </c>
      <c r="AL3478">
        <v>78.014942130875198</v>
      </c>
      <c r="AM3478">
        <v>88.7037736854424</v>
      </c>
      <c r="AN3478">
        <v>1.00000003253861</v>
      </c>
    </row>
    <row r="3479" spans="1:40" x14ac:dyDescent="0.25">
      <c r="A3479" t="str">
        <f>"20190303162849256"</f>
        <v>20190303162849256</v>
      </c>
      <c r="B3479" t="str">
        <f>"1551601729245345"</f>
        <v>1551601729245345</v>
      </c>
      <c r="C3479" t="s">
        <v>40</v>
      </c>
      <c r="D3479">
        <v>4.9039869999999999</v>
      </c>
      <c r="E3479">
        <v>0.52976809999999996</v>
      </c>
      <c r="F3479" t="s">
        <v>44</v>
      </c>
      <c r="G3479">
        <v>-266.17540000000002</v>
      </c>
      <c r="H3479">
        <v>0.8737125</v>
      </c>
      <c r="I3479">
        <v>214.17259999999999</v>
      </c>
      <c r="J3479">
        <v>-266.64940000000001</v>
      </c>
      <c r="K3479">
        <v>1.1211279999999999</v>
      </c>
      <c r="L3479">
        <v>214.23949999999999</v>
      </c>
      <c r="M3479">
        <v>0.99993829999999995</v>
      </c>
      <c r="N3479">
        <v>-1.065873E-2</v>
      </c>
      <c r="O3479">
        <v>-3.1528749999999999E-3</v>
      </c>
      <c r="P3479">
        <v>0.98010889999999995</v>
      </c>
      <c r="Q3479">
        <v>0.19684479999999999</v>
      </c>
      <c r="R3479">
        <v>-2.5275079999999998E-2</v>
      </c>
      <c r="S3479">
        <v>3.2622680000000002</v>
      </c>
      <c r="T3479">
        <v>-1.035922</v>
      </c>
      <c r="U3479">
        <v>-0.28399659999999999</v>
      </c>
      <c r="V3479">
        <v>2.21926E-2</v>
      </c>
      <c r="W3479">
        <v>0.2072802</v>
      </c>
      <c r="X3479">
        <v>0.97802979999999995</v>
      </c>
      <c r="Y3479">
        <v>7.9698530000000004E-2</v>
      </c>
      <c r="Z3479">
        <v>-1.182187E-2</v>
      </c>
      <c r="AA3479">
        <v>0.99674890000000005</v>
      </c>
      <c r="AB3479">
        <v>31</v>
      </c>
      <c r="AC3479">
        <v>0.47399999999998899</v>
      </c>
      <c r="AD3479">
        <v>-0.24741550000000001</v>
      </c>
      <c r="AE3479">
        <v>-6.6900000000003901E-2</v>
      </c>
      <c r="AF3479">
        <v>5.1616533906148898E-2</v>
      </c>
      <c r="AG3479">
        <v>-0.24741550000000001</v>
      </c>
      <c r="AH3479">
        <v>0.374236809609865</v>
      </c>
      <c r="AI3479">
        <v>123.221597327222</v>
      </c>
      <c r="AJ3479">
        <v>82.147037721411493</v>
      </c>
      <c r="AK3479">
        <v>0.45158818173165799</v>
      </c>
      <c r="AL3479">
        <v>78.036986832329802</v>
      </c>
      <c r="AM3479">
        <v>88.700117163970404</v>
      </c>
      <c r="AN3479">
        <v>0.99999994124741798</v>
      </c>
    </row>
    <row r="3480" spans="1:40" x14ac:dyDescent="0.25">
      <c r="A3480" t="str">
        <f>"20190303162849279"</f>
        <v>20190303162849279</v>
      </c>
      <c r="B3480" t="str">
        <f>"1551601729275245"</f>
        <v>1551601729275245</v>
      </c>
      <c r="C3480" t="s">
        <v>40</v>
      </c>
      <c r="D3480">
        <v>4.9053529999999999</v>
      </c>
      <c r="E3480">
        <v>0.52971380000000001</v>
      </c>
      <c r="F3480" t="s">
        <v>44</v>
      </c>
      <c r="G3480">
        <v>-265.89670000000001</v>
      </c>
      <c r="H3480">
        <v>0.8821504</v>
      </c>
      <c r="I3480">
        <v>214.1737</v>
      </c>
      <c r="J3480">
        <v>-266.3304</v>
      </c>
      <c r="K3480">
        <v>1.121122</v>
      </c>
      <c r="L3480">
        <v>214.23849999999999</v>
      </c>
      <c r="M3480">
        <v>0.99993840000000001</v>
      </c>
      <c r="N3480">
        <v>-1.0662080000000001E-2</v>
      </c>
      <c r="O3480">
        <v>-3.152654E-3</v>
      </c>
      <c r="P3480">
        <v>0.98018749999999999</v>
      </c>
      <c r="Q3480">
        <v>0.19651170000000001</v>
      </c>
      <c r="R3480">
        <v>-2.481419E-2</v>
      </c>
      <c r="S3480">
        <v>3.2615050000000001</v>
      </c>
      <c r="T3480">
        <v>-1.0354699999999999</v>
      </c>
      <c r="U3480">
        <v>-0.28393550000000001</v>
      </c>
      <c r="V3480">
        <v>2.1731629999999998E-2</v>
      </c>
      <c r="W3480">
        <v>0.2069513</v>
      </c>
      <c r="X3480">
        <v>0.97810980000000003</v>
      </c>
      <c r="Y3480">
        <v>7.97017E-2</v>
      </c>
      <c r="Z3480">
        <v>-1.182039E-2</v>
      </c>
      <c r="AA3480">
        <v>0.99674870000000004</v>
      </c>
      <c r="AB3480">
        <v>31</v>
      </c>
      <c r="AC3480">
        <v>0.43369999999998698</v>
      </c>
      <c r="AD3480">
        <v>-0.23897159999999901</v>
      </c>
      <c r="AE3480">
        <v>-6.4799999999991004E-2</v>
      </c>
      <c r="AF3480">
        <v>4.8907740617574899E-2</v>
      </c>
      <c r="AG3480">
        <v>-0.23897159999999901</v>
      </c>
      <c r="AH3480">
        <v>0.33454841714950001</v>
      </c>
      <c r="AI3480">
        <v>125.25260016678099</v>
      </c>
      <c r="AJ3480">
        <v>81.682828085917706</v>
      </c>
      <c r="AK3480">
        <v>0.41403144339060999</v>
      </c>
      <c r="AL3480">
        <v>78.056249105902907</v>
      </c>
      <c r="AM3480">
        <v>88.727212568618796</v>
      </c>
      <c r="AN3480">
        <v>0.99999994258509195</v>
      </c>
    </row>
    <row r="3481" spans="1:40" x14ac:dyDescent="0.25">
      <c r="A3481" t="str">
        <f>"20190303162849301"</f>
        <v>20190303162849301</v>
      </c>
      <c r="B3481" t="str">
        <f>"1551601729294766"</f>
        <v>1551601729294766</v>
      </c>
      <c r="C3481" t="s">
        <v>40</v>
      </c>
      <c r="D3481">
        <v>4.92448</v>
      </c>
      <c r="E3481">
        <v>0.52969619999999995</v>
      </c>
      <c r="F3481" t="s">
        <v>44</v>
      </c>
      <c r="G3481">
        <v>-265.61599999999999</v>
      </c>
      <c r="H3481">
        <v>0.89483009999999996</v>
      </c>
      <c r="I3481">
        <v>214.1764</v>
      </c>
      <c r="J3481">
        <v>-266.01679999999999</v>
      </c>
      <c r="K3481">
        <v>1.1211199999999999</v>
      </c>
      <c r="L3481">
        <v>214.23750000000001</v>
      </c>
      <c r="M3481">
        <v>0.9999382</v>
      </c>
      <c r="N3481">
        <v>-1.0665330000000001E-2</v>
      </c>
      <c r="O3481">
        <v>-3.1521940000000001E-3</v>
      </c>
      <c r="P3481">
        <v>0.98025810000000002</v>
      </c>
      <c r="Q3481">
        <v>0.19623499999999999</v>
      </c>
      <c r="R3481">
        <v>-2.4205730000000002E-2</v>
      </c>
      <c r="S3481">
        <v>3.2605590000000002</v>
      </c>
      <c r="T3481">
        <v>-1.032751</v>
      </c>
      <c r="U3481">
        <v>-0.28259279999999998</v>
      </c>
      <c r="V3481">
        <v>2.1123329999999999E-2</v>
      </c>
      <c r="W3481">
        <v>0.20667840000000001</v>
      </c>
      <c r="X3481">
        <v>0.97818090000000002</v>
      </c>
      <c r="Y3481">
        <v>7.9354399999999894E-2</v>
      </c>
      <c r="Z3481">
        <v>-1.174002E-2</v>
      </c>
      <c r="AA3481">
        <v>0.99677740000000004</v>
      </c>
      <c r="AB3481">
        <v>31</v>
      </c>
      <c r="AC3481">
        <v>0.40080000000000299</v>
      </c>
      <c r="AD3481">
        <v>-0.22628989999999999</v>
      </c>
      <c r="AE3481">
        <v>-6.1100000000010299E-2</v>
      </c>
      <c r="AF3481">
        <v>4.5623279116887301E-2</v>
      </c>
      <c r="AG3481">
        <v>-0.22628989999999999</v>
      </c>
      <c r="AH3481">
        <v>0.30574299825934498</v>
      </c>
      <c r="AI3481">
        <v>126.205097180332</v>
      </c>
      <c r="AJ3481">
        <v>81.512890047720106</v>
      </c>
      <c r="AK3481">
        <v>0.38310231456361798</v>
      </c>
      <c r="AL3481">
        <v>78.072231516146303</v>
      </c>
      <c r="AM3481">
        <v>88.762918408756406</v>
      </c>
      <c r="AN3481">
        <v>1.0000000146108201</v>
      </c>
    </row>
    <row r="3482" spans="1:40" x14ac:dyDescent="0.25">
      <c r="A3482" t="str">
        <f>"20190303162849324"</f>
        <v>20190303162849324</v>
      </c>
      <c r="B3482" t="str">
        <f>"1551601729315262"</f>
        <v>1551601729315262</v>
      </c>
      <c r="C3482" t="s">
        <v>40</v>
      </c>
      <c r="D3482">
        <v>4.9823230000000001</v>
      </c>
      <c r="E3482">
        <v>0.52968149999999903</v>
      </c>
      <c r="F3482" t="s">
        <v>44</v>
      </c>
      <c r="G3482">
        <v>-265.33530000000002</v>
      </c>
      <c r="H3482">
        <v>0.90538700000000005</v>
      </c>
      <c r="I3482">
        <v>214.17859999999999</v>
      </c>
      <c r="J3482">
        <v>-265.72059999999999</v>
      </c>
      <c r="K3482">
        <v>1.121124</v>
      </c>
      <c r="L3482">
        <v>214.23660000000001</v>
      </c>
      <c r="M3482">
        <v>0.9999382</v>
      </c>
      <c r="N3482">
        <v>-1.066833E-2</v>
      </c>
      <c r="O3482">
        <v>-3.1519719999999998E-3</v>
      </c>
      <c r="P3482">
        <v>0.98032969999999997</v>
      </c>
      <c r="Q3482">
        <v>0.19595940000000001</v>
      </c>
      <c r="R3482">
        <v>-2.3534780000000002E-2</v>
      </c>
      <c r="S3482">
        <v>3.2601010000000001</v>
      </c>
      <c r="T3482">
        <v>-1.0320910000000001</v>
      </c>
      <c r="U3482">
        <v>-0.28057860000000001</v>
      </c>
      <c r="V3482">
        <v>2.04522E-2</v>
      </c>
      <c r="W3482">
        <v>0.2064069</v>
      </c>
      <c r="X3482">
        <v>0.97825249999999997</v>
      </c>
      <c r="Y3482">
        <v>7.8787289999999996E-2</v>
      </c>
      <c r="Z3482">
        <v>-1.164453E-2</v>
      </c>
      <c r="AA3482">
        <v>0.99682340000000003</v>
      </c>
      <c r="AB3482">
        <v>31</v>
      </c>
      <c r="AC3482">
        <v>0.385299999999972</v>
      </c>
      <c r="AD3482">
        <v>-0.21573700000000001</v>
      </c>
      <c r="AE3482">
        <v>-5.8000000000021097E-2</v>
      </c>
      <c r="AF3482">
        <v>4.34614933738076E-2</v>
      </c>
      <c r="AG3482">
        <v>-0.21573700000000001</v>
      </c>
      <c r="AH3482">
        <v>0.29503426202651001</v>
      </c>
      <c r="AI3482">
        <v>125.88272472684901</v>
      </c>
      <c r="AJ3482">
        <v>81.620028392913099</v>
      </c>
      <c r="AK3482">
        <v>0.36807142016843503</v>
      </c>
      <c r="AL3482">
        <v>78.088130285875195</v>
      </c>
      <c r="AM3482">
        <v>88.802298943567607</v>
      </c>
      <c r="AN3482">
        <v>1.0000000273043399</v>
      </c>
    </row>
    <row r="3483" spans="1:40" x14ac:dyDescent="0.25">
      <c r="A3483" t="str">
        <f>"20190303162849346"</f>
        <v>20190303162849346</v>
      </c>
      <c r="B3483" t="str">
        <f>"1551601729334782"</f>
        <v>1551601729334782</v>
      </c>
      <c r="C3483" t="s">
        <v>40</v>
      </c>
      <c r="D3483">
        <v>4.9871679999999996</v>
      </c>
      <c r="E3483">
        <v>0.52965830000000003</v>
      </c>
      <c r="F3483" t="s">
        <v>44</v>
      </c>
      <c r="G3483">
        <v>-264.81209999999999</v>
      </c>
      <c r="H3483">
        <v>0.83376249999999996</v>
      </c>
      <c r="I3483">
        <v>214.15870000000001</v>
      </c>
      <c r="J3483">
        <v>-265.41180000000003</v>
      </c>
      <c r="K3483">
        <v>1.1211199999999999</v>
      </c>
      <c r="L3483">
        <v>214.23560000000001</v>
      </c>
      <c r="M3483">
        <v>0.9999382</v>
      </c>
      <c r="N3483">
        <v>-1.0671409999999999E-2</v>
      </c>
      <c r="O3483">
        <v>-3.1519880000000001E-3</v>
      </c>
      <c r="P3483">
        <v>0.98043170000000002</v>
      </c>
      <c r="Q3483">
        <v>0.19547490000000001</v>
      </c>
      <c r="R3483">
        <v>-2.3317020000000001E-2</v>
      </c>
      <c r="S3483">
        <v>3.2596129999999999</v>
      </c>
      <c r="T3483">
        <v>-1.0311170000000001</v>
      </c>
      <c r="U3483">
        <v>-0.27862550000000003</v>
      </c>
      <c r="V3483">
        <v>2.023411E-2</v>
      </c>
      <c r="W3483">
        <v>0.2059262</v>
      </c>
      <c r="X3483">
        <v>0.97835830000000001</v>
      </c>
      <c r="Y3483">
        <v>7.8240119999999996E-2</v>
      </c>
      <c r="Z3483">
        <v>-1.154909E-2</v>
      </c>
      <c r="AA3483">
        <v>0.99686770000000002</v>
      </c>
      <c r="AB3483">
        <v>31</v>
      </c>
      <c r="AC3483">
        <v>0.59970000000004098</v>
      </c>
      <c r="AD3483">
        <v>-0.28735749999999999</v>
      </c>
      <c r="AE3483">
        <v>-7.6899999999994806E-2</v>
      </c>
      <c r="AF3483">
        <v>6.1187677923570799E-2</v>
      </c>
      <c r="AG3483">
        <v>-0.28735749999999999</v>
      </c>
      <c r="AH3483">
        <v>0.489391556739529</v>
      </c>
      <c r="AI3483">
        <v>120.226649675239</v>
      </c>
      <c r="AJ3483">
        <v>82.8734005553994</v>
      </c>
      <c r="AK3483">
        <v>0.57080851477870198</v>
      </c>
      <c r="AL3483">
        <v>78.1162766095199</v>
      </c>
      <c r="AM3483">
        <v>88.815194951246696</v>
      </c>
      <c r="AN3483">
        <v>0.99999999111641102</v>
      </c>
    </row>
    <row r="3484" spans="1:40" x14ac:dyDescent="0.25">
      <c r="A3484" t="str">
        <f>"20190303162849368"</f>
        <v>20190303162849368</v>
      </c>
      <c r="B3484" t="str">
        <f>"1551601729355278"</f>
        <v>1551601729355278</v>
      </c>
      <c r="C3484" t="s">
        <v>40</v>
      </c>
      <c r="D3484">
        <v>4.9485340000000004</v>
      </c>
      <c r="E3484">
        <v>0.52962969999999998</v>
      </c>
      <c r="F3484" t="s">
        <v>44</v>
      </c>
      <c r="G3484">
        <v>-264.53219999999999</v>
      </c>
      <c r="H3484">
        <v>0.84265469999999898</v>
      </c>
      <c r="I3484">
        <v>214.16059999999999</v>
      </c>
      <c r="J3484">
        <v>-265.09539999999998</v>
      </c>
      <c r="K3484">
        <v>1.1211169999999999</v>
      </c>
      <c r="L3484">
        <v>214.2346</v>
      </c>
      <c r="M3484">
        <v>0.99993810000000005</v>
      </c>
      <c r="N3484">
        <v>-1.067451E-2</v>
      </c>
      <c r="O3484">
        <v>-3.1515269999999999E-3</v>
      </c>
      <c r="P3484">
        <v>0.98037790000000002</v>
      </c>
      <c r="Q3484">
        <v>0.1957633</v>
      </c>
      <c r="R3484">
        <v>-2.3149550000000001E-2</v>
      </c>
      <c r="S3484">
        <v>3.2590029999999999</v>
      </c>
      <c r="T3484">
        <v>-1.0317780000000001</v>
      </c>
      <c r="U3484">
        <v>-0.27729799999999999</v>
      </c>
      <c r="V3484">
        <v>2.006751E-2</v>
      </c>
      <c r="W3484">
        <v>0.20621690000000001</v>
      </c>
      <c r="X3484">
        <v>0.97830050000000002</v>
      </c>
      <c r="Y3484">
        <v>7.7865870000000004E-2</v>
      </c>
      <c r="Z3484">
        <v>-1.149852E-2</v>
      </c>
      <c r="AA3484">
        <v>0.99689749999999999</v>
      </c>
      <c r="AB3484">
        <v>31</v>
      </c>
      <c r="AC3484">
        <v>0.56319999999999404</v>
      </c>
      <c r="AD3484">
        <v>-0.2784623</v>
      </c>
      <c r="AE3484">
        <v>-7.4000000000012195E-2</v>
      </c>
      <c r="AF3484">
        <v>5.8231027037766697E-2</v>
      </c>
      <c r="AG3484">
        <v>-0.2784623</v>
      </c>
      <c r="AH3484">
        <v>0.45426539509014502</v>
      </c>
      <c r="AI3484">
        <v>121.30042206517</v>
      </c>
      <c r="AJ3484">
        <v>82.695248837028004</v>
      </c>
      <c r="AK3484">
        <v>0.53599361396155498</v>
      </c>
      <c r="AL3484">
        <v>78.099255403946799</v>
      </c>
      <c r="AM3484">
        <v>88.824878035850901</v>
      </c>
      <c r="AN3484">
        <v>0.99999999155173003</v>
      </c>
    </row>
    <row r="3485" spans="1:40" x14ac:dyDescent="0.25">
      <c r="A3485" t="str">
        <f>"20190303162849391"</f>
        <v>20190303162849391</v>
      </c>
      <c r="B3485" t="str">
        <f>"1551601729385077"</f>
        <v>1551601729385077</v>
      </c>
      <c r="C3485" t="s">
        <v>40</v>
      </c>
      <c r="D3485">
        <v>5.0435150000000002</v>
      </c>
      <c r="E3485">
        <v>0.53307969999999905</v>
      </c>
      <c r="F3485" t="s">
        <v>44</v>
      </c>
      <c r="G3485">
        <v>-264.2509</v>
      </c>
      <c r="H3485">
        <v>0.85437809999999903</v>
      </c>
      <c r="I3485">
        <v>214.1626</v>
      </c>
      <c r="J3485">
        <v>-264.77999999999997</v>
      </c>
      <c r="K3485">
        <v>1.121119</v>
      </c>
      <c r="L3485">
        <v>214.2337</v>
      </c>
      <c r="M3485">
        <v>0.99993810000000005</v>
      </c>
      <c r="N3485">
        <v>-1.0677559999999999E-2</v>
      </c>
      <c r="O3485">
        <v>-3.1514239999999999E-3</v>
      </c>
      <c r="P3485">
        <v>0.9804446</v>
      </c>
      <c r="Q3485">
        <v>0.19544990000000001</v>
      </c>
      <c r="R3485">
        <v>-2.2975990000000002E-2</v>
      </c>
      <c r="S3485">
        <v>3.2590330000000001</v>
      </c>
      <c r="T3485">
        <v>-1.0293829999999999</v>
      </c>
      <c r="U3485">
        <v>-0.27713009999999999</v>
      </c>
      <c r="V3485">
        <v>1.9893879999999999E-2</v>
      </c>
      <c r="W3485">
        <v>0.2059076</v>
      </c>
      <c r="X3485">
        <v>0.97836920000000005</v>
      </c>
      <c r="Y3485">
        <v>7.7832670000000007E-2</v>
      </c>
      <c r="Z3485">
        <v>-1.1468839999999999E-2</v>
      </c>
      <c r="AA3485">
        <v>0.99690040000000002</v>
      </c>
      <c r="AB3485">
        <v>31</v>
      </c>
      <c r="AC3485">
        <v>0.52909999999997104</v>
      </c>
      <c r="AD3485">
        <v>-0.2667409</v>
      </c>
      <c r="AE3485">
        <v>-7.1100000000001204E-2</v>
      </c>
      <c r="AF3485">
        <v>5.5561271232280898E-2</v>
      </c>
      <c r="AG3485">
        <v>-0.2667409</v>
      </c>
      <c r="AH3485">
        <v>0.42357581764958502</v>
      </c>
      <c r="AI3485">
        <v>121.98012731489</v>
      </c>
      <c r="AJ3485">
        <v>82.527065242461504</v>
      </c>
      <c r="AK3485">
        <v>0.503640979162014</v>
      </c>
      <c r="AL3485">
        <v>78.117365743008193</v>
      </c>
      <c r="AM3485">
        <v>88.835124502069405</v>
      </c>
      <c r="AN3485">
        <v>0.99999999885392699</v>
      </c>
    </row>
    <row r="3486" spans="1:40" x14ac:dyDescent="0.25">
      <c r="A3486" t="str">
        <f>"20190303162849413"</f>
        <v>20190303162849413</v>
      </c>
      <c r="B3486" t="str">
        <f>"1551601729405249"</f>
        <v>1551601729405249</v>
      </c>
      <c r="C3486" t="s">
        <v>40</v>
      </c>
      <c r="D3486">
        <v>5.1118420000000002</v>
      </c>
      <c r="E3486">
        <v>0.53262759999999998</v>
      </c>
      <c r="F3486" t="s">
        <v>48</v>
      </c>
      <c r="G3486">
        <v>-248.0127</v>
      </c>
      <c r="H3486" s="1">
        <v>2.819476E-6</v>
      </c>
      <c r="I3486">
        <v>212.5052</v>
      </c>
      <c r="J3486">
        <v>-264.48050000000001</v>
      </c>
      <c r="K3486">
        <v>1.1211180000000001</v>
      </c>
      <c r="L3486">
        <v>214.23269999999999</v>
      </c>
      <c r="M3486">
        <v>0.99993810000000005</v>
      </c>
      <c r="N3486">
        <v>-1.0680429999999999E-2</v>
      </c>
      <c r="O3486">
        <v>-3.1512010000000002E-3</v>
      </c>
      <c r="P3486">
        <v>0.9805585</v>
      </c>
      <c r="Q3486">
        <v>0.19490750000000001</v>
      </c>
      <c r="R3486">
        <v>-2.272296E-2</v>
      </c>
      <c r="S3486">
        <v>3.0936279999999998</v>
      </c>
      <c r="T3486">
        <v>-0.2068506</v>
      </c>
      <c r="U3486">
        <v>-0.31890869999999999</v>
      </c>
      <c r="V3486">
        <v>1.9640479999999998E-2</v>
      </c>
      <c r="W3486">
        <v>0.2053691</v>
      </c>
      <c r="X3486">
        <v>0.97848749999999995</v>
      </c>
      <c r="Y3486">
        <v>9.9157480000000006E-2</v>
      </c>
      <c r="Z3486">
        <v>-3.657839E-3</v>
      </c>
      <c r="AA3486">
        <v>0.99506499999999998</v>
      </c>
      <c r="AB3486">
        <v>31</v>
      </c>
      <c r="AC3486">
        <v>16.4678</v>
      </c>
      <c r="AD3486">
        <v>-1.1211151805239901</v>
      </c>
      <c r="AE3486">
        <v>-1.72749999999999</v>
      </c>
      <c r="AF3486">
        <v>1.66794868521204</v>
      </c>
      <c r="AG3486">
        <v>-1.1211151805239901</v>
      </c>
      <c r="AH3486">
        <v>16.397988378384401</v>
      </c>
      <c r="AI3486">
        <v>93.891157033829799</v>
      </c>
      <c r="AJ3486">
        <v>84.192039702796905</v>
      </c>
      <c r="AK3486">
        <v>16.5206832462259</v>
      </c>
      <c r="AL3486">
        <v>78.148893360443793</v>
      </c>
      <c r="AM3486">
        <v>88.850097196562302</v>
      </c>
      <c r="AN3486">
        <v>1.0000000016728401</v>
      </c>
    </row>
    <row r="3487" spans="1:40" x14ac:dyDescent="0.25">
      <c r="A3487" t="str">
        <f>"20190303162849435"</f>
        <v>20190303162849435</v>
      </c>
      <c r="B3487" t="str">
        <f>"1551601729424768"</f>
        <v>1551601729424768</v>
      </c>
      <c r="C3487" t="s">
        <v>40</v>
      </c>
      <c r="D3487">
        <v>5.1071330000000001</v>
      </c>
      <c r="E3487">
        <v>0.53205100000000005</v>
      </c>
      <c r="F3487" t="s">
        <v>48</v>
      </c>
      <c r="G3487">
        <v>-242.76939999999999</v>
      </c>
      <c r="H3487" s="1">
        <v>5.072874E-8</v>
      </c>
      <c r="I3487">
        <v>212.0136</v>
      </c>
      <c r="J3487">
        <v>-264.17739999999998</v>
      </c>
      <c r="K3487">
        <v>1.1211180000000001</v>
      </c>
      <c r="L3487">
        <v>214.23179999999999</v>
      </c>
      <c r="M3487">
        <v>0.99993810000000005</v>
      </c>
      <c r="N3487">
        <v>-1.06833E-2</v>
      </c>
      <c r="O3487">
        <v>-3.1510969999999998E-3</v>
      </c>
      <c r="P3487">
        <v>0.98060879999999995</v>
      </c>
      <c r="Q3487">
        <v>0.19460649999999999</v>
      </c>
      <c r="R3487">
        <v>-2.3135679999999999E-2</v>
      </c>
      <c r="S3487">
        <v>3.0838619999999999</v>
      </c>
      <c r="T3487">
        <v>-0.15924489999999999</v>
      </c>
      <c r="U3487">
        <v>-0.3152008</v>
      </c>
      <c r="V3487">
        <v>2.0053040000000001E-2</v>
      </c>
      <c r="W3487">
        <v>0.20507139999999999</v>
      </c>
      <c r="X3487">
        <v>0.97854160000000001</v>
      </c>
      <c r="Y3487">
        <v>9.8390340000000007E-2</v>
      </c>
      <c r="Z3487">
        <v>-2.9308210000000001E-3</v>
      </c>
      <c r="AA3487">
        <v>0.99514360000000002</v>
      </c>
      <c r="AB3487">
        <v>31</v>
      </c>
      <c r="AC3487">
        <v>21.407999999999902</v>
      </c>
      <c r="AD3487">
        <v>-1.12111794927126</v>
      </c>
      <c r="AE3487">
        <v>-2.2181999999999902</v>
      </c>
      <c r="AF3487">
        <v>2.14490648736599</v>
      </c>
      <c r="AG3487">
        <v>-1.12111794927126</v>
      </c>
      <c r="AH3487">
        <v>21.3569341205786</v>
      </c>
      <c r="AI3487">
        <v>92.989931801686296</v>
      </c>
      <c r="AJ3487">
        <v>84.264936049605893</v>
      </c>
      <c r="AK3487">
        <v>21.493630785105999</v>
      </c>
      <c r="AL3487">
        <v>78.166321631236301</v>
      </c>
      <c r="AM3487">
        <v>88.826014384210595</v>
      </c>
      <c r="AN3487">
        <v>1.00000003322088</v>
      </c>
    </row>
    <row r="3488" spans="1:40" x14ac:dyDescent="0.25">
      <c r="A3488" t="str">
        <f>"20190303162849458"</f>
        <v>20190303162849458</v>
      </c>
      <c r="B3488" t="str">
        <f>"1551601729445265"</f>
        <v>1551601729445265</v>
      </c>
      <c r="C3488" t="s">
        <v>40</v>
      </c>
      <c r="D3488">
        <v>5.0814199999999996</v>
      </c>
      <c r="E3488">
        <v>0.53206529999999996</v>
      </c>
      <c r="F3488" t="s">
        <v>48</v>
      </c>
      <c r="G3488">
        <v>-243.15700000000001</v>
      </c>
      <c r="H3488" s="1">
        <v>2.5295170000000002E-7</v>
      </c>
      <c r="I3488">
        <v>212.10550000000001</v>
      </c>
      <c r="J3488">
        <v>-263.86</v>
      </c>
      <c r="K3488">
        <v>1.1211059999999999</v>
      </c>
      <c r="L3488">
        <v>214.23079999999999</v>
      </c>
      <c r="M3488">
        <v>0.99993799999999999</v>
      </c>
      <c r="N3488">
        <v>-1.068616E-2</v>
      </c>
      <c r="O3488">
        <v>-3.150754E-3</v>
      </c>
      <c r="P3488">
        <v>0.98056759999999998</v>
      </c>
      <c r="Q3488">
        <v>0.1947585</v>
      </c>
      <c r="R3488">
        <v>-2.358681E-2</v>
      </c>
      <c r="S3488">
        <v>3.084625</v>
      </c>
      <c r="T3488">
        <v>-0.16451789999999999</v>
      </c>
      <c r="U3488">
        <v>-0.3120117</v>
      </c>
      <c r="V3488">
        <v>2.0504850000000002E-2</v>
      </c>
      <c r="W3488">
        <v>0.20522580000000001</v>
      </c>
      <c r="X3488">
        <v>0.97849980000000003</v>
      </c>
      <c r="Y3488">
        <v>9.733986E-2</v>
      </c>
      <c r="Z3488">
        <v>-2.9753179999999998E-3</v>
      </c>
      <c r="AA3488">
        <v>0.99524679999999999</v>
      </c>
      <c r="AB3488">
        <v>31</v>
      </c>
      <c r="AC3488">
        <v>20.702999999999999</v>
      </c>
      <c r="AD3488">
        <v>-1.1211057470482999</v>
      </c>
      <c r="AE3488">
        <v>-2.1252999999999802</v>
      </c>
      <c r="AF3488">
        <v>2.0540950094183299</v>
      </c>
      <c r="AG3488">
        <v>-1.1211057470482999</v>
      </c>
      <c r="AH3488">
        <v>20.6496718180572</v>
      </c>
      <c r="AI3488">
        <v>93.092402094487397</v>
      </c>
      <c r="AJ3488">
        <v>84.3192762994004</v>
      </c>
      <c r="AK3488">
        <v>20.781846178750602</v>
      </c>
      <c r="AL3488">
        <v>78.157282136473896</v>
      </c>
      <c r="AM3488">
        <v>88.799519998844303</v>
      </c>
      <c r="AN3488">
        <v>0.99999996822960002</v>
      </c>
    </row>
    <row r="3489" spans="1:40" x14ac:dyDescent="0.25">
      <c r="A3489" t="str">
        <f>"20190303162849481"</f>
        <v>20190303162849481</v>
      </c>
      <c r="B3489" t="str">
        <f>"1551601729475151"</f>
        <v>1551601729475151</v>
      </c>
      <c r="C3489" t="s">
        <v>40</v>
      </c>
      <c r="D3489">
        <v>5.1512580000000003</v>
      </c>
      <c r="E3489">
        <v>0.53188259999999998</v>
      </c>
      <c r="F3489" t="s">
        <v>48</v>
      </c>
      <c r="G3489">
        <v>-243.50380000000001</v>
      </c>
      <c r="H3489" s="1">
        <v>4.3494590000000002E-7</v>
      </c>
      <c r="I3489">
        <v>212.1643</v>
      </c>
      <c r="J3489">
        <v>-263.54750000000001</v>
      </c>
      <c r="K3489">
        <v>1.1211070000000001</v>
      </c>
      <c r="L3489">
        <v>214.22980000000001</v>
      </c>
      <c r="M3489">
        <v>0.99993790000000005</v>
      </c>
      <c r="N3489">
        <v>-1.0688980000000001E-2</v>
      </c>
      <c r="O3489">
        <v>-3.1504110000000001E-3</v>
      </c>
      <c r="P3489">
        <v>0.98064739999999995</v>
      </c>
      <c r="Q3489">
        <v>0.19436110000000001</v>
      </c>
      <c r="R3489">
        <v>-2.35473E-2</v>
      </c>
      <c r="S3489">
        <v>3.085693</v>
      </c>
      <c r="T3489">
        <v>-0.16994239999999999</v>
      </c>
      <c r="U3489">
        <v>-0.31324770000000002</v>
      </c>
      <c r="V3489">
        <v>2.0465179999999999E-2</v>
      </c>
      <c r="W3489">
        <v>0.2048324</v>
      </c>
      <c r="X3489">
        <v>0.97858310000000004</v>
      </c>
      <c r="Y3489">
        <v>9.7689899999999899E-2</v>
      </c>
      <c r="Z3489">
        <v>-3.0657599999999998E-3</v>
      </c>
      <c r="AA3489">
        <v>0.99521219999999999</v>
      </c>
      <c r="AB3489">
        <v>31</v>
      </c>
      <c r="AC3489">
        <v>20.043700000000001</v>
      </c>
      <c r="AD3489">
        <v>-1.1211065650540999</v>
      </c>
      <c r="AE3489">
        <v>-2.0655000000000099</v>
      </c>
      <c r="AF3489">
        <v>1.9961608524319101</v>
      </c>
      <c r="AG3489">
        <v>-1.1211065650540999</v>
      </c>
      <c r="AH3489">
        <v>19.988231699695302</v>
      </c>
      <c r="AI3489">
        <v>93.194404276535806</v>
      </c>
      <c r="AJ3489">
        <v>84.296962871410699</v>
      </c>
      <c r="AK3489">
        <v>20.1189200644491</v>
      </c>
      <c r="AL3489">
        <v>78.180312033011106</v>
      </c>
      <c r="AM3489">
        <v>88.801943808050595</v>
      </c>
      <c r="AN3489">
        <v>1.0000000096438999</v>
      </c>
    </row>
    <row r="3490" spans="1:40" x14ac:dyDescent="0.25">
      <c r="A3490" t="str">
        <f>"20190303162849502"</f>
        <v>20190303162849502</v>
      </c>
      <c r="B3490" t="str">
        <f>"1551601729494672"</f>
        <v>1551601729494672</v>
      </c>
      <c r="C3490" t="s">
        <v>40</v>
      </c>
      <c r="D3490">
        <v>5.1516729999999997</v>
      </c>
      <c r="E3490">
        <v>0.53171199999999996</v>
      </c>
      <c r="F3490" t="s">
        <v>48</v>
      </c>
      <c r="G3490">
        <v>-244.28190000000001</v>
      </c>
      <c r="H3490" s="1">
        <v>8.4368350000000004E-7</v>
      </c>
      <c r="I3490">
        <v>212.28649999999999</v>
      </c>
      <c r="J3490">
        <v>-263.23430000000002</v>
      </c>
      <c r="K3490">
        <v>1.1211040000000001</v>
      </c>
      <c r="L3490">
        <v>214.22880000000001</v>
      </c>
      <c r="M3490">
        <v>0.99993810000000005</v>
      </c>
      <c r="N3490">
        <v>-1.0691829999999999E-2</v>
      </c>
      <c r="O3490">
        <v>-3.150426E-3</v>
      </c>
      <c r="P3490">
        <v>0.98073069999999896</v>
      </c>
      <c r="Q3490">
        <v>0.19393740000000001</v>
      </c>
      <c r="R3490">
        <v>-2.3579960000000001E-2</v>
      </c>
      <c r="S3490">
        <v>3.0873110000000001</v>
      </c>
      <c r="T3490">
        <v>-0.17965709999999999</v>
      </c>
      <c r="U3490">
        <v>-0.31141659999999999</v>
      </c>
      <c r="V3490">
        <v>2.0497680000000001E-2</v>
      </c>
      <c r="W3490">
        <v>0.2044118</v>
      </c>
      <c r="X3490">
        <v>0.97867040000000005</v>
      </c>
      <c r="Y3490">
        <v>9.7036259999999999E-2</v>
      </c>
      <c r="Z3490">
        <v>-3.185327E-3</v>
      </c>
      <c r="AA3490">
        <v>0.99527569999999999</v>
      </c>
      <c r="AB3490">
        <v>31</v>
      </c>
      <c r="AC3490">
        <v>18.952400000000001</v>
      </c>
      <c r="AD3490">
        <v>-1.1211031563164999</v>
      </c>
      <c r="AE3490">
        <v>-1.9423000000000099</v>
      </c>
      <c r="AF3490">
        <v>1.87608236138637</v>
      </c>
      <c r="AG3490">
        <v>-1.1211031563164999</v>
      </c>
      <c r="AH3490">
        <v>18.8930029971682</v>
      </c>
      <c r="AI3490">
        <v>93.379344768011705</v>
      </c>
      <c r="AJ3490">
        <v>84.3290980416661</v>
      </c>
      <c r="AK3490">
        <v>19.018993652788598</v>
      </c>
      <c r="AL3490">
        <v>78.204931988484006</v>
      </c>
      <c r="AM3490">
        <v>88.800148783076196</v>
      </c>
      <c r="AN3490">
        <v>1.0000000453503901</v>
      </c>
    </row>
    <row r="3491" spans="1:40" x14ac:dyDescent="0.25">
      <c r="A3491" t="str">
        <f>"20190303162849524"</f>
        <v>20190303162849524</v>
      </c>
      <c r="B3491" t="str">
        <f>"1551601729515167"</f>
        <v>1551601729515167</v>
      </c>
      <c r="C3491" t="s">
        <v>40</v>
      </c>
      <c r="D3491">
        <v>5.1519760000000003</v>
      </c>
      <c r="E3491">
        <v>0.53143189999999996</v>
      </c>
      <c r="F3491" t="s">
        <v>48</v>
      </c>
      <c r="G3491">
        <v>-244.61089999999999</v>
      </c>
      <c r="H3491" s="1">
        <v>1.0154010000000001E-6</v>
      </c>
      <c r="I3491">
        <v>212.36240000000001</v>
      </c>
      <c r="J3491">
        <v>-262.93619999999999</v>
      </c>
      <c r="K3491">
        <v>1.121102</v>
      </c>
      <c r="L3491">
        <v>214.22790000000001</v>
      </c>
      <c r="M3491">
        <v>0.99993779999999999</v>
      </c>
      <c r="N3491">
        <v>-1.0694520000000001E-2</v>
      </c>
      <c r="O3491">
        <v>-3.1500830000000001E-3</v>
      </c>
      <c r="P3491">
        <v>0.98081870000000004</v>
      </c>
      <c r="Q3491">
        <v>0.19356880000000001</v>
      </c>
      <c r="R3491">
        <v>-2.2930860000000001E-2</v>
      </c>
      <c r="S3491">
        <v>3.088257</v>
      </c>
      <c r="T3491">
        <v>-0.18590880000000001</v>
      </c>
      <c r="U3491">
        <v>-0.30950929999999999</v>
      </c>
      <c r="V3491">
        <v>1.9848560000000001E-2</v>
      </c>
      <c r="W3491">
        <v>0.2040468</v>
      </c>
      <c r="X3491">
        <v>0.97875990000000002</v>
      </c>
      <c r="Y3491">
        <v>9.6386819999999998E-2</v>
      </c>
      <c r="Z3491">
        <v>-3.253185E-3</v>
      </c>
      <c r="AA3491">
        <v>0.99533859999999996</v>
      </c>
      <c r="AB3491">
        <v>31</v>
      </c>
      <c r="AC3491">
        <v>18.325299999999999</v>
      </c>
      <c r="AD3491">
        <v>-1.1211009845990001</v>
      </c>
      <c r="AE3491">
        <v>-1.8654999999999899</v>
      </c>
      <c r="AF3491">
        <v>1.8010893911130199</v>
      </c>
      <c r="AG3491">
        <v>-1.1211009845990001</v>
      </c>
      <c r="AH3491">
        <v>18.2634320816348</v>
      </c>
      <c r="AI3491">
        <v>93.495779044369797</v>
      </c>
      <c r="AJ3491">
        <v>84.367859054934499</v>
      </c>
      <c r="AK3491">
        <v>18.3862378373864</v>
      </c>
      <c r="AL3491">
        <v>78.226294699215799</v>
      </c>
      <c r="AM3491">
        <v>88.838241268895899</v>
      </c>
      <c r="AN3491">
        <v>1.0000000018861599</v>
      </c>
    </row>
    <row r="3492" spans="1:40" x14ac:dyDescent="0.25">
      <c r="A3492" t="str">
        <f>"20190303162849547"</f>
        <v>20190303162849547</v>
      </c>
      <c r="B3492" t="str">
        <f>"1551601729534688"</f>
        <v>1551601729534688</v>
      </c>
      <c r="C3492" t="s">
        <v>40</v>
      </c>
      <c r="D3492">
        <v>5.154388</v>
      </c>
      <c r="E3492">
        <v>0.53111399999999998</v>
      </c>
      <c r="F3492" t="s">
        <v>48</v>
      </c>
      <c r="G3492">
        <v>-244.86349999999999</v>
      </c>
      <c r="H3492" s="1">
        <v>1.1462370000000001E-6</v>
      </c>
      <c r="I3492">
        <v>212.4451</v>
      </c>
      <c r="J3492">
        <v>-262.62029999999999</v>
      </c>
      <c r="K3492">
        <v>1.1210899999999999</v>
      </c>
      <c r="L3492">
        <v>214.2269</v>
      </c>
      <c r="M3492">
        <v>0.99993799999999999</v>
      </c>
      <c r="N3492">
        <v>-1.069736E-2</v>
      </c>
      <c r="O3492">
        <v>-3.1499789999999998E-3</v>
      </c>
      <c r="P3492">
        <v>0.98083600000000004</v>
      </c>
      <c r="Q3492">
        <v>0.193527</v>
      </c>
      <c r="R3492">
        <v>-2.2555370000000002E-2</v>
      </c>
      <c r="S3492">
        <v>3.0893549999999999</v>
      </c>
      <c r="T3492">
        <v>-0.19164220000000001</v>
      </c>
      <c r="U3492">
        <v>-0.30474849999999998</v>
      </c>
      <c r="V3492">
        <v>1.947291E-2</v>
      </c>
      <c r="W3492">
        <v>0.20400850000000001</v>
      </c>
      <c r="X3492">
        <v>0.97877539999999996</v>
      </c>
      <c r="Y3492">
        <v>9.482496E-2</v>
      </c>
      <c r="Z3492">
        <v>-3.2790760000000001E-3</v>
      </c>
      <c r="AA3492">
        <v>0.99548859999999995</v>
      </c>
      <c r="AB3492">
        <v>31</v>
      </c>
      <c r="AC3492">
        <v>17.756799999999998</v>
      </c>
      <c r="AD3492">
        <v>-1.1210888537629999</v>
      </c>
      <c r="AE3492">
        <v>-1.7818000000000001</v>
      </c>
      <c r="AF3492">
        <v>1.7190703059038399</v>
      </c>
      <c r="AG3492">
        <v>-1.1210888537629999</v>
      </c>
      <c r="AH3492">
        <v>17.692503394007499</v>
      </c>
      <c r="AI3492">
        <v>93.608761052104597</v>
      </c>
      <c r="AJ3492">
        <v>84.450346770688896</v>
      </c>
      <c r="AK3492">
        <v>17.8111403139057</v>
      </c>
      <c r="AL3492">
        <v>78.228535933664006</v>
      </c>
      <c r="AM3492">
        <v>88.860240678306994</v>
      </c>
      <c r="AN3492">
        <v>0.99999997297063803</v>
      </c>
    </row>
    <row r="3493" spans="1:40" x14ac:dyDescent="0.25">
      <c r="A3493" t="str">
        <f>"20190303162849570"</f>
        <v>20190303162849570</v>
      </c>
      <c r="B3493" t="str">
        <f>"1551601729555184"</f>
        <v>1551601729555184</v>
      </c>
      <c r="C3493" t="s">
        <v>40</v>
      </c>
      <c r="D3493">
        <v>5.1919199999999996</v>
      </c>
      <c r="E3493">
        <v>0.53091429999999995</v>
      </c>
      <c r="F3493" t="s">
        <v>48</v>
      </c>
      <c r="G3493">
        <v>-244.8236</v>
      </c>
      <c r="H3493" s="1">
        <v>1.1229380000000001E-6</v>
      </c>
      <c r="I3493">
        <v>212.49170000000001</v>
      </c>
      <c r="J3493">
        <v>-262.29270000000002</v>
      </c>
      <c r="K3493">
        <v>1.121075</v>
      </c>
      <c r="L3493">
        <v>214.2259</v>
      </c>
      <c r="M3493">
        <v>0.99993799999999999</v>
      </c>
      <c r="N3493">
        <v>-1.070023E-2</v>
      </c>
      <c r="O3493">
        <v>-3.1498749999999999E-3</v>
      </c>
      <c r="P3493">
        <v>0.98101240000000001</v>
      </c>
      <c r="Q3493">
        <v>0.1927411</v>
      </c>
      <c r="R3493">
        <v>-2.1575819999999999E-2</v>
      </c>
      <c r="S3493">
        <v>3.0901179999999999</v>
      </c>
      <c r="T3493">
        <v>-0.19465950000000001</v>
      </c>
      <c r="U3493">
        <v>-0.30128480000000002</v>
      </c>
      <c r="V3493">
        <v>1.849336E-2</v>
      </c>
      <c r="W3493">
        <v>0.20322699999999999</v>
      </c>
      <c r="X3493">
        <v>0.97895699999999997</v>
      </c>
      <c r="Y3493">
        <v>9.3692380000000006E-2</v>
      </c>
      <c r="Z3493">
        <v>-3.280051E-3</v>
      </c>
      <c r="AA3493">
        <v>0.99559580000000003</v>
      </c>
      <c r="AB3493">
        <v>31</v>
      </c>
      <c r="AC3493">
        <v>17.469100000000001</v>
      </c>
      <c r="AD3493">
        <v>-1.1210738770619999</v>
      </c>
      <c r="AE3493">
        <v>-1.73419999999998</v>
      </c>
      <c r="AF3493">
        <v>1.6723426302798201</v>
      </c>
      <c r="AG3493">
        <v>-1.1210738770619999</v>
      </c>
      <c r="AH3493">
        <v>17.403501217729801</v>
      </c>
      <c r="AI3493">
        <v>93.668852156387501</v>
      </c>
      <c r="AJ3493">
        <v>84.511168938684307</v>
      </c>
      <c r="AK3493">
        <v>17.519571659900901</v>
      </c>
      <c r="AL3493">
        <v>78.274271184793506</v>
      </c>
      <c r="AM3493">
        <v>88.917760984231094</v>
      </c>
      <c r="AN3493">
        <v>1.00000001287104</v>
      </c>
    </row>
    <row r="3494" spans="1:40" x14ac:dyDescent="0.25">
      <c r="A3494" t="str">
        <f>"20190303162849592"</f>
        <v>20190303162849592</v>
      </c>
      <c r="B3494" t="str">
        <f>"1551601729584989"</f>
        <v>1551601729584989</v>
      </c>
      <c r="C3494" t="s">
        <v>40</v>
      </c>
      <c r="D3494">
        <v>5.1885909999999997</v>
      </c>
      <c r="E3494">
        <v>0.53080579999999999</v>
      </c>
      <c r="F3494" t="s">
        <v>48</v>
      </c>
      <c r="G3494">
        <v>-244.99090000000001</v>
      </c>
      <c r="H3494" s="1">
        <v>1.208869E-6</v>
      </c>
      <c r="I3494">
        <v>212.5635</v>
      </c>
      <c r="J3494">
        <v>-261.9871</v>
      </c>
      <c r="K3494">
        <v>1.1210530000000001</v>
      </c>
      <c r="L3494">
        <v>214.22489999999999</v>
      </c>
      <c r="M3494">
        <v>0.99993779999999999</v>
      </c>
      <c r="N3494">
        <v>-1.070289E-2</v>
      </c>
      <c r="O3494">
        <v>-3.149532E-3</v>
      </c>
      <c r="P3494">
        <v>0.98187080000000004</v>
      </c>
      <c r="Q3494">
        <v>0.18841359999999999</v>
      </c>
      <c r="R3494">
        <v>-2.0747700000000001E-2</v>
      </c>
      <c r="S3494">
        <v>3.0909420000000001</v>
      </c>
      <c r="T3494">
        <v>-0.20027909999999999</v>
      </c>
      <c r="U3494">
        <v>-0.29698180000000002</v>
      </c>
      <c r="V3494">
        <v>1.766235E-2</v>
      </c>
      <c r="W3494">
        <v>0.19891200000000001</v>
      </c>
      <c r="X3494">
        <v>0.97985820000000001</v>
      </c>
      <c r="Y3494">
        <v>9.228596E-2</v>
      </c>
      <c r="Z3494">
        <v>-3.3057130000000001E-3</v>
      </c>
      <c r="AA3494">
        <v>0.99572709999999998</v>
      </c>
      <c r="AB3494">
        <v>31</v>
      </c>
      <c r="AC3494">
        <v>16.996199999999899</v>
      </c>
      <c r="AD3494">
        <v>-1.1210517911310001</v>
      </c>
      <c r="AE3494">
        <v>-1.66139999999998</v>
      </c>
      <c r="AF3494">
        <v>1.6009594321467799</v>
      </c>
      <c r="AG3494">
        <v>-1.1210517911310001</v>
      </c>
      <c r="AH3494">
        <v>16.928397261381701</v>
      </c>
      <c r="AI3494">
        <v>93.771993117491505</v>
      </c>
      <c r="AJ3494">
        <v>84.597468098469705</v>
      </c>
      <c r="AK3494">
        <v>17.040846870414999</v>
      </c>
      <c r="AL3494">
        <v>78.526657230595603</v>
      </c>
      <c r="AM3494">
        <v>88.967331670882004</v>
      </c>
      <c r="AN3494">
        <v>1.0000000172293799</v>
      </c>
    </row>
    <row r="3495" spans="1:40" x14ac:dyDescent="0.25">
      <c r="A3495" t="str">
        <f>"20190303162849613"</f>
        <v>20190303162849613</v>
      </c>
      <c r="B3495" t="str">
        <f>"1551601729605485"</f>
        <v>1551601729605485</v>
      </c>
      <c r="C3495" t="s">
        <v>40</v>
      </c>
      <c r="D3495">
        <v>5.3842800000000004</v>
      </c>
      <c r="E3495">
        <v>0.50827939999999905</v>
      </c>
      <c r="F3495" t="s">
        <v>48</v>
      </c>
      <c r="G3495">
        <v>-245.93350000000001</v>
      </c>
      <c r="H3495" s="1">
        <v>1.704272E-6</v>
      </c>
      <c r="I3495">
        <v>212.70490000000001</v>
      </c>
      <c r="J3495">
        <v>-261.69209999999998</v>
      </c>
      <c r="K3495">
        <v>1.12101299999999</v>
      </c>
      <c r="L3495">
        <v>214.22399999999999</v>
      </c>
      <c r="M3495">
        <v>0.99993770000000004</v>
      </c>
      <c r="N3495">
        <v>-1.070546E-2</v>
      </c>
      <c r="O3495">
        <v>-3.1491890000000002E-3</v>
      </c>
      <c r="P3495">
        <v>0.9829772</v>
      </c>
      <c r="Q3495">
        <v>0.1826536</v>
      </c>
      <c r="R3495">
        <v>-1.9846240000000001E-2</v>
      </c>
      <c r="S3495">
        <v>3.0906370000000001</v>
      </c>
      <c r="T3495">
        <v>-0.21582470000000001</v>
      </c>
      <c r="U3495">
        <v>-0.29263309999999998</v>
      </c>
      <c r="V3495">
        <v>1.6757649999999999E-2</v>
      </c>
      <c r="W3495">
        <v>0.19316630000000001</v>
      </c>
      <c r="X3495">
        <v>0.98102290000000003</v>
      </c>
      <c r="Y3495">
        <v>9.0878490000000006E-2</v>
      </c>
      <c r="Z3495">
        <v>-3.464881E-3</v>
      </c>
      <c r="AA3495">
        <v>0.99585599999999996</v>
      </c>
      <c r="AB3495">
        <v>31</v>
      </c>
      <c r="AC3495">
        <v>15.7585999999999</v>
      </c>
      <c r="AD3495">
        <v>-1.1210112957279901</v>
      </c>
      <c r="AE3495">
        <v>-1.5190999999999999</v>
      </c>
      <c r="AF3495">
        <v>1.4621319631315</v>
      </c>
      <c r="AG3495">
        <v>-1.1210112957279901</v>
      </c>
      <c r="AH3495">
        <v>15.6846661652505</v>
      </c>
      <c r="AI3495">
        <v>94.070492475384796</v>
      </c>
      <c r="AJ3495">
        <v>84.674251891850702</v>
      </c>
      <c r="AK3495">
        <v>15.7925060999866</v>
      </c>
      <c r="AL3495">
        <v>78.862376012164702</v>
      </c>
      <c r="AM3495">
        <v>89.021379368655403</v>
      </c>
      <c r="AN3495">
        <v>0.99999998430681103</v>
      </c>
    </row>
    <row r="3496" spans="1:40" x14ac:dyDescent="0.25">
      <c r="A3496" t="str">
        <f>"20190303162849636"</f>
        <v>20190303162849636</v>
      </c>
      <c r="B3496" t="str">
        <f>"1551601729625005"</f>
        <v>1551601729625005</v>
      </c>
      <c r="C3496" t="s">
        <v>40</v>
      </c>
      <c r="D3496">
        <v>5.1757359999999997</v>
      </c>
      <c r="E3496">
        <v>0.50650240000000002</v>
      </c>
      <c r="F3496" t="s">
        <v>48</v>
      </c>
      <c r="G3496">
        <v>-238.6052</v>
      </c>
      <c r="H3496" s="1">
        <v>3.09598E-6</v>
      </c>
      <c r="I3496">
        <v>213.39189999999999</v>
      </c>
      <c r="J3496">
        <v>-261.37209999999999</v>
      </c>
      <c r="K3496">
        <v>1.1209819999999999</v>
      </c>
      <c r="L3496">
        <v>214.22300000000001</v>
      </c>
      <c r="M3496">
        <v>0.99993770000000004</v>
      </c>
      <c r="N3496">
        <v>-1.0708229999999999E-2</v>
      </c>
      <c r="O3496">
        <v>-3.1490839999999999E-3</v>
      </c>
      <c r="P3496">
        <v>0.98380540000000005</v>
      </c>
      <c r="Q3496">
        <v>0.17831830000000001</v>
      </c>
      <c r="R3496">
        <v>-1.8153019999999999E-2</v>
      </c>
      <c r="S3496">
        <v>3.0774840000000001</v>
      </c>
      <c r="T3496">
        <v>-0.1494306</v>
      </c>
      <c r="U3496">
        <v>-0.1109161</v>
      </c>
      <c r="V3496">
        <v>1.506185E-2</v>
      </c>
      <c r="W3496">
        <v>0.18884290000000001</v>
      </c>
      <c r="X3496">
        <v>0.98189179999999998</v>
      </c>
      <c r="Y3496">
        <v>3.2825479999999997E-2</v>
      </c>
      <c r="Z3496">
        <v>-8.5308200000000002E-4</v>
      </c>
      <c r="AA3496">
        <v>0.99946080000000004</v>
      </c>
      <c r="AB3496">
        <v>31</v>
      </c>
      <c r="AC3496">
        <v>22.7669</v>
      </c>
      <c r="AD3496">
        <v>-1.12097890402</v>
      </c>
      <c r="AE3496">
        <v>-0.83109999999999196</v>
      </c>
      <c r="AF3496">
        <v>0.75756276846974502</v>
      </c>
      <c r="AG3496">
        <v>-1.12097890402</v>
      </c>
      <c r="AH3496">
        <v>22.714411100102499</v>
      </c>
      <c r="AI3496">
        <v>92.823744314461194</v>
      </c>
      <c r="AJ3496">
        <v>88.089800072266101</v>
      </c>
      <c r="AK3496">
        <v>22.7546691181368</v>
      </c>
      <c r="AL3496">
        <v>79.114735169235601</v>
      </c>
      <c r="AM3496">
        <v>89.121173271208093</v>
      </c>
      <c r="AN3496">
        <v>1.00000000355653</v>
      </c>
    </row>
    <row r="3497" spans="1:40" x14ac:dyDescent="0.25">
      <c r="A3497" t="str">
        <f>"20190303162849660"</f>
        <v>20190303162849660</v>
      </c>
      <c r="B3497" t="str">
        <f>"1551601729645501"</f>
        <v>1551601729645501</v>
      </c>
      <c r="C3497" t="s">
        <v>40</v>
      </c>
      <c r="D3497">
        <v>5.3206199999999999</v>
      </c>
      <c r="E3497">
        <v>0.50640209999999997</v>
      </c>
      <c r="F3497" t="s">
        <v>48</v>
      </c>
      <c r="G3497">
        <v>-237.6961</v>
      </c>
      <c r="H3497" s="1">
        <v>2.6063669999999999E-6</v>
      </c>
      <c r="I3497">
        <v>213.5257</v>
      </c>
      <c r="J3497">
        <v>-261.05090000000001</v>
      </c>
      <c r="K3497">
        <v>1.120946</v>
      </c>
      <c r="L3497">
        <v>214.22190000000001</v>
      </c>
      <c r="M3497">
        <v>0.99993770000000004</v>
      </c>
      <c r="N3497">
        <v>-1.071124E-2</v>
      </c>
      <c r="O3497">
        <v>-3.1487429999999999E-3</v>
      </c>
      <c r="P3497">
        <v>0.9846954</v>
      </c>
      <c r="Q3497">
        <v>0.17354449999999999</v>
      </c>
      <c r="R3497">
        <v>-1.6036890000000002E-2</v>
      </c>
      <c r="S3497">
        <v>3.0740660000000002</v>
      </c>
      <c r="T3497">
        <v>-0.14554690000000001</v>
      </c>
      <c r="U3497">
        <v>-9.0530399999999997E-2</v>
      </c>
      <c r="V3497">
        <v>1.2943049999999999E-2</v>
      </c>
      <c r="W3497">
        <v>0.18408179999999999</v>
      </c>
      <c r="X3497">
        <v>0.98282570000000002</v>
      </c>
      <c r="Y3497">
        <v>2.6255319999999999E-2</v>
      </c>
      <c r="Z3497">
        <v>-6.4655520000000001E-4</v>
      </c>
      <c r="AA3497">
        <v>0.99965510000000002</v>
      </c>
      <c r="AB3497">
        <v>31</v>
      </c>
      <c r="AC3497">
        <v>23.354800000000001</v>
      </c>
      <c r="AD3497">
        <v>-1.120943393633</v>
      </c>
      <c r="AE3497">
        <v>-0.69620000000000404</v>
      </c>
      <c r="AF3497">
        <v>0.62122426023522703</v>
      </c>
      <c r="AG3497">
        <v>-1.120943393633</v>
      </c>
      <c r="AH3497">
        <v>23.303241815986201</v>
      </c>
      <c r="AI3497">
        <v>92.752968978221304</v>
      </c>
      <c r="AJ3497">
        <v>88.472954945886698</v>
      </c>
      <c r="AK3497">
        <v>23.3384556645799</v>
      </c>
      <c r="AL3497">
        <v>79.392395884093801</v>
      </c>
      <c r="AM3497">
        <v>89.245502765122794</v>
      </c>
      <c r="AN3497">
        <v>0.99999999410751605</v>
      </c>
    </row>
    <row r="3498" spans="1:40" x14ac:dyDescent="0.25">
      <c r="A3498" t="str">
        <f>"20190303162849681"</f>
        <v>20190303162849681</v>
      </c>
      <c r="B3498" t="str">
        <f>"1551601729674862"</f>
        <v>1551601729674862</v>
      </c>
      <c r="C3498" t="s">
        <v>40</v>
      </c>
      <c r="D3498">
        <v>5.1520060000000001</v>
      </c>
      <c r="E3498">
        <v>0.50647549999999997</v>
      </c>
      <c r="F3498" t="s">
        <v>48</v>
      </c>
      <c r="G3498">
        <v>-238.5119</v>
      </c>
      <c r="H3498" s="1">
        <v>3.036806E-6</v>
      </c>
      <c r="I3498">
        <v>213.6095</v>
      </c>
      <c r="J3498">
        <v>-260.7407</v>
      </c>
      <c r="K3498">
        <v>1.1208959999999999</v>
      </c>
      <c r="L3498">
        <v>214.221</v>
      </c>
      <c r="M3498">
        <v>0.99993779999999999</v>
      </c>
      <c r="N3498">
        <v>-1.0714029999999999E-2</v>
      </c>
      <c r="O3498">
        <v>-3.1485189999999998E-3</v>
      </c>
      <c r="P3498">
        <v>0.98590509999999998</v>
      </c>
      <c r="Q3498">
        <v>0.16678750000000001</v>
      </c>
      <c r="R3498">
        <v>-1.317276E-2</v>
      </c>
      <c r="S3498">
        <v>3.0722049999999999</v>
      </c>
      <c r="T3498">
        <v>-0.15279129999999999</v>
      </c>
      <c r="U3498">
        <v>-8.3480830000000006E-2</v>
      </c>
      <c r="V3498">
        <v>1.007504E-2</v>
      </c>
      <c r="W3498">
        <v>0.177341</v>
      </c>
      <c r="X3498">
        <v>0.98409789999999997</v>
      </c>
      <c r="Y3498">
        <v>2.398163E-2</v>
      </c>
      <c r="Z3498">
        <v>-6.0171279999999996E-4</v>
      </c>
      <c r="AA3498">
        <v>0.99971220000000005</v>
      </c>
      <c r="AB3498">
        <v>31</v>
      </c>
      <c r="AC3498">
        <v>22.2288</v>
      </c>
      <c r="AD3498">
        <v>-1.1208929631939999</v>
      </c>
      <c r="AE3498">
        <v>-0.61149999999997795</v>
      </c>
      <c r="AF3498">
        <v>0.54013280231462002</v>
      </c>
      <c r="AG3498">
        <v>-1.1208929631939999</v>
      </c>
      <c r="AH3498">
        <v>22.174275198205599</v>
      </c>
      <c r="AI3498">
        <v>92.892938887301696</v>
      </c>
      <c r="AJ3498">
        <v>88.604634825384096</v>
      </c>
      <c r="AK3498">
        <v>22.2091563334772</v>
      </c>
      <c r="AL3498">
        <v>79.785081346054994</v>
      </c>
      <c r="AM3498">
        <v>89.413435285668001</v>
      </c>
      <c r="AN3498">
        <v>1.0000000067482</v>
      </c>
    </row>
    <row r="3499" spans="1:40" x14ac:dyDescent="0.25">
      <c r="A3499" t="str">
        <f>"20190303162849704"</f>
        <v>20190303162849704</v>
      </c>
      <c r="B3499" t="str">
        <f>"1551601729695337"</f>
        <v>1551601729695337</v>
      </c>
      <c r="C3499" t="s">
        <v>40</v>
      </c>
      <c r="D3499">
        <v>5.2870429999999997</v>
      </c>
      <c r="E3499">
        <v>0.50653570000000003</v>
      </c>
      <c r="F3499" t="s">
        <v>48</v>
      </c>
      <c r="G3499">
        <v>-240.2287</v>
      </c>
      <c r="H3499" s="1">
        <v>-1.3755359999999999E-6</v>
      </c>
      <c r="I3499">
        <v>213.71190000000001</v>
      </c>
      <c r="J3499">
        <v>-260.43790000000001</v>
      </c>
      <c r="K3499">
        <v>1.1208750000000001</v>
      </c>
      <c r="L3499">
        <v>214.22</v>
      </c>
      <c r="M3499">
        <v>0.99993770000000004</v>
      </c>
      <c r="N3499">
        <v>-1.07165E-2</v>
      </c>
      <c r="O3499">
        <v>-3.1484130000000001E-3</v>
      </c>
      <c r="P3499">
        <v>0.98645000000000005</v>
      </c>
      <c r="Q3499">
        <v>0.16374729999999901</v>
      </c>
      <c r="R3499">
        <v>-1.0194949999999999E-2</v>
      </c>
      <c r="S3499">
        <v>3.0702820000000002</v>
      </c>
      <c r="T3499">
        <v>-0.1677787</v>
      </c>
      <c r="U3499">
        <v>-7.6202389999999995E-2</v>
      </c>
      <c r="V3499">
        <v>7.0953409999999998E-3</v>
      </c>
      <c r="W3499">
        <v>0.17430909999999999</v>
      </c>
      <c r="X3499">
        <v>0.98466540000000002</v>
      </c>
      <c r="Y3499">
        <v>2.1628399999999999E-2</v>
      </c>
      <c r="Z3499">
        <v>-5.6826100000000003E-4</v>
      </c>
      <c r="AA3499">
        <v>0.99976589999999999</v>
      </c>
      <c r="AB3499">
        <v>31</v>
      </c>
      <c r="AC3499">
        <v>20.209199999999999</v>
      </c>
      <c r="AD3499">
        <v>-1.1208763755360001</v>
      </c>
      <c r="AE3499">
        <v>-0.50809999999998401</v>
      </c>
      <c r="AF3499">
        <v>0.44310469883202902</v>
      </c>
      <c r="AG3499">
        <v>-1.1208763755360001</v>
      </c>
      <c r="AH3499">
        <v>20.148756802534098</v>
      </c>
      <c r="AI3499">
        <v>93.1833171610986</v>
      </c>
      <c r="AJ3499">
        <v>88.740173513961096</v>
      </c>
      <c r="AK3499">
        <v>20.184774120881901</v>
      </c>
      <c r="AL3499">
        <v>79.961545263254806</v>
      </c>
      <c r="AM3499">
        <v>89.587142944767194</v>
      </c>
      <c r="AN3499">
        <v>0.99999997808193797</v>
      </c>
    </row>
    <row r="3500" spans="1:40" x14ac:dyDescent="0.25">
      <c r="A3500" t="str">
        <f>"20190303162849725"</f>
        <v>20190303162849725</v>
      </c>
      <c r="B3500" t="str">
        <f>"1551601729714857"</f>
        <v>1551601729714857</v>
      </c>
      <c r="C3500" t="s">
        <v>40</v>
      </c>
      <c r="D3500">
        <v>5.3205530000000003</v>
      </c>
      <c r="E3500">
        <v>0.50698069999999995</v>
      </c>
      <c r="F3500" t="s">
        <v>48</v>
      </c>
      <c r="G3500">
        <v>-240.422</v>
      </c>
      <c r="H3500" s="1">
        <v>-1.2752450000000001E-6</v>
      </c>
      <c r="I3500">
        <v>213.7704</v>
      </c>
      <c r="J3500">
        <v>-260.12450000000001</v>
      </c>
      <c r="K3500">
        <v>1.120846</v>
      </c>
      <c r="L3500">
        <v>214.21899999999999</v>
      </c>
      <c r="M3500">
        <v>0.99993770000000004</v>
      </c>
      <c r="N3500">
        <v>-1.071894E-2</v>
      </c>
      <c r="O3500">
        <v>-3.1481880000000001E-3</v>
      </c>
      <c r="P3500">
        <v>0.98693850000000005</v>
      </c>
      <c r="Q3500">
        <v>0.1609669</v>
      </c>
      <c r="R3500">
        <v>-6.5007390000000002E-3</v>
      </c>
      <c r="S3500">
        <v>3.069061</v>
      </c>
      <c r="T3500">
        <v>-0.17186499999999999</v>
      </c>
      <c r="U3500">
        <v>-6.8939210000000001E-2</v>
      </c>
      <c r="V3500">
        <v>3.3999299999999998E-3</v>
      </c>
      <c r="W3500">
        <v>0.17153679999999999</v>
      </c>
      <c r="X3500">
        <v>0.98517189999999999</v>
      </c>
      <c r="Y3500">
        <v>1.9276540000000002E-2</v>
      </c>
      <c r="Z3500">
        <v>-5.0025619999999999E-4</v>
      </c>
      <c r="AA3500">
        <v>0.99981410000000004</v>
      </c>
      <c r="AB3500">
        <v>31</v>
      </c>
      <c r="AC3500">
        <v>19.702500000000001</v>
      </c>
      <c r="AD3500">
        <v>-1.1208472752450001</v>
      </c>
      <c r="AE3500">
        <v>-0.44860000000002698</v>
      </c>
      <c r="AF3500">
        <v>0.38532067422848398</v>
      </c>
      <c r="AG3500">
        <v>-1.1208472752450001</v>
      </c>
      <c r="AH3500">
        <v>19.640285578142599</v>
      </c>
      <c r="AI3500">
        <v>93.265630762800697</v>
      </c>
      <c r="AJ3500">
        <v>88.876064381023298</v>
      </c>
      <c r="AK3500">
        <v>19.676015557714098</v>
      </c>
      <c r="AL3500">
        <v>80.122816645093394</v>
      </c>
      <c r="AM3500">
        <v>89.802267130969199</v>
      </c>
      <c r="AN3500">
        <v>1.0000000529139199</v>
      </c>
    </row>
    <row r="3501" spans="1:40" x14ac:dyDescent="0.25">
      <c r="A3501" t="str">
        <f>"20190303162849749"</f>
        <v>20190303162849749</v>
      </c>
      <c r="B3501" t="str">
        <f>"1551601729735353"</f>
        <v>1551601729735353</v>
      </c>
      <c r="C3501" t="s">
        <v>40</v>
      </c>
      <c r="D3501">
        <v>5.3159099999999997</v>
      </c>
      <c r="E3501">
        <v>0.5071582</v>
      </c>
      <c r="F3501" t="s">
        <v>48</v>
      </c>
      <c r="G3501">
        <v>-240.41739999999999</v>
      </c>
      <c r="H3501" s="1">
        <v>-1.2800330000000001E-6</v>
      </c>
      <c r="I3501">
        <v>213.82380000000001</v>
      </c>
      <c r="J3501">
        <v>-259.80680000000001</v>
      </c>
      <c r="K3501">
        <v>1.120808</v>
      </c>
      <c r="L3501">
        <v>214.21809999999999</v>
      </c>
      <c r="M3501">
        <v>0.99993770000000004</v>
      </c>
      <c r="N3501">
        <v>-1.072144E-2</v>
      </c>
      <c r="O3501">
        <v>-3.148082E-3</v>
      </c>
      <c r="P3501">
        <v>0.98737319999999995</v>
      </c>
      <c r="Q3501">
        <v>0.1583899</v>
      </c>
      <c r="R3501">
        <v>-2.682074E-3</v>
      </c>
      <c r="S3501">
        <v>3.0677490000000001</v>
      </c>
      <c r="T3501">
        <v>-0.17447869999999999</v>
      </c>
      <c r="U3501">
        <v>-6.1523439999999999E-2</v>
      </c>
      <c r="V3501">
        <v>-4.1999099999999998E-4</v>
      </c>
      <c r="W3501">
        <v>0.16896700000000001</v>
      </c>
      <c r="X3501">
        <v>0.98562159999999999</v>
      </c>
      <c r="Y3501">
        <v>1.6874090000000001E-2</v>
      </c>
      <c r="Z3501">
        <v>-4.2482279999999999E-4</v>
      </c>
      <c r="AA3501">
        <v>0.99985749999999995</v>
      </c>
      <c r="AB3501">
        <v>31</v>
      </c>
      <c r="AC3501">
        <v>19.389399999999998</v>
      </c>
      <c r="AD3501">
        <v>-1.1208092800330001</v>
      </c>
      <c r="AE3501">
        <v>-0.39429999999998699</v>
      </c>
      <c r="AF3501">
        <v>0.332145735434555</v>
      </c>
      <c r="AG3501">
        <v>-1.1208092800330001</v>
      </c>
      <c r="AH3501">
        <v>19.325995158373299</v>
      </c>
      <c r="AI3501">
        <v>93.318656493996301</v>
      </c>
      <c r="AJ3501">
        <v>89.015384445454401</v>
      </c>
      <c r="AK3501">
        <v>19.361317700333402</v>
      </c>
      <c r="AL3501">
        <v>80.272236118634197</v>
      </c>
      <c r="AM3501">
        <v>90.024414755395995</v>
      </c>
      <c r="AN3501">
        <v>0.999999980933999</v>
      </c>
    </row>
    <row r="3502" spans="1:40" x14ac:dyDescent="0.25">
      <c r="A3502" t="str">
        <f>"20190303162849772"</f>
        <v>20190303162849772</v>
      </c>
      <c r="B3502" t="str">
        <f>"1551601729765609"</f>
        <v>1551601729765609</v>
      </c>
      <c r="C3502" t="s">
        <v>40</v>
      </c>
      <c r="D3502">
        <v>5.3260180000000004</v>
      </c>
      <c r="E3502">
        <v>0.50740959999999902</v>
      </c>
      <c r="F3502" t="s">
        <v>48</v>
      </c>
      <c r="G3502">
        <v>-240.12440000000001</v>
      </c>
      <c r="H3502" s="1">
        <v>-1.4387239999999999E-6</v>
      </c>
      <c r="I3502">
        <v>213.887</v>
      </c>
      <c r="J3502">
        <v>-259.47519999999997</v>
      </c>
      <c r="K3502">
        <v>1.120784</v>
      </c>
      <c r="L3502">
        <v>214.21700000000001</v>
      </c>
      <c r="M3502">
        <v>0.99993759999999998</v>
      </c>
      <c r="N3502">
        <v>-1.0726050000000001E-2</v>
      </c>
      <c r="O3502">
        <v>-3.1477499999999999E-3</v>
      </c>
      <c r="P3502">
        <v>0.98762300000000003</v>
      </c>
      <c r="Q3502">
        <v>0.15682939999999901</v>
      </c>
      <c r="R3502">
        <v>2.395445E-3</v>
      </c>
      <c r="S3502">
        <v>3.0661930000000002</v>
      </c>
      <c r="T3502">
        <v>-0.1746037</v>
      </c>
      <c r="U3502">
        <v>-5.1574710000000003E-2</v>
      </c>
      <c r="V3502">
        <v>-5.4981759999999996E-3</v>
      </c>
      <c r="W3502">
        <v>0.16741400000000001</v>
      </c>
      <c r="X3502">
        <v>0.98587139999999995</v>
      </c>
      <c r="Y3502">
        <v>1.3647569999999999E-2</v>
      </c>
      <c r="Z3502">
        <v>-3.1615810000000001E-4</v>
      </c>
      <c r="AA3502">
        <v>0.99990679999999998</v>
      </c>
      <c r="AB3502">
        <v>31</v>
      </c>
      <c r="AC3502">
        <v>19.3507999999999</v>
      </c>
      <c r="AD3502">
        <v>-1.1207854387239999</v>
      </c>
      <c r="AE3502">
        <v>-0.33000000000001201</v>
      </c>
      <c r="AF3502">
        <v>0.26818398332399002</v>
      </c>
      <c r="AG3502">
        <v>-1.1207854387239999</v>
      </c>
      <c r="AH3502">
        <v>19.2870604283764</v>
      </c>
      <c r="AI3502">
        <v>93.325439480777305</v>
      </c>
      <c r="AJ3502">
        <v>89.203361225156399</v>
      </c>
      <c r="AK3502">
        <v>19.321459122343999</v>
      </c>
      <c r="AL3502">
        <v>80.362503008828696</v>
      </c>
      <c r="AM3502">
        <v>90.319533575958005</v>
      </c>
      <c r="AN3502">
        <v>1.0000000473366399</v>
      </c>
    </row>
    <row r="3503" spans="1:40" x14ac:dyDescent="0.25">
      <c r="A3503" t="str">
        <f>"20190303162849794"</f>
        <v>20190303162849794</v>
      </c>
      <c r="B3503" t="str">
        <f>"1551601729785129"</f>
        <v>1551601729785129</v>
      </c>
      <c r="C3503" t="s">
        <v>40</v>
      </c>
      <c r="D3503">
        <v>5.1251040000000003</v>
      </c>
      <c r="E3503">
        <v>0.51174459999999999</v>
      </c>
      <c r="F3503" t="s">
        <v>48</v>
      </c>
      <c r="G3503">
        <v>-239.5343</v>
      </c>
      <c r="H3503" s="1">
        <v>3.5654109999999999E-6</v>
      </c>
      <c r="I3503">
        <v>213.96420000000001</v>
      </c>
      <c r="J3503">
        <v>-259.16570000000002</v>
      </c>
      <c r="K3503">
        <v>1.1207640000000001</v>
      </c>
      <c r="L3503">
        <v>214.21600000000001</v>
      </c>
      <c r="M3503">
        <v>0.99993739999999998</v>
      </c>
      <c r="N3503">
        <v>-1.073532E-2</v>
      </c>
      <c r="O3503">
        <v>-3.1474419999999999E-3</v>
      </c>
      <c r="P3503">
        <v>0.98776200000000003</v>
      </c>
      <c r="Q3503">
        <v>0.1557789</v>
      </c>
      <c r="R3503">
        <v>7.682543E-3</v>
      </c>
      <c r="S3503">
        <v>3.0650330000000001</v>
      </c>
      <c r="T3503">
        <v>-0.17227100000000001</v>
      </c>
      <c r="U3503">
        <v>-3.8864139999999998E-2</v>
      </c>
      <c r="V3503">
        <v>-1.0785329999999999E-2</v>
      </c>
      <c r="W3503">
        <v>0.16637399999999999</v>
      </c>
      <c r="X3503">
        <v>0.98600379999999999</v>
      </c>
      <c r="Y3503">
        <v>9.5167510000000004E-3</v>
      </c>
      <c r="Z3503">
        <v>-1.7537029999999999E-4</v>
      </c>
      <c r="AA3503">
        <v>0.99995469999999997</v>
      </c>
      <c r="AB3503">
        <v>31</v>
      </c>
      <c r="AC3503">
        <v>19.631399999999999</v>
      </c>
      <c r="AD3503">
        <v>-1.1207604345890001</v>
      </c>
      <c r="AE3503">
        <v>-0.25179999999997399</v>
      </c>
      <c r="AF3503">
        <v>0.18938932440826201</v>
      </c>
      <c r="AG3503">
        <v>-1.1207604345890001</v>
      </c>
      <c r="AH3503">
        <v>19.5683269556183</v>
      </c>
      <c r="AI3503">
        <v>93.277836060811694</v>
      </c>
      <c r="AJ3503">
        <v>89.445488099020295</v>
      </c>
      <c r="AK3503">
        <v>19.601310979368598</v>
      </c>
      <c r="AL3503">
        <v>80.422938378859897</v>
      </c>
      <c r="AM3503">
        <v>90.626700673501006</v>
      </c>
      <c r="AN3503">
        <v>1.0000000624168199</v>
      </c>
    </row>
    <row r="3504" spans="1:40" x14ac:dyDescent="0.25">
      <c r="A3504" t="str">
        <f>"20190303162849817"</f>
        <v>20190303162849817</v>
      </c>
      <c r="B3504" t="str">
        <f>"1551601729804649"</f>
        <v>1551601729804649</v>
      </c>
      <c r="C3504" t="s">
        <v>40</v>
      </c>
      <c r="D3504">
        <v>5.3191220000000001</v>
      </c>
      <c r="E3504">
        <v>0.51230070000000005</v>
      </c>
      <c r="F3504" t="s">
        <v>48</v>
      </c>
      <c r="G3504">
        <v>-221.6146</v>
      </c>
      <c r="H3504" s="1">
        <v>-6.2807640000000001E-7</v>
      </c>
      <c r="I3504">
        <v>213.48410000000001</v>
      </c>
      <c r="J3504">
        <v>-258.85309999999998</v>
      </c>
      <c r="K3504">
        <v>1.1207560000000001</v>
      </c>
      <c r="L3504">
        <v>214.21510000000001</v>
      </c>
      <c r="M3504">
        <v>0.99993730000000003</v>
      </c>
      <c r="N3504">
        <v>-1.074697E-2</v>
      </c>
      <c r="O3504">
        <v>-3.1472660000000001E-3</v>
      </c>
      <c r="P3504">
        <v>0.98806380000000005</v>
      </c>
      <c r="Q3504">
        <v>0.1534953</v>
      </c>
      <c r="R3504">
        <v>1.3006759999999999E-2</v>
      </c>
      <c r="S3504">
        <v>3.0520019999999999</v>
      </c>
      <c r="T3504">
        <v>-9.1091279999999997E-2</v>
      </c>
      <c r="U3504">
        <v>-5.9494020000000002E-2</v>
      </c>
      <c r="V3504">
        <v>-1.6110320000000001E-2</v>
      </c>
      <c r="W3504">
        <v>0.16410539999999901</v>
      </c>
      <c r="X3504">
        <v>0.9863113</v>
      </c>
      <c r="Y3504">
        <v>1.6333480000000001E-2</v>
      </c>
      <c r="Z3504">
        <v>-2.7138839999999998E-4</v>
      </c>
      <c r="AA3504">
        <v>0.99986649999999999</v>
      </c>
      <c r="AB3504">
        <v>31</v>
      </c>
      <c r="AC3504">
        <v>37.238499999999902</v>
      </c>
      <c r="AD3504">
        <v>-1.1207566280764001</v>
      </c>
      <c r="AE3504">
        <v>-0.73099999999999399</v>
      </c>
      <c r="AF3504">
        <v>0.61323488412500904</v>
      </c>
      <c r="AG3504">
        <v>-1.1207566280764001</v>
      </c>
      <c r="AH3504">
        <v>37.206926819064002</v>
      </c>
      <c r="AI3504">
        <v>91.7251223571526</v>
      </c>
      <c r="AJ3504">
        <v>89.055751369033104</v>
      </c>
      <c r="AK3504">
        <v>37.228853806713801</v>
      </c>
      <c r="AL3504">
        <v>80.554731213366907</v>
      </c>
      <c r="AM3504">
        <v>90.935780890449095</v>
      </c>
      <c r="AN3504">
        <v>1.0000000526136701</v>
      </c>
    </row>
    <row r="3505" spans="1:40" x14ac:dyDescent="0.25">
      <c r="A3505" t="str">
        <f>"20190303162849837"</f>
        <v>20190303162849837</v>
      </c>
      <c r="B3505" t="str">
        <f>"1551601729825145"</f>
        <v>1551601729825145</v>
      </c>
      <c r="C3505" t="s">
        <v>40</v>
      </c>
      <c r="D3505">
        <v>5.1089169999999999</v>
      </c>
      <c r="E3505">
        <v>0.51282119999999998</v>
      </c>
      <c r="F3505" t="s">
        <v>48</v>
      </c>
      <c r="G3505">
        <v>-223.18989999999999</v>
      </c>
      <c r="H3505" s="1">
        <v>2.0264280000000001E-7</v>
      </c>
      <c r="I3505">
        <v>213.65690000000001</v>
      </c>
      <c r="J3505">
        <v>-258.5564</v>
      </c>
      <c r="K3505">
        <v>1.1207499999999999</v>
      </c>
      <c r="L3505">
        <v>214.2141</v>
      </c>
      <c r="M3505">
        <v>0.99993719999999997</v>
      </c>
      <c r="N3505">
        <v>-1.0761450000000001E-2</v>
      </c>
      <c r="O3505">
        <v>-3.1469860000000001E-3</v>
      </c>
      <c r="P3505">
        <v>0.98821389999999998</v>
      </c>
      <c r="Q3505">
        <v>0.1519905</v>
      </c>
      <c r="R3505">
        <v>1.823046E-2</v>
      </c>
      <c r="S3505">
        <v>3.0517729999999998</v>
      </c>
      <c r="T3505">
        <v>-9.5905299999999999E-2</v>
      </c>
      <c r="U3505">
        <v>-4.7760009999999999E-2</v>
      </c>
      <c r="V3505">
        <v>-2.133442E-2</v>
      </c>
      <c r="W3505">
        <v>0.16261639999999999</v>
      </c>
      <c r="X3505">
        <v>0.98645870000000002</v>
      </c>
      <c r="Y3505">
        <v>1.2493539999999999E-2</v>
      </c>
      <c r="Z3505">
        <v>-1.9849719999999999E-4</v>
      </c>
      <c r="AA3505">
        <v>0.99992190000000003</v>
      </c>
      <c r="AB3505">
        <v>31</v>
      </c>
      <c r="AC3505">
        <v>35.366500000000002</v>
      </c>
      <c r="AD3505">
        <v>-1.12074979735719</v>
      </c>
      <c r="AE3505">
        <v>-0.55719999999999403</v>
      </c>
      <c r="AF3505">
        <v>0.44544570254827198</v>
      </c>
      <c r="AG3505">
        <v>-1.12074979735719</v>
      </c>
      <c r="AH3505">
        <v>35.3326051994785</v>
      </c>
      <c r="AI3505">
        <v>91.816667973803803</v>
      </c>
      <c r="AJ3505">
        <v>89.277698132828903</v>
      </c>
      <c r="AK3505">
        <v>35.353182207043403</v>
      </c>
      <c r="AL3505">
        <v>80.641205894378402</v>
      </c>
      <c r="AM3505">
        <v>91.238958806874194</v>
      </c>
      <c r="AN3505">
        <v>1.00000000891569</v>
      </c>
    </row>
    <row r="3506" spans="1:40" x14ac:dyDescent="0.25">
      <c r="A3506" t="str">
        <f>"20190303162849861"</f>
        <v>20190303162849861</v>
      </c>
      <c r="B3506" t="str">
        <f>"1551601729844665"</f>
        <v>1551601729844665</v>
      </c>
      <c r="C3506" t="s">
        <v>40</v>
      </c>
      <c r="D3506">
        <v>5.1257570000000001</v>
      </c>
      <c r="E3506">
        <v>0.51355870000000003</v>
      </c>
      <c r="F3506" t="s">
        <v>48</v>
      </c>
      <c r="G3506">
        <v>-221.23150000000001</v>
      </c>
      <c r="H3506" s="1">
        <v>-8.4442329999999899E-7</v>
      </c>
      <c r="I3506">
        <v>213.76910000000001</v>
      </c>
      <c r="J3506">
        <v>-258.23230000000001</v>
      </c>
      <c r="K3506">
        <v>1.1207549999999999</v>
      </c>
      <c r="L3506">
        <v>214.2131</v>
      </c>
      <c r="M3506">
        <v>0.99993710000000002</v>
      </c>
      <c r="N3506">
        <v>-1.078141E-2</v>
      </c>
      <c r="O3506">
        <v>-3.1467359999999998E-3</v>
      </c>
      <c r="P3506">
        <v>0.98811789999999999</v>
      </c>
      <c r="Q3506">
        <v>0.1519307</v>
      </c>
      <c r="R3506">
        <v>2.3249599999999999E-2</v>
      </c>
      <c r="S3506">
        <v>3.0505369999999998</v>
      </c>
      <c r="T3506">
        <v>-9.1598150000000003E-2</v>
      </c>
      <c r="U3506">
        <v>-3.6376949999999998E-2</v>
      </c>
      <c r="V3506">
        <v>-2.635326E-2</v>
      </c>
      <c r="W3506">
        <v>0.16257550000000001</v>
      </c>
      <c r="X3506">
        <v>0.98634409999999895</v>
      </c>
      <c r="Y3506">
        <v>8.7723780000000008E-3</v>
      </c>
      <c r="Z3506">
        <v>-1.18436E-4</v>
      </c>
      <c r="AA3506">
        <v>0.99996149999999995</v>
      </c>
      <c r="AB3506">
        <v>31</v>
      </c>
      <c r="AC3506">
        <v>37.000799999999998</v>
      </c>
      <c r="AD3506">
        <v>-1.1207558444232999</v>
      </c>
      <c r="AE3506">
        <v>-0.44399999999998802</v>
      </c>
      <c r="AF3506">
        <v>0.32725909200724501</v>
      </c>
      <c r="AG3506">
        <v>-1.1207558444232999</v>
      </c>
      <c r="AH3506">
        <v>36.968101160700499</v>
      </c>
      <c r="AI3506">
        <v>91.736426851109798</v>
      </c>
      <c r="AJ3506">
        <v>89.492803946924198</v>
      </c>
      <c r="AK3506">
        <v>36.9865339766231</v>
      </c>
      <c r="AL3506">
        <v>80.643580676017507</v>
      </c>
      <c r="AM3506">
        <v>91.530471400648693</v>
      </c>
      <c r="AN3506">
        <v>0.99999998555884295</v>
      </c>
    </row>
    <row r="3507" spans="1:40" x14ac:dyDescent="0.25">
      <c r="A3507" t="str">
        <f>"20190303162849880"</f>
        <v>20190303162849880</v>
      </c>
      <c r="B3507" t="str">
        <f>"1551601729874922"</f>
        <v>1551601729874922</v>
      </c>
      <c r="C3507" t="s">
        <v>40</v>
      </c>
      <c r="D3507">
        <v>5.167999</v>
      </c>
      <c r="E3507">
        <v>0.51419340000000002</v>
      </c>
      <c r="F3507" t="s">
        <v>48</v>
      </c>
      <c r="G3507">
        <v>-217.95</v>
      </c>
      <c r="H3507" s="1">
        <v>2.726951E-6</v>
      </c>
      <c r="I3507">
        <v>213.85839999999999</v>
      </c>
      <c r="J3507">
        <v>-257.95359999999999</v>
      </c>
      <c r="K3507">
        <v>1.1207590000000001</v>
      </c>
      <c r="L3507">
        <v>214.2122</v>
      </c>
      <c r="M3507">
        <v>0.99993679999999996</v>
      </c>
      <c r="N3507">
        <v>-1.0803399999999999E-2</v>
      </c>
      <c r="O3507">
        <v>-3.1464969999999998E-3</v>
      </c>
      <c r="P3507">
        <v>0.98806850000000002</v>
      </c>
      <c r="Q3507">
        <v>0.15187410000000001</v>
      </c>
      <c r="R3507">
        <v>2.559438E-2</v>
      </c>
      <c r="S3507">
        <v>3.0497589999999999</v>
      </c>
      <c r="T3507">
        <v>-8.4851739999999995E-2</v>
      </c>
      <c r="U3507">
        <v>-2.6855469999999999E-2</v>
      </c>
      <c r="V3507">
        <v>-2.8697460000000001E-2</v>
      </c>
      <c r="W3507">
        <v>0.16253979999999901</v>
      </c>
      <c r="X3507">
        <v>0.98628459999999996</v>
      </c>
      <c r="Y3507">
        <v>5.6562399999999999E-3</v>
      </c>
      <c r="Z3507" s="1">
        <v>-5.5696609999999999E-5</v>
      </c>
      <c r="AA3507">
        <v>0.99998399999999998</v>
      </c>
      <c r="AB3507">
        <v>31</v>
      </c>
      <c r="AC3507">
        <v>40.003599999999999</v>
      </c>
      <c r="AD3507">
        <v>-1.1207562730489999</v>
      </c>
      <c r="AE3507">
        <v>-0.353800000000006</v>
      </c>
      <c r="AF3507">
        <v>0.22774096468819299</v>
      </c>
      <c r="AG3507">
        <v>-1.1207562730489999</v>
      </c>
      <c r="AH3507">
        <v>39.97314206659</v>
      </c>
      <c r="AI3507">
        <v>91.605996949279501</v>
      </c>
      <c r="AJ3507">
        <v>89.673569445829898</v>
      </c>
      <c r="AK3507">
        <v>39.9894992122478</v>
      </c>
      <c r="AL3507">
        <v>80.645654047871602</v>
      </c>
      <c r="AM3507">
        <v>91.666638175632897</v>
      </c>
      <c r="AN3507">
        <v>1.00000002149582</v>
      </c>
    </row>
    <row r="3508" spans="1:40" x14ac:dyDescent="0.25">
      <c r="A3508" t="str">
        <f>"20190303162849895"</f>
        <v>20190303162849895</v>
      </c>
      <c r="B3508" t="str">
        <f>"1551601729885657"</f>
        <v>1551601729885657</v>
      </c>
      <c r="C3508" t="s">
        <v>40</v>
      </c>
      <c r="D3508">
        <v>5.094284</v>
      </c>
      <c r="E3508">
        <v>0.51440390000000003</v>
      </c>
      <c r="F3508" t="s">
        <v>48</v>
      </c>
      <c r="G3508">
        <v>-216.04990000000001</v>
      </c>
      <c r="H3508" s="1">
        <v>1.7150549999999999E-6</v>
      </c>
      <c r="I3508">
        <v>213.87469999999999</v>
      </c>
      <c r="J3508">
        <v>-257.74599999999998</v>
      </c>
      <c r="K3508">
        <v>1.1207739999999999</v>
      </c>
      <c r="L3508">
        <v>214.2116</v>
      </c>
      <c r="M3508">
        <v>0.99993650000000001</v>
      </c>
      <c r="N3508">
        <v>-1.082174E-2</v>
      </c>
      <c r="O3508">
        <v>-3.1462389999999999E-3</v>
      </c>
      <c r="P3508">
        <v>0.98797820000000003</v>
      </c>
      <c r="Q3508">
        <v>0.15199219999999999</v>
      </c>
      <c r="R3508">
        <v>2.823643E-2</v>
      </c>
      <c r="S3508">
        <v>3.0493929999999998</v>
      </c>
      <c r="T3508">
        <v>-8.1559060000000003E-2</v>
      </c>
      <c r="U3508">
        <v>-2.4566649999999999E-2</v>
      </c>
      <c r="V3508">
        <v>-3.1338779999999997E-2</v>
      </c>
      <c r="W3508">
        <v>0.16267529999999999</v>
      </c>
      <c r="X3508">
        <v>0.98618189999999994</v>
      </c>
      <c r="Y3508">
        <v>4.9075550000000001E-3</v>
      </c>
      <c r="Z3508" s="1">
        <v>-4.2090189999999998E-5</v>
      </c>
      <c r="AA3508">
        <v>0.99998799999999999</v>
      </c>
      <c r="AB3508">
        <v>31</v>
      </c>
      <c r="AC3508">
        <v>41.696099999999902</v>
      </c>
      <c r="AD3508">
        <v>-1.1207722849449999</v>
      </c>
      <c r="AE3508">
        <v>-0.33690000000001402</v>
      </c>
      <c r="AF3508">
        <v>0.20555624819405</v>
      </c>
      <c r="AG3508">
        <v>-1.1207722849449999</v>
      </c>
      <c r="AH3508">
        <v>41.666850880793298</v>
      </c>
      <c r="AI3508">
        <v>91.540775438047604</v>
      </c>
      <c r="AJ3508">
        <v>89.717343411354705</v>
      </c>
      <c r="AK3508">
        <v>41.682428506603799</v>
      </c>
      <c r="AL3508">
        <v>80.637786076473006</v>
      </c>
      <c r="AM3508">
        <v>91.820126471942899</v>
      </c>
      <c r="AN3508">
        <v>1.0000000561247899</v>
      </c>
    </row>
    <row r="3509" spans="1:40" x14ac:dyDescent="0.25">
      <c r="A3509" t="str">
        <f>"20190303162849915"</f>
        <v>20190303162849915</v>
      </c>
      <c r="B3509" t="str">
        <f>"1551601729905177"</f>
        <v>1551601729905177</v>
      </c>
      <c r="C3509" t="s">
        <v>40</v>
      </c>
      <c r="D3509">
        <v>5.1694290000000001</v>
      </c>
      <c r="E3509">
        <v>0.5150747</v>
      </c>
      <c r="F3509" t="s">
        <v>48</v>
      </c>
      <c r="G3509">
        <v>-213.35939999999999</v>
      </c>
      <c r="H3509" s="1">
        <v>2.8018340000000001E-7</v>
      </c>
      <c r="I3509">
        <v>213.94730000000001</v>
      </c>
      <c r="J3509">
        <v>-257.45749999999998</v>
      </c>
      <c r="K3509">
        <v>1.1207720000000001</v>
      </c>
      <c r="L3509">
        <v>214.2107</v>
      </c>
      <c r="M3509">
        <v>0.9999363</v>
      </c>
      <c r="N3509">
        <v>-1.084768E-2</v>
      </c>
      <c r="O3509">
        <v>-3.1462600000000001E-3</v>
      </c>
      <c r="P3509">
        <v>0.9878846</v>
      </c>
      <c r="Q3509">
        <v>0.15231420000000001</v>
      </c>
      <c r="R3509">
        <v>2.9740180000000001E-2</v>
      </c>
      <c r="S3509">
        <v>3.0488740000000001</v>
      </c>
      <c r="T3509">
        <v>-7.6984880000000006E-2</v>
      </c>
      <c r="U3509">
        <v>-1.8157960000000001E-2</v>
      </c>
      <c r="V3509">
        <v>-3.2842570000000001E-2</v>
      </c>
      <c r="W3509">
        <v>0.16302150000000001</v>
      </c>
      <c r="X3509">
        <v>0.98607579999999995</v>
      </c>
      <c r="Y3509">
        <v>2.808151E-3</v>
      </c>
      <c r="Z3509" s="1">
        <v>-5.379387E-6</v>
      </c>
      <c r="AA3509">
        <v>0.99999610000000005</v>
      </c>
      <c r="AB3509">
        <v>31</v>
      </c>
      <c r="AC3509">
        <v>44.098099999999903</v>
      </c>
      <c r="AD3509">
        <v>-1.1207717198165901</v>
      </c>
      <c r="AE3509">
        <v>-0.26339999999998998</v>
      </c>
      <c r="AF3509">
        <v>0.124565996588267</v>
      </c>
      <c r="AG3509">
        <v>-1.1207717198165901</v>
      </c>
      <c r="AH3509">
        <v>44.070244609837999</v>
      </c>
      <c r="AI3509">
        <v>91.456796868708096</v>
      </c>
      <c r="AJ3509">
        <v>89.8380520250834</v>
      </c>
      <c r="AK3509">
        <v>44.084669737975801</v>
      </c>
      <c r="AL3509">
        <v>80.617681981015394</v>
      </c>
      <c r="AM3509">
        <v>91.907607203924599</v>
      </c>
      <c r="AN3509">
        <v>1.00000006360604</v>
      </c>
    </row>
    <row r="3510" spans="1:40" x14ac:dyDescent="0.25">
      <c r="A3510" t="str">
        <f>"20190303162849938"</f>
        <v>20190303162849938</v>
      </c>
      <c r="B3510" t="str">
        <f>"1551601729924697"</f>
        <v>1551601729924697</v>
      </c>
      <c r="C3510" t="s">
        <v>40</v>
      </c>
      <c r="D3510">
        <v>5.1718209999999996</v>
      </c>
      <c r="E3510">
        <v>0.51573549999999901</v>
      </c>
      <c r="F3510" t="s">
        <v>48</v>
      </c>
      <c r="G3510">
        <v>-211.66720000000001</v>
      </c>
      <c r="H3510" s="1">
        <v>-6.1907639999999997E-7</v>
      </c>
      <c r="I3510">
        <v>213.9178</v>
      </c>
      <c r="J3510">
        <v>-257.14100000000002</v>
      </c>
      <c r="K3510">
        <v>1.120781</v>
      </c>
      <c r="L3510">
        <v>214.2097</v>
      </c>
      <c r="M3510">
        <v>0.99993600000000005</v>
      </c>
      <c r="N3510">
        <v>-1.0875060000000001E-2</v>
      </c>
      <c r="O3510">
        <v>-3.1459320000000002E-3</v>
      </c>
      <c r="P3510">
        <v>0.98776980000000003</v>
      </c>
      <c r="Q3510">
        <v>0.15307000000000001</v>
      </c>
      <c r="R3510">
        <v>2.9675670000000001E-2</v>
      </c>
      <c r="S3510">
        <v>3.048889</v>
      </c>
      <c r="T3510">
        <v>-7.4625129999999998E-2</v>
      </c>
      <c r="U3510">
        <v>-1.9500730000000001E-2</v>
      </c>
      <c r="V3510">
        <v>-3.2776680000000002E-2</v>
      </c>
      <c r="W3510">
        <v>0.1638029</v>
      </c>
      <c r="X3510">
        <v>0.98594839999999995</v>
      </c>
      <c r="Y3510">
        <v>3.2486820000000001E-3</v>
      </c>
      <c r="Z3510" s="1">
        <v>-1.464302E-5</v>
      </c>
      <c r="AA3510">
        <v>0.99999470000000001</v>
      </c>
      <c r="AB3510">
        <v>32</v>
      </c>
      <c r="AC3510">
        <v>45.473799999999898</v>
      </c>
      <c r="AD3510">
        <v>-1.1207816190763999</v>
      </c>
      <c r="AE3510">
        <v>-0.29189999999999799</v>
      </c>
      <c r="AF3510">
        <v>0.14874227293443801</v>
      </c>
      <c r="AG3510">
        <v>-1.1207816190763999</v>
      </c>
      <c r="AH3510">
        <v>45.446887155875302</v>
      </c>
      <c r="AI3510">
        <v>91.4126973973204</v>
      </c>
      <c r="AJ3510">
        <v>89.812478376886702</v>
      </c>
      <c r="AK3510">
        <v>45.460948382763497</v>
      </c>
      <c r="AL3510">
        <v>80.572300193386994</v>
      </c>
      <c r="AM3510">
        <v>91.904028727209393</v>
      </c>
      <c r="AN3510">
        <v>0.99999997413139496</v>
      </c>
    </row>
    <row r="3511" spans="1:40" x14ac:dyDescent="0.25">
      <c r="A3511" t="str">
        <f>"20190303162849960"</f>
        <v>20190303162849960</v>
      </c>
      <c r="B3511" t="str">
        <f>"1551601729954953"</f>
        <v>1551601729954953</v>
      </c>
      <c r="C3511" t="s">
        <v>40</v>
      </c>
      <c r="D3511">
        <v>5.1313319999999996</v>
      </c>
      <c r="E3511">
        <v>0.51675590000000005</v>
      </c>
      <c r="F3511" t="s">
        <v>48</v>
      </c>
      <c r="G3511">
        <v>-210.35040000000001</v>
      </c>
      <c r="H3511" s="1">
        <v>-1.314896E-6</v>
      </c>
      <c r="I3511">
        <v>213.80600000000001</v>
      </c>
      <c r="J3511">
        <v>-256.81310000000002</v>
      </c>
      <c r="K3511">
        <v>1.1207879999999999</v>
      </c>
      <c r="L3511">
        <v>214.20859999999999</v>
      </c>
      <c r="M3511">
        <v>0.99993569999999998</v>
      </c>
      <c r="N3511">
        <v>-1.0905710000000001E-2</v>
      </c>
      <c r="O3511">
        <v>-3.145503E-3</v>
      </c>
      <c r="P3511">
        <v>0.98783880000000002</v>
      </c>
      <c r="Q3511">
        <v>0.15306</v>
      </c>
      <c r="R3511">
        <v>2.734091E-2</v>
      </c>
      <c r="S3511">
        <v>3.049255</v>
      </c>
      <c r="T3511">
        <v>-7.3039290000000007E-2</v>
      </c>
      <c r="U3511">
        <v>-2.630615E-2</v>
      </c>
      <c r="V3511">
        <v>-3.0442250000000001E-2</v>
      </c>
      <c r="W3511">
        <v>0.1638241</v>
      </c>
      <c r="X3511">
        <v>0.98601970000000005</v>
      </c>
      <c r="Y3511">
        <v>5.4791199999999997E-3</v>
      </c>
      <c r="Z3511" s="1">
        <v>-5.4464640000000003E-5</v>
      </c>
      <c r="AA3511">
        <v>0.99998500000000001</v>
      </c>
      <c r="AB3511">
        <v>32</v>
      </c>
      <c r="AC3511">
        <v>46.462699999999998</v>
      </c>
      <c r="AD3511">
        <v>-1.120789314896</v>
      </c>
      <c r="AE3511">
        <v>-0.40260000000000601</v>
      </c>
      <c r="AF3511">
        <v>0.25629164928086101</v>
      </c>
      <c r="AG3511">
        <v>-1.120789314896</v>
      </c>
      <c r="AH3511">
        <v>46.436717651510399</v>
      </c>
      <c r="AI3511">
        <v>91.382592441346702</v>
      </c>
      <c r="AJ3511">
        <v>89.683778667567196</v>
      </c>
      <c r="AK3511">
        <v>46.450948325561399</v>
      </c>
      <c r="AL3511">
        <v>80.571068731842104</v>
      </c>
      <c r="AM3511">
        <v>91.768381066201201</v>
      </c>
      <c r="AN3511">
        <v>0.99999995755698001</v>
      </c>
    </row>
    <row r="3512" spans="1:40" x14ac:dyDescent="0.25">
      <c r="A3512" t="str">
        <f>"20190303162849982"</f>
        <v>20190303162849982</v>
      </c>
      <c r="B3512" t="str">
        <f>"1551601729975449"</f>
        <v>1551601729975449</v>
      </c>
      <c r="C3512" t="s">
        <v>40</v>
      </c>
      <c r="D3512">
        <v>5.1788239999999996</v>
      </c>
      <c r="E3512">
        <v>0.51729550000000002</v>
      </c>
      <c r="F3512" t="s">
        <v>48</v>
      </c>
      <c r="G3512">
        <v>-210.78129999999999</v>
      </c>
      <c r="H3512" s="1">
        <v>-1.0760360000000001E-6</v>
      </c>
      <c r="I3512">
        <v>213.5865</v>
      </c>
      <c r="J3512">
        <v>-256.5301</v>
      </c>
      <c r="K3512">
        <v>1.120792</v>
      </c>
      <c r="L3512">
        <v>214.20769999999999</v>
      </c>
      <c r="M3512">
        <v>0.99993529999999997</v>
      </c>
      <c r="N3512">
        <v>-1.093418E-2</v>
      </c>
      <c r="O3512">
        <v>-3.1451819999999998E-3</v>
      </c>
      <c r="P3512">
        <v>0.98785350000000005</v>
      </c>
      <c r="Q3512">
        <v>0.15337509999999999</v>
      </c>
      <c r="R3512">
        <v>2.493167E-2</v>
      </c>
      <c r="S3512">
        <v>3.0495760000000001</v>
      </c>
      <c r="T3512">
        <v>-7.4251410000000004E-2</v>
      </c>
      <c r="U3512">
        <v>-4.1213989999999999E-2</v>
      </c>
      <c r="V3512">
        <v>-2.8032319999999999E-2</v>
      </c>
      <c r="W3512">
        <v>0.16416739999999999</v>
      </c>
      <c r="X3512">
        <v>0.98603410000000002</v>
      </c>
      <c r="Y3512">
        <v>1.0364109999999999E-2</v>
      </c>
      <c r="Z3512">
        <v>-1.4064979999999999E-4</v>
      </c>
      <c r="AA3512">
        <v>0.99994629999999995</v>
      </c>
      <c r="AB3512">
        <v>32</v>
      </c>
      <c r="AC3512">
        <v>45.748800000000003</v>
      </c>
      <c r="AD3512">
        <v>-1.1207930760359901</v>
      </c>
      <c r="AE3512">
        <v>-0.62119999999998698</v>
      </c>
      <c r="AF3512">
        <v>0.47701377856784799</v>
      </c>
      <c r="AG3512">
        <v>-1.1207930760359901</v>
      </c>
      <c r="AH3512">
        <v>45.723089945020398</v>
      </c>
      <c r="AI3512">
        <v>91.404112526668499</v>
      </c>
      <c r="AJ3512">
        <v>89.402273888094797</v>
      </c>
      <c r="AK3512">
        <v>45.739312121900802</v>
      </c>
      <c r="AL3512">
        <v>80.551129497578103</v>
      </c>
      <c r="AM3512">
        <v>91.628443811388806</v>
      </c>
      <c r="AN3512">
        <v>0.99999999627507596</v>
      </c>
    </row>
    <row r="3513" spans="1:40" x14ac:dyDescent="0.25">
      <c r="A3513" t="str">
        <f>"20190303162849997"</f>
        <v>20190303162849997</v>
      </c>
      <c r="B3513" t="str">
        <f>"1551601729985209"</f>
        <v>1551601729985209</v>
      </c>
      <c r="C3513" t="s">
        <v>40</v>
      </c>
      <c r="D3513">
        <v>5.2028970000000001</v>
      </c>
      <c r="E3513">
        <v>0.51736689999999996</v>
      </c>
      <c r="F3513" t="s">
        <v>48</v>
      </c>
      <c r="G3513">
        <v>-210.4016</v>
      </c>
      <c r="H3513" s="1">
        <v>-1.271093E-6</v>
      </c>
      <c r="I3513">
        <v>213.4272</v>
      </c>
      <c r="J3513">
        <v>-256.30119999999999</v>
      </c>
      <c r="K3513">
        <v>1.1208049999999901</v>
      </c>
      <c r="L3513">
        <v>214.20699999999999</v>
      </c>
      <c r="M3513">
        <v>0.99993509999999997</v>
      </c>
      <c r="N3513">
        <v>-1.0956769999999999E-2</v>
      </c>
      <c r="O3513">
        <v>-3.1449479999999998E-3</v>
      </c>
      <c r="P3513">
        <v>0.98798379999999997</v>
      </c>
      <c r="Q3513">
        <v>0.15334489999999901</v>
      </c>
      <c r="R3513">
        <v>1.9330509999999999E-2</v>
      </c>
      <c r="S3513">
        <v>3.0496669999999999</v>
      </c>
      <c r="T3513">
        <v>-7.409847E-2</v>
      </c>
      <c r="U3513">
        <v>-5.160522E-2</v>
      </c>
      <c r="V3513">
        <v>-2.243117E-2</v>
      </c>
      <c r="W3513">
        <v>0.1641609</v>
      </c>
      <c r="X3513">
        <v>0.98617849999999996</v>
      </c>
      <c r="Y3513">
        <v>1.376879E-2</v>
      </c>
      <c r="Z3513">
        <v>-2.0074789999999999E-4</v>
      </c>
      <c r="AA3513">
        <v>0.99990520000000005</v>
      </c>
      <c r="AB3513">
        <v>32</v>
      </c>
      <c r="AC3513">
        <v>45.8995999999999</v>
      </c>
      <c r="AD3513">
        <v>-1.12080627109299</v>
      </c>
      <c r="AE3513">
        <v>-0.77979999999999405</v>
      </c>
      <c r="AF3513">
        <v>0.63505707636679198</v>
      </c>
      <c r="AG3513">
        <v>-1.12080627109299</v>
      </c>
      <c r="AH3513">
        <v>45.874479855355602</v>
      </c>
      <c r="AI3513">
        <v>91.399439239377401</v>
      </c>
      <c r="AJ3513">
        <v>89.206884388007893</v>
      </c>
      <c r="AK3513">
        <v>45.892563735173802</v>
      </c>
      <c r="AL3513">
        <v>80.551507041273894</v>
      </c>
      <c r="AM3513">
        <v>91.302999203854299</v>
      </c>
      <c r="AN3513">
        <v>0.99999999616931401</v>
      </c>
    </row>
    <row r="3514" spans="1:40" x14ac:dyDescent="0.25">
      <c r="A3514" t="str">
        <f>"20190303162850017"</f>
        <v>20190303162850017</v>
      </c>
      <c r="B3514" t="str">
        <f>"1551601730004729"</f>
        <v>1551601730004729</v>
      </c>
      <c r="C3514" t="s">
        <v>40</v>
      </c>
      <c r="D3514">
        <v>5.1692099999999996</v>
      </c>
      <c r="E3514">
        <v>0.51756449999999998</v>
      </c>
      <c r="F3514" t="s">
        <v>48</v>
      </c>
      <c r="G3514">
        <v>-210.2139</v>
      </c>
      <c r="H3514" s="1">
        <v>-1.3600370000000001E-6</v>
      </c>
      <c r="I3514">
        <v>213.17679999999999</v>
      </c>
      <c r="J3514">
        <v>-256.03370000000001</v>
      </c>
      <c r="K3514">
        <v>1.1208100000000001</v>
      </c>
      <c r="L3514">
        <v>214.20609999999999</v>
      </c>
      <c r="M3514">
        <v>0.99993469999999995</v>
      </c>
      <c r="N3514">
        <v>-1.09818E-2</v>
      </c>
      <c r="O3514">
        <v>-3.144609E-3</v>
      </c>
      <c r="P3514">
        <v>0.98796320000000004</v>
      </c>
      <c r="Q3514">
        <v>0.15409030000000001</v>
      </c>
      <c r="R3514">
        <v>1.359668E-2</v>
      </c>
      <c r="S3514">
        <v>3.0493320000000002</v>
      </c>
      <c r="T3514">
        <v>-7.4157360000000005E-2</v>
      </c>
      <c r="U3514">
        <v>-6.8161009999999994E-2</v>
      </c>
      <c r="V3514">
        <v>-1.6697750000000001E-2</v>
      </c>
      <c r="W3514">
        <v>0.16493079999999999</v>
      </c>
      <c r="X3514">
        <v>0.98616380000000003</v>
      </c>
      <c r="Y3514">
        <v>1.9195110000000001E-2</v>
      </c>
      <c r="Z3514">
        <v>-2.9685379999999997E-4</v>
      </c>
      <c r="AA3514">
        <v>0.99981569999999997</v>
      </c>
      <c r="AB3514">
        <v>32</v>
      </c>
      <c r="AC3514">
        <v>45.819800000000001</v>
      </c>
      <c r="AD3514">
        <v>-1.120811360037</v>
      </c>
      <c r="AE3514">
        <v>-1.0293000000000001</v>
      </c>
      <c r="AF3514">
        <v>0.88467177743099201</v>
      </c>
      <c r="AG3514">
        <v>-1.120811360037</v>
      </c>
      <c r="AH3514">
        <v>45.795422284604001</v>
      </c>
      <c r="AI3514">
        <v>91.401733362680801</v>
      </c>
      <c r="AJ3514">
        <v>88.893303026521806</v>
      </c>
      <c r="AK3514">
        <v>45.817677423498601</v>
      </c>
      <c r="AL3514">
        <v>80.506785590578104</v>
      </c>
      <c r="AM3514">
        <v>90.970040870014302</v>
      </c>
      <c r="AN3514">
        <v>1.00000001203707</v>
      </c>
    </row>
    <row r="3515" spans="1:40" x14ac:dyDescent="0.25">
      <c r="A3515" t="str">
        <f>"20190303162850038"</f>
        <v>20190303162850038</v>
      </c>
      <c r="B3515" t="str">
        <f>"1551601730025225"</f>
        <v>1551601730025225</v>
      </c>
      <c r="C3515" t="s">
        <v>40</v>
      </c>
      <c r="D3515">
        <v>5.1990360000000004</v>
      </c>
      <c r="E3515">
        <v>0.51793429999999996</v>
      </c>
      <c r="F3515" t="s">
        <v>47</v>
      </c>
      <c r="G3515">
        <v>-209.00729999999999</v>
      </c>
      <c r="H3515" s="1">
        <v>6.3646449999999998E-6</v>
      </c>
      <c r="I3515">
        <v>212.86279999999999</v>
      </c>
      <c r="J3515">
        <v>-255.72</v>
      </c>
      <c r="K3515">
        <v>1.120822</v>
      </c>
      <c r="L3515">
        <v>214.20509999999999</v>
      </c>
      <c r="M3515">
        <v>0.9999344</v>
      </c>
      <c r="N3515">
        <v>-1.101249E-2</v>
      </c>
      <c r="O3515">
        <v>-3.1444200000000002E-3</v>
      </c>
      <c r="P3515">
        <v>0.98780429999999997</v>
      </c>
      <c r="Q3515">
        <v>0.15550249999999999</v>
      </c>
      <c r="R3515">
        <v>7.8783109999999903E-3</v>
      </c>
      <c r="S3515">
        <v>3.0490879999999998</v>
      </c>
      <c r="T3515">
        <v>-7.2670460000000006E-2</v>
      </c>
      <c r="U3515">
        <v>-8.7097170000000002E-2</v>
      </c>
      <c r="V3515">
        <v>-1.0978109999999999E-2</v>
      </c>
      <c r="W3515">
        <v>0.1663712</v>
      </c>
      <c r="X3515">
        <v>0.98600209999999999</v>
      </c>
      <c r="Y3515">
        <v>2.5399600000000001E-2</v>
      </c>
      <c r="Z3515">
        <v>-4.021982E-4</v>
      </c>
      <c r="AA3515">
        <v>0.99967729999999999</v>
      </c>
      <c r="AB3515">
        <v>32</v>
      </c>
      <c r="AC3515">
        <v>46.712699999999998</v>
      </c>
      <c r="AD3515">
        <v>-1.1208156353550001</v>
      </c>
      <c r="AE3515">
        <v>-1.3422999999999901</v>
      </c>
      <c r="AF3515">
        <v>1.1947128729591701</v>
      </c>
      <c r="AG3515">
        <v>-1.1208156353550001</v>
      </c>
      <c r="AH3515">
        <v>46.689832753443802</v>
      </c>
      <c r="AI3515">
        <v>91.374703423332903</v>
      </c>
      <c r="AJ3515">
        <v>88.5342189660564</v>
      </c>
      <c r="AK3515">
        <v>46.718562146986301</v>
      </c>
      <c r="AL3515">
        <v>80.423100646563199</v>
      </c>
      <c r="AM3515">
        <v>90.637902678541593</v>
      </c>
      <c r="AN3515">
        <v>1.0000000181465101</v>
      </c>
    </row>
    <row r="3516" spans="1:40" x14ac:dyDescent="0.25">
      <c r="A3516" t="str">
        <f>"20190303162850062"</f>
        <v>20190303162850062</v>
      </c>
      <c r="B3516" t="str">
        <f>"1551601730055480"</f>
        <v>1551601730055480</v>
      </c>
      <c r="C3516" t="s">
        <v>40</v>
      </c>
      <c r="D3516">
        <v>5.2367520000000001</v>
      </c>
      <c r="E3516">
        <v>0.52282879999999998</v>
      </c>
      <c r="F3516" t="s">
        <v>47</v>
      </c>
      <c r="G3516">
        <v>-207.13159999999999</v>
      </c>
      <c r="H3516" s="1">
        <v>5.56506E-6</v>
      </c>
      <c r="I3516">
        <v>212.49440000000001</v>
      </c>
      <c r="J3516">
        <v>-255.38749999999999</v>
      </c>
      <c r="K3516">
        <v>1.1208359999999999</v>
      </c>
      <c r="L3516">
        <v>214.20400000000001</v>
      </c>
      <c r="M3516">
        <v>0.99993410000000005</v>
      </c>
      <c r="N3516">
        <v>-1.104724E-2</v>
      </c>
      <c r="O3516">
        <v>-3.1441350000000002E-3</v>
      </c>
      <c r="P3516">
        <v>0.98739129999999997</v>
      </c>
      <c r="Q3516">
        <v>0.158299</v>
      </c>
      <c r="R3516">
        <v>2.9366370000000002E-4</v>
      </c>
      <c r="S3516">
        <v>3.0489649999999999</v>
      </c>
      <c r="T3516">
        <v>-7.0332290000000006E-2</v>
      </c>
      <c r="U3516">
        <v>-0.1073456</v>
      </c>
      <c r="V3516">
        <v>-3.3915379999999999E-3</v>
      </c>
      <c r="W3516">
        <v>0.16919729999999999</v>
      </c>
      <c r="X3516">
        <v>0.98557640000000002</v>
      </c>
      <c r="Y3516">
        <v>3.2030500000000003E-2</v>
      </c>
      <c r="Z3516">
        <v>-5.08517E-4</v>
      </c>
      <c r="AA3516">
        <v>0.99948669999999995</v>
      </c>
      <c r="AB3516">
        <v>32</v>
      </c>
      <c r="AC3516">
        <v>48.255899999999997</v>
      </c>
      <c r="AD3516">
        <v>-1.12083043494</v>
      </c>
      <c r="AE3516">
        <v>-1.70959999999999</v>
      </c>
      <c r="AF3516">
        <v>1.55702030009007</v>
      </c>
      <c r="AG3516">
        <v>-1.12083043494</v>
      </c>
      <c r="AH3516">
        <v>48.235047550724197</v>
      </c>
      <c r="AI3516">
        <v>91.330441009491295</v>
      </c>
      <c r="AJ3516">
        <v>88.151142578314506</v>
      </c>
      <c r="AK3516">
        <v>48.2731849508545</v>
      </c>
      <c r="AL3516">
        <v>80.258848667029</v>
      </c>
      <c r="AM3516">
        <v>90.197163859073996</v>
      </c>
      <c r="AN3516">
        <v>1.0000000345471201</v>
      </c>
    </row>
    <row r="3517" spans="1:40" x14ac:dyDescent="0.25">
      <c r="A3517" t="str">
        <f>"20190303162850083"</f>
        <v>20190303162850083</v>
      </c>
      <c r="B3517" t="str">
        <f>"1551601730075001"</f>
        <v>1551601730075001</v>
      </c>
      <c r="C3517" t="s">
        <v>40</v>
      </c>
      <c r="D3517">
        <v>5.2583460000000004</v>
      </c>
      <c r="E3517">
        <v>0.52203670000000002</v>
      </c>
      <c r="F3517" t="s">
        <v>48</v>
      </c>
      <c r="G3517">
        <v>-232.0771</v>
      </c>
      <c r="H3517" s="1">
        <v>-3.578107E-7</v>
      </c>
      <c r="I3517">
        <v>212.93119999999999</v>
      </c>
      <c r="J3517">
        <v>-255.08629999999999</v>
      </c>
      <c r="K3517">
        <v>1.120854</v>
      </c>
      <c r="L3517">
        <v>214.20310000000001</v>
      </c>
      <c r="M3517">
        <v>0.99993370000000004</v>
      </c>
      <c r="N3517">
        <v>-1.107787E-2</v>
      </c>
      <c r="O3517">
        <v>-3.143589E-3</v>
      </c>
      <c r="P3517">
        <v>0.98695869999999997</v>
      </c>
      <c r="Q3517">
        <v>0.1607999</v>
      </c>
      <c r="R3517">
        <v>-7.4800700000000001E-3</v>
      </c>
      <c r="S3517">
        <v>3.0619510000000001</v>
      </c>
      <c r="T3517">
        <v>-0.14722779999999999</v>
      </c>
      <c r="U3517">
        <v>-0.16719059999999999</v>
      </c>
      <c r="V3517">
        <v>4.3836700000000001E-3</v>
      </c>
      <c r="W3517">
        <v>0.1717233</v>
      </c>
      <c r="X3517">
        <v>0.98513550000000005</v>
      </c>
      <c r="Y3517">
        <v>5.1311410000000002E-2</v>
      </c>
      <c r="Z3517">
        <v>-1.400442E-3</v>
      </c>
      <c r="AA3517">
        <v>0.99868170000000001</v>
      </c>
      <c r="AB3517">
        <v>32</v>
      </c>
      <c r="AC3517">
        <v>23.0092</v>
      </c>
      <c r="AD3517">
        <v>-1.1208543578107</v>
      </c>
      <c r="AE3517">
        <v>-1.27190000000001</v>
      </c>
      <c r="AF3517">
        <v>1.19672664266263</v>
      </c>
      <c r="AG3517">
        <v>-1.1208543578107</v>
      </c>
      <c r="AH3517">
        <v>22.958769979581401</v>
      </c>
      <c r="AI3517">
        <v>92.791195524131197</v>
      </c>
      <c r="AJ3517">
        <v>87.016156034303904</v>
      </c>
      <c r="AK3517">
        <v>23.017245450401099</v>
      </c>
      <c r="AL3517">
        <v>80.111969814621105</v>
      </c>
      <c r="AM3517">
        <v>89.745046105807006</v>
      </c>
      <c r="AN3517">
        <v>1.0000000308429</v>
      </c>
    </row>
    <row r="3518" spans="1:40" x14ac:dyDescent="0.25">
      <c r="A3518" t="str">
        <f>"20190303162850105"</f>
        <v>20190303162850105</v>
      </c>
      <c r="B3518" t="str">
        <f>"1551601730095497"</f>
        <v>1551601730095497</v>
      </c>
      <c r="C3518" t="s">
        <v>40</v>
      </c>
      <c r="D3518">
        <v>5.2940589999999998</v>
      </c>
      <c r="E3518">
        <v>0.52150490000000005</v>
      </c>
      <c r="F3518" t="s">
        <v>48</v>
      </c>
      <c r="G3518">
        <v>-230.93379999999999</v>
      </c>
      <c r="H3518" s="1">
        <v>-9.5830930000000006E-7</v>
      </c>
      <c r="I3518">
        <v>212.75049999999999</v>
      </c>
      <c r="J3518">
        <v>-254.7774</v>
      </c>
      <c r="K3518">
        <v>1.1208819999999999</v>
      </c>
      <c r="L3518">
        <v>214.2021</v>
      </c>
      <c r="M3518">
        <v>0.99993350000000003</v>
      </c>
      <c r="N3518">
        <v>-1.110653E-2</v>
      </c>
      <c r="O3518">
        <v>-3.1433899999999998E-3</v>
      </c>
      <c r="P3518">
        <v>0.98630479999999998</v>
      </c>
      <c r="Q3518">
        <v>0.16425190000000001</v>
      </c>
      <c r="R3518">
        <v>-1.4989509999999999E-2</v>
      </c>
      <c r="S3518">
        <v>3.0613709999999998</v>
      </c>
      <c r="T3518">
        <v>-0.1420701</v>
      </c>
      <c r="U3518">
        <v>-0.18411250000000001</v>
      </c>
      <c r="V3518">
        <v>1.1895309999999999E-2</v>
      </c>
      <c r="W3518">
        <v>0.17519650000000001</v>
      </c>
      <c r="X3518">
        <v>0.98446160000000005</v>
      </c>
      <c r="Y3518">
        <v>5.6820269999999999E-2</v>
      </c>
      <c r="Z3518">
        <v>-1.5217900000000001E-3</v>
      </c>
      <c r="AA3518">
        <v>0.99838329999999997</v>
      </c>
      <c r="AB3518">
        <v>32</v>
      </c>
      <c r="AC3518">
        <v>23.843599999999999</v>
      </c>
      <c r="AD3518">
        <v>-1.1208829583092901</v>
      </c>
      <c r="AE3518">
        <v>-1.45160000000001</v>
      </c>
      <c r="AF3518">
        <v>1.3736141095122301</v>
      </c>
      <c r="AG3518">
        <v>-1.1208829583092901</v>
      </c>
      <c r="AH3518">
        <v>23.795653069976701</v>
      </c>
      <c r="AI3518">
        <v>92.692421522290999</v>
      </c>
      <c r="AJ3518">
        <v>86.696243326877905</v>
      </c>
      <c r="AK3518">
        <v>23.8616072248868</v>
      </c>
      <c r="AL3518">
        <v>79.909906372324798</v>
      </c>
      <c r="AM3518">
        <v>89.307725265259705</v>
      </c>
      <c r="AN3518">
        <v>0.99999997694340204</v>
      </c>
    </row>
    <row r="3519" spans="1:40" x14ac:dyDescent="0.25">
      <c r="A3519" t="str">
        <f>"20190303162850122"</f>
        <v>20190303162850122</v>
      </c>
      <c r="B3519" t="str">
        <f>"1551601730115017"</f>
        <v>1551601730115017</v>
      </c>
      <c r="C3519" t="s">
        <v>40</v>
      </c>
      <c r="D3519">
        <v>5.177613</v>
      </c>
      <c r="E3519">
        <v>0.52137429999999996</v>
      </c>
      <c r="F3519" t="s">
        <v>48</v>
      </c>
      <c r="G3519">
        <v>-229.07149999999999</v>
      </c>
      <c r="H3519" s="1">
        <v>3.383228E-6</v>
      </c>
      <c r="I3519">
        <v>212.4974</v>
      </c>
      <c r="J3519">
        <v>-254.5256</v>
      </c>
      <c r="K3519">
        <v>1.1209009999999999</v>
      </c>
      <c r="L3519">
        <v>214.2013</v>
      </c>
      <c r="M3519">
        <v>0.99993319999999997</v>
      </c>
      <c r="N3519">
        <v>-1.1128209999999999E-2</v>
      </c>
      <c r="O3519">
        <v>-3.1432729999999998E-3</v>
      </c>
      <c r="P3519">
        <v>0.98591039999999996</v>
      </c>
      <c r="Q3519">
        <v>0.16625279999999901</v>
      </c>
      <c r="R3519">
        <v>-1.8465189999999999E-2</v>
      </c>
      <c r="S3519">
        <v>3.0608219999999999</v>
      </c>
      <c r="T3519">
        <v>-0.13346359999999999</v>
      </c>
      <c r="U3519">
        <v>-0.2029724</v>
      </c>
      <c r="V3519">
        <v>1.537267E-2</v>
      </c>
      <c r="W3519">
        <v>0.1772138</v>
      </c>
      <c r="X3519">
        <v>0.98405229999999999</v>
      </c>
      <c r="Y3519">
        <v>6.2957639999999995E-2</v>
      </c>
      <c r="Z3519">
        <v>-1.61944E-3</v>
      </c>
      <c r="AA3519">
        <v>0.99801490000000004</v>
      </c>
      <c r="AB3519">
        <v>32</v>
      </c>
      <c r="AC3519">
        <v>25.4541</v>
      </c>
      <c r="AD3519">
        <v>-1.1208976167719999</v>
      </c>
      <c r="AE3519">
        <v>-1.7039</v>
      </c>
      <c r="AF3519">
        <v>1.6207485563932</v>
      </c>
      <c r="AG3519">
        <v>-1.1208976167719999</v>
      </c>
      <c r="AH3519">
        <v>25.410275305593402</v>
      </c>
      <c r="AI3519">
        <v>92.520677380733602</v>
      </c>
      <c r="AJ3519">
        <v>86.350435907734706</v>
      </c>
      <c r="AK3519">
        <v>25.486571532012501</v>
      </c>
      <c r="AL3519">
        <v>79.792486484737694</v>
      </c>
      <c r="AM3519">
        <v>89.105009487935206</v>
      </c>
      <c r="AN3519">
        <v>0.999999989514329</v>
      </c>
    </row>
    <row r="3520" spans="1:40" x14ac:dyDescent="0.25">
      <c r="A3520" t="str">
        <f>"20190303162850139"</f>
        <v>20190303162850139</v>
      </c>
      <c r="B3520" t="str">
        <f>"1551601730124777"</f>
        <v>1551601730124777</v>
      </c>
      <c r="C3520" t="s">
        <v>40</v>
      </c>
      <c r="D3520">
        <v>5.2297449999999897</v>
      </c>
      <c r="E3520">
        <v>0.52118120000000001</v>
      </c>
      <c r="F3520" t="s">
        <v>48</v>
      </c>
      <c r="G3520">
        <v>-226.6276</v>
      </c>
      <c r="H3520" s="1">
        <v>2.093178E-6</v>
      </c>
      <c r="I3520">
        <v>212.2578</v>
      </c>
      <c r="J3520">
        <v>-254.2961</v>
      </c>
      <c r="K3520">
        <v>1.120932</v>
      </c>
      <c r="L3520">
        <v>214.20060000000001</v>
      </c>
      <c r="M3520">
        <v>0.99993299999999996</v>
      </c>
      <c r="N3520">
        <v>-1.1146430000000001E-2</v>
      </c>
      <c r="O3520">
        <v>-3.1431359999999999E-3</v>
      </c>
      <c r="P3520">
        <v>0.98523519999999998</v>
      </c>
      <c r="Q3520">
        <v>0.16965169999999999</v>
      </c>
      <c r="R3520">
        <v>-2.302616E-2</v>
      </c>
      <c r="S3520">
        <v>3.0596160000000001</v>
      </c>
      <c r="T3520">
        <v>-0.12293080000000001</v>
      </c>
      <c r="U3520">
        <v>-0.21315000000000001</v>
      </c>
      <c r="V3520">
        <v>1.9935970000000001E-2</v>
      </c>
      <c r="W3520">
        <v>0.1806227</v>
      </c>
      <c r="X3520">
        <v>0.98335039999999996</v>
      </c>
      <c r="Y3520">
        <v>6.6294359999999997E-2</v>
      </c>
      <c r="Z3520">
        <v>-1.6086830000000001E-3</v>
      </c>
      <c r="AA3520">
        <v>0.99779879999999999</v>
      </c>
      <c r="AB3520">
        <v>32</v>
      </c>
      <c r="AC3520">
        <v>27.668499999999899</v>
      </c>
      <c r="AD3520">
        <v>-1.120929906822</v>
      </c>
      <c r="AE3520">
        <v>-1.9428000000000001</v>
      </c>
      <c r="AF3520">
        <v>1.8527930926367699</v>
      </c>
      <c r="AG3520">
        <v>-1.120929906822</v>
      </c>
      <c r="AH3520">
        <v>27.6293448559524</v>
      </c>
      <c r="AI3520">
        <v>92.318030587625003</v>
      </c>
      <c r="AJ3520">
        <v>86.163552660965493</v>
      </c>
      <c r="AK3520">
        <v>27.7140762658486</v>
      </c>
      <c r="AL3520">
        <v>79.593967651195399</v>
      </c>
      <c r="AM3520">
        <v>88.838572205423304</v>
      </c>
      <c r="AN3520">
        <v>1.0000000059176399</v>
      </c>
    </row>
    <row r="3521" spans="1:40" x14ac:dyDescent="0.25">
      <c r="A3521" t="str">
        <f>"20190303162850159"</f>
        <v>20190303162850159</v>
      </c>
      <c r="B3521" t="str">
        <f>"1551601730155033"</f>
        <v>1551601730155033</v>
      </c>
      <c r="C3521" t="s">
        <v>40</v>
      </c>
      <c r="D3521">
        <v>5.2426919999999999</v>
      </c>
      <c r="E3521">
        <v>0.52026609999999995</v>
      </c>
      <c r="F3521" t="s">
        <v>48</v>
      </c>
      <c r="G3521">
        <v>-223.3477</v>
      </c>
      <c r="H3521" s="1">
        <v>3.6317630000000003E-7</v>
      </c>
      <c r="I3521">
        <v>211.90520000000001</v>
      </c>
      <c r="J3521">
        <v>-254.005</v>
      </c>
      <c r="K3521">
        <v>1.1209420000000001</v>
      </c>
      <c r="L3521">
        <v>214.1996</v>
      </c>
      <c r="M3521">
        <v>0.99993279999999995</v>
      </c>
      <c r="N3521">
        <v>-1.116781E-2</v>
      </c>
      <c r="O3521">
        <v>-3.1428979999999999E-3</v>
      </c>
      <c r="P3521">
        <v>0.98499859999999995</v>
      </c>
      <c r="Q3521">
        <v>0.1707909</v>
      </c>
      <c r="R3521">
        <v>-2.466925E-2</v>
      </c>
      <c r="S3521">
        <v>3.058716</v>
      </c>
      <c r="T3521">
        <v>-0.1107846</v>
      </c>
      <c r="U3521">
        <v>-0.22685240000000001</v>
      </c>
      <c r="V3521">
        <v>2.1579999999999998E-2</v>
      </c>
      <c r="W3521">
        <v>0.18178050000000001</v>
      </c>
      <c r="X3521">
        <v>0.98310229999999998</v>
      </c>
      <c r="Y3521">
        <v>7.0768440000000002E-2</v>
      </c>
      <c r="Z3521">
        <v>-1.5967129999999901E-3</v>
      </c>
      <c r="AA3521">
        <v>0.99749149999999998</v>
      </c>
      <c r="AB3521">
        <v>32</v>
      </c>
      <c r="AC3521">
        <v>30.6572999999999</v>
      </c>
      <c r="AD3521">
        <v>-1.1209416368237</v>
      </c>
      <c r="AE3521">
        <v>-2.2943999999999898</v>
      </c>
      <c r="AF3521">
        <v>2.1951116062788598</v>
      </c>
      <c r="AG3521">
        <v>-1.1209416368237</v>
      </c>
      <c r="AH3521">
        <v>30.623647430029699</v>
      </c>
      <c r="AI3521">
        <v>92.090946877905395</v>
      </c>
      <c r="AJ3521">
        <v>85.900034875499799</v>
      </c>
      <c r="AK3521">
        <v>30.722675779234301</v>
      </c>
      <c r="AL3521">
        <v>79.526513788928995</v>
      </c>
      <c r="AM3521">
        <v>88.742506869452598</v>
      </c>
      <c r="AN3521">
        <v>0.99999998942277002</v>
      </c>
    </row>
    <row r="3522" spans="1:40" x14ac:dyDescent="0.25">
      <c r="A3522" t="str">
        <f>"20190303162850173"</f>
        <v>20190303162850173</v>
      </c>
      <c r="B3522" t="str">
        <f>"1551601730164792"</f>
        <v>1551601730164792</v>
      </c>
      <c r="C3522" t="s">
        <v>40</v>
      </c>
      <c r="D3522">
        <v>5.2103890000000002</v>
      </c>
      <c r="E3522">
        <v>0.51987759999999905</v>
      </c>
      <c r="F3522" t="s">
        <v>48</v>
      </c>
      <c r="G3522">
        <v>-221.6798</v>
      </c>
      <c r="H3522" s="1">
        <v>-5.2074859999999995E-7</v>
      </c>
      <c r="I3522">
        <v>211.82259999999999</v>
      </c>
      <c r="J3522">
        <v>-253.81299999999999</v>
      </c>
      <c r="K3522">
        <v>1.1209559999999901</v>
      </c>
      <c r="L3522">
        <v>214.19909999999999</v>
      </c>
      <c r="M3522">
        <v>0.99993270000000001</v>
      </c>
      <c r="N3522">
        <v>-1.118063E-2</v>
      </c>
      <c r="O3522">
        <v>-3.14285E-3</v>
      </c>
      <c r="P3522">
        <v>0.98465570000000002</v>
      </c>
      <c r="Q3522">
        <v>0.172517899999999</v>
      </c>
      <c r="R3522">
        <v>-2.6287230000000002E-2</v>
      </c>
      <c r="S3522">
        <v>3.058411</v>
      </c>
      <c r="T3522">
        <v>-0.10605680000000001</v>
      </c>
      <c r="U3522">
        <v>-0.2248993</v>
      </c>
      <c r="V3522">
        <v>2.3199210000000001E-2</v>
      </c>
      <c r="W3522">
        <v>0.1835165</v>
      </c>
      <c r="X3522">
        <v>0.98274280000000003</v>
      </c>
      <c r="Y3522">
        <v>7.0147070000000006E-2</v>
      </c>
      <c r="Z3522">
        <v>-1.53337E-3</v>
      </c>
      <c r="AA3522">
        <v>0.99753550000000002</v>
      </c>
      <c r="AB3522">
        <v>32</v>
      </c>
      <c r="AC3522">
        <v>32.133199999999903</v>
      </c>
      <c r="AD3522">
        <v>-1.1209565207486001</v>
      </c>
      <c r="AE3522">
        <v>-2.3764999999999898</v>
      </c>
      <c r="AF3522">
        <v>2.2727413890844601</v>
      </c>
      <c r="AG3522">
        <v>-1.1209565207486001</v>
      </c>
      <c r="AH3522">
        <v>32.101657420403903</v>
      </c>
      <c r="AI3522">
        <v>91.994907171899797</v>
      </c>
      <c r="AJ3522">
        <v>85.950315865284594</v>
      </c>
      <c r="AK3522">
        <v>32.201526455744897</v>
      </c>
      <c r="AL3522">
        <v>79.425346177810297</v>
      </c>
      <c r="AM3522">
        <v>88.647692975094003</v>
      </c>
      <c r="AN3522">
        <v>0.99999996003435598</v>
      </c>
    </row>
    <row r="3523" spans="1:40" x14ac:dyDescent="0.25">
      <c r="A3523" t="str">
        <f>"20190303162850195"</f>
        <v>20190303162850195</v>
      </c>
      <c r="B3523" t="str">
        <f>"1551601730185289"</f>
        <v>1551601730185289</v>
      </c>
      <c r="C3523" t="s">
        <v>40</v>
      </c>
      <c r="D3523">
        <v>5.3779919999999999</v>
      </c>
      <c r="E3523">
        <v>0.50920270000000001</v>
      </c>
      <c r="F3523" t="s">
        <v>48</v>
      </c>
      <c r="G3523">
        <v>-220.15600000000001</v>
      </c>
      <c r="H3523" s="1">
        <v>-1.326333E-6</v>
      </c>
      <c r="I3523">
        <v>211.70089999999999</v>
      </c>
      <c r="J3523">
        <v>-253.50489999999999</v>
      </c>
      <c r="K3523">
        <v>1.120976</v>
      </c>
      <c r="L3523">
        <v>214.19810000000001</v>
      </c>
      <c r="M3523">
        <v>0.99993240000000005</v>
      </c>
      <c r="N3523">
        <v>-1.119968E-2</v>
      </c>
      <c r="O3523">
        <v>-3.1424809999999999E-3</v>
      </c>
      <c r="P3523">
        <v>0.98430119999999999</v>
      </c>
      <c r="Q3523">
        <v>0.1739291</v>
      </c>
      <c r="R3523">
        <v>-3.0000209999999999E-2</v>
      </c>
      <c r="S3523">
        <v>3.0585330000000002</v>
      </c>
      <c r="T3523">
        <v>-0.10186530000000001</v>
      </c>
      <c r="U3523">
        <v>-0.22702030000000001</v>
      </c>
      <c r="V3523">
        <v>2.691371E-2</v>
      </c>
      <c r="W3523">
        <v>0.18494169999999999</v>
      </c>
      <c r="X3523">
        <v>0.9823809</v>
      </c>
      <c r="Y3523">
        <v>7.0835670000000003E-2</v>
      </c>
      <c r="Z3523">
        <v>-1.5056850000000001E-3</v>
      </c>
      <c r="AA3523">
        <v>0.99748689999999995</v>
      </c>
      <c r="AB3523">
        <v>32</v>
      </c>
      <c r="AC3523">
        <v>33.3489</v>
      </c>
      <c r="AD3523">
        <v>-1.1209773263330001</v>
      </c>
      <c r="AE3523">
        <v>-2.4972000000000198</v>
      </c>
      <c r="AF3523">
        <v>2.3896978103902402</v>
      </c>
      <c r="AG3523">
        <v>-1.1209773263330001</v>
      </c>
      <c r="AH3523">
        <v>33.319146633400997</v>
      </c>
      <c r="AI3523">
        <v>91.921978456050496</v>
      </c>
      <c r="AJ3523">
        <v>85.897687528093101</v>
      </c>
      <c r="AK3523">
        <v>33.4235362906023</v>
      </c>
      <c r="AL3523">
        <v>79.342266668693995</v>
      </c>
      <c r="AM3523">
        <v>88.4306938707266</v>
      </c>
      <c r="AN3523">
        <v>1.00000000643483</v>
      </c>
    </row>
    <row r="3524" spans="1:40" x14ac:dyDescent="0.25">
      <c r="A3524" t="str">
        <f>"20190303162850217"</f>
        <v>20190303162850217</v>
      </c>
      <c r="B3524" t="str">
        <f>"1551601730204808"</f>
        <v>1551601730204808</v>
      </c>
      <c r="C3524" t="s">
        <v>40</v>
      </c>
      <c r="D3524">
        <v>5.2761110000000002</v>
      </c>
      <c r="E3524">
        <v>0.50918359999999996</v>
      </c>
      <c r="F3524" t="s">
        <v>47</v>
      </c>
      <c r="G3524">
        <v>-199.13339999999999</v>
      </c>
      <c r="H3524" s="1">
        <v>2.6188490000000001E-6</v>
      </c>
      <c r="I3524">
        <v>211.47800000000001</v>
      </c>
      <c r="J3524">
        <v>-253.1885</v>
      </c>
      <c r="K3524">
        <v>1.1209769999999999</v>
      </c>
      <c r="L3524">
        <v>214.19710000000001</v>
      </c>
      <c r="M3524">
        <v>0.99993220000000005</v>
      </c>
      <c r="N3524">
        <v>-1.121719E-2</v>
      </c>
      <c r="O3524">
        <v>-3.1419830000000001E-3</v>
      </c>
      <c r="P3524">
        <v>0.98434440000000001</v>
      </c>
      <c r="Q3524">
        <v>0.17347799999999999</v>
      </c>
      <c r="R3524">
        <v>-3.1171299999999999E-2</v>
      </c>
      <c r="S3524">
        <v>3.0543369999999999</v>
      </c>
      <c r="T3524">
        <v>-6.2970999999999999E-2</v>
      </c>
      <c r="U3524">
        <v>-0.15280150000000001</v>
      </c>
      <c r="V3524">
        <v>2.8085189999999999E-2</v>
      </c>
      <c r="W3524">
        <v>0.1845087</v>
      </c>
      <c r="X3524">
        <v>0.98242949999999996</v>
      </c>
      <c r="Y3524">
        <v>4.681155E-2</v>
      </c>
      <c r="Z3524">
        <v>-7.1545769999999999E-4</v>
      </c>
      <c r="AA3524">
        <v>0.99890350000000006</v>
      </c>
      <c r="AB3524">
        <v>32</v>
      </c>
      <c r="AC3524">
        <v>54.055100000000003</v>
      </c>
      <c r="AD3524">
        <v>-1.120974381151</v>
      </c>
      <c r="AE3524">
        <v>-2.7191000000000201</v>
      </c>
      <c r="AF3524">
        <v>2.54814263341853</v>
      </c>
      <c r="AG3524">
        <v>-1.120974381151</v>
      </c>
      <c r="AH3524">
        <v>54.040195771064901</v>
      </c>
      <c r="AI3524">
        <v>91.187017168983203</v>
      </c>
      <c r="AJ3524">
        <v>87.300347312509899</v>
      </c>
      <c r="AK3524">
        <v>54.111850582090298</v>
      </c>
      <c r="AL3524">
        <v>79.367509896363103</v>
      </c>
      <c r="AM3524">
        <v>88.362503661708601</v>
      </c>
      <c r="AN3524">
        <v>0.99999998037163795</v>
      </c>
    </row>
    <row r="3525" spans="1:40" x14ac:dyDescent="0.25">
      <c r="A3525" t="str">
        <f>"20190303162850239"</f>
        <v>20190303162850239</v>
      </c>
      <c r="B3525" t="str">
        <f>"1551601730225305"</f>
        <v>1551601730225305</v>
      </c>
      <c r="C3525" t="s">
        <v>40</v>
      </c>
      <c r="D3525">
        <v>5.2933960000000004</v>
      </c>
      <c r="E3525">
        <v>0.5080152</v>
      </c>
      <c r="F3525" t="s">
        <v>47</v>
      </c>
      <c r="G3525">
        <v>-205.3827</v>
      </c>
      <c r="H3525" s="1">
        <v>4.8523080000000003E-6</v>
      </c>
      <c r="I3525">
        <v>211.77600000000001</v>
      </c>
      <c r="J3525">
        <v>-252.87139999999999</v>
      </c>
      <c r="K3525">
        <v>1.120973</v>
      </c>
      <c r="L3525">
        <v>214.1961</v>
      </c>
      <c r="M3525">
        <v>0.99993200000000004</v>
      </c>
      <c r="N3525">
        <v>-1.123271E-2</v>
      </c>
      <c r="O3525">
        <v>-3.1418309999999999E-3</v>
      </c>
      <c r="P3525">
        <v>0.98445530000000003</v>
      </c>
      <c r="Q3525">
        <v>0.1727099</v>
      </c>
      <c r="R3525">
        <v>-3.1922859999999997E-2</v>
      </c>
      <c r="S3525">
        <v>3.0554199999999998</v>
      </c>
      <c r="T3525">
        <v>-7.1644899999999997E-2</v>
      </c>
      <c r="U3525">
        <v>-0.1547394</v>
      </c>
      <c r="V3525">
        <v>2.8836500000000001E-2</v>
      </c>
      <c r="W3525">
        <v>0.18375739999999999</v>
      </c>
      <c r="X3525">
        <v>0.98254850000000005</v>
      </c>
      <c r="Y3525">
        <v>4.742213E-2</v>
      </c>
      <c r="Z3525">
        <v>-7.837842E-4</v>
      </c>
      <c r="AA3525">
        <v>0.99887459999999995</v>
      </c>
      <c r="AB3525">
        <v>32</v>
      </c>
      <c r="AC3525">
        <v>47.488700000000001</v>
      </c>
      <c r="AD3525">
        <v>-1.1209681476919999</v>
      </c>
      <c r="AE3525">
        <v>-2.4201000000000099</v>
      </c>
      <c r="AF3525">
        <v>2.26961583505833</v>
      </c>
      <c r="AG3525">
        <v>-1.1209681476919999</v>
      </c>
      <c r="AH3525">
        <v>47.469688327917702</v>
      </c>
      <c r="AI3525">
        <v>91.351211006315097</v>
      </c>
      <c r="AJ3525">
        <v>87.262664667135596</v>
      </c>
      <c r="AK3525">
        <v>47.537133228419798</v>
      </c>
      <c r="AL3525">
        <v>79.411304627646501</v>
      </c>
      <c r="AM3525">
        <v>88.318927140210505</v>
      </c>
      <c r="AN3525">
        <v>0.99999994031962802</v>
      </c>
    </row>
    <row r="3526" spans="1:40" x14ac:dyDescent="0.25">
      <c r="A3526" t="str">
        <f>"20190303162850262"</f>
        <v>20190303162850262</v>
      </c>
      <c r="B3526" t="str">
        <f>"1551601730255561"</f>
        <v>1551601730255561</v>
      </c>
      <c r="C3526" t="s">
        <v>40</v>
      </c>
      <c r="D3526">
        <v>5.3077220000000001</v>
      </c>
      <c r="E3526">
        <v>0.5076098</v>
      </c>
      <c r="F3526" t="s">
        <v>47</v>
      </c>
      <c r="G3526">
        <v>-207.69139999999999</v>
      </c>
      <c r="H3526" s="1">
        <v>5.8557690000000001E-6</v>
      </c>
      <c r="I3526">
        <v>212.0085</v>
      </c>
      <c r="J3526">
        <v>-252.5428</v>
      </c>
      <c r="K3526">
        <v>1.1209559999999901</v>
      </c>
      <c r="L3526">
        <v>214.1951</v>
      </c>
      <c r="M3526">
        <v>0.99993189999999998</v>
      </c>
      <c r="N3526">
        <v>-1.124701E-2</v>
      </c>
      <c r="O3526">
        <v>-3.141554E-3</v>
      </c>
      <c r="P3526">
        <v>0.98480279999999998</v>
      </c>
      <c r="Q3526">
        <v>0.170851799999999</v>
      </c>
      <c r="R3526">
        <v>-3.1196910000000001E-2</v>
      </c>
      <c r="S3526">
        <v>3.0558779999999999</v>
      </c>
      <c r="T3526">
        <v>-7.5819730000000002E-2</v>
      </c>
      <c r="U3526">
        <v>-0.1479645</v>
      </c>
      <c r="V3526">
        <v>2.8109640000000002E-2</v>
      </c>
      <c r="W3526">
        <v>0.18191740000000001</v>
      </c>
      <c r="X3526">
        <v>0.98291189999999995</v>
      </c>
      <c r="Y3526">
        <v>4.5204769999999998E-2</v>
      </c>
      <c r="Z3526">
        <v>-7.722238E-4</v>
      </c>
      <c r="AA3526">
        <v>0.99897740000000002</v>
      </c>
      <c r="AB3526">
        <v>32</v>
      </c>
      <c r="AC3526">
        <v>44.851399999999998</v>
      </c>
      <c r="AD3526">
        <v>-1.1209501442309999</v>
      </c>
      <c r="AE3526">
        <v>-2.1865999999999901</v>
      </c>
      <c r="AF3526">
        <v>2.04440325158376</v>
      </c>
      <c r="AG3526">
        <v>-1.1209501442309999</v>
      </c>
      <c r="AH3526">
        <v>44.830112708595102</v>
      </c>
      <c r="AI3526">
        <v>91.430861757743997</v>
      </c>
      <c r="AJ3526">
        <v>87.388929649439604</v>
      </c>
      <c r="AK3526">
        <v>44.890701925301599</v>
      </c>
      <c r="AL3526">
        <v>79.518536553345797</v>
      </c>
      <c r="AM3526">
        <v>88.361882813054507</v>
      </c>
      <c r="AN3526">
        <v>0.999999947722648</v>
      </c>
    </row>
    <row r="3527" spans="1:40" x14ac:dyDescent="0.25">
      <c r="A3527" t="str">
        <f>"20190303162850284"</f>
        <v>20190303162850284</v>
      </c>
      <c r="B3527" t="str">
        <f>"1551601730275081"</f>
        <v>1551601730275081</v>
      </c>
      <c r="C3527" t="s">
        <v>40</v>
      </c>
      <c r="D3527">
        <v>5.4948350000000001</v>
      </c>
      <c r="E3527">
        <v>0.50714139999999996</v>
      </c>
      <c r="F3527" t="s">
        <v>48</v>
      </c>
      <c r="G3527">
        <v>-214.2184</v>
      </c>
      <c r="H3527" s="1">
        <v>8.0478349999999997E-7</v>
      </c>
      <c r="I3527">
        <v>212.40260000000001</v>
      </c>
      <c r="J3527">
        <v>-252.23750000000001</v>
      </c>
      <c r="K3527">
        <v>1.1209359999999999</v>
      </c>
      <c r="L3527">
        <v>214.19409999999999</v>
      </c>
      <c r="M3527">
        <v>0.99993180000000004</v>
      </c>
      <c r="N3527">
        <v>-1.125366E-2</v>
      </c>
      <c r="O3527">
        <v>-3.1409950000000002E-3</v>
      </c>
      <c r="P3527">
        <v>0.98495109999999997</v>
      </c>
      <c r="Q3527">
        <v>0.1700451</v>
      </c>
      <c r="R3527">
        <v>-3.0924E-2</v>
      </c>
      <c r="S3527">
        <v>3.0572970000000002</v>
      </c>
      <c r="T3527">
        <v>-8.9423059999999999E-2</v>
      </c>
      <c r="U3527">
        <v>-0.14299010000000001</v>
      </c>
      <c r="V3527">
        <v>2.78366E-2</v>
      </c>
      <c r="W3527">
        <v>0.1811188</v>
      </c>
      <c r="X3527">
        <v>0.98306720000000003</v>
      </c>
      <c r="Y3527">
        <v>4.355581E-2</v>
      </c>
      <c r="Z3527">
        <v>-8.253205E-4</v>
      </c>
      <c r="AA3527">
        <v>0.99905069999999996</v>
      </c>
      <c r="AB3527">
        <v>32</v>
      </c>
      <c r="AC3527">
        <v>38.019100000000002</v>
      </c>
      <c r="AD3527">
        <v>-1.1209351952165001</v>
      </c>
      <c r="AE3527">
        <v>-1.7914999999999801</v>
      </c>
      <c r="AF3527">
        <v>1.6706167942955501</v>
      </c>
      <c r="AG3527">
        <v>-1.1209351952165001</v>
      </c>
      <c r="AH3527">
        <v>37.9915878958561</v>
      </c>
      <c r="AI3527">
        <v>91.688381083129698</v>
      </c>
      <c r="AJ3527">
        <v>87.482135591738796</v>
      </c>
      <c r="AK3527">
        <v>38.044818399275101</v>
      </c>
      <c r="AL3527">
        <v>79.565066565789806</v>
      </c>
      <c r="AM3527">
        <v>88.378042078751093</v>
      </c>
      <c r="AN3527">
        <v>1.00000000786442</v>
      </c>
    </row>
    <row r="3528" spans="1:40" x14ac:dyDescent="0.25">
      <c r="A3528" t="str">
        <f>"20190303162850306"</f>
        <v>20190303162850306</v>
      </c>
      <c r="B3528" t="str">
        <f>"1551601730295577"</f>
        <v>1551601730295577</v>
      </c>
      <c r="C3528" t="s">
        <v>40</v>
      </c>
      <c r="D3528">
        <v>5.3233790000000001</v>
      </c>
      <c r="E3528">
        <v>0.50674470000000005</v>
      </c>
      <c r="F3528" t="s">
        <v>48</v>
      </c>
      <c r="G3528">
        <v>-215.26830000000001</v>
      </c>
      <c r="H3528" s="1">
        <v>1.358363E-6</v>
      </c>
      <c r="I3528">
        <v>212.5197</v>
      </c>
      <c r="J3528">
        <v>-251.92140000000001</v>
      </c>
      <c r="K3528">
        <v>1.1209279999999999</v>
      </c>
      <c r="L3528">
        <v>214.19309999999999</v>
      </c>
      <c r="M3528">
        <v>0.99993180000000004</v>
      </c>
      <c r="N3528">
        <v>-1.12554E-2</v>
      </c>
      <c r="O3528">
        <v>-3.1408849999999999E-3</v>
      </c>
      <c r="P3528">
        <v>0.98514849999999998</v>
      </c>
      <c r="Q3528">
        <v>0.16890160000000001</v>
      </c>
      <c r="R3528">
        <v>-3.0902809999999999E-2</v>
      </c>
      <c r="S3528">
        <v>3.05748</v>
      </c>
      <c r="T3528">
        <v>-9.2705010000000004E-2</v>
      </c>
      <c r="U3528">
        <v>-0.1384735</v>
      </c>
      <c r="V3528">
        <v>2.7815019999999999E-2</v>
      </c>
      <c r="W3528">
        <v>0.17997920000000001</v>
      </c>
      <c r="X3528">
        <v>0.98327710000000002</v>
      </c>
      <c r="Y3528">
        <v>4.2079709999999999E-2</v>
      </c>
      <c r="Z3528">
        <v>-8.1465499999999996E-4</v>
      </c>
      <c r="AA3528">
        <v>0.9991139</v>
      </c>
      <c r="AB3528">
        <v>32</v>
      </c>
      <c r="AC3528">
        <v>36.653100000000002</v>
      </c>
      <c r="AD3528">
        <v>-1.1209266416370001</v>
      </c>
      <c r="AE3528">
        <v>-1.67339999999998</v>
      </c>
      <c r="AF3528">
        <v>1.5568082948602</v>
      </c>
      <c r="AG3528">
        <v>-1.1209266416370001</v>
      </c>
      <c r="AH3528">
        <v>36.623993716236299</v>
      </c>
      <c r="AI3528">
        <v>91.751486525565397</v>
      </c>
      <c r="AJ3528">
        <v>87.565943277613897</v>
      </c>
      <c r="AK3528">
        <v>36.674201345493401</v>
      </c>
      <c r="AL3528">
        <v>79.6314519591606</v>
      </c>
      <c r="AM3528">
        <v>88.379644598220594</v>
      </c>
      <c r="AN3528">
        <v>1.0000000215773199</v>
      </c>
    </row>
    <row r="3529" spans="1:40" x14ac:dyDescent="0.25">
      <c r="A3529" t="str">
        <f>"20190303162850329"</f>
        <v>20190303162850329</v>
      </c>
      <c r="B3529" t="str">
        <f>"1551601730315098"</f>
        <v>1551601730315098</v>
      </c>
      <c r="C3529" t="s">
        <v>40</v>
      </c>
      <c r="D3529">
        <v>5.4972059999999896</v>
      </c>
      <c r="E3529">
        <v>0.50666829999999996</v>
      </c>
      <c r="F3529" t="s">
        <v>48</v>
      </c>
      <c r="G3529">
        <v>-217.2167</v>
      </c>
      <c r="H3529" s="1">
        <v>2.3891929999999999E-6</v>
      </c>
      <c r="I3529">
        <v>212.65790000000001</v>
      </c>
      <c r="J3529">
        <v>-251.60210000000001</v>
      </c>
      <c r="K3529">
        <v>1.1209169999999999</v>
      </c>
      <c r="L3529">
        <v>214.19210000000001</v>
      </c>
      <c r="M3529">
        <v>0.99993169999999998</v>
      </c>
      <c r="N3529">
        <v>-1.12554E-2</v>
      </c>
      <c r="O3529">
        <v>-3.1405270000000002E-3</v>
      </c>
      <c r="P3529">
        <v>0.98540939999999999</v>
      </c>
      <c r="Q3529">
        <v>0.16732469999999999</v>
      </c>
      <c r="R3529">
        <v>-3.115447E-2</v>
      </c>
      <c r="S3529">
        <v>3.057922</v>
      </c>
      <c r="T3529">
        <v>-9.8767759999999996E-2</v>
      </c>
      <c r="U3529">
        <v>-0.13526920000000001</v>
      </c>
      <c r="V3529">
        <v>2.8066219999999999E-2</v>
      </c>
      <c r="W3529">
        <v>0.17840520000000001</v>
      </c>
      <c r="X3529">
        <v>0.98355669999999995</v>
      </c>
      <c r="Y3529">
        <v>4.1026439999999997E-2</v>
      </c>
      <c r="Z3529">
        <v>-8.2711410000000003E-4</v>
      </c>
      <c r="AA3529">
        <v>0.99915770000000004</v>
      </c>
      <c r="AB3529">
        <v>32</v>
      </c>
      <c r="AC3529">
        <v>34.385399999999997</v>
      </c>
      <c r="AD3529">
        <v>-1.1209146108069901</v>
      </c>
      <c r="AE3529">
        <v>-1.53419999999999</v>
      </c>
      <c r="AF3529">
        <v>1.4246863544097199</v>
      </c>
      <c r="AG3529">
        <v>-1.1209146108069901</v>
      </c>
      <c r="AH3529">
        <v>34.353615012371399</v>
      </c>
      <c r="AI3529">
        <v>91.867221285651993</v>
      </c>
      <c r="AJ3529">
        <v>87.625234874377597</v>
      </c>
      <c r="AK3529">
        <v>34.401410511654802</v>
      </c>
      <c r="AL3529">
        <v>79.723118552911203</v>
      </c>
      <c r="AM3529">
        <v>88.365483458093806</v>
      </c>
      <c r="AN3529">
        <v>0.99999995510350803</v>
      </c>
    </row>
    <row r="3530" spans="1:40" x14ac:dyDescent="0.25">
      <c r="A3530" t="str">
        <f>"20190303162850352"</f>
        <v>20190303162850352</v>
      </c>
      <c r="B3530" t="str">
        <f>"1551601730345353"</f>
        <v>1551601730345353</v>
      </c>
      <c r="C3530" t="s">
        <v>40</v>
      </c>
      <c r="D3530">
        <v>5.3576509999999997</v>
      </c>
      <c r="E3530">
        <v>0.50662980000000002</v>
      </c>
      <c r="F3530" t="s">
        <v>48</v>
      </c>
      <c r="G3530">
        <v>-219.10910000000001</v>
      </c>
      <c r="H3530" s="1">
        <v>3.3921059999999998E-6</v>
      </c>
      <c r="I3530">
        <v>212.75200000000001</v>
      </c>
      <c r="J3530">
        <v>-251.27250000000001</v>
      </c>
      <c r="K3530">
        <v>1.120908</v>
      </c>
      <c r="L3530">
        <v>214.191</v>
      </c>
      <c r="M3530">
        <v>0.99993180000000004</v>
      </c>
      <c r="N3530">
        <v>-1.1254750000000001E-2</v>
      </c>
      <c r="O3530">
        <v>-3.1404039999999999E-3</v>
      </c>
      <c r="P3530">
        <v>0.9857283</v>
      </c>
      <c r="Q3530">
        <v>0.1654098</v>
      </c>
      <c r="R3530">
        <v>-3.129125E-2</v>
      </c>
      <c r="S3530">
        <v>3.0580440000000002</v>
      </c>
      <c r="T3530">
        <v>-0.1054935</v>
      </c>
      <c r="U3530">
        <v>-0.1355286</v>
      </c>
      <c r="V3530">
        <v>2.8202029999999999E-2</v>
      </c>
      <c r="W3530">
        <v>0.1764935</v>
      </c>
      <c r="X3530">
        <v>0.98389769999999999</v>
      </c>
      <c r="Y3530">
        <v>4.1105969999999999E-2</v>
      </c>
      <c r="Z3530">
        <v>-8.6706439999999999E-4</v>
      </c>
      <c r="AA3530">
        <v>0.9991544</v>
      </c>
      <c r="AB3530">
        <v>32</v>
      </c>
      <c r="AC3530">
        <v>32.163400000000003</v>
      </c>
      <c r="AD3530">
        <v>-1.1209046078939999</v>
      </c>
      <c r="AE3530">
        <v>-1.4389999999999601</v>
      </c>
      <c r="AF3530">
        <v>1.33636061540644</v>
      </c>
      <c r="AG3530">
        <v>-1.1209046078939999</v>
      </c>
      <c r="AH3530">
        <v>32.128816785359703</v>
      </c>
      <c r="AI3530">
        <v>91.996390062649894</v>
      </c>
      <c r="AJ3530">
        <v>87.618221855117199</v>
      </c>
      <c r="AK3530">
        <v>32.176127095435497</v>
      </c>
      <c r="AL3530">
        <v>79.834417666924097</v>
      </c>
      <c r="AM3530">
        <v>88.358147416295907</v>
      </c>
      <c r="AN3530">
        <v>0.99999999705182996</v>
      </c>
    </row>
    <row r="3531" spans="1:40" x14ac:dyDescent="0.25">
      <c r="A3531" t="str">
        <f>"20190303162850373"</f>
        <v>20190303162850373</v>
      </c>
      <c r="B3531" t="str">
        <f>"1551601730364873"</f>
        <v>1551601730364873</v>
      </c>
      <c r="C3531" t="s">
        <v>40</v>
      </c>
      <c r="D3531">
        <v>5.5042580000000001</v>
      </c>
      <c r="E3531">
        <v>0.50660349999999998</v>
      </c>
      <c r="F3531" t="s">
        <v>48</v>
      </c>
      <c r="G3531">
        <v>-220.9872</v>
      </c>
      <c r="H3531" s="1">
        <v>-9.3399599999999997E-7</v>
      </c>
      <c r="I3531">
        <v>212.84399999999999</v>
      </c>
      <c r="J3531">
        <v>-250.96770000000001</v>
      </c>
      <c r="K3531">
        <v>1.1209070000000001</v>
      </c>
      <c r="L3531">
        <v>214.1901</v>
      </c>
      <c r="M3531">
        <v>0.99993169999999998</v>
      </c>
      <c r="N3531">
        <v>-1.1253829999999999E-2</v>
      </c>
      <c r="O3531">
        <v>-3.1399219999999999E-3</v>
      </c>
      <c r="P3531">
        <v>0.98568330000000004</v>
      </c>
      <c r="Q3531">
        <v>0.16548550000000001</v>
      </c>
      <c r="R3531">
        <v>-3.2295499999999998E-2</v>
      </c>
      <c r="S3531">
        <v>3.05809</v>
      </c>
      <c r="T3531">
        <v>-0.11318499999999999</v>
      </c>
      <c r="U3531">
        <v>-0.13601679999999999</v>
      </c>
      <c r="V3531">
        <v>2.9206889999999999E-2</v>
      </c>
      <c r="W3531">
        <v>0.17656759999999999</v>
      </c>
      <c r="X3531">
        <v>0.98385509999999998</v>
      </c>
      <c r="Y3531">
        <v>4.12608E-2</v>
      </c>
      <c r="Z3531">
        <v>-9.1452190000000004E-4</v>
      </c>
      <c r="AA3531">
        <v>0.99914800000000004</v>
      </c>
      <c r="AB3531">
        <v>32</v>
      </c>
      <c r="AC3531">
        <v>29.980499999999999</v>
      </c>
      <c r="AD3531">
        <v>-1.120907933996</v>
      </c>
      <c r="AE3531">
        <v>-1.3460999999999701</v>
      </c>
      <c r="AF3531">
        <v>1.2502068741046899</v>
      </c>
      <c r="AG3531">
        <v>-1.120907933996</v>
      </c>
      <c r="AH3531">
        <v>29.942807610761299</v>
      </c>
      <c r="AI3531">
        <v>92.141999832148898</v>
      </c>
      <c r="AJ3531">
        <v>87.609108802369505</v>
      </c>
      <c r="AK3531">
        <v>29.989851274049698</v>
      </c>
      <c r="AL3531">
        <v>79.830104429752495</v>
      </c>
      <c r="AM3531">
        <v>88.299607118443404</v>
      </c>
      <c r="AN3531">
        <v>1.0000000087946199</v>
      </c>
    </row>
    <row r="3532" spans="1:40" x14ac:dyDescent="0.25">
      <c r="A3532" t="str">
        <f>"20190303162850397"</f>
        <v>20190303162850397</v>
      </c>
      <c r="B3532" t="str">
        <f>"1551601730385369"</f>
        <v>1551601730385369</v>
      </c>
      <c r="C3532" t="s">
        <v>40</v>
      </c>
      <c r="D3532">
        <v>5.5015429999999999</v>
      </c>
      <c r="E3532">
        <v>0.50657339999999995</v>
      </c>
      <c r="F3532" t="s">
        <v>48</v>
      </c>
      <c r="G3532">
        <v>-220.88050000000001</v>
      </c>
      <c r="H3532" s="1">
        <v>-9.8959890000000005E-7</v>
      </c>
      <c r="I3532">
        <v>212.81739999999999</v>
      </c>
      <c r="J3532">
        <v>-250.6448</v>
      </c>
      <c r="K3532">
        <v>1.1209150000000001</v>
      </c>
      <c r="L3532">
        <v>214.1891</v>
      </c>
      <c r="M3532">
        <v>0.99993189999999998</v>
      </c>
      <c r="N3532">
        <v>-1.125262E-2</v>
      </c>
      <c r="O3532">
        <v>-3.139677E-3</v>
      </c>
      <c r="P3532">
        <v>0.98564030000000002</v>
      </c>
      <c r="Q3532">
        <v>0.16558970000000001</v>
      </c>
      <c r="R3532">
        <v>-3.3074539999999999E-2</v>
      </c>
      <c r="S3532">
        <v>3.0581360000000002</v>
      </c>
      <c r="T3532">
        <v>-0.1139319</v>
      </c>
      <c r="U3532">
        <v>-0.13952639999999999</v>
      </c>
      <c r="V3532">
        <v>2.9985979999999999E-2</v>
      </c>
      <c r="W3532">
        <v>0.17667040000000001</v>
      </c>
      <c r="X3532">
        <v>0.98381320000000005</v>
      </c>
      <c r="Y3532">
        <v>4.2403209999999997E-2</v>
      </c>
      <c r="Z3532">
        <v>-9.4644E-4</v>
      </c>
      <c r="AA3532">
        <v>0.99910010000000005</v>
      </c>
      <c r="AB3532">
        <v>32</v>
      </c>
      <c r="AC3532">
        <v>29.764299999999899</v>
      </c>
      <c r="AD3532">
        <v>-1.1209159895988901</v>
      </c>
      <c r="AE3532">
        <v>-1.3716999999999999</v>
      </c>
      <c r="AF3532">
        <v>1.2764305772076501</v>
      </c>
      <c r="AG3532">
        <v>-1.1209159895988901</v>
      </c>
      <c r="AH3532">
        <v>29.726389952161799</v>
      </c>
      <c r="AI3532">
        <v>92.157487010070994</v>
      </c>
      <c r="AJ3532">
        <v>87.541269327625002</v>
      </c>
      <c r="AK3532">
        <v>29.774888534840201</v>
      </c>
      <c r="AL3532">
        <v>79.824120268141002</v>
      </c>
      <c r="AM3532">
        <v>88.254202757800996</v>
      </c>
      <c r="AN3532">
        <v>1.00000000086348</v>
      </c>
    </row>
    <row r="3533" spans="1:40" x14ac:dyDescent="0.25">
      <c r="A3533" t="str">
        <f>"20190303162850418"</f>
        <v>20190303162850418</v>
      </c>
      <c r="B3533" t="str">
        <f>"1551601730404889"</f>
        <v>1551601730404889</v>
      </c>
      <c r="C3533" t="s">
        <v>40</v>
      </c>
      <c r="D3533">
        <v>5.3698180000000004</v>
      </c>
      <c r="E3533">
        <v>0.50640649999999998</v>
      </c>
      <c r="F3533" t="s">
        <v>48</v>
      </c>
      <c r="G3533">
        <v>-220.6885</v>
      </c>
      <c r="H3533" s="1">
        <v>-1.0906739999999999E-6</v>
      </c>
      <c r="I3533">
        <v>212.7927</v>
      </c>
      <c r="J3533">
        <v>-250.3246</v>
      </c>
      <c r="K3533">
        <v>1.1209260000000001</v>
      </c>
      <c r="L3533">
        <v>214.18809999999999</v>
      </c>
      <c r="M3533">
        <v>0.99993180000000004</v>
      </c>
      <c r="N3533">
        <v>-1.125108E-2</v>
      </c>
      <c r="O3533">
        <v>-3.1393100000000002E-3</v>
      </c>
      <c r="P3533">
        <v>0.98559790000000003</v>
      </c>
      <c r="Q3533">
        <v>0.1657575</v>
      </c>
      <c r="R3533">
        <v>-3.3489890000000001E-2</v>
      </c>
      <c r="S3533">
        <v>3.0581510000000001</v>
      </c>
      <c r="T3533">
        <v>-0.1144313</v>
      </c>
      <c r="U3533">
        <v>-0.1425476</v>
      </c>
      <c r="V3533">
        <v>3.0401930000000001E-2</v>
      </c>
      <c r="W3533">
        <v>0.1768361</v>
      </c>
      <c r="X3533">
        <v>0.9837707</v>
      </c>
      <c r="Y3533">
        <v>4.3387099999999998E-2</v>
      </c>
      <c r="Z3533">
        <v>-9.732756E-4</v>
      </c>
      <c r="AA3533">
        <v>0.99905790000000005</v>
      </c>
      <c r="AB3533">
        <v>32</v>
      </c>
      <c r="AC3533">
        <v>29.636099999999999</v>
      </c>
      <c r="AD3533">
        <v>-1.1209270906739901</v>
      </c>
      <c r="AE3533">
        <v>-1.39539999999999</v>
      </c>
      <c r="AF3533">
        <v>1.3004939836852401</v>
      </c>
      <c r="AG3533">
        <v>-1.1209270906739901</v>
      </c>
      <c r="AH3533">
        <v>29.598086002535702</v>
      </c>
      <c r="AI3533">
        <v>92.166758209752601</v>
      </c>
      <c r="AJ3533">
        <v>87.484130533181798</v>
      </c>
      <c r="AK3533">
        <v>29.647840682884699</v>
      </c>
      <c r="AL3533">
        <v>79.814474857432401</v>
      </c>
      <c r="AM3533">
        <v>88.2299248435002</v>
      </c>
      <c r="AN3533">
        <v>1.00000003689471</v>
      </c>
    </row>
    <row r="3534" spans="1:40" x14ac:dyDescent="0.25">
      <c r="A3534" t="str">
        <f>"20190303162850463"</f>
        <v>20190303162850463</v>
      </c>
      <c r="B3534" t="str">
        <f>"1551601730455642"</f>
        <v>1551601730455642</v>
      </c>
      <c r="C3534" t="s">
        <v>40</v>
      </c>
      <c r="D3534">
        <v>5.4234939999999998</v>
      </c>
      <c r="E3534">
        <v>0.5062953</v>
      </c>
      <c r="F3534" t="s">
        <v>48</v>
      </c>
      <c r="G3534">
        <v>-220.04079999999999</v>
      </c>
      <c r="H3534" s="1">
        <v>-1.434232E-6</v>
      </c>
      <c r="I3534">
        <v>212.7672</v>
      </c>
      <c r="J3534">
        <v>-249.68389999999999</v>
      </c>
      <c r="K3534">
        <v>1.120959</v>
      </c>
      <c r="L3534">
        <v>214.18610000000001</v>
      </c>
      <c r="M3534">
        <v>0.99993189999999998</v>
      </c>
      <c r="N3534">
        <v>-1.124812E-2</v>
      </c>
      <c r="O3534">
        <v>-3.138816E-3</v>
      </c>
      <c r="P3534">
        <v>0.98465740000000002</v>
      </c>
      <c r="Q3534">
        <v>0.1711955</v>
      </c>
      <c r="R3534">
        <v>-3.379646E-2</v>
      </c>
      <c r="S3534">
        <v>3.0579830000000001</v>
      </c>
      <c r="T3534">
        <v>-0.1131885</v>
      </c>
      <c r="U3534">
        <v>-0.14347839999999901</v>
      </c>
      <c r="V3534">
        <v>3.0712320000000001E-2</v>
      </c>
      <c r="W3534">
        <v>0.18226010000000001</v>
      </c>
      <c r="X3534">
        <v>0.98277060000000005</v>
      </c>
      <c r="Y3534">
        <v>4.369402E-2</v>
      </c>
      <c r="Z3534">
        <v>-9.7312210000000002E-4</v>
      </c>
      <c r="AA3534">
        <v>0.9990445</v>
      </c>
      <c r="AB3534">
        <v>32</v>
      </c>
      <c r="AC3534">
        <v>29.6431</v>
      </c>
      <c r="AD3534">
        <v>-1.1209604342319901</v>
      </c>
      <c r="AE3534">
        <v>-1.4189000000000001</v>
      </c>
      <c r="AF3534">
        <v>1.3239539800287501</v>
      </c>
      <c r="AG3534">
        <v>-1.1209604342319901</v>
      </c>
      <c r="AH3534">
        <v>29.605169550755701</v>
      </c>
      <c r="AI3534">
        <v>92.166229777662494</v>
      </c>
      <c r="AJ3534">
        <v>87.439417912406398</v>
      </c>
      <c r="AK3534">
        <v>29.655951688747699</v>
      </c>
      <c r="AL3534">
        <v>79.4985682299057</v>
      </c>
      <c r="AM3534">
        <v>88.210046364458194</v>
      </c>
      <c r="AN3534">
        <v>1.00000002143807</v>
      </c>
    </row>
    <row r="3535" spans="1:40" x14ac:dyDescent="0.25">
      <c r="A3535" t="str">
        <f>"20190303162850484"</f>
        <v>20190303162850484</v>
      </c>
      <c r="B3535" t="str">
        <f>"1551601730475161"</f>
        <v>1551601730475161</v>
      </c>
      <c r="C3535" t="s">
        <v>40</v>
      </c>
      <c r="D3535">
        <v>5.5611670000000002</v>
      </c>
      <c r="E3535">
        <v>0.50616850000000002</v>
      </c>
      <c r="F3535" t="s">
        <v>48</v>
      </c>
      <c r="G3535">
        <v>-214.21549999999999</v>
      </c>
      <c r="H3535" s="1">
        <v>7.9835719999999896E-7</v>
      </c>
      <c r="I3535">
        <v>212.51499999999999</v>
      </c>
      <c r="J3535">
        <v>-249.38239999999999</v>
      </c>
      <c r="K3535">
        <v>1.1209769999999999</v>
      </c>
      <c r="L3535">
        <v>214.18510000000001</v>
      </c>
      <c r="M3535">
        <v>0.99993189999999998</v>
      </c>
      <c r="N3535">
        <v>-1.12421E-2</v>
      </c>
      <c r="O3535">
        <v>-3.138306E-3</v>
      </c>
      <c r="P3535">
        <v>0.98411459999999995</v>
      </c>
      <c r="Q3535">
        <v>0.17426700000000001</v>
      </c>
      <c r="R3535">
        <v>-3.3906550000000001E-2</v>
      </c>
      <c r="S3535">
        <v>3.058624</v>
      </c>
      <c r="T3535">
        <v>-9.6666219999999997E-2</v>
      </c>
      <c r="U3535">
        <v>-0.14410400000000001</v>
      </c>
      <c r="V3535">
        <v>3.0824669999999998E-2</v>
      </c>
      <c r="W3535">
        <v>0.1853194</v>
      </c>
      <c r="X3535">
        <v>0.98219480000000003</v>
      </c>
      <c r="Y3535">
        <v>4.3897520000000002E-2</v>
      </c>
      <c r="Z3535">
        <v>-8.7625490000000001E-4</v>
      </c>
      <c r="AA3535">
        <v>0.99903569999999997</v>
      </c>
      <c r="AB3535">
        <v>32</v>
      </c>
      <c r="AC3535">
        <v>35.166899999999998</v>
      </c>
      <c r="AD3535">
        <v>-1.1209762016428</v>
      </c>
      <c r="AE3535">
        <v>-1.6701000000000099</v>
      </c>
      <c r="AF3535">
        <v>1.55814068758021</v>
      </c>
      <c r="AG3535">
        <v>-1.1209762016428</v>
      </c>
      <c r="AH3535">
        <v>35.136347683009802</v>
      </c>
      <c r="AI3535">
        <v>91.825529304006096</v>
      </c>
      <c r="AJ3535">
        <v>87.460850668750098</v>
      </c>
      <c r="AK3535">
        <v>35.188738518854201</v>
      </c>
      <c r="AL3535">
        <v>79.320245675594293</v>
      </c>
      <c r="AM3535">
        <v>88.202450260066399</v>
      </c>
      <c r="AN3535">
        <v>1.000000032722</v>
      </c>
    </row>
    <row r="3536" spans="1:40" x14ac:dyDescent="0.25">
      <c r="A3536" t="str">
        <f>"20190303162850507"</f>
        <v>20190303162850507</v>
      </c>
      <c r="B3536" t="str">
        <f>"1551601730495658"</f>
        <v>1551601730495658</v>
      </c>
      <c r="C3536" t="s">
        <v>40</v>
      </c>
      <c r="D3536">
        <v>5.5601500000000001</v>
      </c>
      <c r="E3536">
        <v>0.50594430000000001</v>
      </c>
      <c r="F3536" t="s">
        <v>48</v>
      </c>
      <c r="G3536">
        <v>-210.18459999999999</v>
      </c>
      <c r="H3536" s="1">
        <v>-1.339146E-6</v>
      </c>
      <c r="I3536">
        <v>212.3417</v>
      </c>
      <c r="J3536">
        <v>-249.0624</v>
      </c>
      <c r="K3536">
        <v>1.1209979999999999</v>
      </c>
      <c r="L3536">
        <v>214.1841</v>
      </c>
      <c r="M3536">
        <v>0.99993209999999999</v>
      </c>
      <c r="N3536">
        <v>-1.12324E-2</v>
      </c>
      <c r="O3536">
        <v>-3.1380129999999998E-3</v>
      </c>
      <c r="P3536">
        <v>0.98362059999999996</v>
      </c>
      <c r="Q3536">
        <v>0.1768894</v>
      </c>
      <c r="R3536">
        <v>-3.4654659999999997E-2</v>
      </c>
      <c r="S3536">
        <v>3.0589599999999999</v>
      </c>
      <c r="T3536">
        <v>-8.7479950000000001E-2</v>
      </c>
      <c r="U3536">
        <v>-0.14385990000000001</v>
      </c>
      <c r="V3536">
        <v>3.1574820000000003E-2</v>
      </c>
      <c r="W3536">
        <v>0.18792690000000001</v>
      </c>
      <c r="X3536">
        <v>0.98167539999999998</v>
      </c>
      <c r="Y3536">
        <v>4.3817679999999998E-2</v>
      </c>
      <c r="Z3536">
        <v>-8.1793039999999897E-4</v>
      </c>
      <c r="AA3536">
        <v>0.99903920000000002</v>
      </c>
      <c r="AB3536">
        <v>32</v>
      </c>
      <c r="AC3536">
        <v>38.877800000000001</v>
      </c>
      <c r="AD3536">
        <v>-1.120999339146</v>
      </c>
      <c r="AE3536">
        <v>-1.84239999999999</v>
      </c>
      <c r="AF3536">
        <v>1.71895827152672</v>
      </c>
      <c r="AG3536">
        <v>-1.120999339146</v>
      </c>
      <c r="AH3536">
        <v>38.851162116938198</v>
      </c>
      <c r="AI3536">
        <v>91.651121609263399</v>
      </c>
      <c r="AJ3536">
        <v>87.466617291772096</v>
      </c>
      <c r="AK3536">
        <v>38.905324248671</v>
      </c>
      <c r="AL3536">
        <v>79.168175328728793</v>
      </c>
      <c r="AM3536">
        <v>88.157761261710803</v>
      </c>
      <c r="AN3536">
        <v>1.0000000399833999</v>
      </c>
    </row>
    <row r="3537" spans="1:40" x14ac:dyDescent="0.25">
      <c r="A3537" t="str">
        <f>"20190303162850530"</f>
        <v>20190303162850530</v>
      </c>
      <c r="B3537" t="str">
        <f>"1551601730524937"</f>
        <v>1551601730524937</v>
      </c>
      <c r="C3537" t="s">
        <v>40</v>
      </c>
      <c r="D3537">
        <v>5.6902999999999997</v>
      </c>
      <c r="E3537">
        <v>0.50598129999999997</v>
      </c>
      <c r="F3537" t="s">
        <v>47</v>
      </c>
      <c r="G3537">
        <v>-205.99860000000001</v>
      </c>
      <c r="H3537" s="1">
        <v>5.0931639999999996E-6</v>
      </c>
      <c r="I3537">
        <v>212.1448</v>
      </c>
      <c r="J3537">
        <v>-248.73259999999999</v>
      </c>
      <c r="K3537">
        <v>1.1210169999999999</v>
      </c>
      <c r="L3537">
        <v>214.1831</v>
      </c>
      <c r="M3537">
        <v>0.99993220000000005</v>
      </c>
      <c r="N3537">
        <v>-1.122212E-2</v>
      </c>
      <c r="O3537">
        <v>-3.1377169999999999E-3</v>
      </c>
      <c r="P3537">
        <v>0.98334529999999998</v>
      </c>
      <c r="Q3537">
        <v>0.17819969999999999</v>
      </c>
      <c r="R3537">
        <v>-3.5736999999999998E-2</v>
      </c>
      <c r="S3537">
        <v>3.059158</v>
      </c>
      <c r="T3537">
        <v>-7.9632759999999997E-2</v>
      </c>
      <c r="U3537">
        <v>-0.14486689999999999</v>
      </c>
      <c r="V3537">
        <v>3.2658230000000003E-2</v>
      </c>
      <c r="W3537">
        <v>0.18922349999999999</v>
      </c>
      <c r="X3537">
        <v>0.98139080000000001</v>
      </c>
      <c r="Y3537">
        <v>4.4146499999999998E-2</v>
      </c>
      <c r="Z3537">
        <v>-7.7565749999999997E-4</v>
      </c>
      <c r="AA3537">
        <v>0.99902469999999999</v>
      </c>
      <c r="AB3537">
        <v>32</v>
      </c>
      <c r="AC3537">
        <v>42.733999999999902</v>
      </c>
      <c r="AD3537">
        <v>-1.1210119068359901</v>
      </c>
      <c r="AE3537">
        <v>-2.0382999999999898</v>
      </c>
      <c r="AF3537">
        <v>1.9028878644945899</v>
      </c>
      <c r="AG3537">
        <v>-1.1210119068359901</v>
      </c>
      <c r="AH3537">
        <v>42.710861514231397</v>
      </c>
      <c r="AI3537">
        <v>91.501980964008197</v>
      </c>
      <c r="AJ3537">
        <v>87.449000384965998</v>
      </c>
      <c r="AK3537">
        <v>42.767924209715403</v>
      </c>
      <c r="AL3537">
        <v>79.092527950565596</v>
      </c>
      <c r="AM3537">
        <v>88.094043173653105</v>
      </c>
      <c r="AN3537">
        <v>0.99999999763181102</v>
      </c>
    </row>
    <row r="3538" spans="1:40" x14ac:dyDescent="0.25">
      <c r="A3538" t="str">
        <f>"20190303162850552"</f>
        <v>20190303162850552</v>
      </c>
      <c r="B3538" t="str">
        <f>"1551601730545433"</f>
        <v>1551601730545433</v>
      </c>
      <c r="C3538" t="s">
        <v>40</v>
      </c>
      <c r="D3538">
        <v>5.6660529999999998</v>
      </c>
      <c r="E3538">
        <v>0.5130943</v>
      </c>
      <c r="F3538" t="s">
        <v>47</v>
      </c>
      <c r="G3538">
        <v>-203.99350000000001</v>
      </c>
      <c r="H3538" s="1">
        <v>4.2152470000000001E-6</v>
      </c>
      <c r="I3538">
        <v>212.0163</v>
      </c>
      <c r="J3538">
        <v>-248.41319999999999</v>
      </c>
      <c r="K3538">
        <v>1.1210260000000001</v>
      </c>
      <c r="L3538">
        <v>214.18209999999999</v>
      </c>
      <c r="M3538">
        <v>0.9999323</v>
      </c>
      <c r="N3538">
        <v>-1.121289E-2</v>
      </c>
      <c r="O3538">
        <v>-3.137426E-3</v>
      </c>
      <c r="P3538">
        <v>0.98310450000000005</v>
      </c>
      <c r="Q3538">
        <v>0.17894499999999999</v>
      </c>
      <c r="R3538">
        <v>-3.852767E-2</v>
      </c>
      <c r="S3538">
        <v>3.0593110000000001</v>
      </c>
      <c r="T3538">
        <v>-7.6656100000000005E-2</v>
      </c>
      <c r="U3538">
        <v>-0.14816279999999901</v>
      </c>
      <c r="V3538">
        <v>3.5450040000000002E-2</v>
      </c>
      <c r="W3538">
        <v>0.18995719999999999</v>
      </c>
      <c r="X3538">
        <v>0.98115220000000003</v>
      </c>
      <c r="Y3538">
        <v>4.5219040000000002E-2</v>
      </c>
      <c r="Z3538">
        <v>-7.7643479999999995E-4</v>
      </c>
      <c r="AA3538">
        <v>0.9989768</v>
      </c>
      <c r="AB3538">
        <v>32</v>
      </c>
      <c r="AC3538">
        <v>44.419699999999899</v>
      </c>
      <c r="AD3538">
        <v>-1.121021784753</v>
      </c>
      <c r="AE3538">
        <v>-2.16579999999998</v>
      </c>
      <c r="AF3538">
        <v>2.0251303048428202</v>
      </c>
      <c r="AG3538">
        <v>-1.121021784753</v>
      </c>
      <c r="AH3538">
        <v>44.398066385376097</v>
      </c>
      <c r="AI3538">
        <v>91.444871543053694</v>
      </c>
      <c r="AJ3538">
        <v>87.388376127339995</v>
      </c>
      <c r="AK3538">
        <v>44.458364132677602</v>
      </c>
      <c r="AL3538">
        <v>79.049714007446497</v>
      </c>
      <c r="AM3538">
        <v>87.930744570782295</v>
      </c>
      <c r="AN3538">
        <v>1.0000000413663399</v>
      </c>
    </row>
    <row r="3539" spans="1:40" x14ac:dyDescent="0.25">
      <c r="A3539" t="str">
        <f>"20190303162850574"</f>
        <v>20190303162850574</v>
      </c>
      <c r="B3539" t="str">
        <f>"1551601730564954"</f>
        <v>1551601730564954</v>
      </c>
      <c r="C3539" t="s">
        <v>40</v>
      </c>
      <c r="D3539">
        <v>5.6038379999999997</v>
      </c>
      <c r="E3539">
        <v>0.51266469999999997</v>
      </c>
      <c r="F3539" t="s">
        <v>48</v>
      </c>
      <c r="G3539">
        <v>-227.49039999999999</v>
      </c>
      <c r="H3539" s="1">
        <v>2.531467E-6</v>
      </c>
      <c r="I3539">
        <v>212.73500000000001</v>
      </c>
      <c r="J3539">
        <v>-248.09960000000001</v>
      </c>
      <c r="K3539">
        <v>1.1210260000000001</v>
      </c>
      <c r="L3539">
        <v>214.18109999999999</v>
      </c>
      <c r="M3539">
        <v>0.9999323</v>
      </c>
      <c r="N3539">
        <v>-1.120462E-2</v>
      </c>
      <c r="O3539">
        <v>-3.1372610000000001E-3</v>
      </c>
      <c r="P3539">
        <v>0.98298770000000002</v>
      </c>
      <c r="Q3539">
        <v>0.17889189999999999</v>
      </c>
      <c r="R3539">
        <v>-4.1631199999999903E-2</v>
      </c>
      <c r="S3539">
        <v>3.0731959999999998</v>
      </c>
      <c r="T3539">
        <v>-0.16465869999999999</v>
      </c>
      <c r="U3539">
        <v>-0.21255489999999999</v>
      </c>
      <c r="V3539">
        <v>3.8554140000000001E-2</v>
      </c>
      <c r="W3539">
        <v>0.18989449999999999</v>
      </c>
      <c r="X3539">
        <v>0.98104720000000001</v>
      </c>
      <c r="Y3539">
        <v>6.5758159999999996E-2</v>
      </c>
      <c r="Z3539">
        <v>-1.9947620000000002E-3</v>
      </c>
      <c r="AA3539">
        <v>0.99783359999999999</v>
      </c>
      <c r="AB3539">
        <v>32</v>
      </c>
      <c r="AC3539">
        <v>20.609200000000001</v>
      </c>
      <c r="AD3539">
        <v>-1.1210234685330001</v>
      </c>
      <c r="AE3539">
        <v>-1.44609999999997</v>
      </c>
      <c r="AF3539">
        <v>1.3773770465826101</v>
      </c>
      <c r="AG3539">
        <v>-1.1210234685330001</v>
      </c>
      <c r="AH3539">
        <v>20.553122189071299</v>
      </c>
      <c r="AI3539">
        <v>93.115001819241002</v>
      </c>
      <c r="AJ3539">
        <v>86.166029366137195</v>
      </c>
      <c r="AK3539">
        <v>20.629704139040602</v>
      </c>
      <c r="AL3539">
        <v>79.053372325698604</v>
      </c>
      <c r="AM3539">
        <v>87.749493232150598</v>
      </c>
      <c r="AN3539">
        <v>0.99999997573461397</v>
      </c>
    </row>
    <row r="3540" spans="1:40" x14ac:dyDescent="0.25">
      <c r="A3540" t="str">
        <f>"20190303162850597"</f>
        <v>20190303162850597</v>
      </c>
      <c r="B3540" t="str">
        <f>"1551601730585449"</f>
        <v>1551601730585449</v>
      </c>
      <c r="C3540" t="s">
        <v>40</v>
      </c>
      <c r="D3540">
        <v>5.4171149999999999</v>
      </c>
      <c r="E3540">
        <v>0.51264339999999997</v>
      </c>
      <c r="F3540" t="s">
        <v>48</v>
      </c>
      <c r="G3540">
        <v>-226.99870000000001</v>
      </c>
      <c r="H3540" s="1">
        <v>2.2727919999999999E-6</v>
      </c>
      <c r="I3540">
        <v>212.6662</v>
      </c>
      <c r="J3540">
        <v>-247.77760000000001</v>
      </c>
      <c r="K3540">
        <v>1.1210119999999999</v>
      </c>
      <c r="L3540">
        <v>214.18</v>
      </c>
      <c r="M3540">
        <v>0.99993240000000005</v>
      </c>
      <c r="N3540">
        <v>-1.119685E-2</v>
      </c>
      <c r="O3540">
        <v>-3.13686E-3</v>
      </c>
      <c r="P3540">
        <v>0.98296119999999998</v>
      </c>
      <c r="Q3540">
        <v>0.1780513</v>
      </c>
      <c r="R3540">
        <v>-4.5665280000000003E-2</v>
      </c>
      <c r="S3540">
        <v>3.0722809999999998</v>
      </c>
      <c r="T3540">
        <v>-0.16322</v>
      </c>
      <c r="U3540">
        <v>-0.22056580000000001</v>
      </c>
      <c r="V3540">
        <v>4.2588439999999998E-2</v>
      </c>
      <c r="W3540">
        <v>0.18904609999999999</v>
      </c>
      <c r="X3540">
        <v>0.98104420000000003</v>
      </c>
      <c r="Y3540">
        <v>6.8365040000000002E-2</v>
      </c>
      <c r="Z3540">
        <v>-2.0647080000000002E-3</v>
      </c>
      <c r="AA3540">
        <v>0.9976583</v>
      </c>
      <c r="AB3540">
        <v>32</v>
      </c>
      <c r="AC3540">
        <v>20.7789</v>
      </c>
      <c r="AD3540">
        <v>-1.121009727208</v>
      </c>
      <c r="AE3540">
        <v>-1.5138</v>
      </c>
      <c r="AF3540">
        <v>1.44442609982309</v>
      </c>
      <c r="AG3540">
        <v>-1.121009727208</v>
      </c>
      <c r="AH3540">
        <v>20.723548346443</v>
      </c>
      <c r="AI3540">
        <v>93.088833629532502</v>
      </c>
      <c r="AJ3540">
        <v>86.012946698089493</v>
      </c>
      <c r="AK3540">
        <v>20.804049741185199</v>
      </c>
      <c r="AL3540">
        <v>79.102878662704498</v>
      </c>
      <c r="AM3540">
        <v>87.514274331604099</v>
      </c>
      <c r="AN3540">
        <v>0.99999996275024094</v>
      </c>
    </row>
    <row r="3541" spans="1:40" x14ac:dyDescent="0.25">
      <c r="A3541" t="str">
        <f>"20190303162850624"</f>
        <v>20190303162850624</v>
      </c>
      <c r="B3541" t="str">
        <f>"1551601730614729"</f>
        <v>1551601730614729</v>
      </c>
      <c r="C3541" t="s">
        <v>40</v>
      </c>
      <c r="D3541">
        <v>5.4693800000000001</v>
      </c>
      <c r="E3541">
        <v>0.51241930000000002</v>
      </c>
      <c r="F3541" t="s">
        <v>48</v>
      </c>
      <c r="G3541">
        <v>-227.46979999999999</v>
      </c>
      <c r="H3541" s="1">
        <v>2.5249140000000001E-6</v>
      </c>
      <c r="I3541">
        <v>212.63409999999999</v>
      </c>
      <c r="J3541">
        <v>-247.39699999999999</v>
      </c>
      <c r="K3541">
        <v>1.120994</v>
      </c>
      <c r="L3541">
        <v>214.1788</v>
      </c>
      <c r="M3541">
        <v>0.9999325</v>
      </c>
      <c r="N3541">
        <v>-1.1188719999999999E-2</v>
      </c>
      <c r="O3541">
        <v>-3.1364560000000001E-3</v>
      </c>
      <c r="P3541">
        <v>0.98285670000000003</v>
      </c>
      <c r="Q3541">
        <v>0.1770225</v>
      </c>
      <c r="R3541">
        <v>-5.1534410000000003E-2</v>
      </c>
      <c r="S3541">
        <v>3.0718540000000001</v>
      </c>
      <c r="T3541">
        <v>-0.169569</v>
      </c>
      <c r="U3541">
        <v>-0.23384089999999999</v>
      </c>
      <c r="V3541">
        <v>4.8458380000000002E-2</v>
      </c>
      <c r="W3541">
        <v>0.18800839999999999</v>
      </c>
      <c r="X3541">
        <v>0.98097129999999999</v>
      </c>
      <c r="Y3541">
        <v>7.2646769999999999E-2</v>
      </c>
      <c r="Z3541">
        <v>-2.2703269999999999E-3</v>
      </c>
      <c r="AA3541">
        <v>0.9973552</v>
      </c>
      <c r="AB3541">
        <v>32</v>
      </c>
      <c r="AC3541">
        <v>19.927199999999999</v>
      </c>
      <c r="AD3541">
        <v>-1.1209914750859999</v>
      </c>
      <c r="AE3541">
        <v>-1.5447</v>
      </c>
      <c r="AF3541">
        <v>1.4775398819872101</v>
      </c>
      <c r="AG3541">
        <v>-1.1209914750859999</v>
      </c>
      <c r="AH3541">
        <v>19.8694448634906</v>
      </c>
      <c r="AI3541">
        <v>93.220209458564895</v>
      </c>
      <c r="AJ3541">
        <v>85.747175051575695</v>
      </c>
      <c r="AK3541">
        <v>19.955815823297499</v>
      </c>
      <c r="AL3541">
        <v>79.163420892735999</v>
      </c>
      <c r="AM3541">
        <v>87.171980887736296</v>
      </c>
      <c r="AN3541">
        <v>1.0000000322432301</v>
      </c>
    </row>
    <row r="3542" spans="1:40" x14ac:dyDescent="0.25">
      <c r="A3542" t="str">
        <f>"20190303162850642"</f>
        <v>20190303162850642</v>
      </c>
      <c r="B3542" t="str">
        <f>"1551601730635228"</f>
        <v>1551601730635228</v>
      </c>
      <c r="C3542" t="s">
        <v>40</v>
      </c>
      <c r="D3542">
        <v>5.6580680000000001</v>
      </c>
      <c r="E3542">
        <v>0.51189669999999998</v>
      </c>
      <c r="F3542" t="s">
        <v>48</v>
      </c>
      <c r="G3542">
        <v>-227.61019999999999</v>
      </c>
      <c r="H3542" s="1">
        <v>2.6023699999999999E-6</v>
      </c>
      <c r="I3542">
        <v>212.57069999999999</v>
      </c>
      <c r="J3542">
        <v>-247.13310000000001</v>
      </c>
      <c r="K3542">
        <v>1.1209750000000001</v>
      </c>
      <c r="L3542">
        <v>214.178</v>
      </c>
      <c r="M3542">
        <v>0.99993259999999995</v>
      </c>
      <c r="N3542">
        <v>-1.118393E-2</v>
      </c>
      <c r="O3542">
        <v>-3.1363099999999998E-3</v>
      </c>
      <c r="P3542">
        <v>0.98291079999999997</v>
      </c>
      <c r="Q3542">
        <v>0.17477989999999999</v>
      </c>
      <c r="R3542">
        <v>-5.7786909999999997E-2</v>
      </c>
      <c r="S3542">
        <v>3.070557</v>
      </c>
      <c r="T3542">
        <v>-0.17395769999999999</v>
      </c>
      <c r="U3542">
        <v>-0.24955749999999999</v>
      </c>
      <c r="V3542">
        <v>5.4710490000000001E-2</v>
      </c>
      <c r="W3542">
        <v>0.1857617</v>
      </c>
      <c r="X3542">
        <v>0.98107049999999996</v>
      </c>
      <c r="Y3542">
        <v>7.773542E-2</v>
      </c>
      <c r="Z3542">
        <v>-2.4902069999999999E-3</v>
      </c>
      <c r="AA3542">
        <v>0.99697089999999999</v>
      </c>
      <c r="AB3542">
        <v>32</v>
      </c>
      <c r="AC3542">
        <v>19.5229</v>
      </c>
      <c r="AD3542">
        <v>-1.1209723976299999</v>
      </c>
      <c r="AE3542">
        <v>-1.6073</v>
      </c>
      <c r="AF3542">
        <v>1.5410120965993801</v>
      </c>
      <c r="AG3542">
        <v>-1.1209723976299999</v>
      </c>
      <c r="AH3542">
        <v>19.464106764728299</v>
      </c>
      <c r="AI3542">
        <v>93.285864962049999</v>
      </c>
      <c r="AJ3542">
        <v>85.4732215270475</v>
      </c>
      <c r="AK3542">
        <v>19.557166194181999</v>
      </c>
      <c r="AL3542">
        <v>79.294455454579193</v>
      </c>
      <c r="AM3542">
        <v>86.808142992565394</v>
      </c>
      <c r="AN3542">
        <v>0.99999998643658905</v>
      </c>
    </row>
    <row r="3543" spans="1:40" x14ac:dyDescent="0.25">
      <c r="A3543" t="str">
        <f>"20190303162850664"</f>
        <v>20190303162850664</v>
      </c>
      <c r="B3543" t="str">
        <f>"1551601730654746"</f>
        <v>1551601730654746</v>
      </c>
      <c r="C3543" t="s">
        <v>40</v>
      </c>
      <c r="D3543">
        <v>5.7295509999999998</v>
      </c>
      <c r="E3543">
        <v>0.5115982</v>
      </c>
      <c r="F3543" t="s">
        <v>48</v>
      </c>
      <c r="G3543">
        <v>-228.3373</v>
      </c>
      <c r="H3543" s="1">
        <v>2.9896909999999999E-6</v>
      </c>
      <c r="I3543">
        <v>212.56180000000001</v>
      </c>
      <c r="J3543">
        <v>-246.81909999999999</v>
      </c>
      <c r="K3543">
        <v>1.1209499999999999</v>
      </c>
      <c r="L3543">
        <v>214.17699999999999</v>
      </c>
      <c r="M3543">
        <v>0.99993270000000001</v>
      </c>
      <c r="N3543">
        <v>-1.117895E-2</v>
      </c>
      <c r="O3543">
        <v>-3.1360440000000002E-3</v>
      </c>
      <c r="P3543">
        <v>0.98316460000000006</v>
      </c>
      <c r="Q3543">
        <v>0.17066329999999999</v>
      </c>
      <c r="R3543">
        <v>-6.5280710000000006E-2</v>
      </c>
      <c r="S3543">
        <v>3.0691989999999998</v>
      </c>
      <c r="T3543">
        <v>-0.1830455</v>
      </c>
      <c r="U3543">
        <v>-0.26390079999999999</v>
      </c>
      <c r="V3543">
        <v>6.2203809999999998E-2</v>
      </c>
      <c r="W3543">
        <v>0.1816431</v>
      </c>
      <c r="X3543">
        <v>0.98139520000000002</v>
      </c>
      <c r="Y3543">
        <v>8.2373290000000002E-2</v>
      </c>
      <c r="Z3543">
        <v>-2.759886E-3</v>
      </c>
      <c r="AA3543">
        <v>0.99659770000000003</v>
      </c>
      <c r="AB3543">
        <v>32</v>
      </c>
      <c r="AC3543">
        <v>18.4818</v>
      </c>
      <c r="AD3543">
        <v>-1.12094701030899</v>
      </c>
      <c r="AE3543">
        <v>-1.61520000000001</v>
      </c>
      <c r="AF3543">
        <v>1.5515643924772999</v>
      </c>
      <c r="AG3543">
        <v>-1.12094701030899</v>
      </c>
      <c r="AH3543">
        <v>18.419530415433101</v>
      </c>
      <c r="AI3543">
        <v>93.470262455653497</v>
      </c>
      <c r="AJ3543">
        <v>85.185071421793793</v>
      </c>
      <c r="AK3543">
        <v>18.5187195828704</v>
      </c>
      <c r="AL3543">
        <v>79.5345199833028</v>
      </c>
      <c r="AM3543">
        <v>86.373270879738698</v>
      </c>
      <c r="AN3543">
        <v>1.0000000341695801</v>
      </c>
    </row>
    <row r="3544" spans="1:40" x14ac:dyDescent="0.25">
      <c r="A3544" t="str">
        <f>"20190303162850685"</f>
        <v>20190303162850685</v>
      </c>
      <c r="B3544" t="str">
        <f>"1551601730675242"</f>
        <v>1551601730675242</v>
      </c>
      <c r="C3544" t="s">
        <v>40</v>
      </c>
      <c r="D3544">
        <v>5.6671139999999998</v>
      </c>
      <c r="E3544">
        <v>0.51130419999999999</v>
      </c>
      <c r="F3544" t="s">
        <v>48</v>
      </c>
      <c r="G3544">
        <v>-229.5087</v>
      </c>
      <c r="H3544" s="1">
        <v>3.6128739999999999E-6</v>
      </c>
      <c r="I3544">
        <v>212.5658</v>
      </c>
      <c r="J3544">
        <v>-246.50239999999999</v>
      </c>
      <c r="K3544">
        <v>1.120922</v>
      </c>
      <c r="L3544">
        <v>214.17599999999999</v>
      </c>
      <c r="M3544">
        <v>0.99993270000000001</v>
      </c>
      <c r="N3544">
        <v>-1.117482E-2</v>
      </c>
      <c r="O3544">
        <v>-3.1355440000000001E-3</v>
      </c>
      <c r="P3544">
        <v>0.98342220000000002</v>
      </c>
      <c r="Q3544">
        <v>0.16607040000000001</v>
      </c>
      <c r="R3544">
        <v>-7.2813829999999996E-2</v>
      </c>
      <c r="S3544">
        <v>3.0668950000000001</v>
      </c>
      <c r="T3544">
        <v>-0.19859789999999999</v>
      </c>
      <c r="U3544">
        <v>-0.28546139999999998</v>
      </c>
      <c r="V3544">
        <v>6.9736469999999995E-2</v>
      </c>
      <c r="W3544">
        <v>0.17704909999999999</v>
      </c>
      <c r="X3544">
        <v>0.9817283</v>
      </c>
      <c r="Y3544">
        <v>8.9341690000000001E-2</v>
      </c>
      <c r="Z3544">
        <v>-3.2168769999999999E-3</v>
      </c>
      <c r="AA3544">
        <v>0.99599579999999999</v>
      </c>
      <c r="AB3544">
        <v>32</v>
      </c>
      <c r="AC3544">
        <v>16.993699999999901</v>
      </c>
      <c r="AD3544">
        <v>-1.120918387126</v>
      </c>
      <c r="AE3544">
        <v>-1.6101999999999901</v>
      </c>
      <c r="AF3544">
        <v>1.55021953987143</v>
      </c>
      <c r="AG3544">
        <v>-1.120918387126</v>
      </c>
      <c r="AH3544">
        <v>16.925680136158899</v>
      </c>
      <c r="AI3544">
        <v>93.773184650467002</v>
      </c>
      <c r="AJ3544">
        <v>84.766891799029295</v>
      </c>
      <c r="AK3544">
        <v>17.0334461200299</v>
      </c>
      <c r="AL3544">
        <v>79.802074897141495</v>
      </c>
      <c r="AM3544">
        <v>85.9368541906085</v>
      </c>
      <c r="AN3544">
        <v>1.00000000703988</v>
      </c>
    </row>
    <row r="3545" spans="1:40" x14ac:dyDescent="0.25">
      <c r="A3545" t="str">
        <f>"20190303162850731"</f>
        <v>20190303162850731</v>
      </c>
      <c r="B3545" t="str">
        <f>"1551601730725018"</f>
        <v>1551601730725018</v>
      </c>
      <c r="C3545" t="s">
        <v>40</v>
      </c>
      <c r="D3545">
        <v>5.7352259999999999</v>
      </c>
      <c r="E3545">
        <v>0.50204799999999905</v>
      </c>
      <c r="F3545" t="s">
        <v>44</v>
      </c>
      <c r="G3545">
        <v>-245.51589999999999</v>
      </c>
      <c r="H3545">
        <v>1.0518540000000001</v>
      </c>
      <c r="I3545">
        <v>214.0771</v>
      </c>
      <c r="J3545">
        <v>-245.84569999999999</v>
      </c>
      <c r="K3545">
        <v>1.1208499999999999</v>
      </c>
      <c r="L3545">
        <v>214.1739</v>
      </c>
      <c r="M3545">
        <v>0.99993270000000001</v>
      </c>
      <c r="N3545">
        <v>-1.1168519999999999E-2</v>
      </c>
      <c r="O3545">
        <v>-3.1347929999999999E-3</v>
      </c>
      <c r="P3545">
        <v>0.98397250000000003</v>
      </c>
      <c r="Q3545">
        <v>0.15816740000000001</v>
      </c>
      <c r="R3545">
        <v>-8.2348909999999997E-2</v>
      </c>
      <c r="S3545">
        <v>3.064117</v>
      </c>
      <c r="T3545">
        <v>-0.21461060000000001</v>
      </c>
      <c r="U3545">
        <v>-0.30664059999999999</v>
      </c>
      <c r="V3545">
        <v>7.9270060000000003E-2</v>
      </c>
      <c r="W3545">
        <v>0.16914699999999999</v>
      </c>
      <c r="X3545">
        <v>0.98239790000000005</v>
      </c>
      <c r="Y3545">
        <v>9.6191879999999994E-2</v>
      </c>
      <c r="Z3545">
        <v>-3.7115870000000001E-3</v>
      </c>
      <c r="AA3545">
        <v>0.99535589999999996</v>
      </c>
      <c r="AB3545">
        <v>32</v>
      </c>
      <c r="AC3545">
        <v>0.32980000000000498</v>
      </c>
      <c r="AD3545">
        <v>-6.8995999999999794E-2</v>
      </c>
      <c r="AE3545">
        <v>-9.6800000000001704E-2</v>
      </c>
      <c r="AF3545">
        <v>9.2056151029754299E-2</v>
      </c>
      <c r="AG3545">
        <v>-6.8995999999999794E-2</v>
      </c>
      <c r="AH3545">
        <v>0.31731544311128201</v>
      </c>
      <c r="AI3545">
        <v>101.79536002348399</v>
      </c>
      <c r="AJ3545">
        <v>73.822066211651006</v>
      </c>
      <c r="AK3545">
        <v>0.33752610772401298</v>
      </c>
      <c r="AL3545">
        <v>80.261772864470601</v>
      </c>
      <c r="AM3545">
        <v>85.386776582489205</v>
      </c>
      <c r="AN3545">
        <v>1.0000000419729</v>
      </c>
    </row>
    <row r="3546" spans="1:40" x14ac:dyDescent="0.25">
      <c r="A3546" t="str">
        <f>"20190303162850754"</f>
        <v>20190303162850754</v>
      </c>
      <c r="B3546" t="str">
        <f>"1551601730745514"</f>
        <v>1551601730745514</v>
      </c>
      <c r="C3546" t="s">
        <v>40</v>
      </c>
      <c r="D3546">
        <v>5.7387269999999999</v>
      </c>
      <c r="E3546">
        <v>0.50255070000000002</v>
      </c>
      <c r="F3546" t="s">
        <v>48</v>
      </c>
      <c r="G3546">
        <v>-229.71129999999999</v>
      </c>
      <c r="H3546" s="1">
        <v>3.7113439999999999E-6</v>
      </c>
      <c r="I3546">
        <v>212.77959999999999</v>
      </c>
      <c r="J3546">
        <v>-245.52189999999999</v>
      </c>
      <c r="K3546">
        <v>1.1208129999999901</v>
      </c>
      <c r="L3546">
        <v>214.1729</v>
      </c>
      <c r="M3546">
        <v>0.99993279999999995</v>
      </c>
      <c r="N3546">
        <v>-1.116634E-2</v>
      </c>
      <c r="O3546">
        <v>-3.1346619999999999E-3</v>
      </c>
      <c r="P3546">
        <v>0.98480529999999999</v>
      </c>
      <c r="Q3546">
        <v>0.15074170000000001</v>
      </c>
      <c r="R3546">
        <v>-8.6229700000000006E-2</v>
      </c>
      <c r="S3546">
        <v>3.0609280000000001</v>
      </c>
      <c r="T3546">
        <v>-0.2126403</v>
      </c>
      <c r="U3546">
        <v>-0.26452639999999999</v>
      </c>
      <c r="V3546">
        <v>8.3148199999999894E-2</v>
      </c>
      <c r="W3546">
        <v>0.1617286</v>
      </c>
      <c r="X3546">
        <v>0.98332609999999998</v>
      </c>
      <c r="Y3546">
        <v>8.275101E-2</v>
      </c>
      <c r="Z3546">
        <v>-3.1468860000000002E-3</v>
      </c>
      <c r="AA3546">
        <v>0.99656529999999999</v>
      </c>
      <c r="AB3546">
        <v>32</v>
      </c>
      <c r="AC3546">
        <v>15.8105999999999</v>
      </c>
      <c r="AD3546">
        <v>-1.1208092886559999</v>
      </c>
      <c r="AE3546">
        <v>-1.39330000000001</v>
      </c>
      <c r="AF3546">
        <v>1.3370617484345699</v>
      </c>
      <c r="AG3546">
        <v>-1.1208092886559999</v>
      </c>
      <c r="AH3546">
        <v>15.7364184249084</v>
      </c>
      <c r="AI3546">
        <v>94.059372769309604</v>
      </c>
      <c r="AJ3546">
        <v>85.143466757162301</v>
      </c>
      <c r="AK3546">
        <v>15.832839682901501</v>
      </c>
      <c r="AL3546">
        <v>80.692755312947099</v>
      </c>
      <c r="AM3546">
        <v>85.166674634494498</v>
      </c>
      <c r="AN3546">
        <v>0.99999999108120496</v>
      </c>
    </row>
    <row r="3547" spans="1:40" x14ac:dyDescent="0.25">
      <c r="A3547" t="str">
        <f>"20190303162850775"</f>
        <v>20190303162850775</v>
      </c>
      <c r="B3547" t="str">
        <f>"1551601730765034"</f>
        <v>1551601730765034</v>
      </c>
      <c r="C3547" t="s">
        <v>40</v>
      </c>
      <c r="D3547">
        <v>5.7381330000000004</v>
      </c>
      <c r="E3547">
        <v>0.50249169999999999</v>
      </c>
      <c r="F3547" t="s">
        <v>44</v>
      </c>
      <c r="G3547">
        <v>-244.6524</v>
      </c>
      <c r="H3547">
        <v>1.0542990000000001</v>
      </c>
      <c r="I3547">
        <v>214.09270000000001</v>
      </c>
      <c r="J3547">
        <v>-245.2106</v>
      </c>
      <c r="K3547">
        <v>1.1207800000000001</v>
      </c>
      <c r="L3547">
        <v>214.17189999999999</v>
      </c>
      <c r="M3547">
        <v>0.99993290000000001</v>
      </c>
      <c r="N3547">
        <v>-1.1164759999999999E-2</v>
      </c>
      <c r="O3547">
        <v>-3.134296E-3</v>
      </c>
      <c r="P3547">
        <v>0.98533090000000001</v>
      </c>
      <c r="Q3547">
        <v>0.14514489999999999</v>
      </c>
      <c r="R3547">
        <v>-8.9756440000000007E-2</v>
      </c>
      <c r="S3547">
        <v>3.0574340000000002</v>
      </c>
      <c r="T3547">
        <v>-0.23397860000000001</v>
      </c>
      <c r="U3547">
        <v>-0.28155520000000001</v>
      </c>
      <c r="V3547">
        <v>8.6673340000000001E-2</v>
      </c>
      <c r="W3547">
        <v>0.15613669999999999</v>
      </c>
      <c r="X3547">
        <v>0.9839253</v>
      </c>
      <c r="Y3547">
        <v>8.8291910000000001E-2</v>
      </c>
      <c r="Z3547">
        <v>-3.6570040000000002E-3</v>
      </c>
      <c r="AA3547">
        <v>0.99608790000000003</v>
      </c>
      <c r="AB3547">
        <v>32</v>
      </c>
      <c r="AC3547">
        <v>0.55819999999999903</v>
      </c>
      <c r="AD3547">
        <v>-6.6480999999999998E-2</v>
      </c>
      <c r="AE3547">
        <v>-7.9199999999985907E-2</v>
      </c>
      <c r="AF3547">
        <v>7.6387794236026901E-2</v>
      </c>
      <c r="AG3547">
        <v>-6.6480999999999998E-2</v>
      </c>
      <c r="AH3547">
        <v>0.55078702092070098</v>
      </c>
      <c r="AI3547">
        <v>96.817778102095602</v>
      </c>
      <c r="AJ3547">
        <v>82.104104971692195</v>
      </c>
      <c r="AK3547">
        <v>0.56001889332766797</v>
      </c>
      <c r="AL3547">
        <v>81.017272627790604</v>
      </c>
      <c r="AM3547">
        <v>84.965846427034293</v>
      </c>
      <c r="AN3547">
        <v>0.99999996646686695</v>
      </c>
    </row>
    <row r="3548" spans="1:40" x14ac:dyDescent="0.25">
      <c r="A3548" t="str">
        <f>"20190303162850798"</f>
        <v>20190303162850798</v>
      </c>
      <c r="B3548" t="str">
        <f>"1551601730785529"</f>
        <v>1551601730785529</v>
      </c>
      <c r="C3548" t="s">
        <v>40</v>
      </c>
      <c r="D3548">
        <v>5.7410750000000004</v>
      </c>
      <c r="E3548">
        <v>0.50052619999999903</v>
      </c>
      <c r="F3548" t="s">
        <v>44</v>
      </c>
      <c r="G3548">
        <v>-244.3664</v>
      </c>
      <c r="H3548">
        <v>1.0523720000000001</v>
      </c>
      <c r="I3548">
        <v>214.09100000000001</v>
      </c>
      <c r="J3548">
        <v>-244.8963</v>
      </c>
      <c r="K3548">
        <v>1.1207450000000001</v>
      </c>
      <c r="L3548">
        <v>214.17089999999999</v>
      </c>
      <c r="M3548">
        <v>0.99993279999999995</v>
      </c>
      <c r="N3548">
        <v>-1.1163630000000001E-2</v>
      </c>
      <c r="O3548">
        <v>-3.1339319999999999E-3</v>
      </c>
      <c r="P3548">
        <v>0.98569709999999999</v>
      </c>
      <c r="Q3548">
        <v>0.14125460000000001</v>
      </c>
      <c r="R3548">
        <v>-9.1916639999999994E-2</v>
      </c>
      <c r="S3548">
        <v>3.054611</v>
      </c>
      <c r="T3548">
        <v>-0.2478033</v>
      </c>
      <c r="U3548">
        <v>-0.29159550000000001</v>
      </c>
      <c r="V3548">
        <v>8.8832549999999996E-2</v>
      </c>
      <c r="W3548">
        <v>0.15224979999999999</v>
      </c>
      <c r="X3548">
        <v>0.98434180000000004</v>
      </c>
      <c r="Y3548">
        <v>9.1576350000000001E-2</v>
      </c>
      <c r="Z3548">
        <v>-3.9949809999999999E-3</v>
      </c>
      <c r="AA3548">
        <v>0.99579010000000001</v>
      </c>
      <c r="AB3548">
        <v>32</v>
      </c>
      <c r="AC3548">
        <v>0.52989999999999704</v>
      </c>
      <c r="AD3548">
        <v>-6.8373000000000198E-2</v>
      </c>
      <c r="AE3548">
        <v>-7.9900000000009103E-2</v>
      </c>
      <c r="AF3548">
        <v>7.6985612619616603E-2</v>
      </c>
      <c r="AG3548">
        <v>-6.8373000000000198E-2</v>
      </c>
      <c r="AH3548">
        <v>0.52165596541710502</v>
      </c>
      <c r="AI3548">
        <v>97.388020578908495</v>
      </c>
      <c r="AJ3548">
        <v>81.604927259906106</v>
      </c>
      <c r="AK3548">
        <v>0.53172041331386699</v>
      </c>
      <c r="AL3548">
        <v>81.242671672298698</v>
      </c>
      <c r="AM3548">
        <v>84.843275028023498</v>
      </c>
      <c r="AN3548">
        <v>1.0000000013833901</v>
      </c>
    </row>
    <row r="3549" spans="1:40" x14ac:dyDescent="0.25">
      <c r="A3549" t="str">
        <f>"20190303162850821"</f>
        <v>20190303162850821</v>
      </c>
      <c r="B3549" t="str">
        <f>"1551601730805049"</f>
        <v>1551601730805049</v>
      </c>
      <c r="C3549" t="s">
        <v>40</v>
      </c>
      <c r="D3549">
        <v>5.6906860000000004</v>
      </c>
      <c r="E3549">
        <v>0.50002329999999995</v>
      </c>
      <c r="F3549" t="s">
        <v>48</v>
      </c>
      <c r="G3549">
        <v>-229.70599999999999</v>
      </c>
      <c r="H3549" s="1">
        <v>3.7093129999999999E-6</v>
      </c>
      <c r="I3549">
        <v>212.7621</v>
      </c>
      <c r="J3549">
        <v>-244.55359999999999</v>
      </c>
      <c r="K3549">
        <v>1.120706</v>
      </c>
      <c r="L3549">
        <v>214.16990000000001</v>
      </c>
      <c r="M3549">
        <v>0.99993290000000001</v>
      </c>
      <c r="N3549">
        <v>-1.116284E-2</v>
      </c>
      <c r="O3549">
        <v>-3.1338080000000001E-3</v>
      </c>
      <c r="P3549">
        <v>0.98641710000000005</v>
      </c>
      <c r="Q3549">
        <v>0.13647819999999999</v>
      </c>
      <c r="R3549">
        <v>-9.1407039999999995E-2</v>
      </c>
      <c r="S3549">
        <v>3.0494080000000001</v>
      </c>
      <c r="T3549">
        <v>-0.2249855</v>
      </c>
      <c r="U3549">
        <v>-0.28280640000000001</v>
      </c>
      <c r="V3549">
        <v>8.8320689999999993E-2</v>
      </c>
      <c r="W3549">
        <v>0.14748059999999999</v>
      </c>
      <c r="X3549">
        <v>0.98511369999999998</v>
      </c>
      <c r="Y3549">
        <v>8.8953820000000003E-2</v>
      </c>
      <c r="Z3549">
        <v>-3.5728769999999999E-3</v>
      </c>
      <c r="AA3549">
        <v>0.99602930000000001</v>
      </c>
      <c r="AB3549">
        <v>32</v>
      </c>
      <c r="AC3549">
        <v>14.8476</v>
      </c>
      <c r="AD3549">
        <v>-1.1207022906869999</v>
      </c>
      <c r="AE3549">
        <v>-1.4077999999999999</v>
      </c>
      <c r="AF3549">
        <v>1.35361743370079</v>
      </c>
      <c r="AG3549">
        <v>-1.1207022906869999</v>
      </c>
      <c r="AH3549">
        <v>14.7685481950327</v>
      </c>
      <c r="AI3549">
        <v>94.321493641833698</v>
      </c>
      <c r="AJ3549">
        <v>84.7631631582436</v>
      </c>
      <c r="AK3549">
        <v>14.8727357796128</v>
      </c>
      <c r="AL3549">
        <v>81.519048565245697</v>
      </c>
      <c r="AM3549">
        <v>84.876825728616893</v>
      </c>
      <c r="AN3549">
        <v>1.0000000367930599</v>
      </c>
    </row>
    <row r="3550" spans="1:40" x14ac:dyDescent="0.25">
      <c r="A3550" t="str">
        <f>"20190303162850845"</f>
        <v>20190303162850845</v>
      </c>
      <c r="B3550" t="str">
        <f>"1551601730835306"</f>
        <v>1551601730835306</v>
      </c>
      <c r="C3550" t="s">
        <v>40</v>
      </c>
      <c r="D3550">
        <v>5.6891509999999998</v>
      </c>
      <c r="E3550">
        <v>0.49781570000000003</v>
      </c>
      <c r="F3550" t="s">
        <v>48</v>
      </c>
      <c r="G3550">
        <v>-230.12049999999999</v>
      </c>
      <c r="H3550" s="1">
        <v>-1.3955649999999999E-6</v>
      </c>
      <c r="I3550">
        <v>212.85290000000001</v>
      </c>
      <c r="J3550">
        <v>-244.22810000000001</v>
      </c>
      <c r="K3550">
        <v>1.1206769999999999</v>
      </c>
      <c r="L3550">
        <v>214.1688</v>
      </c>
      <c r="M3550">
        <v>0.99993290000000001</v>
      </c>
      <c r="N3550">
        <v>-1.1162450000000001E-2</v>
      </c>
      <c r="O3550">
        <v>-3.133449E-3</v>
      </c>
      <c r="P3550">
        <v>0.98729449999999996</v>
      </c>
      <c r="Q3550">
        <v>0.13146830000000001</v>
      </c>
      <c r="R3550">
        <v>-8.925226E-2</v>
      </c>
      <c r="S3550">
        <v>3.0483090000000002</v>
      </c>
      <c r="T3550">
        <v>-0.2366962</v>
      </c>
      <c r="U3550">
        <v>-0.27813719999999997</v>
      </c>
      <c r="V3550">
        <v>8.6163340000000005E-2</v>
      </c>
      <c r="W3550">
        <v>0.14248050000000001</v>
      </c>
      <c r="X3550">
        <v>0.98604020000000003</v>
      </c>
      <c r="Y3550">
        <v>8.7452429999999998E-2</v>
      </c>
      <c r="Z3550">
        <v>-3.665555E-3</v>
      </c>
      <c r="AA3550">
        <v>0.99616190000000004</v>
      </c>
      <c r="AB3550">
        <v>32</v>
      </c>
      <c r="AC3550">
        <v>14.1076</v>
      </c>
      <c r="AD3550">
        <v>-1.1206783955649999</v>
      </c>
      <c r="AE3550">
        <v>-1.3158999999999901</v>
      </c>
      <c r="AF3550">
        <v>1.26377920043354</v>
      </c>
      <c r="AG3550">
        <v>-1.1206783955649999</v>
      </c>
      <c r="AH3550">
        <v>14.023921292491099</v>
      </c>
      <c r="AI3550">
        <v>94.550544424894895</v>
      </c>
      <c r="AJ3550">
        <v>84.850644591438794</v>
      </c>
      <c r="AK3550">
        <v>14.1252761513437</v>
      </c>
      <c r="AL3550">
        <v>81.808592750883705</v>
      </c>
      <c r="AM3550">
        <v>85.005997230968404</v>
      </c>
      <c r="AN3550">
        <v>1.0000000450281199</v>
      </c>
    </row>
    <row r="3551" spans="1:40" x14ac:dyDescent="0.25">
      <c r="A3551" t="str">
        <f>"20190303162850864"</f>
        <v>20190303162850864</v>
      </c>
      <c r="B3551" t="str">
        <f>"1551601730854825"</f>
        <v>1551601730854825</v>
      </c>
      <c r="C3551" t="s">
        <v>40</v>
      </c>
      <c r="D3551">
        <v>5.479266</v>
      </c>
      <c r="E3551">
        <v>0.49761559999999999</v>
      </c>
      <c r="F3551" t="s">
        <v>44</v>
      </c>
      <c r="G3551">
        <v>-243.21960000000001</v>
      </c>
      <c r="H3551">
        <v>1.0464639999999901</v>
      </c>
      <c r="I3551">
        <v>214.08420000000001</v>
      </c>
      <c r="J3551">
        <v>-243.9348</v>
      </c>
      <c r="K3551">
        <v>1.1206799999999999</v>
      </c>
      <c r="L3551">
        <v>214.1679</v>
      </c>
      <c r="M3551">
        <v>0.99993279999999995</v>
      </c>
      <c r="N3551">
        <v>-1.116238E-2</v>
      </c>
      <c r="O3551">
        <v>-3.1329719999999999E-3</v>
      </c>
      <c r="P3551">
        <v>0.98779510000000004</v>
      </c>
      <c r="Q3551">
        <v>0.13095789999999999</v>
      </c>
      <c r="R3551">
        <v>-8.4328219999999995E-2</v>
      </c>
      <c r="S3551">
        <v>3.045471</v>
      </c>
      <c r="T3551">
        <v>-0.22430849999999999</v>
      </c>
      <c r="U3551">
        <v>-0.25453189999999998</v>
      </c>
      <c r="V3551">
        <v>8.1238199999999997E-2</v>
      </c>
      <c r="W3551">
        <v>0.14197599999999999</v>
      </c>
      <c r="X3551">
        <v>0.98653089999999999</v>
      </c>
      <c r="Y3551">
        <v>7.992233E-2</v>
      </c>
      <c r="Z3551">
        <v>-3.186571E-3</v>
      </c>
      <c r="AA3551">
        <v>0.99679600000000002</v>
      </c>
      <c r="AB3551">
        <v>32</v>
      </c>
      <c r="AC3551">
        <v>0.71519999999998096</v>
      </c>
      <c r="AD3551">
        <v>-7.4216000000000004E-2</v>
      </c>
      <c r="AE3551">
        <v>-8.3699999999993197E-2</v>
      </c>
      <c r="AF3551">
        <v>8.0602536574207406E-2</v>
      </c>
      <c r="AG3551">
        <v>-7.4216000000000004E-2</v>
      </c>
      <c r="AH3551">
        <v>0.70793856173036596</v>
      </c>
      <c r="AI3551">
        <v>95.946542374678501</v>
      </c>
      <c r="AJ3551">
        <v>83.504544060039294</v>
      </c>
      <c r="AK3551">
        <v>0.71636707820994605</v>
      </c>
      <c r="AL3551">
        <v>81.837795168030098</v>
      </c>
      <c r="AM3551">
        <v>85.292466254810094</v>
      </c>
      <c r="AN3551">
        <v>1.0000000231850199</v>
      </c>
    </row>
    <row r="3552" spans="1:40" x14ac:dyDescent="0.25">
      <c r="A3552" t="str">
        <f>"20190303162850887"</f>
        <v>20190303162850887</v>
      </c>
      <c r="B3552" t="str">
        <f>"1551601730875321"</f>
        <v>1551601730875321</v>
      </c>
      <c r="C3552" t="s">
        <v>40</v>
      </c>
      <c r="D3552">
        <v>5.6961870000000001</v>
      </c>
      <c r="E3552">
        <v>0.49669960000000002</v>
      </c>
      <c r="F3552" t="s">
        <v>44</v>
      </c>
      <c r="G3552">
        <v>-242.93100000000001</v>
      </c>
      <c r="H3552">
        <v>1.0470410000000001</v>
      </c>
      <c r="I3552">
        <v>214.08940000000001</v>
      </c>
      <c r="J3552">
        <v>-243.61070000000001</v>
      </c>
      <c r="K3552">
        <v>1.1206989999999999</v>
      </c>
      <c r="L3552">
        <v>214.1669</v>
      </c>
      <c r="M3552">
        <v>0.99993279999999995</v>
      </c>
      <c r="N3552">
        <v>-1.1163370000000001E-2</v>
      </c>
      <c r="O3552">
        <v>-3.13262E-3</v>
      </c>
      <c r="P3552">
        <v>0.98765199999999997</v>
      </c>
      <c r="Q3552">
        <v>0.13504859999999999</v>
      </c>
      <c r="R3552">
        <v>-7.9408030000000004E-2</v>
      </c>
      <c r="S3552">
        <v>3.0463559999999998</v>
      </c>
      <c r="T3552">
        <v>-0.22346640000000001</v>
      </c>
      <c r="U3552">
        <v>-0.23809810000000001</v>
      </c>
      <c r="V3552">
        <v>7.6318960000000005E-2</v>
      </c>
      <c r="W3552">
        <v>0.14606559999999999</v>
      </c>
      <c r="X3552">
        <v>0.98632660000000005</v>
      </c>
      <c r="Y3552">
        <v>7.4573379999999995E-2</v>
      </c>
      <c r="Z3552">
        <v>-2.9506459999999999E-3</v>
      </c>
      <c r="AA3552">
        <v>0.99721119999999996</v>
      </c>
      <c r="AB3552">
        <v>32</v>
      </c>
      <c r="AC3552">
        <v>0.67970000000002495</v>
      </c>
      <c r="AD3552">
        <v>-7.3658000000000001E-2</v>
      </c>
      <c r="AE3552">
        <v>-7.7499999999986302E-2</v>
      </c>
      <c r="AF3552">
        <v>7.4506492067894198E-2</v>
      </c>
      <c r="AG3552">
        <v>-7.3658000000000001E-2</v>
      </c>
      <c r="AH3552">
        <v>0.67214725995876601</v>
      </c>
      <c r="AI3552">
        <v>96.216094104873804</v>
      </c>
      <c r="AJ3552">
        <v>83.674673673494397</v>
      </c>
      <c r="AK3552">
        <v>0.68026366755423595</v>
      </c>
      <c r="AL3552">
        <v>81.601009008665997</v>
      </c>
      <c r="AM3552">
        <v>85.575442579689593</v>
      </c>
      <c r="AN3552">
        <v>0.99999995251319895</v>
      </c>
    </row>
    <row r="3553" spans="1:40" x14ac:dyDescent="0.25">
      <c r="A3553" t="str">
        <f>"20190303162850910"</f>
        <v>20190303162850910</v>
      </c>
      <c r="B3553" t="str">
        <f>"1551601730905578"</f>
        <v>1551601730905578</v>
      </c>
      <c r="C3553" t="s">
        <v>40</v>
      </c>
      <c r="D3553">
        <v>5.7328020000000004</v>
      </c>
      <c r="E3553">
        <v>0.4957801</v>
      </c>
      <c r="F3553" t="s">
        <v>48</v>
      </c>
      <c r="G3553">
        <v>-226.58709999999999</v>
      </c>
      <c r="H3553" s="1">
        <v>2.0406800000000001E-6</v>
      </c>
      <c r="I3553">
        <v>212.96600000000001</v>
      </c>
      <c r="J3553">
        <v>-243.27760000000001</v>
      </c>
      <c r="K3553">
        <v>1.1207419999999999</v>
      </c>
      <c r="L3553">
        <v>214.16589999999999</v>
      </c>
      <c r="M3553">
        <v>0.99993270000000001</v>
      </c>
      <c r="N3553">
        <v>-1.1170070000000001E-2</v>
      </c>
      <c r="O3553">
        <v>-3.1323000000000002E-3</v>
      </c>
      <c r="P3553">
        <v>0.98703430000000003</v>
      </c>
      <c r="Q3553">
        <v>0.14162369999999999</v>
      </c>
      <c r="R3553">
        <v>-7.5538549999999996E-2</v>
      </c>
      <c r="S3553">
        <v>3.0476230000000002</v>
      </c>
      <c r="T3553">
        <v>-0.2006309</v>
      </c>
      <c r="U3553">
        <v>-0.2149963</v>
      </c>
      <c r="V3553">
        <v>7.2452130000000003E-2</v>
      </c>
      <c r="W3553">
        <v>0.15264</v>
      </c>
      <c r="X3553">
        <v>0.98562249999999996</v>
      </c>
      <c r="Y3553">
        <v>6.7081119999999994E-2</v>
      </c>
      <c r="Z3553">
        <v>-2.4077170000000002E-3</v>
      </c>
      <c r="AA3553">
        <v>0.99774459999999998</v>
      </c>
      <c r="AB3553">
        <v>32</v>
      </c>
      <c r="AC3553">
        <v>16.6905</v>
      </c>
      <c r="AD3553">
        <v>-1.12073995931999</v>
      </c>
      <c r="AE3553">
        <v>-1.19990000000001</v>
      </c>
      <c r="AF3553">
        <v>1.1424863232671101</v>
      </c>
      <c r="AG3553">
        <v>-1.12073995931999</v>
      </c>
      <c r="AH3553">
        <v>16.619625795801799</v>
      </c>
      <c r="AI3553">
        <v>93.848828643866398</v>
      </c>
      <c r="AJ3553">
        <v>86.067491289325901</v>
      </c>
      <c r="AK3553">
        <v>16.696505462154299</v>
      </c>
      <c r="AL3553">
        <v>81.2200504195294</v>
      </c>
      <c r="AM3553">
        <v>85.795805892434402</v>
      </c>
      <c r="AN3553">
        <v>0.99999999662389305</v>
      </c>
    </row>
    <row r="3554" spans="1:40" x14ac:dyDescent="0.25">
      <c r="A3554" t="str">
        <f>"20190303162850932"</f>
        <v>20190303162850932</v>
      </c>
      <c r="B3554" t="str">
        <f>"1551601730925098"</f>
        <v>1551601730925098</v>
      </c>
      <c r="C3554" t="s">
        <v>40</v>
      </c>
      <c r="D3554">
        <v>5.5965680000000004</v>
      </c>
      <c r="E3554">
        <v>0.45907409999999998</v>
      </c>
      <c r="F3554" t="s">
        <v>48</v>
      </c>
      <c r="G3554">
        <v>-222.91909999999999</v>
      </c>
      <c r="H3554" s="1">
        <v>9.2946099999999996E-8</v>
      </c>
      <c r="I3554">
        <v>212.86940000000001</v>
      </c>
      <c r="J3554">
        <v>-242.94839999999999</v>
      </c>
      <c r="K3554">
        <v>1.120779</v>
      </c>
      <c r="L3554">
        <v>214.16489999999999</v>
      </c>
      <c r="M3554">
        <v>0.99993270000000001</v>
      </c>
      <c r="N3554">
        <v>-1.1179929999999999E-2</v>
      </c>
      <c r="O3554">
        <v>-3.1319970000000001E-3</v>
      </c>
      <c r="P3554">
        <v>0.98653539999999995</v>
      </c>
      <c r="Q3554">
        <v>0.1471934</v>
      </c>
      <c r="R3554">
        <v>-7.1289060000000001E-2</v>
      </c>
      <c r="S3554">
        <v>3.0486300000000002</v>
      </c>
      <c r="T3554">
        <v>-0.16782810000000001</v>
      </c>
      <c r="U3554">
        <v>-0.19413759999999999</v>
      </c>
      <c r="V3554">
        <v>6.8204719999999996E-2</v>
      </c>
      <c r="W3554">
        <v>0.1582134</v>
      </c>
      <c r="X3554">
        <v>0.98504650000000005</v>
      </c>
      <c r="Y3554">
        <v>6.0318860000000002E-2</v>
      </c>
      <c r="Z3554">
        <v>-1.8580459999999999E-3</v>
      </c>
      <c r="AA3554">
        <v>0.99817739999999999</v>
      </c>
      <c r="AB3554">
        <v>32</v>
      </c>
      <c r="AC3554">
        <v>20.029299999999999</v>
      </c>
      <c r="AD3554">
        <v>-1.1207789070539</v>
      </c>
      <c r="AE3554">
        <v>-1.2954999999999699</v>
      </c>
      <c r="AF3554">
        <v>1.2289260628349801</v>
      </c>
      <c r="AG3554">
        <v>-1.1207789070539</v>
      </c>
      <c r="AH3554">
        <v>19.970987221308</v>
      </c>
      <c r="AI3554">
        <v>93.206038588876794</v>
      </c>
      <c r="AJ3554">
        <v>86.478711726159503</v>
      </c>
      <c r="AK3554">
        <v>20.040128123843399</v>
      </c>
      <c r="AL3554">
        <v>80.896789108329003</v>
      </c>
      <c r="AM3554">
        <v>86.039156000069497</v>
      </c>
      <c r="AN3554">
        <v>0.99999998546604396</v>
      </c>
    </row>
    <row r="3555" spans="1:40" x14ac:dyDescent="0.25">
      <c r="A3555" t="str">
        <f>"20190303162850954"</f>
        <v>20190303162850954</v>
      </c>
      <c r="B3555" t="str">
        <f>"1551601730945594"</f>
        <v>1551601730945594</v>
      </c>
      <c r="C3555" t="s">
        <v>40</v>
      </c>
      <c r="D3555">
        <v>5.5771269999999999</v>
      </c>
      <c r="E3555">
        <v>0.4468319</v>
      </c>
      <c r="F3555" t="s">
        <v>48</v>
      </c>
      <c r="G3555">
        <v>-215.99520000000001</v>
      </c>
      <c r="H3555" s="1">
        <v>1.6304540000000001E-6</v>
      </c>
      <c r="I3555">
        <v>215.14439999999999</v>
      </c>
      <c r="J3555">
        <v>-242.64080000000001</v>
      </c>
      <c r="K3555">
        <v>1.120819</v>
      </c>
      <c r="L3555">
        <v>214.16390000000001</v>
      </c>
      <c r="M3555">
        <v>0.99993259999999995</v>
      </c>
      <c r="N3555">
        <v>-1.1189589999999999E-2</v>
      </c>
      <c r="O3555">
        <v>-3.1315750000000002E-3</v>
      </c>
      <c r="P3555">
        <v>0.98602120000000004</v>
      </c>
      <c r="Q3555">
        <v>0.15303039999999901</v>
      </c>
      <c r="R3555">
        <v>-6.5908129999999995E-2</v>
      </c>
      <c r="S3555">
        <v>3.0680079999999998</v>
      </c>
      <c r="T3555">
        <v>-0.12757479999999999</v>
      </c>
      <c r="U3555">
        <v>0.111496</v>
      </c>
      <c r="V3555">
        <v>6.2826190000000004E-2</v>
      </c>
      <c r="W3555">
        <v>0.16405359999999999</v>
      </c>
      <c r="X3555">
        <v>0.98444869999999995</v>
      </c>
      <c r="Y3555">
        <v>-3.9402409999999999E-2</v>
      </c>
      <c r="Z3555">
        <v>1.1343480000000001E-3</v>
      </c>
      <c r="AA3555">
        <v>0.99922279999999997</v>
      </c>
      <c r="AB3555">
        <v>32</v>
      </c>
      <c r="AC3555">
        <v>26.645600000000002</v>
      </c>
      <c r="AD3555">
        <v>-1.120817369546</v>
      </c>
      <c r="AE3555">
        <v>0.98049999999997794</v>
      </c>
      <c r="AF3555">
        <v>-1.0620664540723599</v>
      </c>
      <c r="AG3555">
        <v>-1.120817369546</v>
      </c>
      <c r="AH3555">
        <v>26.595405145437699</v>
      </c>
      <c r="AI3555">
        <v>92.411283935430006</v>
      </c>
      <c r="AJ3555">
        <v>92.286846478845902</v>
      </c>
      <c r="AK3555">
        <v>26.640191282697501</v>
      </c>
      <c r="AL3555">
        <v>80.557739203734698</v>
      </c>
      <c r="AM3555">
        <v>86.348412575101506</v>
      </c>
      <c r="AN3555">
        <v>0.99999997837728205</v>
      </c>
    </row>
    <row r="3556" spans="1:40" x14ac:dyDescent="0.25">
      <c r="A3556" t="str">
        <f>"20190303162850976"</f>
        <v>20190303162850976</v>
      </c>
      <c r="B3556" t="str">
        <f>"1551601730965113"</f>
        <v>1551601730965113</v>
      </c>
      <c r="C3556" t="s">
        <v>40</v>
      </c>
      <c r="D3556">
        <v>5.653073</v>
      </c>
      <c r="E3556">
        <v>0.39740720000000002</v>
      </c>
      <c r="F3556" t="s">
        <v>48</v>
      </c>
      <c r="G3556">
        <v>-214.18729999999999</v>
      </c>
      <c r="H3556" s="1">
        <v>6.1957809999999898E-7</v>
      </c>
      <c r="I3556">
        <v>216.26070000000001</v>
      </c>
      <c r="J3556">
        <v>-242.32</v>
      </c>
      <c r="K3556">
        <v>1.1208689999999999</v>
      </c>
      <c r="L3556">
        <v>214.16290000000001</v>
      </c>
      <c r="M3556">
        <v>0.9999325</v>
      </c>
      <c r="N3556">
        <v>-1.119936E-2</v>
      </c>
      <c r="O3556">
        <v>-3.131272E-3</v>
      </c>
      <c r="P3556">
        <v>0.98549799999999999</v>
      </c>
      <c r="Q3556">
        <v>0.1584391</v>
      </c>
      <c r="R3556">
        <v>-6.0753069999999999E-2</v>
      </c>
      <c r="S3556">
        <v>3.0764770000000001</v>
      </c>
      <c r="T3556">
        <v>-0.1211859</v>
      </c>
      <c r="U3556">
        <v>0.2267151</v>
      </c>
      <c r="V3556">
        <v>5.767303E-2</v>
      </c>
      <c r="W3556">
        <v>0.16946610000000001</v>
      </c>
      <c r="X3556">
        <v>0.98384709999999997</v>
      </c>
      <c r="Y3556">
        <v>-7.6539280000000001E-2</v>
      </c>
      <c r="Z3556">
        <v>2.0223860000000001E-3</v>
      </c>
      <c r="AA3556">
        <v>0.99706450000000002</v>
      </c>
      <c r="AB3556">
        <v>32</v>
      </c>
      <c r="AC3556">
        <v>28.1327</v>
      </c>
      <c r="AD3556">
        <v>-1.1208683804219</v>
      </c>
      <c r="AE3556">
        <v>2.0977999999999999</v>
      </c>
      <c r="AF3556">
        <v>-2.1824411144429701</v>
      </c>
      <c r="AG3556">
        <v>-1.1208683804219</v>
      </c>
      <c r="AH3556">
        <v>28.081662529985199</v>
      </c>
      <c r="AI3556">
        <v>92.278860331991496</v>
      </c>
      <c r="AJ3556">
        <v>94.443961078806495</v>
      </c>
      <c r="AK3556">
        <v>28.188635397837501</v>
      </c>
      <c r="AL3556">
        <v>80.243221821419098</v>
      </c>
      <c r="AM3556">
        <v>86.6451656890615</v>
      </c>
      <c r="AN3556">
        <v>1.0000000268085001</v>
      </c>
    </row>
    <row r="3557" spans="1:40" x14ac:dyDescent="0.25">
      <c r="A3557" t="str">
        <f>"20190303162850999"</f>
        <v>20190303162850999</v>
      </c>
      <c r="B3557" t="str">
        <f>"1551601730985610"</f>
        <v>1551601730985610</v>
      </c>
      <c r="C3557" t="s">
        <v>40</v>
      </c>
      <c r="D3557">
        <v>5.5451169999999896</v>
      </c>
      <c r="E3557">
        <v>0.39881359999999999</v>
      </c>
      <c r="F3557" t="s">
        <v>48</v>
      </c>
      <c r="G3557">
        <v>-220.15880000000001</v>
      </c>
      <c r="H3557" s="1">
        <v>-1.6308450000000001E-6</v>
      </c>
      <c r="I3557">
        <v>218.70079999999999</v>
      </c>
      <c r="J3557">
        <v>-241.9966</v>
      </c>
      <c r="K3557">
        <v>1.1209070000000001</v>
      </c>
      <c r="L3557">
        <v>214.1619</v>
      </c>
      <c r="M3557">
        <v>0.99993240000000005</v>
      </c>
      <c r="N3557">
        <v>-1.1208869999999999E-2</v>
      </c>
      <c r="O3557">
        <v>-3.1312060000000001E-3</v>
      </c>
      <c r="P3557">
        <v>0.98508790000000002</v>
      </c>
      <c r="Q3557">
        <v>0.16276299999999999</v>
      </c>
      <c r="R3557">
        <v>-5.5770460000000001E-2</v>
      </c>
      <c r="S3557">
        <v>3.108673</v>
      </c>
      <c r="T3557">
        <v>-0.15723000000000001</v>
      </c>
      <c r="U3557">
        <v>0.63655090000000003</v>
      </c>
      <c r="V3557">
        <v>5.2691969999999998E-2</v>
      </c>
      <c r="W3557">
        <v>0.17379449999999999</v>
      </c>
      <c r="X3557">
        <v>0.98337129999999995</v>
      </c>
      <c r="Y3557">
        <v>-0.2033614</v>
      </c>
      <c r="Z3557">
        <v>6.3610979999999999E-3</v>
      </c>
      <c r="AA3557">
        <v>0.97908309999999998</v>
      </c>
      <c r="AB3557">
        <v>32</v>
      </c>
      <c r="AC3557">
        <v>21.837799999999898</v>
      </c>
      <c r="AD3557">
        <v>-1.12090863084499</v>
      </c>
      <c r="AE3557">
        <v>4.5388999999999804</v>
      </c>
      <c r="AF3557">
        <v>-4.5956541534255404</v>
      </c>
      <c r="AG3557">
        <v>-1.12090863084499</v>
      </c>
      <c r="AH3557">
        <v>21.768502480355298</v>
      </c>
      <c r="AI3557">
        <v>92.884221235104704</v>
      </c>
      <c r="AJ3557">
        <v>101.920943666474</v>
      </c>
      <c r="AK3557">
        <v>22.276538633590199</v>
      </c>
      <c r="AL3557">
        <v>79.991487337727605</v>
      </c>
      <c r="AM3557">
        <v>86.932854237286804</v>
      </c>
      <c r="AN3557">
        <v>1.0000000427982001</v>
      </c>
    </row>
    <row r="3558" spans="1:40" x14ac:dyDescent="0.25">
      <c r="A3558" t="str">
        <f>"20190303162851022"</f>
        <v>20190303162851022</v>
      </c>
      <c r="B3558" t="str">
        <f>"1551601731014889"</f>
        <v>1551601731014889</v>
      </c>
      <c r="C3558" t="s">
        <v>40</v>
      </c>
      <c r="D3558">
        <v>5.5491599999999996</v>
      </c>
      <c r="E3558">
        <v>0.40164169999999999</v>
      </c>
      <c r="F3558" t="s">
        <v>48</v>
      </c>
      <c r="G3558">
        <v>-216.2114</v>
      </c>
      <c r="H3558" s="1">
        <v>1.555924E-6</v>
      </c>
      <c r="I3558">
        <v>219.48249999999999</v>
      </c>
      <c r="J3558">
        <v>-241.6534</v>
      </c>
      <c r="K3558">
        <v>1.120946</v>
      </c>
      <c r="L3558">
        <v>214.1609</v>
      </c>
      <c r="M3558">
        <v>0.9999323</v>
      </c>
      <c r="N3558">
        <v>-1.1218499999999999E-2</v>
      </c>
      <c r="O3558">
        <v>-3.1310219999999998E-3</v>
      </c>
      <c r="P3558">
        <v>0.98474660000000003</v>
      </c>
      <c r="Q3558">
        <v>0.166349</v>
      </c>
      <c r="R3558">
        <v>-5.1017369999999999E-2</v>
      </c>
      <c r="S3558">
        <v>3.1039729999999999</v>
      </c>
      <c r="T3558">
        <v>-0.13493239999999901</v>
      </c>
      <c r="U3558">
        <v>0.64047240000000005</v>
      </c>
      <c r="V3558">
        <v>4.794031E-2</v>
      </c>
      <c r="W3558">
        <v>0.17738609999999999</v>
      </c>
      <c r="X3558">
        <v>0.98297299999999999</v>
      </c>
      <c r="Y3558">
        <v>-0.20491129999999999</v>
      </c>
      <c r="Z3558">
        <v>5.6673640000000003E-3</v>
      </c>
      <c r="AA3558">
        <v>0.97876419999999997</v>
      </c>
      <c r="AB3558">
        <v>32</v>
      </c>
      <c r="AC3558">
        <v>25.442</v>
      </c>
      <c r="AD3558">
        <v>-1.1209444440759999</v>
      </c>
      <c r="AE3558">
        <v>5.3215999999999797</v>
      </c>
      <c r="AF3558">
        <v>-5.3912117366396703</v>
      </c>
      <c r="AG3558">
        <v>-1.1209444440759999</v>
      </c>
      <c r="AH3558">
        <v>25.378013850295702</v>
      </c>
      <c r="AI3558">
        <v>92.473968031411403</v>
      </c>
      <c r="AJ3558">
        <v>101.99340801518299</v>
      </c>
      <c r="AK3558">
        <v>25.968543806339699</v>
      </c>
      <c r="AL3558">
        <v>79.782455713789304</v>
      </c>
      <c r="AM3558">
        <v>87.207855433766795</v>
      </c>
      <c r="AN3558">
        <v>1.0000000102625499</v>
      </c>
    </row>
    <row r="3559" spans="1:40" x14ac:dyDescent="0.25">
      <c r="A3559" t="str">
        <f>"20190303162851045"</f>
        <v>20190303162851045</v>
      </c>
      <c r="B3559" t="str">
        <f>"1551601731035386"</f>
        <v>1551601731035386</v>
      </c>
      <c r="C3559" t="s">
        <v>40</v>
      </c>
      <c r="D3559">
        <v>5.5335859999999997</v>
      </c>
      <c r="E3559">
        <v>0.40314470000000002</v>
      </c>
      <c r="F3559" t="s">
        <v>48</v>
      </c>
      <c r="G3559">
        <v>-216.66569999999999</v>
      </c>
      <c r="H3559" s="1">
        <v>1.8078629999999999E-6</v>
      </c>
      <c r="I3559">
        <v>219.24940000000001</v>
      </c>
      <c r="J3559">
        <v>-241.3389</v>
      </c>
      <c r="K3559">
        <v>1.120976</v>
      </c>
      <c r="L3559">
        <v>214.15989999999999</v>
      </c>
      <c r="M3559">
        <v>0.99993209999999999</v>
      </c>
      <c r="N3559">
        <v>-1.1226750000000001E-2</v>
      </c>
      <c r="O3559">
        <v>-3.1305909999999998E-3</v>
      </c>
      <c r="P3559">
        <v>0.98434940000000004</v>
      </c>
      <c r="Q3559">
        <v>0.17009969999999999</v>
      </c>
      <c r="R3559">
        <v>-4.6071149999999998E-2</v>
      </c>
      <c r="S3559">
        <v>3.102722</v>
      </c>
      <c r="T3559">
        <v>-0.13918810000000001</v>
      </c>
      <c r="U3559">
        <v>0.63183590000000001</v>
      </c>
      <c r="V3559">
        <v>4.2996050000000001E-2</v>
      </c>
      <c r="W3559">
        <v>0.18113989999999999</v>
      </c>
      <c r="X3559">
        <v>0.98251699999999997</v>
      </c>
      <c r="Y3559">
        <v>-0.20236299999999999</v>
      </c>
      <c r="Z3559">
        <v>5.7430880000000004E-3</v>
      </c>
      <c r="AA3559">
        <v>0.97929379999999999</v>
      </c>
      <c r="AB3559">
        <v>32</v>
      </c>
      <c r="AC3559">
        <v>24.673200000000001</v>
      </c>
      <c r="AD3559">
        <v>-1.120974192137</v>
      </c>
      <c r="AE3559">
        <v>5.0895000000000099</v>
      </c>
      <c r="AF3559">
        <v>-5.1565122393504597</v>
      </c>
      <c r="AG3559">
        <v>-1.120974192137</v>
      </c>
      <c r="AH3559">
        <v>24.608422700594001</v>
      </c>
      <c r="AI3559">
        <v>92.552794339461499</v>
      </c>
      <c r="AJ3559">
        <v>101.834675224438</v>
      </c>
      <c r="AK3559">
        <v>25.167849916612202</v>
      </c>
      <c r="AL3559">
        <v>79.563837097851106</v>
      </c>
      <c r="AM3559">
        <v>87.494270891684707</v>
      </c>
      <c r="AN3559">
        <v>0.99999998948830604</v>
      </c>
    </row>
    <row r="3560" spans="1:40" x14ac:dyDescent="0.25">
      <c r="A3560" t="str">
        <f>"20190303162851066"</f>
        <v>20190303162851066</v>
      </c>
      <c r="B3560" t="str">
        <f>"1551601731054906"</f>
        <v>1551601731054906</v>
      </c>
      <c r="C3560" t="s">
        <v>40</v>
      </c>
      <c r="D3560">
        <v>5.5126480000000004</v>
      </c>
      <c r="E3560">
        <v>0.40464709999999998</v>
      </c>
      <c r="F3560" t="s">
        <v>48</v>
      </c>
      <c r="G3560">
        <v>-216.89240000000001</v>
      </c>
      <c r="H3560" s="1">
        <v>1.9325140000000001E-6</v>
      </c>
      <c r="I3560">
        <v>219.1575</v>
      </c>
      <c r="J3560">
        <v>-241.0275</v>
      </c>
      <c r="K3560">
        <v>1.121011</v>
      </c>
      <c r="L3560">
        <v>214.15899999999999</v>
      </c>
      <c r="M3560">
        <v>0.99993209999999999</v>
      </c>
      <c r="N3560">
        <v>-1.123444E-2</v>
      </c>
      <c r="O3560">
        <v>-3.1301580000000001E-3</v>
      </c>
      <c r="P3560">
        <v>0.98388560000000003</v>
      </c>
      <c r="Q3560">
        <v>0.17383460000000001</v>
      </c>
      <c r="R3560">
        <v>-4.1843989999999998E-2</v>
      </c>
      <c r="S3560">
        <v>3.1019589999999999</v>
      </c>
      <c r="T3560">
        <v>-0.1422378</v>
      </c>
      <c r="U3560">
        <v>0.63412480000000004</v>
      </c>
      <c r="V3560">
        <v>3.8770840000000001E-2</v>
      </c>
      <c r="W3560">
        <v>0.18487709999999999</v>
      </c>
      <c r="X3560">
        <v>0.9819966</v>
      </c>
      <c r="Y3560">
        <v>-0.2030923</v>
      </c>
      <c r="Z3560">
        <v>5.8667719999999897E-3</v>
      </c>
      <c r="AA3560">
        <v>0.97914199999999996</v>
      </c>
      <c r="AB3560">
        <v>32</v>
      </c>
      <c r="AC3560">
        <v>24.135099999999898</v>
      </c>
      <c r="AD3560">
        <v>-1.121009067486</v>
      </c>
      <c r="AE3560">
        <v>4.9984999999999697</v>
      </c>
      <c r="AF3560">
        <v>-5.0635523849667301</v>
      </c>
      <c r="AG3560">
        <v>-1.121009067486</v>
      </c>
      <c r="AH3560">
        <v>24.069543951889901</v>
      </c>
      <c r="AI3560">
        <v>92.609515707946997</v>
      </c>
      <c r="AJ3560">
        <v>101.88017834679199</v>
      </c>
      <c r="AK3560">
        <v>24.621924582303599</v>
      </c>
      <c r="AL3560">
        <v>79.346033082883494</v>
      </c>
      <c r="AM3560">
        <v>87.739042746104104</v>
      </c>
      <c r="AN3560">
        <v>1.0000000212751301</v>
      </c>
    </row>
    <row r="3561" spans="1:40" x14ac:dyDescent="0.25">
      <c r="A3561" t="str">
        <f>"20190303162851089"</f>
        <v>20190303162851089</v>
      </c>
      <c r="B3561" t="str">
        <f>"1551601731075402"</f>
        <v>1551601731075402</v>
      </c>
      <c r="C3561" t="s">
        <v>40</v>
      </c>
      <c r="D3561">
        <v>5.5410579999999996</v>
      </c>
      <c r="E3561">
        <v>0.40596919999999997</v>
      </c>
      <c r="F3561" t="s">
        <v>48</v>
      </c>
      <c r="G3561">
        <v>-216.3065</v>
      </c>
      <c r="H3561" s="1">
        <v>1.618238E-6</v>
      </c>
      <c r="I3561">
        <v>219.21440000000001</v>
      </c>
      <c r="J3561">
        <v>-240.6919</v>
      </c>
      <c r="K3561">
        <v>1.1210530000000001</v>
      </c>
      <c r="L3561">
        <v>214.15799999999999</v>
      </c>
      <c r="M3561">
        <v>0.99993189999999998</v>
      </c>
      <c r="N3561">
        <v>-1.124173E-2</v>
      </c>
      <c r="O3561">
        <v>-3.1297220000000001E-3</v>
      </c>
      <c r="P3561">
        <v>0.98329009999999994</v>
      </c>
      <c r="Q3561">
        <v>0.17796380000000001</v>
      </c>
      <c r="R3561">
        <v>-3.8331839999999999E-2</v>
      </c>
      <c r="S3561">
        <v>3.1009669999999998</v>
      </c>
      <c r="T3561">
        <v>-0.14061779999999999</v>
      </c>
      <c r="U3561">
        <v>0.63413999999999904</v>
      </c>
      <c r="V3561">
        <v>3.5261239999999999E-2</v>
      </c>
      <c r="W3561">
        <v>0.18900629999999999</v>
      </c>
      <c r="X3561">
        <v>0.98134259999999995</v>
      </c>
      <c r="Y3561">
        <v>-0.20316300000000001</v>
      </c>
      <c r="Z3561">
        <v>5.8169069999999996E-3</v>
      </c>
      <c r="AA3561">
        <v>0.97912759999999999</v>
      </c>
      <c r="AB3561">
        <v>32</v>
      </c>
      <c r="AC3561">
        <v>24.385400000000001</v>
      </c>
      <c r="AD3561">
        <v>-1.121051381762</v>
      </c>
      <c r="AE3561">
        <v>5.0564000000000204</v>
      </c>
      <c r="AF3561">
        <v>-5.1223201006113701</v>
      </c>
      <c r="AG3561">
        <v>-1.121051381762</v>
      </c>
      <c r="AH3561">
        <v>24.320173883049701</v>
      </c>
      <c r="AI3561">
        <v>92.582628312688996</v>
      </c>
      <c r="AJ3561">
        <v>101.893809298741</v>
      </c>
      <c r="AK3561">
        <v>24.879022832809401</v>
      </c>
      <c r="AL3561">
        <v>79.1052015041261</v>
      </c>
      <c r="AM3561">
        <v>87.942154514759196</v>
      </c>
      <c r="AN3561">
        <v>1.00000001753039</v>
      </c>
    </row>
    <row r="3562" spans="1:40" x14ac:dyDescent="0.25">
      <c r="A3562" t="str">
        <f>"20190303162851108"</f>
        <v>20190303162851108</v>
      </c>
      <c r="B3562" t="str">
        <f>"1551601731094922"</f>
        <v>1551601731094922</v>
      </c>
      <c r="C3562" t="s">
        <v>40</v>
      </c>
      <c r="D3562">
        <v>5.4688569999999999</v>
      </c>
      <c r="E3562">
        <v>0.40734730000000002</v>
      </c>
      <c r="F3562" t="s">
        <v>48</v>
      </c>
      <c r="G3562">
        <v>-215.86189999999999</v>
      </c>
      <c r="H3562" s="1">
        <v>1.3806979999999999E-6</v>
      </c>
      <c r="I3562">
        <v>219.2353</v>
      </c>
      <c r="J3562">
        <v>-240.40379999999999</v>
      </c>
      <c r="K3562">
        <v>1.121067</v>
      </c>
      <c r="L3562">
        <v>214.15710000000001</v>
      </c>
      <c r="M3562">
        <v>0.99993180000000004</v>
      </c>
      <c r="N3562">
        <v>-1.124729E-2</v>
      </c>
      <c r="O3562">
        <v>-3.1295149999999998E-3</v>
      </c>
      <c r="P3562">
        <v>0.98287930000000001</v>
      </c>
      <c r="Q3562">
        <v>0.180474</v>
      </c>
      <c r="R3562">
        <v>-3.7112720000000002E-2</v>
      </c>
      <c r="S3562">
        <v>3.1010279999999999</v>
      </c>
      <c r="T3562">
        <v>-0.14000860000000001</v>
      </c>
      <c r="U3562">
        <v>0.63410949999999999</v>
      </c>
      <c r="V3562">
        <v>3.4043709999999998E-2</v>
      </c>
      <c r="W3562">
        <v>0.1915173</v>
      </c>
      <c r="X3562">
        <v>0.98089859999999895</v>
      </c>
      <c r="Y3562">
        <v>-0.20315169999999999</v>
      </c>
      <c r="Z3562">
        <v>5.7967100000000001E-3</v>
      </c>
      <c r="AA3562">
        <v>0.9791301</v>
      </c>
      <c r="AB3562">
        <v>32</v>
      </c>
      <c r="AC3562">
        <v>24.541899999999998</v>
      </c>
      <c r="AD3562">
        <v>-1.1210656193019899</v>
      </c>
      <c r="AE3562">
        <v>5.0781999999999803</v>
      </c>
      <c r="AF3562">
        <v>-5.1446899233027796</v>
      </c>
      <c r="AG3562">
        <v>-1.1210656193019899</v>
      </c>
      <c r="AH3562">
        <v>24.4769092097713</v>
      </c>
      <c r="AI3562">
        <v>92.566369946608603</v>
      </c>
      <c r="AJ3562">
        <v>101.869954882264</v>
      </c>
      <c r="AK3562">
        <v>25.036846985854702</v>
      </c>
      <c r="AL3562">
        <v>78.958654172604497</v>
      </c>
      <c r="AM3562">
        <v>88.012252965258199</v>
      </c>
      <c r="AN3562">
        <v>0.99999995693590504</v>
      </c>
    </row>
    <row r="3563" spans="1:40" x14ac:dyDescent="0.25">
      <c r="A3563" t="str">
        <f>"20190303162851124"</f>
        <v>20190303162851124</v>
      </c>
      <c r="B3563" t="str">
        <f>"1551601731115418"</f>
        <v>1551601731115418</v>
      </c>
      <c r="C3563" t="s">
        <v>40</v>
      </c>
      <c r="D3563">
        <v>5.4798090000000004</v>
      </c>
      <c r="E3563">
        <v>0.40875470000000003</v>
      </c>
      <c r="F3563" t="s">
        <v>48</v>
      </c>
      <c r="G3563">
        <v>-214.8931</v>
      </c>
      <c r="H3563" s="1">
        <v>8.6186330000000002E-7</v>
      </c>
      <c r="I3563">
        <v>219.3109</v>
      </c>
      <c r="J3563">
        <v>-240.1841</v>
      </c>
      <c r="K3563">
        <v>1.1210979999999999</v>
      </c>
      <c r="L3563">
        <v>214.15639999999999</v>
      </c>
      <c r="M3563">
        <v>0.99993189999999998</v>
      </c>
      <c r="N3563">
        <v>-1.125111E-2</v>
      </c>
      <c r="O3563">
        <v>-3.1294169999999998E-3</v>
      </c>
      <c r="P3563">
        <v>0.98215730000000001</v>
      </c>
      <c r="Q3563">
        <v>0.1846032</v>
      </c>
      <c r="R3563">
        <v>-3.5898800000000002E-2</v>
      </c>
      <c r="S3563">
        <v>3.1009519999999999</v>
      </c>
      <c r="T3563">
        <v>-0.136271</v>
      </c>
      <c r="U3563">
        <v>0.62646480000000004</v>
      </c>
      <c r="V3563">
        <v>3.2832319999999998E-2</v>
      </c>
      <c r="W3563">
        <v>0.19564210000000001</v>
      </c>
      <c r="X3563">
        <v>0.98012560000000004</v>
      </c>
      <c r="Y3563">
        <v>-0.20085220000000001</v>
      </c>
      <c r="Z3563">
        <v>5.6101909999999996E-3</v>
      </c>
      <c r="AA3563">
        <v>0.97960550000000002</v>
      </c>
      <c r="AB3563">
        <v>32</v>
      </c>
      <c r="AC3563">
        <v>25.291</v>
      </c>
      <c r="AD3563">
        <v>-1.1210971381367001</v>
      </c>
      <c r="AE3563">
        <v>5.1545000000000103</v>
      </c>
      <c r="AF3563">
        <v>-5.22377068573548</v>
      </c>
      <c r="AG3563">
        <v>-1.1210971381367001</v>
      </c>
      <c r="AH3563">
        <v>25.227151032161199</v>
      </c>
      <c r="AI3563">
        <v>92.491764833156395</v>
      </c>
      <c r="AJ3563">
        <v>101.698865053004</v>
      </c>
      <c r="AK3563">
        <v>25.786697891931802</v>
      </c>
      <c r="AL3563">
        <v>78.717764189465399</v>
      </c>
      <c r="AM3563">
        <v>88.081419142849995</v>
      </c>
      <c r="AN3563">
        <v>0.99999999215217605</v>
      </c>
    </row>
    <row r="3564" spans="1:40" x14ac:dyDescent="0.25">
      <c r="A3564" t="str">
        <f>"20190303162851143"</f>
        <v>20190303162851143</v>
      </c>
      <c r="B3564" t="str">
        <f>"1551601731134938"</f>
        <v>1551601731134938</v>
      </c>
      <c r="C3564" t="s">
        <v>40</v>
      </c>
      <c r="D3564">
        <v>5.4800199999999997</v>
      </c>
      <c r="E3564">
        <v>0.40944350000000002</v>
      </c>
      <c r="F3564" t="s">
        <v>48</v>
      </c>
      <c r="G3564">
        <v>-212.94880000000001</v>
      </c>
      <c r="H3564" s="1">
        <v>-1.8484829999999999E-7</v>
      </c>
      <c r="I3564">
        <v>219.58680000000001</v>
      </c>
      <c r="J3564">
        <v>-239.8903</v>
      </c>
      <c r="K3564">
        <v>1.121119</v>
      </c>
      <c r="L3564">
        <v>214.15549999999999</v>
      </c>
      <c r="M3564">
        <v>0.99993189999999998</v>
      </c>
      <c r="N3564">
        <v>-1.125133E-2</v>
      </c>
      <c r="O3564">
        <v>-3.1294169999999998E-3</v>
      </c>
      <c r="P3564">
        <v>0.98149059999999999</v>
      </c>
      <c r="Q3564">
        <v>0.18811349999999999</v>
      </c>
      <c r="R3564">
        <v>-3.5915809999999999E-2</v>
      </c>
      <c r="S3564">
        <v>3.101089</v>
      </c>
      <c r="T3564">
        <v>-0.12765119999999999</v>
      </c>
      <c r="U3564">
        <v>0.61831669999999905</v>
      </c>
      <c r="V3564">
        <v>3.2851449999999997E-2</v>
      </c>
      <c r="W3564">
        <v>0.19914470000000001</v>
      </c>
      <c r="X3564">
        <v>0.97941929999999999</v>
      </c>
      <c r="Y3564">
        <v>-0.19839770000000001</v>
      </c>
      <c r="Z3564">
        <v>5.2621780000000002E-3</v>
      </c>
      <c r="AA3564">
        <v>0.98010750000000002</v>
      </c>
      <c r="AB3564">
        <v>32</v>
      </c>
      <c r="AC3564">
        <v>26.941499999999898</v>
      </c>
      <c r="AD3564">
        <v>-1.1211191848483</v>
      </c>
      <c r="AE3564">
        <v>5.4313000000000198</v>
      </c>
      <c r="AF3564">
        <v>-5.5064271019719797</v>
      </c>
      <c r="AG3564">
        <v>-1.1211191848483</v>
      </c>
      <c r="AH3564">
        <v>26.879641863952799</v>
      </c>
      <c r="AI3564">
        <v>92.339821572869099</v>
      </c>
      <c r="AJ3564">
        <v>101.577149215144</v>
      </c>
      <c r="AK3564">
        <v>27.460750069696399</v>
      </c>
      <c r="AL3564">
        <v>78.513052086891307</v>
      </c>
      <c r="AM3564">
        <v>88.078918766287202</v>
      </c>
      <c r="AN3564">
        <v>0.99999999725884103</v>
      </c>
    </row>
    <row r="3565" spans="1:40" x14ac:dyDescent="0.25">
      <c r="A3565" t="str">
        <f>"20190303162851166"</f>
        <v>20190303162851166</v>
      </c>
      <c r="B3565" t="str">
        <f>"1551601731155433"</f>
        <v>1551601731155433</v>
      </c>
      <c r="C3565" t="s">
        <v>40</v>
      </c>
      <c r="D3565">
        <v>5.5038679999999998</v>
      </c>
      <c r="E3565">
        <v>0.41855629999999999</v>
      </c>
      <c r="F3565" t="s">
        <v>48</v>
      </c>
      <c r="G3565">
        <v>-212.2201</v>
      </c>
      <c r="H3565">
        <v>1.268673E-2</v>
      </c>
      <c r="I3565">
        <v>219.6163</v>
      </c>
      <c r="J3565">
        <v>-239.5729</v>
      </c>
      <c r="K3565">
        <v>1.121132</v>
      </c>
      <c r="L3565">
        <v>214.15450000000001</v>
      </c>
      <c r="M3565">
        <v>0.99993189999999998</v>
      </c>
      <c r="N3565">
        <v>-1.124754E-2</v>
      </c>
      <c r="O3565">
        <v>-3.1290390000000001E-3</v>
      </c>
      <c r="P3565">
        <v>0.98116990000000004</v>
      </c>
      <c r="Q3565">
        <v>0.1894113</v>
      </c>
      <c r="R3565">
        <v>-3.780451E-2</v>
      </c>
      <c r="S3565">
        <v>3.102814</v>
      </c>
      <c r="T3565">
        <v>-0.12429510000000001</v>
      </c>
      <c r="U3565">
        <v>0.61235050000000002</v>
      </c>
      <c r="V3565">
        <v>3.4741630000000003E-2</v>
      </c>
      <c r="W3565">
        <v>0.20043520000000001</v>
      </c>
      <c r="X3565">
        <v>0.97909080000000004</v>
      </c>
      <c r="Y3565">
        <v>-0.1964909</v>
      </c>
      <c r="Z3565">
        <v>5.1019100000000003E-3</v>
      </c>
      <c r="AA3565">
        <v>0.98049240000000004</v>
      </c>
      <c r="AB3565">
        <v>32</v>
      </c>
      <c r="AC3565">
        <v>27.352799999999998</v>
      </c>
      <c r="AD3565">
        <v>-1.10844527</v>
      </c>
      <c r="AE3565">
        <v>5.4617999999999798</v>
      </c>
      <c r="AF3565">
        <v>-5.5386198986023301</v>
      </c>
      <c r="AG3565">
        <v>-1.10844527</v>
      </c>
      <c r="AH3565">
        <v>27.292473753684199</v>
      </c>
      <c r="AI3565">
        <v>92.279298906811803</v>
      </c>
      <c r="AJ3565">
        <v>101.471579962118</v>
      </c>
      <c r="AK3565">
        <v>27.8708465047856</v>
      </c>
      <c r="AL3565">
        <v>78.437590772099597</v>
      </c>
      <c r="AM3565">
        <v>87.967794222190193</v>
      </c>
      <c r="AN3565">
        <v>1.0000000224493599</v>
      </c>
    </row>
    <row r="3566" spans="1:40" x14ac:dyDescent="0.25">
      <c r="A3566" t="str">
        <f>"20190303162851190"</f>
        <v>20190303162851190</v>
      </c>
      <c r="B3566" t="str">
        <f>"1551601731185690"</f>
        <v>1551601731185690</v>
      </c>
      <c r="C3566" t="s">
        <v>40</v>
      </c>
      <c r="D3566">
        <v>5.4902360000000003</v>
      </c>
      <c r="E3566">
        <v>0.41842990000000002</v>
      </c>
      <c r="F3566" t="s">
        <v>48</v>
      </c>
      <c r="G3566">
        <v>-224.6009</v>
      </c>
      <c r="H3566" s="1">
        <v>8.1980539999999997E-7</v>
      </c>
      <c r="I3566">
        <v>216.71549999999999</v>
      </c>
      <c r="J3566">
        <v>-239.2174</v>
      </c>
      <c r="K3566">
        <v>1.1211409999999999</v>
      </c>
      <c r="L3566">
        <v>214.1534</v>
      </c>
      <c r="M3566">
        <v>0.99993209999999999</v>
      </c>
      <c r="N3566">
        <v>-1.124211E-2</v>
      </c>
      <c r="O3566">
        <v>-3.1288879999999998E-3</v>
      </c>
      <c r="P3566">
        <v>0.98115479999999999</v>
      </c>
      <c r="Q3566">
        <v>0.18865019999999999</v>
      </c>
      <c r="R3566">
        <v>-4.1792599999999999E-2</v>
      </c>
      <c r="S3566">
        <v>3.1233219999999999</v>
      </c>
      <c r="T3566">
        <v>-0.233879</v>
      </c>
      <c r="U3566">
        <v>0.53424069999999901</v>
      </c>
      <c r="V3566">
        <v>3.872979E-2</v>
      </c>
      <c r="W3566">
        <v>0.1996685</v>
      </c>
      <c r="X3566">
        <v>0.97909780000000002</v>
      </c>
      <c r="Y3566">
        <v>-0.171140299999999</v>
      </c>
      <c r="Z3566">
        <v>7.520611E-3</v>
      </c>
      <c r="AA3566">
        <v>0.98521800000000004</v>
      </c>
      <c r="AB3566">
        <v>32</v>
      </c>
      <c r="AC3566">
        <v>14.6165</v>
      </c>
      <c r="AD3566">
        <v>-1.1211401801945999</v>
      </c>
      <c r="AE3566">
        <v>2.5620999999999801</v>
      </c>
      <c r="AF3566">
        <v>-2.5930225569969001</v>
      </c>
      <c r="AG3566">
        <v>-1.1211401801945999</v>
      </c>
      <c r="AH3566">
        <v>14.5254987456262</v>
      </c>
      <c r="AI3566">
        <v>94.345160126457003</v>
      </c>
      <c r="AJ3566">
        <v>100.12155045218501</v>
      </c>
      <c r="AK3566">
        <v>14.7976631632812</v>
      </c>
      <c r="AL3566">
        <v>78.482425559490196</v>
      </c>
      <c r="AM3566">
        <v>87.734754188304905</v>
      </c>
      <c r="AN3566">
        <v>1.0000000042452599</v>
      </c>
    </row>
    <row r="3567" spans="1:40" x14ac:dyDescent="0.25">
      <c r="A3567" t="str">
        <f>"20190303162851212"</f>
        <v>20190303162851212</v>
      </c>
      <c r="B3567" t="str">
        <f>"1551601731205210"</f>
        <v>1551601731205210</v>
      </c>
      <c r="C3567" t="s">
        <v>40</v>
      </c>
      <c r="D3567">
        <v>5.5397309999999997</v>
      </c>
      <c r="E3567">
        <v>0.42005419999999999</v>
      </c>
      <c r="F3567" t="s">
        <v>48</v>
      </c>
      <c r="G3567">
        <v>-223.5257</v>
      </c>
      <c r="H3567" s="1">
        <v>2.44549299999999E-7</v>
      </c>
      <c r="I3567">
        <v>216.7869</v>
      </c>
      <c r="J3567">
        <v>-238.9074</v>
      </c>
      <c r="K3567">
        <v>1.1211409999999999</v>
      </c>
      <c r="L3567">
        <v>214.1524</v>
      </c>
      <c r="M3567">
        <v>0.99993189999999998</v>
      </c>
      <c r="N3567">
        <v>-1.123742E-2</v>
      </c>
      <c r="O3567">
        <v>-3.1285039999999998E-3</v>
      </c>
      <c r="P3567">
        <v>0.9811822</v>
      </c>
      <c r="Q3567">
        <v>0.1873311</v>
      </c>
      <c r="R3567">
        <v>-4.6783310000000002E-2</v>
      </c>
      <c r="S3567">
        <v>3.1228790000000002</v>
      </c>
      <c r="T3567">
        <v>-0.22312360000000001</v>
      </c>
      <c r="U3567">
        <v>0.52409359999999905</v>
      </c>
      <c r="V3567">
        <v>4.3720809999999999E-2</v>
      </c>
      <c r="W3567">
        <v>0.19834560000000001</v>
      </c>
      <c r="X3567">
        <v>0.97915660000000004</v>
      </c>
      <c r="Y3567">
        <v>-0.16810449999999999</v>
      </c>
      <c r="Z3567">
        <v>7.0955460000000003E-3</v>
      </c>
      <c r="AA3567">
        <v>0.98574360000000005</v>
      </c>
      <c r="AB3567">
        <v>32</v>
      </c>
      <c r="AC3567">
        <v>15.381699999999899</v>
      </c>
      <c r="AD3567">
        <v>-1.1211407554507</v>
      </c>
      <c r="AE3567">
        <v>2.6345000000000001</v>
      </c>
      <c r="AF3567">
        <v>-2.6688373232203699</v>
      </c>
      <c r="AG3567">
        <v>-1.1211407554507</v>
      </c>
      <c r="AH3567">
        <v>15.2944437171943</v>
      </c>
      <c r="AI3567">
        <v>94.130309348818699</v>
      </c>
      <c r="AJ3567">
        <v>99.898289821320304</v>
      </c>
      <c r="AK3567">
        <v>15.5659775751403</v>
      </c>
      <c r="AL3567">
        <v>78.559769900080497</v>
      </c>
      <c r="AM3567">
        <v>87.443355761349494</v>
      </c>
      <c r="AN3567">
        <v>1.00000006679498</v>
      </c>
    </row>
    <row r="3568" spans="1:40" x14ac:dyDescent="0.25">
      <c r="A3568" t="str">
        <f>"20190303162851245"</f>
        <v>20190303162851245</v>
      </c>
      <c r="B3568" t="str">
        <f>"1551601731235465"</f>
        <v>1551601731235465</v>
      </c>
      <c r="C3568" t="s">
        <v>40</v>
      </c>
      <c r="D3568">
        <v>5.266273</v>
      </c>
      <c r="E3568">
        <v>0.50177959999999899</v>
      </c>
      <c r="F3568" t="s">
        <v>48</v>
      </c>
      <c r="G3568">
        <v>-223.7012</v>
      </c>
      <c r="H3568" s="1">
        <v>3.4744289999999998E-7</v>
      </c>
      <c r="I3568">
        <v>216.56899999999999</v>
      </c>
      <c r="J3568">
        <v>-238.4264</v>
      </c>
      <c r="K3568">
        <v>1.1211150000000001</v>
      </c>
      <c r="L3568">
        <v>214.15090000000001</v>
      </c>
      <c r="M3568">
        <v>0.99993209999999999</v>
      </c>
      <c r="N3568">
        <v>-1.12306E-2</v>
      </c>
      <c r="O3568">
        <v>-3.12787E-3</v>
      </c>
      <c r="P3568">
        <v>0.98166390000000003</v>
      </c>
      <c r="Q3568">
        <v>0.182223</v>
      </c>
      <c r="R3568">
        <v>-5.5954579999999997E-2</v>
      </c>
      <c r="S3568">
        <v>3.1252439999999999</v>
      </c>
      <c r="T3568">
        <v>-0.2304213</v>
      </c>
      <c r="U3568">
        <v>0.49667359999999999</v>
      </c>
      <c r="V3568">
        <v>5.2890810000000003E-2</v>
      </c>
      <c r="W3568">
        <v>0.19323599999999999</v>
      </c>
      <c r="X3568">
        <v>0.97972570000000003</v>
      </c>
      <c r="Y3568">
        <v>-0.15954779999999999</v>
      </c>
      <c r="Z3568">
        <v>6.9341130000000004E-3</v>
      </c>
      <c r="AA3568">
        <v>0.98716590000000004</v>
      </c>
      <c r="AB3568">
        <v>32</v>
      </c>
      <c r="AC3568">
        <v>14.725199999999999</v>
      </c>
      <c r="AD3568">
        <v>-1.1211146525571001</v>
      </c>
      <c r="AE3568">
        <v>2.4180999999999999</v>
      </c>
      <c r="AF3568">
        <v>-2.4503188901253998</v>
      </c>
      <c r="AG3568">
        <v>-1.1211146525571001</v>
      </c>
      <c r="AH3568">
        <v>14.634957747917801</v>
      </c>
      <c r="AI3568">
        <v>94.320693198052794</v>
      </c>
      <c r="AJ3568">
        <v>99.504824638801495</v>
      </c>
      <c r="AK3568">
        <v>14.880959277238301</v>
      </c>
      <c r="AL3568">
        <v>78.858306194542394</v>
      </c>
      <c r="AM3568">
        <v>86.909868386968498</v>
      </c>
      <c r="AN3568">
        <v>1.0000000183594699</v>
      </c>
    </row>
    <row r="3569" spans="1:40" x14ac:dyDescent="0.25">
      <c r="A3569" t="str">
        <f>"20190303162851266"</f>
        <v>20190303162851266</v>
      </c>
      <c r="B3569" t="str">
        <f>"1551601731254986"</f>
        <v>1551601731254986</v>
      </c>
      <c r="C3569" t="s">
        <v>40</v>
      </c>
      <c r="D3569">
        <v>5.2674310000000002</v>
      </c>
      <c r="E3569">
        <v>0.51430770000000003</v>
      </c>
      <c r="F3569" t="s">
        <v>48</v>
      </c>
      <c r="G3569">
        <v>-214.2567</v>
      </c>
      <c r="H3569" s="1">
        <v>8.1101119999999896E-7</v>
      </c>
      <c r="I3569">
        <v>212.72630000000001</v>
      </c>
      <c r="J3569">
        <v>-238.10810000000001</v>
      </c>
      <c r="K3569">
        <v>1.1210910000000001</v>
      </c>
      <c r="L3569">
        <v>214.1499</v>
      </c>
      <c r="M3569">
        <v>0.99993200000000004</v>
      </c>
      <c r="N3569">
        <v>-1.12265E-2</v>
      </c>
      <c r="O3569">
        <v>-3.127608E-3</v>
      </c>
      <c r="P3569">
        <v>0.98216870000000001</v>
      </c>
      <c r="Q3569">
        <v>0.17695449999999999</v>
      </c>
      <c r="R3569">
        <v>-6.3495990000000002E-2</v>
      </c>
      <c r="S3569">
        <v>3.0721590000000001</v>
      </c>
      <c r="T3569">
        <v>-0.1425023</v>
      </c>
      <c r="U3569">
        <v>-0.18107599999999999</v>
      </c>
      <c r="V3569">
        <v>6.0430810000000001E-2</v>
      </c>
      <c r="W3569">
        <v>0.18796950000000001</v>
      </c>
      <c r="X3569">
        <v>0.98031400000000002</v>
      </c>
      <c r="Y3569">
        <v>5.5644010000000001E-2</v>
      </c>
      <c r="Z3569">
        <v>-1.49175E-3</v>
      </c>
      <c r="AA3569">
        <v>0.99844960000000005</v>
      </c>
      <c r="AB3569">
        <v>33</v>
      </c>
      <c r="AC3569">
        <v>23.851400000000002</v>
      </c>
      <c r="AD3569">
        <v>-1.1210901889888001</v>
      </c>
      <c r="AE3569">
        <v>-1.42359999999999</v>
      </c>
      <c r="AF3569">
        <v>1.3460272861806599</v>
      </c>
      <c r="AG3569">
        <v>-1.1210901889888001</v>
      </c>
      <c r="AH3569">
        <v>23.803334207171599</v>
      </c>
      <c r="AI3569">
        <v>92.692231144547605</v>
      </c>
      <c r="AJ3569">
        <v>86.763493872487302</v>
      </c>
      <c r="AK3569">
        <v>23.867705211127799</v>
      </c>
      <c r="AL3569">
        <v>79.165689552883904</v>
      </c>
      <c r="AM3569">
        <v>86.472503132189601</v>
      </c>
      <c r="AN3569">
        <v>0.99999997716175204</v>
      </c>
    </row>
    <row r="3570" spans="1:40" x14ac:dyDescent="0.25">
      <c r="A3570" t="str">
        <f>"20190303162851289"</f>
        <v>20190303162851289</v>
      </c>
      <c r="B3570" t="str">
        <f>"1551601731284951"</f>
        <v>1551601731284951</v>
      </c>
      <c r="C3570" t="s">
        <v>40</v>
      </c>
      <c r="D3570">
        <v>5.1858940000000002</v>
      </c>
      <c r="E3570">
        <v>0.52207349999999997</v>
      </c>
      <c r="F3570" t="s">
        <v>48</v>
      </c>
      <c r="G3570">
        <v>-221.2911</v>
      </c>
      <c r="H3570" s="1">
        <v>-7.5687989999999899E-7</v>
      </c>
      <c r="I3570">
        <v>212.49189999999999</v>
      </c>
      <c r="J3570">
        <v>-237.77770000000001</v>
      </c>
      <c r="K3570">
        <v>1.121051</v>
      </c>
      <c r="L3570">
        <v>214.14879999999999</v>
      </c>
      <c r="M3570">
        <v>0.9999323</v>
      </c>
      <c r="N3570">
        <v>-1.1222640000000001E-2</v>
      </c>
      <c r="O3570">
        <v>-3.1273479999999998E-3</v>
      </c>
      <c r="P3570">
        <v>0.98281560000000001</v>
      </c>
      <c r="Q3570">
        <v>0.17068169999999999</v>
      </c>
      <c r="R3570">
        <v>-7.0299180000000003E-2</v>
      </c>
      <c r="S3570">
        <v>3.071793</v>
      </c>
      <c r="T3570">
        <v>-0.2047784</v>
      </c>
      <c r="U3570">
        <v>-0.30284119999999998</v>
      </c>
      <c r="V3570">
        <v>6.7231700000000005E-2</v>
      </c>
      <c r="W3570">
        <v>0.1817008</v>
      </c>
      <c r="X3570">
        <v>0.98105290000000001</v>
      </c>
      <c r="Y3570">
        <v>9.4760230000000001E-2</v>
      </c>
      <c r="Z3570">
        <v>-3.5084069999999998E-3</v>
      </c>
      <c r="AA3570">
        <v>0.99549390000000004</v>
      </c>
      <c r="AB3570">
        <v>33</v>
      </c>
      <c r="AC3570">
        <v>16.486599999999999</v>
      </c>
      <c r="AD3570">
        <v>-1.1210517568798899</v>
      </c>
      <c r="AE3570">
        <v>-1.6569</v>
      </c>
      <c r="AF3570">
        <v>1.5980144731992201</v>
      </c>
      <c r="AG3570">
        <v>-1.1210517568798899</v>
      </c>
      <c r="AH3570">
        <v>16.4165552527631</v>
      </c>
      <c r="AI3570">
        <v>93.888221463648094</v>
      </c>
      <c r="AJ3570">
        <v>84.440250764191504</v>
      </c>
      <c r="AK3570">
        <v>16.532201718621199</v>
      </c>
      <c r="AL3570">
        <v>79.531158106245698</v>
      </c>
      <c r="AM3570">
        <v>86.0796412745688</v>
      </c>
      <c r="AN3570">
        <v>1.00000003740196</v>
      </c>
    </row>
    <row r="3571" spans="1:40" x14ac:dyDescent="0.25">
      <c r="A3571" t="str">
        <f>"20190303162851312"</f>
        <v>20190303162851312</v>
      </c>
      <c r="B3571" t="str">
        <f>"1551601731305449"</f>
        <v>1551601731305449</v>
      </c>
      <c r="C3571" t="s">
        <v>40</v>
      </c>
      <c r="D3571">
        <v>5.1774100000000001</v>
      </c>
      <c r="E3571">
        <v>0.52429579999999998</v>
      </c>
      <c r="F3571" t="s">
        <v>44</v>
      </c>
      <c r="G3571">
        <v>-236.84289999999999</v>
      </c>
      <c r="H3571">
        <v>1.0468900000000001</v>
      </c>
      <c r="I3571">
        <v>214.03149999999999</v>
      </c>
      <c r="J3571">
        <v>-237.44810000000001</v>
      </c>
      <c r="K3571">
        <v>1.121016</v>
      </c>
      <c r="L3571">
        <v>214.14769999999999</v>
      </c>
      <c r="M3571">
        <v>0.99993220000000005</v>
      </c>
      <c r="N3571">
        <v>-1.1217380000000001E-2</v>
      </c>
      <c r="O3571">
        <v>-3.1269610000000002E-3</v>
      </c>
      <c r="P3571">
        <v>0.98371529999999996</v>
      </c>
      <c r="Q3571">
        <v>0.16281019999999999</v>
      </c>
      <c r="R3571">
        <v>-7.6139680000000001E-2</v>
      </c>
      <c r="S3571">
        <v>3.0672760000000001</v>
      </c>
      <c r="T3571">
        <v>-0.24346860000000001</v>
      </c>
      <c r="U3571">
        <v>-0.38404850000000001</v>
      </c>
      <c r="V3571">
        <v>7.3069620000000002E-2</v>
      </c>
      <c r="W3571">
        <v>0.1738344</v>
      </c>
      <c r="X3571">
        <v>0.9820603</v>
      </c>
      <c r="Y3571">
        <v>0.1207144</v>
      </c>
      <c r="Z3571">
        <v>-5.2338410000000004E-3</v>
      </c>
      <c r="AA3571">
        <v>0.99267349999999999</v>
      </c>
      <c r="AB3571">
        <v>33</v>
      </c>
      <c r="AC3571">
        <v>0.60520000000002405</v>
      </c>
      <c r="AD3571">
        <v>-7.4126000000000095E-2</v>
      </c>
      <c r="AE3571">
        <v>-0.116199999999992</v>
      </c>
      <c r="AF3571">
        <v>0.11267662339880601</v>
      </c>
      <c r="AG3571">
        <v>-7.4126000000000095E-2</v>
      </c>
      <c r="AH3571">
        <v>0.59692387200177099</v>
      </c>
      <c r="AI3571">
        <v>96.9571267696967</v>
      </c>
      <c r="AJ3571">
        <v>79.310501801360004</v>
      </c>
      <c r="AK3571">
        <v>0.61197123649902296</v>
      </c>
      <c r="AL3571">
        <v>79.989165471600103</v>
      </c>
      <c r="AM3571">
        <v>85.744781927535797</v>
      </c>
      <c r="AN3571">
        <v>1.0000000004131899</v>
      </c>
    </row>
    <row r="3572" spans="1:40" x14ac:dyDescent="0.25">
      <c r="A3572" t="str">
        <f>"20190303162851333"</f>
        <v>20190303162851333</v>
      </c>
      <c r="B3572" t="str">
        <f>"1551601731324966"</f>
        <v>1551601731324966</v>
      </c>
      <c r="C3572" t="s">
        <v>40</v>
      </c>
      <c r="D3572">
        <v>5.1512589999999996</v>
      </c>
      <c r="E3572">
        <v>0.52544239999999998</v>
      </c>
      <c r="F3572" t="s">
        <v>44</v>
      </c>
      <c r="G3572">
        <v>-236.5556</v>
      </c>
      <c r="H3572">
        <v>1.04162</v>
      </c>
      <c r="I3572">
        <v>214.02549999999999</v>
      </c>
      <c r="J3572">
        <v>-237.13630000000001</v>
      </c>
      <c r="K3572">
        <v>1.1209800000000001</v>
      </c>
      <c r="L3572">
        <v>214.14670000000001</v>
      </c>
      <c r="M3572">
        <v>0.9999323</v>
      </c>
      <c r="N3572">
        <v>-1.1208360000000001E-2</v>
      </c>
      <c r="O3572">
        <v>-3.126434E-3</v>
      </c>
      <c r="P3572">
        <v>0.98457240000000001</v>
      </c>
      <c r="Q3572">
        <v>0.15519579999999999</v>
      </c>
      <c r="R3572">
        <v>-8.0816760000000001E-2</v>
      </c>
      <c r="S3572">
        <v>3.0623629999999999</v>
      </c>
      <c r="T3572">
        <v>-0.2725166</v>
      </c>
      <c r="U3572">
        <v>-0.4188385</v>
      </c>
      <c r="V3572">
        <v>7.774433E-2</v>
      </c>
      <c r="W3572">
        <v>0.16622120000000001</v>
      </c>
      <c r="X3572">
        <v>0.98301899999999998</v>
      </c>
      <c r="Y3572">
        <v>0.13184199999999999</v>
      </c>
      <c r="Z3572">
        <v>-6.3300839999999997E-3</v>
      </c>
      <c r="AA3572">
        <v>0.99125050000000003</v>
      </c>
      <c r="AB3572">
        <v>33</v>
      </c>
      <c r="AC3572">
        <v>0.58070000000000699</v>
      </c>
      <c r="AD3572">
        <v>-7.9359999999999806E-2</v>
      </c>
      <c r="AE3572">
        <v>-0.121200000000015</v>
      </c>
      <c r="AF3572">
        <v>0.117284721732398</v>
      </c>
      <c r="AG3572">
        <v>-7.9359999999999806E-2</v>
      </c>
      <c r="AH3572">
        <v>0.57085940474594399</v>
      </c>
      <c r="AI3572">
        <v>97.754507550834106</v>
      </c>
      <c r="AJ3572">
        <v>78.389973125854397</v>
      </c>
      <c r="AK3572">
        <v>0.58816169166202903</v>
      </c>
      <c r="AL3572">
        <v>80.431816306023194</v>
      </c>
      <c r="AM3572">
        <v>85.478043138892303</v>
      </c>
      <c r="AN3572">
        <v>1.0000000112687899</v>
      </c>
    </row>
    <row r="3573" spans="1:40" x14ac:dyDescent="0.25">
      <c r="A3573" t="str">
        <f>"20190303162851356"</f>
        <v>20190303162851356</v>
      </c>
      <c r="B3573" t="str">
        <f>"1551601731345463"</f>
        <v>1551601731345463</v>
      </c>
      <c r="C3573" t="s">
        <v>40</v>
      </c>
      <c r="D3573">
        <v>5.1582710000000001</v>
      </c>
      <c r="E3573">
        <v>0.52591999999999905</v>
      </c>
      <c r="F3573" t="s">
        <v>44</v>
      </c>
      <c r="G3573">
        <v>-236.26759999999999</v>
      </c>
      <c r="H3573">
        <v>1.0370740000000001</v>
      </c>
      <c r="I3573">
        <v>214.02070000000001</v>
      </c>
      <c r="J3573">
        <v>-236.81200000000001</v>
      </c>
      <c r="K3573">
        <v>1.1209469999999999</v>
      </c>
      <c r="L3573">
        <v>214.14570000000001</v>
      </c>
      <c r="M3573">
        <v>0.9999325</v>
      </c>
      <c r="N3573">
        <v>-1.119436E-2</v>
      </c>
      <c r="O3573">
        <v>-3.1262360000000001E-3</v>
      </c>
      <c r="P3573">
        <v>0.98527070000000005</v>
      </c>
      <c r="Q3573">
        <v>0.14917569999999999</v>
      </c>
      <c r="R3573">
        <v>-8.3597210000000005E-2</v>
      </c>
      <c r="S3573">
        <v>3.0572810000000001</v>
      </c>
      <c r="T3573">
        <v>-0.2954755</v>
      </c>
      <c r="U3573">
        <v>-0.4422913</v>
      </c>
      <c r="V3573">
        <v>8.0522389999999999E-2</v>
      </c>
      <c r="W3573">
        <v>0.1601958</v>
      </c>
      <c r="X3573">
        <v>0.98379539999999999</v>
      </c>
      <c r="Y3573">
        <v>0.13938249999999999</v>
      </c>
      <c r="Z3573">
        <v>-7.2062819999999996E-3</v>
      </c>
      <c r="AA3573">
        <v>0.99021239999999999</v>
      </c>
      <c r="AB3573">
        <v>33</v>
      </c>
      <c r="AC3573">
        <v>0.54440000000002398</v>
      </c>
      <c r="AD3573">
        <v>-8.3872999999999795E-2</v>
      </c>
      <c r="AE3573">
        <v>-0.125</v>
      </c>
      <c r="AF3573">
        <v>0.12057863520027</v>
      </c>
      <c r="AG3573">
        <v>-8.3872999999999795E-2</v>
      </c>
      <c r="AH3573">
        <v>0.53277548673431696</v>
      </c>
      <c r="AI3573">
        <v>98.729209579688302</v>
      </c>
      <c r="AJ3573">
        <v>77.247560012612198</v>
      </c>
      <c r="AK3573">
        <v>0.55265143323866295</v>
      </c>
      <c r="AL3573">
        <v>80.781738382996394</v>
      </c>
      <c r="AM3573">
        <v>85.320844316363505</v>
      </c>
      <c r="AN3573">
        <v>0.99999996934505497</v>
      </c>
    </row>
    <row r="3574" spans="1:40" x14ac:dyDescent="0.25">
      <c r="A3574" t="str">
        <f>"20190303162851379"</f>
        <v>20190303162851379</v>
      </c>
      <c r="B3574" t="str">
        <f>"1551601731364982"</f>
        <v>1551601731364982</v>
      </c>
      <c r="C3574" t="s">
        <v>40</v>
      </c>
      <c r="D3574">
        <v>5.1550529999999997</v>
      </c>
      <c r="E3574">
        <v>0.52617650000000005</v>
      </c>
      <c r="F3574" t="s">
        <v>44</v>
      </c>
      <c r="G3574">
        <v>-235.97659999999999</v>
      </c>
      <c r="H3574">
        <v>1.035792</v>
      </c>
      <c r="I3574">
        <v>214.02119999999999</v>
      </c>
      <c r="J3574">
        <v>-236.4726</v>
      </c>
      <c r="K3574">
        <v>1.120922</v>
      </c>
      <c r="L3574">
        <v>214.1446</v>
      </c>
      <c r="M3574">
        <v>0.99993279999999995</v>
      </c>
      <c r="N3574">
        <v>-1.1171800000000001E-2</v>
      </c>
      <c r="O3574">
        <v>-3.125872E-3</v>
      </c>
      <c r="P3574">
        <v>0.98559319999999895</v>
      </c>
      <c r="Q3574">
        <v>0.14584720000000001</v>
      </c>
      <c r="R3574">
        <v>-8.5643910000000004E-2</v>
      </c>
      <c r="S3574">
        <v>3.053436</v>
      </c>
      <c r="T3574">
        <v>-0.31133519999999998</v>
      </c>
      <c r="U3574">
        <v>-0.45437620000000001</v>
      </c>
      <c r="V3574">
        <v>8.2568450000000002E-2</v>
      </c>
      <c r="W3574">
        <v>0.1568493</v>
      </c>
      <c r="X3574">
        <v>0.98416499999999996</v>
      </c>
      <c r="Y3574">
        <v>0.14329900000000001</v>
      </c>
      <c r="Z3574">
        <v>-7.772681E-3</v>
      </c>
      <c r="AA3574">
        <v>0.98964890000000005</v>
      </c>
      <c r="AB3574">
        <v>33</v>
      </c>
      <c r="AC3574">
        <v>0.49600000000000899</v>
      </c>
      <c r="AD3574">
        <v>-8.51299999999999E-2</v>
      </c>
      <c r="AE3574">
        <v>-0.12340000000000299</v>
      </c>
      <c r="AF3574">
        <v>0.118559915762854</v>
      </c>
      <c r="AG3574">
        <v>-8.51299999999999E-2</v>
      </c>
      <c r="AH3574">
        <v>0.48298492358504302</v>
      </c>
      <c r="AI3574">
        <v>99.713532536160997</v>
      </c>
      <c r="AJ3574">
        <v>76.208118188518597</v>
      </c>
      <c r="AK3574">
        <v>0.50455723851327805</v>
      </c>
      <c r="AL3574">
        <v>80.975934627451807</v>
      </c>
      <c r="AM3574">
        <v>85.204289187291394</v>
      </c>
      <c r="AN3574">
        <v>0.99999999953544605</v>
      </c>
    </row>
    <row r="3575" spans="1:40" x14ac:dyDescent="0.25">
      <c r="A3575" t="str">
        <f>"20190303162851401"</f>
        <v>20190303162851401</v>
      </c>
      <c r="B3575" t="str">
        <f>"1551601731394930"</f>
        <v>1551601731394930</v>
      </c>
      <c r="C3575" t="s">
        <v>40</v>
      </c>
      <c r="D3575">
        <v>5.1512460000000004</v>
      </c>
      <c r="E3575">
        <v>0.52602689999999996</v>
      </c>
      <c r="F3575" t="s">
        <v>44</v>
      </c>
      <c r="G3575">
        <v>-235.6832</v>
      </c>
      <c r="H3575">
        <v>1.0389539999999999</v>
      </c>
      <c r="I3575">
        <v>214.0248</v>
      </c>
      <c r="J3575">
        <v>-236.13829999999999</v>
      </c>
      <c r="K3575">
        <v>1.120903</v>
      </c>
      <c r="L3575">
        <v>214.14349999999999</v>
      </c>
      <c r="M3575">
        <v>0.99993319999999997</v>
      </c>
      <c r="N3575">
        <v>-1.113168E-2</v>
      </c>
      <c r="O3575">
        <v>-3.1255290000000002E-3</v>
      </c>
      <c r="P3575">
        <v>0.98573339999999998</v>
      </c>
      <c r="Q3575">
        <v>0.14408460000000001</v>
      </c>
      <c r="R3575">
        <v>-8.7002250000000003E-2</v>
      </c>
      <c r="S3575">
        <v>3.0505680000000002</v>
      </c>
      <c r="T3575">
        <v>-0.31687939999999998</v>
      </c>
      <c r="U3575">
        <v>-0.46224979999999899</v>
      </c>
      <c r="V3575">
        <v>8.3926669999999995E-2</v>
      </c>
      <c r="W3575">
        <v>0.15504809999999999</v>
      </c>
      <c r="X3575">
        <v>0.98433550000000003</v>
      </c>
      <c r="Y3575">
        <v>0.145889299999999</v>
      </c>
      <c r="Z3575">
        <v>-8.0458479999999995E-3</v>
      </c>
      <c r="AA3575">
        <v>0.98926820000000004</v>
      </c>
      <c r="AB3575">
        <v>33</v>
      </c>
      <c r="AC3575">
        <v>0.45509999999998701</v>
      </c>
      <c r="AD3575">
        <v>-8.19489999999998E-2</v>
      </c>
      <c r="AE3575">
        <v>-0.11869999999998899</v>
      </c>
      <c r="AF3575">
        <v>0.11382137259280301</v>
      </c>
      <c r="AG3575">
        <v>-8.19489999999998E-2</v>
      </c>
      <c r="AH3575">
        <v>0.44204853904668301</v>
      </c>
      <c r="AI3575">
        <v>100.177822154133</v>
      </c>
      <c r="AJ3575">
        <v>75.560779549537401</v>
      </c>
      <c r="AK3575">
        <v>0.46376486966265201</v>
      </c>
      <c r="AL3575">
        <v>81.080413986307406</v>
      </c>
      <c r="AM3575">
        <v>85.126618768437396</v>
      </c>
      <c r="AN3575">
        <v>0.99999998790557398</v>
      </c>
    </row>
    <row r="3576" spans="1:40" x14ac:dyDescent="0.25">
      <c r="A3576" t="str">
        <f>"20190303162851424"</f>
        <v>20190303162851424</v>
      </c>
      <c r="B3576" t="str">
        <f>"1551601731415426"</f>
        <v>1551601731415426</v>
      </c>
      <c r="C3576" t="s">
        <v>40</v>
      </c>
      <c r="D3576">
        <v>5.1884240000000004</v>
      </c>
      <c r="E3576">
        <v>0.52580070000000001</v>
      </c>
      <c r="F3576" t="s">
        <v>44</v>
      </c>
      <c r="G3576">
        <v>-235.3871</v>
      </c>
      <c r="H3576">
        <v>1.044292</v>
      </c>
      <c r="I3576">
        <v>214.02869999999999</v>
      </c>
      <c r="J3576">
        <v>-235.82249999999999</v>
      </c>
      <c r="K3576">
        <v>1.1208800000000001</v>
      </c>
      <c r="L3576">
        <v>214.14250000000001</v>
      </c>
      <c r="M3576">
        <v>0.99993410000000005</v>
      </c>
      <c r="N3576">
        <v>-1.1049389999999999E-2</v>
      </c>
      <c r="O3576">
        <v>-3.1251909999999998E-3</v>
      </c>
      <c r="P3576">
        <v>0.98570469999999999</v>
      </c>
      <c r="Q3576">
        <v>0.14338090000000001</v>
      </c>
      <c r="R3576">
        <v>-8.8477840000000002E-2</v>
      </c>
      <c r="S3576">
        <v>3.047806</v>
      </c>
      <c r="T3576">
        <v>-0.31095270000000003</v>
      </c>
      <c r="U3576">
        <v>-0.46517940000000002</v>
      </c>
      <c r="V3576">
        <v>8.5402499999999895E-2</v>
      </c>
      <c r="W3576">
        <v>0.15426379999999901</v>
      </c>
      <c r="X3576">
        <v>0.98433179999999998</v>
      </c>
      <c r="Y3576">
        <v>0.14697440000000001</v>
      </c>
      <c r="Z3576">
        <v>-7.9724529999999991E-3</v>
      </c>
      <c r="AA3576">
        <v>0.98910810000000005</v>
      </c>
      <c r="AB3576">
        <v>33</v>
      </c>
      <c r="AC3576">
        <v>0.43539999999998702</v>
      </c>
      <c r="AD3576">
        <v>-7.6587999999999795E-2</v>
      </c>
      <c r="AE3576">
        <v>-0.11380000000002601</v>
      </c>
      <c r="AF3576">
        <v>0.109273741070621</v>
      </c>
      <c r="AG3576">
        <v>-7.6587999999999795E-2</v>
      </c>
      <c r="AH3576">
        <v>0.423487994908329</v>
      </c>
      <c r="AI3576">
        <v>99.932624779877301</v>
      </c>
      <c r="AJ3576">
        <v>75.531416248071693</v>
      </c>
      <c r="AK3576">
        <v>0.44401413723331601</v>
      </c>
      <c r="AL3576">
        <v>81.125898423701599</v>
      </c>
      <c r="AM3576">
        <v>85.0413266152121</v>
      </c>
      <c r="AN3576">
        <v>0.99999999974396403</v>
      </c>
    </row>
    <row r="3577" spans="1:40" x14ac:dyDescent="0.25">
      <c r="A3577" t="str">
        <f>"20190303162851445"</f>
        <v>20190303162851445</v>
      </c>
      <c r="B3577" t="str">
        <f>"1551601731434946"</f>
        <v>1551601731434946</v>
      </c>
      <c r="C3577" t="s">
        <v>40</v>
      </c>
      <c r="D3577">
        <v>5.1726359999999998</v>
      </c>
      <c r="E3577">
        <v>0.52555689999999999</v>
      </c>
      <c r="F3577" t="s">
        <v>44</v>
      </c>
      <c r="G3577">
        <v>-234.8151</v>
      </c>
      <c r="H3577">
        <v>1.018797</v>
      </c>
      <c r="I3577">
        <v>213.98769999999999</v>
      </c>
      <c r="J3577">
        <v>-235.49860000000001</v>
      </c>
      <c r="K3577">
        <v>1.120844</v>
      </c>
      <c r="L3577">
        <v>214.14150000000001</v>
      </c>
      <c r="M3577">
        <v>0.99993600000000005</v>
      </c>
      <c r="N3577">
        <v>-1.089063E-2</v>
      </c>
      <c r="O3577">
        <v>-3.1219210000000002E-3</v>
      </c>
      <c r="P3577">
        <v>0.98545459999999996</v>
      </c>
      <c r="Q3577">
        <v>0.14379059999999999</v>
      </c>
      <c r="R3577">
        <v>-9.0574940000000007E-2</v>
      </c>
      <c r="S3577">
        <v>3.0464020000000001</v>
      </c>
      <c r="T3577">
        <v>-0.30873260000000002</v>
      </c>
      <c r="U3577">
        <v>-0.46813959999999999</v>
      </c>
      <c r="V3577">
        <v>8.7503049999999999E-2</v>
      </c>
      <c r="W3577">
        <v>0.15451389999999901</v>
      </c>
      <c r="X3577">
        <v>0.98410799999999998</v>
      </c>
      <c r="Y3577">
        <v>0.1479907</v>
      </c>
      <c r="Z3577">
        <v>-7.9692779999999998E-3</v>
      </c>
      <c r="AA3577">
        <v>0.98895659999999996</v>
      </c>
      <c r="AB3577">
        <v>33</v>
      </c>
      <c r="AC3577">
        <v>0.68350000000000899</v>
      </c>
      <c r="AD3577">
        <v>-0.102047</v>
      </c>
      <c r="AE3577">
        <v>-0.15380000000001801</v>
      </c>
      <c r="AF3577">
        <v>0.148514346959008</v>
      </c>
      <c r="AG3577">
        <v>-0.102047</v>
      </c>
      <c r="AH3577">
        <v>0.66976678829551595</v>
      </c>
      <c r="AI3577">
        <v>98.460650990024703</v>
      </c>
      <c r="AJ3577">
        <v>77.497502929473896</v>
      </c>
      <c r="AK3577">
        <v>0.69358319772421795</v>
      </c>
      <c r="AL3577">
        <v>81.111394339556298</v>
      </c>
      <c r="AM3577">
        <v>84.918845014725804</v>
      </c>
      <c r="AN3577">
        <v>0.99999994235825396</v>
      </c>
    </row>
    <row r="3578" spans="1:40" x14ac:dyDescent="0.25">
      <c r="A3578" t="str">
        <f>"20190303162851469"</f>
        <v>20190303162851469</v>
      </c>
      <c r="B3578" t="str">
        <f>"1551601731465202"</f>
        <v>1551601731465202</v>
      </c>
      <c r="C3578" t="s">
        <v>40</v>
      </c>
      <c r="D3578">
        <v>5.1594680000000004</v>
      </c>
      <c r="E3578">
        <v>0.50543700000000003</v>
      </c>
      <c r="F3578" t="s">
        <v>44</v>
      </c>
      <c r="G3578">
        <v>-234.5206</v>
      </c>
      <c r="H3578">
        <v>1.021212</v>
      </c>
      <c r="I3578">
        <v>213.9897</v>
      </c>
      <c r="J3578">
        <v>-235.1671</v>
      </c>
      <c r="K3578">
        <v>1.120806</v>
      </c>
      <c r="L3578">
        <v>214.1404</v>
      </c>
      <c r="M3578">
        <v>0.99993810000000005</v>
      </c>
      <c r="N3578">
        <v>-1.068858E-2</v>
      </c>
      <c r="O3578">
        <v>-3.115914E-3</v>
      </c>
      <c r="P3578">
        <v>0.98519060000000003</v>
      </c>
      <c r="Q3578">
        <v>0.1447155</v>
      </c>
      <c r="R3578">
        <v>-9.1964160000000003E-2</v>
      </c>
      <c r="S3578">
        <v>3.0462189999999998</v>
      </c>
      <c r="T3578">
        <v>-0.3104402</v>
      </c>
      <c r="U3578">
        <v>-0.47184749999999998</v>
      </c>
      <c r="V3578">
        <v>8.8898199999999997E-2</v>
      </c>
      <c r="W3578">
        <v>0.15523799999999999</v>
      </c>
      <c r="X3578">
        <v>0.98386899999999999</v>
      </c>
      <c r="Y3578">
        <v>0.14916769999999999</v>
      </c>
      <c r="Z3578">
        <v>-8.0589830000000005E-3</v>
      </c>
      <c r="AA3578">
        <v>0.98877910000000002</v>
      </c>
      <c r="AB3578">
        <v>33</v>
      </c>
      <c r="AC3578">
        <v>0.64650000000000296</v>
      </c>
      <c r="AD3578">
        <v>-9.9593999999999905E-2</v>
      </c>
      <c r="AE3578">
        <v>-0.1507</v>
      </c>
      <c r="AF3578">
        <v>0.14541168881580099</v>
      </c>
      <c r="AG3578">
        <v>-9.9593999999999905E-2</v>
      </c>
      <c r="AH3578">
        <v>0.63272465494951902</v>
      </c>
      <c r="AI3578">
        <v>98.721519687424006</v>
      </c>
      <c r="AJ3578">
        <v>77.057124823555199</v>
      </c>
      <c r="AK3578">
        <v>0.65681352990118202</v>
      </c>
      <c r="AL3578">
        <v>81.069399982148795</v>
      </c>
      <c r="AM3578">
        <v>84.837018122996597</v>
      </c>
      <c r="AN3578">
        <v>0.99999996788411905</v>
      </c>
    </row>
    <row r="3579" spans="1:40" x14ac:dyDescent="0.25">
      <c r="A3579" t="str">
        <f>"20190303162851491"</f>
        <v>20190303162851491</v>
      </c>
      <c r="B3579" t="str">
        <f>"1551601731485255"</f>
        <v>1551601731485255</v>
      </c>
      <c r="C3579" t="s">
        <v>40</v>
      </c>
      <c r="D3579">
        <v>5.1391839999999904</v>
      </c>
      <c r="E3579">
        <v>0.50396989999999997</v>
      </c>
      <c r="F3579" t="s">
        <v>44</v>
      </c>
      <c r="G3579">
        <v>-234.29069999999999</v>
      </c>
      <c r="H3579">
        <v>0.88773449999999998</v>
      </c>
      <c r="I3579">
        <v>214.05260000000001</v>
      </c>
      <c r="J3579">
        <v>-234.83529999999999</v>
      </c>
      <c r="K3579">
        <v>1.12077</v>
      </c>
      <c r="L3579">
        <v>214.13939999999999</v>
      </c>
      <c r="M3579">
        <v>0.99994079999999996</v>
      </c>
      <c r="N3579">
        <v>-1.044758E-2</v>
      </c>
      <c r="O3579">
        <v>-3.1052990000000002E-3</v>
      </c>
      <c r="P3579">
        <v>0.98474779999999995</v>
      </c>
      <c r="Q3579">
        <v>0.14668979999999901</v>
      </c>
      <c r="R3579">
        <v>-9.3564770000000005E-2</v>
      </c>
      <c r="S3579">
        <v>3.1383510000000001</v>
      </c>
      <c r="T3579">
        <v>-0.83462380000000003</v>
      </c>
      <c r="U3579">
        <v>-0.314422599999999</v>
      </c>
      <c r="V3579">
        <v>9.0509500000000007E-2</v>
      </c>
      <c r="W3579">
        <v>0.15697120000000001</v>
      </c>
      <c r="X3579">
        <v>0.98344699999999996</v>
      </c>
      <c r="Y3579">
        <v>9.3351799999999999E-2</v>
      </c>
      <c r="Z3579">
        <v>-1.189169E-2</v>
      </c>
      <c r="AA3579">
        <v>0.99556219999999995</v>
      </c>
      <c r="AB3579">
        <v>33</v>
      </c>
      <c r="AC3579">
        <v>0.54460000000000197</v>
      </c>
      <c r="AD3579">
        <v>-0.23303550000000001</v>
      </c>
      <c r="AE3579">
        <v>-8.6799999999982405E-2</v>
      </c>
      <c r="AF3579">
        <v>7.2213584460202596E-2</v>
      </c>
      <c r="AG3579">
        <v>-0.23303550000000001</v>
      </c>
      <c r="AH3579">
        <v>0.46231417834843003</v>
      </c>
      <c r="AI3579">
        <v>116.474413313556</v>
      </c>
      <c r="AJ3579">
        <v>81.122124101539299</v>
      </c>
      <c r="AK3579">
        <v>0.52273774069108903</v>
      </c>
      <c r="AL3579">
        <v>80.968862351719693</v>
      </c>
      <c r="AM3579">
        <v>84.741714664299096</v>
      </c>
      <c r="AN3579">
        <v>0.99999996451434403</v>
      </c>
    </row>
    <row r="3580" spans="1:40" x14ac:dyDescent="0.25">
      <c r="A3580" t="str">
        <f>"20190303162851512"</f>
        <v>20190303162851512</v>
      </c>
      <c r="B3580" t="str">
        <f>"1551601731504774"</f>
        <v>1551601731504774</v>
      </c>
      <c r="C3580" t="s">
        <v>40</v>
      </c>
      <c r="D3580">
        <v>5.1334980000000003</v>
      </c>
      <c r="E3580">
        <v>0.50461789999999995</v>
      </c>
      <c r="F3580" t="s">
        <v>44</v>
      </c>
      <c r="G3580">
        <v>-233.9966</v>
      </c>
      <c r="H3580">
        <v>0.88630309999999901</v>
      </c>
      <c r="I3580">
        <v>214.05690000000001</v>
      </c>
      <c r="J3580">
        <v>-234.51400000000001</v>
      </c>
      <c r="K3580">
        <v>1.1207309999999999</v>
      </c>
      <c r="L3580">
        <v>214.13839999999999</v>
      </c>
      <c r="M3580">
        <v>0.99994349999999999</v>
      </c>
      <c r="N3580">
        <v>-1.0184149999999999E-2</v>
      </c>
      <c r="O3580">
        <v>-3.0897059999999998E-3</v>
      </c>
      <c r="P3580">
        <v>0.98440640000000001</v>
      </c>
      <c r="Q3580">
        <v>0.14791760000000001</v>
      </c>
      <c r="R3580">
        <v>-9.5209600000000005E-2</v>
      </c>
      <c r="S3580">
        <v>3.1482540000000001</v>
      </c>
      <c r="T3580">
        <v>-0.88008220000000004</v>
      </c>
      <c r="U3580">
        <v>-0.30862430000000002</v>
      </c>
      <c r="V3580">
        <v>9.216908E-2</v>
      </c>
      <c r="W3580">
        <v>0.15793750000000001</v>
      </c>
      <c r="X3580">
        <v>0.98313810000000001</v>
      </c>
      <c r="Y3580">
        <v>9.1008030000000004E-2</v>
      </c>
      <c r="Z3580">
        <v>-1.2111820000000001E-2</v>
      </c>
      <c r="AA3580">
        <v>0.99577649999999995</v>
      </c>
      <c r="AB3580">
        <v>33</v>
      </c>
      <c r="AC3580">
        <v>0.51740000000000896</v>
      </c>
      <c r="AD3580">
        <v>-0.23442789999999999</v>
      </c>
      <c r="AE3580">
        <v>-8.1499999999976994E-2</v>
      </c>
      <c r="AF3580">
        <v>6.6566415457615796E-2</v>
      </c>
      <c r="AG3580">
        <v>-0.23442789999999999</v>
      </c>
      <c r="AH3580">
        <v>0.43125992041746303</v>
      </c>
      <c r="AI3580">
        <v>118.245865676416</v>
      </c>
      <c r="AJ3580">
        <v>81.225451354459693</v>
      </c>
      <c r="AK3580">
        <v>0.49535103403925801</v>
      </c>
      <c r="AL3580">
        <v>80.912798049492494</v>
      </c>
      <c r="AM3580">
        <v>84.644181709097097</v>
      </c>
      <c r="AN3580">
        <v>0.99999995844295198</v>
      </c>
    </row>
    <row r="3581" spans="1:40" x14ac:dyDescent="0.25">
      <c r="A3581" t="str">
        <f>"20190303162851535"</f>
        <v>20190303162851535</v>
      </c>
      <c r="B3581" t="str">
        <f>"1551601731525271"</f>
        <v>1551601731525271</v>
      </c>
      <c r="C3581" t="s">
        <v>40</v>
      </c>
      <c r="D3581">
        <v>5.0944539999999998</v>
      </c>
      <c r="E3581">
        <v>0.50550919999999999</v>
      </c>
      <c r="F3581" t="s">
        <v>44</v>
      </c>
      <c r="G3581">
        <v>-233.69919999999999</v>
      </c>
      <c r="H3581">
        <v>0.89113469999999995</v>
      </c>
      <c r="I3581">
        <v>214.0557</v>
      </c>
      <c r="J3581">
        <v>-234.1875</v>
      </c>
      <c r="K3581">
        <v>1.12069</v>
      </c>
      <c r="L3581">
        <v>214.13740000000001</v>
      </c>
      <c r="M3581">
        <v>0.99994640000000001</v>
      </c>
      <c r="N3581">
        <v>-9.9067410000000002E-3</v>
      </c>
      <c r="O3581">
        <v>-3.068112E-3</v>
      </c>
      <c r="P3581">
        <v>0.98411130000000002</v>
      </c>
      <c r="Q3581">
        <v>0.14844689999999999</v>
      </c>
      <c r="R3581">
        <v>-9.7411079999999997E-2</v>
      </c>
      <c r="S3581">
        <v>3.1499790000000001</v>
      </c>
      <c r="T3581">
        <v>-0.88764390000000004</v>
      </c>
      <c r="U3581">
        <v>-0.3198242</v>
      </c>
      <c r="V3581">
        <v>9.4390970000000005E-2</v>
      </c>
      <c r="W3581">
        <v>0.15819179999999999</v>
      </c>
      <c r="X3581">
        <v>0.98288640000000005</v>
      </c>
      <c r="Y3581">
        <v>9.4300549999999997E-2</v>
      </c>
      <c r="Z3581">
        <v>-1.266257E-2</v>
      </c>
      <c r="AA3581">
        <v>0.99546330000000005</v>
      </c>
      <c r="AB3581">
        <v>33</v>
      </c>
      <c r="AC3581">
        <v>0.488300000000009</v>
      </c>
      <c r="AD3581">
        <v>-0.22955529999999999</v>
      </c>
      <c r="AE3581">
        <v>-8.1700000000012096E-2</v>
      </c>
      <c r="AF3581">
        <v>6.6010121730389199E-2</v>
      </c>
      <c r="AG3581">
        <v>-0.22955529999999999</v>
      </c>
      <c r="AH3581">
        <v>0.40210201740446599</v>
      </c>
      <c r="AI3581">
        <v>119.394637551887</v>
      </c>
      <c r="AJ3581">
        <v>80.677327779820601</v>
      </c>
      <c r="AK3581">
        <v>0.46769541833301298</v>
      </c>
      <c r="AL3581">
        <v>80.898042505084902</v>
      </c>
      <c r="AM3581">
        <v>84.514452871275296</v>
      </c>
      <c r="AN3581">
        <v>0.99999998805487</v>
      </c>
    </row>
    <row r="3582" spans="1:40" x14ac:dyDescent="0.25">
      <c r="A3582" t="str">
        <f>"20190303162851557"</f>
        <v>20190303162851557</v>
      </c>
      <c r="B3582" t="str">
        <f>"1551601731544790"</f>
        <v>1551601731544790</v>
      </c>
      <c r="C3582" t="s">
        <v>40</v>
      </c>
      <c r="D3582">
        <v>5.0706350000000002</v>
      </c>
      <c r="E3582">
        <v>0.50590570000000001</v>
      </c>
      <c r="F3582" t="s">
        <v>44</v>
      </c>
      <c r="G3582">
        <v>-233.3997</v>
      </c>
      <c r="H3582">
        <v>0.89975300000000002</v>
      </c>
      <c r="I3582">
        <v>214.05350000000001</v>
      </c>
      <c r="J3582">
        <v>-233.8535</v>
      </c>
      <c r="K3582">
        <v>1.120654</v>
      </c>
      <c r="L3582">
        <v>214.13640000000001</v>
      </c>
      <c r="M3582">
        <v>0.99994899999999998</v>
      </c>
      <c r="N3582">
        <v>-9.6331400000000001E-3</v>
      </c>
      <c r="O3582">
        <v>-3.0403779999999998E-3</v>
      </c>
      <c r="P3582">
        <v>0.98383929999999997</v>
      </c>
      <c r="Q3582">
        <v>0.14878930000000001</v>
      </c>
      <c r="R3582">
        <v>-9.9609290000000003E-2</v>
      </c>
      <c r="S3582">
        <v>3.1485599999999998</v>
      </c>
      <c r="T3582">
        <v>-0.883024699999999</v>
      </c>
      <c r="U3582">
        <v>-0.33409119999999998</v>
      </c>
      <c r="V3582">
        <v>9.6615549999999994E-2</v>
      </c>
      <c r="W3582">
        <v>0.15826379999999901</v>
      </c>
      <c r="X3582">
        <v>0.98265860000000005</v>
      </c>
      <c r="Y3582">
        <v>9.8699300000000004E-2</v>
      </c>
      <c r="Z3582">
        <v>-1.322276E-2</v>
      </c>
      <c r="AA3582">
        <v>0.99502939999999995</v>
      </c>
      <c r="AB3582">
        <v>33</v>
      </c>
      <c r="AC3582">
        <v>0.45380000000000098</v>
      </c>
      <c r="AD3582">
        <v>-0.22090099999999999</v>
      </c>
      <c r="AE3582">
        <v>-8.2899999999995005E-2</v>
      </c>
      <c r="AF3582">
        <v>6.6313861141087393E-2</v>
      </c>
      <c r="AG3582">
        <v>-0.22090099999999999</v>
      </c>
      <c r="AH3582">
        <v>0.36935560780587401</v>
      </c>
      <c r="AI3582">
        <v>120.483579560794</v>
      </c>
      <c r="AJ3582">
        <v>79.821594016750097</v>
      </c>
      <c r="AK3582">
        <v>0.43545188597373802</v>
      </c>
      <c r="AL3582">
        <v>80.893864316011701</v>
      </c>
      <c r="AM3582">
        <v>84.384694366474207</v>
      </c>
      <c r="AN3582">
        <v>0.99999995952309995</v>
      </c>
    </row>
    <row r="3583" spans="1:40" x14ac:dyDescent="0.25">
      <c r="A3583" t="str">
        <f>"20190303162851580"</f>
        <v>20190303162851580</v>
      </c>
      <c r="B3583" t="str">
        <f>"1551601731575046"</f>
        <v>1551601731575046</v>
      </c>
      <c r="C3583" t="s">
        <v>40</v>
      </c>
      <c r="D3583">
        <v>5.105677</v>
      </c>
      <c r="E3583">
        <v>0.50639009999999995</v>
      </c>
      <c r="F3583" t="s">
        <v>44</v>
      </c>
      <c r="G3583">
        <v>-233.0986</v>
      </c>
      <c r="H3583">
        <v>0.90959190000000001</v>
      </c>
      <c r="I3583">
        <v>214.0539</v>
      </c>
      <c r="J3583">
        <v>-233.5093</v>
      </c>
      <c r="K3583">
        <v>1.1206240000000001</v>
      </c>
      <c r="L3583">
        <v>214.1353</v>
      </c>
      <c r="M3583">
        <v>0.99995160000000005</v>
      </c>
      <c r="N3583">
        <v>-9.3718229999999996E-3</v>
      </c>
      <c r="O3583">
        <v>-3.0067879999999998E-3</v>
      </c>
      <c r="P3583">
        <v>0.98349719999999996</v>
      </c>
      <c r="Q3583">
        <v>0.149332399999999</v>
      </c>
      <c r="R3583">
        <v>-0.102142</v>
      </c>
      <c r="S3583">
        <v>3.1476139999999999</v>
      </c>
      <c r="T3583">
        <v>-0.88015129999999997</v>
      </c>
      <c r="U3583">
        <v>-0.34336850000000002</v>
      </c>
      <c r="V3583">
        <v>9.9180779999999996E-2</v>
      </c>
      <c r="W3583">
        <v>0.15854770000000001</v>
      </c>
      <c r="X3583">
        <v>0.98235729999999999</v>
      </c>
      <c r="Y3583">
        <v>0.1015757</v>
      </c>
      <c r="Z3583">
        <v>-1.3586869999999999E-2</v>
      </c>
      <c r="AA3583">
        <v>0.99473500000000004</v>
      </c>
      <c r="AB3583">
        <v>33</v>
      </c>
      <c r="AC3583">
        <v>0.41069999999999102</v>
      </c>
      <c r="AD3583">
        <v>-0.2110321</v>
      </c>
      <c r="AE3583">
        <v>-8.1400000000002096E-2</v>
      </c>
      <c r="AF3583">
        <v>6.3924790892810501E-2</v>
      </c>
      <c r="AG3583">
        <v>-0.2110321</v>
      </c>
      <c r="AH3583">
        <v>0.327693394398826</v>
      </c>
      <c r="AI3583">
        <v>122.29608775442399</v>
      </c>
      <c r="AJ3583">
        <v>78.961650952745202</v>
      </c>
      <c r="AK3583">
        <v>0.39497327359420698</v>
      </c>
      <c r="AL3583">
        <v>80.877390713123901</v>
      </c>
      <c r="AM3583">
        <v>84.234837978441107</v>
      </c>
      <c r="AN3583">
        <v>1.00000003257999</v>
      </c>
    </row>
    <row r="3584" spans="1:40" x14ac:dyDescent="0.25">
      <c r="A3584" t="str">
        <f>"20190303162851601"</f>
        <v>20190303162851601</v>
      </c>
      <c r="B3584" t="str">
        <f>"1551601731595125"</f>
        <v>1551601731595125</v>
      </c>
      <c r="C3584" t="s">
        <v>40</v>
      </c>
      <c r="D3584">
        <v>5.1033720000000002</v>
      </c>
      <c r="E3584">
        <v>0.50698699999999997</v>
      </c>
      <c r="F3584" t="s">
        <v>44</v>
      </c>
      <c r="G3584">
        <v>-232.7954</v>
      </c>
      <c r="H3584">
        <v>0.92200959999999998</v>
      </c>
      <c r="I3584">
        <v>214.05449999999999</v>
      </c>
      <c r="J3584">
        <v>-233.17670000000001</v>
      </c>
      <c r="K3584">
        <v>1.120603</v>
      </c>
      <c r="L3584">
        <v>214.1343</v>
      </c>
      <c r="M3584">
        <v>0.9999538</v>
      </c>
      <c r="N3584">
        <v>-9.1420370000000004E-3</v>
      </c>
      <c r="O3584">
        <v>-2.9714810000000002E-3</v>
      </c>
      <c r="P3584">
        <v>0.98315580000000002</v>
      </c>
      <c r="Q3584">
        <v>0.15041299999999999</v>
      </c>
      <c r="R3584">
        <v>-0.1038323</v>
      </c>
      <c r="S3584">
        <v>3.1463930000000002</v>
      </c>
      <c r="T3584">
        <v>-0.87532730000000003</v>
      </c>
      <c r="U3584">
        <v>-0.35499570000000003</v>
      </c>
      <c r="V3584">
        <v>0.1009052</v>
      </c>
      <c r="W3584">
        <v>0.15940070000000001</v>
      </c>
      <c r="X3584">
        <v>0.98204360000000002</v>
      </c>
      <c r="Y3584">
        <v>0.105185</v>
      </c>
      <c r="Z3584">
        <v>-1.402494E-2</v>
      </c>
      <c r="AA3584">
        <v>0.99435379999999995</v>
      </c>
      <c r="AB3584">
        <v>33</v>
      </c>
      <c r="AC3584">
        <v>0.38130000000001002</v>
      </c>
      <c r="AD3584">
        <v>-0.1985934</v>
      </c>
      <c r="AE3584">
        <v>-7.9800000000005797E-2</v>
      </c>
      <c r="AF3584">
        <v>6.2439559782457597E-2</v>
      </c>
      <c r="AG3584">
        <v>-0.1985934</v>
      </c>
      <c r="AH3584">
        <v>0.30283389980567998</v>
      </c>
      <c r="AI3584">
        <v>122.711546543466</v>
      </c>
      <c r="AJ3584">
        <v>78.349776705457202</v>
      </c>
      <c r="AK3584">
        <v>0.36748660930829002</v>
      </c>
      <c r="AL3584">
        <v>80.827887917391394</v>
      </c>
      <c r="AM3584">
        <v>84.133433645004999</v>
      </c>
      <c r="AN3584">
        <v>1.0000000374242399</v>
      </c>
    </row>
    <row r="3585" spans="1:40" x14ac:dyDescent="0.25">
      <c r="A3585" t="str">
        <f>"20190303162851624"</f>
        <v>20190303162851624</v>
      </c>
      <c r="B3585" t="str">
        <f>"1551601731615620"</f>
        <v>1551601731615620</v>
      </c>
      <c r="C3585" t="s">
        <v>40</v>
      </c>
      <c r="D3585">
        <v>5.0370339999999896</v>
      </c>
      <c r="E3585">
        <v>0.50761990000000001</v>
      </c>
      <c r="F3585" t="s">
        <v>44</v>
      </c>
      <c r="G3585">
        <v>-232.49420000000001</v>
      </c>
      <c r="H3585">
        <v>0.92839470000000002</v>
      </c>
      <c r="I3585">
        <v>214.0548</v>
      </c>
      <c r="J3585">
        <v>-232.86080000000001</v>
      </c>
      <c r="K3585">
        <v>1.1205849999999999</v>
      </c>
      <c r="L3585">
        <v>214.13339999999999</v>
      </c>
      <c r="M3585">
        <v>0.9999557</v>
      </c>
      <c r="N3585">
        <v>-8.9459869999999903E-3</v>
      </c>
      <c r="O3585">
        <v>-2.9354120000000001E-3</v>
      </c>
      <c r="P3585">
        <v>0.98295339999999998</v>
      </c>
      <c r="Q3585">
        <v>0.15105180000000001</v>
      </c>
      <c r="R3585">
        <v>-0.104814</v>
      </c>
      <c r="S3585">
        <v>3.148361</v>
      </c>
      <c r="T3585">
        <v>-0.88652129999999996</v>
      </c>
      <c r="U3585">
        <v>-0.36630249999999998</v>
      </c>
      <c r="V3585">
        <v>0.1019224</v>
      </c>
      <c r="W3585">
        <v>0.1598456</v>
      </c>
      <c r="X3585">
        <v>0.98186620000000002</v>
      </c>
      <c r="Y3585">
        <v>0.10845589999999999</v>
      </c>
      <c r="Z3585">
        <v>-1.4644519999999999E-2</v>
      </c>
      <c r="AA3585">
        <v>0.99399340000000003</v>
      </c>
      <c r="AB3585">
        <v>33</v>
      </c>
      <c r="AC3585">
        <v>0.36660000000000498</v>
      </c>
      <c r="AD3585">
        <v>-0.19219029999999901</v>
      </c>
      <c r="AE3585">
        <v>-7.8599999999994397E-2</v>
      </c>
      <c r="AF3585">
        <v>6.13921017877209E-2</v>
      </c>
      <c r="AG3585">
        <v>-0.19219029999999901</v>
      </c>
      <c r="AH3585">
        <v>0.29049789791221098</v>
      </c>
      <c r="AI3585">
        <v>122.914678022796</v>
      </c>
      <c r="AJ3585">
        <v>78.067032699983301</v>
      </c>
      <c r="AK3585">
        <v>0.35368789952077401</v>
      </c>
      <c r="AL3585">
        <v>80.802065711161504</v>
      </c>
      <c r="AM3585">
        <v>84.073650000985396</v>
      </c>
      <c r="AN3585">
        <v>1.0000000130817699</v>
      </c>
    </row>
    <row r="3586" spans="1:40" x14ac:dyDescent="0.25">
      <c r="A3586" t="str">
        <f>"20190303162851646"</f>
        <v>20190303162851646</v>
      </c>
      <c r="B3586" t="str">
        <f>"1551601731635141"</f>
        <v>1551601731635141</v>
      </c>
      <c r="C3586" t="s">
        <v>40</v>
      </c>
      <c r="D3586">
        <v>5.062271</v>
      </c>
      <c r="E3586">
        <v>0.5080422</v>
      </c>
      <c r="F3586" t="s">
        <v>44</v>
      </c>
      <c r="G3586">
        <v>-231.9264</v>
      </c>
      <c r="H3586">
        <v>0.85390719999999998</v>
      </c>
      <c r="I3586">
        <v>214.02199999999999</v>
      </c>
      <c r="J3586">
        <v>-232.5187</v>
      </c>
      <c r="K3586">
        <v>1.12056</v>
      </c>
      <c r="L3586">
        <v>214.13249999999999</v>
      </c>
      <c r="M3586">
        <v>0.99995750000000005</v>
      </c>
      <c r="N3586">
        <v>-8.7585249999999996E-3</v>
      </c>
      <c r="O3586">
        <v>-2.8952349999999999E-3</v>
      </c>
      <c r="P3586">
        <v>0.98266399999999998</v>
      </c>
      <c r="Q3586">
        <v>0.15196889999999999</v>
      </c>
      <c r="R3586">
        <v>-0.10619339999999999</v>
      </c>
      <c r="S3586">
        <v>3.1501619999999999</v>
      </c>
      <c r="T3586">
        <v>-0.89903679999999997</v>
      </c>
      <c r="U3586">
        <v>-0.37528990000000001</v>
      </c>
      <c r="V3586">
        <v>0.1033415</v>
      </c>
      <c r="W3586">
        <v>0.16057650000000001</v>
      </c>
      <c r="X3586">
        <v>0.98159859999999999</v>
      </c>
      <c r="Y3586">
        <v>0.1110162</v>
      </c>
      <c r="Z3586">
        <v>-1.519499E-2</v>
      </c>
      <c r="AA3586">
        <v>0.99370239999999999</v>
      </c>
      <c r="AB3586">
        <v>33</v>
      </c>
      <c r="AC3586">
        <v>0.59229999999999405</v>
      </c>
      <c r="AD3586">
        <v>-0.26665279999999902</v>
      </c>
      <c r="AE3586">
        <v>-0.11049999999997299</v>
      </c>
      <c r="AF3586">
        <v>9.0967534247460499E-2</v>
      </c>
      <c r="AG3586">
        <v>-0.26665279999999902</v>
      </c>
      <c r="AH3586">
        <v>0.49555669495710197</v>
      </c>
      <c r="AI3586">
        <v>117.889779634215</v>
      </c>
      <c r="AJ3586">
        <v>79.598225932575303</v>
      </c>
      <c r="AK3586">
        <v>0.57004845930123305</v>
      </c>
      <c r="AL3586">
        <v>80.759640501139003</v>
      </c>
      <c r="AM3586">
        <v>83.990108948871693</v>
      </c>
      <c r="AN3586">
        <v>1.00000004474822</v>
      </c>
    </row>
    <row r="3587" spans="1:40" x14ac:dyDescent="0.25">
      <c r="A3587" t="str">
        <f>"20190303162851670"</f>
        <v>20190303162851670</v>
      </c>
      <c r="B3587" t="str">
        <f>"1551601731665397"</f>
        <v>1551601731665397</v>
      </c>
      <c r="C3587" t="s">
        <v>40</v>
      </c>
      <c r="D3587">
        <v>5.0459399999999999</v>
      </c>
      <c r="E3587">
        <v>0.50848779999999905</v>
      </c>
      <c r="F3587" t="s">
        <v>44</v>
      </c>
      <c r="G3587">
        <v>-231.6225</v>
      </c>
      <c r="H3587">
        <v>0.86287009999999897</v>
      </c>
      <c r="I3587">
        <v>214.02340000000001</v>
      </c>
      <c r="J3587">
        <v>-232.17070000000001</v>
      </c>
      <c r="K3587">
        <v>1.1205419999999999</v>
      </c>
      <c r="L3587">
        <v>214.13149999999999</v>
      </c>
      <c r="M3587">
        <v>0.99995909999999999</v>
      </c>
      <c r="N3587">
        <v>-8.5911100000000008E-3</v>
      </c>
      <c r="O3587">
        <v>-2.8539709999999999E-3</v>
      </c>
      <c r="P3587">
        <v>0.98257510000000003</v>
      </c>
      <c r="Q3587">
        <v>0.151305</v>
      </c>
      <c r="R3587">
        <v>-0.1079503</v>
      </c>
      <c r="S3587">
        <v>3.1517179999999998</v>
      </c>
      <c r="T3587">
        <v>-0.90623379999999998</v>
      </c>
      <c r="U3587">
        <v>-0.38272089999999998</v>
      </c>
      <c r="V3587">
        <v>0.1051388</v>
      </c>
      <c r="W3587">
        <v>0.15974769999999999</v>
      </c>
      <c r="X3587">
        <v>0.9815429</v>
      </c>
      <c r="Y3587">
        <v>0.1131592</v>
      </c>
      <c r="Z3587">
        <v>-1.5610789999999999E-2</v>
      </c>
      <c r="AA3587">
        <v>0.99345419999999995</v>
      </c>
      <c r="AB3587">
        <v>34</v>
      </c>
      <c r="AC3587">
        <v>0.54820000000000801</v>
      </c>
      <c r="AD3587">
        <v>-0.25767190000000001</v>
      </c>
      <c r="AE3587">
        <v>-0.108099999999979</v>
      </c>
      <c r="AF3587">
        <v>8.7852177706935403E-2</v>
      </c>
      <c r="AG3587">
        <v>-0.25767190000000001</v>
      </c>
      <c r="AH3587">
        <v>0.45231607057810003</v>
      </c>
      <c r="AI3587">
        <v>119.214869686688</v>
      </c>
      <c r="AJ3587">
        <v>79.008441909344</v>
      </c>
      <c r="AK3587">
        <v>0.52792294975751297</v>
      </c>
      <c r="AL3587">
        <v>80.807747676160801</v>
      </c>
      <c r="AM3587">
        <v>83.8860263895467</v>
      </c>
      <c r="AN3587">
        <v>0.99999997973056898</v>
      </c>
    </row>
    <row r="3588" spans="1:40" x14ac:dyDescent="0.25">
      <c r="A3588" t="str">
        <f>"20190303162851691"</f>
        <v>20190303162851691</v>
      </c>
      <c r="B3588" t="str">
        <f>"1551601731685623"</f>
        <v>1551601731685623</v>
      </c>
      <c r="C3588" t="s">
        <v>40</v>
      </c>
      <c r="D3588">
        <v>5.0982399999999997</v>
      </c>
      <c r="E3588">
        <v>0.50886220000000004</v>
      </c>
      <c r="F3588" t="s">
        <v>44</v>
      </c>
      <c r="G3588">
        <v>-231.3177</v>
      </c>
      <c r="H3588">
        <v>0.87249519999999903</v>
      </c>
      <c r="I3588">
        <v>214.02610000000001</v>
      </c>
      <c r="J3588">
        <v>-231.84219999999999</v>
      </c>
      <c r="K3588">
        <v>1.1205240000000001</v>
      </c>
      <c r="L3588">
        <v>214.13059999999999</v>
      </c>
      <c r="M3588">
        <v>0.99996030000000002</v>
      </c>
      <c r="N3588">
        <v>-8.4529189999999997E-3</v>
      </c>
      <c r="O3588">
        <v>-2.8148729999999999E-3</v>
      </c>
      <c r="P3588">
        <v>0.98255210000000004</v>
      </c>
      <c r="Q3588">
        <v>0.15058929999999901</v>
      </c>
      <c r="R3588">
        <v>-0.10915469999999999</v>
      </c>
      <c r="S3588">
        <v>3.1515200000000001</v>
      </c>
      <c r="T3588">
        <v>-0.91641329999999999</v>
      </c>
      <c r="U3588">
        <v>-0.38938899999999999</v>
      </c>
      <c r="V3588">
        <v>0.1063812</v>
      </c>
      <c r="W3588">
        <v>0.1588966</v>
      </c>
      <c r="X3588">
        <v>0.98154719999999995</v>
      </c>
      <c r="Y3588">
        <v>0.11509709999999999</v>
      </c>
      <c r="Z3588">
        <v>-1.605881E-2</v>
      </c>
      <c r="AA3588">
        <v>0.99322440000000001</v>
      </c>
      <c r="AB3588">
        <v>34</v>
      </c>
      <c r="AC3588">
        <v>0.52449999999998898</v>
      </c>
      <c r="AD3588">
        <v>-0.24802879999999999</v>
      </c>
      <c r="AE3588">
        <v>-0.104499999999973</v>
      </c>
      <c r="AF3588">
        <v>8.4786875692396901E-2</v>
      </c>
      <c r="AG3588">
        <v>-0.24802879999999999</v>
      </c>
      <c r="AH3588">
        <v>0.43189796715009598</v>
      </c>
      <c r="AI3588">
        <v>119.40214683469</v>
      </c>
      <c r="AJ3588">
        <v>78.893374945366702</v>
      </c>
      <c r="AK3588">
        <v>0.50521574990047902</v>
      </c>
      <c r="AL3588">
        <v>80.857143225448098</v>
      </c>
      <c r="AM3588">
        <v>83.814362761016795</v>
      </c>
      <c r="AN3588">
        <v>0.99999999751641999</v>
      </c>
    </row>
    <row r="3589" spans="1:40" x14ac:dyDescent="0.25">
      <c r="A3589" t="str">
        <f>"20190303162851713"</f>
        <v>20190303162851713</v>
      </c>
      <c r="B3589" t="str">
        <f>"1551601731705143"</f>
        <v>1551601731705143</v>
      </c>
      <c r="C3589" t="s">
        <v>40</v>
      </c>
      <c r="D3589">
        <v>5.0367160000000002</v>
      </c>
      <c r="E3589">
        <v>0.50924729999999996</v>
      </c>
      <c r="F3589" t="s">
        <v>44</v>
      </c>
      <c r="G3589">
        <v>-231.0137</v>
      </c>
      <c r="H3589">
        <v>0.87814890000000001</v>
      </c>
      <c r="I3589">
        <v>214.02670000000001</v>
      </c>
      <c r="J3589">
        <v>-231.5067</v>
      </c>
      <c r="K3589">
        <v>1.120519</v>
      </c>
      <c r="L3589">
        <v>214.12960000000001</v>
      </c>
      <c r="M3589">
        <v>0.99996160000000001</v>
      </c>
      <c r="N3589">
        <v>-8.3302199999999993E-3</v>
      </c>
      <c r="O3589">
        <v>-2.7753719999999999E-3</v>
      </c>
      <c r="P3589">
        <v>0.98223130000000003</v>
      </c>
      <c r="Q3589">
        <v>0.15135689999999999</v>
      </c>
      <c r="R3589">
        <v>-0.1109647</v>
      </c>
      <c r="S3589">
        <v>3.150757</v>
      </c>
      <c r="T3589">
        <v>-0.92176650000000004</v>
      </c>
      <c r="U3589">
        <v>-0.39418029999999998</v>
      </c>
      <c r="V3589">
        <v>0.1082307</v>
      </c>
      <c r="W3589">
        <v>0.1595415</v>
      </c>
      <c r="X3589">
        <v>0.98124029999999995</v>
      </c>
      <c r="Y3589">
        <v>0.11653760000000001</v>
      </c>
      <c r="Z3589">
        <v>-1.6363490000000001E-2</v>
      </c>
      <c r="AA3589">
        <v>0.99305149999999998</v>
      </c>
      <c r="AB3589">
        <v>34</v>
      </c>
      <c r="AC3589">
        <v>0.492999999999995</v>
      </c>
      <c r="AD3589">
        <v>-0.2423701</v>
      </c>
      <c r="AE3589">
        <v>-0.102900000000005</v>
      </c>
      <c r="AF3589">
        <v>8.2438311613575704E-2</v>
      </c>
      <c r="AG3589">
        <v>-0.2423701</v>
      </c>
      <c r="AH3589">
        <v>0.40052157228107998</v>
      </c>
      <c r="AI3589">
        <v>120.655703170377</v>
      </c>
      <c r="AJ3589">
        <v>78.369386881432803</v>
      </c>
      <c r="AK3589">
        <v>0.47534920895928201</v>
      </c>
      <c r="AL3589">
        <v>80.819715288881298</v>
      </c>
      <c r="AM3589">
        <v>83.7057248905096</v>
      </c>
      <c r="AN3589">
        <v>0.99999995049441304</v>
      </c>
    </row>
    <row r="3590" spans="1:40" x14ac:dyDescent="0.25">
      <c r="A3590" t="str">
        <f>"20190303162851736"</f>
        <v>20190303162851736</v>
      </c>
      <c r="B3590" t="str">
        <f>"1551601731725639"</f>
        <v>1551601731725639</v>
      </c>
      <c r="C3590" t="s">
        <v>40</v>
      </c>
      <c r="D3590">
        <v>5.0786419999999897</v>
      </c>
      <c r="E3590">
        <v>0.5095227</v>
      </c>
      <c r="F3590" t="s">
        <v>44</v>
      </c>
      <c r="G3590">
        <v>-230.70769999999999</v>
      </c>
      <c r="H3590">
        <v>0.88702209999999904</v>
      </c>
      <c r="I3590">
        <v>214.02770000000001</v>
      </c>
      <c r="J3590">
        <v>-231.167</v>
      </c>
      <c r="K3590">
        <v>1.120517</v>
      </c>
      <c r="L3590">
        <v>214.12870000000001</v>
      </c>
      <c r="M3590">
        <v>0.99996240000000003</v>
      </c>
      <c r="N3590">
        <v>-8.2231460000000006E-3</v>
      </c>
      <c r="O3590">
        <v>-2.7354670000000001E-3</v>
      </c>
      <c r="P3590">
        <v>0.98185860000000003</v>
      </c>
      <c r="Q3590">
        <v>0.1528621</v>
      </c>
      <c r="R3590">
        <v>-0.1121926</v>
      </c>
      <c r="S3590">
        <v>3.1508639999999999</v>
      </c>
      <c r="T3590">
        <v>-0.92091670000000003</v>
      </c>
      <c r="U3590">
        <v>-0.40122989999999997</v>
      </c>
      <c r="V3590">
        <v>0.10949830000000001</v>
      </c>
      <c r="W3590">
        <v>0.1609389</v>
      </c>
      <c r="X3590">
        <v>0.98087139999999995</v>
      </c>
      <c r="Y3590">
        <v>0.1186798</v>
      </c>
      <c r="Z3590">
        <v>-1.666581E-2</v>
      </c>
      <c r="AA3590">
        <v>0.99279269999999997</v>
      </c>
      <c r="AB3590">
        <v>34</v>
      </c>
      <c r="AC3590">
        <v>0.45930000000001298</v>
      </c>
      <c r="AD3590">
        <v>-0.23349490000000001</v>
      </c>
      <c r="AE3590">
        <v>-0.10099999999999899</v>
      </c>
      <c r="AF3590">
        <v>8.0017275883066105E-2</v>
      </c>
      <c r="AG3590">
        <v>-0.23349490000000001</v>
      </c>
      <c r="AH3590">
        <v>0.36868591474349199</v>
      </c>
      <c r="AI3590">
        <v>121.753691857813</v>
      </c>
      <c r="AJ3590">
        <v>77.754791201753605</v>
      </c>
      <c r="AK3590">
        <v>0.443679993346558</v>
      </c>
      <c r="AL3590">
        <v>80.738602058459605</v>
      </c>
      <c r="AM3590">
        <v>83.630233171399396</v>
      </c>
      <c r="AN3590">
        <v>0.99999995528702901</v>
      </c>
    </row>
    <row r="3591" spans="1:40" x14ac:dyDescent="0.25">
      <c r="A3591" t="str">
        <f>"20190303162851758"</f>
        <v>20190303162851758</v>
      </c>
      <c r="B3591" t="str">
        <f>"1551601731754921"</f>
        <v>1551601731754921</v>
      </c>
      <c r="C3591" t="s">
        <v>40</v>
      </c>
      <c r="D3591">
        <v>5.0393489999999996</v>
      </c>
      <c r="E3591">
        <v>0.5095963</v>
      </c>
      <c r="F3591" t="s">
        <v>44</v>
      </c>
      <c r="G3591">
        <v>-230.40039999999999</v>
      </c>
      <c r="H3591">
        <v>0.89716019999999896</v>
      </c>
      <c r="I3591">
        <v>214.02950000000001</v>
      </c>
      <c r="J3591">
        <v>-230.8295</v>
      </c>
      <c r="K3591">
        <v>1.1205240000000001</v>
      </c>
      <c r="L3591">
        <v>214.12780000000001</v>
      </c>
      <c r="M3591">
        <v>0.99996339999999995</v>
      </c>
      <c r="N3591">
        <v>-8.131905E-3</v>
      </c>
      <c r="O3591">
        <v>-2.69623E-3</v>
      </c>
      <c r="P3591">
        <v>0.98119369999999995</v>
      </c>
      <c r="Q3591">
        <v>0.15573979999999901</v>
      </c>
      <c r="R3591">
        <v>-0.1140381</v>
      </c>
      <c r="S3591">
        <v>3.1519469999999998</v>
      </c>
      <c r="T3591">
        <v>-0.91834899999999997</v>
      </c>
      <c r="U3591">
        <v>-0.40690609999999999</v>
      </c>
      <c r="V3591">
        <v>0.11138380000000001</v>
      </c>
      <c r="W3591">
        <v>0.16372149999999999</v>
      </c>
      <c r="X3591">
        <v>0.98019840000000003</v>
      </c>
      <c r="Y3591">
        <v>0.1203938</v>
      </c>
      <c r="Z3591">
        <v>-1.687141E-2</v>
      </c>
      <c r="AA3591">
        <v>0.99258290000000005</v>
      </c>
      <c r="AB3591">
        <v>34</v>
      </c>
      <c r="AC3591">
        <v>0.42910000000000498</v>
      </c>
      <c r="AD3591">
        <v>-0.2233638</v>
      </c>
      <c r="AE3591">
        <v>-9.8299999999994697E-2</v>
      </c>
      <c r="AF3591">
        <v>7.7253617236888394E-2</v>
      </c>
      <c r="AG3591">
        <v>-0.2233638</v>
      </c>
      <c r="AH3591">
        <v>0.341455393886201</v>
      </c>
      <c r="AI3591">
        <v>122.538946289926</v>
      </c>
      <c r="AJ3591">
        <v>77.251572352218204</v>
      </c>
      <c r="AK3591">
        <v>0.41527255452365802</v>
      </c>
      <c r="AL3591">
        <v>80.577028063759101</v>
      </c>
      <c r="AM3591">
        <v>83.517063757223895</v>
      </c>
      <c r="AN3591">
        <v>0.99999999191362499</v>
      </c>
    </row>
    <row r="3592" spans="1:40" x14ac:dyDescent="0.25">
      <c r="A3592" t="str">
        <f>"20190303162851781"</f>
        <v>20190303162851781</v>
      </c>
      <c r="B3592" t="str">
        <f>"1551601731775416"</f>
        <v>1551601731775416</v>
      </c>
      <c r="C3592" t="s">
        <v>40</v>
      </c>
      <c r="D3592">
        <v>4.8953369999999996</v>
      </c>
      <c r="E3592">
        <v>0.50968639999999998</v>
      </c>
      <c r="F3592" t="s">
        <v>44</v>
      </c>
      <c r="G3592">
        <v>-230.0924</v>
      </c>
      <c r="H3592">
        <v>0.90728580000000003</v>
      </c>
      <c r="I3592">
        <v>214.03139999999999</v>
      </c>
      <c r="J3592">
        <v>-230.4845</v>
      </c>
      <c r="K3592">
        <v>1.120541</v>
      </c>
      <c r="L3592">
        <v>214.12690000000001</v>
      </c>
      <c r="M3592">
        <v>0.99996419999999997</v>
      </c>
      <c r="N3592">
        <v>-8.0520339999999996E-3</v>
      </c>
      <c r="O3592">
        <v>-2.6558520000000002E-3</v>
      </c>
      <c r="P3592">
        <v>0.98017480000000001</v>
      </c>
      <c r="Q3592">
        <v>0.16016369999999999</v>
      </c>
      <c r="R3592">
        <v>-0.1166432</v>
      </c>
      <c r="S3592">
        <v>3.154388</v>
      </c>
      <c r="T3592">
        <v>-0.91249409999999997</v>
      </c>
      <c r="U3592">
        <v>-0.41249079999999999</v>
      </c>
      <c r="V3592">
        <v>0.1140307</v>
      </c>
      <c r="W3592">
        <v>0.16805889999999901</v>
      </c>
      <c r="X3592">
        <v>0.97915940000000001</v>
      </c>
      <c r="Y3592">
        <v>0.1220644</v>
      </c>
      <c r="Z3592">
        <v>-1.700612E-2</v>
      </c>
      <c r="AA3592">
        <v>0.99237640000000005</v>
      </c>
      <c r="AB3592">
        <v>34</v>
      </c>
      <c r="AC3592">
        <v>0.392099999999999</v>
      </c>
      <c r="AD3592">
        <v>-0.21325520000000001</v>
      </c>
      <c r="AE3592">
        <v>-9.5500000000015406E-2</v>
      </c>
      <c r="AF3592">
        <v>7.3839361603660697E-2</v>
      </c>
      <c r="AG3592">
        <v>-0.21325520000000001</v>
      </c>
      <c r="AH3592">
        <v>0.30670729348382902</v>
      </c>
      <c r="AI3592">
        <v>124.058339934825</v>
      </c>
      <c r="AJ3592">
        <v>76.463716216120602</v>
      </c>
      <c r="AK3592">
        <v>0.38078786157813799</v>
      </c>
      <c r="AL3592">
        <v>80.325021096391097</v>
      </c>
      <c r="AM3592">
        <v>83.357384578829397</v>
      </c>
      <c r="AN3592">
        <v>0.99999996251002898</v>
      </c>
    </row>
    <row r="3593" spans="1:40" x14ac:dyDescent="0.25">
      <c r="A3593" t="str">
        <f>"20190303162851802"</f>
        <v>20190303162851802</v>
      </c>
      <c r="B3593" t="str">
        <f>"1551601731794936"</f>
        <v>1551601731794936</v>
      </c>
      <c r="C3593" t="s">
        <v>40</v>
      </c>
      <c r="D3593">
        <v>5.0155250000000002</v>
      </c>
      <c r="E3593">
        <v>0.51087269999999996</v>
      </c>
      <c r="F3593" t="s">
        <v>44</v>
      </c>
      <c r="G3593">
        <v>-229.74420000000001</v>
      </c>
      <c r="H3593">
        <v>0.99879010000000001</v>
      </c>
      <c r="I3593">
        <v>214.02529999999999</v>
      </c>
      <c r="J3593">
        <v>-230.15479999999999</v>
      </c>
      <c r="K3593">
        <v>1.1205480000000001</v>
      </c>
      <c r="L3593">
        <v>214.12610000000001</v>
      </c>
      <c r="M3593">
        <v>0.99996470000000004</v>
      </c>
      <c r="N3593">
        <v>-7.987292E-3</v>
      </c>
      <c r="O3593">
        <v>-2.6170870000000001E-3</v>
      </c>
      <c r="P3593">
        <v>0.97912710000000003</v>
      </c>
      <c r="Q3593">
        <v>0.1643898</v>
      </c>
      <c r="R3593">
        <v>-0.1195251</v>
      </c>
      <c r="S3593">
        <v>3.093445</v>
      </c>
      <c r="T3593">
        <v>-0.508934</v>
      </c>
      <c r="U3593">
        <v>-0.42355350000000003</v>
      </c>
      <c r="V3593">
        <v>0.11695319999999999</v>
      </c>
      <c r="W3593">
        <v>0.17221410000000001</v>
      </c>
      <c r="X3593">
        <v>0.97809210000000002</v>
      </c>
      <c r="Y3593">
        <v>0.1312731</v>
      </c>
      <c r="Z3593">
        <v>-1.0802869999999999E-2</v>
      </c>
      <c r="AA3593">
        <v>0.99128740000000004</v>
      </c>
      <c r="AB3593">
        <v>34</v>
      </c>
      <c r="AC3593">
        <v>0.41059999999998797</v>
      </c>
      <c r="AD3593">
        <v>-0.121757899999999</v>
      </c>
      <c r="AE3593">
        <v>-0.10080000000002</v>
      </c>
      <c r="AF3593">
        <v>9.2087696783266101E-2</v>
      </c>
      <c r="AG3593">
        <v>-0.121757899999999</v>
      </c>
      <c r="AH3593">
        <v>0.379396897544092</v>
      </c>
      <c r="AI3593">
        <v>107.321115349373</v>
      </c>
      <c r="AJ3593">
        <v>76.356932458507998</v>
      </c>
      <c r="AK3593">
        <v>0.40895859934391698</v>
      </c>
      <c r="AL3593">
        <v>80.083422986401104</v>
      </c>
      <c r="AM3593">
        <v>83.181357739023198</v>
      </c>
      <c r="AN3593">
        <v>0.99999995165572797</v>
      </c>
    </row>
    <row r="3594" spans="1:40" x14ac:dyDescent="0.25">
      <c r="A3594" t="str">
        <f>"20190303162851826"</f>
        <v>20190303162851826</v>
      </c>
      <c r="B3594" t="str">
        <f>"1551601731815432"</f>
        <v>1551601731815432</v>
      </c>
      <c r="C3594" t="s">
        <v>40</v>
      </c>
      <c r="D3594">
        <v>5.2352249999999998</v>
      </c>
      <c r="E3594">
        <v>0.50827520000000004</v>
      </c>
      <c r="F3594" t="s">
        <v>44</v>
      </c>
      <c r="G3594">
        <v>-229.4092</v>
      </c>
      <c r="H3594">
        <v>1.0528850000000001</v>
      </c>
      <c r="I3594">
        <v>214.01769999999999</v>
      </c>
      <c r="J3594">
        <v>-229.80889999999999</v>
      </c>
      <c r="K3594">
        <v>1.1205510000000001</v>
      </c>
      <c r="L3594">
        <v>214.12520000000001</v>
      </c>
      <c r="M3594">
        <v>0.99996529999999995</v>
      </c>
      <c r="N3594">
        <v>-7.9303940000000003E-3</v>
      </c>
      <c r="O3594">
        <v>-2.5772809999999998E-3</v>
      </c>
      <c r="P3594">
        <v>0.97833029999999999</v>
      </c>
      <c r="Q3594">
        <v>0.16708229999999999</v>
      </c>
      <c r="R3594">
        <v>-0.12228609999999999</v>
      </c>
      <c r="S3594">
        <v>3.0563660000000001</v>
      </c>
      <c r="T3594">
        <v>-0.27745120000000001</v>
      </c>
      <c r="U3594">
        <v>-0.44384770000000001</v>
      </c>
      <c r="V3594">
        <v>0.1197549</v>
      </c>
      <c r="W3594">
        <v>0.17484439999999901</v>
      </c>
      <c r="X3594">
        <v>0.97728619999999999</v>
      </c>
      <c r="Y3594">
        <v>0.1405544</v>
      </c>
      <c r="Z3594">
        <v>-6.6830269999999898E-3</v>
      </c>
      <c r="AA3594">
        <v>0.9900504</v>
      </c>
      <c r="AB3594">
        <v>34</v>
      </c>
      <c r="AC3594">
        <v>0.399699999999995</v>
      </c>
      <c r="AD3594">
        <v>-6.7665999999999907E-2</v>
      </c>
      <c r="AE3594">
        <v>-0.107500000000015</v>
      </c>
      <c r="AF3594">
        <v>0.10369798633199601</v>
      </c>
      <c r="AG3594">
        <v>-6.7665999999999907E-2</v>
      </c>
      <c r="AH3594">
        <v>0.389564052028185</v>
      </c>
      <c r="AI3594">
        <v>99.528374873433407</v>
      </c>
      <c r="AJ3594">
        <v>75.094093089493896</v>
      </c>
      <c r="AK3594">
        <v>0.408769018588651</v>
      </c>
      <c r="AL3594">
        <v>79.930397315707197</v>
      </c>
      <c r="AM3594">
        <v>83.013905737923594</v>
      </c>
      <c r="AN3594">
        <v>1.0000000584979001</v>
      </c>
    </row>
    <row r="3595" spans="1:40" x14ac:dyDescent="0.25">
      <c r="A3595" t="str">
        <f>"20190303162851847"</f>
        <v>20190303162851847</v>
      </c>
      <c r="B3595" t="str">
        <f>"1551601731835928"</f>
        <v>1551601731835928</v>
      </c>
      <c r="C3595" t="s">
        <v>40</v>
      </c>
      <c r="D3595">
        <v>5.2773089999999998</v>
      </c>
      <c r="E3595">
        <v>0.50668500000000005</v>
      </c>
      <c r="F3595" t="s">
        <v>48</v>
      </c>
      <c r="G3595">
        <v>-210.54069999999999</v>
      </c>
      <c r="H3595" s="1">
        <v>-1.107875E-6</v>
      </c>
      <c r="I3595">
        <v>211.3861</v>
      </c>
      <c r="J3595">
        <v>-229.4622</v>
      </c>
      <c r="K3595">
        <v>1.1205529999999999</v>
      </c>
      <c r="L3595">
        <v>214.12430000000001</v>
      </c>
      <c r="M3595">
        <v>0.99996580000000002</v>
      </c>
      <c r="N3595">
        <v>-7.8828860000000004E-3</v>
      </c>
      <c r="O3595">
        <v>-2.5369189999999999E-3</v>
      </c>
      <c r="P3595">
        <v>0.97777800000000004</v>
      </c>
      <c r="Q3595">
        <v>0.16839270000000001</v>
      </c>
      <c r="R3595">
        <v>-0.12487810000000001</v>
      </c>
      <c r="S3595">
        <v>3.042618</v>
      </c>
      <c r="T3595">
        <v>-0.17694509999999999</v>
      </c>
      <c r="U3595">
        <v>-0.43252560000000001</v>
      </c>
      <c r="V3595">
        <v>0.1223875</v>
      </c>
      <c r="W3595">
        <v>0.17610439999999999</v>
      </c>
      <c r="X3595">
        <v>0.97673359999999998</v>
      </c>
      <c r="Y3595">
        <v>0.13797179999999901</v>
      </c>
      <c r="Z3595">
        <v>-4.4087900000000001E-3</v>
      </c>
      <c r="AA3595">
        <v>0.99042640000000004</v>
      </c>
      <c r="AB3595">
        <v>34</v>
      </c>
      <c r="AC3595">
        <v>18.921500000000002</v>
      </c>
      <c r="AD3595">
        <v>-1.1205541078749901</v>
      </c>
      <c r="AE3595">
        <v>-2.7382</v>
      </c>
      <c r="AF3595">
        <v>2.68097766326269</v>
      </c>
      <c r="AG3595">
        <v>-1.1205541078749901</v>
      </c>
      <c r="AH3595">
        <v>18.8635855130191</v>
      </c>
      <c r="AI3595">
        <v>93.365803220602601</v>
      </c>
      <c r="AJ3595">
        <v>81.911039643480706</v>
      </c>
      <c r="AK3595">
        <v>19.086071915053001</v>
      </c>
      <c r="AL3595">
        <v>79.857066160998997</v>
      </c>
      <c r="AM3595">
        <v>82.857899433616197</v>
      </c>
      <c r="AN3595">
        <v>0.999999992612285</v>
      </c>
    </row>
    <row r="3596" spans="1:40" x14ac:dyDescent="0.25">
      <c r="A3596" t="str">
        <f>"20190303162851872"</f>
        <v>20190303162851872</v>
      </c>
      <c r="B3596" t="str">
        <f>"1551601731865208"</f>
        <v>1551601731865208</v>
      </c>
      <c r="C3596" t="s">
        <v>40</v>
      </c>
      <c r="D3596">
        <v>5.3331860000000004</v>
      </c>
      <c r="E3596">
        <v>0.50508949999999997</v>
      </c>
      <c r="F3596" t="s">
        <v>47</v>
      </c>
      <c r="G3596">
        <v>-205.55670000000001</v>
      </c>
      <c r="H3596" s="1">
        <v>5.0188519999999999E-6</v>
      </c>
      <c r="I3596">
        <v>210.7534</v>
      </c>
      <c r="J3596">
        <v>-229.08959999999999</v>
      </c>
      <c r="K3596">
        <v>1.1205579999999999</v>
      </c>
      <c r="L3596">
        <v>214.12350000000001</v>
      </c>
      <c r="M3596">
        <v>0.99996629999999997</v>
      </c>
      <c r="N3596">
        <v>-7.8408139999999998E-3</v>
      </c>
      <c r="O3596">
        <v>-2.4933619999999998E-3</v>
      </c>
      <c r="P3596">
        <v>0.97721230000000003</v>
      </c>
      <c r="Q3596">
        <v>0.16991120000000001</v>
      </c>
      <c r="R3596">
        <v>-0.12722629999999999</v>
      </c>
      <c r="S3596">
        <v>3.037979</v>
      </c>
      <c r="T3596">
        <v>-0.14240239999999901</v>
      </c>
      <c r="U3596">
        <v>-0.42839050000000001</v>
      </c>
      <c r="V3596">
        <v>0.1247796</v>
      </c>
      <c r="W3596">
        <v>0.17757709999999999</v>
      </c>
      <c r="X3596">
        <v>0.97616420000000004</v>
      </c>
      <c r="Y3596">
        <v>0.13699020000000001</v>
      </c>
      <c r="Z3596">
        <v>-3.6363749999999999E-3</v>
      </c>
      <c r="AA3596">
        <v>0.99056569999999999</v>
      </c>
      <c r="AB3596">
        <v>34</v>
      </c>
      <c r="AC3596">
        <v>23.532899999999898</v>
      </c>
      <c r="AD3596">
        <v>-1.1205529811479999</v>
      </c>
      <c r="AE3596">
        <v>-3.3700999999999999</v>
      </c>
      <c r="AF3596">
        <v>3.3040708357633499</v>
      </c>
      <c r="AG3596">
        <v>-1.1205529811479999</v>
      </c>
      <c r="AH3596">
        <v>23.4890429525943</v>
      </c>
      <c r="AI3596">
        <v>92.704657855844403</v>
      </c>
      <c r="AJ3596">
        <v>81.993060581451999</v>
      </c>
      <c r="AK3596">
        <v>23.746740026793599</v>
      </c>
      <c r="AL3596">
        <v>79.771336195859107</v>
      </c>
      <c r="AM3596">
        <v>82.715587545155003</v>
      </c>
      <c r="AN3596">
        <v>1.0000000601911001</v>
      </c>
    </row>
    <row r="3597" spans="1:40" x14ac:dyDescent="0.25">
      <c r="A3597" t="str">
        <f>"20190303162851893"</f>
        <v>20190303162851893</v>
      </c>
      <c r="B3597" t="str">
        <f>"1551601731885704"</f>
        <v>1551601731885704</v>
      </c>
      <c r="C3597" t="s">
        <v>40</v>
      </c>
      <c r="D3597">
        <v>5.277075</v>
      </c>
      <c r="E3597">
        <v>0.50443549999999904</v>
      </c>
      <c r="F3597" t="s">
        <v>47</v>
      </c>
      <c r="G3597">
        <v>-200.3141</v>
      </c>
      <c r="H3597" s="1">
        <v>2.7504949999999998E-6</v>
      </c>
      <c r="I3597">
        <v>210.10679999999999</v>
      </c>
      <c r="J3597">
        <v>-228.7585</v>
      </c>
      <c r="K3597">
        <v>1.12056</v>
      </c>
      <c r="L3597">
        <v>214.12270000000001</v>
      </c>
      <c r="M3597">
        <v>0.99996649999999998</v>
      </c>
      <c r="N3597">
        <v>-7.810015E-3</v>
      </c>
      <c r="O3597">
        <v>-2.454618E-3</v>
      </c>
      <c r="P3597">
        <v>0.97659649999999998</v>
      </c>
      <c r="Q3597">
        <v>0.1720525</v>
      </c>
      <c r="R3597">
        <v>-0.1290644</v>
      </c>
      <c r="S3597">
        <v>3.035355</v>
      </c>
      <c r="T3597">
        <v>-0.11820070000000001</v>
      </c>
      <c r="U3597">
        <v>-0.42369079999999898</v>
      </c>
      <c r="V3597">
        <v>0.12665689999999999</v>
      </c>
      <c r="W3597">
        <v>0.17968410000000001</v>
      </c>
      <c r="X3597">
        <v>0.97553659999999998</v>
      </c>
      <c r="Y3597">
        <v>0.13569320000000001</v>
      </c>
      <c r="Z3597">
        <v>-3.0849800000000002E-3</v>
      </c>
      <c r="AA3597">
        <v>0.99074609999999996</v>
      </c>
      <c r="AB3597">
        <v>34</v>
      </c>
      <c r="AC3597">
        <v>28.444400000000002</v>
      </c>
      <c r="AD3597">
        <v>-1.120557249505</v>
      </c>
      <c r="AE3597">
        <v>-4.01590000000001</v>
      </c>
      <c r="AF3597">
        <v>3.9400703917333</v>
      </c>
      <c r="AG3597">
        <v>-1.120557249505</v>
      </c>
      <c r="AH3597">
        <v>28.410941775818699</v>
      </c>
      <c r="AI3597">
        <v>92.2372453335595</v>
      </c>
      <c r="AJ3597">
        <v>82.104498482690502</v>
      </c>
      <c r="AK3597">
        <v>28.7047281093236</v>
      </c>
      <c r="AL3597">
        <v>79.648639951030106</v>
      </c>
      <c r="AM3597">
        <v>82.602494179157702</v>
      </c>
      <c r="AN3597">
        <v>1.00000000202499</v>
      </c>
    </row>
    <row r="3598" spans="1:40" x14ac:dyDescent="0.25">
      <c r="A3598" t="str">
        <f>"20190303162851914"</f>
        <v>20190303162851914</v>
      </c>
      <c r="B3598" t="str">
        <f>"1551601731905224"</f>
        <v>1551601731905224</v>
      </c>
      <c r="C3598" t="s">
        <v>40</v>
      </c>
      <c r="D3598">
        <v>5.3285530000000003</v>
      </c>
      <c r="E3598">
        <v>0.50402380000000002</v>
      </c>
      <c r="F3598" t="s">
        <v>47</v>
      </c>
      <c r="G3598">
        <v>-197.285</v>
      </c>
      <c r="H3598" s="1">
        <v>3.1007100000000001E-6</v>
      </c>
      <c r="I3598">
        <v>209.7166</v>
      </c>
      <c r="J3598">
        <v>-228.43940000000001</v>
      </c>
      <c r="K3598">
        <v>1.120573</v>
      </c>
      <c r="L3598">
        <v>214.12190000000001</v>
      </c>
      <c r="M3598">
        <v>0.99996689999999999</v>
      </c>
      <c r="N3598">
        <v>-7.7857409999999997E-3</v>
      </c>
      <c r="O3598">
        <v>-2.4174489999999999E-3</v>
      </c>
      <c r="P3598">
        <v>0.97608950000000005</v>
      </c>
      <c r="Q3598">
        <v>0.17372689999999999</v>
      </c>
      <c r="R3598">
        <v>-0.13064729999999999</v>
      </c>
      <c r="S3598">
        <v>3.0347749999999998</v>
      </c>
      <c r="T3598">
        <v>-0.108047699999999</v>
      </c>
      <c r="U3598">
        <v>-0.42485050000000002</v>
      </c>
      <c r="V3598">
        <v>0.12827710000000001</v>
      </c>
      <c r="W3598">
        <v>0.1813303</v>
      </c>
      <c r="X3598">
        <v>0.9750202</v>
      </c>
      <c r="Y3598">
        <v>0.13614499999999999</v>
      </c>
      <c r="Z3598">
        <v>-2.8769690000000001E-3</v>
      </c>
      <c r="AA3598">
        <v>0.99068469999999997</v>
      </c>
      <c r="AB3598">
        <v>34</v>
      </c>
      <c r="AC3598">
        <v>31.154399999999999</v>
      </c>
      <c r="AD3598">
        <v>-1.1205698992899999</v>
      </c>
      <c r="AE3598">
        <v>-4.4053000000000102</v>
      </c>
      <c r="AF3598">
        <v>4.3244856922415096</v>
      </c>
      <c r="AG3598">
        <v>-1.1205698992899999</v>
      </c>
      <c r="AH3598">
        <v>31.125480671289601</v>
      </c>
      <c r="AI3598">
        <v>92.042254092102297</v>
      </c>
      <c r="AJ3598">
        <v>82.090124279281994</v>
      </c>
      <c r="AK3598">
        <v>31.444433536325899</v>
      </c>
      <c r="AL3598">
        <v>79.552744828827898</v>
      </c>
      <c r="AM3598">
        <v>82.505010640444198</v>
      </c>
      <c r="AN3598">
        <v>1.0000000412452601</v>
      </c>
    </row>
    <row r="3599" spans="1:40" x14ac:dyDescent="0.25">
      <c r="A3599" t="str">
        <f>"20190303162851936"</f>
        <v>20190303162851936</v>
      </c>
      <c r="B3599" t="str">
        <f>"1551601731925720"</f>
        <v>1551601731925720</v>
      </c>
      <c r="C3599" t="s">
        <v>40</v>
      </c>
      <c r="D3599">
        <v>5.2663070000000003</v>
      </c>
      <c r="E3599">
        <v>0.50337749999999903</v>
      </c>
      <c r="F3599" t="s">
        <v>47</v>
      </c>
      <c r="G3599">
        <v>-195.36019999999999</v>
      </c>
      <c r="H3599" s="1">
        <v>3.4900410000000001E-6</v>
      </c>
      <c r="I3599">
        <v>209.46860000000001</v>
      </c>
      <c r="J3599">
        <v>-228.09299999999999</v>
      </c>
      <c r="K3599">
        <v>1.120576</v>
      </c>
      <c r="L3599">
        <v>214.12110000000001</v>
      </c>
      <c r="M3599">
        <v>0.99996700000000005</v>
      </c>
      <c r="N3599">
        <v>-7.7670819999999998E-3</v>
      </c>
      <c r="O3599">
        <v>-2.3772009999999998E-3</v>
      </c>
      <c r="P3599">
        <v>0.97583699999999995</v>
      </c>
      <c r="Q3599">
        <v>0.1744552</v>
      </c>
      <c r="R3599">
        <v>-0.13155929999999999</v>
      </c>
      <c r="S3599">
        <v>3.034653</v>
      </c>
      <c r="T3599">
        <v>-0.1027998</v>
      </c>
      <c r="U3599">
        <v>-0.42689510000000003</v>
      </c>
      <c r="V3599">
        <v>0.12922890000000001</v>
      </c>
      <c r="W3599">
        <v>0.18203929999999999</v>
      </c>
      <c r="X3599">
        <v>0.97476229999999997</v>
      </c>
      <c r="Y3599">
        <v>0.13685329999999901</v>
      </c>
      <c r="Z3599">
        <v>-2.7785000000000002E-3</v>
      </c>
      <c r="AA3599">
        <v>0.99058740000000001</v>
      </c>
      <c r="AB3599">
        <v>35</v>
      </c>
      <c r="AC3599">
        <v>32.732799999999997</v>
      </c>
      <c r="AD3599">
        <v>-1.120572509959</v>
      </c>
      <c r="AE3599">
        <v>-4.6524999999999999</v>
      </c>
      <c r="AF3599">
        <v>4.5694229155668902</v>
      </c>
      <c r="AG3599">
        <v>-1.120572509959</v>
      </c>
      <c r="AH3599">
        <v>32.706196379329697</v>
      </c>
      <c r="AI3599">
        <v>91.943427069421304</v>
      </c>
      <c r="AJ3599">
        <v>82.046617512703506</v>
      </c>
      <c r="AK3599">
        <v>33.042859896423401</v>
      </c>
      <c r="AL3599">
        <v>79.511433921699407</v>
      </c>
      <c r="AM3599">
        <v>82.448063466220205</v>
      </c>
      <c r="AN3599">
        <v>0.99999997842049404</v>
      </c>
    </row>
    <row r="3600" spans="1:40" x14ac:dyDescent="0.25">
      <c r="A3600" t="str">
        <f>"20190303162851959"</f>
        <v>20190303162851959</v>
      </c>
      <c r="B3600" t="str">
        <f>"1551601731945240"</f>
        <v>1551601731945240</v>
      </c>
      <c r="C3600" t="s">
        <v>40</v>
      </c>
      <c r="D3600">
        <v>5.2084789999999996</v>
      </c>
      <c r="E3600">
        <v>0.50302179999999996</v>
      </c>
      <c r="F3600" t="s">
        <v>47</v>
      </c>
      <c r="G3600">
        <v>-194.53030000000001</v>
      </c>
      <c r="H3600" s="1">
        <v>3.6495259999999998E-6</v>
      </c>
      <c r="I3600">
        <v>209.4222</v>
      </c>
      <c r="J3600">
        <v>-227.7379</v>
      </c>
      <c r="K3600">
        <v>1.1205750000000001</v>
      </c>
      <c r="L3600">
        <v>214.12029999999999</v>
      </c>
      <c r="M3600">
        <v>0.99996739999999995</v>
      </c>
      <c r="N3600">
        <v>-7.7567999999999899E-3</v>
      </c>
      <c r="O3600">
        <v>-2.3361520000000002E-3</v>
      </c>
      <c r="P3600">
        <v>0.97573750000000004</v>
      </c>
      <c r="Q3600">
        <v>0.17480329999999999</v>
      </c>
      <c r="R3600">
        <v>-0.13183590000000001</v>
      </c>
      <c r="S3600">
        <v>3.0350950000000001</v>
      </c>
      <c r="T3600">
        <v>-0.1013339</v>
      </c>
      <c r="U3600">
        <v>-0.42492679999999999</v>
      </c>
      <c r="V3600">
        <v>0.12954560000000001</v>
      </c>
      <c r="W3600">
        <v>0.18237639999999999</v>
      </c>
      <c r="X3600">
        <v>0.9746572</v>
      </c>
      <c r="Y3600">
        <v>0.136246799999999</v>
      </c>
      <c r="Z3600">
        <v>-2.7344090000000001E-3</v>
      </c>
      <c r="AA3600">
        <v>0.99067119999999997</v>
      </c>
      <c r="AB3600">
        <v>35</v>
      </c>
      <c r="AC3600">
        <v>33.2075999999999</v>
      </c>
      <c r="AD3600">
        <v>-1.120571350474</v>
      </c>
      <c r="AE3600">
        <v>-4.6980999999999797</v>
      </c>
      <c r="AF3600">
        <v>4.6153545468724504</v>
      </c>
      <c r="AG3600">
        <v>-1.120571350474</v>
      </c>
      <c r="AH3600">
        <v>33.181443346063197</v>
      </c>
      <c r="AI3600">
        <v>91.915772359980707</v>
      </c>
      <c r="AJ3600">
        <v>82.081282843020801</v>
      </c>
      <c r="AK3600">
        <v>33.519626493635698</v>
      </c>
      <c r="AL3600">
        <v>79.491790232137504</v>
      </c>
      <c r="AM3600">
        <v>82.428963542227905</v>
      </c>
      <c r="AN3600">
        <v>0.99999993563407696</v>
      </c>
    </row>
    <row r="3601" spans="1:40" x14ac:dyDescent="0.25">
      <c r="A3601" t="str">
        <f>"20190303162851982"</f>
        <v>20190303162851982</v>
      </c>
      <c r="B3601" t="str">
        <f>"1551601731975496"</f>
        <v>1551601731975496</v>
      </c>
      <c r="C3601" t="s">
        <v>40</v>
      </c>
      <c r="D3601">
        <v>5.0523490000000004</v>
      </c>
      <c r="E3601">
        <v>0.50270179999999998</v>
      </c>
      <c r="F3601" t="s">
        <v>47</v>
      </c>
      <c r="G3601">
        <v>-194.47980000000001</v>
      </c>
      <c r="H3601" s="1">
        <v>3.6433610000000001E-6</v>
      </c>
      <c r="I3601">
        <v>209.47929999999999</v>
      </c>
      <c r="J3601">
        <v>-227.38900000000001</v>
      </c>
      <c r="K3601">
        <v>1.1205750000000001</v>
      </c>
      <c r="L3601">
        <v>214.11949999999999</v>
      </c>
      <c r="M3601">
        <v>0.99996750000000001</v>
      </c>
      <c r="N3601">
        <v>-7.7561669999999996E-3</v>
      </c>
      <c r="O3601">
        <v>-2.2954989999999999E-3</v>
      </c>
      <c r="P3601">
        <v>0.9757209</v>
      </c>
      <c r="Q3601">
        <v>0.1746547</v>
      </c>
      <c r="R3601">
        <v>-0.13215389999999999</v>
      </c>
      <c r="S3601">
        <v>3.0356900000000002</v>
      </c>
      <c r="T3601">
        <v>-0.102282</v>
      </c>
      <c r="U3601">
        <v>-0.4236145</v>
      </c>
      <c r="V3601">
        <v>0.12990350000000001</v>
      </c>
      <c r="W3601">
        <v>0.18222730000000001</v>
      </c>
      <c r="X3601">
        <v>0.97463750000000005</v>
      </c>
      <c r="Y3601">
        <v>0.13583909999999999</v>
      </c>
      <c r="Z3601">
        <v>-2.74705E-3</v>
      </c>
      <c r="AA3601">
        <v>0.99072709999999997</v>
      </c>
      <c r="AB3601">
        <v>35</v>
      </c>
      <c r="AC3601">
        <v>32.909199999999998</v>
      </c>
      <c r="AD3601">
        <v>-1.1205713566390001</v>
      </c>
      <c r="AE3601">
        <v>-4.6401999999999903</v>
      </c>
      <c r="AF3601">
        <v>4.5594591598796201</v>
      </c>
      <c r="AG3601">
        <v>-1.1205713566390001</v>
      </c>
      <c r="AH3601">
        <v>32.8823835589045</v>
      </c>
      <c r="AI3601">
        <v>91.933297284305695</v>
      </c>
      <c r="AJ3601">
        <v>82.105724637060504</v>
      </c>
      <c r="AK3601">
        <v>33.215892228131402</v>
      </c>
      <c r="AL3601">
        <v>79.500479123702306</v>
      </c>
      <c r="AM3601">
        <v>82.408138752026304</v>
      </c>
      <c r="AN3601">
        <v>0.99999998229189402</v>
      </c>
    </row>
    <row r="3602" spans="1:40" x14ac:dyDescent="0.25">
      <c r="A3602" t="str">
        <f>"20190303162852003"</f>
        <v>20190303162852003</v>
      </c>
      <c r="B3602" t="str">
        <f>"1551601731995016"</f>
        <v>1551601731995016</v>
      </c>
      <c r="C3602" t="s">
        <v>40</v>
      </c>
      <c r="D3602">
        <v>5.1607710000000004</v>
      </c>
      <c r="E3602">
        <v>0.50247790000000003</v>
      </c>
      <c r="F3602" t="s">
        <v>47</v>
      </c>
      <c r="G3602">
        <v>-195.54740000000001</v>
      </c>
      <c r="H3602" s="1">
        <v>3.411228E-6</v>
      </c>
      <c r="I3602">
        <v>209.69030000000001</v>
      </c>
      <c r="J3602">
        <v>-227.054</v>
      </c>
      <c r="K3602">
        <v>1.120574</v>
      </c>
      <c r="L3602">
        <v>214.11879999999999</v>
      </c>
      <c r="M3602">
        <v>0.99996750000000001</v>
      </c>
      <c r="N3602">
        <v>-7.7628519999999998E-3</v>
      </c>
      <c r="O3602">
        <v>-2.2565419999999998E-3</v>
      </c>
      <c r="P3602">
        <v>0.97572550000000002</v>
      </c>
      <c r="Q3602">
        <v>0.17457739999999999</v>
      </c>
      <c r="R3602">
        <v>-0.132222799999999</v>
      </c>
      <c r="S3602">
        <v>3.0365449999999998</v>
      </c>
      <c r="T3602">
        <v>-0.10686229999999999</v>
      </c>
      <c r="U3602">
        <v>-0.42239379999999999</v>
      </c>
      <c r="V3602">
        <v>0.13001009999999999</v>
      </c>
      <c r="W3602">
        <v>0.1821565</v>
      </c>
      <c r="X3602">
        <v>0.97463659999999996</v>
      </c>
      <c r="Y3602">
        <v>0.1354416</v>
      </c>
      <c r="Z3602">
        <v>-2.837947E-3</v>
      </c>
      <c r="AA3602">
        <v>0.99078120000000003</v>
      </c>
      <c r="AB3602">
        <v>35</v>
      </c>
      <c r="AC3602">
        <v>31.506599999999899</v>
      </c>
      <c r="AD3602">
        <v>-1.1205705887720001</v>
      </c>
      <c r="AE3602">
        <v>-4.4284999999999801</v>
      </c>
      <c r="AF3602">
        <v>4.3519922046539801</v>
      </c>
      <c r="AG3602">
        <v>-1.1205705887720001</v>
      </c>
      <c r="AH3602">
        <v>31.477466986243101</v>
      </c>
      <c r="AI3602">
        <v>92.0196240491059</v>
      </c>
      <c r="AJ3602">
        <v>82.1283382190569</v>
      </c>
      <c r="AK3602">
        <v>31.7966419998058</v>
      </c>
      <c r="AL3602">
        <v>79.504605532700694</v>
      </c>
      <c r="AM3602">
        <v>82.401974619307794</v>
      </c>
      <c r="AN3602">
        <v>1.0000000593269001</v>
      </c>
    </row>
    <row r="3603" spans="1:40" x14ac:dyDescent="0.25">
      <c r="A3603" t="str">
        <f>"20190303162852026"</f>
        <v>20190303162852026</v>
      </c>
      <c r="B3603" t="str">
        <f>"1551601732015512"</f>
        <v>1551601732015512</v>
      </c>
      <c r="C3603" t="s">
        <v>40</v>
      </c>
      <c r="D3603">
        <v>5.0426409999999997</v>
      </c>
      <c r="E3603">
        <v>0.50154529999999997</v>
      </c>
      <c r="F3603" t="s">
        <v>47</v>
      </c>
      <c r="G3603">
        <v>-196.4153</v>
      </c>
      <c r="H3603" s="1">
        <v>3.2412949999999999E-6</v>
      </c>
      <c r="I3603">
        <v>209.87309999999999</v>
      </c>
      <c r="J3603">
        <v>-226.7002</v>
      </c>
      <c r="K3603">
        <v>1.1205590000000001</v>
      </c>
      <c r="L3603">
        <v>214.1181</v>
      </c>
      <c r="M3603">
        <v>0.99996750000000001</v>
      </c>
      <c r="N3603">
        <v>-7.7740880000000002E-3</v>
      </c>
      <c r="O3603">
        <v>-2.2155769999999998E-3</v>
      </c>
      <c r="P3603">
        <v>0.9760067</v>
      </c>
      <c r="Q3603">
        <v>0.1736171</v>
      </c>
      <c r="R3603">
        <v>-0.1314092</v>
      </c>
      <c r="S3603">
        <v>3.0374599999999998</v>
      </c>
      <c r="T3603">
        <v>-0.11109140000000001</v>
      </c>
      <c r="U3603">
        <v>-0.4209137</v>
      </c>
      <c r="V3603">
        <v>0.12923589999999999</v>
      </c>
      <c r="W3603">
        <v>0.18120890000000001</v>
      </c>
      <c r="X3603">
        <v>0.97491609999999995</v>
      </c>
      <c r="Y3603">
        <v>0.13496079999999999</v>
      </c>
      <c r="Z3603">
        <v>-2.9193000000000001E-3</v>
      </c>
      <c r="AA3603">
        <v>0.99084660000000002</v>
      </c>
      <c r="AB3603">
        <v>35</v>
      </c>
      <c r="AC3603">
        <v>30.2849</v>
      </c>
      <c r="AD3603">
        <v>-1.1205557587049999</v>
      </c>
      <c r="AE3603">
        <v>-4.2450000000000001</v>
      </c>
      <c r="AF3603">
        <v>4.1722870912371599</v>
      </c>
      <c r="AG3603">
        <v>-1.1205557587049999</v>
      </c>
      <c r="AH3603">
        <v>30.253610886639599</v>
      </c>
      <c r="AI3603">
        <v>92.101323464894605</v>
      </c>
      <c r="AJ3603">
        <v>82.147847803515802</v>
      </c>
      <c r="AK3603">
        <v>30.560507136830498</v>
      </c>
      <c r="AL3603">
        <v>79.559817196575807</v>
      </c>
      <c r="AM3603">
        <v>82.448836805212494</v>
      </c>
      <c r="AN3603">
        <v>0.99999999266361494</v>
      </c>
    </row>
    <row r="3604" spans="1:40" x14ac:dyDescent="0.25">
      <c r="A3604" t="str">
        <f>"20190303162852048"</f>
        <v>20190303162852048</v>
      </c>
      <c r="B3604" t="str">
        <f>"1551601732035032"</f>
        <v>1551601732035032</v>
      </c>
      <c r="C3604" t="s">
        <v>40</v>
      </c>
      <c r="D3604">
        <v>4.7852300000000003</v>
      </c>
      <c r="E3604">
        <v>0.50091869999999905</v>
      </c>
      <c r="F3604" t="s">
        <v>47</v>
      </c>
      <c r="G3604">
        <v>-196.64269999999999</v>
      </c>
      <c r="H3604" s="1">
        <v>3.1854219999999998E-6</v>
      </c>
      <c r="I3604">
        <v>210.05080000000001</v>
      </c>
      <c r="J3604">
        <v>-226.34350000000001</v>
      </c>
      <c r="K3604">
        <v>1.120555</v>
      </c>
      <c r="L3604">
        <v>214.1173</v>
      </c>
      <c r="M3604">
        <v>0.99996750000000001</v>
      </c>
      <c r="N3604">
        <v>-7.7873079999999997E-3</v>
      </c>
      <c r="O3604">
        <v>-2.174142E-3</v>
      </c>
      <c r="P3604">
        <v>0.97636339999999999</v>
      </c>
      <c r="Q3604">
        <v>0.17192950000000001</v>
      </c>
      <c r="R3604">
        <v>-0.13097800000000001</v>
      </c>
      <c r="S3604">
        <v>3.0385439999999999</v>
      </c>
      <c r="T3604">
        <v>-0.1132782</v>
      </c>
      <c r="U3604">
        <v>-0.41116330000000001</v>
      </c>
      <c r="V3604">
        <v>0.1288445</v>
      </c>
      <c r="W3604">
        <v>0.17953729999999901</v>
      </c>
      <c r="X3604">
        <v>0.97527710000000001</v>
      </c>
      <c r="Y3604">
        <v>0.1318309</v>
      </c>
      <c r="Z3604">
        <v>-2.8974180000000001E-3</v>
      </c>
      <c r="AA3604">
        <v>0.99126800000000004</v>
      </c>
      <c r="AB3604">
        <v>35</v>
      </c>
      <c r="AC3604">
        <v>29.700800000000001</v>
      </c>
      <c r="AD3604">
        <v>-1.120551814578</v>
      </c>
      <c r="AE3604">
        <v>-4.0664999999999898</v>
      </c>
      <c r="AF3604">
        <v>3.99633097139436</v>
      </c>
      <c r="AG3604">
        <v>-1.120551814578</v>
      </c>
      <c r="AH3604">
        <v>29.668118617373899</v>
      </c>
      <c r="AI3604">
        <v>92.143666240740203</v>
      </c>
      <c r="AJ3604">
        <v>82.328366842402204</v>
      </c>
      <c r="AK3604">
        <v>29.9570285558606</v>
      </c>
      <c r="AL3604">
        <v>79.657189831609401</v>
      </c>
      <c r="AM3604">
        <v>82.474198074430006</v>
      </c>
      <c r="AN3604">
        <v>0.99999998452797401</v>
      </c>
    </row>
    <row r="3605" spans="1:40" x14ac:dyDescent="0.25">
      <c r="A3605" t="str">
        <f>"20190303162852072"</f>
        <v>20190303162852072</v>
      </c>
      <c r="B3605" t="str">
        <f>"1551601732065288"</f>
        <v>1551601732065288</v>
      </c>
      <c r="C3605" t="s">
        <v>40</v>
      </c>
      <c r="D3605">
        <v>4.7498620000000003</v>
      </c>
      <c r="E3605">
        <v>0.50033519999999998</v>
      </c>
      <c r="F3605" t="s">
        <v>47</v>
      </c>
      <c r="G3605">
        <v>-197.59899999999999</v>
      </c>
      <c r="H3605" s="1">
        <v>2.9949419999999998E-6</v>
      </c>
      <c r="I3605">
        <v>210.2893</v>
      </c>
      <c r="J3605">
        <v>-225.98410000000001</v>
      </c>
      <c r="K3605">
        <v>1.120541</v>
      </c>
      <c r="L3605">
        <v>214.11660000000001</v>
      </c>
      <c r="M3605">
        <v>0.9999673</v>
      </c>
      <c r="N3605">
        <v>-7.80174699999999E-3</v>
      </c>
      <c r="O3605">
        <v>-2.1323539999999999E-3</v>
      </c>
      <c r="P3605">
        <v>0.97667530000000002</v>
      </c>
      <c r="Q3605">
        <v>0.16981070000000001</v>
      </c>
      <c r="R3605">
        <v>-0.13141429999999901</v>
      </c>
      <c r="S3605">
        <v>3.0392000000000001</v>
      </c>
      <c r="T3605">
        <v>-0.11847770000000001</v>
      </c>
      <c r="U3605">
        <v>-0.40473940000000003</v>
      </c>
      <c r="V3605">
        <v>0.12932099999999999</v>
      </c>
      <c r="W3605">
        <v>0.17743539999999999</v>
      </c>
      <c r="X3605">
        <v>0.97559870000000004</v>
      </c>
      <c r="Y3605">
        <v>0.129778</v>
      </c>
      <c r="Z3605">
        <v>-2.96006E-3</v>
      </c>
      <c r="AA3605">
        <v>0.99153860000000005</v>
      </c>
      <c r="AB3605">
        <v>35</v>
      </c>
      <c r="AC3605">
        <v>28.385099999999898</v>
      </c>
      <c r="AD3605">
        <v>-1.1205380050579901</v>
      </c>
      <c r="AE3605">
        <v>-3.8273000000000001</v>
      </c>
      <c r="AF3605">
        <v>3.7610059665677702</v>
      </c>
      <c r="AG3605">
        <v>-1.1205380050579901</v>
      </c>
      <c r="AH3605">
        <v>28.34980606876</v>
      </c>
      <c r="AI3605">
        <v>92.243822623768594</v>
      </c>
      <c r="AJ3605">
        <v>82.443025549846496</v>
      </c>
      <c r="AK3605">
        <v>28.6201375859313</v>
      </c>
      <c r="AL3605">
        <v>79.779585734510206</v>
      </c>
      <c r="AM3605">
        <v>82.449147666448994</v>
      </c>
      <c r="AN3605">
        <v>1.0000000328279199</v>
      </c>
    </row>
    <row r="3606" spans="1:40" x14ac:dyDescent="0.25">
      <c r="A3606" t="str">
        <f>"20190303162852093"</f>
        <v>20190303162852093</v>
      </c>
      <c r="B3606" t="str">
        <f>"1551601732084808"</f>
        <v>1551601732084808</v>
      </c>
      <c r="C3606" t="s">
        <v>40</v>
      </c>
      <c r="D3606">
        <v>4.9198680000000001</v>
      </c>
      <c r="E3606">
        <v>0.50006070000000002</v>
      </c>
      <c r="F3606" t="s">
        <v>47</v>
      </c>
      <c r="G3606">
        <v>-199.19929999999999</v>
      </c>
      <c r="H3606" s="1">
        <v>2.6860959999999999E-6</v>
      </c>
      <c r="I3606">
        <v>210.57499999999999</v>
      </c>
      <c r="J3606">
        <v>-225.64150000000001</v>
      </c>
      <c r="K3606">
        <v>1.120533</v>
      </c>
      <c r="L3606">
        <v>214.11590000000001</v>
      </c>
      <c r="M3606">
        <v>0.99996750000000001</v>
      </c>
      <c r="N3606">
        <v>-7.8180000000000003E-3</v>
      </c>
      <c r="O3606">
        <v>-2.0927189999999998E-3</v>
      </c>
      <c r="P3606">
        <v>0.97689000000000004</v>
      </c>
      <c r="Q3606">
        <v>0.16816199999999901</v>
      </c>
      <c r="R3606">
        <v>-0.13193959999999999</v>
      </c>
      <c r="S3606">
        <v>3.0396879999999999</v>
      </c>
      <c r="T3606">
        <v>-0.12716479999999999</v>
      </c>
      <c r="U3606">
        <v>-0.40191650000000001</v>
      </c>
      <c r="V3606">
        <v>0.12988450000000001</v>
      </c>
      <c r="W3606">
        <v>0.1758035</v>
      </c>
      <c r="X3606">
        <v>0.9758192</v>
      </c>
      <c r="Y3606">
        <v>0.1288764</v>
      </c>
      <c r="Z3606">
        <v>-3.1183059999999999E-3</v>
      </c>
      <c r="AA3606">
        <v>0.99165579999999998</v>
      </c>
      <c r="AB3606">
        <v>35</v>
      </c>
      <c r="AC3606">
        <v>26.4422</v>
      </c>
      <c r="AD3606">
        <v>-1.1205303139039999</v>
      </c>
      <c r="AE3606">
        <v>-3.5409000000000201</v>
      </c>
      <c r="AF3606">
        <v>3.47941629432394</v>
      </c>
      <c r="AG3606">
        <v>-1.1205303139039999</v>
      </c>
      <c r="AH3606">
        <v>26.402973867323801</v>
      </c>
      <c r="AI3606">
        <v>92.409343010696006</v>
      </c>
      <c r="AJ3606">
        <v>82.4927501248998</v>
      </c>
      <c r="AK3606">
        <v>26.654811103667001</v>
      </c>
      <c r="AL3606">
        <v>79.874579597259299</v>
      </c>
      <c r="AM3606">
        <v>82.418321496875905</v>
      </c>
      <c r="AN3606">
        <v>0.99999998252056899</v>
      </c>
    </row>
    <row r="3607" spans="1:40" x14ac:dyDescent="0.25">
      <c r="A3607" t="str">
        <f>"20190303162852116"</f>
        <v>20190303162852116</v>
      </c>
      <c r="B3607" t="str">
        <f>"1551601732105304"</f>
        <v>1551601732105304</v>
      </c>
      <c r="C3607" t="s">
        <v>40</v>
      </c>
      <c r="D3607">
        <v>4.6560990000000002</v>
      </c>
      <c r="E3607">
        <v>0.50002049999999998</v>
      </c>
      <c r="F3607" t="s">
        <v>47</v>
      </c>
      <c r="G3607">
        <v>-200.08250000000001</v>
      </c>
      <c r="H3607" s="1">
        <v>2.5922240000000002E-6</v>
      </c>
      <c r="I3607">
        <v>210.74260000000001</v>
      </c>
      <c r="J3607">
        <v>-225.29050000000001</v>
      </c>
      <c r="K3607">
        <v>1.120525</v>
      </c>
      <c r="L3607">
        <v>214.11519999999999</v>
      </c>
      <c r="M3607">
        <v>0.99996719999999895</v>
      </c>
      <c r="N3607">
        <v>-7.8414460000000002E-3</v>
      </c>
      <c r="O3607">
        <v>-2.0518020000000001E-3</v>
      </c>
      <c r="P3607">
        <v>0.9770392</v>
      </c>
      <c r="Q3607">
        <v>0.16684109999999999</v>
      </c>
      <c r="R3607">
        <v>-0.13250799999999999</v>
      </c>
      <c r="S3607">
        <v>3.0397340000000002</v>
      </c>
      <c r="T3607">
        <v>-0.13326470000000001</v>
      </c>
      <c r="U3607">
        <v>-0.40118409999999999</v>
      </c>
      <c r="V3607">
        <v>0.13049269999999999</v>
      </c>
      <c r="W3607">
        <v>0.174507299999999</v>
      </c>
      <c r="X3607">
        <v>0.97597069999999997</v>
      </c>
      <c r="Y3607">
        <v>0.12866859999999999</v>
      </c>
      <c r="Z3607">
        <v>-3.2404030000000002E-3</v>
      </c>
      <c r="AA3607">
        <v>0.99168239999999996</v>
      </c>
      <c r="AB3607">
        <v>35</v>
      </c>
      <c r="AC3607">
        <v>25.207999999999998</v>
      </c>
      <c r="AD3607">
        <v>-1.1205224077760001</v>
      </c>
      <c r="AE3607">
        <v>-3.3725999999999701</v>
      </c>
      <c r="AF3607">
        <v>3.3144356696233701</v>
      </c>
      <c r="AG3607">
        <v>-1.1205224077760001</v>
      </c>
      <c r="AH3607">
        <v>25.166016031433401</v>
      </c>
      <c r="AI3607">
        <v>92.527624646561193</v>
      </c>
      <c r="AJ3607">
        <v>82.497165005940403</v>
      </c>
      <c r="AK3607">
        <v>25.408058114873</v>
      </c>
      <c r="AL3607">
        <v>79.950012449098097</v>
      </c>
      <c r="AM3607">
        <v>82.384403679729999</v>
      </c>
      <c r="AN3607">
        <v>0.999999974882534</v>
      </c>
    </row>
    <row r="3608" spans="1:40" x14ac:dyDescent="0.25">
      <c r="A3608" t="str">
        <f>"20190303162852137"</f>
        <v>20190303162852137</v>
      </c>
      <c r="B3608" t="str">
        <f>"1551601732124824"</f>
        <v>1551601732124824</v>
      </c>
      <c r="C3608" t="s">
        <v>40</v>
      </c>
      <c r="D3608">
        <v>4.6120510000000001</v>
      </c>
      <c r="E3608">
        <v>0.50006579999999901</v>
      </c>
      <c r="F3608" t="s">
        <v>47</v>
      </c>
      <c r="G3608">
        <v>-201.01169999999999</v>
      </c>
      <c r="H3608" s="1">
        <v>2.9903500000000001E-6</v>
      </c>
      <c r="I3608">
        <v>210.90209999999999</v>
      </c>
      <c r="J3608">
        <v>-224.94409999999999</v>
      </c>
      <c r="K3608">
        <v>1.1205240000000001</v>
      </c>
      <c r="L3608">
        <v>214.11449999999999</v>
      </c>
      <c r="M3608">
        <v>0.9999671</v>
      </c>
      <c r="N3608">
        <v>-7.8709909999999904E-3</v>
      </c>
      <c r="O3608">
        <v>-2.011742E-3</v>
      </c>
      <c r="P3608">
        <v>0.97722830000000005</v>
      </c>
      <c r="Q3608">
        <v>0.16557140000000001</v>
      </c>
      <c r="R3608">
        <v>-0.13270670000000001</v>
      </c>
      <c r="S3608">
        <v>3.039917</v>
      </c>
      <c r="T3608">
        <v>-0.14029920000000001</v>
      </c>
      <c r="U3608">
        <v>-0.40229799999999999</v>
      </c>
      <c r="V3608">
        <v>0.13073029999999999</v>
      </c>
      <c r="W3608">
        <v>0.17326810000000001</v>
      </c>
      <c r="X3608">
        <v>0.97615969999999996</v>
      </c>
      <c r="Y3608">
        <v>0.12904299999999999</v>
      </c>
      <c r="Z3608">
        <v>-3.3970760000000002E-3</v>
      </c>
      <c r="AA3608">
        <v>0.99163319999999999</v>
      </c>
      <c r="AB3608">
        <v>35</v>
      </c>
      <c r="AC3608">
        <v>23.932400000000001</v>
      </c>
      <c r="AD3608">
        <v>-1.12052100965</v>
      </c>
      <c r="AE3608">
        <v>-3.2124000000000001</v>
      </c>
      <c r="AF3608">
        <v>3.1574471443517398</v>
      </c>
      <c r="AG3608">
        <v>-1.12052100965</v>
      </c>
      <c r="AH3608">
        <v>23.887376669394701</v>
      </c>
      <c r="AI3608">
        <v>92.662565066711196</v>
      </c>
      <c r="AJ3608">
        <v>82.470261004487995</v>
      </c>
      <c r="AK3608">
        <v>24.121189936402001</v>
      </c>
      <c r="AL3608">
        <v>80.022112066176902</v>
      </c>
      <c r="AM3608">
        <v>82.372160207141405</v>
      </c>
      <c r="AN3608">
        <v>1.0000000028598901</v>
      </c>
    </row>
    <row r="3609" spans="1:40" x14ac:dyDescent="0.25">
      <c r="A3609" t="str">
        <f>"20190303162852160"</f>
        <v>20190303162852160</v>
      </c>
      <c r="B3609" t="str">
        <f>"1551601732155080"</f>
        <v>1551601732155080</v>
      </c>
      <c r="C3609" t="s">
        <v>40</v>
      </c>
      <c r="D3609">
        <v>4.5488660000000003</v>
      </c>
      <c r="E3609">
        <v>0.50016579999999999</v>
      </c>
      <c r="F3609" t="s">
        <v>47</v>
      </c>
      <c r="G3609">
        <v>-201.63310000000001</v>
      </c>
      <c r="H3609" s="1">
        <v>3.2553870000000001E-6</v>
      </c>
      <c r="I3609">
        <v>211.02260000000001</v>
      </c>
      <c r="J3609">
        <v>-224.5822</v>
      </c>
      <c r="K3609">
        <v>1.1205240000000001</v>
      </c>
      <c r="L3609">
        <v>214.1138</v>
      </c>
      <c r="M3609">
        <v>0.99996689999999999</v>
      </c>
      <c r="N3609">
        <v>-7.9074319999999903E-3</v>
      </c>
      <c r="O3609">
        <v>-1.9700410000000001E-3</v>
      </c>
      <c r="P3609">
        <v>0.97725700000000004</v>
      </c>
      <c r="Q3609">
        <v>0.1649669</v>
      </c>
      <c r="R3609">
        <v>-0.13324839999999999</v>
      </c>
      <c r="S3609">
        <v>3.0398860000000001</v>
      </c>
      <c r="T3609">
        <v>-0.14612229999999901</v>
      </c>
      <c r="U3609">
        <v>-0.40319820000000001</v>
      </c>
      <c r="V3609">
        <v>0.1313125</v>
      </c>
      <c r="W3609">
        <v>0.1726993</v>
      </c>
      <c r="X3609">
        <v>0.97618229999999995</v>
      </c>
      <c r="Y3609">
        <v>0.12936149999999999</v>
      </c>
      <c r="Z3609">
        <v>-3.529089E-3</v>
      </c>
      <c r="AA3609">
        <v>0.99159120000000001</v>
      </c>
      <c r="AB3609">
        <v>35</v>
      </c>
      <c r="AC3609">
        <v>22.949099999999898</v>
      </c>
      <c r="AD3609">
        <v>-1.1205207446130001</v>
      </c>
      <c r="AE3609">
        <v>-3.0911999999999802</v>
      </c>
      <c r="AF3609">
        <v>3.03886633203697</v>
      </c>
      <c r="AG3609">
        <v>-1.1205207446130001</v>
      </c>
      <c r="AH3609">
        <v>22.901520878938399</v>
      </c>
      <c r="AI3609">
        <v>92.7768209235672</v>
      </c>
      <c r="AJ3609">
        <v>82.441419933141901</v>
      </c>
      <c r="AK3609">
        <v>23.129417067698601</v>
      </c>
      <c r="AL3609">
        <v>80.055200215497507</v>
      </c>
      <c r="AM3609">
        <v>82.338767924704698</v>
      </c>
      <c r="AN3609">
        <v>0.999999951855013</v>
      </c>
    </row>
    <row r="3610" spans="1:40" x14ac:dyDescent="0.25">
      <c r="A3610" t="str">
        <f>"20190303162852181"</f>
        <v>20190303162852181</v>
      </c>
      <c r="B3610" t="str">
        <f>"1551601732175576"</f>
        <v>1551601732175576</v>
      </c>
      <c r="C3610" t="s">
        <v>40</v>
      </c>
      <c r="D3610">
        <v>4.5528490000000001</v>
      </c>
      <c r="E3610">
        <v>0.50025580000000003</v>
      </c>
      <c r="F3610" t="s">
        <v>47</v>
      </c>
      <c r="G3610">
        <v>-201.92779999999999</v>
      </c>
      <c r="H3610" s="1">
        <v>3.3798860000000001E-6</v>
      </c>
      <c r="I3610">
        <v>211.0932</v>
      </c>
      <c r="J3610">
        <v>-224.25020000000001</v>
      </c>
      <c r="K3610">
        <v>1.1205290000000001</v>
      </c>
      <c r="L3610">
        <v>214.1131</v>
      </c>
      <c r="M3610">
        <v>0.99996660000000004</v>
      </c>
      <c r="N3610">
        <v>-7.9442650000000007E-3</v>
      </c>
      <c r="O3610">
        <v>-1.931561E-3</v>
      </c>
      <c r="P3610">
        <v>0.97715739999999995</v>
      </c>
      <c r="Q3610">
        <v>0.1648124</v>
      </c>
      <c r="R3610">
        <v>-0.134164899999999</v>
      </c>
      <c r="S3610">
        <v>3.0399630000000002</v>
      </c>
      <c r="T3610">
        <v>-0.1503612</v>
      </c>
      <c r="U3610">
        <v>-0.40533449999999999</v>
      </c>
      <c r="V3610">
        <v>0.13226669999999999</v>
      </c>
      <c r="W3610">
        <v>0.17257999999999901</v>
      </c>
      <c r="X3610">
        <v>0.97607460000000001</v>
      </c>
      <c r="Y3610">
        <v>0.13007069999999901</v>
      </c>
      <c r="Z3610">
        <v>-3.6401620000000002E-3</v>
      </c>
      <c r="AA3610">
        <v>0.99149810000000005</v>
      </c>
      <c r="AB3610">
        <v>35</v>
      </c>
      <c r="AC3610">
        <v>22.322399999999998</v>
      </c>
      <c r="AD3610">
        <v>-1.1205256201139999</v>
      </c>
      <c r="AE3610">
        <v>-3.0198999999999998</v>
      </c>
      <c r="AF3610">
        <v>2.9694281187105398</v>
      </c>
      <c r="AG3610">
        <v>-1.1205256201139999</v>
      </c>
      <c r="AH3610">
        <v>22.273077227018</v>
      </c>
      <c r="AI3610">
        <v>92.854821230679704</v>
      </c>
      <c r="AJ3610">
        <v>82.406154085196107</v>
      </c>
      <c r="AK3610">
        <v>22.4980676987654</v>
      </c>
      <c r="AL3610">
        <v>80.062140087871697</v>
      </c>
      <c r="AM3610">
        <v>82.282923729086093</v>
      </c>
      <c r="AN3610">
        <v>0.99999998054702399</v>
      </c>
    </row>
    <row r="3611" spans="1:40" x14ac:dyDescent="0.25">
      <c r="A3611" t="str">
        <f>"20190303162852195"</f>
        <v>20190303162852195</v>
      </c>
      <c r="B3611" t="str">
        <f>"1551601732185336"</f>
        <v>1551601732185336</v>
      </c>
      <c r="C3611" t="s">
        <v>40</v>
      </c>
      <c r="D3611">
        <v>4.5448789999999999</v>
      </c>
      <c r="E3611">
        <v>0.50034029999999996</v>
      </c>
      <c r="F3611" t="s">
        <v>47</v>
      </c>
      <c r="G3611">
        <v>-201.80520000000001</v>
      </c>
      <c r="H3611" s="1">
        <v>3.3252489999999998E-6</v>
      </c>
      <c r="I3611">
        <v>211.09630000000001</v>
      </c>
      <c r="J3611">
        <v>-224.03380000000001</v>
      </c>
      <c r="K3611">
        <v>1.120528</v>
      </c>
      <c r="L3611">
        <v>214.11269999999999</v>
      </c>
      <c r="M3611">
        <v>0.99996640000000003</v>
      </c>
      <c r="N3611">
        <v>-7.9708319999999902E-3</v>
      </c>
      <c r="O3611">
        <v>-1.9065110000000001E-3</v>
      </c>
      <c r="P3611">
        <v>0.97672219999999998</v>
      </c>
      <c r="Q3611">
        <v>0.165468899999999</v>
      </c>
      <c r="R3611">
        <v>-0.136507399999999</v>
      </c>
      <c r="S3611">
        <v>3.0396269999999999</v>
      </c>
      <c r="T3611">
        <v>-0.15174779999999999</v>
      </c>
      <c r="U3611">
        <v>-0.40855409999999998</v>
      </c>
      <c r="V3611">
        <v>0.13463429999999901</v>
      </c>
      <c r="W3611">
        <v>0.1732592</v>
      </c>
      <c r="X3611">
        <v>0.97563049999999996</v>
      </c>
      <c r="Y3611">
        <v>0.1311368</v>
      </c>
      <c r="Z3611">
        <v>-3.7025119999999998E-3</v>
      </c>
      <c r="AA3611">
        <v>0.99135740000000006</v>
      </c>
      <c r="AB3611">
        <v>35</v>
      </c>
      <c r="AC3611">
        <v>22.2286</v>
      </c>
      <c r="AD3611">
        <v>-1.120524674751</v>
      </c>
      <c r="AE3611">
        <v>-3.0163999999999702</v>
      </c>
      <c r="AF3611">
        <v>2.96661200083707</v>
      </c>
      <c r="AG3611">
        <v>-1.120524674751</v>
      </c>
      <c r="AH3611">
        <v>22.178971039859999</v>
      </c>
      <c r="AI3611">
        <v>92.866747028458093</v>
      </c>
      <c r="AJ3611">
        <v>82.381458486544503</v>
      </c>
      <c r="AK3611">
        <v>22.404533440738899</v>
      </c>
      <c r="AL3611">
        <v>80.022629889668195</v>
      </c>
      <c r="AM3611">
        <v>82.142965191720094</v>
      </c>
      <c r="AN3611">
        <v>1.00000000882569</v>
      </c>
    </row>
    <row r="3612" spans="1:40" x14ac:dyDescent="0.25">
      <c r="A3612" t="str">
        <f>"20190303162852216"</f>
        <v>20190303162852216</v>
      </c>
      <c r="B3612" t="str">
        <f>"1551601732204856"</f>
        <v>1551601732204856</v>
      </c>
      <c r="C3612" t="s">
        <v>40</v>
      </c>
      <c r="D3612">
        <v>4.5011449999999904</v>
      </c>
      <c r="E3612">
        <v>0.50046970000000002</v>
      </c>
      <c r="F3612" t="s">
        <v>47</v>
      </c>
      <c r="G3612">
        <v>-201.38319999999999</v>
      </c>
      <c r="H3612" s="1">
        <v>3.145683E-6</v>
      </c>
      <c r="I3612">
        <v>211.00960000000001</v>
      </c>
      <c r="J3612">
        <v>-223.70089999999999</v>
      </c>
      <c r="K3612">
        <v>1.12053799999999</v>
      </c>
      <c r="L3612">
        <v>214.1121</v>
      </c>
      <c r="M3612">
        <v>0.99996609999999997</v>
      </c>
      <c r="N3612">
        <v>-8.0205629999999997E-3</v>
      </c>
      <c r="O3612">
        <v>-1.8680840000000001E-3</v>
      </c>
      <c r="P3612">
        <v>0.97629169999999998</v>
      </c>
      <c r="Q3612">
        <v>0.165855</v>
      </c>
      <c r="R3612">
        <v>-0.1390932</v>
      </c>
      <c r="S3612">
        <v>3.0387879999999998</v>
      </c>
      <c r="T3612">
        <v>-0.15032899999999999</v>
      </c>
      <c r="U3612">
        <v>-0.41632079999999999</v>
      </c>
      <c r="V3612">
        <v>0.13725850000000001</v>
      </c>
      <c r="W3612">
        <v>0.17369019999999999</v>
      </c>
      <c r="X3612">
        <v>0.9751881</v>
      </c>
      <c r="Y3612">
        <v>0.13369790000000001</v>
      </c>
      <c r="Z3612">
        <v>-3.7516870000000001E-3</v>
      </c>
      <c r="AA3612">
        <v>0.99101499999999998</v>
      </c>
      <c r="AB3612">
        <v>36</v>
      </c>
      <c r="AC3612">
        <v>22.317699999999999</v>
      </c>
      <c r="AD3612">
        <v>-1.12053485431699</v>
      </c>
      <c r="AE3612">
        <v>-3.1024999999999898</v>
      </c>
      <c r="AF3612">
        <v>3.05325095724324</v>
      </c>
      <c r="AG3612">
        <v>-1.12053485431699</v>
      </c>
      <c r="AH3612">
        <v>22.2683853567132</v>
      </c>
      <c r="AI3612">
        <v>92.854010056494403</v>
      </c>
      <c r="AJ3612">
        <v>82.192772934959095</v>
      </c>
      <c r="AK3612">
        <v>22.504642324700999</v>
      </c>
      <c r="AL3612">
        <v>79.997555205301893</v>
      </c>
      <c r="AM3612">
        <v>81.988203530513601</v>
      </c>
      <c r="AN3612">
        <v>1.0000000058899401</v>
      </c>
    </row>
    <row r="3613" spans="1:40" x14ac:dyDescent="0.25">
      <c r="A3613" t="str">
        <f>"20190303162852238"</f>
        <v>20190303162852238</v>
      </c>
      <c r="B3613" t="str">
        <f>"1551601732225353"</f>
        <v>1551601732225353</v>
      </c>
      <c r="C3613" t="s">
        <v>40</v>
      </c>
      <c r="D3613">
        <v>4.4720309999999897</v>
      </c>
      <c r="E3613">
        <v>0.50058349999999996</v>
      </c>
      <c r="F3613" t="s">
        <v>47</v>
      </c>
      <c r="G3613">
        <v>-200.93709999999999</v>
      </c>
      <c r="H3613" s="1">
        <v>2.9547989999999998E-6</v>
      </c>
      <c r="I3613">
        <v>210.93029999999999</v>
      </c>
      <c r="J3613">
        <v>-223.34780000000001</v>
      </c>
      <c r="K3613">
        <v>1.1205499999999999</v>
      </c>
      <c r="L3613">
        <v>214.11150000000001</v>
      </c>
      <c r="M3613">
        <v>0.99996569999999996</v>
      </c>
      <c r="N3613">
        <v>-8.0883940000000005E-3</v>
      </c>
      <c r="O3613">
        <v>-1.8274649999999999E-3</v>
      </c>
      <c r="P3613">
        <v>0.97567959999999998</v>
      </c>
      <c r="Q3613">
        <v>0.16658100000000001</v>
      </c>
      <c r="R3613">
        <v>-0.14247939999999901</v>
      </c>
      <c r="S3613">
        <v>3.0377350000000001</v>
      </c>
      <c r="T3613">
        <v>-0.14953050000000001</v>
      </c>
      <c r="U3613">
        <v>-0.42460629999999999</v>
      </c>
      <c r="V3613">
        <v>0.14068549999999999</v>
      </c>
      <c r="W3613">
        <v>0.1744782</v>
      </c>
      <c r="X3613">
        <v>0.97455890000000001</v>
      </c>
      <c r="Y3613">
        <v>0.13643379999999999</v>
      </c>
      <c r="Z3613">
        <v>-3.8197610000000001E-3</v>
      </c>
      <c r="AA3613">
        <v>0.99064180000000002</v>
      </c>
      <c r="AB3613">
        <v>36</v>
      </c>
      <c r="AC3613">
        <v>22.410699999999999</v>
      </c>
      <c r="AD3613">
        <v>-1.120547045201</v>
      </c>
      <c r="AE3613">
        <v>-3.1812000000000098</v>
      </c>
      <c r="AF3613">
        <v>3.13256169657034</v>
      </c>
      <c r="AG3613">
        <v>-1.120547045201</v>
      </c>
      <c r="AH3613">
        <v>22.361675140707</v>
      </c>
      <c r="AI3613">
        <v>92.841006364410404</v>
      </c>
      <c r="AJ3613">
        <v>82.025546712315503</v>
      </c>
      <c r="AK3613">
        <v>22.607810233674599</v>
      </c>
      <c r="AL3613">
        <v>79.951706505468906</v>
      </c>
      <c r="AM3613">
        <v>81.785635211363797</v>
      </c>
      <c r="AN3613">
        <v>1.0000000508773399</v>
      </c>
    </row>
    <row r="3614" spans="1:40" x14ac:dyDescent="0.25">
      <c r="A3614" t="str">
        <f>"20190303162852261"</f>
        <v>20190303162852261</v>
      </c>
      <c r="B3614" t="str">
        <f>"1551601732244872"</f>
        <v>1551601732244872</v>
      </c>
      <c r="C3614" t="s">
        <v>40</v>
      </c>
      <c r="D3614">
        <v>4.4432090000000004</v>
      </c>
      <c r="E3614">
        <v>0.5006948</v>
      </c>
      <c r="F3614" t="s">
        <v>47</v>
      </c>
      <c r="G3614">
        <v>-200.27869999999999</v>
      </c>
      <c r="H3614" s="1">
        <v>2.6741029999999998E-6</v>
      </c>
      <c r="I3614">
        <v>210.8013</v>
      </c>
      <c r="J3614">
        <v>-222.9862</v>
      </c>
      <c r="K3614">
        <v>1.1205670000000001</v>
      </c>
      <c r="L3614">
        <v>214.11080000000001</v>
      </c>
      <c r="M3614">
        <v>0.99996510000000005</v>
      </c>
      <c r="N3614">
        <v>-8.1699159999999993E-3</v>
      </c>
      <c r="O3614">
        <v>-1.78583E-3</v>
      </c>
      <c r="P3614">
        <v>0.97537549999999995</v>
      </c>
      <c r="Q3614">
        <v>0.1672411</v>
      </c>
      <c r="R3614">
        <v>-0.1437822</v>
      </c>
      <c r="S3614">
        <v>3.036346</v>
      </c>
      <c r="T3614">
        <v>-0.14748620000000001</v>
      </c>
      <c r="U3614">
        <v>-0.43568420000000002</v>
      </c>
      <c r="V3614">
        <v>0.14202909999999999</v>
      </c>
      <c r="W3614">
        <v>0.17521529999999999</v>
      </c>
      <c r="X3614">
        <v>0.97423170000000003</v>
      </c>
      <c r="Y3614">
        <v>0.140078799999999</v>
      </c>
      <c r="Z3614">
        <v>-3.886554E-3</v>
      </c>
      <c r="AA3614">
        <v>0.99013269999999998</v>
      </c>
      <c r="AB3614">
        <v>36</v>
      </c>
      <c r="AC3614">
        <v>22.7075</v>
      </c>
      <c r="AD3614">
        <v>-1.1205643258969999</v>
      </c>
      <c r="AE3614">
        <v>-3.3095000000000101</v>
      </c>
      <c r="AF3614">
        <v>3.26116522488261</v>
      </c>
      <c r="AG3614">
        <v>-1.1205643258969999</v>
      </c>
      <c r="AH3614">
        <v>22.659341852071901</v>
      </c>
      <c r="AI3614">
        <v>92.802294285037704</v>
      </c>
      <c r="AJ3614">
        <v>81.810146143229005</v>
      </c>
      <c r="AK3614">
        <v>22.9202233017376</v>
      </c>
      <c r="AL3614">
        <v>79.908812889755097</v>
      </c>
      <c r="AM3614">
        <v>81.705524543962298</v>
      </c>
      <c r="AN3614">
        <v>1.00000003594289</v>
      </c>
    </row>
    <row r="3615" spans="1:40" x14ac:dyDescent="0.25">
      <c r="A3615" t="str">
        <f>"20190303162852279"</f>
        <v>20190303162852279</v>
      </c>
      <c r="B3615" t="str">
        <f>"1551601732265368"</f>
        <v>1551601732265368</v>
      </c>
      <c r="C3615" t="s">
        <v>40</v>
      </c>
      <c r="D3615">
        <v>4.4476250000000004</v>
      </c>
      <c r="E3615">
        <v>0.5008032</v>
      </c>
      <c r="F3615" t="s">
        <v>47</v>
      </c>
      <c r="G3615">
        <v>-199.70580000000001</v>
      </c>
      <c r="H3615" s="1">
        <v>2.5824200000000002E-6</v>
      </c>
      <c r="I3615">
        <v>210.73330000000001</v>
      </c>
      <c r="J3615">
        <v>-222.70959999999999</v>
      </c>
      <c r="K3615">
        <v>1.120582</v>
      </c>
      <c r="L3615">
        <v>214.1104</v>
      </c>
      <c r="M3615">
        <v>0.99996459999999998</v>
      </c>
      <c r="N3615">
        <v>-8.2464359999999994E-3</v>
      </c>
      <c r="O3615">
        <v>-1.757785E-3</v>
      </c>
      <c r="P3615">
        <v>0.97491419999999995</v>
      </c>
      <c r="Q3615">
        <v>0.16786110000000001</v>
      </c>
      <c r="R3615">
        <v>-0.14616899999999999</v>
      </c>
      <c r="S3615">
        <v>3.035873</v>
      </c>
      <c r="T3615">
        <v>-0.1461267</v>
      </c>
      <c r="U3615">
        <v>-0.44044489999999997</v>
      </c>
      <c r="V3615">
        <v>0.14444470000000001</v>
      </c>
      <c r="W3615">
        <v>0.17590529999999999</v>
      </c>
      <c r="X3615">
        <v>0.97375199999999995</v>
      </c>
      <c r="Y3615">
        <v>0.1416499</v>
      </c>
      <c r="Z3615">
        <v>-3.907148E-3</v>
      </c>
      <c r="AA3615">
        <v>0.98990909999999999</v>
      </c>
      <c r="AB3615">
        <v>36</v>
      </c>
      <c r="AC3615">
        <v>23.003799999999899</v>
      </c>
      <c r="AD3615">
        <v>-1.1205794175799999</v>
      </c>
      <c r="AE3615">
        <v>-3.37709999999998</v>
      </c>
      <c r="AF3615">
        <v>3.3289250060998898</v>
      </c>
      <c r="AG3615">
        <v>-1.1205794175799999</v>
      </c>
      <c r="AH3615">
        <v>22.9563761110911</v>
      </c>
      <c r="AI3615">
        <v>92.765703299904104</v>
      </c>
      <c r="AJ3615">
        <v>81.749000508181695</v>
      </c>
      <c r="AK3615">
        <v>23.2235364249551</v>
      </c>
      <c r="AL3615">
        <v>79.868654236606801</v>
      </c>
      <c r="AM3615">
        <v>81.562371296868307</v>
      </c>
      <c r="AN3615">
        <v>0.99999995171508804</v>
      </c>
    </row>
    <row r="3616" spans="1:40" x14ac:dyDescent="0.25">
      <c r="A3616" t="str">
        <f>"20190303162852299"</f>
        <v>20190303162852299</v>
      </c>
      <c r="B3616" t="str">
        <f>"1551601732284888"</f>
        <v>1551601732284888</v>
      </c>
      <c r="C3616" t="s">
        <v>40</v>
      </c>
      <c r="D3616">
        <v>4.452464</v>
      </c>
      <c r="E3616">
        <v>0.50088029999999995</v>
      </c>
      <c r="F3616" t="s">
        <v>47</v>
      </c>
      <c r="G3616">
        <v>-199.19630000000001</v>
      </c>
      <c r="H3616" s="1">
        <v>2.681903E-6</v>
      </c>
      <c r="I3616">
        <v>210.62909999999999</v>
      </c>
      <c r="J3616">
        <v>-222.38589999999999</v>
      </c>
      <c r="K3616">
        <v>1.1206039999999999</v>
      </c>
      <c r="L3616">
        <v>214.10980000000001</v>
      </c>
      <c r="M3616">
        <v>0.99996359999999995</v>
      </c>
      <c r="N3616">
        <v>-8.3692090000000007E-3</v>
      </c>
      <c r="O3616">
        <v>-1.731392E-3</v>
      </c>
      <c r="P3616">
        <v>0.97435899999999998</v>
      </c>
      <c r="Q3616">
        <v>0.16861229999999999</v>
      </c>
      <c r="R3616">
        <v>-0.1489791</v>
      </c>
      <c r="S3616">
        <v>3.034729</v>
      </c>
      <c r="T3616">
        <v>-0.1446269</v>
      </c>
      <c r="U3616">
        <v>-0.4493103</v>
      </c>
      <c r="V3616">
        <v>0.14728329999999901</v>
      </c>
      <c r="W3616">
        <v>0.17676989999999901</v>
      </c>
      <c r="X3616">
        <v>0.97317010000000004</v>
      </c>
      <c r="Y3616">
        <v>0.14455870000000001</v>
      </c>
      <c r="Z3616">
        <v>-3.9650450000000004E-3</v>
      </c>
      <c r="AA3616">
        <v>0.98948829999999999</v>
      </c>
      <c r="AB3616">
        <v>36</v>
      </c>
      <c r="AC3616">
        <v>23.189599999999899</v>
      </c>
      <c r="AD3616">
        <v>-1.120601318097</v>
      </c>
      <c r="AE3616">
        <v>-3.4807000000000099</v>
      </c>
      <c r="AF3616">
        <v>3.4327038104103198</v>
      </c>
      <c r="AG3616">
        <v>-1.120601318097</v>
      </c>
      <c r="AH3616">
        <v>23.1427407132167</v>
      </c>
      <c r="AI3616">
        <v>92.742215125934393</v>
      </c>
      <c r="AJ3616">
        <v>81.562978405170497</v>
      </c>
      <c r="AK3616">
        <v>23.4227592414579</v>
      </c>
      <c r="AL3616">
        <v>79.8183282276472</v>
      </c>
      <c r="AM3616">
        <v>81.393947206286001</v>
      </c>
      <c r="AN3616">
        <v>1.00000000576945</v>
      </c>
    </row>
    <row r="3617" spans="1:40" x14ac:dyDescent="0.25">
      <c r="A3617" t="str">
        <f>"20190303162852316"</f>
        <v>20190303162852316</v>
      </c>
      <c r="B3617" t="str">
        <f>"1551601732305385"</f>
        <v>1551601732305385</v>
      </c>
      <c r="C3617" t="s">
        <v>40</v>
      </c>
      <c r="D3617">
        <v>4.4932530000000002</v>
      </c>
      <c r="E3617">
        <v>0.50095109999999998</v>
      </c>
      <c r="F3617" t="s">
        <v>47</v>
      </c>
      <c r="G3617">
        <v>-198.52170000000001</v>
      </c>
      <c r="H3617" s="1">
        <v>2.8125959999999999E-6</v>
      </c>
      <c r="I3617">
        <v>210.50280000000001</v>
      </c>
      <c r="J3617">
        <v>-222.1009</v>
      </c>
      <c r="K3617">
        <v>1.1206309999999999</v>
      </c>
      <c r="L3617">
        <v>214.10929999999999</v>
      </c>
      <c r="M3617">
        <v>0.99996229999999997</v>
      </c>
      <c r="N3617">
        <v>-8.5259429999999994E-3</v>
      </c>
      <c r="O3617">
        <v>-1.713867E-3</v>
      </c>
      <c r="P3617">
        <v>0.97396090000000002</v>
      </c>
      <c r="Q3617">
        <v>0.16834260000000001</v>
      </c>
      <c r="R3617">
        <v>-0.15185940000000001</v>
      </c>
      <c r="S3617">
        <v>3.0334780000000001</v>
      </c>
      <c r="T3617">
        <v>-0.14244479999999901</v>
      </c>
      <c r="U3617">
        <v>-0.45849609999999902</v>
      </c>
      <c r="V3617">
        <v>0.1501837</v>
      </c>
      <c r="W3617">
        <v>0.1766479</v>
      </c>
      <c r="X3617">
        <v>0.97274890000000003</v>
      </c>
      <c r="Y3617">
        <v>0.1475659</v>
      </c>
      <c r="Z3617">
        <v>-4.01082E-3</v>
      </c>
      <c r="AA3617">
        <v>0.98904409999999998</v>
      </c>
      <c r="AB3617">
        <v>36</v>
      </c>
      <c r="AC3617">
        <v>23.579199999999901</v>
      </c>
      <c r="AD3617">
        <v>-1.1206281874039901</v>
      </c>
      <c r="AE3617">
        <v>-3.6064999999999801</v>
      </c>
      <c r="AF3617">
        <v>3.55822826274466</v>
      </c>
      <c r="AG3617">
        <v>-1.1206281874039901</v>
      </c>
      <c r="AH3617">
        <v>23.533406088472098</v>
      </c>
      <c r="AI3617">
        <v>92.695692993231503</v>
      </c>
      <c r="AJ3617">
        <v>81.402058386959197</v>
      </c>
      <c r="AK3617">
        <v>23.827253262370299</v>
      </c>
      <c r="AL3617">
        <v>79.825430254478306</v>
      </c>
      <c r="AM3617">
        <v>81.2233432273012</v>
      </c>
      <c r="AN3617">
        <v>1.0000000233856501</v>
      </c>
    </row>
    <row r="3618" spans="1:40" x14ac:dyDescent="0.25">
      <c r="A3618" t="str">
        <f>"20190303162852340"</f>
        <v>20190303162852340</v>
      </c>
      <c r="B3618" t="str">
        <f>"1551601732324904"</f>
        <v>1551601732324904</v>
      </c>
      <c r="C3618" t="s">
        <v>40</v>
      </c>
      <c r="D3618">
        <v>4.459403</v>
      </c>
      <c r="E3618">
        <v>0.50101899999999999</v>
      </c>
      <c r="F3618" t="s">
        <v>47</v>
      </c>
      <c r="G3618">
        <v>-198.5403</v>
      </c>
      <c r="H3618" s="1">
        <v>2.8112779999999999E-6</v>
      </c>
      <c r="I3618">
        <v>210.4802</v>
      </c>
      <c r="J3618">
        <v>-221.72499999999999</v>
      </c>
      <c r="K3618">
        <v>1.1206719999999999</v>
      </c>
      <c r="L3618">
        <v>214.1086</v>
      </c>
      <c r="M3618">
        <v>0.99995979999999995</v>
      </c>
      <c r="N3618">
        <v>-8.8152390000000008E-3</v>
      </c>
      <c r="O3618">
        <v>-1.704262E-3</v>
      </c>
      <c r="P3618">
        <v>0.97387159999999995</v>
      </c>
      <c r="Q3618">
        <v>0.1672651</v>
      </c>
      <c r="R3618">
        <v>-0.15361169999999999</v>
      </c>
      <c r="S3618">
        <v>3.0323030000000002</v>
      </c>
      <c r="T3618">
        <v>-0.14422769999999999</v>
      </c>
      <c r="U3618">
        <v>-0.46707149999999997</v>
      </c>
      <c r="V3618">
        <v>0.15195020000000001</v>
      </c>
      <c r="W3618">
        <v>0.17584710000000001</v>
      </c>
      <c r="X3618">
        <v>0.97261960000000003</v>
      </c>
      <c r="Y3618">
        <v>0.15035570000000001</v>
      </c>
      <c r="Z3618">
        <v>-4.1542419999999998E-3</v>
      </c>
      <c r="AA3618">
        <v>0.98862329999999998</v>
      </c>
      <c r="AB3618">
        <v>36</v>
      </c>
      <c r="AC3618">
        <v>23.1846999999999</v>
      </c>
      <c r="AD3618">
        <v>-1.1206691887219999</v>
      </c>
      <c r="AE3618">
        <v>-3.6283999999999899</v>
      </c>
      <c r="AF3618">
        <v>3.5807143291007999</v>
      </c>
      <c r="AG3618">
        <v>-1.1206691887219999</v>
      </c>
      <c r="AH3618">
        <v>23.138082313051601</v>
      </c>
      <c r="AI3618">
        <v>92.740326096845095</v>
      </c>
      <c r="AJ3618">
        <v>81.203023047945194</v>
      </c>
      <c r="AK3618">
        <v>23.4403128746766</v>
      </c>
      <c r="AL3618">
        <v>79.872041902581898</v>
      </c>
      <c r="AM3618">
        <v>81.1205836761429</v>
      </c>
      <c r="AN3618">
        <v>0.99999997608130398</v>
      </c>
    </row>
    <row r="3619" spans="1:40" x14ac:dyDescent="0.25">
      <c r="A3619" t="str">
        <f>"20190303162852361"</f>
        <v>20190303162852361</v>
      </c>
      <c r="B3619" t="str">
        <f>"1551601732355161"</f>
        <v>1551601732355161</v>
      </c>
      <c r="C3619" t="s">
        <v>40</v>
      </c>
      <c r="D3619">
        <v>4.4706910000000004</v>
      </c>
      <c r="E3619">
        <v>0.50105580000000005</v>
      </c>
      <c r="F3619" t="s">
        <v>47</v>
      </c>
      <c r="G3619">
        <v>-198.8554</v>
      </c>
      <c r="H3619" s="1">
        <v>2.7498980000000001E-6</v>
      </c>
      <c r="I3619">
        <v>210.54300000000001</v>
      </c>
      <c r="J3619">
        <v>-221.3707</v>
      </c>
      <c r="K3619">
        <v>1.1207180000000001</v>
      </c>
      <c r="L3619">
        <v>214.108</v>
      </c>
      <c r="M3619">
        <v>0.99995639999999997</v>
      </c>
      <c r="N3619">
        <v>-9.1867670000000002E-3</v>
      </c>
      <c r="O3619">
        <v>-1.72029E-3</v>
      </c>
      <c r="P3619">
        <v>0.97420469999999904</v>
      </c>
      <c r="Q3619">
        <v>0.16454199999999999</v>
      </c>
      <c r="R3619">
        <v>-0.15443959999999901</v>
      </c>
      <c r="S3619">
        <v>3.031479</v>
      </c>
      <c r="T3619">
        <v>-0.1485504</v>
      </c>
      <c r="U3619">
        <v>-0.47264099999999998</v>
      </c>
      <c r="V3619">
        <v>0.1527684</v>
      </c>
      <c r="W3619">
        <v>0.1734831</v>
      </c>
      <c r="X3619">
        <v>0.97291589999999994</v>
      </c>
      <c r="Y3619">
        <v>0.15213889999999999</v>
      </c>
      <c r="Z3619">
        <v>-4.3385300000000002E-3</v>
      </c>
      <c r="AA3619">
        <v>0.98834960000000005</v>
      </c>
      <c r="AB3619">
        <v>36</v>
      </c>
      <c r="AC3619">
        <v>22.5153</v>
      </c>
      <c r="AD3619">
        <v>-1.1207152501019999</v>
      </c>
      <c r="AE3619">
        <v>-3.5649999999999902</v>
      </c>
      <c r="AF3619">
        <v>3.5177577352782601</v>
      </c>
      <c r="AG3619">
        <v>-1.1207152501019999</v>
      </c>
      <c r="AH3619">
        <v>22.467096215888599</v>
      </c>
      <c r="AI3619">
        <v>92.8213730347222</v>
      </c>
      <c r="AJ3619">
        <v>81.101233741178106</v>
      </c>
      <c r="AK3619">
        <v>22.7684218717486</v>
      </c>
      <c r="AL3619">
        <v>80.009603609229501</v>
      </c>
      <c r="AM3619">
        <v>81.0762137592926</v>
      </c>
      <c r="AN3619">
        <v>0.99999995924848895</v>
      </c>
    </row>
    <row r="3620" spans="1:40" x14ac:dyDescent="0.25">
      <c r="A3620" t="str">
        <f>"20190303162852383"</f>
        <v>20190303162852383</v>
      </c>
      <c r="B3620" t="str">
        <f>"1551601732375656"</f>
        <v>1551601732375656</v>
      </c>
      <c r="C3620" t="s">
        <v>40</v>
      </c>
      <c r="D3620">
        <v>4.5765440000000002</v>
      </c>
      <c r="E3620">
        <v>0.4949037</v>
      </c>
      <c r="F3620" t="s">
        <v>47</v>
      </c>
      <c r="G3620">
        <v>-199.899</v>
      </c>
      <c r="H3620" s="1">
        <v>2.547002E-6</v>
      </c>
      <c r="I3620">
        <v>210.74629999999999</v>
      </c>
      <c r="J3620">
        <v>-221.02619999999999</v>
      </c>
      <c r="K3620">
        <v>1.120771</v>
      </c>
      <c r="L3620">
        <v>214.10740000000001</v>
      </c>
      <c r="M3620">
        <v>0.9999519</v>
      </c>
      <c r="N3620">
        <v>-9.6419499999999998E-3</v>
      </c>
      <c r="O3620">
        <v>-1.7717220000000001E-3</v>
      </c>
      <c r="P3620">
        <v>0.97461010000000003</v>
      </c>
      <c r="Q3620">
        <v>0.16087770000000001</v>
      </c>
      <c r="R3620">
        <v>-0.1557357</v>
      </c>
      <c r="S3620">
        <v>3.0309300000000001</v>
      </c>
      <c r="T3620">
        <v>-0.1581999</v>
      </c>
      <c r="U3620">
        <v>-0.47453309999999999</v>
      </c>
      <c r="V3620">
        <v>0.15402379999999999</v>
      </c>
      <c r="W3620">
        <v>0.17025599999999999</v>
      </c>
      <c r="X3620">
        <v>0.97328800000000004</v>
      </c>
      <c r="Y3620">
        <v>0.15268899999999999</v>
      </c>
      <c r="Z3620">
        <v>-4.6243300000000003E-3</v>
      </c>
      <c r="AA3620">
        <v>0.98826349999999996</v>
      </c>
      <c r="AB3620">
        <v>36</v>
      </c>
      <c r="AC3620">
        <v>21.127199999999899</v>
      </c>
      <c r="AD3620">
        <v>-1.120768452998</v>
      </c>
      <c r="AE3620">
        <v>-3.36110000000002</v>
      </c>
      <c r="AF3620">
        <v>3.3145640121662701</v>
      </c>
      <c r="AG3620">
        <v>-1.120768452998</v>
      </c>
      <c r="AH3620">
        <v>21.075276982209701</v>
      </c>
      <c r="AI3620">
        <v>93.007187320329706</v>
      </c>
      <c r="AJ3620">
        <v>81.062154393728505</v>
      </c>
      <c r="AK3620">
        <v>21.363748650291701</v>
      </c>
      <c r="AL3620">
        <v>80.197296072850406</v>
      </c>
      <c r="AM3620">
        <v>81.007458579907706</v>
      </c>
      <c r="AN3620">
        <v>0.99999998372321997</v>
      </c>
    </row>
    <row r="3621" spans="1:40" x14ac:dyDescent="0.25">
      <c r="A3621" t="str">
        <f>"20190303162852405"</f>
        <v>20190303162852405</v>
      </c>
      <c r="B3621" t="str">
        <f>"1551601732395176"</f>
        <v>1551601732395176</v>
      </c>
      <c r="C3621" t="s">
        <v>40</v>
      </c>
      <c r="D3621">
        <v>4.4734819999999997</v>
      </c>
      <c r="E3621">
        <v>0.4949884</v>
      </c>
      <c r="F3621" t="s">
        <v>44</v>
      </c>
      <c r="G3621">
        <v>-220.32060000000001</v>
      </c>
      <c r="H3621">
        <v>0.99502970000000002</v>
      </c>
      <c r="I3621">
        <v>214.00899999999999</v>
      </c>
      <c r="J3621">
        <v>-220.6687</v>
      </c>
      <c r="K3621">
        <v>1.120816</v>
      </c>
      <c r="L3621">
        <v>214.10659999999999</v>
      </c>
      <c r="M3621">
        <v>0.99994680000000002</v>
      </c>
      <c r="N3621">
        <v>-1.015974E-2</v>
      </c>
      <c r="O3621">
        <v>-1.874178E-3</v>
      </c>
      <c r="P3621">
        <v>0.97456109999999896</v>
      </c>
      <c r="Q3621">
        <v>0.15906890000000001</v>
      </c>
      <c r="R3621">
        <v>-0.1578859</v>
      </c>
      <c r="S3621">
        <v>3.100479</v>
      </c>
      <c r="T3621">
        <v>-0.5526491</v>
      </c>
      <c r="U3621">
        <v>-0.43106080000000002</v>
      </c>
      <c r="V3621">
        <v>0.15608929999999999</v>
      </c>
      <c r="W3621">
        <v>0.1689369</v>
      </c>
      <c r="X3621">
        <v>0.97318879999999996</v>
      </c>
      <c r="Y3621">
        <v>0.13368620000000001</v>
      </c>
      <c r="Z3621">
        <v>-1.214291E-2</v>
      </c>
      <c r="AA3621">
        <v>0.99094930000000003</v>
      </c>
      <c r="AB3621">
        <v>36</v>
      </c>
      <c r="AC3621">
        <v>0.34809999999998797</v>
      </c>
      <c r="AD3621">
        <v>-0.12578629999999999</v>
      </c>
      <c r="AE3621">
        <v>-9.7599999999971404E-2</v>
      </c>
      <c r="AF3621">
        <v>8.6478488148180294E-2</v>
      </c>
      <c r="AG3621">
        <v>-0.12578629999999999</v>
      </c>
      <c r="AH3621">
        <v>0.31067290369019401</v>
      </c>
      <c r="AI3621">
        <v>111.30846500701399</v>
      </c>
      <c r="AJ3621">
        <v>74.444996498296206</v>
      </c>
      <c r="AK3621">
        <v>0.34614790952334401</v>
      </c>
      <c r="AL3621">
        <v>80.273985995116803</v>
      </c>
      <c r="AM3621">
        <v>80.887962736740604</v>
      </c>
      <c r="AN3621">
        <v>0.99999999310077003</v>
      </c>
    </row>
    <row r="3622" spans="1:40" x14ac:dyDescent="0.25">
      <c r="A3622" t="str">
        <f>"20190303162852428"</f>
        <v>20190303162852428</v>
      </c>
      <c r="B3622" t="str">
        <f>"1551601732425432"</f>
        <v>1551601732425432</v>
      </c>
      <c r="C3622" t="s">
        <v>40</v>
      </c>
      <c r="D3622">
        <v>4.5930749999999998</v>
      </c>
      <c r="E3622">
        <v>0.4966817</v>
      </c>
      <c r="F3622" t="s">
        <v>44</v>
      </c>
      <c r="G3622">
        <v>-219.72559999999999</v>
      </c>
      <c r="H3622">
        <v>0.89964569999999999</v>
      </c>
      <c r="I3622">
        <v>213.9744</v>
      </c>
      <c r="J3622">
        <v>-220.31059999999999</v>
      </c>
      <c r="K3622">
        <v>1.1208499999999999</v>
      </c>
      <c r="L3622">
        <v>214.10579999999999</v>
      </c>
      <c r="M3622">
        <v>0.99994110000000003</v>
      </c>
      <c r="N3622">
        <v>-1.0665239999999999E-2</v>
      </c>
      <c r="O3622">
        <v>-2.0235510000000002E-3</v>
      </c>
      <c r="P3622">
        <v>0.97422280000000006</v>
      </c>
      <c r="Q3622">
        <v>0.15822629999999999</v>
      </c>
      <c r="R3622">
        <v>-0.1607941</v>
      </c>
      <c r="S3622">
        <v>3.127075</v>
      </c>
      <c r="T3622">
        <v>-0.73336029999999996</v>
      </c>
      <c r="U3622">
        <v>-0.43801879999999999</v>
      </c>
      <c r="V3622">
        <v>0.1588695</v>
      </c>
      <c r="W3622">
        <v>0.16856699999999999</v>
      </c>
      <c r="X3622">
        <v>0.97280299999999997</v>
      </c>
      <c r="Y3622">
        <v>0.13305439999999999</v>
      </c>
      <c r="Z3622">
        <v>-1.5599210000000001E-2</v>
      </c>
      <c r="AA3622">
        <v>0.99098600000000003</v>
      </c>
      <c r="AB3622">
        <v>36</v>
      </c>
      <c r="AC3622">
        <v>0.58500000000000696</v>
      </c>
      <c r="AD3622">
        <v>-0.22120429999999899</v>
      </c>
      <c r="AE3622">
        <v>-0.131399999999985</v>
      </c>
      <c r="AF3622">
        <v>0.114615273717006</v>
      </c>
      <c r="AG3622">
        <v>-0.22120429999999899</v>
      </c>
      <c r="AH3622">
        <v>0.51514663111613501</v>
      </c>
      <c r="AI3622">
        <v>112.74106894045499</v>
      </c>
      <c r="AJ3622">
        <v>77.456540817956594</v>
      </c>
      <c r="AK3622">
        <v>0.57222727552784203</v>
      </c>
      <c r="AL3622">
        <v>80.295488281614496</v>
      </c>
      <c r="AM3622">
        <v>80.724844175453001</v>
      </c>
      <c r="AN3622">
        <v>1.0000000141641201</v>
      </c>
    </row>
    <row r="3623" spans="1:40" x14ac:dyDescent="0.25">
      <c r="A3623" t="str">
        <f>"20190303162852451"</f>
        <v>20190303162852451</v>
      </c>
      <c r="B3623" t="str">
        <f>"1551601732444952"</f>
        <v>1551601732444952</v>
      </c>
      <c r="C3623" t="s">
        <v>40</v>
      </c>
      <c r="D3623">
        <v>4.5790129999999998</v>
      </c>
      <c r="E3623">
        <v>0.49791600000000003</v>
      </c>
      <c r="F3623" t="s">
        <v>44</v>
      </c>
      <c r="G3623">
        <v>-219.41630000000001</v>
      </c>
      <c r="H3623">
        <v>0.87811219999999901</v>
      </c>
      <c r="I3623">
        <v>213.9751</v>
      </c>
      <c r="J3623">
        <v>-219.94309999999999</v>
      </c>
      <c r="K3623">
        <v>1.120865</v>
      </c>
      <c r="L3623">
        <v>214.10480000000001</v>
      </c>
      <c r="M3623">
        <v>0.99993549999999998</v>
      </c>
      <c r="N3623">
        <v>-1.1147399999999899E-2</v>
      </c>
      <c r="O3623">
        <v>-2.2216060000000001E-3</v>
      </c>
      <c r="P3623">
        <v>0.97399780000000002</v>
      </c>
      <c r="Q3623">
        <v>0.15671199999999999</v>
      </c>
      <c r="R3623">
        <v>-0.1636155</v>
      </c>
      <c r="S3623">
        <v>3.1421359999999998</v>
      </c>
      <c r="T3623">
        <v>-0.85294409999999898</v>
      </c>
      <c r="U3623">
        <v>-0.459198</v>
      </c>
      <c r="V3623">
        <v>0.16151499999999999</v>
      </c>
      <c r="W3623">
        <v>0.1675024</v>
      </c>
      <c r="X3623">
        <v>0.97255119999999895</v>
      </c>
      <c r="Y3623">
        <v>0.1373993</v>
      </c>
      <c r="Z3623">
        <v>-1.8444220000000001E-2</v>
      </c>
      <c r="AA3623">
        <v>0.990344</v>
      </c>
      <c r="AB3623">
        <v>36</v>
      </c>
      <c r="AC3623">
        <v>0.52679999999997995</v>
      </c>
      <c r="AD3623">
        <v>-0.24275279999999999</v>
      </c>
      <c r="AE3623">
        <v>-0.129700000000013</v>
      </c>
      <c r="AF3623">
        <v>0.10708927013322</v>
      </c>
      <c r="AG3623">
        <v>-0.24275279999999999</v>
      </c>
      <c r="AH3623">
        <v>0.43916338450221598</v>
      </c>
      <c r="AI3623">
        <v>118.23696106366999</v>
      </c>
      <c r="AJ3623">
        <v>76.295963673846202</v>
      </c>
      <c r="AK3623">
        <v>0.51309015969217997</v>
      </c>
      <c r="AL3623">
        <v>80.357364986873193</v>
      </c>
      <c r="AM3623">
        <v>80.570747328374694</v>
      </c>
      <c r="AN3623">
        <v>0.99999999292609898</v>
      </c>
    </row>
    <row r="3624" spans="1:40" x14ac:dyDescent="0.25">
      <c r="A3624" t="str">
        <f>"20190303162852473"</f>
        <v>20190303162852473</v>
      </c>
      <c r="B3624" t="str">
        <f>"1551601732465448"</f>
        <v>1551601732465448</v>
      </c>
      <c r="C3624" t="s">
        <v>40</v>
      </c>
      <c r="D3624">
        <v>4.6800850000000001</v>
      </c>
      <c r="E3624">
        <v>0.49898110000000001</v>
      </c>
      <c r="F3624" t="s">
        <v>44</v>
      </c>
      <c r="G3624">
        <v>-219.09610000000001</v>
      </c>
      <c r="H3624">
        <v>0.88274680000000005</v>
      </c>
      <c r="I3624">
        <v>213.97620000000001</v>
      </c>
      <c r="J3624">
        <v>-219.59119999999999</v>
      </c>
      <c r="K3624">
        <v>1.120865</v>
      </c>
      <c r="L3624">
        <v>214.10380000000001</v>
      </c>
      <c r="M3624">
        <v>0.99993010000000004</v>
      </c>
      <c r="N3624">
        <v>-1.157065E-2</v>
      </c>
      <c r="O3624">
        <v>-2.4585340000000001E-3</v>
      </c>
      <c r="P3624">
        <v>0.97381930000000005</v>
      </c>
      <c r="Q3624">
        <v>0.1548641</v>
      </c>
      <c r="R3624">
        <v>-0.16641420000000001</v>
      </c>
      <c r="S3624">
        <v>3.1420590000000002</v>
      </c>
      <c r="T3624">
        <v>-0.88335589999999997</v>
      </c>
      <c r="U3624">
        <v>-0.4770355</v>
      </c>
      <c r="V3624">
        <v>0.16409840000000001</v>
      </c>
      <c r="W3624">
        <v>0.16604769999999999</v>
      </c>
      <c r="X3624">
        <v>0.97236820000000002</v>
      </c>
      <c r="Y3624">
        <v>0.1421346</v>
      </c>
      <c r="Z3624">
        <v>-1.9690740000000002E-2</v>
      </c>
      <c r="AA3624">
        <v>0.98965139999999996</v>
      </c>
      <c r="AB3624">
        <v>36</v>
      </c>
      <c r="AC3624">
        <v>0.495099999999979</v>
      </c>
      <c r="AD3624">
        <v>-0.238118199999999</v>
      </c>
      <c r="AE3624">
        <v>-0.12760000000000099</v>
      </c>
      <c r="AF3624">
        <v>0.103855510026621</v>
      </c>
      <c r="AG3624">
        <v>-0.238118199999999</v>
      </c>
      <c r="AH3624">
        <v>0.40710831340209103</v>
      </c>
      <c r="AI3624">
        <v>119.542409429755</v>
      </c>
      <c r="AJ3624">
        <v>75.688780555179306</v>
      </c>
      <c r="AK3624">
        <v>0.48293211010992498</v>
      </c>
      <c r="AL3624">
        <v>80.441897300867595</v>
      </c>
      <c r="AM3624">
        <v>80.420931610565603</v>
      </c>
      <c r="AN3624">
        <v>1.00000001996454</v>
      </c>
    </row>
    <row r="3625" spans="1:40" x14ac:dyDescent="0.25">
      <c r="A3625" t="str">
        <f>"20190303162852495"</f>
        <v>20190303162852495</v>
      </c>
      <c r="B3625" t="str">
        <f>"1551601732484968"</f>
        <v>1551601732484968</v>
      </c>
      <c r="C3625" t="s">
        <v>40</v>
      </c>
      <c r="D3625">
        <v>4.6929530000000002</v>
      </c>
      <c r="E3625">
        <v>0.49976130000000002</v>
      </c>
      <c r="F3625" t="s">
        <v>44</v>
      </c>
      <c r="G3625">
        <v>-218.7765</v>
      </c>
      <c r="H3625">
        <v>0.88697739999999903</v>
      </c>
      <c r="I3625">
        <v>213.97579999999999</v>
      </c>
      <c r="J3625">
        <v>-219.23750000000001</v>
      </c>
      <c r="K3625">
        <v>1.120846</v>
      </c>
      <c r="L3625">
        <v>214.1027</v>
      </c>
      <c r="M3625">
        <v>0.99992479999999995</v>
      </c>
      <c r="N3625">
        <v>-1.195733E-2</v>
      </c>
      <c r="O3625">
        <v>-2.7502400000000001E-3</v>
      </c>
      <c r="P3625">
        <v>0.97338899999999995</v>
      </c>
      <c r="Q3625">
        <v>0.1540869</v>
      </c>
      <c r="R3625">
        <v>-0.16962079999999999</v>
      </c>
      <c r="S3625">
        <v>3.1398009999999998</v>
      </c>
      <c r="T3625">
        <v>-0.90135509999999996</v>
      </c>
      <c r="U3625">
        <v>-0.49278260000000002</v>
      </c>
      <c r="V3625">
        <v>0.16703870000000001</v>
      </c>
      <c r="W3625">
        <v>0.16562449999999901</v>
      </c>
      <c r="X3625">
        <v>0.97193960000000001</v>
      </c>
      <c r="Y3625">
        <v>0.14640300000000001</v>
      </c>
      <c r="Z3625">
        <v>-2.0641099999999999E-2</v>
      </c>
      <c r="AA3625">
        <v>0.98900969999999999</v>
      </c>
      <c r="AB3625">
        <v>36</v>
      </c>
      <c r="AC3625">
        <v>0.46100000000001201</v>
      </c>
      <c r="AD3625">
        <v>-0.23386860000000001</v>
      </c>
      <c r="AE3625">
        <v>-0.12690000000000601</v>
      </c>
      <c r="AF3625">
        <v>0.101378499269906</v>
      </c>
      <c r="AG3625">
        <v>-0.23386860000000001</v>
      </c>
      <c r="AH3625">
        <v>0.37228457789063202</v>
      </c>
      <c r="AI3625">
        <v>121.22116859530399</v>
      </c>
      <c r="AJ3625">
        <v>74.766894904296294</v>
      </c>
      <c r="AK3625">
        <v>0.451185027583346</v>
      </c>
      <c r="AL3625">
        <v>80.466485088733606</v>
      </c>
      <c r="AM3625">
        <v>80.2483433971463</v>
      </c>
      <c r="AN3625">
        <v>0.99999999417304997</v>
      </c>
    </row>
    <row r="3626" spans="1:40" x14ac:dyDescent="0.25">
      <c r="A3626" t="str">
        <f>"20190303162852519"</f>
        <v>20190303162852519</v>
      </c>
      <c r="B3626" t="str">
        <f>"1551601732515224"</f>
        <v>1551601732515224</v>
      </c>
      <c r="C3626" t="s">
        <v>40</v>
      </c>
      <c r="D3626">
        <v>4.6548470000000002</v>
      </c>
      <c r="E3626">
        <v>0.49959219999999999</v>
      </c>
      <c r="F3626" t="s">
        <v>44</v>
      </c>
      <c r="G3626">
        <v>-218.45590000000001</v>
      </c>
      <c r="H3626">
        <v>0.89419709999999997</v>
      </c>
      <c r="I3626">
        <v>213.97559999999999</v>
      </c>
      <c r="J3626">
        <v>-218.88159999999999</v>
      </c>
      <c r="K3626">
        <v>1.1208309999999999</v>
      </c>
      <c r="L3626">
        <v>214.10130000000001</v>
      </c>
      <c r="M3626">
        <v>0.99991949999999996</v>
      </c>
      <c r="N3626">
        <v>-1.230708E-2</v>
      </c>
      <c r="O3626">
        <v>-3.1106290000000002E-3</v>
      </c>
      <c r="P3626">
        <v>0.97272599999999998</v>
      </c>
      <c r="Q3626">
        <v>0.15441529999999901</v>
      </c>
      <c r="R3626">
        <v>-0.17308989999999999</v>
      </c>
      <c r="S3626">
        <v>3.1372680000000002</v>
      </c>
      <c r="T3626">
        <v>-0.90969960000000005</v>
      </c>
      <c r="U3626">
        <v>-0.50935359999999996</v>
      </c>
      <c r="V3626">
        <v>0.17017950000000001</v>
      </c>
      <c r="W3626">
        <v>0.16626260000000001</v>
      </c>
      <c r="X3626">
        <v>0.97128559999999997</v>
      </c>
      <c r="Y3626">
        <v>0.15096619999999999</v>
      </c>
      <c r="Z3626">
        <v>-2.142759E-2</v>
      </c>
      <c r="AA3626">
        <v>0.98830669999999998</v>
      </c>
      <c r="AB3626">
        <v>36</v>
      </c>
      <c r="AC3626">
        <v>0.42569999999997699</v>
      </c>
      <c r="AD3626">
        <v>-0.226633899999999</v>
      </c>
      <c r="AE3626">
        <v>-0.12570000000002299</v>
      </c>
      <c r="AF3626">
        <v>9.8655762324043994E-2</v>
      </c>
      <c r="AG3626">
        <v>-0.226633899999999</v>
      </c>
      <c r="AH3626">
        <v>0.33797869352193999</v>
      </c>
      <c r="AI3626">
        <v>122.76914967245401</v>
      </c>
      <c r="AJ3626">
        <v>73.727509284139899</v>
      </c>
      <c r="AK3626">
        <v>0.41871885716282897</v>
      </c>
      <c r="AL3626">
        <v>80.429410829582594</v>
      </c>
      <c r="AM3626">
        <v>80.062048850752205</v>
      </c>
      <c r="AN3626">
        <v>1.0000000155731801</v>
      </c>
    </row>
    <row r="3627" spans="1:40" x14ac:dyDescent="0.25">
      <c r="A3627" t="str">
        <f>"20190303162852540"</f>
        <v>20190303162852540</v>
      </c>
      <c r="B3627" t="str">
        <f>"1551601732534744"</f>
        <v>1551601732534744</v>
      </c>
      <c r="C3627" t="s">
        <v>40</v>
      </c>
      <c r="D3627">
        <v>4.6934480000000001</v>
      </c>
      <c r="E3627">
        <v>0.49938719999999998</v>
      </c>
      <c r="F3627" t="s">
        <v>44</v>
      </c>
      <c r="G3627">
        <v>-218.13509999999999</v>
      </c>
      <c r="H3627">
        <v>0.90294019999999997</v>
      </c>
      <c r="I3627">
        <v>213.97739999999999</v>
      </c>
      <c r="J3627">
        <v>-218.52529999999999</v>
      </c>
      <c r="K3627">
        <v>1.1207860000000001</v>
      </c>
      <c r="L3627">
        <v>214.09979999999999</v>
      </c>
      <c r="M3627">
        <v>0.99991399999999997</v>
      </c>
      <c r="N3627">
        <v>-1.2619E-2</v>
      </c>
      <c r="O3627">
        <v>-3.5675310000000001E-3</v>
      </c>
      <c r="P3627">
        <v>0.97175929999999999</v>
      </c>
      <c r="Q3627">
        <v>0.15582939999999901</v>
      </c>
      <c r="R3627">
        <v>-0.17720350000000001</v>
      </c>
      <c r="S3627">
        <v>3.1369020000000001</v>
      </c>
      <c r="T3627">
        <v>-0.91557569999999999</v>
      </c>
      <c r="U3627">
        <v>-0.5202637</v>
      </c>
      <c r="V3627">
        <v>0.17388199999999901</v>
      </c>
      <c r="W3627">
        <v>0.1679358</v>
      </c>
      <c r="X3627">
        <v>0.97034149999999997</v>
      </c>
      <c r="Y3627">
        <v>0.1536988</v>
      </c>
      <c r="Z3627">
        <v>-2.1858599999999999E-2</v>
      </c>
      <c r="AA3627">
        <v>0.98787590000000003</v>
      </c>
      <c r="AB3627">
        <v>35</v>
      </c>
      <c r="AC3627">
        <v>0.390199999999993</v>
      </c>
      <c r="AD3627">
        <v>-0.21784580000000001</v>
      </c>
      <c r="AE3627">
        <v>-0.122399999999998</v>
      </c>
      <c r="AF3627">
        <v>9.4259264626113601E-2</v>
      </c>
      <c r="AG3627">
        <v>-0.21784580000000001</v>
      </c>
      <c r="AH3627">
        <v>0.30428715639361598</v>
      </c>
      <c r="AI3627">
        <v>124.366750561366</v>
      </c>
      <c r="AJ3627">
        <v>72.788547350915707</v>
      </c>
      <c r="AK3627">
        <v>0.38591744595393501</v>
      </c>
      <c r="AL3627">
        <v>80.332176307215093</v>
      </c>
      <c r="AM3627">
        <v>79.840613475913301</v>
      </c>
      <c r="AN3627">
        <v>1.0000000047339399</v>
      </c>
    </row>
    <row r="3628" spans="1:40" x14ac:dyDescent="0.25">
      <c r="A3628" t="str">
        <f>"20190303162852563"</f>
        <v>20190303162852563</v>
      </c>
      <c r="B3628" t="str">
        <f>"1551601732555240"</f>
        <v>1551601732555240</v>
      </c>
      <c r="C3628" t="s">
        <v>40</v>
      </c>
      <c r="D3628">
        <v>4.7518010000000004</v>
      </c>
      <c r="E3628">
        <v>0.49937049999999999</v>
      </c>
      <c r="F3628" t="s">
        <v>44</v>
      </c>
      <c r="G3628">
        <v>-217.81389999999999</v>
      </c>
      <c r="H3628">
        <v>0.91364369999999995</v>
      </c>
      <c r="I3628">
        <v>213.97890000000001</v>
      </c>
      <c r="J3628">
        <v>-218.17169999999999</v>
      </c>
      <c r="K3628">
        <v>1.120698</v>
      </c>
      <c r="L3628">
        <v>214.09800000000001</v>
      </c>
      <c r="M3628">
        <v>0.99990840000000003</v>
      </c>
      <c r="N3628">
        <v>-1.2892570000000001E-2</v>
      </c>
      <c r="O3628">
        <v>-4.1589419999999997E-3</v>
      </c>
      <c r="P3628">
        <v>0.97065029999999997</v>
      </c>
      <c r="Q3628">
        <v>0.15763769999999999</v>
      </c>
      <c r="R3628">
        <v>-0.1816275</v>
      </c>
      <c r="S3628">
        <v>3.1365660000000002</v>
      </c>
      <c r="T3628">
        <v>-0.91322709999999996</v>
      </c>
      <c r="U3628">
        <v>-0.53221130000000005</v>
      </c>
      <c r="V3628">
        <v>0.1777803</v>
      </c>
      <c r="W3628">
        <v>0.1699483</v>
      </c>
      <c r="X3628">
        <v>0.96928409999999998</v>
      </c>
      <c r="Y3628">
        <v>0.15671399999999999</v>
      </c>
      <c r="Z3628">
        <v>-2.2113049999999999E-2</v>
      </c>
      <c r="AA3628">
        <v>0.98739639999999995</v>
      </c>
      <c r="AB3628">
        <v>35</v>
      </c>
      <c r="AC3628">
        <v>0.35779999999999701</v>
      </c>
      <c r="AD3628">
        <v>-0.2070543</v>
      </c>
      <c r="AE3628">
        <v>-0.119099999999974</v>
      </c>
      <c r="AF3628">
        <v>9.0367279265535394E-2</v>
      </c>
      <c r="AG3628">
        <v>-0.2070543</v>
      </c>
      <c r="AH3628">
        <v>0.275297035103584</v>
      </c>
      <c r="AI3628">
        <v>125.549520369709</v>
      </c>
      <c r="AJ3628">
        <v>71.827384842250297</v>
      </c>
      <c r="AK3628">
        <v>0.35612664298977798</v>
      </c>
      <c r="AL3628">
        <v>80.215186511505195</v>
      </c>
      <c r="AM3628">
        <v>79.606669191645807</v>
      </c>
      <c r="AN3628">
        <v>0.99999996312689399</v>
      </c>
    </row>
    <row r="3629" spans="1:40" x14ac:dyDescent="0.25">
      <c r="A3629" t="str">
        <f>"20190303162852584"</f>
        <v>20190303162852584</v>
      </c>
      <c r="B3629" t="str">
        <f>"1551601732574761"</f>
        <v>1551601732574761</v>
      </c>
      <c r="C3629" t="s">
        <v>40</v>
      </c>
      <c r="D3629">
        <v>4.7787059999999997</v>
      </c>
      <c r="E3629">
        <v>0.5000812</v>
      </c>
      <c r="F3629" t="s">
        <v>44</v>
      </c>
      <c r="G3629">
        <v>-217.49289999999999</v>
      </c>
      <c r="H3629">
        <v>0.9235314</v>
      </c>
      <c r="I3629">
        <v>213.97919999999999</v>
      </c>
      <c r="J3629">
        <v>-217.83170000000001</v>
      </c>
      <c r="K3629">
        <v>1.1205860000000001</v>
      </c>
      <c r="L3629">
        <v>214.0959</v>
      </c>
      <c r="M3629">
        <v>0.99990199999999996</v>
      </c>
      <c r="N3629">
        <v>-1.3122989999999999E-2</v>
      </c>
      <c r="O3629">
        <v>-4.9169110000000004E-3</v>
      </c>
      <c r="P3629">
        <v>0.96943219999999997</v>
      </c>
      <c r="Q3629">
        <v>0.1612247</v>
      </c>
      <c r="R3629">
        <v>-0.1849558</v>
      </c>
      <c r="S3629">
        <v>3.136002</v>
      </c>
      <c r="T3629">
        <v>-0.91079339999999998</v>
      </c>
      <c r="U3629">
        <v>-0.54856870000000002</v>
      </c>
      <c r="V3629">
        <v>0.1804423</v>
      </c>
      <c r="W3629">
        <v>0.17367850000000001</v>
      </c>
      <c r="X3629">
        <v>0.96813039999999995</v>
      </c>
      <c r="Y3629">
        <v>0.1608802</v>
      </c>
      <c r="Z3629">
        <v>-2.2486160000000002E-2</v>
      </c>
      <c r="AA3629">
        <v>0.98671779999999998</v>
      </c>
      <c r="AB3629">
        <v>35</v>
      </c>
      <c r="AC3629">
        <v>0.33880000000001997</v>
      </c>
      <c r="AD3629">
        <v>-0.1970546</v>
      </c>
      <c r="AE3629">
        <v>-0.11670000000000801</v>
      </c>
      <c r="AF3629">
        <v>8.8323001397921597E-2</v>
      </c>
      <c r="AG3629">
        <v>-0.1970546</v>
      </c>
      <c r="AH3629">
        <v>0.26057097208409702</v>
      </c>
      <c r="AI3629">
        <v>125.610833507961</v>
      </c>
      <c r="AJ3629">
        <v>71.275423442625097</v>
      </c>
      <c r="AK3629">
        <v>0.33842089097741701</v>
      </c>
      <c r="AL3629">
        <v>79.998236440271199</v>
      </c>
      <c r="AM3629">
        <v>79.442225834418807</v>
      </c>
      <c r="AN3629">
        <v>1.0000000581978401</v>
      </c>
    </row>
    <row r="3630" spans="1:40" x14ac:dyDescent="0.25">
      <c r="A3630" t="str">
        <f>"20190303162852606"</f>
        <v>20190303162852606</v>
      </c>
      <c r="B3630" t="str">
        <f>"1551601732595647"</f>
        <v>1551601732595647</v>
      </c>
      <c r="C3630" t="s">
        <v>40</v>
      </c>
      <c r="D3630">
        <v>4.7840009999999999</v>
      </c>
      <c r="E3630">
        <v>0.50052839999999998</v>
      </c>
      <c r="F3630" t="s">
        <v>44</v>
      </c>
      <c r="G3630">
        <v>-216.8896</v>
      </c>
      <c r="H3630">
        <v>0.85170040000000002</v>
      </c>
      <c r="I3630">
        <v>213.92429999999999</v>
      </c>
      <c r="J3630">
        <v>-217.47919999999999</v>
      </c>
      <c r="K3630">
        <v>1.120422</v>
      </c>
      <c r="L3630">
        <v>214.0932</v>
      </c>
      <c r="M3630">
        <v>0.99989360000000005</v>
      </c>
      <c r="N3630">
        <v>-1.3333029999999999E-2</v>
      </c>
      <c r="O3630">
        <v>-5.9407499999999999E-3</v>
      </c>
      <c r="P3630">
        <v>0.96809920000000005</v>
      </c>
      <c r="Q3630">
        <v>0.1657131</v>
      </c>
      <c r="R3630">
        <v>-0.18794549999999999</v>
      </c>
      <c r="S3630">
        <v>3.134506</v>
      </c>
      <c r="T3630">
        <v>-0.89458879999999996</v>
      </c>
      <c r="U3630">
        <v>-0.57073969999999996</v>
      </c>
      <c r="V3630">
        <v>0.18253539999999999</v>
      </c>
      <c r="W3630">
        <v>0.17826829999999999</v>
      </c>
      <c r="X3630">
        <v>0.96690290000000001</v>
      </c>
      <c r="Y3630">
        <v>0.16673080000000001</v>
      </c>
      <c r="Z3630">
        <v>-2.2717910000000001E-2</v>
      </c>
      <c r="AA3630">
        <v>0.98574070000000003</v>
      </c>
      <c r="AB3630">
        <v>35</v>
      </c>
      <c r="AC3630">
        <v>0.58959999999999002</v>
      </c>
      <c r="AD3630">
        <v>-0.26872159999999901</v>
      </c>
      <c r="AE3630">
        <v>-0.16890000000000699</v>
      </c>
      <c r="AF3630">
        <v>0.13875665035510801</v>
      </c>
      <c r="AG3630">
        <v>-0.26872159999999901</v>
      </c>
      <c r="AH3630">
        <v>0.49547562868056699</v>
      </c>
      <c r="AI3630">
        <v>117.576168950915</v>
      </c>
      <c r="AJ3630">
        <v>74.355236397883004</v>
      </c>
      <c r="AK3630">
        <v>0.58048325121465205</v>
      </c>
      <c r="AL3630">
        <v>79.731090480827305</v>
      </c>
      <c r="AM3630">
        <v>79.309314752450504</v>
      </c>
      <c r="AN3630">
        <v>0.99999998853322902</v>
      </c>
    </row>
    <row r="3631" spans="1:40" x14ac:dyDescent="0.25">
      <c r="A3631" t="str">
        <f>"20190303162852629"</f>
        <v>20190303162852629</v>
      </c>
      <c r="B3631" t="str">
        <f>"1551601732624927"</f>
        <v>1551601732624927</v>
      </c>
      <c r="C3631" t="s">
        <v>40</v>
      </c>
      <c r="D3631">
        <v>4.7859639999999999</v>
      </c>
      <c r="E3631">
        <v>0.50781239999999905</v>
      </c>
      <c r="F3631" t="s">
        <v>44</v>
      </c>
      <c r="G3631">
        <v>-216.56780000000001</v>
      </c>
      <c r="H3631">
        <v>0.8665197</v>
      </c>
      <c r="I3631">
        <v>213.92160000000001</v>
      </c>
      <c r="J3631">
        <v>-217.1131</v>
      </c>
      <c r="K3631">
        <v>1.120233</v>
      </c>
      <c r="L3631">
        <v>214.08969999999999</v>
      </c>
      <c r="M3631">
        <v>0.99988250000000001</v>
      </c>
      <c r="N3631">
        <v>-1.352426E-2</v>
      </c>
      <c r="O3631">
        <v>-7.2373969999999996E-3</v>
      </c>
      <c r="P3631">
        <v>0.96674309999999997</v>
      </c>
      <c r="Q3631">
        <v>0.1688335</v>
      </c>
      <c r="R3631">
        <v>-0.19210340000000001</v>
      </c>
      <c r="S3631">
        <v>3.1339419999999998</v>
      </c>
      <c r="T3631">
        <v>-0.87297610000000003</v>
      </c>
      <c r="U3631">
        <v>-0.58914180000000005</v>
      </c>
      <c r="V3631">
        <v>0.18554380000000001</v>
      </c>
      <c r="W3631">
        <v>0.18145929999999999</v>
      </c>
      <c r="X3631">
        <v>0.96573600000000004</v>
      </c>
      <c r="Y3631">
        <v>0.17124909999999999</v>
      </c>
      <c r="Z3631">
        <v>-2.2537049999999999E-2</v>
      </c>
      <c r="AA3631">
        <v>0.98497000000000001</v>
      </c>
      <c r="AB3631">
        <v>35</v>
      </c>
      <c r="AC3631">
        <v>0.54529999999999701</v>
      </c>
      <c r="AD3631">
        <v>-0.25371329999999997</v>
      </c>
      <c r="AE3631">
        <v>-0.16809999999998099</v>
      </c>
      <c r="AF3631">
        <v>0.13705416852201299</v>
      </c>
      <c r="AG3631">
        <v>-0.25371329999999997</v>
      </c>
      <c r="AH3631">
        <v>0.45629629758351498</v>
      </c>
      <c r="AI3631">
        <v>118.036401889787</v>
      </c>
      <c r="AJ3631">
        <v>73.281717639648704</v>
      </c>
      <c r="AK3631">
        <v>0.53977828308905995</v>
      </c>
      <c r="AL3631">
        <v>79.545228557529597</v>
      </c>
      <c r="AM3631">
        <v>79.124466148870894</v>
      </c>
      <c r="AN3631">
        <v>1.0000000004854599</v>
      </c>
    </row>
    <row r="3632" spans="1:40" x14ac:dyDescent="0.25">
      <c r="A3632" t="str">
        <f>"20190303162852652"</f>
        <v>20190303162852652</v>
      </c>
      <c r="B3632" t="str">
        <f>"1551601732645424"</f>
        <v>1551601732645424</v>
      </c>
      <c r="C3632" t="s">
        <v>40</v>
      </c>
      <c r="D3632">
        <v>4.879365</v>
      </c>
      <c r="E3632">
        <v>0.51261869999999998</v>
      </c>
      <c r="F3632" t="s">
        <v>44</v>
      </c>
      <c r="G3632">
        <v>-216.1968</v>
      </c>
      <c r="H3632">
        <v>0.98965919999999996</v>
      </c>
      <c r="I3632">
        <v>213.89330000000001</v>
      </c>
      <c r="J3632">
        <v>-216.76320000000001</v>
      </c>
      <c r="K3632">
        <v>1.1200399999999999</v>
      </c>
      <c r="L3632">
        <v>214.0856</v>
      </c>
      <c r="M3632">
        <v>0.99986819999999998</v>
      </c>
      <c r="N3632">
        <v>-1.368378E-2</v>
      </c>
      <c r="O3632">
        <v>-8.7328349999999996E-3</v>
      </c>
      <c r="P3632">
        <v>0.96555749999999996</v>
      </c>
      <c r="Q3632">
        <v>0.17012539999999901</v>
      </c>
      <c r="R3632">
        <v>-0.1968665</v>
      </c>
      <c r="S3632">
        <v>3.04921</v>
      </c>
      <c r="T3632">
        <v>-0.43456529999999999</v>
      </c>
      <c r="U3632">
        <v>-0.65365600000000001</v>
      </c>
      <c r="V3632">
        <v>0.1889644</v>
      </c>
      <c r="W3632">
        <v>0.18279039999999999</v>
      </c>
      <c r="X3632">
        <v>0.96482129999999999</v>
      </c>
      <c r="Y3632">
        <v>0.199013</v>
      </c>
      <c r="Z3632">
        <v>-1.4231489999999999E-2</v>
      </c>
      <c r="AA3632">
        <v>0.97989349999999997</v>
      </c>
      <c r="AB3632">
        <v>35</v>
      </c>
      <c r="AC3632">
        <v>0.566400000000015</v>
      </c>
      <c r="AD3632">
        <v>-0.13038079999999999</v>
      </c>
      <c r="AE3632">
        <v>-0.19229999999998801</v>
      </c>
      <c r="AF3632">
        <v>0.17884851527242199</v>
      </c>
      <c r="AG3632">
        <v>-0.13038079999999999</v>
      </c>
      <c r="AH3632">
        <v>0.54229259835226695</v>
      </c>
      <c r="AI3632">
        <v>102.861755762794</v>
      </c>
      <c r="AJ3632">
        <v>71.747404804647303</v>
      </c>
      <c r="AK3632">
        <v>0.58571939241538096</v>
      </c>
      <c r="AL3632">
        <v>79.467664997894602</v>
      </c>
      <c r="AM3632">
        <v>78.918643867118504</v>
      </c>
      <c r="AN3632">
        <v>1.0000000078666</v>
      </c>
    </row>
    <row r="3633" spans="1:40" x14ac:dyDescent="0.25">
      <c r="A3633" t="str">
        <f>"20190303162852674"</f>
        <v>20190303162852674</v>
      </c>
      <c r="B3633" t="str">
        <f>"1551601732664944"</f>
        <v>1551601732664944</v>
      </c>
      <c r="C3633" t="s">
        <v>40</v>
      </c>
      <c r="D3633">
        <v>4.8782249999999996</v>
      </c>
      <c r="E3633">
        <v>0.51320059999999901</v>
      </c>
      <c r="F3633" t="s">
        <v>47</v>
      </c>
      <c r="G3633">
        <v>-201.45859999999999</v>
      </c>
      <c r="H3633" s="1">
        <v>3.2233269999999998E-6</v>
      </c>
      <c r="I3633">
        <v>210.50399999999999</v>
      </c>
      <c r="J3633">
        <v>-216.41139999999999</v>
      </c>
      <c r="K3633">
        <v>1.119829</v>
      </c>
      <c r="L3633">
        <v>214.08080000000001</v>
      </c>
      <c r="M3633">
        <v>0.99984919999999999</v>
      </c>
      <c r="N3633">
        <v>-1.3824090000000001E-2</v>
      </c>
      <c r="O3633">
        <v>-1.052472E-2</v>
      </c>
      <c r="P3633">
        <v>0.96476010000000001</v>
      </c>
      <c r="Q3633">
        <v>0.16943540000000001</v>
      </c>
      <c r="R3633">
        <v>-0.20132050000000001</v>
      </c>
      <c r="S3633">
        <v>3.0024869999999999</v>
      </c>
      <c r="T3633">
        <v>-0.2197318</v>
      </c>
      <c r="U3633">
        <v>-0.70265200000000005</v>
      </c>
      <c r="V3633">
        <v>0.19178890000000001</v>
      </c>
      <c r="W3633">
        <v>0.18211949999999999</v>
      </c>
      <c r="X3633">
        <v>0.96439079999999999</v>
      </c>
      <c r="Y3633">
        <v>0.2169643</v>
      </c>
      <c r="Z3633">
        <v>-8.7299219999999993E-3</v>
      </c>
      <c r="AA3633">
        <v>0.97614049999999997</v>
      </c>
      <c r="AB3633">
        <v>35</v>
      </c>
      <c r="AC3633">
        <v>14.9527999999999</v>
      </c>
      <c r="AD3633">
        <v>-1.119825776673</v>
      </c>
      <c r="AE3633">
        <v>-3.5767999999999902</v>
      </c>
      <c r="AF3633">
        <v>3.4011693826236198</v>
      </c>
      <c r="AG3633">
        <v>-1.119825776673</v>
      </c>
      <c r="AH3633">
        <v>14.910518801843301</v>
      </c>
      <c r="AI3633">
        <v>94.1878535994136</v>
      </c>
      <c r="AJ3633">
        <v>77.150378453506406</v>
      </c>
      <c r="AK3633">
        <v>15.334455773829101</v>
      </c>
      <c r="AL3633">
        <v>79.506761491784999</v>
      </c>
      <c r="AM3633">
        <v>78.7523064336077</v>
      </c>
      <c r="AN3633">
        <v>1.00000005478404</v>
      </c>
    </row>
    <row r="3634" spans="1:40" x14ac:dyDescent="0.25">
      <c r="A3634" t="str">
        <f>"20190303162852698"</f>
        <v>20190303162852698</v>
      </c>
      <c r="B3634" t="str">
        <f>"1551601732685440"</f>
        <v>1551601732685440</v>
      </c>
      <c r="C3634" t="s">
        <v>40</v>
      </c>
      <c r="D3634">
        <v>4.9032489999999997</v>
      </c>
      <c r="E3634">
        <v>0.51323090000000005</v>
      </c>
      <c r="F3634" t="s">
        <v>47</v>
      </c>
      <c r="G3634">
        <v>-194.941</v>
      </c>
      <c r="H3634" s="1">
        <v>3.7124799999999999E-6</v>
      </c>
      <c r="I3634">
        <v>208.9093</v>
      </c>
      <c r="J3634">
        <v>-216.05340000000001</v>
      </c>
      <c r="K3634">
        <v>1.1196010000000001</v>
      </c>
      <c r="L3634">
        <v>214.07499999999999</v>
      </c>
      <c r="M3634">
        <v>0.99982280000000001</v>
      </c>
      <c r="N3634">
        <v>-1.394946E-2</v>
      </c>
      <c r="O3634">
        <v>-1.264822E-2</v>
      </c>
      <c r="P3634">
        <v>0.96385189999999998</v>
      </c>
      <c r="Q3634">
        <v>0.16826050000000001</v>
      </c>
      <c r="R3634">
        <v>-0.20658770000000001</v>
      </c>
      <c r="S3634">
        <v>2.9868009999999998</v>
      </c>
      <c r="T3634">
        <v>-0.15578149999999999</v>
      </c>
      <c r="U3634">
        <v>-0.71942139999999999</v>
      </c>
      <c r="V3634">
        <v>0.1951138</v>
      </c>
      <c r="W3634">
        <v>0.18093500000000001</v>
      </c>
      <c r="X3634">
        <v>0.96394659999999999</v>
      </c>
      <c r="Y3634">
        <v>0.22149779999999999</v>
      </c>
      <c r="Z3634">
        <v>-6.7834019999999896E-3</v>
      </c>
      <c r="AA3634">
        <v>0.97513729999999998</v>
      </c>
      <c r="AB3634">
        <v>35</v>
      </c>
      <c r="AC3634">
        <v>21.112400000000001</v>
      </c>
      <c r="AD3634">
        <v>-1.11959728752</v>
      </c>
      <c r="AE3634">
        <v>-5.1656999999999798</v>
      </c>
      <c r="AF3634">
        <v>4.8852640681217796</v>
      </c>
      <c r="AG3634">
        <v>-1.11959728752</v>
      </c>
      <c r="AH3634">
        <v>21.120014958574799</v>
      </c>
      <c r="AI3634">
        <v>92.956558040033499</v>
      </c>
      <c r="AJ3634">
        <v>76.975986472283196</v>
      </c>
      <c r="AK3634">
        <v>21.706550507898001</v>
      </c>
      <c r="AL3634">
        <v>79.575773922756397</v>
      </c>
      <c r="AM3634">
        <v>78.557279167310497</v>
      </c>
      <c r="AN3634">
        <v>0.99999995841349898</v>
      </c>
    </row>
    <row r="3635" spans="1:40" x14ac:dyDescent="0.25">
      <c r="A3635" t="str">
        <f>"20190303162852720"</f>
        <v>20190303162852720</v>
      </c>
      <c r="B3635" t="str">
        <f>"1551601732704959"</f>
        <v>1551601732704959</v>
      </c>
      <c r="C3635" t="s">
        <v>40</v>
      </c>
      <c r="D3635">
        <v>4.9082569999999999</v>
      </c>
      <c r="E3635">
        <v>0.51271979999999995</v>
      </c>
      <c r="F3635" t="s">
        <v>47</v>
      </c>
      <c r="G3635">
        <v>-192.3203</v>
      </c>
      <c r="H3635" s="1">
        <v>4.3768390000000002E-6</v>
      </c>
      <c r="I3635">
        <v>208.226</v>
      </c>
      <c r="J3635">
        <v>-215.7116</v>
      </c>
      <c r="K3635">
        <v>1.1193679999999999</v>
      </c>
      <c r="L3635">
        <v>214.0685</v>
      </c>
      <c r="M3635">
        <v>0.9997897</v>
      </c>
      <c r="N3635">
        <v>-1.405468E-2</v>
      </c>
      <c r="O3635">
        <v>-1.493909E-2</v>
      </c>
      <c r="P3635">
        <v>0.96229410000000004</v>
      </c>
      <c r="Q3635">
        <v>0.16704069999999999</v>
      </c>
      <c r="R3635">
        <v>-0.21468100000000001</v>
      </c>
      <c r="S3635">
        <v>2.97966</v>
      </c>
      <c r="T3635">
        <v>-0.14056370000000001</v>
      </c>
      <c r="U3635">
        <v>-0.73432919999999902</v>
      </c>
      <c r="V3635">
        <v>0.20111019999999999</v>
      </c>
      <c r="W3635">
        <v>0.1796672</v>
      </c>
      <c r="X3635">
        <v>0.96295090000000005</v>
      </c>
      <c r="Y3635">
        <v>0.2244534</v>
      </c>
      <c r="Z3635">
        <v>-6.3283999999999997E-3</v>
      </c>
      <c r="AA3635">
        <v>0.97446429999999995</v>
      </c>
      <c r="AB3635">
        <v>35</v>
      </c>
      <c r="AC3635">
        <v>23.391300000000001</v>
      </c>
      <c r="AD3635">
        <v>-1.119363623161</v>
      </c>
      <c r="AE3635">
        <v>-5.8425000000000002</v>
      </c>
      <c r="AF3635">
        <v>5.4805552293193998</v>
      </c>
      <c r="AG3635">
        <v>-1.119363623161</v>
      </c>
      <c r="AH3635">
        <v>23.425485388242599</v>
      </c>
      <c r="AI3635">
        <v>92.663914439551604</v>
      </c>
      <c r="AJ3635">
        <v>76.832096390786006</v>
      </c>
      <c r="AK3635">
        <v>24.0840782721125</v>
      </c>
      <c r="AL3635">
        <v>79.649624514809204</v>
      </c>
      <c r="AM3635">
        <v>78.2034620454898</v>
      </c>
      <c r="AN3635">
        <v>1.0000000255553401</v>
      </c>
    </row>
    <row r="3636" spans="1:40" x14ac:dyDescent="0.25">
      <c r="A3636" t="str">
        <f>"20190303162852743"</f>
        <v>20190303162852743</v>
      </c>
      <c r="B3636" t="str">
        <f>"1551601732735218"</f>
        <v>1551601732735218</v>
      </c>
      <c r="C3636" t="s">
        <v>40</v>
      </c>
      <c r="D3636">
        <v>4.9459470000000003</v>
      </c>
      <c r="E3636">
        <v>0.5115383</v>
      </c>
      <c r="F3636" t="s">
        <v>47</v>
      </c>
      <c r="G3636">
        <v>-191.11070000000001</v>
      </c>
      <c r="H3636" s="1">
        <v>4.7792769999999997E-6</v>
      </c>
      <c r="I3636">
        <v>207.84630000000001</v>
      </c>
      <c r="J3636">
        <v>-215.34460000000001</v>
      </c>
      <c r="K3636">
        <v>1.1191420000000001</v>
      </c>
      <c r="L3636">
        <v>214.06030000000001</v>
      </c>
      <c r="M3636">
        <v>0.99974410000000002</v>
      </c>
      <c r="N3636">
        <v>-1.415337E-2</v>
      </c>
      <c r="O3636">
        <v>-1.7649040000000001E-2</v>
      </c>
      <c r="P3636">
        <v>0.96128499999999995</v>
      </c>
      <c r="Q3636">
        <v>0.16559479999999999</v>
      </c>
      <c r="R3636">
        <v>-0.22024920000000001</v>
      </c>
      <c r="S3636">
        <v>2.9732669999999999</v>
      </c>
      <c r="T3636">
        <v>-0.1352865</v>
      </c>
      <c r="U3636">
        <v>-0.75201419999999997</v>
      </c>
      <c r="V3636">
        <v>0.20417399999999999</v>
      </c>
      <c r="W3636">
        <v>0.17818000000000001</v>
      </c>
      <c r="X3636">
        <v>0.96258239999999995</v>
      </c>
      <c r="Y3636">
        <v>0.2277679</v>
      </c>
      <c r="Z3636">
        <v>-6.1931950000000003E-3</v>
      </c>
      <c r="AA3636">
        <v>0.9736958</v>
      </c>
      <c r="AB3636">
        <v>35</v>
      </c>
      <c r="AC3636">
        <v>24.233899999999998</v>
      </c>
      <c r="AD3636">
        <v>-1.1191372207229999</v>
      </c>
      <c r="AE3636">
        <v>-6.2139999999999898</v>
      </c>
      <c r="AF3636">
        <v>5.7737303325256999</v>
      </c>
      <c r="AG3636">
        <v>-1.1191372207229999</v>
      </c>
      <c r="AH3636">
        <v>24.291198115360899</v>
      </c>
      <c r="AI3636">
        <v>92.5664486717925</v>
      </c>
      <c r="AJ3636">
        <v>76.629576515768704</v>
      </c>
      <c r="AK3636">
        <v>24.993013742869199</v>
      </c>
      <c r="AL3636">
        <v>79.736232193060303</v>
      </c>
      <c r="AM3636">
        <v>78.024445442593304</v>
      </c>
      <c r="AN3636">
        <v>1.00000000573287</v>
      </c>
    </row>
    <row r="3637" spans="1:40" x14ac:dyDescent="0.25">
      <c r="A3637" t="str">
        <f>"20190303162852764"</f>
        <v>20190303162852764</v>
      </c>
      <c r="B3637" t="str">
        <f>"1551601732755712"</f>
        <v>1551601732755712</v>
      </c>
      <c r="C3637" t="s">
        <v>40</v>
      </c>
      <c r="D3637">
        <v>4.9396680000000002</v>
      </c>
      <c r="E3637">
        <v>0.51090400000000002</v>
      </c>
      <c r="F3637" t="s">
        <v>47</v>
      </c>
      <c r="G3637">
        <v>-190.619</v>
      </c>
      <c r="H3637" s="1">
        <v>4.9220599999999996E-6</v>
      </c>
      <c r="I3637">
        <v>207.75069999999999</v>
      </c>
      <c r="J3637">
        <v>-215.00980000000001</v>
      </c>
      <c r="K3637">
        <v>1.118946</v>
      </c>
      <c r="L3637">
        <v>214.05179999999999</v>
      </c>
      <c r="M3637">
        <v>0.99969180000000002</v>
      </c>
      <c r="N3637">
        <v>-1.423088E-2</v>
      </c>
      <c r="O3637">
        <v>-2.0344270000000001E-2</v>
      </c>
      <c r="P3637">
        <v>0.95975259999999996</v>
      </c>
      <c r="Q3637">
        <v>0.16491169999999999</v>
      </c>
      <c r="R3637">
        <v>-0.22733059999999999</v>
      </c>
      <c r="S3637">
        <v>2.9703219999999999</v>
      </c>
      <c r="T3637">
        <v>-0.13444339999999999</v>
      </c>
      <c r="U3637">
        <v>-0.75798030000000005</v>
      </c>
      <c r="V3637">
        <v>0.20876529999999999</v>
      </c>
      <c r="W3637">
        <v>0.1774358</v>
      </c>
      <c r="X3637">
        <v>0.96173470000000005</v>
      </c>
      <c r="Y3637">
        <v>0.22721369999999999</v>
      </c>
      <c r="Z3637">
        <v>-6.0817170000000004E-3</v>
      </c>
      <c r="AA3637">
        <v>0.97382590000000002</v>
      </c>
      <c r="AB3637">
        <v>35</v>
      </c>
      <c r="AC3637">
        <v>24.390799999999899</v>
      </c>
      <c r="AD3637">
        <v>-1.11894107794</v>
      </c>
      <c r="AE3637">
        <v>-6.3010999999999902</v>
      </c>
      <c r="AF3637">
        <v>5.7921051540178299</v>
      </c>
      <c r="AG3637">
        <v>-1.11894107794</v>
      </c>
      <c r="AH3637">
        <v>24.465686918339902</v>
      </c>
      <c r="AI3637">
        <v>92.548262562571793</v>
      </c>
      <c r="AJ3637">
        <v>76.680790049240102</v>
      </c>
      <c r="AK3637">
        <v>25.166850173141</v>
      </c>
      <c r="AL3637">
        <v>79.779562349232194</v>
      </c>
      <c r="AM3637">
        <v>77.752717967800507</v>
      </c>
      <c r="AN3637">
        <v>1.0000000233949</v>
      </c>
    </row>
    <row r="3638" spans="1:40" x14ac:dyDescent="0.25">
      <c r="A3638" t="str">
        <f>"20190303162852785"</f>
        <v>20190303162852785</v>
      </c>
      <c r="B3638" t="str">
        <f>"1551601732775232"</f>
        <v>1551601732775232</v>
      </c>
      <c r="C3638" t="s">
        <v>40</v>
      </c>
      <c r="D3638">
        <v>4.9596530000000003</v>
      </c>
      <c r="E3638">
        <v>0.51034269999999904</v>
      </c>
      <c r="F3638" t="s">
        <v>47</v>
      </c>
      <c r="G3638">
        <v>-190.4973</v>
      </c>
      <c r="H3638" s="1">
        <v>4.9797669999999999E-6</v>
      </c>
      <c r="I3638">
        <v>207.66390000000001</v>
      </c>
      <c r="J3638">
        <v>-214.66210000000001</v>
      </c>
      <c r="K3638">
        <v>1.118771</v>
      </c>
      <c r="L3638">
        <v>214.04179999999999</v>
      </c>
      <c r="M3638">
        <v>0.99962519999999999</v>
      </c>
      <c r="N3638">
        <v>-1.430037E-2</v>
      </c>
      <c r="O3638">
        <v>-2.3347940000000001E-2</v>
      </c>
      <c r="P3638">
        <v>0.95862199999999997</v>
      </c>
      <c r="Q3638">
        <v>0.16505790000000001</v>
      </c>
      <c r="R3638">
        <v>-0.23194819999999999</v>
      </c>
      <c r="S3638">
        <v>2.965973</v>
      </c>
      <c r="T3638">
        <v>-0.13539019999999999</v>
      </c>
      <c r="U3638">
        <v>-0.77293400000000001</v>
      </c>
      <c r="V3638">
        <v>0.21059220000000001</v>
      </c>
      <c r="W3638">
        <v>0.17753669999999999</v>
      </c>
      <c r="X3638">
        <v>0.96131770000000005</v>
      </c>
      <c r="Y3638">
        <v>0.22922719999999999</v>
      </c>
      <c r="Z3638">
        <v>-6.0921469999999896E-3</v>
      </c>
      <c r="AA3638">
        <v>0.97335389999999999</v>
      </c>
      <c r="AB3638">
        <v>35</v>
      </c>
      <c r="AC3638">
        <v>24.1648</v>
      </c>
      <c r="AD3638">
        <v>-1.1187660202330001</v>
      </c>
      <c r="AE3638">
        <v>-6.3778999999999799</v>
      </c>
      <c r="AF3638">
        <v>5.8002821587446203</v>
      </c>
      <c r="AG3638">
        <v>-1.1187660202330001</v>
      </c>
      <c r="AH3638">
        <v>24.258526825724498</v>
      </c>
      <c r="AI3638">
        <v>92.568230686632404</v>
      </c>
      <c r="AJ3638">
        <v>76.552881617937103</v>
      </c>
      <c r="AK3638">
        <v>24.967399429725798</v>
      </c>
      <c r="AL3638">
        <v>79.773688084029402</v>
      </c>
      <c r="AM3638">
        <v>77.643625155218302</v>
      </c>
      <c r="AN3638">
        <v>1.0000000374405</v>
      </c>
    </row>
    <row r="3639" spans="1:40" x14ac:dyDescent="0.25">
      <c r="A3639" t="str">
        <f>"20190303162852808"</f>
        <v>20190303162852808</v>
      </c>
      <c r="B3639" t="str">
        <f>"1551601732795728"</f>
        <v>1551601732795728</v>
      </c>
      <c r="C3639" t="s">
        <v>40</v>
      </c>
      <c r="D3639">
        <v>4.9594279999999999</v>
      </c>
      <c r="E3639">
        <v>0.5100114</v>
      </c>
      <c r="F3639" t="s">
        <v>47</v>
      </c>
      <c r="G3639">
        <v>-189.76509999999999</v>
      </c>
      <c r="H3639" s="1">
        <v>5.1363479999999999E-6</v>
      </c>
      <c r="I3639">
        <v>207.46270000000001</v>
      </c>
      <c r="J3639">
        <v>-214.31569999999999</v>
      </c>
      <c r="K3639">
        <v>1.118617</v>
      </c>
      <c r="L3639">
        <v>214.03059999999999</v>
      </c>
      <c r="M3639">
        <v>0.99954580000000004</v>
      </c>
      <c r="N3639">
        <v>-1.4360370000000001E-2</v>
      </c>
      <c r="O3639">
        <v>-2.6498460000000001E-2</v>
      </c>
      <c r="P3639">
        <v>0.95644989999999996</v>
      </c>
      <c r="Q3639">
        <v>0.16557430000000001</v>
      </c>
      <c r="R3639">
        <v>-0.24039369999999999</v>
      </c>
      <c r="S3639">
        <v>2.962952</v>
      </c>
      <c r="T3639">
        <v>-0.1331427</v>
      </c>
      <c r="U3639">
        <v>-0.78297419999999995</v>
      </c>
      <c r="V3639">
        <v>0.2161274</v>
      </c>
      <c r="W3639">
        <v>0.1779731</v>
      </c>
      <c r="X3639">
        <v>0.96000750000000001</v>
      </c>
      <c r="Y3639">
        <v>0.2294957</v>
      </c>
      <c r="Z3639">
        <v>-5.9490159999999997E-3</v>
      </c>
      <c r="AA3639">
        <v>0.97329149999999998</v>
      </c>
      <c r="AB3639">
        <v>35</v>
      </c>
      <c r="AC3639">
        <v>24.550599999999999</v>
      </c>
      <c r="AD3639">
        <v>-1.1186118636519999</v>
      </c>
      <c r="AE3639">
        <v>-6.5678999999999803</v>
      </c>
      <c r="AF3639">
        <v>5.9035357397702404</v>
      </c>
      <c r="AG3639">
        <v>-1.1186118636519999</v>
      </c>
      <c r="AH3639">
        <v>24.668242853360301</v>
      </c>
      <c r="AI3639">
        <v>92.525160607868003</v>
      </c>
      <c r="AJ3639">
        <v>76.541261284290798</v>
      </c>
      <c r="AK3639">
        <v>25.389470892569001</v>
      </c>
      <c r="AL3639">
        <v>79.748278547575296</v>
      </c>
      <c r="AM3639">
        <v>77.312475384458196</v>
      </c>
      <c r="AN3639">
        <v>0.99999993870530801</v>
      </c>
    </row>
    <row r="3640" spans="1:40" x14ac:dyDescent="0.25">
      <c r="A3640" t="str">
        <f>"20190303162852830"</f>
        <v>20190303162852830</v>
      </c>
      <c r="B3640" t="str">
        <f>"1551601732825007"</f>
        <v>1551601732825007</v>
      </c>
      <c r="C3640" t="s">
        <v>40</v>
      </c>
      <c r="D3640">
        <v>4.9881120000000001</v>
      </c>
      <c r="E3640">
        <v>0.50927509999999998</v>
      </c>
      <c r="F3640" t="s">
        <v>47</v>
      </c>
      <c r="G3640">
        <v>-188.958</v>
      </c>
      <c r="H3640" s="1">
        <v>5.1118989999999999E-6</v>
      </c>
      <c r="I3640">
        <v>207.1268</v>
      </c>
      <c r="J3640">
        <v>-213.95439999999999</v>
      </c>
      <c r="K3640">
        <v>1.1184719999999999</v>
      </c>
      <c r="L3640">
        <v>214.01759999999999</v>
      </c>
      <c r="M3640">
        <v>0.99944770000000005</v>
      </c>
      <c r="N3640">
        <v>-1.44142E-2</v>
      </c>
      <c r="O3640">
        <v>-2.9945090000000001E-2</v>
      </c>
      <c r="P3640">
        <v>0.95460290000000003</v>
      </c>
      <c r="Q3640">
        <v>0.1665459</v>
      </c>
      <c r="R3640">
        <v>-0.246975</v>
      </c>
      <c r="S3640">
        <v>2.9568629999999998</v>
      </c>
      <c r="T3640">
        <v>-0.13043740000000001</v>
      </c>
      <c r="U3640">
        <v>-0.80502320000000005</v>
      </c>
      <c r="V3640">
        <v>0.21951490000000001</v>
      </c>
      <c r="W3640">
        <v>0.17887819999999999</v>
      </c>
      <c r="X3640">
        <v>0.95907030000000004</v>
      </c>
      <c r="Y3640">
        <v>0.23340759999999999</v>
      </c>
      <c r="Z3640">
        <v>-5.8962040000000004E-3</v>
      </c>
      <c r="AA3640">
        <v>0.97236109999999998</v>
      </c>
      <c r="AB3640">
        <v>35</v>
      </c>
      <c r="AC3640">
        <v>24.996399999999898</v>
      </c>
      <c r="AD3640">
        <v>-1.11846688810099</v>
      </c>
      <c r="AE3640">
        <v>-6.8907999999999801</v>
      </c>
      <c r="AF3640">
        <v>6.1277100398658799</v>
      </c>
      <c r="AG3640">
        <v>-1.11846688810099</v>
      </c>
      <c r="AH3640">
        <v>25.144767581532601</v>
      </c>
      <c r="AI3640">
        <v>92.474573699873204</v>
      </c>
      <c r="AJ3640">
        <v>76.304137324967996</v>
      </c>
      <c r="AK3640">
        <v>25.904809114172998</v>
      </c>
      <c r="AL3640">
        <v>79.695575267650199</v>
      </c>
      <c r="AM3640">
        <v>77.108033504356598</v>
      </c>
      <c r="AN3640">
        <v>1.00000002104967</v>
      </c>
    </row>
    <row r="3641" spans="1:40" x14ac:dyDescent="0.25">
      <c r="A3641" t="str">
        <f>"20190303162852853"</f>
        <v>20190303162852853</v>
      </c>
      <c r="B3641" t="str">
        <f>"1551601732845505"</f>
        <v>1551601732845505</v>
      </c>
      <c r="C3641" t="s">
        <v>40</v>
      </c>
      <c r="D3641">
        <v>4.9301899999999996</v>
      </c>
      <c r="E3641">
        <v>0.50831539999999997</v>
      </c>
      <c r="F3641" t="s">
        <v>47</v>
      </c>
      <c r="G3641">
        <v>-187.98929999999999</v>
      </c>
      <c r="H3641" s="1">
        <v>5.0497769999999999E-6</v>
      </c>
      <c r="I3641">
        <v>206.81649999999999</v>
      </c>
      <c r="J3641">
        <v>-213.61320000000001</v>
      </c>
      <c r="K3641">
        <v>1.118339</v>
      </c>
      <c r="L3641">
        <v>214.00409999999999</v>
      </c>
      <c r="M3641">
        <v>0.99933879999999997</v>
      </c>
      <c r="N3641">
        <v>-1.445865E-2</v>
      </c>
      <c r="O3641">
        <v>-3.3360790000000001E-2</v>
      </c>
      <c r="P3641">
        <v>0.95271989999999995</v>
      </c>
      <c r="Q3641">
        <v>0.1677082</v>
      </c>
      <c r="R3641">
        <v>-0.2533744</v>
      </c>
      <c r="S3641">
        <v>2.9529570000000001</v>
      </c>
      <c r="T3641">
        <v>-0.12720119999999999</v>
      </c>
      <c r="U3641">
        <v>-0.81896969999999902</v>
      </c>
      <c r="V3641">
        <v>0.22276000000000001</v>
      </c>
      <c r="W3641">
        <v>0.17996690000000001</v>
      </c>
      <c r="X3641">
        <v>0.95811789999999997</v>
      </c>
      <c r="Y3641">
        <v>0.23469039999999999</v>
      </c>
      <c r="Z3641">
        <v>-5.7540229999999996E-3</v>
      </c>
      <c r="AA3641">
        <v>0.97205319999999995</v>
      </c>
      <c r="AB3641">
        <v>35</v>
      </c>
      <c r="AC3641">
        <v>25.623899999999999</v>
      </c>
      <c r="AD3641">
        <v>-1.1183339502230001</v>
      </c>
      <c r="AE3641">
        <v>-7.1875999999999998</v>
      </c>
      <c r="AF3641">
        <v>6.3175195332701497</v>
      </c>
      <c r="AG3641">
        <v>-1.1183339502230001</v>
      </c>
      <c r="AH3641">
        <v>25.8038768457949</v>
      </c>
      <c r="AI3641">
        <v>92.4105270699838</v>
      </c>
      <c r="AJ3641">
        <v>76.242979813719202</v>
      </c>
      <c r="AK3641">
        <v>26.589505150536802</v>
      </c>
      <c r="AL3641">
        <v>79.632168237465805</v>
      </c>
      <c r="AM3641">
        <v>76.911404037499395</v>
      </c>
      <c r="AN3641">
        <v>1.0000000064980099</v>
      </c>
    </row>
    <row r="3642" spans="1:40" x14ac:dyDescent="0.25">
      <c r="A3642" t="str">
        <f>"20190303162852875"</f>
        <v>20190303162852875</v>
      </c>
      <c r="B3642" t="str">
        <f>"1551601732865023"</f>
        <v>1551601732865023</v>
      </c>
      <c r="C3642" t="s">
        <v>40</v>
      </c>
      <c r="D3642">
        <v>5.0394800000000002</v>
      </c>
      <c r="E3642">
        <v>0.50751689999999905</v>
      </c>
      <c r="F3642" t="s">
        <v>47</v>
      </c>
      <c r="G3642">
        <v>-185.66900000000001</v>
      </c>
      <c r="H3642" s="1">
        <v>4.8266910000000003E-6</v>
      </c>
      <c r="I3642">
        <v>206.1233</v>
      </c>
      <c r="J3642">
        <v>-213.26990000000001</v>
      </c>
      <c r="K3642">
        <v>1.118188</v>
      </c>
      <c r="L3642">
        <v>213.98910000000001</v>
      </c>
      <c r="M3642">
        <v>0.99921130000000002</v>
      </c>
      <c r="N3642">
        <v>-1.4498870000000001E-2</v>
      </c>
      <c r="O3642">
        <v>-3.6968559999999998E-2</v>
      </c>
      <c r="P3642">
        <v>0.95092840000000001</v>
      </c>
      <c r="Q3642">
        <v>0.16827230000000001</v>
      </c>
      <c r="R3642">
        <v>-0.25965280000000002</v>
      </c>
      <c r="S3642">
        <v>2.9484859999999999</v>
      </c>
      <c r="T3642">
        <v>-0.1179991</v>
      </c>
      <c r="U3642">
        <v>-0.83152769999999998</v>
      </c>
      <c r="V3642">
        <v>0.22570609999999999</v>
      </c>
      <c r="W3642">
        <v>0.18044769999999999</v>
      </c>
      <c r="X3642">
        <v>0.95733769999999996</v>
      </c>
      <c r="Y3642">
        <v>0.23543040000000001</v>
      </c>
      <c r="Z3642">
        <v>-5.4373809999999998E-3</v>
      </c>
      <c r="AA3642">
        <v>0.97187599999999996</v>
      </c>
      <c r="AB3642">
        <v>35</v>
      </c>
      <c r="AC3642">
        <v>27.600899999999999</v>
      </c>
      <c r="AD3642">
        <v>-1.118183173309</v>
      </c>
      <c r="AE3642">
        <v>-7.8658000000000001</v>
      </c>
      <c r="AF3642">
        <v>6.8295821075716798</v>
      </c>
      <c r="AG3642">
        <v>-1.118183173309</v>
      </c>
      <c r="AH3642">
        <v>27.830600315543201</v>
      </c>
      <c r="AI3642">
        <v>92.234573655549298</v>
      </c>
      <c r="AJ3642">
        <v>76.212172447209198</v>
      </c>
      <c r="AK3642">
        <v>28.6781421869801</v>
      </c>
      <c r="AL3642">
        <v>79.604162318968605</v>
      </c>
      <c r="AM3642">
        <v>76.733953833893807</v>
      </c>
      <c r="AN3642">
        <v>1.0000000439268899</v>
      </c>
    </row>
    <row r="3643" spans="1:40" x14ac:dyDescent="0.25">
      <c r="A3643" t="str">
        <f>"20190303162852898"</f>
        <v>20190303162852898</v>
      </c>
      <c r="B3643" t="str">
        <f>"1551601732885521"</f>
        <v>1551601732885521</v>
      </c>
      <c r="C3643" t="s">
        <v>40</v>
      </c>
      <c r="D3643">
        <v>4.9609500000000004</v>
      </c>
      <c r="E3643">
        <v>0.506714</v>
      </c>
      <c r="F3643" t="s">
        <v>47</v>
      </c>
      <c r="G3643">
        <v>-183.87289999999999</v>
      </c>
      <c r="H3643" s="1">
        <v>4.5803029999999999E-6</v>
      </c>
      <c r="I3643">
        <v>205.5498</v>
      </c>
      <c r="J3643">
        <v>-212.92169999999999</v>
      </c>
      <c r="K3643">
        <v>1.118012</v>
      </c>
      <c r="L3643">
        <v>213.9725</v>
      </c>
      <c r="M3643">
        <v>0.99906099999999998</v>
      </c>
      <c r="N3643">
        <v>-1.4536159999999999E-2</v>
      </c>
      <c r="O3643">
        <v>-4.0813370000000002E-2</v>
      </c>
      <c r="P3643">
        <v>0.94950939999999995</v>
      </c>
      <c r="Q3643">
        <v>0.1674641</v>
      </c>
      <c r="R3643">
        <v>-0.26530690000000001</v>
      </c>
      <c r="S3643">
        <v>2.943848</v>
      </c>
      <c r="T3643">
        <v>-0.11197600000000001</v>
      </c>
      <c r="U3643">
        <v>-0.84512330000000002</v>
      </c>
      <c r="V3643">
        <v>0.2277902</v>
      </c>
      <c r="W3643">
        <v>0.1795561</v>
      </c>
      <c r="X3643">
        <v>0.95701159999999996</v>
      </c>
      <c r="Y3643">
        <v>0.236261</v>
      </c>
      <c r="Z3643">
        <v>-5.2187199999999996E-3</v>
      </c>
      <c r="AA3643">
        <v>0.97167559999999997</v>
      </c>
      <c r="AB3643">
        <v>35</v>
      </c>
      <c r="AC3643">
        <v>29.0488</v>
      </c>
      <c r="AD3643">
        <v>-1.118007419697</v>
      </c>
      <c r="AE3643">
        <v>-8.4226999999999901</v>
      </c>
      <c r="AF3643">
        <v>7.22011036487394</v>
      </c>
      <c r="AG3643">
        <v>-1.118007419697</v>
      </c>
      <c r="AH3643">
        <v>29.328312196152599</v>
      </c>
      <c r="AI3643">
        <v>92.119849547189304</v>
      </c>
      <c r="AJ3643">
        <v>76.169813708400497</v>
      </c>
      <c r="AK3643">
        <v>30.224656003773699</v>
      </c>
      <c r="AL3643">
        <v>79.656094886437302</v>
      </c>
      <c r="AM3643">
        <v>76.611451614932804</v>
      </c>
      <c r="AN3643">
        <v>0.999999985398904</v>
      </c>
    </row>
    <row r="3644" spans="1:40" x14ac:dyDescent="0.25">
      <c r="A3644" t="str">
        <f>"20190303162852921"</f>
        <v>20190303162852921</v>
      </c>
      <c r="B3644" t="str">
        <f>"1551601732915776"</f>
        <v>1551601732915776</v>
      </c>
      <c r="C3644" t="s">
        <v>40</v>
      </c>
      <c r="D3644">
        <v>4.9772420000000004</v>
      </c>
      <c r="E3644">
        <v>0.50558199999999998</v>
      </c>
      <c r="F3644" t="s">
        <v>47</v>
      </c>
      <c r="G3644">
        <v>-183.3536</v>
      </c>
      <c r="H3644" s="1">
        <v>4.5150290000000001E-6</v>
      </c>
      <c r="I3644">
        <v>205.36150000000001</v>
      </c>
      <c r="J3644">
        <v>-212.5651</v>
      </c>
      <c r="K3644">
        <v>1.11781</v>
      </c>
      <c r="L3644">
        <v>213.9539</v>
      </c>
      <c r="M3644">
        <v>0.99888259999999995</v>
      </c>
      <c r="N3644">
        <v>-1.457132E-2</v>
      </c>
      <c r="O3644">
        <v>-4.4959119999999998E-2</v>
      </c>
      <c r="P3644">
        <v>0.94812220000000003</v>
      </c>
      <c r="Q3644">
        <v>0.16567579999999901</v>
      </c>
      <c r="R3644">
        <v>-0.27132279999999998</v>
      </c>
      <c r="S3644">
        <v>2.93988</v>
      </c>
      <c r="T3644">
        <v>-0.1111606</v>
      </c>
      <c r="U3644">
        <v>-0.85617069999999995</v>
      </c>
      <c r="V3644">
        <v>0.22994809999999999</v>
      </c>
      <c r="W3644">
        <v>0.17767330000000001</v>
      </c>
      <c r="X3644">
        <v>0.956847</v>
      </c>
      <c r="Y3644">
        <v>0.23594899999999999</v>
      </c>
      <c r="Z3644">
        <v>-5.104646E-3</v>
      </c>
      <c r="AA3644">
        <v>0.97175199999999995</v>
      </c>
      <c r="AB3644">
        <v>35</v>
      </c>
      <c r="AC3644">
        <v>29.211500000000001</v>
      </c>
      <c r="AD3644">
        <v>-1.117805484971</v>
      </c>
      <c r="AE3644">
        <v>-8.5923999999999907</v>
      </c>
      <c r="AF3644">
        <v>7.2604622608869596</v>
      </c>
      <c r="AG3644">
        <v>-1.117805484971</v>
      </c>
      <c r="AH3644">
        <v>29.528508635460302</v>
      </c>
      <c r="AI3644">
        <v>92.105258096835499</v>
      </c>
      <c r="AJ3644">
        <v>76.186157429754502</v>
      </c>
      <c r="AK3644">
        <v>30.4285494819988</v>
      </c>
      <c r="AL3644">
        <v>79.765735232347694</v>
      </c>
      <c r="AM3644">
        <v>76.487009502949405</v>
      </c>
      <c r="AN3644">
        <v>1.00000005581774</v>
      </c>
    </row>
    <row r="3645" spans="1:40" x14ac:dyDescent="0.25">
      <c r="A3645" t="str">
        <f>"20190303162852942"</f>
        <v>20190303162852942</v>
      </c>
      <c r="B3645" t="str">
        <f>"1551601732935296"</f>
        <v>1551601732935296</v>
      </c>
      <c r="C3645" t="s">
        <v>40</v>
      </c>
      <c r="D3645">
        <v>5.1044349999999996</v>
      </c>
      <c r="E3645">
        <v>0.50516340000000004</v>
      </c>
      <c r="F3645" t="s">
        <v>47</v>
      </c>
      <c r="G3645">
        <v>-183.40559999999999</v>
      </c>
      <c r="H3645" s="1">
        <v>4.5253370000000001E-6</v>
      </c>
      <c r="I3645">
        <v>205.36609999999999</v>
      </c>
      <c r="J3645">
        <v>-212.2244</v>
      </c>
      <c r="K3645">
        <v>1.1176159999999999</v>
      </c>
      <c r="L3645">
        <v>213.93459999999999</v>
      </c>
      <c r="M3645">
        <v>0.99868570000000001</v>
      </c>
      <c r="N3645">
        <v>-1.4602189999999999E-2</v>
      </c>
      <c r="O3645">
        <v>-4.913352E-2</v>
      </c>
      <c r="P3645">
        <v>0.94661360000000005</v>
      </c>
      <c r="Q3645">
        <v>0.1641426</v>
      </c>
      <c r="R3645">
        <v>-0.27745330000000001</v>
      </c>
      <c r="S3645">
        <v>2.936356</v>
      </c>
      <c r="T3645">
        <v>-0.112563</v>
      </c>
      <c r="U3645">
        <v>-0.86479189999999995</v>
      </c>
      <c r="V3645">
        <v>0.2322032</v>
      </c>
      <c r="W3645">
        <v>0.17603859999999999</v>
      </c>
      <c r="X3645">
        <v>0.95660440000000002</v>
      </c>
      <c r="Y3645">
        <v>0.2348257</v>
      </c>
      <c r="Z3645">
        <v>-5.020933E-3</v>
      </c>
      <c r="AA3645">
        <v>0.97202449999999996</v>
      </c>
      <c r="AB3645">
        <v>35</v>
      </c>
      <c r="AC3645">
        <v>28.8188</v>
      </c>
      <c r="AD3645">
        <v>-1.1176114746629999</v>
      </c>
      <c r="AE3645">
        <v>-8.5685000000000002</v>
      </c>
      <c r="AF3645">
        <v>7.1321740373082596</v>
      </c>
      <c r="AG3645">
        <v>-1.1176114746629999</v>
      </c>
      <c r="AH3645">
        <v>29.1647317257593</v>
      </c>
      <c r="AI3645">
        <v>92.131779691358801</v>
      </c>
      <c r="AJ3645">
        <v>76.258138221929698</v>
      </c>
      <c r="AK3645">
        <v>30.0449419793459</v>
      </c>
      <c r="AL3645">
        <v>79.860895583221804</v>
      </c>
      <c r="AM3645">
        <v>76.356085990124399</v>
      </c>
      <c r="AN3645">
        <v>0.99999994643977796</v>
      </c>
    </row>
    <row r="3646" spans="1:40" x14ac:dyDescent="0.25">
      <c r="A3646" t="str">
        <f>"20190303162852964"</f>
        <v>20190303162852964</v>
      </c>
      <c r="B3646" t="str">
        <f>"1551601732955791"</f>
        <v>1551601732955791</v>
      </c>
      <c r="C3646" t="s">
        <v>40</v>
      </c>
      <c r="D3646">
        <v>4.9603270000000004</v>
      </c>
      <c r="E3646">
        <v>0.50476529999999997</v>
      </c>
      <c r="F3646" t="s">
        <v>47</v>
      </c>
      <c r="G3646">
        <v>-183.55670000000001</v>
      </c>
      <c r="H3646" s="1">
        <v>4.5686020000000002E-6</v>
      </c>
      <c r="I3646">
        <v>205.32929999999999</v>
      </c>
      <c r="J3646">
        <v>-211.88630000000001</v>
      </c>
      <c r="K3646">
        <v>1.1174280000000001</v>
      </c>
      <c r="L3646">
        <v>213.91370000000001</v>
      </c>
      <c r="M3646">
        <v>0.99846080000000004</v>
      </c>
      <c r="N3646">
        <v>-1.463071E-2</v>
      </c>
      <c r="O3646">
        <v>-5.3500409999999998E-2</v>
      </c>
      <c r="P3646">
        <v>0.94529859999999999</v>
      </c>
      <c r="Q3646">
        <v>0.1624739</v>
      </c>
      <c r="R3646">
        <v>-0.28286689999999998</v>
      </c>
      <c r="S3646">
        <v>2.9311370000000001</v>
      </c>
      <c r="T3646">
        <v>-0.1142706</v>
      </c>
      <c r="U3646">
        <v>-0.87985230000000003</v>
      </c>
      <c r="V3646">
        <v>0.23354929999999999</v>
      </c>
      <c r="W3646">
        <v>0.17427670000000001</v>
      </c>
      <c r="X3646">
        <v>0.95659939999999999</v>
      </c>
      <c r="Y3646">
        <v>0.23562669999999999</v>
      </c>
      <c r="Z3646">
        <v>-4.9864260000000004E-3</v>
      </c>
      <c r="AA3646">
        <v>0.97183079999999999</v>
      </c>
      <c r="AB3646">
        <v>35</v>
      </c>
      <c r="AC3646">
        <v>28.329599999999999</v>
      </c>
      <c r="AD3646">
        <v>-1.117423431398</v>
      </c>
      <c r="AE3646">
        <v>-8.5844000000000094</v>
      </c>
      <c r="AF3646">
        <v>7.0462551621726801</v>
      </c>
      <c r="AG3646">
        <v>-1.117423431398</v>
      </c>
      <c r="AH3646">
        <v>28.707429441020199</v>
      </c>
      <c r="AI3646">
        <v>92.164891009612404</v>
      </c>
      <c r="AJ3646">
        <v>76.209347479574802</v>
      </c>
      <c r="AK3646">
        <v>29.580649959840901</v>
      </c>
      <c r="AL3646">
        <v>79.963431007345207</v>
      </c>
      <c r="AM3646">
        <v>76.279903150985604</v>
      </c>
      <c r="AN3646">
        <v>1.0000000278868599</v>
      </c>
    </row>
    <row r="3647" spans="1:40" x14ac:dyDescent="0.25">
      <c r="A3647" t="str">
        <f>"20190303162852988"</f>
        <v>20190303162852988</v>
      </c>
      <c r="B3647" t="str">
        <f>"1551601732975312"</f>
        <v>1551601732975312</v>
      </c>
      <c r="C3647" t="s">
        <v>40</v>
      </c>
      <c r="D3647">
        <v>5.0288700000000004</v>
      </c>
      <c r="E3647">
        <v>0.52747489999999997</v>
      </c>
      <c r="F3647" t="s">
        <v>47</v>
      </c>
      <c r="G3647">
        <v>-184.0386</v>
      </c>
      <c r="H3647" s="1">
        <v>4.6534799999999999E-6</v>
      </c>
      <c r="I3647">
        <v>205.41220000000001</v>
      </c>
      <c r="J3647">
        <v>-211.5402</v>
      </c>
      <c r="K3647">
        <v>1.1172390000000001</v>
      </c>
      <c r="L3647">
        <v>213.8904</v>
      </c>
      <c r="M3647">
        <v>0.99819769999999997</v>
      </c>
      <c r="N3647">
        <v>-1.465788E-2</v>
      </c>
      <c r="O3647">
        <v>-5.8194469999999998E-2</v>
      </c>
      <c r="P3647">
        <v>0.94386519999999996</v>
      </c>
      <c r="Q3647">
        <v>0.1614671</v>
      </c>
      <c r="R3647">
        <v>-0.28817949999999998</v>
      </c>
      <c r="S3647">
        <v>2.9264679999999998</v>
      </c>
      <c r="T3647">
        <v>-0.1174282</v>
      </c>
      <c r="U3647">
        <v>-0.89340209999999998</v>
      </c>
      <c r="V3647">
        <v>0.23449490000000001</v>
      </c>
      <c r="W3647">
        <v>0.17317879999999899</v>
      </c>
      <c r="X3647">
        <v>0.95656739999999996</v>
      </c>
      <c r="Y3647">
        <v>0.2355971</v>
      </c>
      <c r="Z3647">
        <v>-4.9456730000000003E-3</v>
      </c>
      <c r="AA3647">
        <v>0.97183819999999999</v>
      </c>
      <c r="AB3647">
        <v>35</v>
      </c>
      <c r="AC3647">
        <v>27.5016</v>
      </c>
      <c r="AD3647">
        <v>-1.1172343465200001</v>
      </c>
      <c r="AE3647">
        <v>-8.4781999999999798</v>
      </c>
      <c r="AF3647">
        <v>6.8528876679305997</v>
      </c>
      <c r="AG3647">
        <v>-1.1172343465200001</v>
      </c>
      <c r="AH3647">
        <v>27.906361559497899</v>
      </c>
      <c r="AI3647">
        <v>92.226537196652302</v>
      </c>
      <c r="AJ3647">
        <v>76.203044254662501</v>
      </c>
      <c r="AK3647">
        <v>28.7571781902144</v>
      </c>
      <c r="AL3647">
        <v>80.027306812519996</v>
      </c>
      <c r="AM3647">
        <v>76.226021199796605</v>
      </c>
      <c r="AN3647">
        <v>0.99999997281910402</v>
      </c>
    </row>
    <row r="3648" spans="1:40" x14ac:dyDescent="0.25">
      <c r="A3648" t="str">
        <f>"20190303162853010"</f>
        <v>20190303162853010</v>
      </c>
      <c r="B3648" t="str">
        <f>"1551601733005568"</f>
        <v>1551601733005568</v>
      </c>
      <c r="C3648" t="s">
        <v>40</v>
      </c>
      <c r="D3648">
        <v>4.9860800000000003</v>
      </c>
      <c r="E3648">
        <v>0.53765779999999996</v>
      </c>
      <c r="F3648" t="s">
        <v>47</v>
      </c>
      <c r="G3648">
        <v>-193.07679999999999</v>
      </c>
      <c r="H3648" s="1">
        <v>4.6652919999999998E-6</v>
      </c>
      <c r="I3648">
        <v>206.93549999999999</v>
      </c>
      <c r="J3648">
        <v>-211.1865</v>
      </c>
      <c r="K3648">
        <v>1.1170610000000001</v>
      </c>
      <c r="L3648">
        <v>213.8648</v>
      </c>
      <c r="M3648">
        <v>0.99789430000000001</v>
      </c>
      <c r="N3648">
        <v>-1.4683160000000001E-2</v>
      </c>
      <c r="O3648">
        <v>-6.3176960000000004E-2</v>
      </c>
      <c r="P3648">
        <v>0.94209219999999905</v>
      </c>
      <c r="Q3648">
        <v>0.16145309999999999</v>
      </c>
      <c r="R3648">
        <v>-0.293931099999999</v>
      </c>
      <c r="S3648">
        <v>2.8772579999999999</v>
      </c>
      <c r="T3648">
        <v>-0.17410529999999999</v>
      </c>
      <c r="U3648">
        <v>-1.0838319999999999</v>
      </c>
      <c r="V3648">
        <v>0.23562930000000001</v>
      </c>
      <c r="W3648">
        <v>0.17307510000000001</v>
      </c>
      <c r="X3648">
        <v>0.95630740000000003</v>
      </c>
      <c r="Y3648">
        <v>0.29214220000000002</v>
      </c>
      <c r="Z3648">
        <v>-7.9758669999999993E-3</v>
      </c>
      <c r="AA3648">
        <v>0.95634160000000001</v>
      </c>
      <c r="AB3648">
        <v>34</v>
      </c>
      <c r="AC3648">
        <v>18.1097</v>
      </c>
      <c r="AD3648">
        <v>-1.117056334708</v>
      </c>
      <c r="AE3648">
        <v>-6.9293000000000102</v>
      </c>
      <c r="AF3648">
        <v>5.7521249364356803</v>
      </c>
      <c r="AG3648">
        <v>-1.117056334708</v>
      </c>
      <c r="AH3648">
        <v>18.450101105967601</v>
      </c>
      <c r="AI3648">
        <v>93.308060352392999</v>
      </c>
      <c r="AJ3648">
        <v>72.6842665838344</v>
      </c>
      <c r="AK3648">
        <v>19.358227887895701</v>
      </c>
      <c r="AL3648">
        <v>80.033339757688395</v>
      </c>
      <c r="AM3648">
        <v>76.158325523730696</v>
      </c>
      <c r="AN3648">
        <v>1.0000000002766301</v>
      </c>
    </row>
    <row r="3649" spans="1:40" x14ac:dyDescent="0.25">
      <c r="A3649" t="str">
        <f>"20190303162853031"</f>
        <v>20190303162853031</v>
      </c>
      <c r="B3649" t="str">
        <f>"1551601733025087"</f>
        <v>1551601733025087</v>
      </c>
      <c r="C3649" t="s">
        <v>40</v>
      </c>
      <c r="D3649">
        <v>4.9769259999999997</v>
      </c>
      <c r="E3649">
        <v>0.53897779999999995</v>
      </c>
      <c r="F3649" t="s">
        <v>47</v>
      </c>
      <c r="G3649">
        <v>-195.5702</v>
      </c>
      <c r="H3649" s="1">
        <v>3.9988559999999996E-6</v>
      </c>
      <c r="I3649">
        <v>207.40639999999999</v>
      </c>
      <c r="J3649">
        <v>-210.8408</v>
      </c>
      <c r="K3649">
        <v>1.116916</v>
      </c>
      <c r="L3649">
        <v>213.83789999999999</v>
      </c>
      <c r="M3649">
        <v>0.99756250000000002</v>
      </c>
      <c r="N3649">
        <v>-1.4704740000000001E-2</v>
      </c>
      <c r="O3649">
        <v>-6.8211820000000006E-2</v>
      </c>
      <c r="P3649">
        <v>0.93986499999999995</v>
      </c>
      <c r="Q3649">
        <v>0.1617364</v>
      </c>
      <c r="R3649">
        <v>-0.30082429999999999</v>
      </c>
      <c r="S3649">
        <v>2.8514249999999999</v>
      </c>
      <c r="T3649">
        <v>-0.2039666</v>
      </c>
      <c r="U3649">
        <v>-1.17926</v>
      </c>
      <c r="V3649">
        <v>0.23788339999999999</v>
      </c>
      <c r="W3649">
        <v>0.173261</v>
      </c>
      <c r="X3649">
        <v>0.95571550000000005</v>
      </c>
      <c r="Y3649">
        <v>0.31748670000000001</v>
      </c>
      <c r="Z3649">
        <v>-9.6282220000000005E-3</v>
      </c>
      <c r="AA3649">
        <v>0.94821390000000005</v>
      </c>
      <c r="AB3649">
        <v>34</v>
      </c>
      <c r="AC3649">
        <v>15.2706</v>
      </c>
      <c r="AD3649">
        <v>-1.1169120011439999</v>
      </c>
      <c r="AE3649">
        <v>-6.4314999999999998</v>
      </c>
      <c r="AF3649">
        <v>5.3504580824567203</v>
      </c>
      <c r="AG3649">
        <v>-1.1169120011439999</v>
      </c>
      <c r="AH3649">
        <v>15.6028821783165</v>
      </c>
      <c r="AI3649">
        <v>93.873762289278403</v>
      </c>
      <c r="AJ3649">
        <v>71.072403352228093</v>
      </c>
      <c r="AK3649">
        <v>16.532538413106799</v>
      </c>
      <c r="AL3649">
        <v>80.022525099996798</v>
      </c>
      <c r="AM3649">
        <v>76.022761742210605</v>
      </c>
      <c r="AN3649">
        <v>1.0000000015284001</v>
      </c>
    </row>
    <row r="3650" spans="1:40" x14ac:dyDescent="0.25">
      <c r="A3650" t="str">
        <f>"20190303162853053"</f>
        <v>20190303162853053</v>
      </c>
      <c r="B3650" t="str">
        <f>"1551601733045584"</f>
        <v>1551601733045584</v>
      </c>
      <c r="C3650" t="s">
        <v>40</v>
      </c>
      <c r="D3650">
        <v>4.9621930000000001</v>
      </c>
      <c r="E3650">
        <v>0.53975490000000004</v>
      </c>
      <c r="F3650" t="s">
        <v>47</v>
      </c>
      <c r="G3650">
        <v>-195.2646</v>
      </c>
      <c r="H3650" s="1">
        <v>4.105596E-6</v>
      </c>
      <c r="I3650">
        <v>207.208</v>
      </c>
      <c r="J3650">
        <v>-210.51240000000001</v>
      </c>
      <c r="K3650">
        <v>1.116792</v>
      </c>
      <c r="L3650">
        <v>213.81059999999999</v>
      </c>
      <c r="M3650">
        <v>0.99721380000000004</v>
      </c>
      <c r="N3650">
        <v>-1.472235E-2</v>
      </c>
      <c r="O3650">
        <v>-7.3130550000000002E-2</v>
      </c>
      <c r="P3650">
        <v>0.93695799999999996</v>
      </c>
      <c r="Q3650">
        <v>0.1628433</v>
      </c>
      <c r="R3650">
        <v>-0.3091797</v>
      </c>
      <c r="S3650">
        <v>2.8400729999999998</v>
      </c>
      <c r="T3650">
        <v>-0.2036502</v>
      </c>
      <c r="U3650">
        <v>-1.208847</v>
      </c>
      <c r="V3650">
        <v>0.24176539999999999</v>
      </c>
      <c r="W3650">
        <v>0.17425280000000001</v>
      </c>
      <c r="X3650">
        <v>0.95456030000000003</v>
      </c>
      <c r="Y3650">
        <v>0.3225325</v>
      </c>
      <c r="Z3650">
        <v>-9.5842559999999993E-3</v>
      </c>
      <c r="AA3650">
        <v>0.94650990000000002</v>
      </c>
      <c r="AB3650">
        <v>34</v>
      </c>
      <c r="AC3650">
        <v>15.2478</v>
      </c>
      <c r="AD3650">
        <v>-1.1167878944039999</v>
      </c>
      <c r="AE3650">
        <v>-6.60259999999999</v>
      </c>
      <c r="AF3650">
        <v>5.4451182039693604</v>
      </c>
      <c r="AG3650">
        <v>-1.1167878944039999</v>
      </c>
      <c r="AH3650">
        <v>15.6193082534657</v>
      </c>
      <c r="AI3650">
        <v>93.862487543723205</v>
      </c>
      <c r="AJ3650">
        <v>70.780701565543495</v>
      </c>
      <c r="AK3650">
        <v>16.578881680411001</v>
      </c>
      <c r="AL3650">
        <v>79.964820932592602</v>
      </c>
      <c r="AM3650">
        <v>75.787335768430395</v>
      </c>
      <c r="AN3650">
        <v>0.99999995664054397</v>
      </c>
    </row>
    <row r="3651" spans="1:40" x14ac:dyDescent="0.25">
      <c r="A3651" t="str">
        <f>"20190303162853076"</f>
        <v>20190303162853076</v>
      </c>
      <c r="B3651" t="str">
        <f>"1551601733065104"</f>
        <v>1551601733065104</v>
      </c>
      <c r="C3651" t="s">
        <v>40</v>
      </c>
      <c r="D3651">
        <v>4.970186</v>
      </c>
      <c r="E3651">
        <v>0.54078519999999997</v>
      </c>
      <c r="F3651" t="s">
        <v>47</v>
      </c>
      <c r="G3651">
        <v>-195.2158</v>
      </c>
      <c r="H3651" s="1">
        <v>4.137501E-6</v>
      </c>
      <c r="I3651">
        <v>207.12020000000001</v>
      </c>
      <c r="J3651">
        <v>-210.16200000000001</v>
      </c>
      <c r="K3651">
        <v>1.116676</v>
      </c>
      <c r="L3651">
        <v>213.77959999999999</v>
      </c>
      <c r="M3651">
        <v>0.99680599999999997</v>
      </c>
      <c r="N3651">
        <v>-1.4738589999999999E-2</v>
      </c>
      <c r="O3651">
        <v>-7.8489799999999998E-2</v>
      </c>
      <c r="P3651">
        <v>0.93345990000000001</v>
      </c>
      <c r="Q3651">
        <v>0.163717</v>
      </c>
      <c r="R3651">
        <v>-0.31913940000000002</v>
      </c>
      <c r="S3651">
        <v>2.8294069999999998</v>
      </c>
      <c r="T3651">
        <v>-0.2065719</v>
      </c>
      <c r="U3651">
        <v>-1.2375179999999999</v>
      </c>
      <c r="V3651">
        <v>0.24687919999999999</v>
      </c>
      <c r="W3651">
        <v>0.17499600000000001</v>
      </c>
      <c r="X3651">
        <v>0.95311440000000003</v>
      </c>
      <c r="Y3651">
        <v>0.32678420000000002</v>
      </c>
      <c r="Z3651">
        <v>-9.5752110000000001E-3</v>
      </c>
      <c r="AA3651">
        <v>0.94505050000000002</v>
      </c>
      <c r="AB3651">
        <v>34</v>
      </c>
      <c r="AC3651">
        <v>14.946199999999999</v>
      </c>
      <c r="AD3651">
        <v>-1.116671862499</v>
      </c>
      <c r="AE3651">
        <v>-6.6593999999999696</v>
      </c>
      <c r="AF3651">
        <v>5.4402616106985304</v>
      </c>
      <c r="AG3651">
        <v>-1.116671862499</v>
      </c>
      <c r="AH3651">
        <v>15.351334126515001</v>
      </c>
      <c r="AI3651">
        <v>93.922231827670302</v>
      </c>
      <c r="AJ3651">
        <v>70.486506333535004</v>
      </c>
      <c r="AK3651">
        <v>16.325037883730701</v>
      </c>
      <c r="AL3651">
        <v>79.921574661711006</v>
      </c>
      <c r="AM3651">
        <v>75.478193191691204</v>
      </c>
      <c r="AN3651">
        <v>0.999999999448</v>
      </c>
    </row>
    <row r="3652" spans="1:40" x14ac:dyDescent="0.25">
      <c r="A3652" t="str">
        <f>"20190303162853098"</f>
        <v>20190303162853098</v>
      </c>
      <c r="B3652" t="str">
        <f>"1551601733085599"</f>
        <v>1551601733085599</v>
      </c>
      <c r="C3652" t="s">
        <v>40</v>
      </c>
      <c r="D3652">
        <v>4.8775789999999999</v>
      </c>
      <c r="E3652">
        <v>0.54128699999999996</v>
      </c>
      <c r="F3652" t="s">
        <v>47</v>
      </c>
      <c r="G3652">
        <v>-195.06970000000001</v>
      </c>
      <c r="H3652" s="1">
        <v>4.2154859999999997E-6</v>
      </c>
      <c r="I3652">
        <v>206.9579</v>
      </c>
      <c r="J3652">
        <v>-209.81880000000001</v>
      </c>
      <c r="K3652">
        <v>1.1165769999999999</v>
      </c>
      <c r="L3652">
        <v>213.7473</v>
      </c>
      <c r="M3652">
        <v>0.99637220000000004</v>
      </c>
      <c r="N3652">
        <v>-1.475194E-2</v>
      </c>
      <c r="O3652">
        <v>-8.3814719999999995E-2</v>
      </c>
      <c r="P3652">
        <v>0.93010440000000005</v>
      </c>
      <c r="Q3652">
        <v>0.1623105</v>
      </c>
      <c r="R3652">
        <v>-0.3294861</v>
      </c>
      <c r="S3652">
        <v>2.8153229999999998</v>
      </c>
      <c r="T3652">
        <v>-0.20830399999999999</v>
      </c>
      <c r="U3652">
        <v>-1.2725219999999999</v>
      </c>
      <c r="V3652">
        <v>0.25238240000000001</v>
      </c>
      <c r="W3652">
        <v>0.17346909999999999</v>
      </c>
      <c r="X3652">
        <v>0.95195149999999995</v>
      </c>
      <c r="Y3652">
        <v>0.33324090000000001</v>
      </c>
      <c r="Z3652">
        <v>-9.6275159999999992E-3</v>
      </c>
      <c r="AA3652">
        <v>0.94279259999999998</v>
      </c>
      <c r="AB3652">
        <v>34</v>
      </c>
      <c r="AC3652">
        <v>14.7491</v>
      </c>
      <c r="AD3652">
        <v>-1.1165727845139899</v>
      </c>
      <c r="AE3652">
        <v>-6.7893999999999997</v>
      </c>
      <c r="AF3652">
        <v>5.5031543226092801</v>
      </c>
      <c r="AG3652">
        <v>-1.1165727845139899</v>
      </c>
      <c r="AH3652">
        <v>15.194449741121501</v>
      </c>
      <c r="AI3652">
        <v>93.952482805470893</v>
      </c>
      <c r="AJ3652">
        <v>70.090531132062907</v>
      </c>
      <c r="AK3652">
        <v>16.198850120210299</v>
      </c>
      <c r="AL3652">
        <v>80.010418827754293</v>
      </c>
      <c r="AM3652">
        <v>75.151291523776806</v>
      </c>
      <c r="AN3652">
        <v>1.0000000314184001</v>
      </c>
    </row>
    <row r="3653" spans="1:40" x14ac:dyDescent="0.25">
      <c r="A3653" t="str">
        <f>"20190303162853122"</f>
        <v>20190303162853122</v>
      </c>
      <c r="B3653" t="str">
        <f>"1551601733115421"</f>
        <v>1551601733115421</v>
      </c>
      <c r="C3653" t="s">
        <v>40</v>
      </c>
      <c r="D3653">
        <v>4.8468030000000004</v>
      </c>
      <c r="E3653">
        <v>0.54171150000000001</v>
      </c>
      <c r="F3653" t="s">
        <v>47</v>
      </c>
      <c r="G3653">
        <v>-195.27350000000001</v>
      </c>
      <c r="H3653" s="1">
        <v>4.1678159999999997E-6</v>
      </c>
      <c r="I3653">
        <v>206.96709999999999</v>
      </c>
      <c r="J3653">
        <v>-209.44880000000001</v>
      </c>
      <c r="K3653">
        <v>1.116501</v>
      </c>
      <c r="L3653">
        <v>213.7105</v>
      </c>
      <c r="M3653">
        <v>0.99586839999999999</v>
      </c>
      <c r="N3653">
        <v>-1.476323E-2</v>
      </c>
      <c r="O3653">
        <v>-8.9600139999999995E-2</v>
      </c>
      <c r="P3653">
        <v>0.92668490000000003</v>
      </c>
      <c r="Q3653">
        <v>0.16052939999999999</v>
      </c>
      <c r="R3653">
        <v>-0.33983170000000001</v>
      </c>
      <c r="S3653">
        <v>2.800522</v>
      </c>
      <c r="T3653">
        <v>-0.2149837</v>
      </c>
      <c r="U3653">
        <v>-1.305466</v>
      </c>
      <c r="V3653">
        <v>0.25745240000000003</v>
      </c>
      <c r="W3653">
        <v>0.17158280000000001</v>
      </c>
      <c r="X3653">
        <v>0.95093510000000003</v>
      </c>
      <c r="Y3653">
        <v>0.33872669999999999</v>
      </c>
      <c r="Z3653">
        <v>-9.7454699999999991E-3</v>
      </c>
      <c r="AA3653">
        <v>0.94083430000000001</v>
      </c>
      <c r="AB3653">
        <v>34</v>
      </c>
      <c r="AC3653">
        <v>14.175299999999901</v>
      </c>
      <c r="AD3653">
        <v>-1.1164968321840001</v>
      </c>
      <c r="AE3653">
        <v>-6.7434000000000003</v>
      </c>
      <c r="AF3653">
        <v>5.4186116387050998</v>
      </c>
      <c r="AG3653">
        <v>-1.1164968321840001</v>
      </c>
      <c r="AH3653">
        <v>14.648443022138</v>
      </c>
      <c r="AI3653">
        <v>94.088858198760406</v>
      </c>
      <c r="AJ3653">
        <v>69.700041187598501</v>
      </c>
      <c r="AK3653">
        <v>15.6583779568706</v>
      </c>
      <c r="AL3653">
        <v>80.120140647108002</v>
      </c>
      <c r="AM3653">
        <v>74.8511258078899</v>
      </c>
      <c r="AN3653">
        <v>0.99999997996680401</v>
      </c>
    </row>
    <row r="3654" spans="1:40" x14ac:dyDescent="0.25">
      <c r="A3654" t="str">
        <f>"20190303162853143"</f>
        <v>20190303162853143</v>
      </c>
      <c r="B3654" t="str">
        <f>"1551601733134942"</f>
        <v>1551601733134942</v>
      </c>
      <c r="C3654" t="s">
        <v>40</v>
      </c>
      <c r="D3654">
        <v>4.8748329999999997</v>
      </c>
      <c r="E3654">
        <v>0.54126129999999995</v>
      </c>
      <c r="F3654" t="s">
        <v>47</v>
      </c>
      <c r="G3654">
        <v>-195.47620000000001</v>
      </c>
      <c r="H3654" s="1">
        <v>4.1239420000000003E-6</v>
      </c>
      <c r="I3654">
        <v>206.99700000000001</v>
      </c>
      <c r="J3654">
        <v>-209.13140000000001</v>
      </c>
      <c r="K3654">
        <v>1.116457</v>
      </c>
      <c r="L3654">
        <v>213.6771</v>
      </c>
      <c r="M3654">
        <v>0.99540799999999996</v>
      </c>
      <c r="N3654">
        <v>-1.47701E-2</v>
      </c>
      <c r="O3654">
        <v>-9.4577820000000007E-2</v>
      </c>
      <c r="P3654">
        <v>0.92322870000000001</v>
      </c>
      <c r="Q3654">
        <v>0.15904219999999999</v>
      </c>
      <c r="R3654">
        <v>-0.34979199999999999</v>
      </c>
      <c r="S3654">
        <v>2.7851870000000001</v>
      </c>
      <c r="T3654">
        <v>-0.2225529</v>
      </c>
      <c r="U3654">
        <v>-1.338211</v>
      </c>
      <c r="V3654">
        <v>0.26292090000000001</v>
      </c>
      <c r="W3654">
        <v>0.16999900000000001</v>
      </c>
      <c r="X3654">
        <v>0.94972250000000003</v>
      </c>
      <c r="Y3654">
        <v>0.3449605</v>
      </c>
      <c r="Z3654">
        <v>-9.9564730000000004E-3</v>
      </c>
      <c r="AA3654">
        <v>0.93856439999999997</v>
      </c>
      <c r="AB3654">
        <v>34</v>
      </c>
      <c r="AC3654">
        <v>13.655200000000001</v>
      </c>
      <c r="AD3654">
        <v>-1.1164528760579999</v>
      </c>
      <c r="AE3654">
        <v>-6.6800999999999799</v>
      </c>
      <c r="AF3654">
        <v>5.3297815945178497</v>
      </c>
      <c r="AG3654">
        <v>-1.1164528760579999</v>
      </c>
      <c r="AH3654">
        <v>14.149513879547699</v>
      </c>
      <c r="AI3654">
        <v>94.223018015939203</v>
      </c>
      <c r="AJ3654">
        <v>69.359814979408497</v>
      </c>
      <c r="AK3654">
        <v>15.1611932873779</v>
      </c>
      <c r="AL3654">
        <v>80.212238525261398</v>
      </c>
      <c r="AM3654">
        <v>74.525798376750402</v>
      </c>
      <c r="AN3654">
        <v>0.99999994333202802</v>
      </c>
    </row>
    <row r="3655" spans="1:40" x14ac:dyDescent="0.25">
      <c r="A3655" t="str">
        <f>"20190303162853165"</f>
        <v>20190303162853165</v>
      </c>
      <c r="B3655" t="str">
        <f>"1551601733155438"</f>
        <v>1551601733155438</v>
      </c>
      <c r="C3655" t="s">
        <v>40</v>
      </c>
      <c r="D3655">
        <v>4.8072939999999997</v>
      </c>
      <c r="E3655">
        <v>0.54151039999999995</v>
      </c>
      <c r="F3655" t="s">
        <v>47</v>
      </c>
      <c r="G3655">
        <v>-195.79990000000001</v>
      </c>
      <c r="H3655" s="1">
        <v>4.0309139999999998E-6</v>
      </c>
      <c r="I3655">
        <v>207.13140000000001</v>
      </c>
      <c r="J3655">
        <v>-208.79900000000001</v>
      </c>
      <c r="K3655">
        <v>1.1164480000000001</v>
      </c>
      <c r="L3655">
        <v>213.64019999999999</v>
      </c>
      <c r="M3655">
        <v>0.9948996</v>
      </c>
      <c r="N3655">
        <v>-1.4775E-2</v>
      </c>
      <c r="O3655">
        <v>-9.978236E-2</v>
      </c>
      <c r="P3655">
        <v>0.9192072</v>
      </c>
      <c r="Q3655">
        <v>0.157935299999999</v>
      </c>
      <c r="R3655">
        <v>-0.36071429999999999</v>
      </c>
      <c r="S3655">
        <v>2.7735439999999998</v>
      </c>
      <c r="T3655">
        <v>-0.2322718</v>
      </c>
      <c r="U3655">
        <v>-1.3617859999999999</v>
      </c>
      <c r="V3655">
        <v>0.269198299999999</v>
      </c>
      <c r="W3655">
        <v>0.16879079999999999</v>
      </c>
      <c r="X3655">
        <v>0.94817819999999997</v>
      </c>
      <c r="Y3655">
        <v>0.34796579999999999</v>
      </c>
      <c r="Z3655">
        <v>-1.004289E-2</v>
      </c>
      <c r="AA3655">
        <v>0.93745339999999999</v>
      </c>
      <c r="AB3655">
        <v>34</v>
      </c>
      <c r="AC3655">
        <v>12.9991</v>
      </c>
      <c r="AD3655">
        <v>-1.116443969086</v>
      </c>
      <c r="AE3655">
        <v>-6.5087999999999804</v>
      </c>
      <c r="AF3655">
        <v>5.1487207635539001</v>
      </c>
      <c r="AG3655">
        <v>-1.116443969086</v>
      </c>
      <c r="AH3655">
        <v>13.504100866157501</v>
      </c>
      <c r="AI3655">
        <v>94.417329484664606</v>
      </c>
      <c r="AJ3655">
        <v>69.129606428808103</v>
      </c>
      <c r="AK3655">
        <v>14.495396263659501</v>
      </c>
      <c r="AL3655">
        <v>80.282478732361795</v>
      </c>
      <c r="AM3655">
        <v>74.150167987428404</v>
      </c>
      <c r="AN3655">
        <v>0.99999997892138404</v>
      </c>
    </row>
    <row r="3656" spans="1:40" x14ac:dyDescent="0.25">
      <c r="A3656" t="str">
        <f>"20190303162853187"</f>
        <v>20190303162853187</v>
      </c>
      <c r="B3656" t="str">
        <f>"1551601733174957"</f>
        <v>1551601733174957</v>
      </c>
      <c r="C3656" t="s">
        <v>40</v>
      </c>
      <c r="D3656">
        <v>4.7690830000000002</v>
      </c>
      <c r="E3656">
        <v>0.54128980000000004</v>
      </c>
      <c r="F3656" t="s">
        <v>47</v>
      </c>
      <c r="G3656">
        <v>-195.6396</v>
      </c>
      <c r="H3656" s="1">
        <v>4.0970379999999997E-6</v>
      </c>
      <c r="I3656">
        <v>206.98910000000001</v>
      </c>
      <c r="J3656">
        <v>-208.45590000000001</v>
      </c>
      <c r="K3656">
        <v>1.1164510000000001</v>
      </c>
      <c r="L3656">
        <v>213.60040000000001</v>
      </c>
      <c r="M3656">
        <v>0.99434820000000002</v>
      </c>
      <c r="N3656">
        <v>-1.477855E-2</v>
      </c>
      <c r="O3656">
        <v>-0.10513459999999999</v>
      </c>
      <c r="P3656">
        <v>0.9144835</v>
      </c>
      <c r="Q3656">
        <v>0.15808729999999999</v>
      </c>
      <c r="R3656">
        <v>-0.37246259999999998</v>
      </c>
      <c r="S3656">
        <v>2.7570190000000001</v>
      </c>
      <c r="T3656">
        <v>-0.23390639999999999</v>
      </c>
      <c r="U3656">
        <v>-1.393478</v>
      </c>
      <c r="V3656">
        <v>0.2762599</v>
      </c>
      <c r="W3656">
        <v>0.1688326</v>
      </c>
      <c r="X3656">
        <v>0.94613740000000002</v>
      </c>
      <c r="Y3656">
        <v>0.35373470000000001</v>
      </c>
      <c r="Z3656">
        <v>-1.0038210000000001E-2</v>
      </c>
      <c r="AA3656">
        <v>0.93529189999999995</v>
      </c>
      <c r="AB3656">
        <v>34</v>
      </c>
      <c r="AC3656">
        <v>12.8163</v>
      </c>
      <c r="AD3656">
        <v>-1.1164469029620001</v>
      </c>
      <c r="AE3656">
        <v>-6.6113</v>
      </c>
      <c r="AF3656">
        <v>5.1959265398241303</v>
      </c>
      <c r="AG3656">
        <v>-1.1164469029620001</v>
      </c>
      <c r="AH3656">
        <v>13.3603333629703</v>
      </c>
      <c r="AI3656">
        <v>94.453311422955906</v>
      </c>
      <c r="AJ3656">
        <v>68.748595463709293</v>
      </c>
      <c r="AK3656">
        <v>14.378547001143099</v>
      </c>
      <c r="AL3656">
        <v>80.280048901438505</v>
      </c>
      <c r="AM3656">
        <v>73.7228775268741</v>
      </c>
      <c r="AN3656">
        <v>0.99999997942476404</v>
      </c>
    </row>
    <row r="3657" spans="1:40" x14ac:dyDescent="0.25">
      <c r="A3657" t="str">
        <f>"20190303162853211"</f>
        <v>20190303162853211</v>
      </c>
      <c r="B3657" t="str">
        <f>"1551601733205091"</f>
        <v>1551601733205091</v>
      </c>
      <c r="C3657" t="s">
        <v>40</v>
      </c>
      <c r="D3657">
        <v>4.7793080000000003</v>
      </c>
      <c r="E3657">
        <v>0.54067919999999903</v>
      </c>
      <c r="F3657" t="s">
        <v>47</v>
      </c>
      <c r="G3657">
        <v>-195.32740000000001</v>
      </c>
      <c r="H3657" s="1">
        <v>4.222483E-6</v>
      </c>
      <c r="I3657">
        <v>206.7765</v>
      </c>
      <c r="J3657">
        <v>-208.0873</v>
      </c>
      <c r="K3657">
        <v>1.116457</v>
      </c>
      <c r="L3657">
        <v>213.5556</v>
      </c>
      <c r="M3657">
        <v>0.99372609999999995</v>
      </c>
      <c r="N3657">
        <v>-1.4781239999999999E-2</v>
      </c>
      <c r="O3657">
        <v>-0.110861</v>
      </c>
      <c r="P3657">
        <v>0.9097807</v>
      </c>
      <c r="Q3657">
        <v>0.158159299999999</v>
      </c>
      <c r="R3657">
        <v>-0.38377719999999999</v>
      </c>
      <c r="S3657">
        <v>2.7406160000000002</v>
      </c>
      <c r="T3657">
        <v>-0.23306080000000001</v>
      </c>
      <c r="U3657">
        <v>-1.424515</v>
      </c>
      <c r="V3657">
        <v>0.28255479999999999</v>
      </c>
      <c r="W3657">
        <v>0.16881009999999999</v>
      </c>
      <c r="X3657">
        <v>0.94428060000000003</v>
      </c>
      <c r="Y3657">
        <v>0.35896729999999999</v>
      </c>
      <c r="Z3657">
        <v>-9.9211209999999998E-3</v>
      </c>
      <c r="AA3657">
        <v>0.93329740000000005</v>
      </c>
      <c r="AB3657">
        <v>34</v>
      </c>
      <c r="AC3657">
        <v>12.759899999999901</v>
      </c>
      <c r="AD3657">
        <v>-1.1164527775169999</v>
      </c>
      <c r="AE3657">
        <v>-6.7790999999999997</v>
      </c>
      <c r="AF3657">
        <v>5.2909844853116601</v>
      </c>
      <c r="AG3657">
        <v>-1.1164527775169999</v>
      </c>
      <c r="AH3657">
        <v>13.3531248788518</v>
      </c>
      <c r="AI3657">
        <v>94.444680060097696</v>
      </c>
      <c r="AJ3657">
        <v>68.384762365233001</v>
      </c>
      <c r="AK3657">
        <v>14.4064890816064</v>
      </c>
      <c r="AL3657">
        <v>80.281356621363798</v>
      </c>
      <c r="AM3657">
        <v>73.341366532121498</v>
      </c>
      <c r="AN3657">
        <v>0.99999995820070398</v>
      </c>
    </row>
    <row r="3658" spans="1:40" x14ac:dyDescent="0.25">
      <c r="A3658" t="str">
        <f>"20190303162853232"</f>
        <v>20190303162853232</v>
      </c>
      <c r="B3658" t="str">
        <f>"1551601733225587"</f>
        <v>1551601733225587</v>
      </c>
      <c r="C3658" t="s">
        <v>40</v>
      </c>
      <c r="D3658">
        <v>4.7623340000000001</v>
      </c>
      <c r="E3658">
        <v>0.54001409999999905</v>
      </c>
      <c r="F3658" t="s">
        <v>47</v>
      </c>
      <c r="G3658">
        <v>-194.99109999999999</v>
      </c>
      <c r="H3658" s="1">
        <v>4.3674169999999997E-6</v>
      </c>
      <c r="I3658">
        <v>206.57740000000001</v>
      </c>
      <c r="J3658">
        <v>-207.77109999999999</v>
      </c>
      <c r="K3658">
        <v>1.1164750000000001</v>
      </c>
      <c r="L3658">
        <v>213.5154</v>
      </c>
      <c r="M3658">
        <v>0.99316780000000005</v>
      </c>
      <c r="N3658">
        <v>-1.478286E-2</v>
      </c>
      <c r="O3658">
        <v>-0.1157545</v>
      </c>
      <c r="P3658">
        <v>0.90560490000000005</v>
      </c>
      <c r="Q3658">
        <v>0.15806529999999999</v>
      </c>
      <c r="R3658">
        <v>-0.39356730000000001</v>
      </c>
      <c r="S3658">
        <v>2.725311</v>
      </c>
      <c r="T3658">
        <v>-0.23233210000000001</v>
      </c>
      <c r="U3658">
        <v>-1.452148</v>
      </c>
      <c r="V3658">
        <v>0.28809119999999999</v>
      </c>
      <c r="W3658">
        <v>0.1686319</v>
      </c>
      <c r="X3658">
        <v>0.94263819999999998</v>
      </c>
      <c r="Y3658">
        <v>0.36390499999999998</v>
      </c>
      <c r="Z3658">
        <v>-9.8455890000000001E-3</v>
      </c>
      <c r="AA3658">
        <v>0.93138399999999999</v>
      </c>
      <c r="AB3658">
        <v>34</v>
      </c>
      <c r="AC3658">
        <v>12.78</v>
      </c>
      <c r="AD3658">
        <v>-1.1164706325830001</v>
      </c>
      <c r="AE3658">
        <v>-6.9379999999999802</v>
      </c>
      <c r="AF3658">
        <v>5.3801333025253504</v>
      </c>
      <c r="AG3658">
        <v>-1.1164706325830001</v>
      </c>
      <c r="AH3658">
        <v>13.4181693036923</v>
      </c>
      <c r="AI3658">
        <v>94.416139226176895</v>
      </c>
      <c r="AJ3658">
        <v>68.151247367370601</v>
      </c>
      <c r="AK3658">
        <v>14.4996416676038</v>
      </c>
      <c r="AL3658">
        <v>80.291715805339507</v>
      </c>
      <c r="AM3658">
        <v>73.005682194636293</v>
      </c>
      <c r="AN3658">
        <v>1.0000000166571399</v>
      </c>
    </row>
    <row r="3659" spans="1:40" x14ac:dyDescent="0.25">
      <c r="A3659" t="str">
        <f>"20190303162853254"</f>
        <v>20190303162853254</v>
      </c>
      <c r="B3659" t="str">
        <f>"1551601733245107"</f>
        <v>1551601733245107</v>
      </c>
      <c r="C3659" t="s">
        <v>40</v>
      </c>
      <c r="D3659">
        <v>4.7048680000000003</v>
      </c>
      <c r="E3659">
        <v>0.53926969999999996</v>
      </c>
      <c r="F3659" t="s">
        <v>47</v>
      </c>
      <c r="G3659">
        <v>-194.70249999999999</v>
      </c>
      <c r="H3659" s="1">
        <v>4.4926659999999997E-6</v>
      </c>
      <c r="I3659">
        <v>206.4041</v>
      </c>
      <c r="J3659">
        <v>-207.441</v>
      </c>
      <c r="K3659">
        <v>1.1164879999999999</v>
      </c>
      <c r="L3659">
        <v>213.4718</v>
      </c>
      <c r="M3659">
        <v>0.99256040000000001</v>
      </c>
      <c r="N3659">
        <v>-1.478409E-2</v>
      </c>
      <c r="O3659">
        <v>-0.12085319999999999</v>
      </c>
      <c r="P3659">
        <v>0.90037900000000004</v>
      </c>
      <c r="Q3659">
        <v>0.15683339999999901</v>
      </c>
      <c r="R3659">
        <v>-0.40585850000000001</v>
      </c>
      <c r="S3659">
        <v>2.7118380000000002</v>
      </c>
      <c r="T3659">
        <v>-0.2316754</v>
      </c>
      <c r="U3659">
        <v>-1.4756469999999999</v>
      </c>
      <c r="V3659">
        <v>0.29604979999999997</v>
      </c>
      <c r="W3659">
        <v>0.16727719999999999</v>
      </c>
      <c r="X3659">
        <v>0.940411</v>
      </c>
      <c r="Y3659">
        <v>0.36728929999999999</v>
      </c>
      <c r="Z3659">
        <v>-9.6827719999999992E-3</v>
      </c>
      <c r="AA3659">
        <v>0.93005629999999995</v>
      </c>
      <c r="AB3659">
        <v>34</v>
      </c>
      <c r="AC3659">
        <v>12.738499999999901</v>
      </c>
      <c r="AD3659">
        <v>-1.11648350733399</v>
      </c>
      <c r="AE3659">
        <v>-7.0677000000000003</v>
      </c>
      <c r="AF3659">
        <v>5.4442504579267403</v>
      </c>
      <c r="AG3659">
        <v>-1.11648350733399</v>
      </c>
      <c r="AH3659">
        <v>13.420530032353801</v>
      </c>
      <c r="AI3659">
        <v>94.408241018605395</v>
      </c>
      <c r="AJ3659">
        <v>67.919286553631395</v>
      </c>
      <c r="AK3659">
        <v>14.5257366360572</v>
      </c>
      <c r="AL3659">
        <v>80.370452695860706</v>
      </c>
      <c r="AM3659">
        <v>72.525531444196304</v>
      </c>
      <c r="AN3659">
        <v>0.99999999732043898</v>
      </c>
    </row>
    <row r="3660" spans="1:40" x14ac:dyDescent="0.25">
      <c r="A3660" t="str">
        <f>"20190303162853290"</f>
        <v>20190303162853290</v>
      </c>
      <c r="B3660" t="str">
        <f>"1551601733275363"</f>
        <v>1551601733275363</v>
      </c>
      <c r="C3660" t="s">
        <v>40</v>
      </c>
      <c r="D3660">
        <v>4.626646</v>
      </c>
      <c r="E3660">
        <v>0.53816009999999903</v>
      </c>
      <c r="F3660" t="s">
        <v>47</v>
      </c>
      <c r="G3660">
        <v>-194.6824</v>
      </c>
      <c r="H3660" s="1">
        <v>4.5150620000000004E-6</v>
      </c>
      <c r="I3660">
        <v>206.35329999999999</v>
      </c>
      <c r="J3660">
        <v>-206.92179999999999</v>
      </c>
      <c r="K3660">
        <v>1.1164540000000001</v>
      </c>
      <c r="L3660">
        <v>213.3998</v>
      </c>
      <c r="M3660">
        <v>0.99154699999999996</v>
      </c>
      <c r="N3660">
        <v>-1.478612E-2</v>
      </c>
      <c r="O3660">
        <v>-0.12890370000000001</v>
      </c>
      <c r="P3660">
        <v>0.89477839999999997</v>
      </c>
      <c r="Q3660">
        <v>0.15314539999999999</v>
      </c>
      <c r="R3660">
        <v>-0.41942639999999998</v>
      </c>
      <c r="S3660">
        <v>2.6951749999999999</v>
      </c>
      <c r="T3660">
        <v>-0.23585059999999999</v>
      </c>
      <c r="U3660">
        <v>-1.503738</v>
      </c>
      <c r="V3660">
        <v>0.302527299999999</v>
      </c>
      <c r="W3660">
        <v>0.16348299999999999</v>
      </c>
      <c r="X3660">
        <v>0.93901570000000001</v>
      </c>
      <c r="Y3660">
        <v>0.36955329999999997</v>
      </c>
      <c r="Z3660">
        <v>-9.3778479999999994E-3</v>
      </c>
      <c r="AA3660">
        <v>0.92916220000000005</v>
      </c>
      <c r="AB3660">
        <v>34</v>
      </c>
      <c r="AC3660">
        <v>12.2393999999999</v>
      </c>
      <c r="AD3660">
        <v>-1.116449484938</v>
      </c>
      <c r="AE3660">
        <v>-7.0465</v>
      </c>
      <c r="AF3660">
        <v>5.3762251223430804</v>
      </c>
      <c r="AG3660">
        <v>-1.116449484938</v>
      </c>
      <c r="AH3660">
        <v>12.964664839653899</v>
      </c>
      <c r="AI3660">
        <v>94.548101477939497</v>
      </c>
      <c r="AJ3660">
        <v>67.477049683826905</v>
      </c>
      <c r="AK3660">
        <v>14.079516697070501</v>
      </c>
      <c r="AL3660">
        <v>80.5908795474882</v>
      </c>
      <c r="AM3660">
        <v>72.142361698632996</v>
      </c>
      <c r="AN3660">
        <v>0.99999997169038901</v>
      </c>
    </row>
    <row r="3661" spans="1:40" x14ac:dyDescent="0.25">
      <c r="A3661" t="str">
        <f>"20190303162853312"</f>
        <v>20190303162853312</v>
      </c>
      <c r="B3661" t="str">
        <f>"1551601733305192"</f>
        <v>1551601733305192</v>
      </c>
      <c r="C3661" t="s">
        <v>40</v>
      </c>
      <c r="D3661">
        <v>4.6473079999999998</v>
      </c>
      <c r="E3661">
        <v>0.5094919</v>
      </c>
      <c r="F3661" t="s">
        <v>47</v>
      </c>
      <c r="G3661">
        <v>-194.71180000000001</v>
      </c>
      <c r="H3661" s="1">
        <v>4.4905919999999996E-6</v>
      </c>
      <c r="I3661">
        <v>206.4042</v>
      </c>
      <c r="J3661">
        <v>-206.58439999999999</v>
      </c>
      <c r="K3661">
        <v>1.116414</v>
      </c>
      <c r="L3661">
        <v>213.35059999999999</v>
      </c>
      <c r="M3661">
        <v>0.99084380000000005</v>
      </c>
      <c r="N3661">
        <v>-1.4788539999999999E-2</v>
      </c>
      <c r="O3661">
        <v>-0.13420099999999999</v>
      </c>
      <c r="P3661">
        <v>0.89205049999999997</v>
      </c>
      <c r="Q3661">
        <v>0.15043970000000001</v>
      </c>
      <c r="R3661">
        <v>-0.42616229999999999</v>
      </c>
      <c r="S3661">
        <v>2.6759949999999999</v>
      </c>
      <c r="T3661">
        <v>-0.2446854</v>
      </c>
      <c r="U3661">
        <v>-1.533188</v>
      </c>
      <c r="V3661">
        <v>0.30451329999999999</v>
      </c>
      <c r="W3661">
        <v>0.1607295</v>
      </c>
      <c r="X3661">
        <v>0.93884909999999999</v>
      </c>
      <c r="Y3661">
        <v>0.37506679999999998</v>
      </c>
      <c r="Z3661">
        <v>-9.4893570000000003E-3</v>
      </c>
      <c r="AA3661">
        <v>0.92694920000000003</v>
      </c>
      <c r="AB3661">
        <v>34</v>
      </c>
      <c r="AC3661">
        <v>11.872599999999901</v>
      </c>
      <c r="AD3661">
        <v>-1.116409509408</v>
      </c>
      <c r="AE3661">
        <v>-6.9463999999999801</v>
      </c>
      <c r="AF3661">
        <v>5.2554423452950898</v>
      </c>
      <c r="AG3661">
        <v>-1.116409509408</v>
      </c>
      <c r="AH3661">
        <v>12.614400690370701</v>
      </c>
      <c r="AI3661">
        <v>94.670472673829494</v>
      </c>
      <c r="AJ3661">
        <v>67.382294426378095</v>
      </c>
      <c r="AK3661">
        <v>13.7109135076639</v>
      </c>
      <c r="AL3661">
        <v>80.750758254245298</v>
      </c>
      <c r="AM3661">
        <v>72.029662007887794</v>
      </c>
      <c r="AN3661">
        <v>0.99999997730897405</v>
      </c>
    </row>
    <row r="3662" spans="1:40" x14ac:dyDescent="0.25">
      <c r="A3662" t="str">
        <f>"20190303162853333"</f>
        <v>20190303162853333</v>
      </c>
      <c r="B3662" t="str">
        <f>"1551601733325687"</f>
        <v>1551601733325687</v>
      </c>
      <c r="C3662" t="s">
        <v>40</v>
      </c>
      <c r="D3662">
        <v>4.692361</v>
      </c>
      <c r="E3662">
        <v>0.45833580000000002</v>
      </c>
      <c r="F3662" t="s">
        <v>47</v>
      </c>
      <c r="G3662">
        <v>-195.81659999999999</v>
      </c>
      <c r="H3662" s="1">
        <v>3.7687879999999999E-6</v>
      </c>
      <c r="I3662">
        <v>208.11009999999999</v>
      </c>
      <c r="J3662">
        <v>-206.2576</v>
      </c>
      <c r="K3662">
        <v>1.1163590000000001</v>
      </c>
      <c r="L3662">
        <v>213.30109999999999</v>
      </c>
      <c r="M3662">
        <v>0.99012359999999999</v>
      </c>
      <c r="N3662">
        <v>-1.4792090000000001E-2</v>
      </c>
      <c r="O3662">
        <v>-0.1394135</v>
      </c>
      <c r="P3662">
        <v>0.88945669999999899</v>
      </c>
      <c r="Q3662">
        <v>0.1490272</v>
      </c>
      <c r="R3662">
        <v>-0.4320388</v>
      </c>
      <c r="S3662">
        <v>2.7678829999999999</v>
      </c>
      <c r="T3662">
        <v>-0.28697610000000001</v>
      </c>
      <c r="U3662">
        <v>-1.3470759999999999</v>
      </c>
      <c r="V3662">
        <v>0.30573979999999901</v>
      </c>
      <c r="W3662">
        <v>0.15926609999999999</v>
      </c>
      <c r="X3662">
        <v>0.93869990000000003</v>
      </c>
      <c r="Y3662">
        <v>0.30686210000000003</v>
      </c>
      <c r="Z3662">
        <v>-5.881809E-3</v>
      </c>
      <c r="AA3662">
        <v>0.95173580000000002</v>
      </c>
      <c r="AB3662">
        <v>34</v>
      </c>
      <c r="AC3662">
        <v>10.441000000000001</v>
      </c>
      <c r="AD3662">
        <v>-1.116355231212</v>
      </c>
      <c r="AE3662">
        <v>-5.1909999999999998</v>
      </c>
      <c r="AF3662">
        <v>3.6510525997072101</v>
      </c>
      <c r="AG3662">
        <v>-1.116355231212</v>
      </c>
      <c r="AH3662">
        <v>10.962305187375399</v>
      </c>
      <c r="AI3662">
        <v>95.518673340297397</v>
      </c>
      <c r="AJ3662">
        <v>71.579395344417406</v>
      </c>
      <c r="AK3662">
        <v>11.6081251332521</v>
      </c>
      <c r="AL3662">
        <v>80.835699464267194</v>
      </c>
      <c r="AM3662">
        <v>71.959281107704697</v>
      </c>
      <c r="AN3662">
        <v>1.0000000090866299</v>
      </c>
    </row>
    <row r="3663" spans="1:40" x14ac:dyDescent="0.25">
      <c r="A3663" t="str">
        <f>"20190303162853355"</f>
        <v>20190303162853355</v>
      </c>
      <c r="B3663" t="str">
        <f>"1551601733345208"</f>
        <v>1551601733345208</v>
      </c>
      <c r="C3663" t="s">
        <v>40</v>
      </c>
      <c r="D3663">
        <v>4.6383409999999996</v>
      </c>
      <c r="E3663">
        <v>0.44953589999999999</v>
      </c>
      <c r="F3663" t="s">
        <v>44</v>
      </c>
      <c r="G3663">
        <v>-205.45429999999999</v>
      </c>
      <c r="H3663">
        <v>0.92771009999999998</v>
      </c>
      <c r="I3663">
        <v>213.03380000000001</v>
      </c>
      <c r="J3663">
        <v>-205.91589999999999</v>
      </c>
      <c r="K3663">
        <v>1.1162570000000001</v>
      </c>
      <c r="L3663">
        <v>213.2474</v>
      </c>
      <c r="M3663">
        <v>0.9893189</v>
      </c>
      <c r="N3663">
        <v>-1.479742E-2</v>
      </c>
      <c r="O3663">
        <v>-0.14501530000000001</v>
      </c>
      <c r="P3663">
        <v>0.88619479999999995</v>
      </c>
      <c r="Q3663">
        <v>0.14828959999999999</v>
      </c>
      <c r="R3663">
        <v>-0.43894139999999998</v>
      </c>
      <c r="S3663">
        <v>3.0054630000000002</v>
      </c>
      <c r="T3663">
        <v>-0.70570659999999996</v>
      </c>
      <c r="U3663">
        <v>-0.99981690000000001</v>
      </c>
      <c r="V3663">
        <v>0.30773709999999999</v>
      </c>
      <c r="W3663">
        <v>0.15843470000000001</v>
      </c>
      <c r="X3663">
        <v>0.93818780000000002</v>
      </c>
      <c r="Y3663">
        <v>0.1732717</v>
      </c>
      <c r="Z3663">
        <v>9.4906220000000006E-3</v>
      </c>
      <c r="AA3663">
        <v>0.98482840000000005</v>
      </c>
      <c r="AB3663">
        <v>34</v>
      </c>
      <c r="AC3663">
        <v>0.46160000000000401</v>
      </c>
      <c r="AD3663">
        <v>-0.18854689999999999</v>
      </c>
      <c r="AE3663">
        <v>-0.213599999999985</v>
      </c>
      <c r="AF3663">
        <v>0.12695004088065701</v>
      </c>
      <c r="AG3663">
        <v>-0.18854689999999999</v>
      </c>
      <c r="AH3663">
        <v>0.428776633524038</v>
      </c>
      <c r="AI3663">
        <v>112.862225650726</v>
      </c>
      <c r="AJ3663">
        <v>73.507295472470105</v>
      </c>
      <c r="AK3663">
        <v>0.48529954444179901</v>
      </c>
      <c r="AL3663">
        <v>80.883947832926793</v>
      </c>
      <c r="AM3663">
        <v>71.839875352747001</v>
      </c>
      <c r="AN3663">
        <v>1.00000001247467</v>
      </c>
    </row>
    <row r="3664" spans="1:40" x14ac:dyDescent="0.25">
      <c r="A3664" t="str">
        <f>"20190303162853377"</f>
        <v>20190303162853377</v>
      </c>
      <c r="B3664" t="str">
        <f>"1551601733365704"</f>
        <v>1551601733365704</v>
      </c>
      <c r="C3664" t="s">
        <v>40</v>
      </c>
      <c r="D3664">
        <v>4.5633819999999998</v>
      </c>
      <c r="E3664">
        <v>0.4482275</v>
      </c>
      <c r="F3664" t="s">
        <v>44</v>
      </c>
      <c r="G3664">
        <v>-205.15620000000001</v>
      </c>
      <c r="H3664">
        <v>0.92120959999999996</v>
      </c>
      <c r="I3664">
        <v>213.00659999999999</v>
      </c>
      <c r="J3664">
        <v>-205.58969999999999</v>
      </c>
      <c r="K3664">
        <v>1.1161239999999999</v>
      </c>
      <c r="L3664">
        <v>213.19399999999999</v>
      </c>
      <c r="M3664">
        <v>0.98848910000000001</v>
      </c>
      <c r="N3664">
        <v>-1.480594E-2</v>
      </c>
      <c r="O3664">
        <v>-0.1505668</v>
      </c>
      <c r="P3664">
        <v>0.88283250000000002</v>
      </c>
      <c r="Q3664">
        <v>0.14809430000000001</v>
      </c>
      <c r="R3664">
        <v>-0.44573010000000002</v>
      </c>
      <c r="S3664">
        <v>3.038834</v>
      </c>
      <c r="T3664">
        <v>-0.78021870000000004</v>
      </c>
      <c r="U3664">
        <v>-0.96298220000000001</v>
      </c>
      <c r="V3664">
        <v>0.30971769999999998</v>
      </c>
      <c r="W3664">
        <v>0.15811739999999999</v>
      </c>
      <c r="X3664">
        <v>0.93758929999999996</v>
      </c>
      <c r="Y3664">
        <v>0.1541766</v>
      </c>
      <c r="Z3664">
        <v>1.446998E-2</v>
      </c>
      <c r="AA3664">
        <v>0.98793730000000002</v>
      </c>
      <c r="AB3664">
        <v>34</v>
      </c>
      <c r="AC3664">
        <v>0.43349999999998001</v>
      </c>
      <c r="AD3664">
        <v>-0.19491439999999999</v>
      </c>
      <c r="AE3664">
        <v>-0.18740000000002499</v>
      </c>
      <c r="AF3664">
        <v>0.10252219729505101</v>
      </c>
      <c r="AG3664">
        <v>-0.19491439999999999</v>
      </c>
      <c r="AH3664">
        <v>0.39029539932080998</v>
      </c>
      <c r="AI3664">
        <v>115.78129256299501</v>
      </c>
      <c r="AJ3664">
        <v>75.282130269918994</v>
      </c>
      <c r="AK3664">
        <v>0.44814386417372298</v>
      </c>
      <c r="AL3664">
        <v>80.902359118644</v>
      </c>
      <c r="AM3664">
        <v>71.719850122841507</v>
      </c>
      <c r="AN3664">
        <v>0.99999993067526705</v>
      </c>
    </row>
    <row r="3665" spans="1:40" x14ac:dyDescent="0.25">
      <c r="A3665" t="str">
        <f>"20190303162853400"</f>
        <v>20190303162853400</v>
      </c>
      <c r="B3665" t="str">
        <f>"1551601733395595"</f>
        <v>1551601733395595</v>
      </c>
      <c r="C3665" t="s">
        <v>40</v>
      </c>
      <c r="D3665">
        <v>4.5974870000000001</v>
      </c>
      <c r="E3665">
        <v>0.44795770000000001</v>
      </c>
      <c r="F3665" t="s">
        <v>44</v>
      </c>
      <c r="G3665">
        <v>-204.85669999999999</v>
      </c>
      <c r="H3665">
        <v>0.92343589999999998</v>
      </c>
      <c r="I3665">
        <v>212.95689999999999</v>
      </c>
      <c r="J3665">
        <v>-205.2465</v>
      </c>
      <c r="K3665">
        <v>1.1159539999999999</v>
      </c>
      <c r="L3665">
        <v>213.13570000000001</v>
      </c>
      <c r="M3665">
        <v>0.98753800000000003</v>
      </c>
      <c r="N3665">
        <v>-1.4819560000000001E-2</v>
      </c>
      <c r="O3665">
        <v>-0.1566816</v>
      </c>
      <c r="P3665">
        <v>0.87975999999999999</v>
      </c>
      <c r="Q3665">
        <v>0.14964930000000001</v>
      </c>
      <c r="R3665">
        <v>-0.45125100000000001</v>
      </c>
      <c r="S3665">
        <v>3.0364529999999998</v>
      </c>
      <c r="T3665">
        <v>-0.79786769999999996</v>
      </c>
      <c r="U3665">
        <v>-0.98155210000000004</v>
      </c>
      <c r="V3665">
        <v>0.30992209999999998</v>
      </c>
      <c r="W3665">
        <v>0.15953629999999999</v>
      </c>
      <c r="X3665">
        <v>0.93728140000000004</v>
      </c>
      <c r="Y3665">
        <v>0.1539131</v>
      </c>
      <c r="Z3665">
        <v>1.6309130000000002E-2</v>
      </c>
      <c r="AA3665">
        <v>0.98794979999999999</v>
      </c>
      <c r="AB3665">
        <v>34</v>
      </c>
      <c r="AC3665">
        <v>0.38980000000000797</v>
      </c>
      <c r="AD3665">
        <v>-0.1925181</v>
      </c>
      <c r="AE3665">
        <v>-0.178800000000023</v>
      </c>
      <c r="AF3665">
        <v>9.6136127276870806E-2</v>
      </c>
      <c r="AG3665">
        <v>-0.1925181</v>
      </c>
      <c r="AH3665">
        <v>0.34373169517976798</v>
      </c>
      <c r="AI3665">
        <v>118.34169375542</v>
      </c>
      <c r="AJ3665">
        <v>74.374563925993996</v>
      </c>
      <c r="AK3665">
        <v>0.40553280023514898</v>
      </c>
      <c r="AL3665">
        <v>80.8200173744289</v>
      </c>
      <c r="AM3665">
        <v>71.702980361862998</v>
      </c>
      <c r="AN3665">
        <v>0.99999998093602904</v>
      </c>
    </row>
    <row r="3666" spans="1:40" x14ac:dyDescent="0.25">
      <c r="A3666" t="str">
        <f>"20190303162853422"</f>
        <v>20190303162853422</v>
      </c>
      <c r="B3666" t="str">
        <f>"1551601733415116"</f>
        <v>1551601733415116</v>
      </c>
      <c r="C3666" t="s">
        <v>40</v>
      </c>
      <c r="D3666">
        <v>4.6156509999999997</v>
      </c>
      <c r="E3666">
        <v>0.44777840000000002</v>
      </c>
      <c r="F3666" t="s">
        <v>44</v>
      </c>
      <c r="G3666">
        <v>-204.5549</v>
      </c>
      <c r="H3666">
        <v>0.93188459999999995</v>
      </c>
      <c r="I3666">
        <v>212.9051</v>
      </c>
      <c r="J3666">
        <v>-204.9195</v>
      </c>
      <c r="K3666">
        <v>1.115745</v>
      </c>
      <c r="L3666">
        <v>213.0778</v>
      </c>
      <c r="M3666">
        <v>0.98654180000000002</v>
      </c>
      <c r="N3666">
        <v>-1.483758E-2</v>
      </c>
      <c r="O3666">
        <v>-0.1628346</v>
      </c>
      <c r="P3666">
        <v>0.87661520000000004</v>
      </c>
      <c r="Q3666">
        <v>0.152686299999999</v>
      </c>
      <c r="R3666">
        <v>-0.45632539999999999</v>
      </c>
      <c r="S3666">
        <v>3.029099</v>
      </c>
      <c r="T3666">
        <v>-0.80624649999999998</v>
      </c>
      <c r="U3666">
        <v>-1.01004</v>
      </c>
      <c r="V3666">
        <v>0.30970819999999999</v>
      </c>
      <c r="W3666">
        <v>0.16241549999999999</v>
      </c>
      <c r="X3666">
        <v>0.93685750000000001</v>
      </c>
      <c r="Y3666">
        <v>0.1569014</v>
      </c>
      <c r="Z3666">
        <v>1.755812E-2</v>
      </c>
      <c r="AA3666">
        <v>0.98745819999999995</v>
      </c>
      <c r="AB3666">
        <v>34</v>
      </c>
      <c r="AC3666">
        <v>0.36459999999999498</v>
      </c>
      <c r="AD3666">
        <v>-0.18386040000000001</v>
      </c>
      <c r="AE3666">
        <v>-0.172699999999991</v>
      </c>
      <c r="AF3666">
        <v>9.1925690062790694E-2</v>
      </c>
      <c r="AG3666">
        <v>-0.18386040000000001</v>
      </c>
      <c r="AH3666">
        <v>0.321154205901442</v>
      </c>
      <c r="AI3666">
        <v>118.82818816819101</v>
      </c>
      <c r="AJ3666">
        <v>74.027005724098402</v>
      </c>
      <c r="AK3666">
        <v>0.38130696708802297</v>
      </c>
      <c r="AL3666">
        <v>80.652871331340506</v>
      </c>
      <c r="AM3666">
        <v>71.707045333670706</v>
      </c>
      <c r="AN3666">
        <v>0.99999996954686898</v>
      </c>
    </row>
    <row r="3667" spans="1:40" x14ac:dyDescent="0.25">
      <c r="A3667" t="str">
        <f>"20190303162853445"</f>
        <v>20190303162853445</v>
      </c>
      <c r="B3667" t="str">
        <f>"1551601733435612"</f>
        <v>1551601733435612</v>
      </c>
      <c r="C3667" t="s">
        <v>40</v>
      </c>
      <c r="D3667">
        <v>4.6612159999999996</v>
      </c>
      <c r="E3667">
        <v>0.4472545</v>
      </c>
      <c r="F3667" t="s">
        <v>44</v>
      </c>
      <c r="G3667">
        <v>-204.25389999999999</v>
      </c>
      <c r="H3667">
        <v>0.94027810000000001</v>
      </c>
      <c r="I3667">
        <v>212.84970000000001</v>
      </c>
      <c r="J3667">
        <v>-204.59190000000001</v>
      </c>
      <c r="K3667">
        <v>1.1154820000000001</v>
      </c>
      <c r="L3667">
        <v>213.0172</v>
      </c>
      <c r="M3667">
        <v>0.98543729999999996</v>
      </c>
      <c r="N3667">
        <v>-1.486144E-2</v>
      </c>
      <c r="O3667">
        <v>-0.16938889999999901</v>
      </c>
      <c r="P3667">
        <v>0.87277039999999995</v>
      </c>
      <c r="Q3667">
        <v>0.1550395</v>
      </c>
      <c r="R3667">
        <v>-0.46285539999999997</v>
      </c>
      <c r="S3667">
        <v>3.0222470000000001</v>
      </c>
      <c r="T3667">
        <v>-0.79652309999999904</v>
      </c>
      <c r="U3667">
        <v>-1.0349120000000001</v>
      </c>
      <c r="V3667">
        <v>0.31068689999999999</v>
      </c>
      <c r="W3667">
        <v>0.16456209999999999</v>
      </c>
      <c r="X3667">
        <v>0.93615859999999995</v>
      </c>
      <c r="Y3667">
        <v>0.15842989999999901</v>
      </c>
      <c r="Z3667">
        <v>1.863099E-2</v>
      </c>
      <c r="AA3667">
        <v>0.98719440000000003</v>
      </c>
      <c r="AB3667">
        <v>34</v>
      </c>
      <c r="AC3667">
        <v>0.33800000000002201</v>
      </c>
      <c r="AD3667">
        <v>-0.175203899999999</v>
      </c>
      <c r="AE3667">
        <v>-0.16749999999998899</v>
      </c>
      <c r="AF3667">
        <v>8.8687835702204704E-2</v>
      </c>
      <c r="AG3667">
        <v>-0.175203899999999</v>
      </c>
      <c r="AH3667">
        <v>0.29734775004872399</v>
      </c>
      <c r="AI3667">
        <v>119.450886444453</v>
      </c>
      <c r="AJ3667">
        <v>73.392103992874993</v>
      </c>
      <c r="AK3667">
        <v>0.356339196883797</v>
      </c>
      <c r="AL3667">
        <v>80.528202884271394</v>
      </c>
      <c r="AM3667">
        <v>71.640325301053906</v>
      </c>
      <c r="AN3667">
        <v>0.99999997947098895</v>
      </c>
    </row>
    <row r="3668" spans="1:40" x14ac:dyDescent="0.25">
      <c r="A3668" t="str">
        <f>"20190303162853466"</f>
        <v>20190303162853466</v>
      </c>
      <c r="B3668" t="str">
        <f>"1551601733455131"</f>
        <v>1551601733455131</v>
      </c>
      <c r="C3668" t="s">
        <v>40</v>
      </c>
      <c r="D3668">
        <v>4.7271150000000004</v>
      </c>
      <c r="E3668">
        <v>0.44706129999999999</v>
      </c>
      <c r="F3668" t="s">
        <v>44</v>
      </c>
      <c r="G3668">
        <v>-203.69380000000001</v>
      </c>
      <c r="H3668">
        <v>0.87991730000000001</v>
      </c>
      <c r="I3668">
        <v>212.70079999999999</v>
      </c>
      <c r="J3668">
        <v>-204.26429999999999</v>
      </c>
      <c r="K3668">
        <v>1.115194</v>
      </c>
      <c r="L3668">
        <v>212.9538</v>
      </c>
      <c r="M3668">
        <v>0.98421320000000001</v>
      </c>
      <c r="N3668">
        <v>-1.4891140000000001E-2</v>
      </c>
      <c r="O3668">
        <v>-0.1763604</v>
      </c>
      <c r="P3668">
        <v>0.86793989999999999</v>
      </c>
      <c r="Q3668">
        <v>0.15758629999999901</v>
      </c>
      <c r="R3668">
        <v>-0.4710068</v>
      </c>
      <c r="S3668">
        <v>3.0146790000000001</v>
      </c>
      <c r="T3668">
        <v>-0.79065680000000005</v>
      </c>
      <c r="U3668">
        <v>-1.061798</v>
      </c>
      <c r="V3668">
        <v>0.31307089999999999</v>
      </c>
      <c r="W3668">
        <v>0.16685449999999999</v>
      </c>
      <c r="X3668">
        <v>0.93495790000000001</v>
      </c>
      <c r="Y3668">
        <v>0.16018060000000001</v>
      </c>
      <c r="Z3668">
        <v>1.9846160000000002E-2</v>
      </c>
      <c r="AA3668">
        <v>0.98688819999999999</v>
      </c>
      <c r="AB3668">
        <v>34</v>
      </c>
      <c r="AC3668">
        <v>0.57049999999998102</v>
      </c>
      <c r="AD3668">
        <v>-0.23527670000000001</v>
      </c>
      <c r="AE3668">
        <v>-0.25300000000001399</v>
      </c>
      <c r="AF3668">
        <v>0.129940795423821</v>
      </c>
      <c r="AG3668">
        <v>-0.23527670000000001</v>
      </c>
      <c r="AH3668">
        <v>0.53074697417854499</v>
      </c>
      <c r="AI3668">
        <v>113.295597183181</v>
      </c>
      <c r="AJ3668">
        <v>76.243090702070603</v>
      </c>
      <c r="AK3668">
        <v>0.59492191628645397</v>
      </c>
      <c r="AL3668">
        <v>80.395017302735894</v>
      </c>
      <c r="AM3668">
        <v>71.486864434648197</v>
      </c>
      <c r="AN3668">
        <v>1.0000000436847301</v>
      </c>
    </row>
    <row r="3669" spans="1:40" x14ac:dyDescent="0.25">
      <c r="A3669" t="str">
        <f>"20190303162853490"</f>
        <v>20190303162853490</v>
      </c>
      <c r="B3669" t="str">
        <f>"1551601733485387"</f>
        <v>1551601733485387</v>
      </c>
      <c r="C3669" t="s">
        <v>40</v>
      </c>
      <c r="D3669">
        <v>4.716412</v>
      </c>
      <c r="E3669">
        <v>0.44643359999999899</v>
      </c>
      <c r="F3669" t="s">
        <v>44</v>
      </c>
      <c r="G3669">
        <v>-203.39670000000001</v>
      </c>
      <c r="H3669">
        <v>0.887042</v>
      </c>
      <c r="I3669">
        <v>212.6354</v>
      </c>
      <c r="J3669">
        <v>-203.91390000000001</v>
      </c>
      <c r="K3669">
        <v>1.114886</v>
      </c>
      <c r="L3669">
        <v>212.88300000000001</v>
      </c>
      <c r="M3669">
        <v>0.98277000000000003</v>
      </c>
      <c r="N3669">
        <v>-1.4926709999999999E-2</v>
      </c>
      <c r="O3669">
        <v>-0.18422949999999999</v>
      </c>
      <c r="P3669">
        <v>0.8619021</v>
      </c>
      <c r="Q3669">
        <v>0.16150020000000001</v>
      </c>
      <c r="R3669">
        <v>-0.48066930000000002</v>
      </c>
      <c r="S3669">
        <v>3.0021360000000001</v>
      </c>
      <c r="T3669">
        <v>-0.78924890000000003</v>
      </c>
      <c r="U3669">
        <v>-1.101334</v>
      </c>
      <c r="V3669">
        <v>0.31636170000000002</v>
      </c>
      <c r="W3669">
        <v>0.17048199999999999</v>
      </c>
      <c r="X3669">
        <v>0.93319399999999997</v>
      </c>
      <c r="Y3669">
        <v>0.1651222</v>
      </c>
      <c r="Z3669">
        <v>2.0971409999999999E-2</v>
      </c>
      <c r="AA3669">
        <v>0.98605010000000004</v>
      </c>
      <c r="AB3669">
        <v>33</v>
      </c>
      <c r="AC3669">
        <v>0.51720000000000199</v>
      </c>
      <c r="AD3669">
        <v>-0.22784399999999999</v>
      </c>
      <c r="AE3669">
        <v>-0.24759999999997701</v>
      </c>
      <c r="AF3669">
        <v>0.12787696374121399</v>
      </c>
      <c r="AG3669">
        <v>-0.22784399999999999</v>
      </c>
      <c r="AH3669">
        <v>0.47842874177040601</v>
      </c>
      <c r="AI3669">
        <v>114.70635167173999</v>
      </c>
      <c r="AJ3669">
        <v>75.035496716818002</v>
      </c>
      <c r="AK3669">
        <v>0.54512335039299697</v>
      </c>
      <c r="AL3669">
        <v>80.184154672492696</v>
      </c>
      <c r="AM3669">
        <v>71.272849149107699</v>
      </c>
      <c r="AN3669">
        <v>0.99999993959344302</v>
      </c>
    </row>
    <row r="3670" spans="1:40" x14ac:dyDescent="0.25">
      <c r="A3670" t="str">
        <f>"20190303162853512"</f>
        <v>20190303162853512</v>
      </c>
      <c r="B3670" t="str">
        <f>"1551601733504907"</f>
        <v>1551601733504907</v>
      </c>
      <c r="C3670" t="s">
        <v>40</v>
      </c>
      <c r="D3670">
        <v>4.8245769999999997</v>
      </c>
      <c r="E3670">
        <v>0.44693539999999998</v>
      </c>
      <c r="F3670" t="s">
        <v>44</v>
      </c>
      <c r="G3670">
        <v>-203.0966</v>
      </c>
      <c r="H3670">
        <v>0.90118770000000004</v>
      </c>
      <c r="I3670">
        <v>212.57140000000001</v>
      </c>
      <c r="J3670">
        <v>-203.58860000000001</v>
      </c>
      <c r="K3670">
        <v>1.1146020000000001</v>
      </c>
      <c r="L3670">
        <v>212.8143</v>
      </c>
      <c r="M3670">
        <v>0.98129489999999997</v>
      </c>
      <c r="N3670">
        <v>-1.4959449999999999E-2</v>
      </c>
      <c r="O3670">
        <v>-0.19192890000000001</v>
      </c>
      <c r="P3670">
        <v>0.85445369999999998</v>
      </c>
      <c r="Q3670">
        <v>0.16449269999999999</v>
      </c>
      <c r="R3670">
        <v>-0.4927995</v>
      </c>
      <c r="S3670">
        <v>2.9914860000000001</v>
      </c>
      <c r="T3670">
        <v>-0.78186489999999997</v>
      </c>
      <c r="U3670">
        <v>-1.139877</v>
      </c>
      <c r="V3670">
        <v>0.32252160000000002</v>
      </c>
      <c r="W3670">
        <v>0.1731394</v>
      </c>
      <c r="X3670">
        <v>0.93059259999999999</v>
      </c>
      <c r="Y3670">
        <v>0.16971449999999999</v>
      </c>
      <c r="Z3670">
        <v>2.1890369999999999E-2</v>
      </c>
      <c r="AA3670">
        <v>0.98525010000000002</v>
      </c>
      <c r="AB3670">
        <v>33</v>
      </c>
      <c r="AC3670">
        <v>0.49200000000001798</v>
      </c>
      <c r="AD3670">
        <v>-0.2134143</v>
      </c>
      <c r="AE3670">
        <v>-0.24289999999999101</v>
      </c>
      <c r="AF3670">
        <v>0.12502896065307101</v>
      </c>
      <c r="AG3670">
        <v>-0.2134143</v>
      </c>
      <c r="AH3670">
        <v>0.45990102044407999</v>
      </c>
      <c r="AI3670">
        <v>114.12241587535399</v>
      </c>
      <c r="AJ3670">
        <v>74.791111153955697</v>
      </c>
      <c r="AK3670">
        <v>0.52219426754033105</v>
      </c>
      <c r="AL3670">
        <v>80.029599272656199</v>
      </c>
      <c r="AM3670">
        <v>70.884881663316193</v>
      </c>
      <c r="AN3670">
        <v>1.0000000107368301</v>
      </c>
    </row>
    <row r="3671" spans="1:40" x14ac:dyDescent="0.25">
      <c r="A3671" t="str">
        <f>"20190303162853534"</f>
        <v>20190303162853534</v>
      </c>
      <c r="B3671" t="str">
        <f>"1551601733525404"</f>
        <v>1551601733525404</v>
      </c>
      <c r="C3671" t="s">
        <v>40</v>
      </c>
      <c r="D3671">
        <v>4.7706939999999998</v>
      </c>
      <c r="E3671">
        <v>0.49080299999999999</v>
      </c>
      <c r="F3671" t="s">
        <v>44</v>
      </c>
      <c r="G3671">
        <v>-202.80080000000001</v>
      </c>
      <c r="H3671">
        <v>0.9095799</v>
      </c>
      <c r="I3671">
        <v>212.49870000000001</v>
      </c>
      <c r="J3671">
        <v>-203.27289999999999</v>
      </c>
      <c r="K3671">
        <v>1.114309</v>
      </c>
      <c r="L3671">
        <v>212.74469999999999</v>
      </c>
      <c r="M3671">
        <v>0.97972239999999999</v>
      </c>
      <c r="N3671">
        <v>-1.499291E-2</v>
      </c>
      <c r="O3671">
        <v>-0.19979839999999999</v>
      </c>
      <c r="P3671">
        <v>0.84710099999999999</v>
      </c>
      <c r="Q3671">
        <v>0.16646089999999999</v>
      </c>
      <c r="R3671">
        <v>-0.50468869999999999</v>
      </c>
      <c r="S3671">
        <v>2.9731450000000001</v>
      </c>
      <c r="T3671">
        <v>-0.7736809</v>
      </c>
      <c r="U3671">
        <v>-1.1908719999999999</v>
      </c>
      <c r="V3671">
        <v>0.32829999999999998</v>
      </c>
      <c r="W3671">
        <v>0.1747716</v>
      </c>
      <c r="X3671">
        <v>0.92826399999999998</v>
      </c>
      <c r="Y3671">
        <v>0.17839720000000001</v>
      </c>
      <c r="Z3671">
        <v>2.2292929999999999E-2</v>
      </c>
      <c r="AA3671">
        <v>0.98370599999999997</v>
      </c>
      <c r="AB3671">
        <v>33</v>
      </c>
      <c r="AC3671">
        <v>0.47209999999998298</v>
      </c>
      <c r="AD3671">
        <v>-0.204729099999999</v>
      </c>
      <c r="AE3671">
        <v>-0.24599999999998001</v>
      </c>
      <c r="AF3671">
        <v>0.127801529598698</v>
      </c>
      <c r="AG3671">
        <v>-0.204729099999999</v>
      </c>
      <c r="AH3671">
        <v>0.445800916941131</v>
      </c>
      <c r="AI3671">
        <v>113.819374483179</v>
      </c>
      <c r="AJ3671">
        <v>74.003542191583705</v>
      </c>
      <c r="AK3671">
        <v>0.506937563118112</v>
      </c>
      <c r="AL3671">
        <v>79.934633366543196</v>
      </c>
      <c r="AM3671">
        <v>70.522792924010204</v>
      </c>
      <c r="AN3671">
        <v>1.00000002793127</v>
      </c>
    </row>
    <row r="3672" spans="1:40" x14ac:dyDescent="0.25">
      <c r="A3672" t="str">
        <f>"20190303162853556"</f>
        <v>20190303162853556</v>
      </c>
      <c r="B3672" t="str">
        <f>"1551601733544922"</f>
        <v>1551601733544922</v>
      </c>
      <c r="C3672" t="s">
        <v>40</v>
      </c>
      <c r="D3672">
        <v>4.7834000000000003</v>
      </c>
      <c r="E3672">
        <v>0.5600309</v>
      </c>
      <c r="F3672" t="s">
        <v>47</v>
      </c>
      <c r="G3672">
        <v>-197.67570000000001</v>
      </c>
      <c r="H3672" s="1">
        <v>3.0387830000000002E-6</v>
      </c>
      <c r="I3672">
        <v>209.63220000000001</v>
      </c>
      <c r="J3672">
        <v>-202.9419</v>
      </c>
      <c r="K3672">
        <v>1.1139779999999999</v>
      </c>
      <c r="L3672">
        <v>212.66849999999999</v>
      </c>
      <c r="M3672">
        <v>0.97790960000000005</v>
      </c>
      <c r="N3672">
        <v>-1.5033309999999999E-2</v>
      </c>
      <c r="O3672">
        <v>-0.20848720000000001</v>
      </c>
      <c r="P3672">
        <v>0.84033950000000002</v>
      </c>
      <c r="Q3672">
        <v>0.16784579999999999</v>
      </c>
      <c r="R3672">
        <v>-0.51541979999999998</v>
      </c>
      <c r="S3672">
        <v>2.740707</v>
      </c>
      <c r="T3672">
        <v>-0.5456297</v>
      </c>
      <c r="U3672">
        <v>-1.5240629999999999</v>
      </c>
      <c r="V3672">
        <v>0.33209689999999997</v>
      </c>
      <c r="W3672">
        <v>0.17583579999999999</v>
      </c>
      <c r="X3672">
        <v>0.92671110000000001</v>
      </c>
      <c r="Y3672">
        <v>0.29098309999999999</v>
      </c>
      <c r="Z3672">
        <v>5.5718109999999899E-3</v>
      </c>
      <c r="AA3672">
        <v>0.95671189999999995</v>
      </c>
      <c r="AB3672">
        <v>33</v>
      </c>
      <c r="AC3672">
        <v>5.2661999999999898</v>
      </c>
      <c r="AD3672">
        <v>-1.113974961217</v>
      </c>
      <c r="AE3672">
        <v>-3.0362999999999798</v>
      </c>
      <c r="AF3672">
        <v>1.8106953328537401</v>
      </c>
      <c r="AG3672">
        <v>-1.113974961217</v>
      </c>
      <c r="AH3672">
        <v>5.5956350488770097</v>
      </c>
      <c r="AI3672">
        <v>100.72530838018901</v>
      </c>
      <c r="AJ3672">
        <v>72.068902670411006</v>
      </c>
      <c r="AK3672">
        <v>5.98587415528071</v>
      </c>
      <c r="AL3672">
        <v>79.872700054527897</v>
      </c>
      <c r="AM3672">
        <v>70.284312556942595</v>
      </c>
      <c r="AN3672">
        <v>1.00000002120722</v>
      </c>
    </row>
    <row r="3673" spans="1:40" x14ac:dyDescent="0.25">
      <c r="A3673" t="str">
        <f>"20190303162853579"</f>
        <v>20190303162853579</v>
      </c>
      <c r="B3673" t="str">
        <f>"1551601733575179"</f>
        <v>1551601733575179</v>
      </c>
      <c r="C3673" t="s">
        <v>40</v>
      </c>
      <c r="D3673">
        <v>6.0755489999999996</v>
      </c>
      <c r="E3673">
        <v>0.5766559</v>
      </c>
      <c r="F3673" t="s">
        <v>41</v>
      </c>
      <c r="G3673">
        <v>-186.20089999999999</v>
      </c>
      <c r="H3673" s="1">
        <v>-4.488881E-6</v>
      </c>
      <c r="I3673">
        <v>198.5256</v>
      </c>
      <c r="J3673">
        <v>-202.6112</v>
      </c>
      <c r="K3673">
        <v>1.113629</v>
      </c>
      <c r="L3673">
        <v>212.5889</v>
      </c>
      <c r="M3673">
        <v>0.97591740000000005</v>
      </c>
      <c r="N3673">
        <v>-1.508001E-2</v>
      </c>
      <c r="O3673">
        <v>-0.2176189</v>
      </c>
      <c r="P3673">
        <v>0.83421749999999995</v>
      </c>
      <c r="Q3673">
        <v>0.16910739999999999</v>
      </c>
      <c r="R3673">
        <v>-0.52486560000000004</v>
      </c>
      <c r="S3673">
        <v>2.3722989999999999</v>
      </c>
      <c r="T3673">
        <v>-0.1578579</v>
      </c>
      <c r="U3673">
        <v>-2.0041350000000002</v>
      </c>
      <c r="V3673">
        <v>0.33412439999999999</v>
      </c>
      <c r="W3673">
        <v>0.17680370000000001</v>
      </c>
      <c r="X3673">
        <v>0.92579769999999995</v>
      </c>
      <c r="Y3673">
        <v>0.46299249999999997</v>
      </c>
      <c r="Z3673">
        <v>-8.0113179999999999E-3</v>
      </c>
      <c r="AA3673">
        <v>0.88632599999999995</v>
      </c>
      <c r="AB3673">
        <v>33</v>
      </c>
      <c r="AC3673">
        <v>16.410299999999999</v>
      </c>
      <c r="AD3673">
        <v>-1.113633488881</v>
      </c>
      <c r="AE3673">
        <v>-14.0632999999999</v>
      </c>
      <c r="AF3673">
        <v>10.1276904552969</v>
      </c>
      <c r="AG3673">
        <v>-1.113633488881</v>
      </c>
      <c r="AH3673">
        <v>19.0271838134931</v>
      </c>
      <c r="AI3673">
        <v>92.957587077242906</v>
      </c>
      <c r="AJ3673">
        <v>61.974752287902703</v>
      </c>
      <c r="AK3673">
        <v>21.583419964832402</v>
      </c>
      <c r="AL3673">
        <v>79.816360807927396</v>
      </c>
      <c r="AM3673">
        <v>70.155267203577296</v>
      </c>
      <c r="AN3673">
        <v>1.0000000221671601</v>
      </c>
    </row>
    <row r="3674" spans="1:40" x14ac:dyDescent="0.25">
      <c r="A3674" t="str">
        <f>"20190303162853602"</f>
        <v>20190303162853602</v>
      </c>
      <c r="B3674" t="str">
        <f>"1551601733595676"</f>
        <v>1551601733595676</v>
      </c>
      <c r="C3674" t="s">
        <v>40</v>
      </c>
      <c r="D3674">
        <v>4.8754150000000003</v>
      </c>
      <c r="E3674">
        <v>0.5789263</v>
      </c>
      <c r="F3674" t="s">
        <v>47</v>
      </c>
      <c r="G3674">
        <v>-190.53030000000001</v>
      </c>
      <c r="H3674" s="1">
        <v>7.2191619999999996E-6</v>
      </c>
      <c r="I3674">
        <v>201.2364</v>
      </c>
      <c r="J3674">
        <v>-202.27209999999999</v>
      </c>
      <c r="K3674">
        <v>1.113246</v>
      </c>
      <c r="L3674">
        <v>212.50360000000001</v>
      </c>
      <c r="M3674">
        <v>0.9736745</v>
      </c>
      <c r="N3674">
        <v>-1.5132700000000001E-2</v>
      </c>
      <c r="O3674">
        <v>-0.22744039999999999</v>
      </c>
      <c r="P3674">
        <v>0.82864230000000005</v>
      </c>
      <c r="Q3674">
        <v>0.16860320000000001</v>
      </c>
      <c r="R3674">
        <v>-0.53378359999999903</v>
      </c>
      <c r="S3674">
        <v>2.2868650000000001</v>
      </c>
      <c r="T3674">
        <v>-0.21080389999999999</v>
      </c>
      <c r="U3674">
        <v>-2.148987</v>
      </c>
      <c r="V3674">
        <v>0.33485910000000002</v>
      </c>
      <c r="W3674">
        <v>0.17602689999999999</v>
      </c>
      <c r="X3674">
        <v>0.92568019999999995</v>
      </c>
      <c r="Y3674">
        <v>0.50004219999999999</v>
      </c>
      <c r="Z3674">
        <v>-9.6435740000000002E-3</v>
      </c>
      <c r="AA3674">
        <v>0.86594740000000003</v>
      </c>
      <c r="AB3674">
        <v>33</v>
      </c>
      <c r="AC3674">
        <v>11.7417999999999</v>
      </c>
      <c r="AD3674">
        <v>-1.113238780838</v>
      </c>
      <c r="AE3674">
        <v>-11.267200000000001</v>
      </c>
      <c r="AF3674">
        <v>8.2623095793786501</v>
      </c>
      <c r="AG3674">
        <v>-1.113238780838</v>
      </c>
      <c r="AH3674">
        <v>13.931711789892899</v>
      </c>
      <c r="AI3674">
        <v>93.931706427325807</v>
      </c>
      <c r="AJ3674">
        <v>59.329611417625003</v>
      </c>
      <c r="AK3674">
        <v>16.235690732620402</v>
      </c>
      <c r="AL3674">
        <v>79.8615767121413</v>
      </c>
      <c r="AM3674">
        <v>70.112722027758494</v>
      </c>
      <c r="AN3674">
        <v>0.99999995952422904</v>
      </c>
    </row>
    <row r="3675" spans="1:40" x14ac:dyDescent="0.25">
      <c r="A3675" t="str">
        <f>"20190303162853623"</f>
        <v>20190303162853623</v>
      </c>
      <c r="B3675" t="str">
        <f>"1551601733615196"</f>
        <v>1551601733615196</v>
      </c>
      <c r="C3675" t="s">
        <v>40</v>
      </c>
      <c r="D3675">
        <v>4.913564</v>
      </c>
      <c r="E3675">
        <v>0.58021309999999904</v>
      </c>
      <c r="F3675" t="s">
        <v>47</v>
      </c>
      <c r="G3675">
        <v>-192.14150000000001</v>
      </c>
      <c r="H3675" s="1">
        <v>6.2813789999999997E-6</v>
      </c>
      <c r="I3675">
        <v>202.6765</v>
      </c>
      <c r="J3675">
        <v>-201.96889999999999</v>
      </c>
      <c r="K3675">
        <v>1.1129</v>
      </c>
      <c r="L3675">
        <v>212.4237</v>
      </c>
      <c r="M3675">
        <v>0.97147969999999895</v>
      </c>
      <c r="N3675">
        <v>-1.518298E-2</v>
      </c>
      <c r="O3675">
        <v>-0.23663619999999999</v>
      </c>
      <c r="P3675">
        <v>0.82401489999999999</v>
      </c>
      <c r="Q3675">
        <v>0.167376</v>
      </c>
      <c r="R3675">
        <v>-0.54128050000000005</v>
      </c>
      <c r="S3675">
        <v>2.2592159999999999</v>
      </c>
      <c r="T3675">
        <v>-0.24826119999999999</v>
      </c>
      <c r="U3675">
        <v>-2.191513</v>
      </c>
      <c r="V3675">
        <v>0.3345669</v>
      </c>
      <c r="W3675">
        <v>0.17458379999999901</v>
      </c>
      <c r="X3675">
        <v>0.92605910000000002</v>
      </c>
      <c r="Y3675">
        <v>0.50527500000000003</v>
      </c>
      <c r="Z3675">
        <v>-9.7159150000000003E-3</v>
      </c>
      <c r="AA3675">
        <v>0.86290370000000005</v>
      </c>
      <c r="AB3675">
        <v>33</v>
      </c>
      <c r="AC3675">
        <v>9.8273999999999795</v>
      </c>
      <c r="AD3675">
        <v>-1.1128937186209999</v>
      </c>
      <c r="AE3675">
        <v>-9.7471999999999905</v>
      </c>
      <c r="AF3675">
        <v>7.0986217681980301</v>
      </c>
      <c r="AG3675">
        <v>-1.1128937186209999</v>
      </c>
      <c r="AH3675">
        <v>11.7788801398787</v>
      </c>
      <c r="AI3675">
        <v>94.626451239012695</v>
      </c>
      <c r="AJ3675">
        <v>58.924447245764497</v>
      </c>
      <c r="AK3675">
        <v>13.7974990772426</v>
      </c>
      <c r="AL3675">
        <v>79.945561093193007</v>
      </c>
      <c r="AM3675">
        <v>70.136211064927096</v>
      </c>
      <c r="AN3675">
        <v>0.99999998524542999</v>
      </c>
    </row>
    <row r="3676" spans="1:40" x14ac:dyDescent="0.25">
      <c r="A3676" t="str">
        <f>"20190303162853646"</f>
        <v>20190303162853646</v>
      </c>
      <c r="B3676" t="str">
        <f>"1551601733635692"</f>
        <v>1551601733635692</v>
      </c>
      <c r="C3676" t="s">
        <v>40</v>
      </c>
      <c r="D3676">
        <v>4.8955729999999997</v>
      </c>
      <c r="E3676">
        <v>0.58145080000000005</v>
      </c>
      <c r="F3676" t="s">
        <v>47</v>
      </c>
      <c r="G3676">
        <v>-192.46250000000001</v>
      </c>
      <c r="H3676" s="1">
        <v>6.0874079999999997E-6</v>
      </c>
      <c r="I3676">
        <v>202.9836</v>
      </c>
      <c r="J3676">
        <v>-201.64349999999999</v>
      </c>
      <c r="K3676">
        <v>1.112538</v>
      </c>
      <c r="L3676">
        <v>212.3339</v>
      </c>
      <c r="M3676">
        <v>0.96890810000000005</v>
      </c>
      <c r="N3676">
        <v>-1.5239610000000001E-2</v>
      </c>
      <c r="O3676">
        <v>-0.2469508</v>
      </c>
      <c r="P3676">
        <v>0.81890059999999998</v>
      </c>
      <c r="Q3676">
        <v>0.16594130000000001</v>
      </c>
      <c r="R3676">
        <v>-0.54942239999999998</v>
      </c>
      <c r="S3676">
        <v>2.2355960000000001</v>
      </c>
      <c r="T3676">
        <v>-0.26171640000000002</v>
      </c>
      <c r="U3676">
        <v>-2.2200009999999999</v>
      </c>
      <c r="V3676">
        <v>0.33395059999999999</v>
      </c>
      <c r="W3676">
        <v>0.1729337</v>
      </c>
      <c r="X3676">
        <v>0.92659100000000005</v>
      </c>
      <c r="Y3676">
        <v>0.50611049999999902</v>
      </c>
      <c r="Z3676">
        <v>-9.1390140000000009E-3</v>
      </c>
      <c r="AA3676">
        <v>0.86242019999999997</v>
      </c>
      <c r="AB3676">
        <v>33</v>
      </c>
      <c r="AC3676">
        <v>9.1809999999999796</v>
      </c>
      <c r="AD3676">
        <v>-1.1125319125919999</v>
      </c>
      <c r="AE3676">
        <v>-9.3503000000000007</v>
      </c>
      <c r="AF3676">
        <v>6.7445020133406404</v>
      </c>
      <c r="AG3676">
        <v>-1.1125319125919999</v>
      </c>
      <c r="AH3676">
        <v>11.125718780404201</v>
      </c>
      <c r="AI3676">
        <v>94.887536399551607</v>
      </c>
      <c r="AJ3676">
        <v>58.775412641542403</v>
      </c>
      <c r="AK3676">
        <v>13.057857904156</v>
      </c>
      <c r="AL3676">
        <v>80.041565156460393</v>
      </c>
      <c r="AM3676">
        <v>70.180443130498503</v>
      </c>
      <c r="AN3676">
        <v>0.99999997455852396</v>
      </c>
    </row>
    <row r="3677" spans="1:40" x14ac:dyDescent="0.25">
      <c r="A3677" t="str">
        <f>"20190303162853668"</f>
        <v>20190303162853668</v>
      </c>
      <c r="B3677" t="str">
        <f>"1551601733664972"</f>
        <v>1551601733664972</v>
      </c>
      <c r="C3677" t="s">
        <v>40</v>
      </c>
      <c r="D3677">
        <v>4.8106099999999996</v>
      </c>
      <c r="E3677">
        <v>0.58304769999999995</v>
      </c>
      <c r="F3677" t="s">
        <v>47</v>
      </c>
      <c r="G3677">
        <v>-192.369</v>
      </c>
      <c r="H3677" s="1">
        <v>6.1460869999999998E-6</v>
      </c>
      <c r="I3677">
        <v>202.88800000000001</v>
      </c>
      <c r="J3677">
        <v>-201.31110000000001</v>
      </c>
      <c r="K3677">
        <v>1.112188</v>
      </c>
      <c r="L3677">
        <v>212.2379</v>
      </c>
      <c r="M3677">
        <v>0.96604869999999998</v>
      </c>
      <c r="N3677">
        <v>-1.5299419999999999E-2</v>
      </c>
      <c r="O3677">
        <v>-0.25790689999999999</v>
      </c>
      <c r="P3677">
        <v>0.81319680000000005</v>
      </c>
      <c r="Q3677">
        <v>0.1652892</v>
      </c>
      <c r="R3677">
        <v>-0.55802379999999996</v>
      </c>
      <c r="S3677">
        <v>2.2081909999999998</v>
      </c>
      <c r="T3677">
        <v>-0.26488699999999998</v>
      </c>
      <c r="U3677">
        <v>-2.2490230000000002</v>
      </c>
      <c r="V3677">
        <v>0.33332250000000002</v>
      </c>
      <c r="W3677">
        <v>0.17207510000000001</v>
      </c>
      <c r="X3677">
        <v>0.92697689999999999</v>
      </c>
      <c r="Y3677">
        <v>0.50725719999999996</v>
      </c>
      <c r="Z3677">
        <v>-8.4246779999999997E-3</v>
      </c>
      <c r="AA3677">
        <v>0.86175349999999995</v>
      </c>
      <c r="AB3677">
        <v>33</v>
      </c>
      <c r="AC3677">
        <v>8.9420999999999804</v>
      </c>
      <c r="AD3677">
        <v>-1.112181853913</v>
      </c>
      <c r="AE3677">
        <v>-9.3498999999999892</v>
      </c>
      <c r="AF3677">
        <v>6.6776685006207703</v>
      </c>
      <c r="AG3677">
        <v>-1.112181853913</v>
      </c>
      <c r="AH3677">
        <v>10.9701314583249</v>
      </c>
      <c r="AI3677">
        <v>94.949482620585997</v>
      </c>
      <c r="AJ3677">
        <v>58.670555710356403</v>
      </c>
      <c r="AK3677">
        <v>12.890771477816401</v>
      </c>
      <c r="AL3677">
        <v>80.091507786979307</v>
      </c>
      <c r="AM3677">
        <v>70.2224218065804</v>
      </c>
      <c r="AN3677">
        <v>0.999999951089933</v>
      </c>
    </row>
    <row r="3678" spans="1:40" x14ac:dyDescent="0.25">
      <c r="A3678" t="str">
        <f>"20190303162853692"</f>
        <v>20190303162853692</v>
      </c>
      <c r="B3678" t="str">
        <f>"1551601733685467"</f>
        <v>1551601733685467</v>
      </c>
      <c r="C3678" t="s">
        <v>40</v>
      </c>
      <c r="D3678">
        <v>4.8708479999999996</v>
      </c>
      <c r="E3678">
        <v>0.58345570000000002</v>
      </c>
      <c r="F3678" t="s">
        <v>47</v>
      </c>
      <c r="G3678">
        <v>-192.14779999999999</v>
      </c>
      <c r="H3678" s="1">
        <v>6.2930620000000002E-6</v>
      </c>
      <c r="I3678">
        <v>202.6387</v>
      </c>
      <c r="J3678">
        <v>-200.98589999999999</v>
      </c>
      <c r="K3678">
        <v>1.111872</v>
      </c>
      <c r="L3678">
        <v>212.13980000000001</v>
      </c>
      <c r="M3678">
        <v>0.96302319999999997</v>
      </c>
      <c r="N3678">
        <v>-1.535745E-2</v>
      </c>
      <c r="O3678">
        <v>-0.26898100000000003</v>
      </c>
      <c r="P3678">
        <v>0.80609849999999905</v>
      </c>
      <c r="Q3678">
        <v>0.16742839999999901</v>
      </c>
      <c r="R3678">
        <v>-0.56760310000000003</v>
      </c>
      <c r="S3678">
        <v>2.1775359999999999</v>
      </c>
      <c r="T3678">
        <v>-0.26429709999999901</v>
      </c>
      <c r="U3678">
        <v>-2.2811430000000001</v>
      </c>
      <c r="V3678">
        <v>0.3339454</v>
      </c>
      <c r="W3678">
        <v>0.17399410000000001</v>
      </c>
      <c r="X3678">
        <v>0.92639439999999995</v>
      </c>
      <c r="Y3678">
        <v>0.50951099999999905</v>
      </c>
      <c r="Z3678">
        <v>-7.749204E-3</v>
      </c>
      <c r="AA3678">
        <v>0.86042919999999901</v>
      </c>
      <c r="AB3678">
        <v>33</v>
      </c>
      <c r="AC3678">
        <v>8.8380999999999901</v>
      </c>
      <c r="AD3678">
        <v>-1.111865706938</v>
      </c>
      <c r="AE3678">
        <v>-9.5010999999999992</v>
      </c>
      <c r="AF3678">
        <v>6.7239302627636599</v>
      </c>
      <c r="AG3678">
        <v>-1.111865706938</v>
      </c>
      <c r="AH3678">
        <v>10.987545170412901</v>
      </c>
      <c r="AI3678">
        <v>94.9331895418063</v>
      </c>
      <c r="AJ3678">
        <v>58.535065000276902</v>
      </c>
      <c r="AK3678">
        <v>12.929564277292499</v>
      </c>
      <c r="AL3678">
        <v>79.979874043449399</v>
      </c>
      <c r="AM3678">
        <v>70.1768493229565</v>
      </c>
      <c r="AN3678">
        <v>1.0000000306836601</v>
      </c>
    </row>
    <row r="3679" spans="1:40" x14ac:dyDescent="0.25">
      <c r="A3679" t="str">
        <f>"20190303162853713"</f>
        <v>20190303162853713</v>
      </c>
      <c r="B3679" t="str">
        <f>"1551601733704988"</f>
        <v>1551601733704988</v>
      </c>
      <c r="C3679" t="s">
        <v>40</v>
      </c>
      <c r="D3679">
        <v>4.7567430000000002</v>
      </c>
      <c r="E3679">
        <v>0.58410309999999999</v>
      </c>
      <c r="F3679" t="s">
        <v>47</v>
      </c>
      <c r="G3679">
        <v>-191.67330000000001</v>
      </c>
      <c r="H3679" s="1">
        <v>6.5979839999999997E-6</v>
      </c>
      <c r="I3679">
        <v>202.13329999999999</v>
      </c>
      <c r="J3679">
        <v>-200.6711</v>
      </c>
      <c r="K3679">
        <v>1.1115950000000001</v>
      </c>
      <c r="L3679">
        <v>212.04060000000001</v>
      </c>
      <c r="M3679">
        <v>0.95986389999999999</v>
      </c>
      <c r="N3679">
        <v>-1.5411009999999999E-2</v>
      </c>
      <c r="O3679">
        <v>-0.28004309999999899</v>
      </c>
      <c r="P3679">
        <v>0.79886429999999997</v>
      </c>
      <c r="Q3679">
        <v>0.16873869999999999</v>
      </c>
      <c r="R3679">
        <v>-0.5773585</v>
      </c>
      <c r="S3679">
        <v>2.148987</v>
      </c>
      <c r="T3679">
        <v>-0.25657370000000002</v>
      </c>
      <c r="U3679">
        <v>-2.309097</v>
      </c>
      <c r="V3679">
        <v>0.33477839999999998</v>
      </c>
      <c r="W3679">
        <v>0.17509739999999999</v>
      </c>
      <c r="X3679">
        <v>0.92588570000000003</v>
      </c>
      <c r="Y3679">
        <v>0.51059449999999995</v>
      </c>
      <c r="Z3679">
        <v>-7.0412959999999998E-3</v>
      </c>
      <c r="AA3679">
        <v>0.85979280000000002</v>
      </c>
      <c r="AB3679">
        <v>33</v>
      </c>
      <c r="AC3679">
        <v>8.9977999999999803</v>
      </c>
      <c r="AD3679">
        <v>-1.1115884020160001</v>
      </c>
      <c r="AE3679">
        <v>-9.90730000000001</v>
      </c>
      <c r="AF3679">
        <v>6.9428215960174899</v>
      </c>
      <c r="AG3679">
        <v>-1.1115884020160001</v>
      </c>
      <c r="AH3679">
        <v>11.3342978477468</v>
      </c>
      <c r="AI3679">
        <v>94.780539734088705</v>
      </c>
      <c r="AJ3679">
        <v>58.510456811693103</v>
      </c>
      <c r="AK3679">
        <v>13.3380923745137</v>
      </c>
      <c r="AL3679">
        <v>79.915673797013298</v>
      </c>
      <c r="AM3679">
        <v>70.121206393243597</v>
      </c>
      <c r="AN3679">
        <v>1.0000000030289</v>
      </c>
    </row>
    <row r="3680" spans="1:40" x14ac:dyDescent="0.25">
      <c r="A3680" t="str">
        <f>"20190303162853736"</f>
        <v>20190303162853736</v>
      </c>
      <c r="B3680" t="str">
        <f>"1551601733725483"</f>
        <v>1551601733725483</v>
      </c>
      <c r="C3680" t="s">
        <v>40</v>
      </c>
      <c r="D3680">
        <v>4.6391010000000001</v>
      </c>
      <c r="E3680">
        <v>0.58519319999999997</v>
      </c>
      <c r="F3680" t="s">
        <v>47</v>
      </c>
      <c r="G3680">
        <v>-191.24010000000001</v>
      </c>
      <c r="H3680" s="1">
        <v>6.8978939999999999E-6</v>
      </c>
      <c r="I3680">
        <v>201.61089999999999</v>
      </c>
      <c r="J3680">
        <v>-200.35900000000001</v>
      </c>
      <c r="K3680">
        <v>1.1113219999999999</v>
      </c>
      <c r="L3680">
        <v>211.93809999999999</v>
      </c>
      <c r="M3680">
        <v>0.95649390000000001</v>
      </c>
      <c r="N3680">
        <v>-1.5463940000000001E-2</v>
      </c>
      <c r="O3680">
        <v>-0.29134189999999999</v>
      </c>
      <c r="P3680">
        <v>0.79191679999999998</v>
      </c>
      <c r="Q3680">
        <v>0.16994699999999999</v>
      </c>
      <c r="R3680">
        <v>-0.58650279999999999</v>
      </c>
      <c r="S3680">
        <v>2.1164399999999999</v>
      </c>
      <c r="T3680">
        <v>-0.24945629999999999</v>
      </c>
      <c r="U3680">
        <v>-2.340576</v>
      </c>
      <c r="V3680">
        <v>0.33472689999999999</v>
      </c>
      <c r="W3680">
        <v>0.17612920000000001</v>
      </c>
      <c r="X3680">
        <v>0.92570859999999999</v>
      </c>
      <c r="Y3680">
        <v>0.51286109999999996</v>
      </c>
      <c r="Z3680">
        <v>-6.4307820000000003E-3</v>
      </c>
      <c r="AA3680">
        <v>0.85844750000000003</v>
      </c>
      <c r="AB3680">
        <v>33</v>
      </c>
      <c r="AC3680">
        <v>9.1188999999999893</v>
      </c>
      <c r="AD3680">
        <v>-1.1113151021059999</v>
      </c>
      <c r="AE3680">
        <v>-10.327199999999999</v>
      </c>
      <c r="AF3680">
        <v>7.1753619073415296</v>
      </c>
      <c r="AG3680">
        <v>-1.1113151021059999</v>
      </c>
      <c r="AH3680">
        <v>11.656476165263699</v>
      </c>
      <c r="AI3680">
        <v>94.641632341190103</v>
      </c>
      <c r="AJ3680">
        <v>58.384848116652201</v>
      </c>
      <c r="AK3680">
        <v>13.732963130688701</v>
      </c>
      <c r="AL3680">
        <v>79.855622763024897</v>
      </c>
      <c r="AM3680">
        <v>70.120520249456405</v>
      </c>
      <c r="AN3680">
        <v>1.0000000023950999</v>
      </c>
    </row>
    <row r="3681" spans="1:40" x14ac:dyDescent="0.25">
      <c r="A3681" t="str">
        <f>"20190303162853758"</f>
        <v>20190303162853758</v>
      </c>
      <c r="B3681" t="str">
        <f>"1551601733745980"</f>
        <v>1551601733745980</v>
      </c>
      <c r="C3681" t="s">
        <v>40</v>
      </c>
      <c r="D3681">
        <v>4.6299060000000001</v>
      </c>
      <c r="E3681">
        <v>0.58645959999999997</v>
      </c>
      <c r="F3681" t="s">
        <v>47</v>
      </c>
      <c r="G3681">
        <v>-190.59630000000001</v>
      </c>
      <c r="H3681" s="1">
        <v>7.3556329999999998E-6</v>
      </c>
      <c r="I3681">
        <v>200.80070000000001</v>
      </c>
      <c r="J3681">
        <v>-200.0428</v>
      </c>
      <c r="K3681">
        <v>1.11103</v>
      </c>
      <c r="L3681">
        <v>211.82980000000001</v>
      </c>
      <c r="M3681">
        <v>0.95281950000000004</v>
      </c>
      <c r="N3681">
        <v>-1.552069E-2</v>
      </c>
      <c r="O3681">
        <v>-0.30314059999999998</v>
      </c>
      <c r="P3681">
        <v>0.78435219999999894</v>
      </c>
      <c r="Q3681">
        <v>0.171076799999999</v>
      </c>
      <c r="R3681">
        <v>-0.59625890000000004</v>
      </c>
      <c r="S3681">
        <v>2.0809329999999999</v>
      </c>
      <c r="T3681">
        <v>-0.236877</v>
      </c>
      <c r="U3681">
        <v>-2.3739469999999998</v>
      </c>
      <c r="V3681">
        <v>0.3349704</v>
      </c>
      <c r="W3681">
        <v>0.1770707</v>
      </c>
      <c r="X3681">
        <v>0.92544090000000001</v>
      </c>
      <c r="Y3681">
        <v>0.51560479999999997</v>
      </c>
      <c r="Z3681">
        <v>-5.9270540000000002E-3</v>
      </c>
      <c r="AA3681">
        <v>0.85680599999999996</v>
      </c>
      <c r="AB3681">
        <v>33</v>
      </c>
      <c r="AC3681">
        <v>9.4464999999999808</v>
      </c>
      <c r="AD3681">
        <v>-1.1110226443669999</v>
      </c>
      <c r="AE3681">
        <v>-11.0291</v>
      </c>
      <c r="AF3681">
        <v>7.6015487409214098</v>
      </c>
      <c r="AG3681">
        <v>-1.1110226443669999</v>
      </c>
      <c r="AH3681">
        <v>12.273818941353101</v>
      </c>
      <c r="AI3681">
        <v>94.4005819036433</v>
      </c>
      <c r="AJ3681">
        <v>58.228809566531702</v>
      </c>
      <c r="AK3681">
        <v>14.479797857084099</v>
      </c>
      <c r="AL3681">
        <v>79.800817682778103</v>
      </c>
      <c r="AM3681">
        <v>70.101890104713704</v>
      </c>
      <c r="AN3681">
        <v>1.00000003053372</v>
      </c>
    </row>
    <row r="3682" spans="1:40" x14ac:dyDescent="0.25">
      <c r="A3682" t="str">
        <f>"20190303162853782"</f>
        <v>20190303162853782</v>
      </c>
      <c r="B3682" t="str">
        <f>"1551601733775260"</f>
        <v>1551601733775260</v>
      </c>
      <c r="C3682" t="s">
        <v>40</v>
      </c>
      <c r="D3682">
        <v>4.6077450000000004</v>
      </c>
      <c r="E3682">
        <v>0.58776870000000003</v>
      </c>
      <c r="F3682" t="s">
        <v>47</v>
      </c>
      <c r="G3682">
        <v>-189.9068</v>
      </c>
      <c r="H3682" s="1">
        <v>7.8374379999999995E-6</v>
      </c>
      <c r="I3682">
        <v>199.88630000000001</v>
      </c>
      <c r="J3682">
        <v>-199.71850000000001</v>
      </c>
      <c r="K3682">
        <v>1.1107049999999901</v>
      </c>
      <c r="L3682">
        <v>211.71379999999999</v>
      </c>
      <c r="M3682">
        <v>0.94876070000000001</v>
      </c>
      <c r="N3682">
        <v>-1.558348E-2</v>
      </c>
      <c r="O3682">
        <v>-0.31561060000000002</v>
      </c>
      <c r="P3682">
        <v>0.77649509999999999</v>
      </c>
      <c r="Q3682">
        <v>0.17011200000000001</v>
      </c>
      <c r="R3682">
        <v>-0.60672700000000002</v>
      </c>
      <c r="S3682">
        <v>2.0433349999999999</v>
      </c>
      <c r="T3682">
        <v>-0.2239729</v>
      </c>
      <c r="U3682">
        <v>-2.4077000000000002</v>
      </c>
      <c r="V3682">
        <v>0.335289</v>
      </c>
      <c r="W3682">
        <v>0.17591189999999901</v>
      </c>
      <c r="X3682">
        <v>0.92554650000000005</v>
      </c>
      <c r="Y3682">
        <v>0.51817709999999995</v>
      </c>
      <c r="Z3682">
        <v>-5.4664170000000003E-3</v>
      </c>
      <c r="AA3682">
        <v>0.85525589999999996</v>
      </c>
      <c r="AB3682">
        <v>33</v>
      </c>
      <c r="AC3682">
        <v>9.8117000000000001</v>
      </c>
      <c r="AD3682">
        <v>-1.1106971625619999</v>
      </c>
      <c r="AE3682">
        <v>-11.827499999999899</v>
      </c>
      <c r="AF3682">
        <v>8.0835514901351395</v>
      </c>
      <c r="AG3682">
        <v>-1.1106971625619999</v>
      </c>
      <c r="AH3682">
        <v>12.9756430006407</v>
      </c>
      <c r="AI3682">
        <v>94.155432276929105</v>
      </c>
      <c r="AJ3682">
        <v>58.077965709000203</v>
      </c>
      <c r="AK3682">
        <v>15.3279080164472</v>
      </c>
      <c r="AL3682">
        <v>79.868270761446496</v>
      </c>
      <c r="AM3682">
        <v>70.086545441439497</v>
      </c>
      <c r="AN3682">
        <v>1.0000000168724299</v>
      </c>
    </row>
    <row r="3683" spans="1:40" x14ac:dyDescent="0.25">
      <c r="A3683" t="str">
        <f>"20190303162853802"</f>
        <v>20190303162853802</v>
      </c>
      <c r="B3683" t="str">
        <f>"1551601733795756"</f>
        <v>1551601733795756</v>
      </c>
      <c r="C3683" t="s">
        <v>40</v>
      </c>
      <c r="D3683">
        <v>4.6364130000000001</v>
      </c>
      <c r="E3683">
        <v>0.58838230000000002</v>
      </c>
      <c r="F3683" t="s">
        <v>41</v>
      </c>
      <c r="G3683">
        <v>-189.4041</v>
      </c>
      <c r="H3683" s="1">
        <v>-4.1802939999999999E-6</v>
      </c>
      <c r="I3683">
        <v>199.13069999999999</v>
      </c>
      <c r="J3683">
        <v>-199.41919999999999</v>
      </c>
      <c r="K3683">
        <v>1.1103970000000001</v>
      </c>
      <c r="L3683">
        <v>211.60220000000001</v>
      </c>
      <c r="M3683">
        <v>0.94472780000000001</v>
      </c>
      <c r="N3683">
        <v>-1.564604E-2</v>
      </c>
      <c r="O3683">
        <v>-0.3274823</v>
      </c>
      <c r="P3683">
        <v>0.76913599999999904</v>
      </c>
      <c r="Q3683">
        <v>0.16805909999999999</v>
      </c>
      <c r="R3683">
        <v>-0.61659240000000004</v>
      </c>
      <c r="S3683">
        <v>2.0022280000000001</v>
      </c>
      <c r="T3683">
        <v>-0.21560879999999999</v>
      </c>
      <c r="U3683">
        <v>-2.442612</v>
      </c>
      <c r="V3683">
        <v>0.33542620000000001</v>
      </c>
      <c r="W3683">
        <v>0.17368320000000001</v>
      </c>
      <c r="X3683">
        <v>0.92591760000000001</v>
      </c>
      <c r="Y3683">
        <v>0.522113099999999</v>
      </c>
      <c r="Z3683">
        <v>-5.1152300000000001E-3</v>
      </c>
      <c r="AA3683">
        <v>0.85286090000000003</v>
      </c>
      <c r="AB3683">
        <v>33</v>
      </c>
      <c r="AC3683">
        <v>10.015099999999901</v>
      </c>
      <c r="AD3683">
        <v>-1.1104011802939999</v>
      </c>
      <c r="AE3683">
        <v>-12.471500000000001</v>
      </c>
      <c r="AF3683">
        <v>8.4626606391539099</v>
      </c>
      <c r="AG3683">
        <v>-1.1104011802939999</v>
      </c>
      <c r="AH3683">
        <v>13.4824199038278</v>
      </c>
      <c r="AI3683">
        <v>93.990275936375497</v>
      </c>
      <c r="AJ3683">
        <v>57.884283171343498</v>
      </c>
      <c r="AK3683">
        <v>15.9569816173929</v>
      </c>
      <c r="AL3683">
        <v>79.997962363757793</v>
      </c>
      <c r="AM3683">
        <v>70.086394186586602</v>
      </c>
      <c r="AN3683">
        <v>0.99999999579921905</v>
      </c>
    </row>
    <row r="3684" spans="1:40" x14ac:dyDescent="0.25">
      <c r="A3684" t="str">
        <f>"20190303162853825"</f>
        <v>20190303162853825</v>
      </c>
      <c r="B3684" t="str">
        <f>"1551601733815276"</f>
        <v>1551601733815276</v>
      </c>
      <c r="C3684" t="s">
        <v>40</v>
      </c>
      <c r="D3684">
        <v>4.675872</v>
      </c>
      <c r="E3684">
        <v>0.58902349999999903</v>
      </c>
      <c r="F3684" t="s">
        <v>41</v>
      </c>
      <c r="G3684">
        <v>-189.27719999999999</v>
      </c>
      <c r="H3684" s="1">
        <v>-4.081639E-6</v>
      </c>
      <c r="I3684">
        <v>198.84829999999999</v>
      </c>
      <c r="J3684">
        <v>-199.1155</v>
      </c>
      <c r="K3684">
        <v>1.1100829999999999</v>
      </c>
      <c r="L3684">
        <v>211.48400000000001</v>
      </c>
      <c r="M3684">
        <v>0.94032830000000001</v>
      </c>
      <c r="N3684">
        <v>-1.5714829999999999E-2</v>
      </c>
      <c r="O3684">
        <v>-0.33990609999999999</v>
      </c>
      <c r="P3684">
        <v>0.76081880000000002</v>
      </c>
      <c r="Q3684">
        <v>0.16619979999999901</v>
      </c>
      <c r="R3684">
        <v>-0.62732159999999904</v>
      </c>
      <c r="S3684">
        <v>1.9657439999999999</v>
      </c>
      <c r="T3684">
        <v>-0.21522189999999999</v>
      </c>
      <c r="U3684">
        <v>-2.472</v>
      </c>
      <c r="V3684">
        <v>0.33615420000000001</v>
      </c>
      <c r="W3684">
        <v>0.17162279999999999</v>
      </c>
      <c r="X3684">
        <v>0.92603780000000002</v>
      </c>
      <c r="Y3684">
        <v>0.52353689999999997</v>
      </c>
      <c r="Z3684">
        <v>-4.4798759999999998E-3</v>
      </c>
      <c r="AA3684">
        <v>0.85199119999999995</v>
      </c>
      <c r="AB3684">
        <v>33</v>
      </c>
      <c r="AC3684">
        <v>9.8383000000000003</v>
      </c>
      <c r="AD3684">
        <v>-1.1100870816389901</v>
      </c>
      <c r="AE3684">
        <v>-12.6357</v>
      </c>
      <c r="AF3684">
        <v>8.4978274395884892</v>
      </c>
      <c r="AG3684">
        <v>-1.1100870816389901</v>
      </c>
      <c r="AH3684">
        <v>13.4830654685805</v>
      </c>
      <c r="AI3684">
        <v>93.984343210864694</v>
      </c>
      <c r="AJ3684">
        <v>57.778437865060297</v>
      </c>
      <c r="AK3684">
        <v>15.9761828654993</v>
      </c>
      <c r="AL3684">
        <v>80.117814700496695</v>
      </c>
      <c r="AM3684">
        <v>70.048967294119194</v>
      </c>
      <c r="AN3684">
        <v>1.00000001934315</v>
      </c>
    </row>
    <row r="3685" spans="1:40" x14ac:dyDescent="0.25">
      <c r="A3685" t="str">
        <f>"20190303162853847"</f>
        <v>20190303162853847</v>
      </c>
      <c r="B3685" t="str">
        <f>"1551601733835772"</f>
        <v>1551601733835772</v>
      </c>
      <c r="C3685" t="s">
        <v>40</v>
      </c>
      <c r="D3685">
        <v>4.6565110000000001</v>
      </c>
      <c r="E3685">
        <v>0.58959110000000003</v>
      </c>
      <c r="F3685" t="s">
        <v>41</v>
      </c>
      <c r="G3685">
        <v>-189.20160000000001</v>
      </c>
      <c r="H3685" s="1">
        <v>-3.9912769999999998E-6</v>
      </c>
      <c r="I3685">
        <v>198.60640000000001</v>
      </c>
      <c r="J3685">
        <v>-198.8116</v>
      </c>
      <c r="K3685">
        <v>1.109761</v>
      </c>
      <c r="L3685">
        <v>211.3605</v>
      </c>
      <c r="M3685">
        <v>0.93559289999999995</v>
      </c>
      <c r="N3685">
        <v>-1.5788980000000001E-2</v>
      </c>
      <c r="O3685">
        <v>-0.35272769999999998</v>
      </c>
      <c r="P3685">
        <v>0.75147710000000001</v>
      </c>
      <c r="Q3685">
        <v>0.16513259999999999</v>
      </c>
      <c r="R3685">
        <v>-0.63875930000000003</v>
      </c>
      <c r="S3685">
        <v>1.9266970000000001</v>
      </c>
      <c r="T3685">
        <v>-0.2157367</v>
      </c>
      <c r="U3685">
        <v>-2.5026549999999999</v>
      </c>
      <c r="V3685">
        <v>0.33752650000000001</v>
      </c>
      <c r="W3685">
        <v>0.17033029999999999</v>
      </c>
      <c r="X3685">
        <v>0.92577730000000003</v>
      </c>
      <c r="Y3685">
        <v>0.52528999999999904</v>
      </c>
      <c r="Z3685">
        <v>-3.815124E-3</v>
      </c>
      <c r="AA3685">
        <v>0.85091469999999902</v>
      </c>
      <c r="AB3685">
        <v>33</v>
      </c>
      <c r="AC3685">
        <v>9.6099999999999799</v>
      </c>
      <c r="AD3685">
        <v>-1.109764991277</v>
      </c>
      <c r="AE3685">
        <v>-12.7540999999999</v>
      </c>
      <c r="AF3685">
        <v>8.5029327201808798</v>
      </c>
      <c r="AG3685">
        <v>-1.109764991277</v>
      </c>
      <c r="AH3685">
        <v>13.426610677296001</v>
      </c>
      <c r="AI3685">
        <v>93.994433113309995</v>
      </c>
      <c r="AJ3685">
        <v>57.654345491041703</v>
      </c>
      <c r="AK3685">
        <v>15.931268545205899</v>
      </c>
      <c r="AL3685">
        <v>80.192976839494406</v>
      </c>
      <c r="AM3685">
        <v>69.968794698213301</v>
      </c>
      <c r="AN3685">
        <v>1.0000000792478101</v>
      </c>
    </row>
    <row r="3686" spans="1:40" x14ac:dyDescent="0.25">
      <c r="A3686" t="str">
        <f>"20190303162853870"</f>
        <v>20190303162853870</v>
      </c>
      <c r="B3686" t="str">
        <f>"1551601733866028"</f>
        <v>1551601733866028</v>
      </c>
      <c r="C3686" t="s">
        <v>40</v>
      </c>
      <c r="D3686">
        <v>4.7807969999999997</v>
      </c>
      <c r="E3686">
        <v>0.55137999999999998</v>
      </c>
      <c r="F3686" t="s">
        <v>41</v>
      </c>
      <c r="G3686">
        <v>-188.96700000000001</v>
      </c>
      <c r="H3686" s="1">
        <v>-3.8234669999999996E-6</v>
      </c>
      <c r="I3686">
        <v>198.1182</v>
      </c>
      <c r="J3686">
        <v>-198.49019999999999</v>
      </c>
      <c r="K3686">
        <v>1.1094349999999999</v>
      </c>
      <c r="L3686">
        <v>211.2243</v>
      </c>
      <c r="M3686">
        <v>0.9302184</v>
      </c>
      <c r="N3686">
        <v>-1.5871420000000001E-2</v>
      </c>
      <c r="O3686">
        <v>-0.36666339999999997</v>
      </c>
      <c r="P3686">
        <v>0.73983109999999996</v>
      </c>
      <c r="Q3686">
        <v>0.16488359999999999</v>
      </c>
      <c r="R3686">
        <v>-0.65227539999999995</v>
      </c>
      <c r="S3686">
        <v>1.884323</v>
      </c>
      <c r="T3686">
        <v>-0.21241679999999999</v>
      </c>
      <c r="U3686">
        <v>-2.5346679999999999</v>
      </c>
      <c r="V3686">
        <v>0.34058850000000002</v>
      </c>
      <c r="W3686">
        <v>0.1697979</v>
      </c>
      <c r="X3686">
        <v>0.92475300000000005</v>
      </c>
      <c r="Y3686">
        <v>0.52692030000000001</v>
      </c>
      <c r="Z3686">
        <v>-3.1953649999999999E-3</v>
      </c>
      <c r="AA3686">
        <v>0.84990869999999996</v>
      </c>
      <c r="AB3686">
        <v>33</v>
      </c>
      <c r="AC3686">
        <v>9.5231999999999708</v>
      </c>
      <c r="AD3686">
        <v>-1.1094388234669901</v>
      </c>
      <c r="AE3686">
        <v>-13.1060999999999</v>
      </c>
      <c r="AF3686">
        <v>8.6602080037720199</v>
      </c>
      <c r="AG3686">
        <v>-1.1094388234669901</v>
      </c>
      <c r="AH3686">
        <v>13.602113549145299</v>
      </c>
      <c r="AI3686">
        <v>93.935876795254103</v>
      </c>
      <c r="AJ3686">
        <v>57.515864887482202</v>
      </c>
      <c r="AK3686">
        <v>16.163154091187</v>
      </c>
      <c r="AL3686">
        <v>80.223931075561694</v>
      </c>
      <c r="AM3686">
        <v>69.781140216622006</v>
      </c>
      <c r="AN3686">
        <v>0.99999998209282903</v>
      </c>
    </row>
    <row r="3687" spans="1:40" x14ac:dyDescent="0.25">
      <c r="A3687" t="str">
        <f>"20190303162853894"</f>
        <v>20190303162853894</v>
      </c>
      <c r="B3687" t="str">
        <f>"1551601733885548"</f>
        <v>1551601733885548</v>
      </c>
      <c r="C3687" t="s">
        <v>40</v>
      </c>
      <c r="D3687">
        <v>4.8777949999999999</v>
      </c>
      <c r="E3687">
        <v>0.5406801</v>
      </c>
      <c r="F3687" t="s">
        <v>41</v>
      </c>
      <c r="G3687">
        <v>-187.59649999999999</v>
      </c>
      <c r="H3687" s="1">
        <v>-4.3277679999999901E-6</v>
      </c>
      <c r="I3687">
        <v>198.72710000000001</v>
      </c>
      <c r="J3687">
        <v>-198.17660000000001</v>
      </c>
      <c r="K3687">
        <v>1.109129</v>
      </c>
      <c r="L3687">
        <v>211.0856</v>
      </c>
      <c r="M3687">
        <v>0.92458580000000001</v>
      </c>
      <c r="N3687">
        <v>-1.595135E-2</v>
      </c>
      <c r="O3687">
        <v>-0.38064049999999999</v>
      </c>
      <c r="P3687">
        <v>0.72629180000000004</v>
      </c>
      <c r="Q3687">
        <v>0.1642527</v>
      </c>
      <c r="R3687">
        <v>-0.66747440000000002</v>
      </c>
      <c r="S3687">
        <v>2.0389560000000002</v>
      </c>
      <c r="T3687">
        <v>-0.20765330000000001</v>
      </c>
      <c r="U3687">
        <v>-2.3390960000000001</v>
      </c>
      <c r="V3687">
        <v>0.34588410000000003</v>
      </c>
      <c r="W3687">
        <v>0.1688124</v>
      </c>
      <c r="X3687">
        <v>0.92296619999999996</v>
      </c>
      <c r="Y3687">
        <v>0.44621699999999997</v>
      </c>
      <c r="Z3687">
        <v>1.3443050000000001E-3</v>
      </c>
      <c r="AA3687">
        <v>0.89492369999999899</v>
      </c>
      <c r="AB3687">
        <v>33</v>
      </c>
      <c r="AC3687">
        <v>10.5801</v>
      </c>
      <c r="AD3687">
        <v>-1.109133327768</v>
      </c>
      <c r="AE3687">
        <v>-12.3584999999999</v>
      </c>
      <c r="AF3687">
        <v>7.3659819155415303</v>
      </c>
      <c r="AG3687">
        <v>-1.109133327768</v>
      </c>
      <c r="AH3687">
        <v>14.421166488822699</v>
      </c>
      <c r="AI3687">
        <v>93.918224592750903</v>
      </c>
      <c r="AJ3687">
        <v>62.943157400707499</v>
      </c>
      <c r="AK3687">
        <v>16.231386546355001</v>
      </c>
      <c r="AL3687">
        <v>80.281223545239996</v>
      </c>
      <c r="AM3687">
        <v>69.456376807328297</v>
      </c>
      <c r="AN3687">
        <v>1.0000000216845</v>
      </c>
    </row>
    <row r="3688" spans="1:40" x14ac:dyDescent="0.25">
      <c r="A3688" t="str">
        <f>"20190303162853914"</f>
        <v>20190303162853914</v>
      </c>
      <c r="B3688" t="str">
        <f>"1551601733905068"</f>
        <v>1551601733905068</v>
      </c>
      <c r="C3688" t="s">
        <v>40</v>
      </c>
      <c r="D3688">
        <v>4.7916780000000001</v>
      </c>
      <c r="E3688">
        <v>0.53853589999999996</v>
      </c>
      <c r="F3688" t="s">
        <v>41</v>
      </c>
      <c r="G3688">
        <v>-187.8511</v>
      </c>
      <c r="H3688" s="1">
        <v>-4.5717760000000002E-6</v>
      </c>
      <c r="I3688">
        <v>199.40119999999999</v>
      </c>
      <c r="J3688">
        <v>-197.89080000000001</v>
      </c>
      <c r="K3688">
        <v>1.1088469999999999</v>
      </c>
      <c r="L3688">
        <v>210.95400000000001</v>
      </c>
      <c r="M3688">
        <v>0.91909059999999998</v>
      </c>
      <c r="N3688">
        <v>-1.602512E-2</v>
      </c>
      <c r="O3688">
        <v>-0.39372030000000002</v>
      </c>
      <c r="P3688">
        <v>0.71176680000000003</v>
      </c>
      <c r="Q3688">
        <v>0.16370290000000001</v>
      </c>
      <c r="R3688">
        <v>-0.68307369999999901</v>
      </c>
      <c r="S3688">
        <v>2.04921</v>
      </c>
      <c r="T3688">
        <v>-0.22012080000000001</v>
      </c>
      <c r="U3688">
        <v>-2.318924</v>
      </c>
      <c r="V3688">
        <v>0.3528656</v>
      </c>
      <c r="W3688">
        <v>0.16785539999999999</v>
      </c>
      <c r="X3688">
        <v>0.9204947</v>
      </c>
      <c r="Y3688">
        <v>0.42737589999999998</v>
      </c>
      <c r="Z3688">
        <v>3.6989290000000001E-3</v>
      </c>
      <c r="AA3688">
        <v>0.90406640000000005</v>
      </c>
      <c r="AB3688">
        <v>32</v>
      </c>
      <c r="AC3688">
        <v>10.0397</v>
      </c>
      <c r="AD3688">
        <v>-1.1088515717759999</v>
      </c>
      <c r="AE3688">
        <v>-11.5528</v>
      </c>
      <c r="AF3688">
        <v>6.6312871688085204</v>
      </c>
      <c r="AG3688">
        <v>-1.1088515717759999</v>
      </c>
      <c r="AH3688">
        <v>13.705798644254299</v>
      </c>
      <c r="AI3688">
        <v>94.165353304261998</v>
      </c>
      <c r="AJ3688">
        <v>64.180874081785603</v>
      </c>
      <c r="AK3688">
        <v>15.266055083101101</v>
      </c>
      <c r="AL3688">
        <v>80.336849465927799</v>
      </c>
      <c r="AM3688">
        <v>69.026001960836197</v>
      </c>
      <c r="AN3688">
        <v>1.0000000298503</v>
      </c>
    </row>
    <row r="3689" spans="1:40" x14ac:dyDescent="0.25">
      <c r="A3689" t="str">
        <f>"20190303162853937"</f>
        <v>20190303162853937</v>
      </c>
      <c r="B3689" t="str">
        <f>"1551601733925564"</f>
        <v>1551601733925564</v>
      </c>
      <c r="C3689" t="s">
        <v>40</v>
      </c>
      <c r="D3689">
        <v>4.763242</v>
      </c>
      <c r="E3689">
        <v>0.53879299999999997</v>
      </c>
      <c r="F3689" t="s">
        <v>47</v>
      </c>
      <c r="G3689">
        <v>-188.273</v>
      </c>
      <c r="H3689" s="1">
        <v>7.4716980000000003E-6</v>
      </c>
      <c r="I3689">
        <v>199.70779999999999</v>
      </c>
      <c r="J3689">
        <v>-197.5992</v>
      </c>
      <c r="K3689">
        <v>1.108562</v>
      </c>
      <c r="L3689">
        <v>210.81440000000001</v>
      </c>
      <c r="M3689">
        <v>0.9131011</v>
      </c>
      <c r="N3689">
        <v>-1.6104050000000002E-2</v>
      </c>
      <c r="O3689">
        <v>-0.40741549999999999</v>
      </c>
      <c r="P3689">
        <v>0.69695589999999996</v>
      </c>
      <c r="Q3689">
        <v>0.16353219999999999</v>
      </c>
      <c r="R3689">
        <v>-0.69821919999999904</v>
      </c>
      <c r="S3689">
        <v>2.0112299999999999</v>
      </c>
      <c r="T3689">
        <v>-0.23187640000000001</v>
      </c>
      <c r="U3689">
        <v>-2.3517760000000001</v>
      </c>
      <c r="V3689">
        <v>0.35899819999999999</v>
      </c>
      <c r="W3689">
        <v>0.1672951</v>
      </c>
      <c r="X3689">
        <v>0.9182226</v>
      </c>
      <c r="Y3689">
        <v>0.42850450000000001</v>
      </c>
      <c r="Z3689">
        <v>5.2336800000000001E-3</v>
      </c>
      <c r="AA3689">
        <v>0.90352449999999995</v>
      </c>
      <c r="AB3689">
        <v>32</v>
      </c>
      <c r="AC3689">
        <v>9.3262</v>
      </c>
      <c r="AD3689">
        <v>-1.108554528302</v>
      </c>
      <c r="AE3689">
        <v>-11.1066</v>
      </c>
      <c r="AF3689">
        <v>6.3057896599830503</v>
      </c>
      <c r="AG3689">
        <v>-1.108554528302</v>
      </c>
      <c r="AH3689">
        <v>12.966694781649799</v>
      </c>
      <c r="AI3689">
        <v>94.3964369308366</v>
      </c>
      <c r="AJ3689">
        <v>64.066037915562205</v>
      </c>
      <c r="AK3689">
        <v>14.4612257412237</v>
      </c>
      <c r="AL3689">
        <v>80.369412960741499</v>
      </c>
      <c r="AM3689">
        <v>68.6459541404693</v>
      </c>
      <c r="AN3689">
        <v>1.0000000506190001</v>
      </c>
    </row>
    <row r="3690" spans="1:40" x14ac:dyDescent="0.25">
      <c r="A3690" t="str">
        <f>"20190303162853959"</f>
        <v>20190303162853959</v>
      </c>
      <c r="B3690" t="str">
        <f>"1551601733954844"</f>
        <v>1551601733954844</v>
      </c>
      <c r="C3690" t="s">
        <v>40</v>
      </c>
      <c r="D3690">
        <v>4.8386630000000004</v>
      </c>
      <c r="E3690">
        <v>0.53811569999999997</v>
      </c>
      <c r="F3690" t="s">
        <v>41</v>
      </c>
      <c r="G3690">
        <v>-188.20660000000001</v>
      </c>
      <c r="H3690" s="1">
        <v>-4.4736300000000002E-6</v>
      </c>
      <c r="I3690">
        <v>199.3194</v>
      </c>
      <c r="J3690">
        <v>-197.3049</v>
      </c>
      <c r="K3690">
        <v>1.108268</v>
      </c>
      <c r="L3690">
        <v>210.6677</v>
      </c>
      <c r="M3690">
        <v>0.90663740000000004</v>
      </c>
      <c r="N3690">
        <v>-1.6189120000000001E-2</v>
      </c>
      <c r="O3690">
        <v>-0.42160039999999999</v>
      </c>
      <c r="P3690">
        <v>0.68230599999999997</v>
      </c>
      <c r="Q3690">
        <v>0.16450300000000001</v>
      </c>
      <c r="R3690">
        <v>-0.71231880000000003</v>
      </c>
      <c r="S3690">
        <v>1.9580230000000001</v>
      </c>
      <c r="T3690">
        <v>-0.2310981</v>
      </c>
      <c r="U3690">
        <v>-2.3963169999999998</v>
      </c>
      <c r="V3690">
        <v>0.36370550000000001</v>
      </c>
      <c r="W3690">
        <v>0.16791789999999901</v>
      </c>
      <c r="X3690">
        <v>0.91625429999999997</v>
      </c>
      <c r="Y3690">
        <v>0.434672</v>
      </c>
      <c r="Z3690">
        <v>5.7953220000000003E-3</v>
      </c>
      <c r="AA3690">
        <v>0.90057019999999899</v>
      </c>
      <c r="AB3690">
        <v>32</v>
      </c>
      <c r="AC3690">
        <v>9.0982999999999894</v>
      </c>
      <c r="AD3690">
        <v>-1.10827247362999</v>
      </c>
      <c r="AE3690">
        <v>-11.348299999999901</v>
      </c>
      <c r="AF3690">
        <v>6.4165385123277403</v>
      </c>
      <c r="AG3690">
        <v>-1.10827247362999</v>
      </c>
      <c r="AH3690">
        <v>12.959772449733901</v>
      </c>
      <c r="AI3690">
        <v>94.382433567750098</v>
      </c>
      <c r="AJ3690">
        <v>63.659437234296497</v>
      </c>
      <c r="AK3690">
        <v>14.503652516000001</v>
      </c>
      <c r="AL3690">
        <v>80.333216893441403</v>
      </c>
      <c r="AM3690">
        <v>68.349485989298003</v>
      </c>
      <c r="AN3690">
        <v>1.0000000270695699</v>
      </c>
    </row>
    <row r="3691" spans="1:40" x14ac:dyDescent="0.25">
      <c r="A3691" t="str">
        <f>"20190303162853982"</f>
        <v>20190303162853982</v>
      </c>
      <c r="B3691" t="str">
        <f>"1551601733975340"</f>
        <v>1551601733975340</v>
      </c>
      <c r="C3691" t="s">
        <v>40</v>
      </c>
      <c r="D3691">
        <v>4.8365499999999999</v>
      </c>
      <c r="E3691">
        <v>0.53738640000000004</v>
      </c>
      <c r="F3691" t="s">
        <v>41</v>
      </c>
      <c r="G3691">
        <v>-188.029</v>
      </c>
      <c r="H3691" s="1">
        <v>-4.3121169999999996E-6</v>
      </c>
      <c r="I3691">
        <v>198.86940000000001</v>
      </c>
      <c r="J3691">
        <v>-197.0044</v>
      </c>
      <c r="K3691">
        <v>1.10797099999999</v>
      </c>
      <c r="L3691">
        <v>210.51169999999999</v>
      </c>
      <c r="M3691">
        <v>0.89957410000000004</v>
      </c>
      <c r="N3691">
        <v>-1.6281090000000002E-2</v>
      </c>
      <c r="O3691">
        <v>-0.43646449999999998</v>
      </c>
      <c r="P3691">
        <v>0.66711149999999997</v>
      </c>
      <c r="Q3691">
        <v>0.16640389999999999</v>
      </c>
      <c r="R3691">
        <v>-0.72613490000000003</v>
      </c>
      <c r="S3691">
        <v>1.912445</v>
      </c>
      <c r="T3691">
        <v>-0.22849510000000001</v>
      </c>
      <c r="U3691">
        <v>-2.43248</v>
      </c>
      <c r="V3691">
        <v>0.36777549999999998</v>
      </c>
      <c r="W3691">
        <v>0.16948440000000001</v>
      </c>
      <c r="X3691">
        <v>0.91433920000000002</v>
      </c>
      <c r="Y3691">
        <v>0.43680409999999997</v>
      </c>
      <c r="Z3691">
        <v>6.4581769999999998E-3</v>
      </c>
      <c r="AA3691">
        <v>0.89953349999999899</v>
      </c>
      <c r="AB3691">
        <v>32</v>
      </c>
      <c r="AC3691">
        <v>8.9753999999999792</v>
      </c>
      <c r="AD3691">
        <v>-1.10797531211699</v>
      </c>
      <c r="AE3691">
        <v>-11.642299999999899</v>
      </c>
      <c r="AF3691">
        <v>6.5195019825987996</v>
      </c>
      <c r="AG3691">
        <v>-1.10797531211699</v>
      </c>
      <c r="AH3691">
        <v>13.0829122728071</v>
      </c>
      <c r="AI3691">
        <v>94.334657856054505</v>
      </c>
      <c r="AJ3691">
        <v>63.511917893311498</v>
      </c>
      <c r="AK3691">
        <v>14.659266998432701</v>
      </c>
      <c r="AL3691">
        <v>80.242157422543102</v>
      </c>
      <c r="AM3691">
        <v>68.088483585240596</v>
      </c>
      <c r="AN3691">
        <v>0.99999997645012395</v>
      </c>
    </row>
    <row r="3692" spans="1:40" x14ac:dyDescent="0.25">
      <c r="A3692" t="str">
        <f>"20190303162854003"</f>
        <v>20190303162854003</v>
      </c>
      <c r="B3692" t="str">
        <f>"1551601733994860"</f>
        <v>1551601733994860</v>
      </c>
      <c r="C3692" t="s">
        <v>40</v>
      </c>
      <c r="D3692">
        <v>4.7752730000000003</v>
      </c>
      <c r="E3692">
        <v>0.54514819999999997</v>
      </c>
      <c r="F3692" t="s">
        <v>41</v>
      </c>
      <c r="G3692">
        <v>-187.5367</v>
      </c>
      <c r="H3692" s="1">
        <v>-4.0235219999999999E-6</v>
      </c>
      <c r="I3692">
        <v>197.9931</v>
      </c>
      <c r="J3692">
        <v>-196.7296</v>
      </c>
      <c r="K3692">
        <v>1.1076979999999901</v>
      </c>
      <c r="L3692">
        <v>210.363</v>
      </c>
      <c r="M3692">
        <v>0.89266889999999999</v>
      </c>
      <c r="N3692">
        <v>-1.6369559999999998E-2</v>
      </c>
      <c r="O3692">
        <v>-0.45041589999999998</v>
      </c>
      <c r="P3692">
        <v>0.65253059999999996</v>
      </c>
      <c r="Q3692">
        <v>0.1672215</v>
      </c>
      <c r="R3692">
        <v>-0.73908109999999905</v>
      </c>
      <c r="S3692">
        <v>1.8659209999999999</v>
      </c>
      <c r="T3692">
        <v>-0.21836269999999999</v>
      </c>
      <c r="U3692">
        <v>-2.4671940000000001</v>
      </c>
      <c r="V3692">
        <v>0.37171720000000003</v>
      </c>
      <c r="W3692">
        <v>0.16998820000000001</v>
      </c>
      <c r="X3692">
        <v>0.91265019999999997</v>
      </c>
      <c r="Y3692">
        <v>0.43971399999999999</v>
      </c>
      <c r="Z3692">
        <v>6.4180009999999996E-3</v>
      </c>
      <c r="AA3692">
        <v>0.89811489999999905</v>
      </c>
      <c r="AB3692">
        <v>32</v>
      </c>
      <c r="AC3692">
        <v>9.1928999999999998</v>
      </c>
      <c r="AD3692">
        <v>-1.1077020235220001</v>
      </c>
      <c r="AE3692">
        <v>-12.369899999999999</v>
      </c>
      <c r="AF3692">
        <v>6.8670469608106401</v>
      </c>
      <c r="AG3692">
        <v>-1.1077020235220001</v>
      </c>
      <c r="AH3692">
        <v>13.708843138506101</v>
      </c>
      <c r="AI3692">
        <v>94.132147545317807</v>
      </c>
      <c r="AJ3692">
        <v>63.392750360117297</v>
      </c>
      <c r="AK3692">
        <v>15.372563804748401</v>
      </c>
      <c r="AL3692">
        <v>80.212867278582706</v>
      </c>
      <c r="AM3692">
        <v>67.839213756818907</v>
      </c>
      <c r="AN3692">
        <v>1.0000000262375499</v>
      </c>
    </row>
    <row r="3693" spans="1:40" x14ac:dyDescent="0.25">
      <c r="A3693" t="str">
        <f>"20190303162854026"</f>
        <v>20190303162854026</v>
      </c>
      <c r="B3693" t="str">
        <f>"1551601734015356"</f>
        <v>1551601734015356</v>
      </c>
      <c r="C3693" t="s">
        <v>40</v>
      </c>
      <c r="D3693">
        <v>4.9101339999999896</v>
      </c>
      <c r="E3693">
        <v>0.61788580000000004</v>
      </c>
      <c r="F3693" t="s">
        <v>41</v>
      </c>
      <c r="G3693">
        <v>-186.78229999999999</v>
      </c>
      <c r="H3693" s="1">
        <v>-3.3281010000000002E-6</v>
      </c>
      <c r="I3693">
        <v>196.06020000000001</v>
      </c>
      <c r="J3693">
        <v>-196.44280000000001</v>
      </c>
      <c r="K3693">
        <v>1.1074090000000001</v>
      </c>
      <c r="L3693">
        <v>210.2012</v>
      </c>
      <c r="M3693">
        <v>0.88497099999999995</v>
      </c>
      <c r="N3693">
        <v>-1.6466669999999999E-2</v>
      </c>
      <c r="O3693">
        <v>-0.46535549999999998</v>
      </c>
      <c r="P3693">
        <v>0.63840010000000003</v>
      </c>
      <c r="Q3693">
        <v>0.1665478</v>
      </c>
      <c r="R3693">
        <v>-0.75147019999999998</v>
      </c>
      <c r="S3693">
        <v>1.76821899999999</v>
      </c>
      <c r="T3693">
        <v>-0.19690530000000001</v>
      </c>
      <c r="U3693">
        <v>-2.542465</v>
      </c>
      <c r="V3693">
        <v>0.37391449999999998</v>
      </c>
      <c r="W3693">
        <v>0.16906669999999999</v>
      </c>
      <c r="X3693">
        <v>0.9119235</v>
      </c>
      <c r="Y3693">
        <v>0.46030450000000001</v>
      </c>
      <c r="Z3693">
        <v>4.6351480000000004E-3</v>
      </c>
      <c r="AA3693">
        <v>0.88774900000000001</v>
      </c>
      <c r="AB3693">
        <v>32</v>
      </c>
      <c r="AC3693">
        <v>9.6605000000000096</v>
      </c>
      <c r="AD3693">
        <v>-1.107412328101</v>
      </c>
      <c r="AE3693">
        <v>-14.140999999999901</v>
      </c>
      <c r="AF3693">
        <v>7.9864988507712704</v>
      </c>
      <c r="AG3693">
        <v>-1.107412328101</v>
      </c>
      <c r="AH3693">
        <v>15.0688935050091</v>
      </c>
      <c r="AI3693">
        <v>93.715214663533104</v>
      </c>
      <c r="AJ3693">
        <v>62.076453941156302</v>
      </c>
      <c r="AK3693">
        <v>17.090408930833298</v>
      </c>
      <c r="AL3693">
        <v>80.266440888708104</v>
      </c>
      <c r="AM3693">
        <v>67.704979631364907</v>
      </c>
      <c r="AN3693">
        <v>1.00000003610569</v>
      </c>
    </row>
    <row r="3694" spans="1:40" x14ac:dyDescent="0.25">
      <c r="A3694" t="str">
        <f>"20190303162854048"</f>
        <v>20190303162854048</v>
      </c>
      <c r="B3694" t="str">
        <f>"1551601734034876"</f>
        <v>1551601734034876</v>
      </c>
      <c r="C3694" t="s">
        <v>40</v>
      </c>
      <c r="D3694">
        <v>4.9538679999999999</v>
      </c>
      <c r="E3694">
        <v>0.61791779999999996</v>
      </c>
      <c r="F3694" t="s">
        <v>47</v>
      </c>
      <c r="G3694">
        <v>-191.87989999999999</v>
      </c>
      <c r="H3694" s="1">
        <v>7.403948E-6</v>
      </c>
      <c r="I3694">
        <v>199.6978</v>
      </c>
      <c r="J3694">
        <v>-196.15690000000001</v>
      </c>
      <c r="K3694">
        <v>1.107129</v>
      </c>
      <c r="L3694">
        <v>210.03319999999999</v>
      </c>
      <c r="M3694">
        <v>0.87679169999999995</v>
      </c>
      <c r="N3694">
        <v>-1.6566709999999998E-2</v>
      </c>
      <c r="O3694">
        <v>-0.48058479999999998</v>
      </c>
      <c r="P3694">
        <v>0.62498750000000003</v>
      </c>
      <c r="Q3694">
        <v>0.16563839999999999</v>
      </c>
      <c r="R3694">
        <v>-0.76285950000000002</v>
      </c>
      <c r="S3694">
        <v>1.2887729999999999</v>
      </c>
      <c r="T3694">
        <v>-0.3127799</v>
      </c>
      <c r="U3694">
        <v>-2.9666290000000002</v>
      </c>
      <c r="V3694">
        <v>0.37455949999999999</v>
      </c>
      <c r="W3694">
        <v>0.1679861</v>
      </c>
      <c r="X3694">
        <v>0.91185850000000002</v>
      </c>
      <c r="Y3694">
        <v>0.61120680000000005</v>
      </c>
      <c r="Z3694">
        <v>4.5904140000000001E-3</v>
      </c>
      <c r="AA3694">
        <v>0.79145759999999998</v>
      </c>
      <c r="AB3694">
        <v>32</v>
      </c>
      <c r="AC3694">
        <v>4.2770000000000099</v>
      </c>
      <c r="AD3694">
        <v>-1.107121596052</v>
      </c>
      <c r="AE3694">
        <v>-10.3353999999999</v>
      </c>
      <c r="AF3694">
        <v>6.9395083429813402</v>
      </c>
      <c r="AG3694">
        <v>-1.107121596052</v>
      </c>
      <c r="AH3694">
        <v>8.6336880531461997</v>
      </c>
      <c r="AI3694">
        <v>95.707690643519697</v>
      </c>
      <c r="AJ3694">
        <v>51.208687463014499</v>
      </c>
      <c r="AK3694">
        <v>11.132073646441199</v>
      </c>
      <c r="AL3694">
        <v>80.3292531065578</v>
      </c>
      <c r="AM3694">
        <v>67.668860408933796</v>
      </c>
      <c r="AN3694">
        <v>1.0000000364278501</v>
      </c>
    </row>
    <row r="3695" spans="1:40" x14ac:dyDescent="0.25">
      <c r="A3695" t="str">
        <f>"20190303162854071"</f>
        <v>20190303162854071</v>
      </c>
      <c r="B3695" t="str">
        <f>"1551601734065132"</f>
        <v>1551601734065132</v>
      </c>
      <c r="C3695" t="s">
        <v>40</v>
      </c>
      <c r="D3695">
        <v>5.1611900000000004</v>
      </c>
      <c r="E3695">
        <v>0.61135109999999904</v>
      </c>
      <c r="F3695" t="s">
        <v>47</v>
      </c>
      <c r="G3695">
        <v>-191.8723</v>
      </c>
      <c r="H3695" s="1">
        <v>7.4198849999999997E-6</v>
      </c>
      <c r="I3695">
        <v>199.6584</v>
      </c>
      <c r="J3695">
        <v>-195.86330000000001</v>
      </c>
      <c r="K3695">
        <v>1.106857</v>
      </c>
      <c r="L3695">
        <v>209.85339999999999</v>
      </c>
      <c r="M3695">
        <v>0.86784159999999899</v>
      </c>
      <c r="N3695">
        <v>-1.6668990000000002E-2</v>
      </c>
      <c r="O3695">
        <v>-0.49656149999999999</v>
      </c>
      <c r="P3695">
        <v>0.61117089999999996</v>
      </c>
      <c r="Q3695">
        <v>0.16453470000000001</v>
      </c>
      <c r="R3695">
        <v>-0.77420840000000002</v>
      </c>
      <c r="S3695">
        <v>1.2348939999999999</v>
      </c>
      <c r="T3695">
        <v>-0.31909349999999997</v>
      </c>
      <c r="U3695">
        <v>-2.990189</v>
      </c>
      <c r="V3695">
        <v>0.37452869999999999</v>
      </c>
      <c r="W3695">
        <v>0.16674539999999999</v>
      </c>
      <c r="X3695">
        <v>0.91209879999999999</v>
      </c>
      <c r="Y3695">
        <v>0.61110169999999997</v>
      </c>
      <c r="Z3695">
        <v>6.5240080000000004E-3</v>
      </c>
      <c r="AA3695">
        <v>0.79152519999999904</v>
      </c>
      <c r="AB3695">
        <v>32</v>
      </c>
      <c r="AC3695">
        <v>3.9910000000000099</v>
      </c>
      <c r="AD3695">
        <v>-1.106849580115</v>
      </c>
      <c r="AE3695">
        <v>-10.194999999999901</v>
      </c>
      <c r="AF3695">
        <v>6.7973477834170701</v>
      </c>
      <c r="AG3695">
        <v>-1.106849580115</v>
      </c>
      <c r="AH3695">
        <v>8.4409120546272494</v>
      </c>
      <c r="AI3695">
        <v>95.831443702639504</v>
      </c>
      <c r="AJ3695">
        <v>51.155995412040198</v>
      </c>
      <c r="AK3695">
        <v>10.893945529314699</v>
      </c>
      <c r="AL3695">
        <v>80.401356647370093</v>
      </c>
      <c r="AM3695">
        <v>67.675821569531905</v>
      </c>
      <c r="AN3695">
        <v>0.99999999825314501</v>
      </c>
    </row>
    <row r="3696" spans="1:40" x14ac:dyDescent="0.25">
      <c r="A3696" t="str">
        <f>"20190303162854093"</f>
        <v>20190303162854093</v>
      </c>
      <c r="B3696" t="str">
        <f>"1551601734085628"</f>
        <v>1551601734085628</v>
      </c>
      <c r="C3696" t="s">
        <v>40</v>
      </c>
      <c r="D3696">
        <v>5.2115660000000004</v>
      </c>
      <c r="E3696">
        <v>0.60575290000000004</v>
      </c>
      <c r="F3696" t="s">
        <v>47</v>
      </c>
      <c r="G3696">
        <v>-191.73429999999999</v>
      </c>
      <c r="H3696" s="1">
        <v>7.40645E-6</v>
      </c>
      <c r="I3696">
        <v>199.80029999999999</v>
      </c>
      <c r="J3696">
        <v>-195.59989999999999</v>
      </c>
      <c r="K3696">
        <v>1.106617</v>
      </c>
      <c r="L3696">
        <v>209.68559999999999</v>
      </c>
      <c r="M3696">
        <v>0.85930030000000002</v>
      </c>
      <c r="N3696">
        <v>-1.676008E-2</v>
      </c>
      <c r="O3696">
        <v>-0.51119720000000002</v>
      </c>
      <c r="P3696">
        <v>0.59748040000000002</v>
      </c>
      <c r="Q3696">
        <v>0.16429929999999901</v>
      </c>
      <c r="R3696">
        <v>-0.78487169999999995</v>
      </c>
      <c r="S3696">
        <v>1.2234499999999999</v>
      </c>
      <c r="T3696">
        <v>-0.32796320000000001</v>
      </c>
      <c r="U3696">
        <v>-2.9787750000000002</v>
      </c>
      <c r="V3696">
        <v>0.3752199</v>
      </c>
      <c r="W3696">
        <v>0.1663599</v>
      </c>
      <c r="X3696">
        <v>0.9118851</v>
      </c>
      <c r="Y3696">
        <v>0.59919359999999999</v>
      </c>
      <c r="Z3696">
        <v>9.5246879999999999E-3</v>
      </c>
      <c r="AA3696">
        <v>0.80054749999999997</v>
      </c>
      <c r="AB3696">
        <v>32</v>
      </c>
      <c r="AC3696">
        <v>3.8656000000000001</v>
      </c>
      <c r="AD3696">
        <v>-1.10660959355</v>
      </c>
      <c r="AE3696">
        <v>-9.8853000000000009</v>
      </c>
      <c r="AF3696">
        <v>6.4491719222335702</v>
      </c>
      <c r="AG3696">
        <v>-1.10660959355</v>
      </c>
      <c r="AH3696">
        <v>8.2861566757767999</v>
      </c>
      <c r="AI3696">
        <v>96.016212612838601</v>
      </c>
      <c r="AJ3696">
        <v>52.106135975063602</v>
      </c>
      <c r="AK3696">
        <v>10.558257229798</v>
      </c>
      <c r="AL3696">
        <v>80.423757185836095</v>
      </c>
      <c r="AM3696">
        <v>67.633952654740497</v>
      </c>
      <c r="AN3696">
        <v>1.00000001264301</v>
      </c>
    </row>
    <row r="3697" spans="1:40" x14ac:dyDescent="0.25">
      <c r="A3697" t="str">
        <f>"20190303162854117"</f>
        <v>20190303162854117</v>
      </c>
      <c r="B3697" t="str">
        <f>"1551601734105148"</f>
        <v>1551601734105148</v>
      </c>
      <c r="C3697" t="s">
        <v>40</v>
      </c>
      <c r="D3697">
        <v>4.788335</v>
      </c>
      <c r="E3697">
        <v>0.60668389999999905</v>
      </c>
      <c r="F3697" t="s">
        <v>47</v>
      </c>
      <c r="G3697">
        <v>-191.82599999999999</v>
      </c>
      <c r="H3697" s="1">
        <v>7.1690719999999998E-6</v>
      </c>
      <c r="I3697">
        <v>200.40280000000001</v>
      </c>
      <c r="J3697">
        <v>-195.32310000000001</v>
      </c>
      <c r="K3697">
        <v>1.1063700000000001</v>
      </c>
      <c r="L3697">
        <v>209.50219999999999</v>
      </c>
      <c r="M3697">
        <v>0.84977389999999997</v>
      </c>
      <c r="N3697">
        <v>-1.685673E-2</v>
      </c>
      <c r="O3697">
        <v>-0.52687759999999995</v>
      </c>
      <c r="P3697">
        <v>0.58234519999999901</v>
      </c>
      <c r="Q3697">
        <v>0.16349859999999999</v>
      </c>
      <c r="R3697">
        <v>-0.79633039999999999</v>
      </c>
      <c r="S3697">
        <v>1.209732</v>
      </c>
      <c r="T3697">
        <v>-0.35472759999999998</v>
      </c>
      <c r="U3697">
        <v>-2.9756320000000001</v>
      </c>
      <c r="V3697">
        <v>0.37615589999999999</v>
      </c>
      <c r="W3697">
        <v>0.1653973</v>
      </c>
      <c r="X3697">
        <v>0.9116746</v>
      </c>
      <c r="Y3697">
        <v>0.5872579</v>
      </c>
      <c r="Z3697">
        <v>1.411714E-2</v>
      </c>
      <c r="AA3697">
        <v>0.80927680000000002</v>
      </c>
      <c r="AB3697">
        <v>32</v>
      </c>
      <c r="AC3697">
        <v>3.4971000000000099</v>
      </c>
      <c r="AD3697">
        <v>-1.106362830928</v>
      </c>
      <c r="AE3697">
        <v>-9.0993999999999708</v>
      </c>
      <c r="AF3697">
        <v>5.81581458845434</v>
      </c>
      <c r="AG3697">
        <v>-1.106362830928</v>
      </c>
      <c r="AH3697">
        <v>7.6683448045185001</v>
      </c>
      <c r="AI3697">
        <v>96.557657963744902</v>
      </c>
      <c r="AJ3697">
        <v>52.822647098416198</v>
      </c>
      <c r="AK3697">
        <v>9.6876854863235096</v>
      </c>
      <c r="AL3697">
        <v>80.479685296850306</v>
      </c>
      <c r="AM3697">
        <v>67.579012122248102</v>
      </c>
      <c r="AN3697">
        <v>1.0000000521186201</v>
      </c>
    </row>
    <row r="3698" spans="1:40" x14ac:dyDescent="0.25">
      <c r="A3698" t="str">
        <f>"20190303162854139"</f>
        <v>20190303162854139</v>
      </c>
      <c r="B3698" t="str">
        <f>"1551601734125644"</f>
        <v>1551601734125644</v>
      </c>
      <c r="C3698" t="s">
        <v>40</v>
      </c>
      <c r="D3698">
        <v>4.8394750000000002</v>
      </c>
      <c r="E3698">
        <v>0.60784839999999996</v>
      </c>
      <c r="F3698" t="s">
        <v>47</v>
      </c>
      <c r="G3698">
        <v>-191.6173</v>
      </c>
      <c r="H3698" s="1">
        <v>7.4358869999999997E-6</v>
      </c>
      <c r="I3698">
        <v>199.80510000000001</v>
      </c>
      <c r="J3698">
        <v>-195.06530000000001</v>
      </c>
      <c r="K3698">
        <v>1.106141</v>
      </c>
      <c r="L3698">
        <v>209.3244</v>
      </c>
      <c r="M3698">
        <v>0.84035459999999995</v>
      </c>
      <c r="N3698">
        <v>-1.694884E-2</v>
      </c>
      <c r="O3698">
        <v>-0.54177219999999904</v>
      </c>
      <c r="P3698">
        <v>0.5666485</v>
      </c>
      <c r="Q3698">
        <v>0.16163529999999901</v>
      </c>
      <c r="R3698">
        <v>-0.80795019999999995</v>
      </c>
      <c r="S3698">
        <v>1.146225</v>
      </c>
      <c r="T3698">
        <v>-0.34219809999999901</v>
      </c>
      <c r="U3698">
        <v>-2.999298</v>
      </c>
      <c r="V3698">
        <v>0.37827040000000001</v>
      </c>
      <c r="W3698">
        <v>0.1633367</v>
      </c>
      <c r="X3698">
        <v>0.91117099999999995</v>
      </c>
      <c r="Y3698">
        <v>0.59016780000000002</v>
      </c>
      <c r="Z3698">
        <v>1.4583499999999999E-2</v>
      </c>
      <c r="AA3698">
        <v>0.80714889999999995</v>
      </c>
      <c r="AB3698">
        <v>32</v>
      </c>
      <c r="AC3698">
        <v>3.448</v>
      </c>
      <c r="AD3698">
        <v>-1.1061335641129999</v>
      </c>
      <c r="AE3698">
        <v>-9.5192999999999799</v>
      </c>
      <c r="AF3698">
        <v>6.0601024429828403</v>
      </c>
      <c r="AG3698">
        <v>-1.1061335641129999</v>
      </c>
      <c r="AH3698">
        <v>7.96096714867108</v>
      </c>
      <c r="AI3698">
        <v>96.308833050301899</v>
      </c>
      <c r="AJ3698">
        <v>52.720632950416203</v>
      </c>
      <c r="AK3698">
        <v>10.066050418278399</v>
      </c>
      <c r="AL3698">
        <v>80.599376228367504</v>
      </c>
      <c r="AM3698">
        <v>67.454338860648903</v>
      </c>
      <c r="AN3698">
        <v>0.99999998216202401</v>
      </c>
    </row>
    <row r="3699" spans="1:40" x14ac:dyDescent="0.25">
      <c r="A3699" t="str">
        <f>"20190303162854161"</f>
        <v>20190303162854161</v>
      </c>
      <c r="B3699" t="str">
        <f>"1551601734154924"</f>
        <v>1551601734154924</v>
      </c>
      <c r="C3699" t="s">
        <v>40</v>
      </c>
      <c r="D3699">
        <v>4.8297319999999999</v>
      </c>
      <c r="E3699">
        <v>0.60903499999999999</v>
      </c>
      <c r="F3699" t="s">
        <v>41</v>
      </c>
      <c r="G3699">
        <v>-191.44589999999999</v>
      </c>
      <c r="H3699" s="1">
        <v>-4.4066689999999999E-6</v>
      </c>
      <c r="I3699">
        <v>199.1823</v>
      </c>
      <c r="J3699">
        <v>-194.7903</v>
      </c>
      <c r="K3699">
        <v>1.105901</v>
      </c>
      <c r="L3699">
        <v>209.12719999999999</v>
      </c>
      <c r="M3699">
        <v>0.82970449999999996</v>
      </c>
      <c r="N3699">
        <v>-1.704901E-2</v>
      </c>
      <c r="O3699">
        <v>-0.55794259999999996</v>
      </c>
      <c r="P3699">
        <v>0.54896969999999901</v>
      </c>
      <c r="Q3699">
        <v>0.15964</v>
      </c>
      <c r="R3699">
        <v>-0.82045559999999995</v>
      </c>
      <c r="S3699">
        <v>1.0786439999999999</v>
      </c>
      <c r="T3699">
        <v>-0.32965060000000002</v>
      </c>
      <c r="U3699">
        <v>-3.0225219999999999</v>
      </c>
      <c r="V3699">
        <v>0.38075959999999998</v>
      </c>
      <c r="W3699">
        <v>0.1611243</v>
      </c>
      <c r="X3699">
        <v>0.91052789999999995</v>
      </c>
      <c r="Y3699">
        <v>0.59259899999999999</v>
      </c>
      <c r="Z3699">
        <v>1.5109859999999999E-2</v>
      </c>
      <c r="AA3699">
        <v>0.80535579999999996</v>
      </c>
      <c r="AB3699">
        <v>32</v>
      </c>
      <c r="AC3699">
        <v>3.3443999999999998</v>
      </c>
      <c r="AD3699">
        <v>-1.1059054066689999</v>
      </c>
      <c r="AE3699">
        <v>-9.9448999999999899</v>
      </c>
      <c r="AF3699">
        <v>6.3161024946575797</v>
      </c>
      <c r="AG3699">
        <v>-1.1059054066689999</v>
      </c>
      <c r="AH3699">
        <v>8.2332867118229593</v>
      </c>
      <c r="AI3699">
        <v>96.083262676526303</v>
      </c>
      <c r="AJ3699">
        <v>52.506660949902503</v>
      </c>
      <c r="AK3699">
        <v>10.435669004457701</v>
      </c>
      <c r="AL3699">
        <v>80.727839230484705</v>
      </c>
      <c r="AM3699">
        <v>67.306559230855001</v>
      </c>
      <c r="AN3699">
        <v>0.99999998486052899</v>
      </c>
    </row>
    <row r="3700" spans="1:40" x14ac:dyDescent="0.25">
      <c r="A3700" t="str">
        <f>"20190303162854183"</f>
        <v>20190303162854183</v>
      </c>
      <c r="B3700" t="str">
        <f>"1551601734175420"</f>
        <v>1551601734175420</v>
      </c>
      <c r="C3700" t="s">
        <v>40</v>
      </c>
      <c r="D3700">
        <v>7.2391500000000004</v>
      </c>
      <c r="E3700">
        <v>0.60806439999999995</v>
      </c>
      <c r="F3700" t="s">
        <v>41</v>
      </c>
      <c r="G3700">
        <v>-191.24299999999999</v>
      </c>
      <c r="H3700" s="1">
        <v>-4.0883969999999998E-6</v>
      </c>
      <c r="I3700">
        <v>198.3528</v>
      </c>
      <c r="J3700">
        <v>-194.53809999999999</v>
      </c>
      <c r="K3700">
        <v>1.10568</v>
      </c>
      <c r="L3700">
        <v>208.93889999999999</v>
      </c>
      <c r="M3700">
        <v>0.81934660000000004</v>
      </c>
      <c r="N3700">
        <v>-1.7142620000000001E-2</v>
      </c>
      <c r="O3700">
        <v>-0.573042099999999</v>
      </c>
      <c r="P3700">
        <v>0.53253600000000001</v>
      </c>
      <c r="Q3700">
        <v>0.157943</v>
      </c>
      <c r="R3700">
        <v>-0.83154039999999996</v>
      </c>
      <c r="S3700">
        <v>1.002945</v>
      </c>
      <c r="T3700">
        <v>-0.31267399999999901</v>
      </c>
      <c r="U3700">
        <v>-3.046265</v>
      </c>
      <c r="V3700">
        <v>0.3824882</v>
      </c>
      <c r="W3700">
        <v>0.1592576</v>
      </c>
      <c r="X3700">
        <v>0.91013180000000005</v>
      </c>
      <c r="Y3700">
        <v>0.59784519999999997</v>
      </c>
      <c r="Z3700">
        <v>1.4809630000000001E-2</v>
      </c>
      <c r="AA3700">
        <v>0.80147480000000004</v>
      </c>
      <c r="AB3700">
        <v>32</v>
      </c>
      <c r="AC3700">
        <v>3.2950999999999899</v>
      </c>
      <c r="AD3700">
        <v>-1.1056840883970001</v>
      </c>
      <c r="AE3700">
        <v>-10.586099999999901</v>
      </c>
      <c r="AF3700">
        <v>6.71962111746058</v>
      </c>
      <c r="AG3700">
        <v>-1.1056840883970001</v>
      </c>
      <c r="AH3700">
        <v>8.6810606070638094</v>
      </c>
      <c r="AI3700">
        <v>95.751387032032994</v>
      </c>
      <c r="AJ3700">
        <v>52.258146934241402</v>
      </c>
      <c r="AK3700">
        <v>11.0334336690384</v>
      </c>
      <c r="AL3700">
        <v>80.836193151437598</v>
      </c>
      <c r="AM3700">
        <v>67.205135111151705</v>
      </c>
      <c r="AN3700">
        <v>1.0000000498341099</v>
      </c>
    </row>
    <row r="3701" spans="1:40" x14ac:dyDescent="0.25">
      <c r="A3701" t="str">
        <f>"20190303162854205"</f>
        <v>20190303162854205</v>
      </c>
      <c r="B3701" t="str">
        <f>"1551601734194940"</f>
        <v>1551601734194940</v>
      </c>
      <c r="C3701" t="s">
        <v>40</v>
      </c>
      <c r="D3701">
        <v>5.292192</v>
      </c>
      <c r="E3701">
        <v>0.60619000000000001</v>
      </c>
      <c r="F3701" t="s">
        <v>41</v>
      </c>
      <c r="G3701">
        <v>-191.21719999999999</v>
      </c>
      <c r="H3701" s="1">
        <v>-4.0233540000000003E-6</v>
      </c>
      <c r="I3701">
        <v>198.21270000000001</v>
      </c>
      <c r="J3701">
        <v>-194.2911</v>
      </c>
      <c r="K3701">
        <v>1.1054790000000001</v>
      </c>
      <c r="L3701">
        <v>208.7467</v>
      </c>
      <c r="M3701">
        <v>0.80860339999999997</v>
      </c>
      <c r="N3701">
        <v>-1.7235529999999999E-2</v>
      </c>
      <c r="O3701">
        <v>-0.5881016</v>
      </c>
      <c r="P3701">
        <v>0.51687819999999995</v>
      </c>
      <c r="Q3701">
        <v>0.15699460000000001</v>
      </c>
      <c r="R3701">
        <v>-0.84153999999999995</v>
      </c>
      <c r="S3701">
        <v>0.94764709999999996</v>
      </c>
      <c r="T3701">
        <v>-0.31551620000000002</v>
      </c>
      <c r="U3701">
        <v>-3.0608219999999999</v>
      </c>
      <c r="V3701">
        <v>0.38286880000000001</v>
      </c>
      <c r="W3701">
        <v>0.15820870000000001</v>
      </c>
      <c r="X3701">
        <v>0.91015460000000004</v>
      </c>
      <c r="Y3701">
        <v>0.59731569999999901</v>
      </c>
      <c r="Z3701">
        <v>1.668826E-2</v>
      </c>
      <c r="AA3701">
        <v>0.80183260000000001</v>
      </c>
      <c r="AB3701">
        <v>32</v>
      </c>
      <c r="AC3701">
        <v>3.0739000000000001</v>
      </c>
      <c r="AD3701">
        <v>-1.1054830233540001</v>
      </c>
      <c r="AE3701">
        <v>-10.533999999999899</v>
      </c>
      <c r="AF3701">
        <v>6.6436327128537398</v>
      </c>
      <c r="AG3701">
        <v>-1.1054830233540001</v>
      </c>
      <c r="AH3701">
        <v>8.5946895425779193</v>
      </c>
      <c r="AI3701">
        <v>95.810709240269603</v>
      </c>
      <c r="AJ3701">
        <v>52.296236801026303</v>
      </c>
      <c r="AK3701">
        <v>10.9191866304923</v>
      </c>
      <c r="AL3701">
        <v>80.897061538410199</v>
      </c>
      <c r="AM3701">
        <v>67.185287647049805</v>
      </c>
      <c r="AN3701">
        <v>0.99999995333514402</v>
      </c>
    </row>
    <row r="3702" spans="1:40" x14ac:dyDescent="0.25">
      <c r="A3702" t="str">
        <f>"20190303162854231"</f>
        <v>20190303162854231</v>
      </c>
      <c r="B3702" t="str">
        <f>"1551601734225196"</f>
        <v>1551601734225196</v>
      </c>
      <c r="C3702" t="s">
        <v>40</v>
      </c>
      <c r="D3702">
        <v>5.2989639999999998</v>
      </c>
      <c r="E3702">
        <v>0.60366980000000003</v>
      </c>
      <c r="F3702" t="s">
        <v>41</v>
      </c>
      <c r="G3702">
        <v>-191.15459999999999</v>
      </c>
      <c r="H3702" s="1">
        <v>-3.9475139999999999E-6</v>
      </c>
      <c r="I3702">
        <v>198.07470000000001</v>
      </c>
      <c r="J3702">
        <v>-193.9974</v>
      </c>
      <c r="K3702">
        <v>1.1052550000000001</v>
      </c>
      <c r="L3702">
        <v>208.5078</v>
      </c>
      <c r="M3702">
        <v>0.79503169999999901</v>
      </c>
      <c r="N3702">
        <v>-1.734633E-2</v>
      </c>
      <c r="O3702">
        <v>-0.60632010000000003</v>
      </c>
      <c r="P3702">
        <v>0.49745420000000001</v>
      </c>
      <c r="Q3702">
        <v>0.15677459999999999</v>
      </c>
      <c r="R3702">
        <v>-0.85320649999999998</v>
      </c>
      <c r="S3702">
        <v>0.90229800000000004</v>
      </c>
      <c r="T3702">
        <v>-0.31802079999999999</v>
      </c>
      <c r="U3702">
        <v>-3.0700530000000001</v>
      </c>
      <c r="V3702">
        <v>0.38315979999999999</v>
      </c>
      <c r="W3702">
        <v>0.15788529999999901</v>
      </c>
      <c r="X3702">
        <v>0.91008840000000002</v>
      </c>
      <c r="Y3702">
        <v>0.59067569999999903</v>
      </c>
      <c r="Z3702">
        <v>1.932E-2</v>
      </c>
      <c r="AA3702">
        <v>0.8066778</v>
      </c>
      <c r="AB3702">
        <v>31</v>
      </c>
      <c r="AC3702">
        <v>2.8428000000000102</v>
      </c>
      <c r="AD3702">
        <v>-1.10525894751399</v>
      </c>
      <c r="AE3702">
        <v>-10.4330999999999</v>
      </c>
      <c r="AF3702">
        <v>6.5040373756271297</v>
      </c>
      <c r="AG3702">
        <v>-1.10525894751399</v>
      </c>
      <c r="AH3702">
        <v>8.4984204886519592</v>
      </c>
      <c r="AI3702">
        <v>95.896553299006399</v>
      </c>
      <c r="AJ3702">
        <v>52.572335782697202</v>
      </c>
      <c r="AK3702">
        <v>10.758589606753899</v>
      </c>
      <c r="AL3702">
        <v>80.915827712253204</v>
      </c>
      <c r="AM3702">
        <v>67.168234388539105</v>
      </c>
      <c r="AN3702">
        <v>1.00000004805334</v>
      </c>
    </row>
    <row r="3703" spans="1:40" x14ac:dyDescent="0.25">
      <c r="A3703" t="str">
        <f>"20190303162854251"</f>
        <v>20190303162854251</v>
      </c>
      <c r="B3703" t="str">
        <f>"1551601734245693"</f>
        <v>1551601734245693</v>
      </c>
      <c r="C3703" t="s">
        <v>40</v>
      </c>
      <c r="D3703">
        <v>5.0143199999999997</v>
      </c>
      <c r="E3703">
        <v>0.60278999999999905</v>
      </c>
      <c r="F3703" t="s">
        <v>41</v>
      </c>
      <c r="G3703">
        <v>-191.05029999999999</v>
      </c>
      <c r="H3703" s="1">
        <v>-3.810193E-6</v>
      </c>
      <c r="I3703">
        <v>197.8193</v>
      </c>
      <c r="J3703">
        <v>-193.77699999999999</v>
      </c>
      <c r="K3703">
        <v>1.1051040000000001</v>
      </c>
      <c r="L3703">
        <v>208.32130000000001</v>
      </c>
      <c r="M3703">
        <v>0.78427429999999998</v>
      </c>
      <c r="N3703">
        <v>-1.7427769999999999E-2</v>
      </c>
      <c r="O3703">
        <v>-0.62016939999999998</v>
      </c>
      <c r="P3703">
        <v>0.48199239999999999</v>
      </c>
      <c r="Q3703">
        <v>0.15766920000000001</v>
      </c>
      <c r="R3703">
        <v>-0.86187209999999903</v>
      </c>
      <c r="S3703">
        <v>0.84912109999999996</v>
      </c>
      <c r="T3703">
        <v>-0.31845089999999998</v>
      </c>
      <c r="U3703">
        <v>-3.07959</v>
      </c>
      <c r="V3703">
        <v>0.3835713</v>
      </c>
      <c r="W3703">
        <v>0.15870020000000001</v>
      </c>
      <c r="X3703">
        <v>0.90977319999999995</v>
      </c>
      <c r="Y3703">
        <v>0.59011759999999902</v>
      </c>
      <c r="Z3703">
        <v>2.0934120000000001E-2</v>
      </c>
      <c r="AA3703">
        <v>0.80704580000000004</v>
      </c>
      <c r="AB3703">
        <v>31</v>
      </c>
      <c r="AC3703">
        <v>2.7267000000000201</v>
      </c>
      <c r="AD3703">
        <v>-1.1051078101930001</v>
      </c>
      <c r="AE3703">
        <v>-10.502000000000001</v>
      </c>
      <c r="AF3703">
        <v>6.4792136636775099</v>
      </c>
      <c r="AG3703">
        <v>-1.1051078101930001</v>
      </c>
      <c r="AH3703">
        <v>8.5639738865714108</v>
      </c>
      <c r="AI3703">
        <v>95.875507551762894</v>
      </c>
      <c r="AJ3703">
        <v>52.890080244831999</v>
      </c>
      <c r="AK3703">
        <v>10.7955139619015</v>
      </c>
      <c r="AL3703">
        <v>80.868540629118499</v>
      </c>
      <c r="AM3703">
        <v>67.139128003927596</v>
      </c>
      <c r="AN3703">
        <v>0.99999998555098402</v>
      </c>
    </row>
    <row r="3704" spans="1:40" x14ac:dyDescent="0.25">
      <c r="A3704" t="str">
        <f>"20190303162854273"</f>
        <v>20190303162854273</v>
      </c>
      <c r="B3704" t="str">
        <f>"1551601734265212"</f>
        <v>1551601734265212</v>
      </c>
      <c r="C3704" t="s">
        <v>40</v>
      </c>
      <c r="D3704">
        <v>5.0306389999999999</v>
      </c>
      <c r="E3704">
        <v>0.60236650000000003</v>
      </c>
      <c r="F3704" t="s">
        <v>41</v>
      </c>
      <c r="G3704">
        <v>-190.9229</v>
      </c>
      <c r="H3704" s="1">
        <v>-3.5526850000000001E-6</v>
      </c>
      <c r="I3704">
        <v>197.29810000000001</v>
      </c>
      <c r="J3704">
        <v>-193.542</v>
      </c>
      <c r="K3704">
        <v>1.1049519999999999</v>
      </c>
      <c r="L3704">
        <v>208.1148</v>
      </c>
      <c r="M3704">
        <v>0.77221689999999998</v>
      </c>
      <c r="N3704">
        <v>-1.751175E-2</v>
      </c>
      <c r="O3704">
        <v>-0.63511779999999995</v>
      </c>
      <c r="P3704">
        <v>0.46542850000000002</v>
      </c>
      <c r="Q3704">
        <v>0.15783710000000001</v>
      </c>
      <c r="R3704">
        <v>-0.87089850000000002</v>
      </c>
      <c r="S3704">
        <v>0.80007930000000005</v>
      </c>
      <c r="T3704">
        <v>-0.30978739999999999</v>
      </c>
      <c r="U3704">
        <v>-3.090042</v>
      </c>
      <c r="V3704">
        <v>0.38353039999999999</v>
      </c>
      <c r="W3704">
        <v>0.15881419999999999</v>
      </c>
      <c r="X3704">
        <v>0.90977050000000004</v>
      </c>
      <c r="Y3704">
        <v>0.58734629999999999</v>
      </c>
      <c r="Z3704">
        <v>2.1710549999999999E-2</v>
      </c>
      <c r="AA3704">
        <v>0.80904449999999895</v>
      </c>
      <c r="AB3704">
        <v>31</v>
      </c>
      <c r="AC3704">
        <v>2.6191</v>
      </c>
      <c r="AD3704">
        <v>-1.1049555526849999</v>
      </c>
      <c r="AE3704">
        <v>-10.8166999999999</v>
      </c>
      <c r="AF3704">
        <v>6.6251211645171404</v>
      </c>
      <c r="AG3704">
        <v>-1.1049555526849999</v>
      </c>
      <c r="AH3704">
        <v>8.8069424848512892</v>
      </c>
      <c r="AI3704">
        <v>95.725477880387004</v>
      </c>
      <c r="AJ3704">
        <v>53.047275514634798</v>
      </c>
      <c r="AK3704">
        <v>11.0758924312861</v>
      </c>
      <c r="AL3704">
        <v>80.8619245911338</v>
      </c>
      <c r="AM3704">
        <v>67.141254214984798</v>
      </c>
      <c r="AN3704">
        <v>0.99999994025802297</v>
      </c>
    </row>
    <row r="3705" spans="1:40" x14ac:dyDescent="0.25">
      <c r="A3705" t="str">
        <f>"20190303162854294"</f>
        <v>20190303162854294</v>
      </c>
      <c r="B3705" t="str">
        <f>"1551601734285708"</f>
        <v>1551601734285708</v>
      </c>
      <c r="C3705" t="s">
        <v>40</v>
      </c>
      <c r="D3705">
        <v>5.0891460000000004</v>
      </c>
      <c r="E3705">
        <v>0.60188779999999997</v>
      </c>
      <c r="F3705" t="s">
        <v>41</v>
      </c>
      <c r="G3705">
        <v>-190.79140000000001</v>
      </c>
      <c r="H3705" s="1">
        <v>-3.233783E-6</v>
      </c>
      <c r="I3705">
        <v>196.63630000000001</v>
      </c>
      <c r="J3705">
        <v>-193.30969999999999</v>
      </c>
      <c r="K3705">
        <v>1.1048089999999999</v>
      </c>
      <c r="L3705">
        <v>207.9025</v>
      </c>
      <c r="M3705">
        <v>0.75967030000000002</v>
      </c>
      <c r="N3705">
        <v>-1.7591180000000001E-2</v>
      </c>
      <c r="O3705">
        <v>-0.6500705</v>
      </c>
      <c r="P3705">
        <v>0.44909650000000001</v>
      </c>
      <c r="Q3705">
        <v>0.15658420000000001</v>
      </c>
      <c r="R3705">
        <v>-0.87965530000000003</v>
      </c>
      <c r="S3705">
        <v>0.74325559999999902</v>
      </c>
      <c r="T3705">
        <v>-0.29857240000000002</v>
      </c>
      <c r="U3705">
        <v>-3.1016240000000002</v>
      </c>
      <c r="V3705">
        <v>0.38291920000000002</v>
      </c>
      <c r="W3705">
        <v>0.15754389999999999</v>
      </c>
      <c r="X3705">
        <v>0.91024879999999997</v>
      </c>
      <c r="Y3705">
        <v>0.58631639999999996</v>
      </c>
      <c r="Z3705">
        <v>2.1971069999999999E-2</v>
      </c>
      <c r="AA3705">
        <v>0.80978409999999901</v>
      </c>
      <c r="AB3705">
        <v>31</v>
      </c>
      <c r="AC3705">
        <v>2.51829999999998</v>
      </c>
      <c r="AD3705">
        <v>-1.104812233783</v>
      </c>
      <c r="AE3705">
        <v>-11.2661999999999</v>
      </c>
      <c r="AF3705">
        <v>6.85976740624315</v>
      </c>
      <c r="AG3705">
        <v>-1.104812233783</v>
      </c>
      <c r="AH3705">
        <v>9.1544853510281197</v>
      </c>
      <c r="AI3705">
        <v>95.516467958971106</v>
      </c>
      <c r="AJ3705">
        <v>53.154530792224598</v>
      </c>
      <c r="AK3705">
        <v>11.492676841443901</v>
      </c>
      <c r="AL3705">
        <v>80.935636291569196</v>
      </c>
      <c r="AM3705">
        <v>67.184711469102794</v>
      </c>
      <c r="AN3705">
        <v>1.0000000360286401</v>
      </c>
    </row>
    <row r="3706" spans="1:40" x14ac:dyDescent="0.25">
      <c r="A3706" t="str">
        <f>"20190303162854329"</f>
        <v>20190303162854329</v>
      </c>
      <c r="B3706" t="str">
        <f>"1551601734314988"</f>
        <v>1551601734314988</v>
      </c>
      <c r="C3706" t="s">
        <v>40</v>
      </c>
      <c r="D3706">
        <v>5.0842260000000001</v>
      </c>
      <c r="E3706">
        <v>0.60073330000000003</v>
      </c>
      <c r="F3706" t="s">
        <v>41</v>
      </c>
      <c r="G3706">
        <v>-190.7115</v>
      </c>
      <c r="H3706" s="1">
        <v>-2.9919059999999998E-6</v>
      </c>
      <c r="I3706">
        <v>196.12200000000001</v>
      </c>
      <c r="J3706">
        <v>-192.95760000000001</v>
      </c>
      <c r="K3706">
        <v>1.1046149999999999</v>
      </c>
      <c r="L3706">
        <v>207.56399999999999</v>
      </c>
      <c r="M3706">
        <v>0.73937589999999997</v>
      </c>
      <c r="N3706">
        <v>-1.7705039999999998E-2</v>
      </c>
      <c r="O3706">
        <v>-0.67306009999999905</v>
      </c>
      <c r="P3706">
        <v>0.42447499999999999</v>
      </c>
      <c r="Q3706">
        <v>0.15609379999999901</v>
      </c>
      <c r="R3706">
        <v>-0.89188310000000004</v>
      </c>
      <c r="S3706">
        <v>0.68635559999999995</v>
      </c>
      <c r="T3706">
        <v>-0.29184900000000003</v>
      </c>
      <c r="U3706">
        <v>-3.1119539999999999</v>
      </c>
      <c r="V3706">
        <v>0.380413</v>
      </c>
      <c r="W3706">
        <v>0.1571101</v>
      </c>
      <c r="X3706">
        <v>0.91137389999999996</v>
      </c>
      <c r="Y3706">
        <v>0.57620459999999996</v>
      </c>
      <c r="Z3706">
        <v>2.4015390000000001E-2</v>
      </c>
      <c r="AA3706">
        <v>0.81695260000000003</v>
      </c>
      <c r="AB3706">
        <v>31</v>
      </c>
      <c r="AC3706">
        <v>2.24610000000001</v>
      </c>
      <c r="AD3706">
        <v>-1.104617991906</v>
      </c>
      <c r="AE3706">
        <v>-11.442</v>
      </c>
      <c r="AF3706">
        <v>6.88745780276495</v>
      </c>
      <c r="AG3706">
        <v>-1.104617991906</v>
      </c>
      <c r="AH3706">
        <v>9.2800514221108497</v>
      </c>
      <c r="AI3706">
        <v>95.459903545546894</v>
      </c>
      <c r="AJ3706">
        <v>53.417977108953899</v>
      </c>
      <c r="AK3706">
        <v>11.609332895990701</v>
      </c>
      <c r="AL3706">
        <v>80.9608043937004</v>
      </c>
      <c r="AM3706">
        <v>67.3440466934764</v>
      </c>
      <c r="AN3706">
        <v>1.0000000098461099</v>
      </c>
    </row>
    <row r="3707" spans="1:40" x14ac:dyDescent="0.25">
      <c r="A3707" t="str">
        <f>"20190303162854353"</f>
        <v>20190303162854353</v>
      </c>
      <c r="B3707" t="str">
        <f>"1551601734345244"</f>
        <v>1551601734345244</v>
      </c>
      <c r="C3707" t="s">
        <v>40</v>
      </c>
      <c r="D3707">
        <v>5.1694230000000001</v>
      </c>
      <c r="E3707">
        <v>0.59937339999999995</v>
      </c>
      <c r="F3707" t="s">
        <v>41</v>
      </c>
      <c r="G3707">
        <v>-190.5899</v>
      </c>
      <c r="H3707" s="1">
        <v>-2.6272180000000001E-6</v>
      </c>
      <c r="I3707">
        <v>195.34729999999999</v>
      </c>
      <c r="J3707">
        <v>-192.7209</v>
      </c>
      <c r="K3707">
        <v>1.104506</v>
      </c>
      <c r="L3707">
        <v>207.32400000000001</v>
      </c>
      <c r="M3707">
        <v>0.72479769999999999</v>
      </c>
      <c r="N3707">
        <v>-1.777716E-2</v>
      </c>
      <c r="O3707">
        <v>-0.68873229999999996</v>
      </c>
      <c r="P3707">
        <v>0.40629860000000001</v>
      </c>
      <c r="Q3707">
        <v>0.15773519999999999</v>
      </c>
      <c r="R3707">
        <v>-0.90002249999999995</v>
      </c>
      <c r="S3707">
        <v>0.60562130000000003</v>
      </c>
      <c r="T3707">
        <v>-0.28254879999999999</v>
      </c>
      <c r="U3707">
        <v>-3.1248930000000001</v>
      </c>
      <c r="V3707">
        <v>0.3792893</v>
      </c>
      <c r="W3707">
        <v>0.15876709999999999</v>
      </c>
      <c r="X3707">
        <v>0.91155509999999995</v>
      </c>
      <c r="Y3707">
        <v>0.57969999999999999</v>
      </c>
      <c r="Z3707">
        <v>2.4141960000000001E-2</v>
      </c>
      <c r="AA3707">
        <v>0.81447230000000004</v>
      </c>
      <c r="AB3707">
        <v>31</v>
      </c>
      <c r="AC3707">
        <v>2.1309999999999998</v>
      </c>
      <c r="AD3707">
        <v>-1.104508627218</v>
      </c>
      <c r="AE3707">
        <v>-11.976699999999999</v>
      </c>
      <c r="AF3707">
        <v>7.1551507268282499</v>
      </c>
      <c r="AG3707">
        <v>-1.104508627218</v>
      </c>
      <c r="AH3707">
        <v>9.7147457990523698</v>
      </c>
      <c r="AI3707">
        <v>95.230501543751799</v>
      </c>
      <c r="AJ3707">
        <v>53.627434697077199</v>
      </c>
      <c r="AK3707">
        <v>12.115791644438</v>
      </c>
      <c r="AL3707">
        <v>80.864658754064294</v>
      </c>
      <c r="AM3707">
        <v>67.408275589917807</v>
      </c>
      <c r="AN3707">
        <v>1.00000003273645</v>
      </c>
    </row>
    <row r="3708" spans="1:40" x14ac:dyDescent="0.25">
      <c r="A3708" t="str">
        <f>"20190303162854373"</f>
        <v>20190303162854373</v>
      </c>
      <c r="B3708" t="str">
        <f>"1551601734365740"</f>
        <v>1551601734365740</v>
      </c>
      <c r="C3708" t="s">
        <v>40</v>
      </c>
      <c r="D3708">
        <v>5.1358899999999998</v>
      </c>
      <c r="E3708">
        <v>0.59892339999999999</v>
      </c>
      <c r="F3708" t="s">
        <v>41</v>
      </c>
      <c r="G3708">
        <v>-190.47049999999999</v>
      </c>
      <c r="H3708" s="1">
        <v>-2.2632939999999998E-6</v>
      </c>
      <c r="I3708">
        <v>194.57310000000001</v>
      </c>
      <c r="J3708">
        <v>-192.51769999999999</v>
      </c>
      <c r="K3708">
        <v>1.104422</v>
      </c>
      <c r="L3708">
        <v>207.10939999999999</v>
      </c>
      <c r="M3708">
        <v>0.71164620000000001</v>
      </c>
      <c r="N3708">
        <v>-1.7835449999999999E-2</v>
      </c>
      <c r="O3708">
        <v>-0.70231180000000004</v>
      </c>
      <c r="P3708">
        <v>0.3896964</v>
      </c>
      <c r="Q3708">
        <v>0.1601477</v>
      </c>
      <c r="R3708">
        <v>-0.90691219999999995</v>
      </c>
      <c r="S3708">
        <v>0.55264279999999999</v>
      </c>
      <c r="T3708">
        <v>-0.27123999999999998</v>
      </c>
      <c r="U3708">
        <v>-3.1313019999999998</v>
      </c>
      <c r="V3708">
        <v>0.37863219999999997</v>
      </c>
      <c r="W3708">
        <v>0.16118179999999999</v>
      </c>
      <c r="X3708">
        <v>0.9114044</v>
      </c>
      <c r="Y3708">
        <v>0.57799149999999999</v>
      </c>
      <c r="Z3708">
        <v>2.3945040000000001E-2</v>
      </c>
      <c r="AA3708">
        <v>0.81569139999999996</v>
      </c>
      <c r="AB3708">
        <v>31</v>
      </c>
      <c r="AC3708">
        <v>2.0472000000000001</v>
      </c>
      <c r="AD3708">
        <v>-1.104424263294</v>
      </c>
      <c r="AE3708">
        <v>-12.536299999999899</v>
      </c>
      <c r="AF3708">
        <v>7.42866870761166</v>
      </c>
      <c r="AG3708">
        <v>-1.104424263294</v>
      </c>
      <c r="AH3708">
        <v>10.185902388008</v>
      </c>
      <c r="AI3708">
        <v>95.006540881154905</v>
      </c>
      <c r="AJ3708">
        <v>53.896397914622298</v>
      </c>
      <c r="AK3708">
        <v>12.655334020832001</v>
      </c>
      <c r="AL3708">
        <v>80.724500746187204</v>
      </c>
      <c r="AM3708">
        <v>67.440135212974894</v>
      </c>
      <c r="AN3708">
        <v>0.99999994793371805</v>
      </c>
    </row>
    <row r="3709" spans="1:40" x14ac:dyDescent="0.25">
      <c r="A3709" t="str">
        <f>"20190303162854395"</f>
        <v>20190303162854395</v>
      </c>
      <c r="B3709" t="str">
        <f>"1551601734385261"</f>
        <v>1551601734385261</v>
      </c>
      <c r="C3709" t="s">
        <v>40</v>
      </c>
      <c r="D3709">
        <v>5.1512229999999999</v>
      </c>
      <c r="E3709">
        <v>0.579908599999999</v>
      </c>
      <c r="F3709" t="s">
        <v>41</v>
      </c>
      <c r="G3709">
        <v>-190.41890000000001</v>
      </c>
      <c r="H3709" s="1">
        <v>-1.9694539999999999E-6</v>
      </c>
      <c r="I3709">
        <v>193.92009999999999</v>
      </c>
      <c r="J3709">
        <v>-192.3083</v>
      </c>
      <c r="K3709">
        <v>1.1043350000000001</v>
      </c>
      <c r="L3709">
        <v>206.8794</v>
      </c>
      <c r="M3709">
        <v>0.69743339999999998</v>
      </c>
      <c r="N3709">
        <v>-1.7891669999999998E-2</v>
      </c>
      <c r="O3709">
        <v>-0.71642649999999997</v>
      </c>
      <c r="P3709">
        <v>0.37210929999999998</v>
      </c>
      <c r="Q3709">
        <v>0.16158410000000001</v>
      </c>
      <c r="R3709">
        <v>-0.9140161</v>
      </c>
      <c r="S3709">
        <v>0.49960329999999997</v>
      </c>
      <c r="T3709">
        <v>-0.26290599999999997</v>
      </c>
      <c r="U3709">
        <v>-3.1396790000000001</v>
      </c>
      <c r="V3709">
        <v>0.3778899</v>
      </c>
      <c r="W3709">
        <v>0.16262869999999999</v>
      </c>
      <c r="X3709">
        <v>0.91145549999999997</v>
      </c>
      <c r="Y3709">
        <v>0.57547000000000004</v>
      </c>
      <c r="Z3709">
        <v>2.4144309999999999E-2</v>
      </c>
      <c r="AA3709">
        <v>0.81746640000000004</v>
      </c>
      <c r="AB3709">
        <v>31</v>
      </c>
      <c r="AC3709">
        <v>1.88939999999999</v>
      </c>
      <c r="AD3709">
        <v>-1.104336969454</v>
      </c>
      <c r="AE3709">
        <v>-12.959300000000001</v>
      </c>
      <c r="AF3709">
        <v>7.6315960747943201</v>
      </c>
      <c r="AG3709">
        <v>-1.104336969454</v>
      </c>
      <c r="AH3709">
        <v>10.528944904866099</v>
      </c>
      <c r="AI3709">
        <v>94.854133456156404</v>
      </c>
      <c r="AJ3709">
        <v>54.0646264954865</v>
      </c>
      <c r="AK3709">
        <v>13.050651309441401</v>
      </c>
      <c r="AL3709">
        <v>80.640491559900894</v>
      </c>
      <c r="AM3709">
        <v>67.481079725118505</v>
      </c>
      <c r="AN3709">
        <v>0.99999999953297403</v>
      </c>
    </row>
    <row r="3710" spans="1:40" x14ac:dyDescent="0.25">
      <c r="A3710" t="str">
        <f>"20190303162854417"</f>
        <v>20190303162854417</v>
      </c>
      <c r="B3710" t="str">
        <f>"1551601734405755"</f>
        <v>1551601734405755</v>
      </c>
      <c r="C3710" t="s">
        <v>40</v>
      </c>
      <c r="D3710">
        <v>5.1376839999999904</v>
      </c>
      <c r="E3710">
        <v>0.57991380000000003</v>
      </c>
      <c r="F3710" t="s">
        <v>41</v>
      </c>
      <c r="G3710">
        <v>-189.11760000000001</v>
      </c>
      <c r="H3710" s="1">
        <v>-2.7547810000000002E-7</v>
      </c>
      <c r="I3710">
        <v>189.76769999999999</v>
      </c>
      <c r="J3710">
        <v>-192.10220000000001</v>
      </c>
      <c r="K3710">
        <v>1.1042700000000001</v>
      </c>
      <c r="L3710">
        <v>206.6437</v>
      </c>
      <c r="M3710">
        <v>0.68274809999999997</v>
      </c>
      <c r="N3710">
        <v>-1.7943319999999999E-2</v>
      </c>
      <c r="O3710">
        <v>-0.73043369999999996</v>
      </c>
      <c r="P3710">
        <v>0.35516730000000002</v>
      </c>
      <c r="Q3710">
        <v>0.16184490000000001</v>
      </c>
      <c r="R3710">
        <v>-0.92068609999999995</v>
      </c>
      <c r="S3710">
        <v>0.57492069999999995</v>
      </c>
      <c r="T3710">
        <v>-0.19898640000000001</v>
      </c>
      <c r="U3710">
        <v>-3.083313</v>
      </c>
      <c r="V3710">
        <v>0.37622709999999998</v>
      </c>
      <c r="W3710">
        <v>0.1629514</v>
      </c>
      <c r="X3710">
        <v>0.91208549999999999</v>
      </c>
      <c r="Y3710">
        <v>0.53683230000000004</v>
      </c>
      <c r="Z3710">
        <v>1.7019719999999999E-2</v>
      </c>
      <c r="AA3710">
        <v>0.84351719999999897</v>
      </c>
      <c r="AB3710">
        <v>31</v>
      </c>
      <c r="AC3710">
        <v>2.9845999999999999</v>
      </c>
      <c r="AD3710">
        <v>-1.1042702754781</v>
      </c>
      <c r="AE3710">
        <v>-16.876000000000001</v>
      </c>
      <c r="AF3710">
        <v>9.3048753098766301</v>
      </c>
      <c r="AG3710">
        <v>-1.1042702754781</v>
      </c>
      <c r="AH3710">
        <v>14.3074381901948</v>
      </c>
      <c r="AI3710">
        <v>93.701989131961994</v>
      </c>
      <c r="AJ3710">
        <v>56.9619447768493</v>
      </c>
      <c r="AK3710">
        <v>17.102716302970698</v>
      </c>
      <c r="AL3710">
        <v>80.621752005368705</v>
      </c>
      <c r="AM3710">
        <v>67.584291051556406</v>
      </c>
      <c r="AN3710">
        <v>0.99999997442330901</v>
      </c>
    </row>
    <row r="3711" spans="1:40" x14ac:dyDescent="0.25">
      <c r="A3711" t="str">
        <f>"20190303162854441"</f>
        <v>20190303162854441</v>
      </c>
      <c r="B3711" t="str">
        <f>"1551601734435036"</f>
        <v>1551601734435036</v>
      </c>
      <c r="C3711" t="s">
        <v>40</v>
      </c>
      <c r="D3711">
        <v>5.2009189999999998</v>
      </c>
      <c r="E3711">
        <v>0.57846280000000005</v>
      </c>
      <c r="F3711" t="s">
        <v>41</v>
      </c>
      <c r="G3711">
        <v>-189.11369999999999</v>
      </c>
      <c r="H3711" s="1">
        <v>-4.0470819999999997E-6</v>
      </c>
      <c r="I3711">
        <v>188.70009999999999</v>
      </c>
      <c r="J3711">
        <v>-191.8836</v>
      </c>
      <c r="K3711">
        <v>1.1042069999999999</v>
      </c>
      <c r="L3711">
        <v>206.38300000000001</v>
      </c>
      <c r="M3711">
        <v>0.66637270000000004</v>
      </c>
      <c r="N3711">
        <v>-1.7994280000000001E-2</v>
      </c>
      <c r="O3711">
        <v>-0.7454018</v>
      </c>
      <c r="P3711">
        <v>0.33643810000000002</v>
      </c>
      <c r="Q3711">
        <v>0.16342409999999999</v>
      </c>
      <c r="R3711">
        <v>-0.92741669999999998</v>
      </c>
      <c r="S3711">
        <v>0.51516720000000005</v>
      </c>
      <c r="T3711">
        <v>-0.19035830000000001</v>
      </c>
      <c r="U3711">
        <v>-3.0931700000000002</v>
      </c>
      <c r="V3711">
        <v>0.37437670000000001</v>
      </c>
      <c r="W3711">
        <v>0.16460159999999999</v>
      </c>
      <c r="X3711">
        <v>0.91255050000000004</v>
      </c>
      <c r="Y3711">
        <v>0.53443289999999999</v>
      </c>
      <c r="Z3711">
        <v>1.661526E-2</v>
      </c>
      <c r="AA3711">
        <v>0.84504760000000001</v>
      </c>
      <c r="AB3711">
        <v>31</v>
      </c>
      <c r="AC3711">
        <v>2.7698999999999998</v>
      </c>
      <c r="AD3711">
        <v>-1.1042110470819999</v>
      </c>
      <c r="AE3711">
        <v>-17.682899999999901</v>
      </c>
      <c r="AF3711">
        <v>9.6834309459973493</v>
      </c>
      <c r="AG3711">
        <v>-1.1042110470819999</v>
      </c>
      <c r="AH3711">
        <v>14.9720990824291</v>
      </c>
      <c r="AI3711">
        <v>93.543667303910894</v>
      </c>
      <c r="AJ3711">
        <v>57.106621720608302</v>
      </c>
      <c r="AK3711">
        <v>17.864822077380701</v>
      </c>
      <c r="AL3711">
        <v>80.525908681516498</v>
      </c>
      <c r="AM3711">
        <v>67.693955755539804</v>
      </c>
      <c r="AN3711">
        <v>1.0000000076378499</v>
      </c>
    </row>
    <row r="3712" spans="1:40" x14ac:dyDescent="0.25">
      <c r="A3712" t="str">
        <f>"20190303162854463"</f>
        <v>20190303162854463</v>
      </c>
      <c r="B3712" t="str">
        <f>"1551601734455532"</f>
        <v>1551601734455532</v>
      </c>
      <c r="C3712" t="s">
        <v>40</v>
      </c>
      <c r="D3712">
        <v>5.2515539999999996</v>
      </c>
      <c r="E3712">
        <v>0.57683660000000003</v>
      </c>
      <c r="F3712" t="s">
        <v>41</v>
      </c>
      <c r="G3712">
        <v>-189.1182</v>
      </c>
      <c r="H3712" s="1">
        <v>-3.6656900000000001E-6</v>
      </c>
      <c r="I3712">
        <v>187.81299999999999</v>
      </c>
      <c r="J3712">
        <v>-191.69239999999999</v>
      </c>
      <c r="K3712">
        <v>1.1041650000000001</v>
      </c>
      <c r="L3712">
        <v>206.1446</v>
      </c>
      <c r="M3712">
        <v>0.65130189999999999</v>
      </c>
      <c r="N3712">
        <v>-1.8035470000000001E-2</v>
      </c>
      <c r="O3712">
        <v>-0.75860459999999996</v>
      </c>
      <c r="P3712">
        <v>0.31886799999999998</v>
      </c>
      <c r="Q3712">
        <v>0.16658000000000001</v>
      </c>
      <c r="R3712">
        <v>-0.93304600000000004</v>
      </c>
      <c r="S3712">
        <v>0.46162409999999998</v>
      </c>
      <c r="T3712">
        <v>-0.18432190000000001</v>
      </c>
      <c r="U3712">
        <v>-3.0998230000000002</v>
      </c>
      <c r="V3712">
        <v>0.37310700000000002</v>
      </c>
      <c r="W3712">
        <v>0.16780229999999999</v>
      </c>
      <c r="X3712">
        <v>0.91248759999999995</v>
      </c>
      <c r="Y3712">
        <v>0.53205579999999997</v>
      </c>
      <c r="Z3712">
        <v>1.648341E-2</v>
      </c>
      <c r="AA3712">
        <v>0.84654889999999905</v>
      </c>
      <c r="AB3712">
        <v>31</v>
      </c>
      <c r="AC3712">
        <v>2.5741999999999901</v>
      </c>
      <c r="AD3712">
        <v>-1.1041686656899901</v>
      </c>
      <c r="AE3712">
        <v>-18.331600000000002</v>
      </c>
      <c r="AF3712">
        <v>9.9528178544608803</v>
      </c>
      <c r="AG3712">
        <v>-1.1041686656899901</v>
      </c>
      <c r="AH3712">
        <v>15.530294773136401</v>
      </c>
      <c r="AI3712">
        <v>93.425641654646</v>
      </c>
      <c r="AJ3712">
        <v>57.345623005711502</v>
      </c>
      <c r="AK3712">
        <v>18.478848108766801</v>
      </c>
      <c r="AL3712">
        <v>80.339935673865497</v>
      </c>
      <c r="AM3712">
        <v>67.760840941713695</v>
      </c>
      <c r="AN3712">
        <v>1.0000000327440199</v>
      </c>
    </row>
    <row r="3713" spans="1:40" x14ac:dyDescent="0.25">
      <c r="A3713" t="str">
        <f>"20190303162854484"</f>
        <v>20190303162854484</v>
      </c>
      <c r="B3713" t="str">
        <f>"1551601734475052"</f>
        <v>1551601734475052</v>
      </c>
      <c r="C3713" t="s">
        <v>40</v>
      </c>
      <c r="D3713">
        <v>5.2875170000000002</v>
      </c>
      <c r="E3713">
        <v>0.57515050000000001</v>
      </c>
      <c r="F3713" t="s">
        <v>41</v>
      </c>
      <c r="G3713">
        <v>-189.1172</v>
      </c>
      <c r="H3713" s="1">
        <v>-3.3067239999999999E-6</v>
      </c>
      <c r="I3713">
        <v>186.97579999999999</v>
      </c>
      <c r="J3713">
        <v>-191.50909999999999</v>
      </c>
      <c r="K3713">
        <v>1.1041299999999901</v>
      </c>
      <c r="L3713">
        <v>205.9058</v>
      </c>
      <c r="M3713">
        <v>0.63612199999999997</v>
      </c>
      <c r="N3713">
        <v>-1.8071730000000001E-2</v>
      </c>
      <c r="O3713">
        <v>-0.77137699999999998</v>
      </c>
      <c r="P3713">
        <v>0.30106909999999998</v>
      </c>
      <c r="Q3713">
        <v>0.16888539999999999</v>
      </c>
      <c r="R3713">
        <v>-0.93852840000000004</v>
      </c>
      <c r="S3713">
        <v>0.417099</v>
      </c>
      <c r="T3713">
        <v>-0.17883489999999999</v>
      </c>
      <c r="U3713">
        <v>-3.1046450000000001</v>
      </c>
      <c r="V3713">
        <v>0.37220370000000003</v>
      </c>
      <c r="W3713">
        <v>0.1701404</v>
      </c>
      <c r="X3713">
        <v>0.91242350000000005</v>
      </c>
      <c r="Y3713">
        <v>0.52736830000000001</v>
      </c>
      <c r="Z3713">
        <v>1.6436300000000001E-2</v>
      </c>
      <c r="AA3713">
        <v>0.84947779999999995</v>
      </c>
      <c r="AB3713">
        <v>31</v>
      </c>
      <c r="AC3713">
        <v>2.3918999999999899</v>
      </c>
      <c r="AD3713">
        <v>-1.10413330672399</v>
      </c>
      <c r="AE3713">
        <v>-18.93</v>
      </c>
      <c r="AF3713">
        <v>10.164360604706401</v>
      </c>
      <c r="AG3713">
        <v>-1.10413330672399</v>
      </c>
      <c r="AH3713">
        <v>16.072517875642099</v>
      </c>
      <c r="AI3713">
        <v>93.322910001845798</v>
      </c>
      <c r="AJ3713">
        <v>57.690484091969502</v>
      </c>
      <c r="AK3713">
        <v>19.048862635978001</v>
      </c>
      <c r="AL3713">
        <v>80.2040176603426</v>
      </c>
      <c r="AM3713">
        <v>67.808044491454993</v>
      </c>
      <c r="AN3713">
        <v>0.99999999667905004</v>
      </c>
    </row>
    <row r="3714" spans="1:40" x14ac:dyDescent="0.25">
      <c r="A3714" t="str">
        <f>"20190303162854508"</f>
        <v>20190303162854508</v>
      </c>
      <c r="B3714" t="str">
        <f>"1551601734495548"</f>
        <v>1551601734495548</v>
      </c>
      <c r="C3714" t="s">
        <v>40</v>
      </c>
      <c r="D3714">
        <v>5.2632859999999999</v>
      </c>
      <c r="E3714">
        <v>0.57474440000000004</v>
      </c>
      <c r="F3714" t="s">
        <v>41</v>
      </c>
      <c r="G3714">
        <v>-189.22630000000001</v>
      </c>
      <c r="H3714" s="1">
        <v>-3.2276830000000002E-6</v>
      </c>
      <c r="I3714">
        <v>186.83670000000001</v>
      </c>
      <c r="J3714">
        <v>-191.31299999999999</v>
      </c>
      <c r="K3714">
        <v>1.1040939999999999</v>
      </c>
      <c r="L3714">
        <v>205.6386</v>
      </c>
      <c r="M3714">
        <v>0.61903790000000003</v>
      </c>
      <c r="N3714">
        <v>-1.8106799999999999E-2</v>
      </c>
      <c r="O3714">
        <v>-0.78515239999999997</v>
      </c>
      <c r="P3714">
        <v>0.28255619999999998</v>
      </c>
      <c r="Q3714">
        <v>0.17017599999999999</v>
      </c>
      <c r="R3714">
        <v>-0.94403499999999996</v>
      </c>
      <c r="S3714">
        <v>0.37225340000000001</v>
      </c>
      <c r="T3714">
        <v>-0.18004629999999999</v>
      </c>
      <c r="U3714">
        <v>-3.1095280000000001</v>
      </c>
      <c r="V3714">
        <v>0.37004019999999999</v>
      </c>
      <c r="W3714">
        <v>0.17153060000000001</v>
      </c>
      <c r="X3714">
        <v>0.91304300000000005</v>
      </c>
      <c r="Y3714">
        <v>0.52095100000000005</v>
      </c>
      <c r="Z3714">
        <v>1.7738879999999999E-2</v>
      </c>
      <c r="AA3714">
        <v>0.853402199999999</v>
      </c>
      <c r="AB3714">
        <v>31</v>
      </c>
      <c r="AC3714">
        <v>2.0866999999999698</v>
      </c>
      <c r="AD3714">
        <v>-1.1040972276829999</v>
      </c>
      <c r="AE3714">
        <v>-18.8018999999999</v>
      </c>
      <c r="AF3714">
        <v>9.9683943858020392</v>
      </c>
      <c r="AG3714">
        <v>-1.1040972276829999</v>
      </c>
      <c r="AH3714">
        <v>16.002225271440199</v>
      </c>
      <c r="AI3714">
        <v>93.351590771087501</v>
      </c>
      <c r="AJ3714">
        <v>58.079652481971898</v>
      </c>
      <c r="AK3714">
        <v>18.885421122044999</v>
      </c>
      <c r="AL3714">
        <v>80.123176776256898</v>
      </c>
      <c r="AM3714">
        <v>67.938156720026797</v>
      </c>
      <c r="AN3714">
        <v>1.0000000081006899</v>
      </c>
    </row>
    <row r="3715" spans="1:40" x14ac:dyDescent="0.25">
      <c r="A3715" t="str">
        <f>"20190303162854532"</f>
        <v>20190303162854532</v>
      </c>
      <c r="B3715" t="str">
        <f>"1551601734525804"</f>
        <v>1551601734525804</v>
      </c>
      <c r="C3715" t="s">
        <v>40</v>
      </c>
      <c r="D3715">
        <v>5.2684089999999903</v>
      </c>
      <c r="E3715">
        <v>0.57353399999999999</v>
      </c>
      <c r="F3715" t="s">
        <v>41</v>
      </c>
      <c r="G3715">
        <v>-189.3604</v>
      </c>
      <c r="H3715" s="1">
        <v>-2.9201030000000001E-6</v>
      </c>
      <c r="I3715">
        <v>186.17509999999999</v>
      </c>
      <c r="J3715">
        <v>-191.12190000000001</v>
      </c>
      <c r="K3715">
        <v>1.1040620000000001</v>
      </c>
      <c r="L3715">
        <v>205.36590000000001</v>
      </c>
      <c r="M3715">
        <v>0.60149849999999905</v>
      </c>
      <c r="N3715">
        <v>-1.813743E-2</v>
      </c>
      <c r="O3715">
        <v>-0.79866819999999905</v>
      </c>
      <c r="P3715">
        <v>0.2654765</v>
      </c>
      <c r="Q3715">
        <v>0.1713549</v>
      </c>
      <c r="R3715">
        <v>-0.94876769999999999</v>
      </c>
      <c r="S3715">
        <v>0.31262210000000001</v>
      </c>
      <c r="T3715">
        <v>-0.17676789999999901</v>
      </c>
      <c r="U3715">
        <v>-3.1161349999999999</v>
      </c>
      <c r="V3715">
        <v>0.3662185</v>
      </c>
      <c r="W3715">
        <v>0.1728933</v>
      </c>
      <c r="X3715">
        <v>0.91432599999999997</v>
      </c>
      <c r="Y3715">
        <v>0.51841170000000003</v>
      </c>
      <c r="Z3715">
        <v>1.8027000000000001E-2</v>
      </c>
      <c r="AA3715">
        <v>0.85494119999999996</v>
      </c>
      <c r="AB3715">
        <v>31</v>
      </c>
      <c r="AC3715">
        <v>1.7615000000000101</v>
      </c>
      <c r="AD3715">
        <v>-1.1040649201029999</v>
      </c>
      <c r="AE3715">
        <v>-19.190799999999999</v>
      </c>
      <c r="AF3715">
        <v>10.1048836890643</v>
      </c>
      <c r="AG3715">
        <v>-1.1040649201029999</v>
      </c>
      <c r="AH3715">
        <v>16.3356984534798</v>
      </c>
      <c r="AI3715">
        <v>93.289635885770494</v>
      </c>
      <c r="AJ3715">
        <v>58.260027285036102</v>
      </c>
      <c r="AK3715">
        <v>19.240131955897301</v>
      </c>
      <c r="AL3715">
        <v>80.043916151551898</v>
      </c>
      <c r="AM3715">
        <v>68.172227660382205</v>
      </c>
      <c r="AN3715">
        <v>1.00000005860156</v>
      </c>
    </row>
    <row r="3716" spans="1:40" x14ac:dyDescent="0.25">
      <c r="A3716" t="str">
        <f>"20190303162854554"</f>
        <v>20190303162854554</v>
      </c>
      <c r="B3716" t="str">
        <f>"1551601734545324"</f>
        <v>1551601734545324</v>
      </c>
      <c r="C3716" t="s">
        <v>40</v>
      </c>
      <c r="D3716">
        <v>5.2846659999999996</v>
      </c>
      <c r="E3716">
        <v>0.57249969999999994</v>
      </c>
      <c r="F3716" t="s">
        <v>41</v>
      </c>
      <c r="G3716">
        <v>-189.46950000000001</v>
      </c>
      <c r="H3716" s="1">
        <v>-2.7573540000000001E-6</v>
      </c>
      <c r="I3716">
        <v>185.8409</v>
      </c>
      <c r="J3716">
        <v>-190.95269999999999</v>
      </c>
      <c r="K3716">
        <v>1.104047</v>
      </c>
      <c r="L3716">
        <v>205.11320000000001</v>
      </c>
      <c r="M3716">
        <v>0.58516049999999997</v>
      </c>
      <c r="N3716">
        <v>-1.8161469999999999E-2</v>
      </c>
      <c r="O3716">
        <v>-0.8107143</v>
      </c>
      <c r="P3716">
        <v>0.24994269999999999</v>
      </c>
      <c r="Q3716">
        <v>0.1733151</v>
      </c>
      <c r="R3716">
        <v>-0.952623</v>
      </c>
      <c r="S3716">
        <v>0.26405329999999999</v>
      </c>
      <c r="T3716">
        <v>-0.1764231</v>
      </c>
      <c r="U3716">
        <v>-3.11998</v>
      </c>
      <c r="V3716">
        <v>0.36246450000000002</v>
      </c>
      <c r="W3716">
        <v>0.175034</v>
      </c>
      <c r="X3716">
        <v>0.9154139</v>
      </c>
      <c r="Y3716">
        <v>0.51435759999999997</v>
      </c>
      <c r="Z3716">
        <v>1.8851860000000002E-2</v>
      </c>
      <c r="AA3716">
        <v>0.85736859999999904</v>
      </c>
      <c r="AB3716">
        <v>30</v>
      </c>
      <c r="AC3716">
        <v>1.4831999999999801</v>
      </c>
      <c r="AD3716">
        <v>-1.104049757354</v>
      </c>
      <c r="AE3716">
        <v>-19.272300000000001</v>
      </c>
      <c r="AF3716">
        <v>10.0438299585813</v>
      </c>
      <c r="AG3716">
        <v>-1.104049757354</v>
      </c>
      <c r="AH3716">
        <v>16.441317951264899</v>
      </c>
      <c r="AI3716">
        <v>93.279708549434503</v>
      </c>
      <c r="AJ3716">
        <v>58.579676436710699</v>
      </c>
      <c r="AK3716">
        <v>19.298040887048501</v>
      </c>
      <c r="AL3716">
        <v>79.919363415211706</v>
      </c>
      <c r="AM3716">
        <v>68.398566293211999</v>
      </c>
      <c r="AN3716">
        <v>1.0000000116147301</v>
      </c>
    </row>
    <row r="3717" spans="1:40" x14ac:dyDescent="0.25">
      <c r="A3717" t="str">
        <f>"20190303162854574"</f>
        <v>20190303162854574</v>
      </c>
      <c r="B3717" t="str">
        <f>"1551601734564844"</f>
        <v>1551601734564844</v>
      </c>
      <c r="C3717" t="s">
        <v>40</v>
      </c>
      <c r="D3717">
        <v>5.3056510000000001</v>
      </c>
      <c r="E3717">
        <v>0.56013780000000002</v>
      </c>
      <c r="F3717" t="s">
        <v>41</v>
      </c>
      <c r="G3717">
        <v>-189.5547</v>
      </c>
      <c r="H3717" s="1">
        <v>-2.5130459999999999E-6</v>
      </c>
      <c r="I3717">
        <v>185.3066</v>
      </c>
      <c r="J3717">
        <v>-190.7945</v>
      </c>
      <c r="K3717">
        <v>1.1040350000000001</v>
      </c>
      <c r="L3717">
        <v>204.8663</v>
      </c>
      <c r="M3717">
        <v>0.5691233</v>
      </c>
      <c r="N3717">
        <v>-1.8181449999999998E-2</v>
      </c>
      <c r="O3717">
        <v>-0.82205130000000004</v>
      </c>
      <c r="P3717">
        <v>0.23376060000000001</v>
      </c>
      <c r="Q3717">
        <v>0.17424329999999999</v>
      </c>
      <c r="R3717">
        <v>-0.95655409999999996</v>
      </c>
      <c r="S3717">
        <v>0.22044369999999999</v>
      </c>
      <c r="T3717">
        <v>-0.1740825</v>
      </c>
      <c r="U3717">
        <v>-3.1230319999999998</v>
      </c>
      <c r="V3717">
        <v>0.35994229999999999</v>
      </c>
      <c r="W3717">
        <v>0.17608740000000001</v>
      </c>
      <c r="X3717">
        <v>0.91620670000000004</v>
      </c>
      <c r="Y3717">
        <v>0.50949149999999999</v>
      </c>
      <c r="Z3717">
        <v>1.9231359999999999E-2</v>
      </c>
      <c r="AA3717">
        <v>0.86026069999999999</v>
      </c>
      <c r="AB3717">
        <v>30</v>
      </c>
      <c r="AC3717">
        <v>1.2398</v>
      </c>
      <c r="AD3717">
        <v>-1.1040375130460001</v>
      </c>
      <c r="AE3717">
        <v>-19.5596999999999</v>
      </c>
      <c r="AF3717">
        <v>10.0823787524862</v>
      </c>
      <c r="AG3717">
        <v>-1.1040375130460001</v>
      </c>
      <c r="AH3717">
        <v>16.734346829474202</v>
      </c>
      <c r="AI3717">
        <v>93.234356349915899</v>
      </c>
      <c r="AJ3717">
        <v>58.9312003114362</v>
      </c>
      <c r="AK3717">
        <v>19.568127757860001</v>
      </c>
      <c r="AL3717">
        <v>79.858055465833402</v>
      </c>
      <c r="AM3717">
        <v>68.552049489595305</v>
      </c>
      <c r="AN3717">
        <v>0.99999997444646904</v>
      </c>
    </row>
    <row r="3718" spans="1:40" x14ac:dyDescent="0.25">
      <c r="A3718" t="str">
        <f>"20190303162854597"</f>
        <v>20190303162854597</v>
      </c>
      <c r="B3718" t="str">
        <f>"1551601734585340"</f>
        <v>1551601734585340</v>
      </c>
      <c r="C3718" t="s">
        <v>40</v>
      </c>
      <c r="D3718">
        <v>5.3516599999999999</v>
      </c>
      <c r="E3718">
        <v>0.56191829999999998</v>
      </c>
      <c r="F3718" t="s">
        <v>41</v>
      </c>
      <c r="G3718">
        <v>-189.49870000000001</v>
      </c>
      <c r="H3718" s="1">
        <v>-1.5334279999999999E-7</v>
      </c>
      <c r="I3718">
        <v>189.70679999999999</v>
      </c>
      <c r="J3718">
        <v>-190.6326</v>
      </c>
      <c r="K3718">
        <v>1.1040140000000001</v>
      </c>
      <c r="L3718">
        <v>204.60210000000001</v>
      </c>
      <c r="M3718">
        <v>0.55188139999999997</v>
      </c>
      <c r="N3718">
        <v>-1.8199529999999998E-2</v>
      </c>
      <c r="O3718">
        <v>-0.83372400000000002</v>
      </c>
      <c r="P3718">
        <v>0.2159626</v>
      </c>
      <c r="Q3718">
        <v>0.17365420000000001</v>
      </c>
      <c r="R3718">
        <v>-0.9608352</v>
      </c>
      <c r="S3718">
        <v>0.26603700000000002</v>
      </c>
      <c r="T3718">
        <v>-0.2266785</v>
      </c>
      <c r="U3718">
        <v>-3.1125340000000001</v>
      </c>
      <c r="V3718">
        <v>0.35790549999999999</v>
      </c>
      <c r="W3718">
        <v>0.17560539999999999</v>
      </c>
      <c r="X3718">
        <v>0.91709669999999999</v>
      </c>
      <c r="Y3718">
        <v>0.4784833</v>
      </c>
      <c r="Z3718">
        <v>3.2481540000000003E-2</v>
      </c>
      <c r="AA3718">
        <v>0.87749560000000004</v>
      </c>
      <c r="AB3718">
        <v>30</v>
      </c>
      <c r="AC3718">
        <v>1.1338999999999799</v>
      </c>
      <c r="AD3718">
        <v>-1.1040141533428001</v>
      </c>
      <c r="AE3718">
        <v>-14.895300000000001</v>
      </c>
      <c r="AF3718">
        <v>7.2367582418655596</v>
      </c>
      <c r="AG3718">
        <v>-1.1040141533428001</v>
      </c>
      <c r="AH3718">
        <v>12.9756369417732</v>
      </c>
      <c r="AI3718">
        <v>94.249731126153307</v>
      </c>
      <c r="AJ3718">
        <v>60.8507650562035</v>
      </c>
      <c r="AK3718">
        <v>14.8982103336844</v>
      </c>
      <c r="AL3718">
        <v>79.8861092360398</v>
      </c>
      <c r="AM3718">
        <v>68.681322986543805</v>
      </c>
      <c r="AN3718">
        <v>0.99999998029514903</v>
      </c>
    </row>
    <row r="3719" spans="1:40" x14ac:dyDescent="0.25">
      <c r="A3719" t="str">
        <f>"20190303162854620"</f>
        <v>20190303162854620</v>
      </c>
      <c r="B3719" t="str">
        <f>"1551601734605836"</f>
        <v>1551601734605836</v>
      </c>
      <c r="C3719" t="s">
        <v>40</v>
      </c>
      <c r="D3719">
        <v>5.2983949999999904</v>
      </c>
      <c r="E3719">
        <v>0.57296840000000004</v>
      </c>
      <c r="F3719" t="s">
        <v>41</v>
      </c>
      <c r="G3719">
        <v>-189.666</v>
      </c>
      <c r="H3719" s="1">
        <v>-4.1274459999999996E-6</v>
      </c>
      <c r="I3719">
        <v>189.11580000000001</v>
      </c>
      <c r="J3719">
        <v>-190.47280000000001</v>
      </c>
      <c r="K3719">
        <v>1.104009</v>
      </c>
      <c r="L3719">
        <v>204.32830000000001</v>
      </c>
      <c r="M3719">
        <v>0.53393970000000002</v>
      </c>
      <c r="N3719">
        <v>-1.821501E-2</v>
      </c>
      <c r="O3719">
        <v>-0.84532629999999997</v>
      </c>
      <c r="P3719">
        <v>0.1981675</v>
      </c>
      <c r="Q3719">
        <v>0.17255889999999999</v>
      </c>
      <c r="R3719">
        <v>-0.96485909999999997</v>
      </c>
      <c r="S3719">
        <v>0.1946716</v>
      </c>
      <c r="T3719">
        <v>-0.222335</v>
      </c>
      <c r="U3719">
        <v>-3.1187290000000001</v>
      </c>
      <c r="V3719">
        <v>0.35531210000000002</v>
      </c>
      <c r="W3719">
        <v>0.17464859999999999</v>
      </c>
      <c r="X3719">
        <v>0.91828710000000002</v>
      </c>
      <c r="Y3719">
        <v>0.47984890000000002</v>
      </c>
      <c r="Z3719">
        <v>3.2473870000000002E-2</v>
      </c>
      <c r="AA3719">
        <v>0.87675000000000003</v>
      </c>
      <c r="AB3719">
        <v>30</v>
      </c>
      <c r="AC3719">
        <v>0.80680000000000895</v>
      </c>
      <c r="AD3719">
        <v>-1.1040131274459899</v>
      </c>
      <c r="AE3719">
        <v>-15.2125</v>
      </c>
      <c r="AF3719">
        <v>7.40290299192253</v>
      </c>
      <c r="AG3719">
        <v>-1.1040131274459899</v>
      </c>
      <c r="AH3719">
        <v>13.2230666053273</v>
      </c>
      <c r="AI3719">
        <v>94.1667242508138</v>
      </c>
      <c r="AJ3719">
        <v>60.7578184522973</v>
      </c>
      <c r="AK3719">
        <v>15.194449912461801</v>
      </c>
      <c r="AL3719">
        <v>79.9417906469358</v>
      </c>
      <c r="AM3719">
        <v>68.847090357554606</v>
      </c>
      <c r="AN3719">
        <v>1.00000000995739</v>
      </c>
    </row>
    <row r="3720" spans="1:40" x14ac:dyDescent="0.25">
      <c r="A3720" t="str">
        <f>"20190303162854642"</f>
        <v>20190303162854642</v>
      </c>
      <c r="B3720" t="str">
        <f>"1551601734635116"</f>
        <v>1551601734635116</v>
      </c>
      <c r="C3720" t="s">
        <v>40</v>
      </c>
      <c r="D3720">
        <v>5.3185419999999999</v>
      </c>
      <c r="E3720">
        <v>0.57229629999999998</v>
      </c>
      <c r="F3720" t="s">
        <v>41</v>
      </c>
      <c r="G3720">
        <v>-190.21420000000001</v>
      </c>
      <c r="H3720" s="1">
        <v>-3.5267250000000001E-6</v>
      </c>
      <c r="I3720">
        <v>187.6771</v>
      </c>
      <c r="J3720">
        <v>-190.3185</v>
      </c>
      <c r="K3720">
        <v>1.1040110000000001</v>
      </c>
      <c r="L3720">
        <v>204.0506</v>
      </c>
      <c r="M3720">
        <v>0.51566060000000002</v>
      </c>
      <c r="N3720">
        <v>-1.8227779999999999E-2</v>
      </c>
      <c r="O3720">
        <v>-0.85659909999999995</v>
      </c>
      <c r="P3720">
        <v>0.18053959999999999</v>
      </c>
      <c r="Q3720">
        <v>0.1726229</v>
      </c>
      <c r="R3720">
        <v>-0.96830119999999997</v>
      </c>
      <c r="S3720">
        <v>4.8706050000000001E-2</v>
      </c>
      <c r="T3720">
        <v>-0.20795420000000001</v>
      </c>
      <c r="U3720">
        <v>-3.1364589999999999</v>
      </c>
      <c r="V3720">
        <v>0.35232269999999999</v>
      </c>
      <c r="W3720">
        <v>0.17486930000000001</v>
      </c>
      <c r="X3720">
        <v>0.9193962</v>
      </c>
      <c r="Y3720">
        <v>0.50189620000000001</v>
      </c>
      <c r="Z3720">
        <v>2.9380839999999998E-2</v>
      </c>
      <c r="AA3720">
        <v>0.86442870000000005</v>
      </c>
      <c r="AB3720">
        <v>30</v>
      </c>
      <c r="AC3720">
        <v>0.10429999999999399</v>
      </c>
      <c r="AD3720">
        <v>-1.1040145267249999</v>
      </c>
      <c r="AE3720">
        <v>-16.3735</v>
      </c>
      <c r="AF3720">
        <v>8.3174005627191807</v>
      </c>
      <c r="AG3720">
        <v>-1.1040145267249999</v>
      </c>
      <c r="AH3720">
        <v>14.0179190919809</v>
      </c>
      <c r="AI3720">
        <v>93.874843712724399</v>
      </c>
      <c r="AJ3720">
        <v>59.317623308874602</v>
      </c>
      <c r="AK3720">
        <v>16.337076111264999</v>
      </c>
      <c r="AL3720">
        <v>79.928947374062901</v>
      </c>
      <c r="AM3720">
        <v>69.032620029626599</v>
      </c>
      <c r="AN3720">
        <v>0.99999996479610898</v>
      </c>
    </row>
    <row r="3721" spans="1:40" x14ac:dyDescent="0.25">
      <c r="A3721" t="str">
        <f>"20190303162854664"</f>
        <v>20190303162854664</v>
      </c>
      <c r="B3721" t="str">
        <f>"1551601734655612"</f>
        <v>1551601734655612</v>
      </c>
      <c r="C3721" t="s">
        <v>40</v>
      </c>
      <c r="D3721">
        <v>5.4047239999999999</v>
      </c>
      <c r="E3721">
        <v>0.57154349999999998</v>
      </c>
      <c r="F3721" t="s">
        <v>41</v>
      </c>
      <c r="G3721">
        <v>-190.34809999999999</v>
      </c>
      <c r="H3721" s="1">
        <v>-3.1809240000000001E-6</v>
      </c>
      <c r="I3721">
        <v>186.78800000000001</v>
      </c>
      <c r="J3721">
        <v>-190.17789999999999</v>
      </c>
      <c r="K3721">
        <v>1.1040299999999901</v>
      </c>
      <c r="L3721">
        <v>203.78360000000001</v>
      </c>
      <c r="M3721">
        <v>0.49803150000000002</v>
      </c>
      <c r="N3721">
        <v>-1.8237260000000002E-2</v>
      </c>
      <c r="O3721">
        <v>-0.86696719999999905</v>
      </c>
      <c r="P3721">
        <v>0.163752799999999</v>
      </c>
      <c r="Q3721">
        <v>0.17296339999999999</v>
      </c>
      <c r="R3721">
        <v>-0.97122030000000004</v>
      </c>
      <c r="S3721">
        <v>-5.3710939999999999E-3</v>
      </c>
      <c r="T3721">
        <v>-0.20049410000000001</v>
      </c>
      <c r="U3721">
        <v>-3.1349640000000001</v>
      </c>
      <c r="V3721">
        <v>0.34940290000000002</v>
      </c>
      <c r="W3721">
        <v>0.17536409999999999</v>
      </c>
      <c r="X3721">
        <v>0.92041569999999995</v>
      </c>
      <c r="Y3721">
        <v>0.49913109999999999</v>
      </c>
      <c r="Z3721">
        <v>2.8630840000000001E-2</v>
      </c>
      <c r="AA3721">
        <v>0.86605339999999997</v>
      </c>
      <c r="AB3721">
        <v>30</v>
      </c>
      <c r="AC3721">
        <v>-0.17019999999999399</v>
      </c>
      <c r="AD3721">
        <v>-1.1040331809239901</v>
      </c>
      <c r="AE3721">
        <v>-16.9956</v>
      </c>
      <c r="AF3721">
        <v>8.5771439100032101</v>
      </c>
      <c r="AG3721">
        <v>-1.1040331809239901</v>
      </c>
      <c r="AH3721">
        <v>14.5907352011788</v>
      </c>
      <c r="AI3721">
        <v>93.732159764521597</v>
      </c>
      <c r="AJ3721">
        <v>59.550916294421398</v>
      </c>
      <c r="AK3721">
        <v>16.961009422448999</v>
      </c>
      <c r="AL3721">
        <v>79.900152908419301</v>
      </c>
      <c r="AM3721">
        <v>69.212525355293394</v>
      </c>
      <c r="AN3721">
        <v>1.00000000745185</v>
      </c>
    </row>
    <row r="3722" spans="1:40" x14ac:dyDescent="0.25">
      <c r="A3722" t="str">
        <f>"20190303162854685"</f>
        <v>20190303162854685</v>
      </c>
      <c r="B3722" t="str">
        <f>"1551601734675133"</f>
        <v>1551601734675133</v>
      </c>
      <c r="C3722" t="s">
        <v>40</v>
      </c>
      <c r="D3722">
        <v>5.2977049999999997</v>
      </c>
      <c r="E3722">
        <v>0.57055529999999999</v>
      </c>
      <c r="F3722" t="s">
        <v>41</v>
      </c>
      <c r="G3722">
        <v>-190.494</v>
      </c>
      <c r="H3722" s="1">
        <v>-2.7638289999999999E-6</v>
      </c>
      <c r="I3722">
        <v>185.7252</v>
      </c>
      <c r="J3722">
        <v>-190.04499999999999</v>
      </c>
      <c r="K3722">
        <v>1.1040460000000001</v>
      </c>
      <c r="L3722">
        <v>203.5179</v>
      </c>
      <c r="M3722">
        <v>0.48043209999999997</v>
      </c>
      <c r="N3722">
        <v>-1.8243849999999999E-2</v>
      </c>
      <c r="O3722">
        <v>-0.87684209999999996</v>
      </c>
      <c r="P3722">
        <v>0.14775759999999999</v>
      </c>
      <c r="Q3722">
        <v>0.1737805</v>
      </c>
      <c r="R3722">
        <v>-0.97363630000000001</v>
      </c>
      <c r="S3722">
        <v>-5.4840090000000001E-2</v>
      </c>
      <c r="T3722">
        <v>-0.19149579999999999</v>
      </c>
      <c r="U3722">
        <v>-3.1322480000000001</v>
      </c>
      <c r="V3722">
        <v>0.34591149999999998</v>
      </c>
      <c r="W3722">
        <v>0.17636489999999999</v>
      </c>
      <c r="X3722">
        <v>0.92154250000000004</v>
      </c>
      <c r="Y3722">
        <v>0.49534440000000002</v>
      </c>
      <c r="Z3722">
        <v>2.74427E-2</v>
      </c>
      <c r="AA3722">
        <v>0.86826309999999995</v>
      </c>
      <c r="AB3722">
        <v>30</v>
      </c>
      <c r="AC3722">
        <v>-0.44900000000003998</v>
      </c>
      <c r="AD3722">
        <v>-1.104048763829</v>
      </c>
      <c r="AE3722">
        <v>-17.7926999999999</v>
      </c>
      <c r="AF3722">
        <v>8.9090944903514195</v>
      </c>
      <c r="AG3722">
        <v>-1.104048763829</v>
      </c>
      <c r="AH3722">
        <v>15.3292518118415</v>
      </c>
      <c r="AI3722">
        <v>93.563184380479399</v>
      </c>
      <c r="AJ3722">
        <v>59.8355908091131</v>
      </c>
      <c r="AK3722">
        <v>17.764482807607099</v>
      </c>
      <c r="AL3722">
        <v>79.841902964784595</v>
      </c>
      <c r="AM3722">
        <v>69.425802194561896</v>
      </c>
      <c r="AN3722">
        <v>0.99999996154525395</v>
      </c>
    </row>
    <row r="3723" spans="1:40" x14ac:dyDescent="0.25">
      <c r="A3723" t="str">
        <f>"20190303162854710"</f>
        <v>20190303162854710</v>
      </c>
      <c r="B3723" t="str">
        <f>"1551601734705388"</f>
        <v>1551601734705388</v>
      </c>
      <c r="C3723" t="s">
        <v>40</v>
      </c>
      <c r="D3723">
        <v>5.2379129999999998</v>
      </c>
      <c r="E3723">
        <v>0.56946459999999999</v>
      </c>
      <c r="F3723" t="s">
        <v>41</v>
      </c>
      <c r="G3723">
        <v>-190.64080000000001</v>
      </c>
      <c r="H3723" s="1">
        <v>-2.3225650000000001E-6</v>
      </c>
      <c r="I3723">
        <v>184.60560000000001</v>
      </c>
      <c r="J3723">
        <v>-189.90450000000001</v>
      </c>
      <c r="K3723">
        <v>1.1040730000000001</v>
      </c>
      <c r="L3723">
        <v>203.221</v>
      </c>
      <c r="M3723">
        <v>0.46070939999999999</v>
      </c>
      <c r="N3723">
        <v>-1.824748E-2</v>
      </c>
      <c r="O3723">
        <v>-0.88736329999999997</v>
      </c>
      <c r="P3723">
        <v>0.13049539999999901</v>
      </c>
      <c r="Q3723">
        <v>0.17408699999999999</v>
      </c>
      <c r="R3723">
        <v>-0.9760451</v>
      </c>
      <c r="S3723">
        <v>-9.8571779999999998E-2</v>
      </c>
      <c r="T3723">
        <v>-0.18264939999999999</v>
      </c>
      <c r="U3723">
        <v>-3.1287690000000001</v>
      </c>
      <c r="V3723">
        <v>0.34159030000000001</v>
      </c>
      <c r="W3723">
        <v>0.1768989</v>
      </c>
      <c r="X3723">
        <v>0.92305079999999995</v>
      </c>
      <c r="Y3723">
        <v>0.48808439999999997</v>
      </c>
      <c r="Z3723">
        <v>2.6341570000000002E-2</v>
      </c>
      <c r="AA3723">
        <v>0.87239889999999998</v>
      </c>
      <c r="AB3723">
        <v>30</v>
      </c>
      <c r="AC3723">
        <v>-0.73629999999999995</v>
      </c>
      <c r="AD3723">
        <v>-1.104075322565</v>
      </c>
      <c r="AE3723">
        <v>-18.615399999999902</v>
      </c>
      <c r="AF3723">
        <v>9.1988855936586091</v>
      </c>
      <c r="AG3723">
        <v>-1.104075322565</v>
      </c>
      <c r="AH3723">
        <v>16.1254636501743</v>
      </c>
      <c r="AI3723">
        <v>93.403462078377004</v>
      </c>
      <c r="AJ3723">
        <v>60.297095278696702</v>
      </c>
      <c r="AK3723">
        <v>18.597555119321701</v>
      </c>
      <c r="AL3723">
        <v>79.810818323965094</v>
      </c>
      <c r="AM3723">
        <v>69.692168382709397</v>
      </c>
      <c r="AN3723">
        <v>0.99999996662796897</v>
      </c>
    </row>
    <row r="3724" spans="1:40" x14ac:dyDescent="0.25">
      <c r="A3724" t="str">
        <f>"20190303162854733"</f>
        <v>20190303162854733</v>
      </c>
      <c r="B3724" t="str">
        <f>"1551601734724908"</f>
        <v>1551601734724908</v>
      </c>
      <c r="C3724" t="s">
        <v>40</v>
      </c>
      <c r="D3724">
        <v>5.2645900000000001</v>
      </c>
      <c r="E3724">
        <v>0.56865739999999998</v>
      </c>
      <c r="F3724" t="s">
        <v>41</v>
      </c>
      <c r="G3724">
        <v>-190.78819999999999</v>
      </c>
      <c r="H3724" s="1">
        <v>-2.2165170000000001E-6</v>
      </c>
      <c r="I3724">
        <v>184.267</v>
      </c>
      <c r="J3724">
        <v>-189.7747</v>
      </c>
      <c r="K3724">
        <v>1.1041049999999999</v>
      </c>
      <c r="L3724">
        <v>202.93029999999999</v>
      </c>
      <c r="M3724">
        <v>0.44134859999999998</v>
      </c>
      <c r="N3724">
        <v>-1.8247599999999999E-2</v>
      </c>
      <c r="O3724">
        <v>-0.89715009999999995</v>
      </c>
      <c r="P3724">
        <v>0.1153483</v>
      </c>
      <c r="Q3724">
        <v>0.17565939999999999</v>
      </c>
      <c r="R3724">
        <v>-0.97766969999999997</v>
      </c>
      <c r="S3724">
        <v>-0.1457214</v>
      </c>
      <c r="T3724">
        <v>-0.18206600000000001</v>
      </c>
      <c r="U3724">
        <v>-3.1255799999999998</v>
      </c>
      <c r="V3724">
        <v>0.3357812</v>
      </c>
      <c r="W3724">
        <v>0.17876929999999999</v>
      </c>
      <c r="X3724">
        <v>0.92482019999999998</v>
      </c>
      <c r="Y3724">
        <v>0.48231550000000001</v>
      </c>
      <c r="Z3724">
        <v>2.7111819999999998E-2</v>
      </c>
      <c r="AA3724">
        <v>0.87557790000000002</v>
      </c>
      <c r="AB3724">
        <v>30</v>
      </c>
      <c r="AC3724">
        <v>-1.0134999999999901</v>
      </c>
      <c r="AD3724">
        <v>-1.1041072165169901</v>
      </c>
      <c r="AE3724">
        <v>-18.6632999999999</v>
      </c>
      <c r="AF3724">
        <v>9.1159961677110495</v>
      </c>
      <c r="AG3724">
        <v>-1.1041072165169901</v>
      </c>
      <c r="AH3724">
        <v>16.2425108945415</v>
      </c>
      <c r="AI3724">
        <v>93.392430430835006</v>
      </c>
      <c r="AJ3724">
        <v>60.696984322197203</v>
      </c>
      <c r="AK3724">
        <v>18.6584993778864</v>
      </c>
      <c r="AL3724">
        <v>79.701916151694206</v>
      </c>
      <c r="AM3724">
        <v>70.045190741851698</v>
      </c>
      <c r="AN3724">
        <v>0.99999993961198297</v>
      </c>
    </row>
    <row r="3725" spans="1:40" x14ac:dyDescent="0.25">
      <c r="A3725" t="str">
        <f>"20190303162854755"</f>
        <v>20190303162854755</v>
      </c>
      <c r="B3725" t="str">
        <f>"1551601734745405"</f>
        <v>1551601734745405</v>
      </c>
      <c r="C3725" t="s">
        <v>40</v>
      </c>
      <c r="D3725">
        <v>5.2633460000000003</v>
      </c>
      <c r="E3725">
        <v>0.56785240000000003</v>
      </c>
      <c r="F3725" t="s">
        <v>41</v>
      </c>
      <c r="G3725">
        <v>-190.95679999999999</v>
      </c>
      <c r="H3725" s="1">
        <v>-1.9065760000000001E-6</v>
      </c>
      <c r="I3725">
        <v>183.43989999999999</v>
      </c>
      <c r="J3725">
        <v>-189.65700000000001</v>
      </c>
      <c r="K3725">
        <v>1.104149</v>
      </c>
      <c r="L3725">
        <v>202.65100000000001</v>
      </c>
      <c r="M3725">
        <v>0.42271360000000002</v>
      </c>
      <c r="N3725">
        <v>-1.824402E-2</v>
      </c>
      <c r="O3725">
        <v>-0.90607969999999904</v>
      </c>
      <c r="P3725">
        <v>0.1012445</v>
      </c>
      <c r="Q3725">
        <v>0.17630119999999999</v>
      </c>
      <c r="R3725">
        <v>-0.97911550000000003</v>
      </c>
      <c r="S3725">
        <v>-0.18939210000000001</v>
      </c>
      <c r="T3725">
        <v>-0.17689349999999901</v>
      </c>
      <c r="U3725">
        <v>-3.1226349999999998</v>
      </c>
      <c r="V3725">
        <v>0.32993869999999997</v>
      </c>
      <c r="W3725">
        <v>0.1797155</v>
      </c>
      <c r="X3725">
        <v>0.9267377</v>
      </c>
      <c r="Y3725">
        <v>0.47647020000000001</v>
      </c>
      <c r="Z3725">
        <v>2.6643900000000002E-2</v>
      </c>
      <c r="AA3725">
        <v>0.87878679999999998</v>
      </c>
      <c r="AB3725">
        <v>30</v>
      </c>
      <c r="AC3725">
        <v>-1.2997999999999701</v>
      </c>
      <c r="AD3725">
        <v>-1.104150906576</v>
      </c>
      <c r="AE3725">
        <v>-19.211099999999899</v>
      </c>
      <c r="AF3725">
        <v>9.2695822591008508</v>
      </c>
      <c r="AG3725">
        <v>-1.104150906576</v>
      </c>
      <c r="AH3725">
        <v>16.804891066087201</v>
      </c>
      <c r="AI3725">
        <v>93.292716391090494</v>
      </c>
      <c r="AJ3725">
        <v>61.118859917302402</v>
      </c>
      <c r="AK3725">
        <v>19.223648670993501</v>
      </c>
      <c r="AL3725">
        <v>79.646810921069005</v>
      </c>
      <c r="AM3725">
        <v>70.403168763815103</v>
      </c>
      <c r="AN3725">
        <v>0.99999998564961401</v>
      </c>
    </row>
    <row r="3726" spans="1:40" x14ac:dyDescent="0.25">
      <c r="A3726" t="str">
        <f>"20190303162854776"</f>
        <v>20190303162854776</v>
      </c>
      <c r="B3726" t="str">
        <f>"1551601734764926"</f>
        <v>1551601734764926</v>
      </c>
      <c r="C3726" t="s">
        <v>40</v>
      </c>
      <c r="D3726">
        <v>5.2842699999999896</v>
      </c>
      <c r="E3726">
        <v>0.55856260000000002</v>
      </c>
      <c r="F3726" t="s">
        <v>41</v>
      </c>
      <c r="G3726">
        <v>-191.10489999999999</v>
      </c>
      <c r="H3726" s="1">
        <v>-1.77369E-6</v>
      </c>
      <c r="I3726">
        <v>183.03829999999999</v>
      </c>
      <c r="J3726">
        <v>-189.54939999999999</v>
      </c>
      <c r="K3726">
        <v>1.1041989999999999</v>
      </c>
      <c r="L3726">
        <v>202.38040000000001</v>
      </c>
      <c r="M3726">
        <v>0.40464430000000001</v>
      </c>
      <c r="N3726">
        <v>-1.8235790000000002E-2</v>
      </c>
      <c r="O3726">
        <v>-0.91429229999999995</v>
      </c>
      <c r="P3726">
        <v>8.9043339999999999E-2</v>
      </c>
      <c r="Q3726">
        <v>0.1754473</v>
      </c>
      <c r="R3726">
        <v>-0.98045380000000004</v>
      </c>
      <c r="S3726">
        <v>-0.23028560000000001</v>
      </c>
      <c r="T3726">
        <v>-0.175616299999999</v>
      </c>
      <c r="U3726">
        <v>-3.119415</v>
      </c>
      <c r="V3726">
        <v>0.32306200000000002</v>
      </c>
      <c r="W3726">
        <v>0.17922109999999999</v>
      </c>
      <c r="X3726">
        <v>0.92925270000000004</v>
      </c>
      <c r="Y3726">
        <v>0.4705413</v>
      </c>
      <c r="Z3726">
        <v>2.7092439999999999E-2</v>
      </c>
      <c r="AA3726">
        <v>0.88196200000000002</v>
      </c>
      <c r="AB3726">
        <v>30</v>
      </c>
      <c r="AC3726">
        <v>-1.5554999999999899</v>
      </c>
      <c r="AD3726">
        <v>-1.1042007736899999</v>
      </c>
      <c r="AE3726">
        <v>-19.342099999999999</v>
      </c>
      <c r="AF3726">
        <v>9.2205336346227202</v>
      </c>
      <c r="AG3726">
        <v>-1.1042007736899999</v>
      </c>
      <c r="AH3726">
        <v>17.002689397408901</v>
      </c>
      <c r="AI3726">
        <v>93.267383149885603</v>
      </c>
      <c r="AJ3726">
        <v>61.529087757916301</v>
      </c>
      <c r="AK3726">
        <v>19.373408233983699</v>
      </c>
      <c r="AL3726">
        <v>79.675604779999901</v>
      </c>
      <c r="AM3726">
        <v>70.829591133260493</v>
      </c>
      <c r="AN3726">
        <v>0.99999991949324596</v>
      </c>
    </row>
    <row r="3727" spans="1:40" x14ac:dyDescent="0.25">
      <c r="A3727" t="str">
        <f>"20190303162854799"</f>
        <v>20190303162854799</v>
      </c>
      <c r="B3727" t="str">
        <f>"1551601734785421"</f>
        <v>1551601734785421</v>
      </c>
      <c r="C3727" t="s">
        <v>40</v>
      </c>
      <c r="D3727">
        <v>5.2710150000000002</v>
      </c>
      <c r="E3727">
        <v>0.55791009999999996</v>
      </c>
      <c r="F3727" t="s">
        <v>41</v>
      </c>
      <c r="G3727">
        <v>-190.56100000000001</v>
      </c>
      <c r="H3727" s="1">
        <v>-3.0875570000000002E-6</v>
      </c>
      <c r="I3727">
        <v>186.4383</v>
      </c>
      <c r="J3727">
        <v>-189.4425</v>
      </c>
      <c r="K3727">
        <v>1.1042650000000001</v>
      </c>
      <c r="L3727">
        <v>202.09469999999999</v>
      </c>
      <c r="M3727">
        <v>0.3855923</v>
      </c>
      <c r="N3727">
        <v>-1.8220219999999999E-2</v>
      </c>
      <c r="O3727">
        <v>-0.92248949999999996</v>
      </c>
      <c r="P3727">
        <v>7.7073050000000004E-2</v>
      </c>
      <c r="Q3727">
        <v>0.17573129999999901</v>
      </c>
      <c r="R3727">
        <v>-0.98141659999999997</v>
      </c>
      <c r="S3727">
        <v>-0.19775390000000001</v>
      </c>
      <c r="T3727">
        <v>-0.2158524</v>
      </c>
      <c r="U3727">
        <v>-3.1163940000000001</v>
      </c>
      <c r="V3727">
        <v>0.31505440000000001</v>
      </c>
      <c r="W3727">
        <v>0.1799219</v>
      </c>
      <c r="X3727">
        <v>0.93186310000000006</v>
      </c>
      <c r="Y3727">
        <v>0.44284869999999998</v>
      </c>
      <c r="Z3727">
        <v>3.9002340000000003E-2</v>
      </c>
      <c r="AA3727">
        <v>0.89574769999999904</v>
      </c>
      <c r="AB3727">
        <v>30</v>
      </c>
      <c r="AC3727">
        <v>-1.1184999999999801</v>
      </c>
      <c r="AD3727">
        <v>-1.1042680875569999</v>
      </c>
      <c r="AE3727">
        <v>-15.6563999999999</v>
      </c>
      <c r="AF3727">
        <v>7.0351445567360704</v>
      </c>
      <c r="AG3727">
        <v>-1.1042680875569999</v>
      </c>
      <c r="AH3727">
        <v>13.9448849258264</v>
      </c>
      <c r="AI3727">
        <v>94.044100657019001</v>
      </c>
      <c r="AJ3727">
        <v>63.229218904093003</v>
      </c>
      <c r="AK3727">
        <v>15.6579846256762</v>
      </c>
      <c r="AL3727">
        <v>79.634789275659003</v>
      </c>
      <c r="AM3727">
        <v>71.320074565504598</v>
      </c>
      <c r="AN3727">
        <v>1.0000000011002901</v>
      </c>
    </row>
    <row r="3728" spans="1:40" x14ac:dyDescent="0.25">
      <c r="A3728" t="str">
        <f>"20190303162854821"</f>
        <v>20190303162854821</v>
      </c>
      <c r="B3728" t="str">
        <f>"1551601734815677"</f>
        <v>1551601734815677</v>
      </c>
      <c r="C3728" t="s">
        <v>40</v>
      </c>
      <c r="D3728">
        <v>5.2774000000000001</v>
      </c>
      <c r="E3728">
        <v>0.55665830000000005</v>
      </c>
      <c r="F3728" t="s">
        <v>41</v>
      </c>
      <c r="G3728">
        <v>-190.6516</v>
      </c>
      <c r="H3728" s="1">
        <v>-2.8575510000000001E-6</v>
      </c>
      <c r="I3728">
        <v>185.846</v>
      </c>
      <c r="J3728">
        <v>-189.3391</v>
      </c>
      <c r="K3728">
        <v>1.104371</v>
      </c>
      <c r="L3728">
        <v>201.8</v>
      </c>
      <c r="M3728">
        <v>0.36598900000000001</v>
      </c>
      <c r="N3728">
        <v>-1.819426E-2</v>
      </c>
      <c r="O3728">
        <v>-0.93044130000000003</v>
      </c>
      <c r="P3728">
        <v>6.0878790000000002E-2</v>
      </c>
      <c r="Q3728">
        <v>0.1763142</v>
      </c>
      <c r="R3728">
        <v>-0.98244980000000004</v>
      </c>
      <c r="S3728">
        <v>-0.23164370000000001</v>
      </c>
      <c r="T3728">
        <v>-0.21155180000000001</v>
      </c>
      <c r="U3728">
        <v>-3.1128849999999999</v>
      </c>
      <c r="V3728">
        <v>0.31063269999999998</v>
      </c>
      <c r="W3728">
        <v>0.18075910000000001</v>
      </c>
      <c r="X3728">
        <v>0.93318460000000003</v>
      </c>
      <c r="Y3728">
        <v>0.43364940000000002</v>
      </c>
      <c r="Z3728">
        <v>3.8863990000000001E-2</v>
      </c>
      <c r="AA3728">
        <v>0.90024319999999902</v>
      </c>
      <c r="AB3728">
        <v>30</v>
      </c>
      <c r="AC3728">
        <v>-1.3125</v>
      </c>
      <c r="AD3728">
        <v>-1.104373857551</v>
      </c>
      <c r="AE3728">
        <v>-15.954000000000001</v>
      </c>
      <c r="AF3728">
        <v>7.0279120754088904</v>
      </c>
      <c r="AG3728">
        <v>-1.104373857551</v>
      </c>
      <c r="AH3728">
        <v>14.2982252661423</v>
      </c>
      <c r="AI3728">
        <v>93.965267164666898</v>
      </c>
      <c r="AJ3728">
        <v>63.824804121455003</v>
      </c>
      <c r="AK3728">
        <v>15.9702985419268</v>
      </c>
      <c r="AL3728">
        <v>79.586021781487901</v>
      </c>
      <c r="AM3728">
        <v>71.588751047211005</v>
      </c>
      <c r="AN3728">
        <v>1.00000001210963</v>
      </c>
    </row>
    <row r="3729" spans="1:40" x14ac:dyDescent="0.25">
      <c r="A3729" t="str">
        <f>"20190303162854843"</f>
        <v>20190303162854843</v>
      </c>
      <c r="B3729" t="str">
        <f>"1551601734835196"</f>
        <v>1551601734835196</v>
      </c>
      <c r="C3729" t="s">
        <v>40</v>
      </c>
      <c r="D3729">
        <v>5.2957280000000004</v>
      </c>
      <c r="E3729">
        <v>0.55558219999999903</v>
      </c>
      <c r="F3729" t="s">
        <v>41</v>
      </c>
      <c r="G3729">
        <v>-190.7621</v>
      </c>
      <c r="H3729" s="1">
        <v>-2.7757279999999999E-6</v>
      </c>
      <c r="I3729">
        <v>185.58670000000001</v>
      </c>
      <c r="J3729">
        <v>-189.2457</v>
      </c>
      <c r="K3729">
        <v>1.1045020000000001</v>
      </c>
      <c r="L3729">
        <v>201.51410000000001</v>
      </c>
      <c r="M3729">
        <v>0.34709489999999998</v>
      </c>
      <c r="N3729">
        <v>-1.8155580000000001E-2</v>
      </c>
      <c r="O3729">
        <v>-0.93765419999999999</v>
      </c>
      <c r="P3729">
        <v>4.7545120000000003E-2</v>
      </c>
      <c r="Q3729">
        <v>0.1767407</v>
      </c>
      <c r="R3729">
        <v>-0.9831088</v>
      </c>
      <c r="S3729">
        <v>-0.2728119</v>
      </c>
      <c r="T3729">
        <v>-0.21173729999999999</v>
      </c>
      <c r="U3729">
        <v>-3.1085050000000001</v>
      </c>
      <c r="V3729">
        <v>0.30432589999999998</v>
      </c>
      <c r="W3729">
        <v>0.18153710000000001</v>
      </c>
      <c r="X3729">
        <v>0.93510959999999999</v>
      </c>
      <c r="Y3729">
        <v>0.42735960000000001</v>
      </c>
      <c r="Z3729">
        <v>3.980856E-2</v>
      </c>
      <c r="AA3729">
        <v>0.90320489999999998</v>
      </c>
      <c r="AB3729">
        <v>30</v>
      </c>
      <c r="AC3729">
        <v>-1.5164</v>
      </c>
      <c r="AD3729">
        <v>-1.104504775728</v>
      </c>
      <c r="AE3729">
        <v>-15.9274</v>
      </c>
      <c r="AF3729">
        <v>6.9183534835892102</v>
      </c>
      <c r="AG3729">
        <v>-1.104504775728</v>
      </c>
      <c r="AH3729">
        <v>14.3420847331284</v>
      </c>
      <c r="AI3729">
        <v>93.967853767346995</v>
      </c>
      <c r="AJ3729">
        <v>64.248207716543703</v>
      </c>
      <c r="AK3729">
        <v>15.9617962715896</v>
      </c>
      <c r="AL3729">
        <v>79.540695317173402</v>
      </c>
      <c r="AM3729">
        <v>71.972827337062597</v>
      </c>
      <c r="AN3729">
        <v>0.99999996804968905</v>
      </c>
    </row>
    <row r="3730" spans="1:40" x14ac:dyDescent="0.25">
      <c r="A3730" t="str">
        <f>"20190303162854865"</f>
        <v>20190303162854865</v>
      </c>
      <c r="B3730" t="str">
        <f>"1551601734855692"</f>
        <v>1551601734855692</v>
      </c>
      <c r="C3730" t="s">
        <v>40</v>
      </c>
      <c r="D3730">
        <v>5.2750589999999997</v>
      </c>
      <c r="E3730">
        <v>0.55462889999999998</v>
      </c>
      <c r="F3730" t="s">
        <v>41</v>
      </c>
      <c r="G3730">
        <v>-190.8365</v>
      </c>
      <c r="H3730" s="1">
        <v>-2.701426E-6</v>
      </c>
      <c r="I3730">
        <v>185.3674</v>
      </c>
      <c r="J3730">
        <v>-189.1609</v>
      </c>
      <c r="K3730">
        <v>1.1046689999999999</v>
      </c>
      <c r="L3730">
        <v>201.23560000000001</v>
      </c>
      <c r="M3730">
        <v>0.3288836</v>
      </c>
      <c r="N3730">
        <v>-1.8100410000000001E-2</v>
      </c>
      <c r="O3730">
        <v>-0.94419710000000001</v>
      </c>
      <c r="P3730">
        <v>3.2720949999999999E-2</v>
      </c>
      <c r="Q3730">
        <v>0.17719309999999999</v>
      </c>
      <c r="R3730">
        <v>-0.98363210000000001</v>
      </c>
      <c r="S3730">
        <v>-0.30587769999999997</v>
      </c>
      <c r="T3730">
        <v>-0.2123621</v>
      </c>
      <c r="U3730">
        <v>-3.1045229999999999</v>
      </c>
      <c r="V3730">
        <v>0.30022280000000001</v>
      </c>
      <c r="W3730">
        <v>0.1822503</v>
      </c>
      <c r="X3730">
        <v>0.93629649999999998</v>
      </c>
      <c r="Y3730">
        <v>0.419493</v>
      </c>
      <c r="Z3730">
        <v>4.0858709999999999E-2</v>
      </c>
      <c r="AA3730">
        <v>0.90683849999999999</v>
      </c>
      <c r="AB3730">
        <v>29</v>
      </c>
      <c r="AC3730">
        <v>-1.6756</v>
      </c>
      <c r="AD3730">
        <v>-1.1046717014259999</v>
      </c>
      <c r="AE3730">
        <v>-15.8682</v>
      </c>
      <c r="AF3730">
        <v>6.76955544625008</v>
      </c>
      <c r="AG3730">
        <v>-1.1046717014259999</v>
      </c>
      <c r="AH3730">
        <v>14.365143969548299</v>
      </c>
      <c r="AI3730">
        <v>93.979219050466298</v>
      </c>
      <c r="AJ3730">
        <v>64.767903159703593</v>
      </c>
      <c r="AK3730">
        <v>15.9186853029274</v>
      </c>
      <c r="AL3730">
        <v>79.499139264054406</v>
      </c>
      <c r="AM3730">
        <v>72.221589191688196</v>
      </c>
      <c r="AN3730">
        <v>1.00000001870108</v>
      </c>
    </row>
    <row r="3731" spans="1:40" x14ac:dyDescent="0.25">
      <c r="A3731" t="str">
        <f>"20190303162854887"</f>
        <v>20190303162854887</v>
      </c>
      <c r="B3731" t="str">
        <f>"1551601734875212"</f>
        <v>1551601734875212</v>
      </c>
      <c r="C3731" t="s">
        <v>40</v>
      </c>
      <c r="D3731">
        <v>5.2612740000000002</v>
      </c>
      <c r="E3731">
        <v>0.5536856</v>
      </c>
      <c r="F3731" t="s">
        <v>41</v>
      </c>
      <c r="G3731">
        <v>-190.9187</v>
      </c>
      <c r="H3731" s="1">
        <v>-2.688409E-6</v>
      </c>
      <c r="I3731">
        <v>185.2861</v>
      </c>
      <c r="J3731">
        <v>-189.07929999999999</v>
      </c>
      <c r="K3731">
        <v>1.104868</v>
      </c>
      <c r="L3731">
        <v>200.9477</v>
      </c>
      <c r="M3731">
        <v>0.31025979999999997</v>
      </c>
      <c r="N3731">
        <v>-1.8025490000000002E-2</v>
      </c>
      <c r="O3731">
        <v>-0.95048120000000003</v>
      </c>
      <c r="P3731">
        <v>1.524433E-2</v>
      </c>
      <c r="Q3731">
        <v>0.176931</v>
      </c>
      <c r="R3731">
        <v>-0.98410549999999997</v>
      </c>
      <c r="S3731">
        <v>-0.34164430000000001</v>
      </c>
      <c r="T3731">
        <v>-0.21470420000000001</v>
      </c>
      <c r="U3731">
        <v>-3.0999599999999998</v>
      </c>
      <c r="V3731">
        <v>0.29835050000000002</v>
      </c>
      <c r="W3731">
        <v>0.18215319999999999</v>
      </c>
      <c r="X3731">
        <v>0.93691369999999896</v>
      </c>
      <c r="Y3731">
        <v>0.41211750000000003</v>
      </c>
      <c r="Z3731">
        <v>4.2389030000000001E-2</v>
      </c>
      <c r="AA3731">
        <v>0.91014410000000001</v>
      </c>
      <c r="AB3731">
        <v>29</v>
      </c>
      <c r="AC3731">
        <v>-1.8394000000000099</v>
      </c>
      <c r="AD3731">
        <v>-1.104870688409</v>
      </c>
      <c r="AE3731">
        <v>-15.6615999999999</v>
      </c>
      <c r="AF3731">
        <v>6.57626831644549</v>
      </c>
      <c r="AG3731">
        <v>-1.104870688409</v>
      </c>
      <c r="AH3731">
        <v>14.24774314325</v>
      </c>
      <c r="AI3731">
        <v>94.027483975013794</v>
      </c>
      <c r="AJ3731">
        <v>65.223576908189997</v>
      </c>
      <c r="AK3731">
        <v>15.7310593694137</v>
      </c>
      <c r="AL3731">
        <v>79.504797675739098</v>
      </c>
      <c r="AM3731">
        <v>72.336460566500506</v>
      </c>
      <c r="AN3731">
        <v>1.00000004518408</v>
      </c>
    </row>
    <row r="3732" spans="1:40" x14ac:dyDescent="0.25">
      <c r="A3732" t="str">
        <f>"20190303162854913"</f>
        <v>20190303162854913</v>
      </c>
      <c r="B3732" t="str">
        <f>"1551601734905053"</f>
        <v>1551601734905053</v>
      </c>
      <c r="C3732" t="s">
        <v>40</v>
      </c>
      <c r="D3732">
        <v>5.2601849999999999</v>
      </c>
      <c r="E3732">
        <v>0.54481259999999998</v>
      </c>
      <c r="F3732" t="s">
        <v>41</v>
      </c>
      <c r="G3732">
        <v>-191.02279999999999</v>
      </c>
      <c r="H3732" s="1">
        <v>-2.722768E-6</v>
      </c>
      <c r="I3732">
        <v>185.30160000000001</v>
      </c>
      <c r="J3732">
        <v>-188.9897</v>
      </c>
      <c r="K3732">
        <v>1.105164</v>
      </c>
      <c r="L3732">
        <v>200.60400000000001</v>
      </c>
      <c r="M3732">
        <v>0.28838380000000002</v>
      </c>
      <c r="N3732">
        <v>-1.7917559999999999E-2</v>
      </c>
      <c r="O3732">
        <v>-0.95734719999999995</v>
      </c>
      <c r="P3732">
        <v>-6.2911249999999998E-3</v>
      </c>
      <c r="Q3732">
        <v>0.17435030000000001</v>
      </c>
      <c r="R3732">
        <v>-0.98466359999999997</v>
      </c>
      <c r="S3732">
        <v>-0.38427729999999999</v>
      </c>
      <c r="T3732">
        <v>-0.21846309999999999</v>
      </c>
      <c r="U3732">
        <v>-3.093674</v>
      </c>
      <c r="V3732">
        <v>0.2972554</v>
      </c>
      <c r="W3732">
        <v>0.17974370000000001</v>
      </c>
      <c r="X3732">
        <v>0.93772670000000002</v>
      </c>
      <c r="Y3732">
        <v>0.40377940000000001</v>
      </c>
      <c r="Z3732">
        <v>4.4474769999999997E-2</v>
      </c>
      <c r="AA3732">
        <v>0.91377470000000005</v>
      </c>
      <c r="AB3732">
        <v>29</v>
      </c>
      <c r="AC3732">
        <v>-2.0330999999999899</v>
      </c>
      <c r="AD3732">
        <v>-1.105166722768</v>
      </c>
      <c r="AE3732">
        <v>-15.3024</v>
      </c>
      <c r="AF3732">
        <v>6.3279342704469501</v>
      </c>
      <c r="AG3732">
        <v>-1.105166722768</v>
      </c>
      <c r="AH3732">
        <v>13.9939292385409</v>
      </c>
      <c r="AI3732">
        <v>94.115888025475499</v>
      </c>
      <c r="AJ3732">
        <v>65.667926863947599</v>
      </c>
      <c r="AK3732">
        <v>15.397863525486301</v>
      </c>
      <c r="AL3732">
        <v>79.6451682407981</v>
      </c>
      <c r="AM3732">
        <v>72.411604994856006</v>
      </c>
      <c r="AN3732">
        <v>0.99999996720586903</v>
      </c>
    </row>
    <row r="3733" spans="1:40" x14ac:dyDescent="0.25">
      <c r="A3733" t="str">
        <f>"20190303162854935"</f>
        <v>20190303162854935</v>
      </c>
      <c r="B3733" t="str">
        <f>"1551601734925548"</f>
        <v>1551601734925548</v>
      </c>
      <c r="C3733" t="s">
        <v>40</v>
      </c>
      <c r="D3733">
        <v>5.2955269999999999</v>
      </c>
      <c r="E3733">
        <v>0.54399240000000004</v>
      </c>
      <c r="F3733" t="s">
        <v>41</v>
      </c>
      <c r="G3733">
        <v>-190.68279999999999</v>
      </c>
      <c r="H3733" s="1">
        <v>-3.2586960000000001E-6</v>
      </c>
      <c r="I3733">
        <v>186.76169999999999</v>
      </c>
      <c r="J3733">
        <v>-188.9229</v>
      </c>
      <c r="K3733">
        <v>1.1054550000000001</v>
      </c>
      <c r="L3733">
        <v>200.3261</v>
      </c>
      <c r="M3733">
        <v>0.27106910000000001</v>
      </c>
      <c r="N3733">
        <v>-1.7815560000000001E-2</v>
      </c>
      <c r="O3733">
        <v>-0.96239529999999995</v>
      </c>
      <c r="P3733">
        <v>-2.2970339999999999E-2</v>
      </c>
      <c r="Q3733">
        <v>0.1704727</v>
      </c>
      <c r="R3733">
        <v>-0.98509480000000005</v>
      </c>
      <c r="S3733">
        <v>-0.3777161</v>
      </c>
      <c r="T3733">
        <v>-0.24654419999999999</v>
      </c>
      <c r="U3733">
        <v>-3.0879819999999998</v>
      </c>
      <c r="V3733">
        <v>0.296122</v>
      </c>
      <c r="W3733">
        <v>0.17604429999999999</v>
      </c>
      <c r="X3733">
        <v>0.93878649999999997</v>
      </c>
      <c r="Y3733">
        <v>0.38542159999999998</v>
      </c>
      <c r="Z3733">
        <v>5.3681529999999998E-2</v>
      </c>
      <c r="AA3733">
        <v>0.92117769999999999</v>
      </c>
      <c r="AB3733">
        <v>29</v>
      </c>
      <c r="AC3733">
        <v>-1.75989999999998</v>
      </c>
      <c r="AD3733">
        <v>-1.10545825869599</v>
      </c>
      <c r="AE3733">
        <v>-13.564399999999999</v>
      </c>
      <c r="AF3733">
        <v>5.3366024910324503</v>
      </c>
      <c r="AG3733">
        <v>-1.10545825869599</v>
      </c>
      <c r="AH3733">
        <v>12.497621085797</v>
      </c>
      <c r="AI3733">
        <v>94.650629462015999</v>
      </c>
      <c r="AJ3733">
        <v>66.877059167998794</v>
      </c>
      <c r="AK3733">
        <v>13.6342178695065</v>
      </c>
      <c r="AL3733">
        <v>79.860563990927005</v>
      </c>
      <c r="AM3733">
        <v>72.493130328192606</v>
      </c>
      <c r="AN3733">
        <v>0.99999996351436904</v>
      </c>
    </row>
    <row r="3734" spans="1:40" x14ac:dyDescent="0.25">
      <c r="A3734" t="str">
        <f>"20190303162854954"</f>
        <v>20190303162854954</v>
      </c>
      <c r="B3734" t="str">
        <f>"1551601734945068"</f>
        <v>1551601734945068</v>
      </c>
      <c r="C3734" t="s">
        <v>40</v>
      </c>
      <c r="D3734">
        <v>5.2678000000000003</v>
      </c>
      <c r="E3734">
        <v>0.54433580000000004</v>
      </c>
      <c r="F3734" t="s">
        <v>41</v>
      </c>
      <c r="G3734">
        <v>-190.7336</v>
      </c>
      <c r="H3734" s="1">
        <v>-3.4015049999999999E-6</v>
      </c>
      <c r="I3734">
        <v>187.06309999999999</v>
      </c>
      <c r="J3734">
        <v>-188.8646</v>
      </c>
      <c r="K3734">
        <v>1.105782</v>
      </c>
      <c r="L3734">
        <v>200.06469999999999</v>
      </c>
      <c r="M3734">
        <v>0.25518190000000002</v>
      </c>
      <c r="N3734">
        <v>-1.7703759999999999E-2</v>
      </c>
      <c r="O3734">
        <v>-0.96673109999999995</v>
      </c>
      <c r="P3734">
        <v>-3.6850319999999999E-2</v>
      </c>
      <c r="Q3734">
        <v>0.16644120000000001</v>
      </c>
      <c r="R3734">
        <v>-0.98536290000000004</v>
      </c>
      <c r="S3734">
        <v>-0.42050169999999998</v>
      </c>
      <c r="T3734">
        <v>-0.25671840000000001</v>
      </c>
      <c r="U3734">
        <v>-3.0800320000000001</v>
      </c>
      <c r="V3734">
        <v>0.29375659999999998</v>
      </c>
      <c r="W3734">
        <v>0.1722611</v>
      </c>
      <c r="X3734">
        <v>0.94023040000000002</v>
      </c>
      <c r="Y3734">
        <v>0.38306050000000003</v>
      </c>
      <c r="Z3734">
        <v>5.7430189999999999E-2</v>
      </c>
      <c r="AA3734">
        <v>0.92193619999999998</v>
      </c>
      <c r="AB3734">
        <v>29</v>
      </c>
      <c r="AC3734">
        <v>-1.869</v>
      </c>
      <c r="AD3734">
        <v>-1.1057854015049999</v>
      </c>
      <c r="AE3734">
        <v>-13.0015999999999</v>
      </c>
      <c r="AF3734">
        <v>5.0893277742380301</v>
      </c>
      <c r="AG3734">
        <v>-1.1057854015049999</v>
      </c>
      <c r="AH3734">
        <v>12.0089024246861</v>
      </c>
      <c r="AI3734">
        <v>94.846016241355798</v>
      </c>
      <c r="AJ3734">
        <v>67.032951494476606</v>
      </c>
      <c r="AK3734">
        <v>13.089604883014699</v>
      </c>
      <c r="AL3734">
        <v>80.080689873032</v>
      </c>
      <c r="AM3734">
        <v>72.649606213985805</v>
      </c>
      <c r="AN3734">
        <v>1.0000000158504601</v>
      </c>
    </row>
    <row r="3735" spans="1:40" x14ac:dyDescent="0.25">
      <c r="A3735" t="str">
        <f>"20190303162854977"</f>
        <v>20190303162854977</v>
      </c>
      <c r="B3735" t="str">
        <f>"1551601734965565"</f>
        <v>1551601734965565</v>
      </c>
      <c r="C3735" t="s">
        <v>40</v>
      </c>
      <c r="D3735">
        <v>5.2415419999999999</v>
      </c>
      <c r="E3735">
        <v>0.54378530000000003</v>
      </c>
      <c r="F3735" t="s">
        <v>41</v>
      </c>
      <c r="G3735">
        <v>-190.84180000000001</v>
      </c>
      <c r="H3735" s="1">
        <v>-3.3827529999999998E-6</v>
      </c>
      <c r="I3735">
        <v>186.95230000000001</v>
      </c>
      <c r="J3735">
        <v>-188.80500000000001</v>
      </c>
      <c r="K3735">
        <v>1.1062069999999999</v>
      </c>
      <c r="L3735">
        <v>199.7756</v>
      </c>
      <c r="M3735">
        <v>0.23810220000000001</v>
      </c>
      <c r="N3735">
        <v>-1.7562899999999999E-2</v>
      </c>
      <c r="O3735">
        <v>-0.97108130000000004</v>
      </c>
      <c r="P3735">
        <v>-5.0389169999999997E-2</v>
      </c>
      <c r="Q3735">
        <v>0.1628907</v>
      </c>
      <c r="R3735">
        <v>-0.98535689999999998</v>
      </c>
      <c r="S3735">
        <v>-0.46307369999999998</v>
      </c>
      <c r="T3735">
        <v>-0.25897920000000002</v>
      </c>
      <c r="U3735">
        <v>-3.0709840000000002</v>
      </c>
      <c r="V3735">
        <v>0.28991790000000001</v>
      </c>
      <c r="W3735">
        <v>0.16905209999999901</v>
      </c>
      <c r="X3735">
        <v>0.94200269999999997</v>
      </c>
      <c r="Y3735">
        <v>0.3796562</v>
      </c>
      <c r="Z3735">
        <v>5.8977210000000002E-2</v>
      </c>
      <c r="AA3735">
        <v>0.92324580000000001</v>
      </c>
      <c r="AB3735">
        <v>29</v>
      </c>
      <c r="AC3735">
        <v>-2.0367999999999902</v>
      </c>
      <c r="AD3735">
        <v>-1.1062103827530001</v>
      </c>
      <c r="AE3735">
        <v>-12.8232999999999</v>
      </c>
      <c r="AF3735">
        <v>4.9956687024957596</v>
      </c>
      <c r="AG3735">
        <v>-1.1062103827530001</v>
      </c>
      <c r="AH3735">
        <v>11.883091355249</v>
      </c>
      <c r="AI3735">
        <v>94.904880554107095</v>
      </c>
      <c r="AJ3735">
        <v>67.198045264982895</v>
      </c>
      <c r="AK3735">
        <v>12.9378617767079</v>
      </c>
      <c r="AL3735">
        <v>80.267289701752901</v>
      </c>
      <c r="AM3735">
        <v>72.893330844858795</v>
      </c>
      <c r="AN3735">
        <v>1.0000000440310499</v>
      </c>
    </row>
    <row r="3736" spans="1:40" x14ac:dyDescent="0.25">
      <c r="A3736" t="str">
        <f>"20190303162855000"</f>
        <v>20190303162855000</v>
      </c>
      <c r="B3736" t="str">
        <f>"1551601734994844"</f>
        <v>1551601734994844</v>
      </c>
      <c r="C3736" t="s">
        <v>40</v>
      </c>
      <c r="D3736">
        <v>5.2556050000000001</v>
      </c>
      <c r="E3736">
        <v>0.54263209999999995</v>
      </c>
      <c r="F3736" t="s">
        <v>41</v>
      </c>
      <c r="G3736">
        <v>-190.9169</v>
      </c>
      <c r="H3736" s="1">
        <v>-3.3548379999999998E-6</v>
      </c>
      <c r="I3736">
        <v>186.84059999999999</v>
      </c>
      <c r="J3736">
        <v>-188.74799999999999</v>
      </c>
      <c r="K3736">
        <v>1.1067009999999999</v>
      </c>
      <c r="L3736">
        <v>199.4743</v>
      </c>
      <c r="M3736">
        <v>0.2208405</v>
      </c>
      <c r="N3736">
        <v>-1.740537E-2</v>
      </c>
      <c r="O3736">
        <v>-0.97515490000000005</v>
      </c>
      <c r="P3736">
        <v>-6.3037919999999997E-2</v>
      </c>
      <c r="Q3736">
        <v>0.16086199999999901</v>
      </c>
      <c r="R3736">
        <v>-0.98496229999999996</v>
      </c>
      <c r="S3736">
        <v>-0.5</v>
      </c>
      <c r="T3736">
        <v>-0.26189210000000002</v>
      </c>
      <c r="U3736">
        <v>-3.0623320000000001</v>
      </c>
      <c r="V3736">
        <v>0.28508860000000003</v>
      </c>
      <c r="W3736">
        <v>0.16740650000000001</v>
      </c>
      <c r="X3736">
        <v>0.94376879999999996</v>
      </c>
      <c r="Y3736">
        <v>0.3744827</v>
      </c>
      <c r="Z3736">
        <v>6.074827E-2</v>
      </c>
      <c r="AA3736">
        <v>0.9252418</v>
      </c>
      <c r="AB3736">
        <v>29</v>
      </c>
      <c r="AC3736">
        <v>-2.1688999999999998</v>
      </c>
      <c r="AD3736">
        <v>-1.106704354838</v>
      </c>
      <c r="AE3736">
        <v>-12.633699999999999</v>
      </c>
      <c r="AF3736">
        <v>4.8694908715462102</v>
      </c>
      <c r="AG3736">
        <v>-1.106704354838</v>
      </c>
      <c r="AH3736">
        <v>11.755002829758901</v>
      </c>
      <c r="AI3736">
        <v>94.9710698821671</v>
      </c>
      <c r="AJ3736">
        <v>67.498297296199496</v>
      </c>
      <c r="AK3736">
        <v>12.7717198295581</v>
      </c>
      <c r="AL3736">
        <v>80.362938388453799</v>
      </c>
      <c r="AM3736">
        <v>73.191765954797006</v>
      </c>
      <c r="AN3736">
        <v>0.99999999697282405</v>
      </c>
    </row>
    <row r="3737" spans="1:40" x14ac:dyDescent="0.25">
      <c r="A3737" t="str">
        <f>"20190303162855023"</f>
        <v>20190303162855023</v>
      </c>
      <c r="B3737" t="str">
        <f>"1551601735015901"</f>
        <v>1551601735015901</v>
      </c>
      <c r="C3737" t="s">
        <v>40</v>
      </c>
      <c r="D3737">
        <v>5.2322579999999999</v>
      </c>
      <c r="E3737">
        <v>0.53263909999999903</v>
      </c>
      <c r="F3737" t="s">
        <v>41</v>
      </c>
      <c r="G3737">
        <v>-191.0112</v>
      </c>
      <c r="H3737" s="1">
        <v>-3.211657E-6</v>
      </c>
      <c r="I3737">
        <v>186.44839999999999</v>
      </c>
      <c r="J3737">
        <v>-188.69450000000001</v>
      </c>
      <c r="K3737">
        <v>1.1071949999999999</v>
      </c>
      <c r="L3737">
        <v>199.1645</v>
      </c>
      <c r="M3737">
        <v>0.20360890000000001</v>
      </c>
      <c r="N3737">
        <v>-1.7245759999999999E-2</v>
      </c>
      <c r="O3737">
        <v>-0.97890049999999995</v>
      </c>
      <c r="P3737">
        <v>-7.5772010000000001E-2</v>
      </c>
      <c r="Q3737">
        <v>0.163279799999999</v>
      </c>
      <c r="R3737">
        <v>-0.98366600000000004</v>
      </c>
      <c r="S3737">
        <v>-0.53065490000000004</v>
      </c>
      <c r="T3737">
        <v>-0.25949080000000002</v>
      </c>
      <c r="U3737">
        <v>-3.054214</v>
      </c>
      <c r="V3737">
        <v>0.28043899999999999</v>
      </c>
      <c r="W3737">
        <v>0.17017099999999999</v>
      </c>
      <c r="X3737">
        <v>0.94466700000000003</v>
      </c>
      <c r="Y3737">
        <v>0.3675582</v>
      </c>
      <c r="Z3737">
        <v>6.0931510000000001E-2</v>
      </c>
      <c r="AA3737">
        <v>0.92800240000000001</v>
      </c>
      <c r="AB3737">
        <v>29</v>
      </c>
      <c r="AC3737">
        <v>-2.3166999999999902</v>
      </c>
      <c r="AD3737">
        <v>-1.1071982116570001</v>
      </c>
      <c r="AE3737">
        <v>-12.716100000000001</v>
      </c>
      <c r="AF3737">
        <v>4.82226737757978</v>
      </c>
      <c r="AG3737">
        <v>-1.1071982116570001</v>
      </c>
      <c r="AH3737">
        <v>11.8906258781807</v>
      </c>
      <c r="AI3737">
        <v>94.9317863659831</v>
      </c>
      <c r="AJ3737">
        <v>67.924886021771599</v>
      </c>
      <c r="AK3737">
        <v>12.8789415060255</v>
      </c>
      <c r="AL3737">
        <v>80.202238213929107</v>
      </c>
      <c r="AM3737">
        <v>73.465664668232904</v>
      </c>
      <c r="AN3737">
        <v>0.99999997142549901</v>
      </c>
    </row>
    <row r="3738" spans="1:40" x14ac:dyDescent="0.25">
      <c r="A3738" t="str">
        <f>"20190303162855044"</f>
        <v>20190303162855044</v>
      </c>
      <c r="B3738" t="str">
        <f>"1551601735035422"</f>
        <v>1551601735035422</v>
      </c>
      <c r="C3738" t="s">
        <v>40</v>
      </c>
      <c r="D3738">
        <v>5.240437</v>
      </c>
      <c r="E3738">
        <v>0.5304297</v>
      </c>
      <c r="F3738" t="s">
        <v>41</v>
      </c>
      <c r="G3738">
        <v>-191.25299999999999</v>
      </c>
      <c r="H3738" s="1">
        <v>-1.9282099999999999E-6</v>
      </c>
      <c r="I3738">
        <v>183.30670000000001</v>
      </c>
      <c r="J3738">
        <v>-188.6516</v>
      </c>
      <c r="K3738">
        <v>1.107577</v>
      </c>
      <c r="L3738">
        <v>198.8879</v>
      </c>
      <c r="M3738">
        <v>0.1886516</v>
      </c>
      <c r="N3738">
        <v>-1.7113920000000001E-2</v>
      </c>
      <c r="O3738">
        <v>-0.98189499999999996</v>
      </c>
      <c r="P3738">
        <v>-8.7031609999999995E-2</v>
      </c>
      <c r="Q3738">
        <v>0.1686945</v>
      </c>
      <c r="R3738">
        <v>-0.98181870000000004</v>
      </c>
      <c r="S3738">
        <v>-0.49165340000000002</v>
      </c>
      <c r="T3738">
        <v>-0.21276039999999999</v>
      </c>
      <c r="U3738">
        <v>-3.047256</v>
      </c>
      <c r="V3738">
        <v>0.27668599999999999</v>
      </c>
      <c r="W3738">
        <v>0.17583209999999999</v>
      </c>
      <c r="X3738">
        <v>0.94473700000000005</v>
      </c>
      <c r="Y3738">
        <v>0.34224149999999998</v>
      </c>
      <c r="Z3738">
        <v>4.7897849999999999E-2</v>
      </c>
      <c r="AA3738">
        <v>0.93839039999999996</v>
      </c>
      <c r="AB3738">
        <v>29</v>
      </c>
      <c r="AC3738">
        <v>-2.60139999999998</v>
      </c>
      <c r="AD3738">
        <v>-1.1075789282099999</v>
      </c>
      <c r="AE3738">
        <v>-15.5811999999999</v>
      </c>
      <c r="AF3738">
        <v>5.4676457080297496</v>
      </c>
      <c r="AG3738">
        <v>-1.1075789282099999</v>
      </c>
      <c r="AH3738">
        <v>14.7380608435637</v>
      </c>
      <c r="AI3738">
        <v>94.030314206677204</v>
      </c>
      <c r="AJ3738">
        <v>69.645743760136796</v>
      </c>
      <c r="AK3738">
        <v>15.758563325993199</v>
      </c>
      <c r="AL3738">
        <v>79.872915540919806</v>
      </c>
      <c r="AM3738">
        <v>73.676226438825793</v>
      </c>
      <c r="AN3738">
        <v>1.0000000345777</v>
      </c>
    </row>
    <row r="3739" spans="1:40" x14ac:dyDescent="0.25">
      <c r="A3739" t="str">
        <f>"20190303162855066"</f>
        <v>20190303162855066</v>
      </c>
      <c r="B3739" t="str">
        <f>"1551601735055918"</f>
        <v>1551601735055918</v>
      </c>
      <c r="C3739" t="s">
        <v>40</v>
      </c>
      <c r="D3739">
        <v>5.3873179999999996</v>
      </c>
      <c r="E3739">
        <v>0.52962399999999998</v>
      </c>
      <c r="F3739" t="s">
        <v>41</v>
      </c>
      <c r="G3739">
        <v>-191.40960000000001</v>
      </c>
      <c r="H3739" s="1">
        <v>-1.5740129999999901E-6</v>
      </c>
      <c r="I3739">
        <v>182.38390000000001</v>
      </c>
      <c r="J3739">
        <v>-188.61089999999999</v>
      </c>
      <c r="K3739">
        <v>1.107915</v>
      </c>
      <c r="L3739">
        <v>198.59690000000001</v>
      </c>
      <c r="M3739">
        <v>0.17323829999999901</v>
      </c>
      <c r="N3739">
        <v>-1.69902E-2</v>
      </c>
      <c r="O3739">
        <v>-0.98473350000000004</v>
      </c>
      <c r="P3739">
        <v>-9.8666599999999993E-2</v>
      </c>
      <c r="Q3739">
        <v>0.1748943</v>
      </c>
      <c r="R3739">
        <v>-0.97963129999999998</v>
      </c>
      <c r="S3739">
        <v>-0.50895690000000005</v>
      </c>
      <c r="T3739">
        <v>-0.2043884</v>
      </c>
      <c r="U3739">
        <v>-3.0455779999999999</v>
      </c>
      <c r="V3739">
        <v>0.27294639999999998</v>
      </c>
      <c r="W3739">
        <v>0.18223710000000001</v>
      </c>
      <c r="X3739">
        <v>0.94461099999999998</v>
      </c>
      <c r="Y3739">
        <v>0.33280690000000002</v>
      </c>
      <c r="Z3739">
        <v>4.5880499999999998E-2</v>
      </c>
      <c r="AA3739">
        <v>0.9418782</v>
      </c>
      <c r="AB3739">
        <v>29</v>
      </c>
      <c r="AC3739">
        <v>-2.7987000000000202</v>
      </c>
      <c r="AD3739">
        <v>-1.1079165740129999</v>
      </c>
      <c r="AE3739">
        <v>-16.212999999999901</v>
      </c>
      <c r="AF3739">
        <v>5.5403657444602299</v>
      </c>
      <c r="AG3739">
        <v>-1.1079165740129999</v>
      </c>
      <c r="AH3739">
        <v>15.412984061776401</v>
      </c>
      <c r="AI3739">
        <v>93.869849590617505</v>
      </c>
      <c r="AJ3739">
        <v>70.2284706244468</v>
      </c>
      <c r="AK3739">
        <v>16.415943756175999</v>
      </c>
      <c r="AL3739">
        <v>79.4999084591783</v>
      </c>
      <c r="AM3739">
        <v>73.883291251002404</v>
      </c>
      <c r="AN3739">
        <v>1.0000000196051799</v>
      </c>
    </row>
    <row r="3740" spans="1:40" x14ac:dyDescent="0.25">
      <c r="A3740" t="str">
        <f>"20190303162855081"</f>
        <v>20190303162855081</v>
      </c>
      <c r="B3740" t="str">
        <f>"1551601735075438"</f>
        <v>1551601735075438</v>
      </c>
      <c r="C3740" t="s">
        <v>40</v>
      </c>
      <c r="D3740">
        <v>5.242972</v>
      </c>
      <c r="E3740">
        <v>0.52188749999999995</v>
      </c>
      <c r="F3740" t="s">
        <v>41</v>
      </c>
      <c r="G3740">
        <v>-191.8082</v>
      </c>
      <c r="H3740" s="1">
        <v>-8.8298739999999999E-7</v>
      </c>
      <c r="I3740">
        <v>180.52590000000001</v>
      </c>
      <c r="J3740">
        <v>-188.58609999999999</v>
      </c>
      <c r="K3740">
        <v>1.108101</v>
      </c>
      <c r="L3740">
        <v>198.40180000000001</v>
      </c>
      <c r="M3740">
        <v>0.16304389999999999</v>
      </c>
      <c r="N3740">
        <v>-1.6915369999999999E-2</v>
      </c>
      <c r="O3740">
        <v>-0.98647390000000001</v>
      </c>
      <c r="P3740">
        <v>-0.1062304</v>
      </c>
      <c r="Q3740">
        <v>0.1771973</v>
      </c>
      <c r="R3740">
        <v>-0.97842560000000001</v>
      </c>
      <c r="S3740">
        <v>-0.53813169999999899</v>
      </c>
      <c r="T3740">
        <v>-0.1864719</v>
      </c>
      <c r="U3740">
        <v>-3.0415040000000002</v>
      </c>
      <c r="V3740">
        <v>0.27039590000000002</v>
      </c>
      <c r="W3740">
        <v>0.18466250000000001</v>
      </c>
      <c r="X3740">
        <v>0.94487350000000003</v>
      </c>
      <c r="Y3740">
        <v>0.33209460000000002</v>
      </c>
      <c r="Z3740">
        <v>4.0639179999999997E-2</v>
      </c>
      <c r="AA3740">
        <v>0.94237020000000005</v>
      </c>
      <c r="AB3740">
        <v>29</v>
      </c>
      <c r="AC3740">
        <v>-3.22210000000001</v>
      </c>
      <c r="AD3740">
        <v>-1.1081018829873901</v>
      </c>
      <c r="AE3740">
        <v>-17.875900000000001</v>
      </c>
      <c r="AF3740">
        <v>6.0713497283444502</v>
      </c>
      <c r="AG3740">
        <v>-1.1081018829873901</v>
      </c>
      <c r="AH3740">
        <v>17.047765361474401</v>
      </c>
      <c r="AI3740">
        <v>93.503991112387496</v>
      </c>
      <c r="AJ3740">
        <v>70.3972752227602</v>
      </c>
      <c r="AK3740">
        <v>18.130512434204199</v>
      </c>
      <c r="AL3740">
        <v>79.358544552368002</v>
      </c>
      <c r="AM3740">
        <v>74.030385806286603</v>
      </c>
      <c r="AN3740">
        <v>1.0000000563226501</v>
      </c>
    </row>
    <row r="3741" spans="1:40" x14ac:dyDescent="0.25">
      <c r="A3741" t="str">
        <f>"20190303162855101"</f>
        <v>20190303162855101</v>
      </c>
      <c r="B3741" t="str">
        <f>"1551601735095933"</f>
        <v>1551601735095933</v>
      </c>
      <c r="C3741" t="s">
        <v>40</v>
      </c>
      <c r="D3741">
        <v>5.3321480000000001</v>
      </c>
      <c r="E3741">
        <v>0.51473440000000004</v>
      </c>
      <c r="F3741" t="s">
        <v>41</v>
      </c>
      <c r="G3741">
        <v>-193.4162</v>
      </c>
      <c r="H3741" s="1">
        <v>-5.1496889999999999E-6</v>
      </c>
      <c r="I3741">
        <v>169.1182</v>
      </c>
      <c r="J3741">
        <v>-188.5548</v>
      </c>
      <c r="K3741">
        <v>1.108312</v>
      </c>
      <c r="L3741">
        <v>198.12860000000001</v>
      </c>
      <c r="M3741">
        <v>0.14891370000000001</v>
      </c>
      <c r="N3741">
        <v>-1.6821059999999999E-2</v>
      </c>
      <c r="O3741">
        <v>-0.98870740000000001</v>
      </c>
      <c r="P3741">
        <v>-0.11307300000000001</v>
      </c>
      <c r="Q3741">
        <v>0.18118100000000001</v>
      </c>
      <c r="R3741">
        <v>-0.97692809999999997</v>
      </c>
      <c r="S3741">
        <v>-0.50021359999999904</v>
      </c>
      <c r="T3741">
        <v>-0.1147566</v>
      </c>
      <c r="U3741">
        <v>-3.0326390000000001</v>
      </c>
      <c r="V3741">
        <v>0.26339499999999999</v>
      </c>
      <c r="W3741">
        <v>0.18891450000000001</v>
      </c>
      <c r="X3741">
        <v>0.94600980000000001</v>
      </c>
      <c r="Y3741">
        <v>0.30770690000000001</v>
      </c>
      <c r="Z3741">
        <v>1.8996260000000001E-2</v>
      </c>
      <c r="AA3741">
        <v>0.95129160000000001</v>
      </c>
      <c r="AB3741">
        <v>29</v>
      </c>
      <c r="AC3741">
        <v>-4.8613999999999997</v>
      </c>
      <c r="AD3741">
        <v>-1.1083171496889901</v>
      </c>
      <c r="AE3741">
        <v>-29.010400000000001</v>
      </c>
      <c r="AF3741">
        <v>9.1148967196706803</v>
      </c>
      <c r="AG3741">
        <v>-1.1083171496889901</v>
      </c>
      <c r="AH3741">
        <v>27.9231743165608</v>
      </c>
      <c r="AI3741">
        <v>92.160873846972905</v>
      </c>
      <c r="AJ3741">
        <v>71.921884673287494</v>
      </c>
      <c r="AK3741">
        <v>29.394104392336899</v>
      </c>
      <c r="AL3741">
        <v>79.110558417638302</v>
      </c>
      <c r="AM3741">
        <v>74.44134317004</v>
      </c>
      <c r="AN3741">
        <v>1.0000000780156399</v>
      </c>
    </row>
    <row r="3742" spans="1:40" x14ac:dyDescent="0.25">
      <c r="A3742" t="str">
        <f>"20190303162855117"</f>
        <v>20190303162855117</v>
      </c>
      <c r="B3742" t="str">
        <f>"1551601735105292"</f>
        <v>1551601735105292</v>
      </c>
      <c r="C3742" t="s">
        <v>40</v>
      </c>
      <c r="D3742">
        <v>5.3869669999999896</v>
      </c>
      <c r="E3742">
        <v>0.51546289999999995</v>
      </c>
      <c r="F3742" t="s">
        <v>41</v>
      </c>
      <c r="G3742">
        <v>-193.1276</v>
      </c>
      <c r="H3742" s="1">
        <v>-4.8547710000000003E-6</v>
      </c>
      <c r="I3742">
        <v>168.48349999999999</v>
      </c>
      <c r="J3742">
        <v>-188.5359</v>
      </c>
      <c r="K3742">
        <v>1.10843</v>
      </c>
      <c r="L3742">
        <v>197.93969999999999</v>
      </c>
      <c r="M3742">
        <v>0.13920950000000001</v>
      </c>
      <c r="N3742">
        <v>-1.6763960000000001E-2</v>
      </c>
      <c r="O3742">
        <v>-0.99012140000000004</v>
      </c>
      <c r="P3742">
        <v>-0.1182317</v>
      </c>
      <c r="Q3742">
        <v>0.18307209999999999</v>
      </c>
      <c r="R3742">
        <v>-0.97596450000000001</v>
      </c>
      <c r="S3742">
        <v>-0.46856690000000001</v>
      </c>
      <c r="T3742">
        <v>-0.1135671</v>
      </c>
      <c r="U3742">
        <v>-3.037674</v>
      </c>
      <c r="V3742">
        <v>0.2590653</v>
      </c>
      <c r="W3742">
        <v>0.1909585</v>
      </c>
      <c r="X3742">
        <v>0.94679460000000004</v>
      </c>
      <c r="Y3742">
        <v>0.28840710000000003</v>
      </c>
      <c r="Z3742">
        <v>1.886912E-2</v>
      </c>
      <c r="AA3742">
        <v>0.95732189999999995</v>
      </c>
      <c r="AB3742">
        <v>29</v>
      </c>
      <c r="AC3742">
        <v>-4.5917000000000003</v>
      </c>
      <c r="AD3742">
        <v>-1.1084348547709999</v>
      </c>
      <c r="AE3742">
        <v>-29.4561999999999</v>
      </c>
      <c r="AF3742">
        <v>8.6361966983130998</v>
      </c>
      <c r="AG3742">
        <v>-1.1084348547709999</v>
      </c>
      <c r="AH3742">
        <v>28.490618882836198</v>
      </c>
      <c r="AI3742">
        <v>92.132269301072299</v>
      </c>
      <c r="AJ3742">
        <v>73.136672750936299</v>
      </c>
      <c r="AK3742">
        <v>29.7914062368034</v>
      </c>
      <c r="AL3742">
        <v>78.991273520794195</v>
      </c>
      <c r="AM3742">
        <v>74.697094452382004</v>
      </c>
      <c r="AN3742">
        <v>0.99999999648774995</v>
      </c>
    </row>
    <row r="3743" spans="1:40" x14ac:dyDescent="0.25">
      <c r="A3743" t="str">
        <f>"20190303162855137"</f>
        <v>20190303162855137</v>
      </c>
      <c r="B3743" t="str">
        <f>"1551601735125788"</f>
        <v>1551601735125788</v>
      </c>
      <c r="C3743" t="s">
        <v>40</v>
      </c>
      <c r="D3743">
        <v>5.3723269999999896</v>
      </c>
      <c r="E3743">
        <v>0.51309559999999999</v>
      </c>
      <c r="F3743" t="s">
        <v>41</v>
      </c>
      <c r="G3743">
        <v>-193.46440000000001</v>
      </c>
      <c r="H3743" s="1">
        <v>-4.5619710000000004E-6</v>
      </c>
      <c r="I3743">
        <v>167.56549999999999</v>
      </c>
      <c r="J3743">
        <v>-188.51179999999999</v>
      </c>
      <c r="K3743">
        <v>1.1085719999999999</v>
      </c>
      <c r="L3743">
        <v>197.6703</v>
      </c>
      <c r="M3743">
        <v>0.1253889</v>
      </c>
      <c r="N3743">
        <v>-1.6692869999999999E-2</v>
      </c>
      <c r="O3743">
        <v>-0.9919673</v>
      </c>
      <c r="P3743">
        <v>-0.12120069999999999</v>
      </c>
      <c r="Q3743">
        <v>0.18588540000000001</v>
      </c>
      <c r="R3743">
        <v>-0.97506789999999999</v>
      </c>
      <c r="S3743">
        <v>-0.49246220000000002</v>
      </c>
      <c r="T3743">
        <v>-0.1107559</v>
      </c>
      <c r="U3743">
        <v>-3.0350190000000001</v>
      </c>
      <c r="V3743">
        <v>0.24866849999999999</v>
      </c>
      <c r="W3743">
        <v>0.19412950000000001</v>
      </c>
      <c r="X3743">
        <v>0.94893499999999997</v>
      </c>
      <c r="Y3743">
        <v>0.28253620000000002</v>
      </c>
      <c r="Z3743">
        <v>1.820629E-2</v>
      </c>
      <c r="AA3743">
        <v>0.95908389999999999</v>
      </c>
      <c r="AB3743">
        <v>29</v>
      </c>
      <c r="AC3743">
        <v>-4.9526000000000101</v>
      </c>
      <c r="AD3743">
        <v>-1.108576561971</v>
      </c>
      <c r="AE3743">
        <v>-30.104800000000001</v>
      </c>
      <c r="AF3743">
        <v>8.6773785383044597</v>
      </c>
      <c r="AG3743">
        <v>-1.108576561971</v>
      </c>
      <c r="AH3743">
        <v>29.207487166162799</v>
      </c>
      <c r="AI3743">
        <v>92.083700368803207</v>
      </c>
      <c r="AJ3743">
        <v>73.453614530855603</v>
      </c>
      <c r="AK3743">
        <v>30.4893940059874</v>
      </c>
      <c r="AL3743">
        <v>78.806123647203094</v>
      </c>
      <c r="AM3743">
        <v>75.315815073521705</v>
      </c>
      <c r="AN3743">
        <v>0.99999995994374902</v>
      </c>
    </row>
    <row r="3744" spans="1:40" x14ac:dyDescent="0.25">
      <c r="A3744" t="str">
        <f>"20190303162855157"</f>
        <v>20190303162855157</v>
      </c>
      <c r="B3744" t="str">
        <f>"1551601735145308"</f>
        <v>1551601735145308</v>
      </c>
      <c r="C3744" t="s">
        <v>40</v>
      </c>
      <c r="D3744">
        <v>5.2737809999999996</v>
      </c>
      <c r="E3744">
        <v>0.51301600000000003</v>
      </c>
      <c r="F3744" t="s">
        <v>41</v>
      </c>
      <c r="G3744">
        <v>-193.56440000000001</v>
      </c>
      <c r="H3744" s="1">
        <v>-4.0385270000000001E-6</v>
      </c>
      <c r="I3744">
        <v>166.15620000000001</v>
      </c>
      <c r="J3744">
        <v>-188.4914</v>
      </c>
      <c r="K3744">
        <v>1.1086780000000001</v>
      </c>
      <c r="L3744">
        <v>197.3981</v>
      </c>
      <c r="M3744">
        <v>0.1114164</v>
      </c>
      <c r="N3744">
        <v>-1.6634220000000002E-2</v>
      </c>
      <c r="O3744">
        <v>-0.99363480000000004</v>
      </c>
      <c r="P3744">
        <v>-0.1237843</v>
      </c>
      <c r="Q3744">
        <v>0.18702070000000001</v>
      </c>
      <c r="R3744">
        <v>-0.97452620000000001</v>
      </c>
      <c r="S3744">
        <v>-0.48684690000000003</v>
      </c>
      <c r="T3744">
        <v>-0.1068171</v>
      </c>
      <c r="U3744">
        <v>-3.0365449999999998</v>
      </c>
      <c r="V3744">
        <v>0.2377512</v>
      </c>
      <c r="W3744">
        <v>0.1956379</v>
      </c>
      <c r="X3744">
        <v>0.95142009999999999</v>
      </c>
      <c r="Y3744">
        <v>0.2672099</v>
      </c>
      <c r="Z3744">
        <v>1.7192860000000001E-2</v>
      </c>
      <c r="AA3744">
        <v>0.96348489999999998</v>
      </c>
      <c r="AB3744">
        <v>29</v>
      </c>
      <c r="AC3744">
        <v>-5.0730000000000004</v>
      </c>
      <c r="AD3744">
        <v>-1.108682038527</v>
      </c>
      <c r="AE3744">
        <v>-31.241899999999902</v>
      </c>
      <c r="AF3744">
        <v>8.5123023347702294</v>
      </c>
      <c r="AG3744">
        <v>-1.108682038527</v>
      </c>
      <c r="AH3744">
        <v>30.444679649641699</v>
      </c>
      <c r="AI3744">
        <v>92.0086095348546</v>
      </c>
      <c r="AJ3744">
        <v>74.379060424483399</v>
      </c>
      <c r="AK3744">
        <v>31.631740165068301</v>
      </c>
      <c r="AL3744">
        <v>78.718009821616604</v>
      </c>
      <c r="AM3744">
        <v>75.969641369385499</v>
      </c>
      <c r="AN3744">
        <v>1.00000001385093</v>
      </c>
    </row>
    <row r="3745" spans="1:40" x14ac:dyDescent="0.25">
      <c r="A3745" t="str">
        <f>"20190303162855179"</f>
        <v>20190303162855179</v>
      </c>
      <c r="B3745" t="str">
        <f>"1551601735165804"</f>
        <v>1551601735165804</v>
      </c>
      <c r="C3745" t="s">
        <v>40</v>
      </c>
      <c r="D3745">
        <v>5.3906359999999998</v>
      </c>
      <c r="E3745">
        <v>0.5117218</v>
      </c>
      <c r="F3745" t="s">
        <v>41</v>
      </c>
      <c r="G3745">
        <v>-193.19710000000001</v>
      </c>
      <c r="H3745" s="1">
        <v>-4.9248860000000001E-6</v>
      </c>
      <c r="I3745">
        <v>168.63399999999999</v>
      </c>
      <c r="J3745">
        <v>-188.47450000000001</v>
      </c>
      <c r="K3745">
        <v>1.1087739999999999</v>
      </c>
      <c r="L3745">
        <v>197.11510000000001</v>
      </c>
      <c r="M3745">
        <v>9.6840449999999995E-2</v>
      </c>
      <c r="N3745">
        <v>-1.6585269999999999E-2</v>
      </c>
      <c r="O3745">
        <v>-0.99516199999999999</v>
      </c>
      <c r="P3745">
        <v>-0.125891899999999</v>
      </c>
      <c r="Q3745">
        <v>0.18639710000000001</v>
      </c>
      <c r="R3745">
        <v>-0.97437580000000001</v>
      </c>
      <c r="S3745">
        <v>-0.4969635</v>
      </c>
      <c r="T3745">
        <v>-0.1170884</v>
      </c>
      <c r="U3745">
        <v>-3.0377809999999998</v>
      </c>
      <c r="V3745">
        <v>0.22576669999999999</v>
      </c>
      <c r="W3745">
        <v>0.19542699999999999</v>
      </c>
      <c r="X3745">
        <v>0.95437819999999995</v>
      </c>
      <c r="Y3745">
        <v>0.25612119999999999</v>
      </c>
      <c r="Z3745">
        <v>2.0643439999999999E-2</v>
      </c>
      <c r="AA3745">
        <v>0.96642419999999996</v>
      </c>
      <c r="AB3745">
        <v>29</v>
      </c>
      <c r="AC3745">
        <v>-4.7225999999999999</v>
      </c>
      <c r="AD3745">
        <v>-1.1087789248859901</v>
      </c>
      <c r="AE3745">
        <v>-28.481100000000001</v>
      </c>
      <c r="AF3745">
        <v>7.4479126914216502</v>
      </c>
      <c r="AG3745">
        <v>-1.1087789248859901</v>
      </c>
      <c r="AH3745">
        <v>27.848720842026299</v>
      </c>
      <c r="AI3745">
        <v>92.202658346839698</v>
      </c>
      <c r="AJ3745">
        <v>75.027126195790899</v>
      </c>
      <c r="AK3745">
        <v>28.848778946437601</v>
      </c>
      <c r="AL3745">
        <v>78.730331546825298</v>
      </c>
      <c r="AM3745">
        <v>76.690831880509194</v>
      </c>
      <c r="AN3745">
        <v>1.0000000318965601</v>
      </c>
    </row>
    <row r="3746" spans="1:40" x14ac:dyDescent="0.25">
      <c r="A3746" t="str">
        <f>"20190303162855201"</f>
        <v>20190303162855201</v>
      </c>
      <c r="B3746" t="str">
        <f>"1551601735195084"</f>
        <v>1551601735195084</v>
      </c>
      <c r="C3746" t="s">
        <v>40</v>
      </c>
      <c r="D3746">
        <v>5.3904569999999996</v>
      </c>
      <c r="E3746">
        <v>0.51056999999999997</v>
      </c>
      <c r="F3746" t="s">
        <v>41</v>
      </c>
      <c r="G3746">
        <v>-192.77600000000001</v>
      </c>
      <c r="H3746" s="1">
        <v>-1.2122269999999999E-6</v>
      </c>
      <c r="I3746">
        <v>170.69309999999999</v>
      </c>
      <c r="J3746">
        <v>-188.46119999999999</v>
      </c>
      <c r="K3746">
        <v>1.108867</v>
      </c>
      <c r="L3746">
        <v>196.815</v>
      </c>
      <c r="M3746">
        <v>8.1302830000000006E-2</v>
      </c>
      <c r="N3746">
        <v>-1.6543889999999999E-2</v>
      </c>
      <c r="O3746">
        <v>-0.99655229999999995</v>
      </c>
      <c r="P3746">
        <v>-0.1278001</v>
      </c>
      <c r="Q3746">
        <v>0.1853532</v>
      </c>
      <c r="R3746">
        <v>-0.97432640000000004</v>
      </c>
      <c r="S3746">
        <v>-0.49481199999999997</v>
      </c>
      <c r="T3746">
        <v>-0.1275444</v>
      </c>
      <c r="U3746">
        <v>-3.0393680000000001</v>
      </c>
      <c r="V3746">
        <v>0.2126363</v>
      </c>
      <c r="W3746">
        <v>0.19483529999999999</v>
      </c>
      <c r="X3746">
        <v>0.95750979999999997</v>
      </c>
      <c r="Y3746">
        <v>0.24024809999999999</v>
      </c>
      <c r="Z3746">
        <v>2.4191879999999999E-2</v>
      </c>
      <c r="AA3746">
        <v>0.97040999999999999</v>
      </c>
      <c r="AB3746">
        <v>29</v>
      </c>
      <c r="AC3746">
        <v>-4.3147999999999902</v>
      </c>
      <c r="AD3746">
        <v>-1.1088682122269999</v>
      </c>
      <c r="AE3746">
        <v>-26.1219</v>
      </c>
      <c r="AF3746">
        <v>6.4133366688432298</v>
      </c>
      <c r="AG3746">
        <v>-1.1088682122269999</v>
      </c>
      <c r="AH3746">
        <v>25.639569993316801</v>
      </c>
      <c r="AI3746">
        <v>92.402475662719098</v>
      </c>
      <c r="AJ3746">
        <v>75.956512941883403</v>
      </c>
      <c r="AK3746">
        <v>26.452750809362101</v>
      </c>
      <c r="AL3746">
        <v>78.764897601505197</v>
      </c>
      <c r="AM3746">
        <v>77.479384135715506</v>
      </c>
      <c r="AN3746">
        <v>1.0000000036499099</v>
      </c>
    </row>
    <row r="3747" spans="1:40" x14ac:dyDescent="0.25">
      <c r="A3747" t="str">
        <f>"20190303162855225"</f>
        <v>20190303162855225</v>
      </c>
      <c r="B3747" t="str">
        <f>"1551601735215365"</f>
        <v>1551601735215365</v>
      </c>
      <c r="C3747" t="s">
        <v>40</v>
      </c>
      <c r="D3747">
        <v>5.49899</v>
      </c>
      <c r="E3747">
        <v>0.48614609999999903</v>
      </c>
      <c r="F3747" t="s">
        <v>41</v>
      </c>
      <c r="G3747">
        <v>-192.33799999999999</v>
      </c>
      <c r="H3747" s="1">
        <v>-2.065525E-6</v>
      </c>
      <c r="I3747">
        <v>172.9538</v>
      </c>
      <c r="J3747">
        <v>-188.4529</v>
      </c>
      <c r="K3747">
        <v>1.108973</v>
      </c>
      <c r="L3747">
        <v>196.51820000000001</v>
      </c>
      <c r="M3747">
        <v>6.5832230000000005E-2</v>
      </c>
      <c r="N3747">
        <v>-1.6511209999999998E-2</v>
      </c>
      <c r="O3747">
        <v>-0.99769419999999998</v>
      </c>
      <c r="P3747">
        <v>-0.1292529</v>
      </c>
      <c r="Q3747">
        <v>0.18585119999999999</v>
      </c>
      <c r="R3747">
        <v>-0.97403989999999996</v>
      </c>
      <c r="S3747">
        <v>-0.4941101</v>
      </c>
      <c r="T3747">
        <v>-0.14132639999999999</v>
      </c>
      <c r="U3747">
        <v>-3.0411380000000001</v>
      </c>
      <c r="V3747">
        <v>0.19912270000000001</v>
      </c>
      <c r="W3747">
        <v>0.195795</v>
      </c>
      <c r="X3747">
        <v>0.96021590000000001</v>
      </c>
      <c r="Y3747">
        <v>0.2248308</v>
      </c>
      <c r="Z3747">
        <v>2.8791219999999999E-2</v>
      </c>
      <c r="AA3747">
        <v>0.97397239999999996</v>
      </c>
      <c r="AB3747">
        <v>29</v>
      </c>
      <c r="AC3747">
        <v>-3.8850999999999898</v>
      </c>
      <c r="AD3747">
        <v>-1.1089750655249999</v>
      </c>
      <c r="AE3747">
        <v>-23.564399999999999</v>
      </c>
      <c r="AF3747">
        <v>5.4164992110151502</v>
      </c>
      <c r="AG3747">
        <v>-1.1089750655249999</v>
      </c>
      <c r="AH3747">
        <v>23.207429125356999</v>
      </c>
      <c r="AI3747">
        <v>92.664320128349004</v>
      </c>
      <c r="AJ3747">
        <v>76.862623911410296</v>
      </c>
      <c r="AK3747">
        <v>23.8569288888439</v>
      </c>
      <c r="AL3747">
        <v>78.708831593523001</v>
      </c>
      <c r="AM3747">
        <v>78.284464087467597</v>
      </c>
      <c r="AN3747">
        <v>1.0000000531465401</v>
      </c>
    </row>
    <row r="3748" spans="1:40" x14ac:dyDescent="0.25">
      <c r="A3748" t="str">
        <f>"20190303162855244"</f>
        <v>20190303162855244</v>
      </c>
      <c r="B3748" t="str">
        <f>"1551601735235860"</f>
        <v>1551601735235860</v>
      </c>
      <c r="C3748" t="s">
        <v>40</v>
      </c>
      <c r="D3748">
        <v>5.4996140000000002</v>
      </c>
      <c r="E3748">
        <v>0.47726610000000003</v>
      </c>
      <c r="F3748" t="s">
        <v>41</v>
      </c>
      <c r="G3748">
        <v>-190.50110000000001</v>
      </c>
      <c r="H3748" s="1">
        <v>-2.9435490000000001E-6</v>
      </c>
      <c r="I3748">
        <v>176.13980000000001</v>
      </c>
      <c r="J3748">
        <v>-188.4495</v>
      </c>
      <c r="K3748">
        <v>1.1090770000000001</v>
      </c>
      <c r="L3748">
        <v>196.24969999999999</v>
      </c>
      <c r="M3748">
        <v>5.1763110000000001E-2</v>
      </c>
      <c r="N3748">
        <v>-1.6485989999999999E-2</v>
      </c>
      <c r="O3748">
        <v>-0.99852339999999995</v>
      </c>
      <c r="P3748">
        <v>-0.12767329999999999</v>
      </c>
      <c r="Q3748">
        <v>0.18719720000000001</v>
      </c>
      <c r="R3748">
        <v>-0.97399029999999998</v>
      </c>
      <c r="S3748">
        <v>-0.30865479999999901</v>
      </c>
      <c r="T3748">
        <v>-0.1671145</v>
      </c>
      <c r="U3748">
        <v>-3.0708769999999999</v>
      </c>
      <c r="V3748">
        <v>0.18395719999999999</v>
      </c>
      <c r="W3748">
        <v>0.19765199999999999</v>
      </c>
      <c r="X3748">
        <v>0.96285690000000002</v>
      </c>
      <c r="Y3748">
        <v>0.1512251</v>
      </c>
      <c r="Z3748">
        <v>3.7269969999999999E-2</v>
      </c>
      <c r="AA3748">
        <v>0.98779649999999997</v>
      </c>
      <c r="AB3748">
        <v>29</v>
      </c>
      <c r="AC3748">
        <v>-2.0516000000000001</v>
      </c>
      <c r="AD3748">
        <v>-1.109079943549</v>
      </c>
      <c r="AE3748">
        <v>-20.1098999999999</v>
      </c>
      <c r="AF3748">
        <v>3.0806674965256202</v>
      </c>
      <c r="AG3748">
        <v>-1.109079943549</v>
      </c>
      <c r="AH3748">
        <v>19.916766198382099</v>
      </c>
      <c r="AI3748">
        <v>93.149885349537001</v>
      </c>
      <c r="AJ3748">
        <v>81.207335044440697</v>
      </c>
      <c r="AK3748">
        <v>20.184106280594801</v>
      </c>
      <c r="AL3748">
        <v>78.600311991360996</v>
      </c>
      <c r="AM3748">
        <v>79.183785088654403</v>
      </c>
      <c r="AN3748">
        <v>0.99999998720672401</v>
      </c>
    </row>
    <row r="3749" spans="1:40" x14ac:dyDescent="0.25">
      <c r="A3749" t="str">
        <f>"20190303162855269"</f>
        <v>20190303162855269</v>
      </c>
      <c r="B3749" t="str">
        <f>"1551601735255381"</f>
        <v>1551601735255381</v>
      </c>
      <c r="C3749" t="s">
        <v>40</v>
      </c>
      <c r="D3749">
        <v>5.4408510000000003</v>
      </c>
      <c r="E3749">
        <v>0.4746628</v>
      </c>
      <c r="F3749" t="s">
        <v>41</v>
      </c>
      <c r="G3749">
        <v>-190.1078</v>
      </c>
      <c r="H3749" s="1">
        <v>-2.093348E-6</v>
      </c>
      <c r="I3749">
        <v>174.40190000000001</v>
      </c>
      <c r="J3749">
        <v>-188.45050000000001</v>
      </c>
      <c r="K3749">
        <v>1.109183</v>
      </c>
      <c r="L3749">
        <v>195.9468</v>
      </c>
      <c r="M3749">
        <v>3.582113E-2</v>
      </c>
      <c r="N3749">
        <v>-1.6459850000000002E-2</v>
      </c>
      <c r="O3749">
        <v>-0.99922279999999997</v>
      </c>
      <c r="P3749">
        <v>-0.12628539999999999</v>
      </c>
      <c r="Q3749">
        <v>0.1902404</v>
      </c>
      <c r="R3749">
        <v>-0.97358149999999999</v>
      </c>
      <c r="S3749">
        <v>-0.2337494</v>
      </c>
      <c r="T3749">
        <v>-0.15632799999999999</v>
      </c>
      <c r="U3749">
        <v>-3.0795140000000001</v>
      </c>
      <c r="V3749">
        <v>0.1671735</v>
      </c>
      <c r="W3749">
        <v>0.20124800000000001</v>
      </c>
      <c r="X3749">
        <v>0.96516950000000001</v>
      </c>
      <c r="Y3749">
        <v>0.11125640000000001</v>
      </c>
      <c r="Z3749">
        <v>3.3952120000000002E-2</v>
      </c>
      <c r="AA3749">
        <v>0.99321159999999997</v>
      </c>
      <c r="AB3749">
        <v>29</v>
      </c>
      <c r="AC3749">
        <v>-1.65729999999999</v>
      </c>
      <c r="AD3749">
        <v>-1.1091850933480001</v>
      </c>
      <c r="AE3749">
        <v>-21.544899999999899</v>
      </c>
      <c r="AF3749">
        <v>2.4217223171960001</v>
      </c>
      <c r="AG3749">
        <v>-1.1091850933480001</v>
      </c>
      <c r="AH3749">
        <v>21.415268572817201</v>
      </c>
      <c r="AI3749">
        <v>92.946190714600505</v>
      </c>
      <c r="AJ3749">
        <v>83.548177932889999</v>
      </c>
      <c r="AK3749">
        <v>21.580286341909499</v>
      </c>
      <c r="AL3749">
        <v>78.390051250431</v>
      </c>
      <c r="AM3749">
        <v>80.173498786196504</v>
      </c>
      <c r="AN3749">
        <v>0.99999995016824805</v>
      </c>
    </row>
    <row r="3750" spans="1:40" x14ac:dyDescent="0.25">
      <c r="A3750" t="str">
        <f>"20190303162855292"</f>
        <v>20190303162855292</v>
      </c>
      <c r="B3750" t="str">
        <f>"1551601735285637"</f>
        <v>1551601735285637</v>
      </c>
      <c r="C3750" t="s">
        <v>40</v>
      </c>
      <c r="D3750">
        <v>5.4341619999999997</v>
      </c>
      <c r="E3750">
        <v>0.47400959999999998</v>
      </c>
      <c r="F3750" t="s">
        <v>41</v>
      </c>
      <c r="G3750">
        <v>-190.09209999999999</v>
      </c>
      <c r="H3750" s="1">
        <v>-9.8841739999999994E-7</v>
      </c>
      <c r="I3750">
        <v>171.83599999999899</v>
      </c>
      <c r="J3750">
        <v>-188.4564</v>
      </c>
      <c r="K3750">
        <v>1.1092930000000001</v>
      </c>
      <c r="L3750">
        <v>195.63390000000001</v>
      </c>
      <c r="M3750">
        <v>1.9322120000000002E-2</v>
      </c>
      <c r="N3750">
        <v>-1.643317E-2</v>
      </c>
      <c r="O3750">
        <v>-0.99967830000000002</v>
      </c>
      <c r="P3750">
        <v>-0.12513489999999999</v>
      </c>
      <c r="Q3750">
        <v>0.19119359999999999</v>
      </c>
      <c r="R3750">
        <v>-0.9735433</v>
      </c>
      <c r="S3750">
        <v>-0.20983889999999999</v>
      </c>
      <c r="T3750">
        <v>-0.1417786</v>
      </c>
      <c r="U3750">
        <v>-3.0818940000000001</v>
      </c>
      <c r="V3750">
        <v>0.15000429999999901</v>
      </c>
      <c r="W3750">
        <v>0.2027639</v>
      </c>
      <c r="X3750">
        <v>0.96767009999999998</v>
      </c>
      <c r="Y3750">
        <v>8.7123829999999999E-2</v>
      </c>
      <c r="Z3750">
        <v>2.936915E-2</v>
      </c>
      <c r="AA3750">
        <v>0.99576450000000005</v>
      </c>
      <c r="AB3750">
        <v>29</v>
      </c>
      <c r="AC3750">
        <v>-1.6356999999999799</v>
      </c>
      <c r="AD3750">
        <v>-1.1092939884174</v>
      </c>
      <c r="AE3750">
        <v>-23.797899999999998</v>
      </c>
      <c r="AF3750">
        <v>2.0907611001412398</v>
      </c>
      <c r="AG3750">
        <v>-1.1092939884174</v>
      </c>
      <c r="AH3750">
        <v>23.7105708700436</v>
      </c>
      <c r="AI3750">
        <v>92.668279217657599</v>
      </c>
      <c r="AJ3750">
        <v>84.960781404203303</v>
      </c>
      <c r="AK3750">
        <v>23.828407124983499</v>
      </c>
      <c r="AL3750">
        <v>78.301368369222203</v>
      </c>
      <c r="AM3750">
        <v>81.188374579686595</v>
      </c>
      <c r="AN3750">
        <v>0.99999995579785395</v>
      </c>
    </row>
    <row r="3751" spans="1:40" x14ac:dyDescent="0.25">
      <c r="A3751" t="str">
        <f>"20190303162855304"</f>
        <v>20190303162855304</v>
      </c>
      <c r="B3751" t="str">
        <f>"1551601735295398"</f>
        <v>1551601735295398</v>
      </c>
      <c r="C3751" t="s">
        <v>40</v>
      </c>
      <c r="D3751">
        <v>5.4312860000000001</v>
      </c>
      <c r="E3751">
        <v>0.47400049999999999</v>
      </c>
      <c r="F3751" t="s">
        <v>41</v>
      </c>
      <c r="G3751">
        <v>-190.0352</v>
      </c>
      <c r="H3751" s="1">
        <v>-8.6182909999999899E-7</v>
      </c>
      <c r="I3751">
        <v>171.5762</v>
      </c>
      <c r="J3751">
        <v>-188.4615</v>
      </c>
      <c r="K3751">
        <v>1.1093550000000001</v>
      </c>
      <c r="L3751">
        <v>195.4641</v>
      </c>
      <c r="M3751">
        <v>1.036657E-2</v>
      </c>
      <c r="N3751">
        <v>-1.6418229999999999E-2</v>
      </c>
      <c r="O3751">
        <v>-0.99981160000000002</v>
      </c>
      <c r="P3751">
        <v>-0.1256417</v>
      </c>
      <c r="Q3751">
        <v>0.19065560000000001</v>
      </c>
      <c r="R3751">
        <v>-0.97358370000000005</v>
      </c>
      <c r="S3751">
        <v>-0.20234679999999999</v>
      </c>
      <c r="T3751">
        <v>-0.14217639999999901</v>
      </c>
      <c r="U3751">
        <v>-3.0834350000000001</v>
      </c>
      <c r="V3751">
        <v>0.1417678</v>
      </c>
      <c r="W3751">
        <v>0.2024958</v>
      </c>
      <c r="X3751">
        <v>0.96896709999999997</v>
      </c>
      <c r="Y3751">
        <v>7.5757809999999995E-2</v>
      </c>
      <c r="Z3751">
        <v>2.9529E-2</v>
      </c>
      <c r="AA3751">
        <v>0.99668889999999999</v>
      </c>
      <c r="AB3751">
        <v>29</v>
      </c>
      <c r="AC3751">
        <v>-1.5737000000000001</v>
      </c>
      <c r="AD3751">
        <v>-1.1093558618291</v>
      </c>
      <c r="AE3751">
        <v>-23.887899999999998</v>
      </c>
      <c r="AF3751">
        <v>1.8173817789012701</v>
      </c>
      <c r="AG3751">
        <v>-1.1093558618291</v>
      </c>
      <c r="AH3751">
        <v>23.819151667430202</v>
      </c>
      <c r="AI3751">
        <v>92.658856178199699</v>
      </c>
      <c r="AJ3751">
        <v>85.636832630241798</v>
      </c>
      <c r="AK3751">
        <v>23.9141283160081</v>
      </c>
      <c r="AL3751">
        <v>78.317054702161798</v>
      </c>
      <c r="AM3751">
        <v>81.6762174396804</v>
      </c>
      <c r="AN3751">
        <v>0.99999994950844295</v>
      </c>
    </row>
    <row r="3752" spans="1:40" x14ac:dyDescent="0.25">
      <c r="A3752" t="str">
        <f>"20190303162855319"</f>
        <v>20190303162855319</v>
      </c>
      <c r="B3752" t="str">
        <f>"1551601735305665"</f>
        <v>1551601735305665</v>
      </c>
      <c r="C3752" t="s">
        <v>40</v>
      </c>
      <c r="D3752">
        <v>5.3601449999999904</v>
      </c>
      <c r="E3752">
        <v>0.47416029999999998</v>
      </c>
      <c r="F3752" t="s">
        <v>41</v>
      </c>
      <c r="G3752">
        <v>-190.00970000000001</v>
      </c>
      <c r="H3752" s="1">
        <v>-1.0749949999999999E-6</v>
      </c>
      <c r="I3752">
        <v>172.0889</v>
      </c>
      <c r="J3752">
        <v>-188.4692</v>
      </c>
      <c r="K3752">
        <v>1.109434</v>
      </c>
      <c r="L3752">
        <v>195.2774</v>
      </c>
      <c r="M3752">
        <v>5.576251E-4</v>
      </c>
      <c r="N3752">
        <v>-1.6398949999999999E-2</v>
      </c>
      <c r="O3752">
        <v>-0.99986540000000002</v>
      </c>
      <c r="P3752">
        <v>-0.1195222</v>
      </c>
      <c r="Q3752">
        <v>0.1907393</v>
      </c>
      <c r="R3752">
        <v>-0.97433720000000001</v>
      </c>
      <c r="S3752">
        <v>-0.2042389</v>
      </c>
      <c r="T3752">
        <v>-0.1463479</v>
      </c>
      <c r="U3752">
        <v>-3.0836790000000001</v>
      </c>
      <c r="V3752">
        <v>0.12607670000000001</v>
      </c>
      <c r="W3752">
        <v>0.20308000000000001</v>
      </c>
      <c r="X3752">
        <v>0.97101150000000003</v>
      </c>
      <c r="Y3752">
        <v>6.6577520000000001E-2</v>
      </c>
      <c r="Z3752">
        <v>3.0913989999999999E-2</v>
      </c>
      <c r="AA3752">
        <v>0.99730220000000003</v>
      </c>
      <c r="AB3752">
        <v>29</v>
      </c>
      <c r="AC3752">
        <v>-1.5405</v>
      </c>
      <c r="AD3752">
        <v>-1.1094350749949999</v>
      </c>
      <c r="AE3752">
        <v>-23.188500000000001</v>
      </c>
      <c r="AF3752">
        <v>1.5498997539534001</v>
      </c>
      <c r="AG3752">
        <v>-1.1094350749949999</v>
      </c>
      <c r="AH3752">
        <v>23.1349125935137</v>
      </c>
      <c r="AI3752">
        <v>92.739385457651295</v>
      </c>
      <c r="AJ3752">
        <v>86.167255170283994</v>
      </c>
      <c r="AK3752">
        <v>23.2132982607481</v>
      </c>
      <c r="AL3752">
        <v>78.282873800562101</v>
      </c>
      <c r="AM3752">
        <v>82.602070134927999</v>
      </c>
      <c r="AN3752">
        <v>1.0000000769075601</v>
      </c>
    </row>
    <row r="3753" spans="1:40" x14ac:dyDescent="0.25">
      <c r="A3753" t="str">
        <f>"20190303162855350"</f>
        <v>20190303162855350</v>
      </c>
      <c r="B3753" t="str">
        <f>"1551601735335919"</f>
        <v>1551601735335919</v>
      </c>
      <c r="C3753" t="s">
        <v>40</v>
      </c>
      <c r="D3753">
        <v>5.4746920000000001</v>
      </c>
      <c r="E3753">
        <v>0.47498760000000001</v>
      </c>
      <c r="F3753" t="s">
        <v>41</v>
      </c>
      <c r="G3753">
        <v>-189.86519999999999</v>
      </c>
      <c r="H3753" s="1">
        <v>-1.1060390000000001E-6</v>
      </c>
      <c r="I3753">
        <v>172.15530000000001</v>
      </c>
      <c r="J3753">
        <v>-188.48920000000001</v>
      </c>
      <c r="K3753">
        <v>1.1096200000000001</v>
      </c>
      <c r="L3753">
        <v>194.9127</v>
      </c>
      <c r="M3753">
        <v>-1.8446130000000002E-2</v>
      </c>
      <c r="N3753">
        <v>-1.6350569999999998E-2</v>
      </c>
      <c r="O3753">
        <v>-0.99969620000000003</v>
      </c>
      <c r="P3753">
        <v>-0.1168201</v>
      </c>
      <c r="Q3753">
        <v>0.18773229999999999</v>
      </c>
      <c r="R3753">
        <v>-0.97524860000000002</v>
      </c>
      <c r="S3753">
        <v>-0.18626400000000001</v>
      </c>
      <c r="T3753">
        <v>-0.14802889999999999</v>
      </c>
      <c r="U3753">
        <v>-3.0851289999999998</v>
      </c>
      <c r="V3753">
        <v>0.104645</v>
      </c>
      <c r="W3753">
        <v>0.2007496</v>
      </c>
      <c r="X3753">
        <v>0.9740375</v>
      </c>
      <c r="Y3753">
        <v>4.1787869999999998E-2</v>
      </c>
      <c r="Z3753">
        <v>3.1520550000000001E-2</v>
      </c>
      <c r="AA3753">
        <v>0.99862919999999999</v>
      </c>
      <c r="AB3753">
        <v>29</v>
      </c>
      <c r="AC3753">
        <v>-1.3759999999999699</v>
      </c>
      <c r="AD3753">
        <v>-1.109621106039</v>
      </c>
      <c r="AE3753">
        <v>-22.757399999999901</v>
      </c>
      <c r="AF3753">
        <v>0.95366476144658197</v>
      </c>
      <c r="AG3753">
        <v>-1.109621106039</v>
      </c>
      <c r="AH3753">
        <v>22.725082142159</v>
      </c>
      <c r="AI3753">
        <v>92.792965798443404</v>
      </c>
      <c r="AJ3753">
        <v>87.596975729376297</v>
      </c>
      <c r="AK3753">
        <v>22.772134152162099</v>
      </c>
      <c r="AL3753">
        <v>78.4192031576506</v>
      </c>
      <c r="AM3753">
        <v>83.867990164722798</v>
      </c>
      <c r="AN3753">
        <v>1.0000000146657</v>
      </c>
    </row>
    <row r="3754" spans="1:40" x14ac:dyDescent="0.25">
      <c r="A3754" t="str">
        <f>"20190303162855369"</f>
        <v>20190303162855369</v>
      </c>
      <c r="B3754" t="str">
        <f>"1551601735355440"</f>
        <v>1551601735355440</v>
      </c>
      <c r="C3754" t="s">
        <v>40</v>
      </c>
      <c r="D3754">
        <v>5.4668070000000002</v>
      </c>
      <c r="E3754">
        <v>0.47555639999999999</v>
      </c>
      <c r="F3754" t="s">
        <v>41</v>
      </c>
      <c r="G3754">
        <v>-189.71969999999999</v>
      </c>
      <c r="H3754" s="1">
        <v>-1.848446E-6</v>
      </c>
      <c r="I3754">
        <v>173.82570000000001</v>
      </c>
      <c r="J3754">
        <v>-188.5087</v>
      </c>
      <c r="K3754">
        <v>1.109812</v>
      </c>
      <c r="L3754">
        <v>194.6388</v>
      </c>
      <c r="M3754">
        <v>-3.2502530000000002E-2</v>
      </c>
      <c r="N3754">
        <v>-1.630152E-2</v>
      </c>
      <c r="O3754">
        <v>-0.99933890000000003</v>
      </c>
      <c r="P3754">
        <v>-0.1168247</v>
      </c>
      <c r="Q3754">
        <v>0.18472140000000001</v>
      </c>
      <c r="R3754">
        <v>-0.975823</v>
      </c>
      <c r="S3754">
        <v>-0.18006900000000001</v>
      </c>
      <c r="T3754">
        <v>-0.16237939999999901</v>
      </c>
      <c r="U3754">
        <v>-3.0858310000000002</v>
      </c>
      <c r="V3754">
        <v>9.0702270000000002E-2</v>
      </c>
      <c r="W3754">
        <v>0.1981638</v>
      </c>
      <c r="X3754">
        <v>0.97596320000000003</v>
      </c>
      <c r="Y3754">
        <v>2.5719369999999998E-2</v>
      </c>
      <c r="Z3754">
        <v>3.6182899999999997E-2</v>
      </c>
      <c r="AA3754">
        <v>0.99901419999999996</v>
      </c>
      <c r="AB3754">
        <v>28</v>
      </c>
      <c r="AC3754">
        <v>-1.2109999999999801</v>
      </c>
      <c r="AD3754">
        <v>-1.1098138484460001</v>
      </c>
      <c r="AE3754">
        <v>-20.813099999999899</v>
      </c>
      <c r="AF3754">
        <v>0.53228347657311503</v>
      </c>
      <c r="AG3754">
        <v>-1.1098138484460001</v>
      </c>
      <c r="AH3754">
        <v>20.7825740645049</v>
      </c>
      <c r="AI3754">
        <v>93.055758258913201</v>
      </c>
      <c r="AJ3754">
        <v>88.532860718446898</v>
      </c>
      <c r="AK3754">
        <v>20.818991263369799</v>
      </c>
      <c r="AL3754">
        <v>78.570396220022104</v>
      </c>
      <c r="AM3754">
        <v>84.690401903545805</v>
      </c>
      <c r="AN3754">
        <v>0.99999998058391604</v>
      </c>
    </row>
    <row r="3755" spans="1:40" x14ac:dyDescent="0.25">
      <c r="A3755" t="str">
        <f>"20190303162855391"</f>
        <v>20190303162855391</v>
      </c>
      <c r="B3755" t="str">
        <f>"1551601735385696"</f>
        <v>1551601735385696</v>
      </c>
      <c r="C3755" t="s">
        <v>40</v>
      </c>
      <c r="D3755">
        <v>5.1595180000000003</v>
      </c>
      <c r="E3755">
        <v>0.47628189999999998</v>
      </c>
      <c r="F3755" t="s">
        <v>41</v>
      </c>
      <c r="G3755">
        <v>-189.67519999999999</v>
      </c>
      <c r="H3755" s="1">
        <v>-2.343565E-6</v>
      </c>
      <c r="I3755">
        <v>174.9614</v>
      </c>
      <c r="J3755">
        <v>-188.5342</v>
      </c>
      <c r="K3755">
        <v>1.11005</v>
      </c>
      <c r="L3755">
        <v>194.3399</v>
      </c>
      <c r="M3755">
        <v>-4.7593839999999998E-2</v>
      </c>
      <c r="N3755">
        <v>-1.6237950000000001E-2</v>
      </c>
      <c r="O3755">
        <v>-0.99873500000000004</v>
      </c>
      <c r="P3755">
        <v>-0.11698600000000001</v>
      </c>
      <c r="Q3755">
        <v>0.18151310000000001</v>
      </c>
      <c r="R3755">
        <v>-0.97640559999999998</v>
      </c>
      <c r="S3755">
        <v>-0.18290709999999999</v>
      </c>
      <c r="T3755">
        <v>-0.17401659999999999</v>
      </c>
      <c r="U3755">
        <v>-3.0853730000000001</v>
      </c>
      <c r="V3755">
        <v>7.5834559999999995E-2</v>
      </c>
      <c r="W3755">
        <v>0.1953849</v>
      </c>
      <c r="X3755">
        <v>0.9777903</v>
      </c>
      <c r="Y3755">
        <v>1.1540190000000001E-2</v>
      </c>
      <c r="Z3755">
        <v>3.9967589999999997E-2</v>
      </c>
      <c r="AA3755">
        <v>0.99913439999999998</v>
      </c>
      <c r="AB3755">
        <v>28</v>
      </c>
      <c r="AC3755">
        <v>-1.14099999999999</v>
      </c>
      <c r="AD3755">
        <v>-1.110052343565</v>
      </c>
      <c r="AE3755">
        <v>-19.378499999999999</v>
      </c>
      <c r="AF3755">
        <v>0.216579797245116</v>
      </c>
      <c r="AG3755">
        <v>-1.110052343565</v>
      </c>
      <c r="AH3755">
        <v>19.347579679826602</v>
      </c>
      <c r="AI3755">
        <v>93.283495599561107</v>
      </c>
      <c r="AJ3755">
        <v>89.358648976795095</v>
      </c>
      <c r="AK3755">
        <v>19.380607897619399</v>
      </c>
      <c r="AL3755">
        <v>78.732790808831197</v>
      </c>
      <c r="AM3755">
        <v>85.565184410897302</v>
      </c>
      <c r="AN3755">
        <v>1.0000000052062401</v>
      </c>
    </row>
    <row r="3756" spans="1:40" x14ac:dyDescent="0.25">
      <c r="A3756" t="str">
        <f>"20190303162855414"</f>
        <v>20190303162855414</v>
      </c>
      <c r="B3756" t="str">
        <f>"1551601735405216"</f>
        <v>1551601735405216</v>
      </c>
      <c r="C3756" t="s">
        <v>40</v>
      </c>
      <c r="D3756">
        <v>5.4686879999999896</v>
      </c>
      <c r="E3756">
        <v>0.47652470000000002</v>
      </c>
      <c r="F3756" t="s">
        <v>41</v>
      </c>
      <c r="G3756">
        <v>-189.65770000000001</v>
      </c>
      <c r="H3756" s="1">
        <v>-2.8499329999999999E-6</v>
      </c>
      <c r="I3756">
        <v>176.1345</v>
      </c>
      <c r="J3756">
        <v>-188.56280000000001</v>
      </c>
      <c r="K3756">
        <v>1.110314</v>
      </c>
      <c r="L3756">
        <v>194.04990000000001</v>
      </c>
      <c r="M3756">
        <v>-6.192429E-2</v>
      </c>
      <c r="N3756">
        <v>-1.6170219999999999E-2</v>
      </c>
      <c r="O3756">
        <v>-0.99795009999999995</v>
      </c>
      <c r="P3756">
        <v>-0.11631469999999999</v>
      </c>
      <c r="Q3756">
        <v>0.17826529999999999</v>
      </c>
      <c r="R3756">
        <v>-0.97708379999999995</v>
      </c>
      <c r="S3756">
        <v>-0.1903687</v>
      </c>
      <c r="T3756">
        <v>-0.1880829</v>
      </c>
      <c r="U3756">
        <v>-3.0846559999999998</v>
      </c>
      <c r="V3756">
        <v>6.0823210000000003E-2</v>
      </c>
      <c r="W3756">
        <v>0.19254869999999999</v>
      </c>
      <c r="X3756">
        <v>0.97940059999999995</v>
      </c>
      <c r="Y3756">
        <v>-3.9644669999999997E-4</v>
      </c>
      <c r="Z3756">
        <v>4.4510849999999998E-2</v>
      </c>
      <c r="AA3756">
        <v>0.99900880000000003</v>
      </c>
      <c r="AB3756">
        <v>28</v>
      </c>
      <c r="AC3756">
        <v>-1.09489999999999</v>
      </c>
      <c r="AD3756">
        <v>-1.1103168499330001</v>
      </c>
      <c r="AE3756">
        <v>-17.915400000000002</v>
      </c>
      <c r="AF3756">
        <v>-1.6681212177961799E-2</v>
      </c>
      <c r="AG3756">
        <v>-1.1103168499330001</v>
      </c>
      <c r="AH3756">
        <v>17.880395930943699</v>
      </c>
      <c r="AI3756">
        <v>93.553325211545797</v>
      </c>
      <c r="AJ3756">
        <v>90.053453110398806</v>
      </c>
      <c r="AK3756">
        <v>17.914844136006199</v>
      </c>
      <c r="AL3756">
        <v>78.898439080164806</v>
      </c>
      <c r="AM3756">
        <v>86.446353557171093</v>
      </c>
      <c r="AN3756">
        <v>1.00000000001337</v>
      </c>
    </row>
    <row r="3757" spans="1:40" x14ac:dyDescent="0.25">
      <c r="A3757" t="str">
        <f>"20190303162855434"</f>
        <v>20190303162855434</v>
      </c>
      <c r="B3757" t="str">
        <f>"1551601735425712"</f>
        <v>1551601735425712</v>
      </c>
      <c r="C3757" t="s">
        <v>40</v>
      </c>
      <c r="D3757">
        <v>5.5309920000000004</v>
      </c>
      <c r="E3757">
        <v>0.47710049999999998</v>
      </c>
      <c r="F3757" t="s">
        <v>41</v>
      </c>
      <c r="G3757">
        <v>-189.6354</v>
      </c>
      <c r="H3757" s="1">
        <v>-3.1588129999999999E-6</v>
      </c>
      <c r="I3757">
        <v>176.84530000000001</v>
      </c>
      <c r="J3757">
        <v>-188.59209999999999</v>
      </c>
      <c r="K3757">
        <v>1.110603</v>
      </c>
      <c r="L3757">
        <v>193.78700000000001</v>
      </c>
      <c r="M3757">
        <v>-7.4572600000000003E-2</v>
      </c>
      <c r="N3757">
        <v>-1.6102000000000002E-2</v>
      </c>
      <c r="O3757">
        <v>-0.99708560000000002</v>
      </c>
      <c r="P3757">
        <v>-0.1155598</v>
      </c>
      <c r="Q3757">
        <v>0.1787388</v>
      </c>
      <c r="R3757">
        <v>-0.97708669999999997</v>
      </c>
      <c r="S3757">
        <v>-0.19224550000000001</v>
      </c>
      <c r="T3757">
        <v>-0.19901430000000001</v>
      </c>
      <c r="U3757">
        <v>-3.083771</v>
      </c>
      <c r="V3757">
        <v>4.7493670000000002E-2</v>
      </c>
      <c r="W3757">
        <v>0.19335579999999999</v>
      </c>
      <c r="X3757">
        <v>0.97997849999999997</v>
      </c>
      <c r="Y3757">
        <v>-1.245478E-2</v>
      </c>
      <c r="Z3757">
        <v>4.8029410000000002E-2</v>
      </c>
      <c r="AA3757">
        <v>0.99876830000000005</v>
      </c>
      <c r="AB3757">
        <v>28</v>
      </c>
      <c r="AC3757">
        <v>-1.0433000000000101</v>
      </c>
      <c r="AD3757">
        <v>-1.1106061588130001</v>
      </c>
      <c r="AE3757">
        <v>-16.941699999999901</v>
      </c>
      <c r="AF3757">
        <v>-0.22220484124794099</v>
      </c>
      <c r="AG3757">
        <v>-1.1106061588130001</v>
      </c>
      <c r="AH3757">
        <v>16.899975104488899</v>
      </c>
      <c r="AI3757">
        <v>93.759544196309307</v>
      </c>
      <c r="AJ3757">
        <v>90.753294956754502</v>
      </c>
      <c r="AK3757">
        <v>16.937885923686402</v>
      </c>
      <c r="AL3757">
        <v>78.851309868732301</v>
      </c>
      <c r="AM3757">
        <v>87.225388749151705</v>
      </c>
      <c r="AN3757">
        <v>0.99999998727297901</v>
      </c>
    </row>
    <row r="3758" spans="1:40" x14ac:dyDescent="0.25">
      <c r="A3758" t="str">
        <f>"20190303162855457"</f>
        <v>20190303162855457</v>
      </c>
      <c r="B3758" t="str">
        <f>"1551601735445232"</f>
        <v>1551601735445232</v>
      </c>
      <c r="C3758" t="s">
        <v>40</v>
      </c>
      <c r="D3758">
        <v>5.4070650000000002</v>
      </c>
      <c r="E3758">
        <v>0.47758689999999998</v>
      </c>
      <c r="F3758" t="s">
        <v>41</v>
      </c>
      <c r="G3758">
        <v>-189.69630000000001</v>
      </c>
      <c r="H3758" s="1">
        <v>-2.938996E-6</v>
      </c>
      <c r="I3758">
        <v>176.35810000000001</v>
      </c>
      <c r="J3758">
        <v>-188.62819999999999</v>
      </c>
      <c r="K3758">
        <v>1.1109739999999999</v>
      </c>
      <c r="L3758">
        <v>193.49449999999999</v>
      </c>
      <c r="M3758">
        <v>-8.8214760000000003E-2</v>
      </c>
      <c r="N3758">
        <v>-1.601708E-2</v>
      </c>
      <c r="O3758">
        <v>-0.99597279999999999</v>
      </c>
      <c r="P3758">
        <v>-0.11749469999999999</v>
      </c>
      <c r="Q3758">
        <v>0.18197579999999999</v>
      </c>
      <c r="R3758">
        <v>-0.97625819999999996</v>
      </c>
      <c r="S3758">
        <v>-0.1953278</v>
      </c>
      <c r="T3758">
        <v>-0.19646569999999999</v>
      </c>
      <c r="U3758">
        <v>-3.0831759999999999</v>
      </c>
      <c r="V3758">
        <v>3.5953400000000003E-2</v>
      </c>
      <c r="W3758">
        <v>0.19683899999999999</v>
      </c>
      <c r="X3758">
        <v>0.97977639999999999</v>
      </c>
      <c r="Y3758">
        <v>-2.5124810000000001E-2</v>
      </c>
      <c r="Z3758">
        <v>4.7200350000000002E-2</v>
      </c>
      <c r="AA3758">
        <v>0.99856940000000005</v>
      </c>
      <c r="AB3758">
        <v>28</v>
      </c>
      <c r="AC3758">
        <v>-1.06810000000001</v>
      </c>
      <c r="AD3758">
        <v>-1.11097693899599</v>
      </c>
      <c r="AE3758">
        <v>-17.136399999999899</v>
      </c>
      <c r="AF3758">
        <v>-0.44607463581371198</v>
      </c>
      <c r="AG3758">
        <v>-1.11097693899599</v>
      </c>
      <c r="AH3758">
        <v>17.092247876392801</v>
      </c>
      <c r="AI3758">
        <v>93.717667671475894</v>
      </c>
      <c r="AJ3758">
        <v>91.494969760284405</v>
      </c>
      <c r="AK3758">
        <v>17.134123549448098</v>
      </c>
      <c r="AL3758">
        <v>78.647827271133096</v>
      </c>
      <c r="AM3758">
        <v>87.898444791223298</v>
      </c>
      <c r="AN3758">
        <v>1.00000001644475</v>
      </c>
    </row>
    <row r="3759" spans="1:40" x14ac:dyDescent="0.25">
      <c r="A3759" t="str">
        <f>"20190303162855481"</f>
        <v>20190303162855481</v>
      </c>
      <c r="B3759" t="str">
        <f>"1551601735475487"</f>
        <v>1551601735475487</v>
      </c>
      <c r="C3759" t="s">
        <v>40</v>
      </c>
      <c r="D3759">
        <v>5.4787730000000003</v>
      </c>
      <c r="E3759">
        <v>0.47846050000000001</v>
      </c>
      <c r="F3759" t="s">
        <v>41</v>
      </c>
      <c r="G3759">
        <v>-189.8518</v>
      </c>
      <c r="H3759" s="1">
        <v>-2.333423E-6</v>
      </c>
      <c r="I3759">
        <v>175.01079999999999</v>
      </c>
      <c r="J3759">
        <v>-188.66970000000001</v>
      </c>
      <c r="K3759">
        <v>1.1114029999999999</v>
      </c>
      <c r="L3759">
        <v>193.1893</v>
      </c>
      <c r="M3759">
        <v>-0.10191260000000001</v>
      </c>
      <c r="N3759">
        <v>-1.592008E-2</v>
      </c>
      <c r="O3759">
        <v>-0.99466589999999999</v>
      </c>
      <c r="P3759">
        <v>-0.1211701</v>
      </c>
      <c r="Q3759">
        <v>0.18639220000000001</v>
      </c>
      <c r="R3759">
        <v>-0.97497469999999997</v>
      </c>
      <c r="S3759">
        <v>-0.2040863</v>
      </c>
      <c r="T3759">
        <v>-0.18530189999999999</v>
      </c>
      <c r="U3759">
        <v>-3.082932</v>
      </c>
      <c r="V3759">
        <v>2.612772E-2</v>
      </c>
      <c r="W3759">
        <v>0.20142450000000001</v>
      </c>
      <c r="X3759">
        <v>0.97915549999999996</v>
      </c>
      <c r="Y3759">
        <v>-3.6034009999999998E-2</v>
      </c>
      <c r="Z3759">
        <v>4.3599949999999998E-2</v>
      </c>
      <c r="AA3759">
        <v>0.99839900000000004</v>
      </c>
      <c r="AB3759">
        <v>28</v>
      </c>
      <c r="AC3759">
        <v>-1.1820999999999899</v>
      </c>
      <c r="AD3759">
        <v>-1.1114053334230001</v>
      </c>
      <c r="AE3759">
        <v>-18.1785</v>
      </c>
      <c r="AF3759">
        <v>-0.67439923675631197</v>
      </c>
      <c r="AG3759">
        <v>-1.1114053334230001</v>
      </c>
      <c r="AH3759">
        <v>18.136804836632301</v>
      </c>
      <c r="AI3759">
        <v>93.504227711073497</v>
      </c>
      <c r="AJ3759">
        <v>92.129506075020501</v>
      </c>
      <c r="AK3759">
        <v>18.183336487778799</v>
      </c>
      <c r="AL3759">
        <v>78.379727599475103</v>
      </c>
      <c r="AM3759">
        <v>88.471485959091495</v>
      </c>
      <c r="AN3759">
        <v>0.99999999006644902</v>
      </c>
    </row>
    <row r="3760" spans="1:40" x14ac:dyDescent="0.25">
      <c r="A3760" t="str">
        <f>"20190303162855503"</f>
        <v>20190303162855503</v>
      </c>
      <c r="B3760" t="str">
        <f>"1551601735495008"</f>
        <v>1551601735495008</v>
      </c>
      <c r="C3760" t="s">
        <v>40</v>
      </c>
      <c r="D3760">
        <v>5.2600389999999999</v>
      </c>
      <c r="E3760">
        <v>0.47903800000000002</v>
      </c>
      <c r="F3760" t="s">
        <v>41</v>
      </c>
      <c r="G3760">
        <v>-190.11619999999999</v>
      </c>
      <c r="H3760" s="1">
        <v>-1.457698E-6</v>
      </c>
      <c r="I3760">
        <v>172.91489999999999</v>
      </c>
      <c r="J3760">
        <v>-188.71119999999999</v>
      </c>
      <c r="K3760">
        <v>1.1118300000000001</v>
      </c>
      <c r="L3760">
        <v>192.9074</v>
      </c>
      <c r="M3760">
        <v>-0.1140065</v>
      </c>
      <c r="N3760">
        <v>-1.5824419999999999E-2</v>
      </c>
      <c r="O3760">
        <v>-0.99335430000000002</v>
      </c>
      <c r="P3760">
        <v>-0.123305399999999</v>
      </c>
      <c r="Q3760">
        <v>0.18693129999999999</v>
      </c>
      <c r="R3760">
        <v>-0.97460429999999998</v>
      </c>
      <c r="S3760">
        <v>-0.21989439999999999</v>
      </c>
      <c r="T3760">
        <v>-0.16894809999999999</v>
      </c>
      <c r="U3760">
        <v>-3.0819700000000001</v>
      </c>
      <c r="V3760">
        <v>1.6151510000000001E-2</v>
      </c>
      <c r="W3760">
        <v>0.20212740000000001</v>
      </c>
      <c r="X3760">
        <v>0.97922609999999999</v>
      </c>
      <c r="Y3760">
        <v>-4.3056659999999997E-2</v>
      </c>
      <c r="Z3760">
        <v>3.83644E-2</v>
      </c>
      <c r="AA3760">
        <v>0.9983358</v>
      </c>
      <c r="AB3760">
        <v>28</v>
      </c>
      <c r="AC3760">
        <v>-1.405</v>
      </c>
      <c r="AD3760">
        <v>-1.111831457698</v>
      </c>
      <c r="AE3760">
        <v>-19.9925</v>
      </c>
      <c r="AF3760">
        <v>-0.88101117303089604</v>
      </c>
      <c r="AG3760">
        <v>-1.111831457698</v>
      </c>
      <c r="AH3760">
        <v>19.960884965861801</v>
      </c>
      <c r="AI3760">
        <v>93.185015329372604</v>
      </c>
      <c r="AJ3760">
        <v>92.527216703718494</v>
      </c>
      <c r="AK3760">
        <v>20.011228810287999</v>
      </c>
      <c r="AL3760">
        <v>78.338609427799</v>
      </c>
      <c r="AM3760">
        <v>89.055040048814007</v>
      </c>
      <c r="AN3760">
        <v>1.00000005601362</v>
      </c>
    </row>
    <row r="3761" spans="1:40" x14ac:dyDescent="0.25">
      <c r="A3761" t="str">
        <f>"20190303162855526"</f>
        <v>20190303162855526</v>
      </c>
      <c r="B3761" t="str">
        <f>"1551601735515504"</f>
        <v>1551601735515504</v>
      </c>
      <c r="C3761" t="s">
        <v>40</v>
      </c>
      <c r="D3761">
        <v>5.1735350000000002</v>
      </c>
      <c r="E3761">
        <v>0.47962359999999998</v>
      </c>
      <c r="F3761" t="s">
        <v>41</v>
      </c>
      <c r="G3761">
        <v>-190.25219999999999</v>
      </c>
      <c r="H3761" s="1">
        <v>-1.220354E-6</v>
      </c>
      <c r="I3761">
        <v>172.2773</v>
      </c>
      <c r="J3761">
        <v>-188.7559</v>
      </c>
      <c r="K3761">
        <v>1.1122879999999999</v>
      </c>
      <c r="L3761">
        <v>192.626</v>
      </c>
      <c r="M3761">
        <v>-0.12543989999999999</v>
      </c>
      <c r="N3761">
        <v>-1.5722529999999998E-2</v>
      </c>
      <c r="O3761">
        <v>-0.99197670000000004</v>
      </c>
      <c r="P3761">
        <v>-0.12627349999999901</v>
      </c>
      <c r="Q3761">
        <v>0.18741369999999999</v>
      </c>
      <c r="R3761">
        <v>-0.97413099999999997</v>
      </c>
      <c r="S3761">
        <v>-0.23013310000000001</v>
      </c>
      <c r="T3761">
        <v>-0.166041299999999</v>
      </c>
      <c r="U3761">
        <v>-3.080902</v>
      </c>
      <c r="V3761">
        <v>7.6293159999999997E-3</v>
      </c>
      <c r="W3761">
        <v>0.2027139</v>
      </c>
      <c r="X3761">
        <v>0.97920830000000003</v>
      </c>
      <c r="Y3761">
        <v>-5.1230810000000002E-2</v>
      </c>
      <c r="Z3761">
        <v>3.7437360000000003E-2</v>
      </c>
      <c r="AA3761">
        <v>0.99798489999999995</v>
      </c>
      <c r="AB3761">
        <v>28</v>
      </c>
      <c r="AC3761">
        <v>-1.49629999999999</v>
      </c>
      <c r="AD3761">
        <v>-1.112289220354</v>
      </c>
      <c r="AE3761">
        <v>-20.348699999999901</v>
      </c>
      <c r="AF3761">
        <v>-1.06521054355986</v>
      </c>
      <c r="AG3761">
        <v>-1.112289220354</v>
      </c>
      <c r="AH3761">
        <v>20.315276117975898</v>
      </c>
      <c r="AI3761">
        <v>93.129602853208198</v>
      </c>
      <c r="AJ3761">
        <v>93.001496406919998</v>
      </c>
      <c r="AK3761">
        <v>20.373568773325601</v>
      </c>
      <c r="AL3761">
        <v>78.304294595065798</v>
      </c>
      <c r="AM3761">
        <v>89.553599818867397</v>
      </c>
      <c r="AN3761">
        <v>1.0000000132523601</v>
      </c>
    </row>
    <row r="3762" spans="1:40" x14ac:dyDescent="0.25">
      <c r="A3762" t="str">
        <f>"20190303162855548"</f>
        <v>20190303162855548</v>
      </c>
      <c r="B3762" t="str">
        <f>"1551601735535024"</f>
        <v>1551601735535024</v>
      </c>
      <c r="C3762" t="s">
        <v>40</v>
      </c>
      <c r="D3762">
        <v>5.1418879999999998</v>
      </c>
      <c r="E3762">
        <v>0.48882059999999999</v>
      </c>
      <c r="F3762" t="s">
        <v>41</v>
      </c>
      <c r="G3762">
        <v>-190.43020000000001</v>
      </c>
      <c r="H3762" s="1">
        <v>-9.7670339999999995E-7</v>
      </c>
      <c r="I3762">
        <v>171.59899999999999</v>
      </c>
      <c r="J3762">
        <v>-188.80179999999999</v>
      </c>
      <c r="K3762">
        <v>1.1127320000000001</v>
      </c>
      <c r="L3762">
        <v>192.3535</v>
      </c>
      <c r="M3762">
        <v>-0.13601859999999999</v>
      </c>
      <c r="N3762">
        <v>-1.5623069999999999E-2</v>
      </c>
      <c r="O3762">
        <v>-0.99058310000000005</v>
      </c>
      <c r="P3762">
        <v>-0.1314922</v>
      </c>
      <c r="Q3762">
        <v>0.1895963</v>
      </c>
      <c r="R3762">
        <v>-0.97301749999999998</v>
      </c>
      <c r="S3762">
        <v>-0.24517820000000001</v>
      </c>
      <c r="T3762">
        <v>-0.1628859</v>
      </c>
      <c r="U3762">
        <v>-3.0792389999999998</v>
      </c>
      <c r="V3762">
        <v>2.303696E-3</v>
      </c>
      <c r="W3762">
        <v>0.2049108</v>
      </c>
      <c r="X3762">
        <v>0.97877789999999998</v>
      </c>
      <c r="Y3762">
        <v>-5.6994700000000002E-2</v>
      </c>
      <c r="Z3762">
        <v>3.6441309999999998E-2</v>
      </c>
      <c r="AA3762">
        <v>0.99770919999999996</v>
      </c>
      <c r="AB3762">
        <v>28</v>
      </c>
      <c r="AC3762">
        <v>-1.6284000000000201</v>
      </c>
      <c r="AD3762">
        <v>-1.11273297670339</v>
      </c>
      <c r="AE3762">
        <v>-20.754499999999901</v>
      </c>
      <c r="AF3762">
        <v>-1.2066329841752299</v>
      </c>
      <c r="AG3762">
        <v>-1.11273297670339</v>
      </c>
      <c r="AH3762">
        <v>20.723880330875001</v>
      </c>
      <c r="AI3762">
        <v>93.068260234866898</v>
      </c>
      <c r="AJ3762">
        <v>93.332243323917496</v>
      </c>
      <c r="AK3762">
        <v>20.7887795169502</v>
      </c>
      <c r="AL3762">
        <v>78.1757221064411</v>
      </c>
      <c r="AM3762">
        <v>89.865146307091507</v>
      </c>
      <c r="AN3762">
        <v>0.99999996025015403</v>
      </c>
    </row>
    <row r="3763" spans="1:40" x14ac:dyDescent="0.25">
      <c r="A3763" t="str">
        <f>"20190303162855570"</f>
        <v>20190303162855570</v>
      </c>
      <c r="B3763" t="str">
        <f>"1551601735555520"</f>
        <v>1551601735555520</v>
      </c>
      <c r="C3763" t="s">
        <v>40</v>
      </c>
      <c r="D3763">
        <v>5.4607060000000001</v>
      </c>
      <c r="E3763">
        <v>0.4887242</v>
      </c>
      <c r="F3763" t="s">
        <v>41</v>
      </c>
      <c r="G3763">
        <v>-191.25399999999999</v>
      </c>
      <c r="H3763" s="1">
        <v>-4.9363319999999997E-6</v>
      </c>
      <c r="I3763">
        <v>169.56129999999999</v>
      </c>
      <c r="J3763">
        <v>-188.85169999999999</v>
      </c>
      <c r="K3763">
        <v>1.1131799999999901</v>
      </c>
      <c r="L3763">
        <v>192.07230000000001</v>
      </c>
      <c r="M3763">
        <v>-0.14635500000000001</v>
      </c>
      <c r="N3763">
        <v>-1.5522869999999999E-2</v>
      </c>
      <c r="O3763">
        <v>-0.98911039999999995</v>
      </c>
      <c r="P3763">
        <v>-0.137186999999999</v>
      </c>
      <c r="Q3763">
        <v>0.18932950000000001</v>
      </c>
      <c r="R3763">
        <v>-0.97228309999999996</v>
      </c>
      <c r="S3763">
        <v>-0.33006289999999999</v>
      </c>
      <c r="T3763">
        <v>-0.14977170000000001</v>
      </c>
      <c r="U3763">
        <v>-3.0677639999999999</v>
      </c>
      <c r="V3763">
        <v>-2.4362400000000001E-3</v>
      </c>
      <c r="W3763">
        <v>0.20464099999999999</v>
      </c>
      <c r="X3763">
        <v>0.97883410000000004</v>
      </c>
      <c r="Y3763">
        <v>-3.9748640000000002E-2</v>
      </c>
      <c r="Z3763">
        <v>3.2432379999999997E-2</v>
      </c>
      <c r="AA3763">
        <v>0.99868319999999999</v>
      </c>
      <c r="AB3763">
        <v>28</v>
      </c>
      <c r="AC3763">
        <v>-2.4023000000000199</v>
      </c>
      <c r="AD3763">
        <v>-1.1131849363320001</v>
      </c>
      <c r="AE3763">
        <v>-22.510999999999999</v>
      </c>
      <c r="AF3763">
        <v>-0.91635251609733903</v>
      </c>
      <c r="AG3763">
        <v>-1.1131849363320001</v>
      </c>
      <c r="AH3763">
        <v>22.565616820151</v>
      </c>
      <c r="AI3763">
        <v>92.821847970776105</v>
      </c>
      <c r="AJ3763">
        <v>92.325409527541893</v>
      </c>
      <c r="AK3763">
        <v>22.611632959830999</v>
      </c>
      <c r="AL3763">
        <v>78.191516073554197</v>
      </c>
      <c r="AM3763">
        <v>90.142604330651295</v>
      </c>
      <c r="AN3763">
        <v>1.0000000347345701</v>
      </c>
    </row>
    <row r="3764" spans="1:40" x14ac:dyDescent="0.25">
      <c r="A3764" t="str">
        <f>"20190303162855593"</f>
        <v>20190303162855593</v>
      </c>
      <c r="B3764" t="str">
        <f>"1551601735585776"</f>
        <v>1551601735585776</v>
      </c>
      <c r="C3764" t="s">
        <v>40</v>
      </c>
      <c r="D3764">
        <v>5.3971549999999997</v>
      </c>
      <c r="E3764">
        <v>0.48818250000000002</v>
      </c>
      <c r="F3764" t="s">
        <v>41</v>
      </c>
      <c r="G3764">
        <v>-191.39099999999999</v>
      </c>
      <c r="H3764" s="1">
        <v>-4.8948479999999998E-6</v>
      </c>
      <c r="I3764">
        <v>169.39009999999999</v>
      </c>
      <c r="J3764">
        <v>-188.90780000000001</v>
      </c>
      <c r="K3764">
        <v>1.11368</v>
      </c>
      <c r="L3764">
        <v>191.77160000000001</v>
      </c>
      <c r="M3764">
        <v>-0.1566796</v>
      </c>
      <c r="N3764">
        <v>-1.541389E-2</v>
      </c>
      <c r="O3764">
        <v>-0.9875292</v>
      </c>
      <c r="P3764">
        <v>-0.14047989999999999</v>
      </c>
      <c r="Q3764">
        <v>0.18441109999999999</v>
      </c>
      <c r="R3764">
        <v>-0.97275809999999996</v>
      </c>
      <c r="S3764">
        <v>-0.343277</v>
      </c>
      <c r="T3764">
        <v>-0.1504897</v>
      </c>
      <c r="U3764">
        <v>-3.066376</v>
      </c>
      <c r="V3764">
        <v>-9.8656119999999993E-3</v>
      </c>
      <c r="W3764">
        <v>0.19976240000000001</v>
      </c>
      <c r="X3764">
        <v>0.97979470000000002</v>
      </c>
      <c r="Y3764">
        <v>-4.5883340000000002E-2</v>
      </c>
      <c r="Z3764">
        <v>3.2671650000000003E-2</v>
      </c>
      <c r="AA3764">
        <v>0.99841239999999998</v>
      </c>
      <c r="AB3764">
        <v>28</v>
      </c>
      <c r="AC3764">
        <v>-2.4831999999999801</v>
      </c>
      <c r="AD3764">
        <v>-1.113684894848</v>
      </c>
      <c r="AE3764">
        <v>-22.381499999999999</v>
      </c>
      <c r="AF3764">
        <v>-1.05204408414281</v>
      </c>
      <c r="AG3764">
        <v>-1.113684894848</v>
      </c>
      <c r="AH3764">
        <v>22.439240424772699</v>
      </c>
      <c r="AI3764">
        <v>92.838210395779498</v>
      </c>
      <c r="AJ3764">
        <v>92.684296661587993</v>
      </c>
      <c r="AK3764">
        <v>22.4914784227437</v>
      </c>
      <c r="AL3764">
        <v>78.476934825722296</v>
      </c>
      <c r="AM3764">
        <v>90.576895167936399</v>
      </c>
      <c r="AN3764">
        <v>1.0000000004509899</v>
      </c>
    </row>
    <row r="3765" spans="1:40" x14ac:dyDescent="0.25">
      <c r="A3765" t="str">
        <f>"20190303162855614"</f>
        <v>20190303162855614</v>
      </c>
      <c r="B3765" t="str">
        <f>"1551601735605296"</f>
        <v>1551601735605296</v>
      </c>
      <c r="C3765" t="s">
        <v>40</v>
      </c>
      <c r="D3765">
        <v>5.388045</v>
      </c>
      <c r="E3765">
        <v>0.48830000000000001</v>
      </c>
      <c r="F3765" t="s">
        <v>41</v>
      </c>
      <c r="G3765">
        <v>-191.2216</v>
      </c>
      <c r="H3765" s="1">
        <v>-1.14235E-6</v>
      </c>
      <c r="I3765">
        <v>171.49430000000001</v>
      </c>
      <c r="J3765">
        <v>-188.95750000000001</v>
      </c>
      <c r="K3765">
        <v>1.1141430000000001</v>
      </c>
      <c r="L3765">
        <v>191.51519999999999</v>
      </c>
      <c r="M3765">
        <v>-0.16482379999999999</v>
      </c>
      <c r="N3765">
        <v>-1.531619E-2</v>
      </c>
      <c r="O3765">
        <v>-0.98620430000000003</v>
      </c>
      <c r="P3765">
        <v>-0.14067660000000001</v>
      </c>
      <c r="Q3765">
        <v>0.1806181</v>
      </c>
      <c r="R3765">
        <v>-0.97344109999999995</v>
      </c>
      <c r="S3765">
        <v>-0.34979250000000001</v>
      </c>
      <c r="T3765">
        <v>-0.16835929999999999</v>
      </c>
      <c r="U3765">
        <v>-3.0653990000000002</v>
      </c>
      <c r="V3765">
        <v>-1.8202880000000001E-2</v>
      </c>
      <c r="W3765">
        <v>0.19601569999999999</v>
      </c>
      <c r="X3765">
        <v>0.98043179999999996</v>
      </c>
      <c r="Y3765">
        <v>-5.201356E-2</v>
      </c>
      <c r="Z3765">
        <v>3.8352589999999999E-2</v>
      </c>
      <c r="AA3765">
        <v>0.99790970000000001</v>
      </c>
      <c r="AB3765">
        <v>28</v>
      </c>
      <c r="AC3765">
        <v>-2.26409999999998</v>
      </c>
      <c r="AD3765">
        <v>-1.11414414235</v>
      </c>
      <c r="AE3765">
        <v>-20.020899999999902</v>
      </c>
      <c r="AF3765">
        <v>-1.06392744751776</v>
      </c>
      <c r="AG3765">
        <v>-1.11414414235</v>
      </c>
      <c r="AH3765">
        <v>20.058897033381999</v>
      </c>
      <c r="AI3765">
        <v>93.174696131421697</v>
      </c>
      <c r="AJ3765">
        <v>93.036133270604296</v>
      </c>
      <c r="AK3765">
        <v>20.117967317284698</v>
      </c>
      <c r="AL3765">
        <v>78.695936016980099</v>
      </c>
      <c r="AM3765">
        <v>91.063641946199894</v>
      </c>
      <c r="AN3765">
        <v>1.00000000696901</v>
      </c>
    </row>
    <row r="3766" spans="1:40" x14ac:dyDescent="0.25">
      <c r="A3766" t="str">
        <f>"20190303162855635"</f>
        <v>20190303162855635</v>
      </c>
      <c r="B3766" t="str">
        <f>"1551601735625792"</f>
        <v>1551601735625792</v>
      </c>
      <c r="C3766" t="s">
        <v>40</v>
      </c>
      <c r="D3766">
        <v>5.2752759999999999</v>
      </c>
      <c r="E3766">
        <v>0.49422850000000002</v>
      </c>
      <c r="F3766" t="s">
        <v>41</v>
      </c>
      <c r="G3766">
        <v>-191.1035</v>
      </c>
      <c r="H3766" s="1">
        <v>-1.6644239999999999E-6</v>
      </c>
      <c r="I3766">
        <v>172.78450000000001</v>
      </c>
      <c r="J3766">
        <v>-189.01060000000001</v>
      </c>
      <c r="K3766">
        <v>1.1147129999999901</v>
      </c>
      <c r="L3766">
        <v>191.25030000000001</v>
      </c>
      <c r="M3766">
        <v>-0.17253460000000001</v>
      </c>
      <c r="N3766">
        <v>-1.52119E-2</v>
      </c>
      <c r="O3766">
        <v>-0.98488589999999998</v>
      </c>
      <c r="P3766">
        <v>-0.14345150000000001</v>
      </c>
      <c r="Q3766">
        <v>0.1806739</v>
      </c>
      <c r="R3766">
        <v>-0.97302540000000004</v>
      </c>
      <c r="S3766">
        <v>-0.35115049999999998</v>
      </c>
      <c r="T3766">
        <v>-0.18230830000000001</v>
      </c>
      <c r="U3766">
        <v>-3.0649259999999998</v>
      </c>
      <c r="V3766">
        <v>-2.3367579999999999E-2</v>
      </c>
      <c r="W3766">
        <v>0.1960218</v>
      </c>
      <c r="X3766">
        <v>0.98032109999999995</v>
      </c>
      <c r="Y3766">
        <v>-5.9386349999999997E-2</v>
      </c>
      <c r="Z3766">
        <v>4.2763809999999999E-2</v>
      </c>
      <c r="AA3766">
        <v>0.9973187</v>
      </c>
      <c r="AB3766">
        <v>28</v>
      </c>
      <c r="AC3766">
        <v>-2.0928999999999802</v>
      </c>
      <c r="AD3766">
        <v>-1.11471466442399</v>
      </c>
      <c r="AE3766">
        <v>-18.465800000000002</v>
      </c>
      <c r="AF3766">
        <v>-1.12081938380446</v>
      </c>
      <c r="AG3766">
        <v>-1.11471466442399</v>
      </c>
      <c r="AH3766">
        <v>18.483450284857</v>
      </c>
      <c r="AI3766">
        <v>93.444946767138006</v>
      </c>
      <c r="AJ3766">
        <v>93.470114090147504</v>
      </c>
      <c r="AK3766">
        <v>18.550923408471501</v>
      </c>
      <c r="AL3766">
        <v>78.695579798906607</v>
      </c>
      <c r="AM3766">
        <v>91.365481394986404</v>
      </c>
      <c r="AN3766">
        <v>1.00000002448775</v>
      </c>
    </row>
    <row r="3767" spans="1:40" x14ac:dyDescent="0.25">
      <c r="A3767" t="str">
        <f>"20190303162855660"</f>
        <v>20190303162855660</v>
      </c>
      <c r="B3767" t="str">
        <f>"1551601735645313"</f>
        <v>1551601735645313</v>
      </c>
      <c r="C3767" t="s">
        <v>40</v>
      </c>
      <c r="D3767">
        <v>5.3354609999999996</v>
      </c>
      <c r="E3767">
        <v>0.49467549999999999</v>
      </c>
      <c r="F3767" t="s">
        <v>41</v>
      </c>
      <c r="G3767">
        <v>-191.07849999999999</v>
      </c>
      <c r="H3767" s="1">
        <v>-2.8138040000000002E-6</v>
      </c>
      <c r="I3767">
        <v>175.47919999999999</v>
      </c>
      <c r="J3767">
        <v>-189.07210000000001</v>
      </c>
      <c r="K3767">
        <v>1.115456</v>
      </c>
      <c r="L3767">
        <v>190.95099999999999</v>
      </c>
      <c r="M3767">
        <v>-0.18035609999999999</v>
      </c>
      <c r="N3767">
        <v>-1.509516E-2</v>
      </c>
      <c r="O3767">
        <v>-0.98348550000000001</v>
      </c>
      <c r="P3767">
        <v>-0.1470524</v>
      </c>
      <c r="Q3767">
        <v>0.18041670000000001</v>
      </c>
      <c r="R3767">
        <v>-0.9725355</v>
      </c>
      <c r="S3767">
        <v>-0.4017792</v>
      </c>
      <c r="T3767">
        <v>-0.2165763</v>
      </c>
      <c r="U3767">
        <v>-3.064133</v>
      </c>
      <c r="V3767">
        <v>-2.7902219999999998E-2</v>
      </c>
      <c r="W3767">
        <v>0.1956687</v>
      </c>
      <c r="X3767">
        <v>0.98027299999999995</v>
      </c>
      <c r="Y3767">
        <v>-5.1124349999999999E-2</v>
      </c>
      <c r="Z3767">
        <v>5.3553699999999899E-2</v>
      </c>
      <c r="AA3767">
        <v>0.99725540000000001</v>
      </c>
      <c r="AB3767">
        <v>28</v>
      </c>
      <c r="AC3767">
        <v>-2.0063999999999802</v>
      </c>
      <c r="AD3767">
        <v>-1.115458813804</v>
      </c>
      <c r="AE3767">
        <v>-15.4718</v>
      </c>
      <c r="AF3767">
        <v>-0.81310484061301902</v>
      </c>
      <c r="AG3767">
        <v>-1.115458813804</v>
      </c>
      <c r="AH3767">
        <v>15.50069521615</v>
      </c>
      <c r="AI3767">
        <v>94.110383698415802</v>
      </c>
      <c r="AJ3767">
        <v>93.002756641618902</v>
      </c>
      <c r="AK3767">
        <v>15.5620352149421</v>
      </c>
      <c r="AL3767">
        <v>78.716209766513302</v>
      </c>
      <c r="AM3767">
        <v>91.630411031948</v>
      </c>
      <c r="AN3767">
        <v>0.99999996428480797</v>
      </c>
    </row>
    <row r="3768" spans="1:40" x14ac:dyDescent="0.25">
      <c r="A3768" t="str">
        <f>"20190303162855683"</f>
        <v>20190303162855683</v>
      </c>
      <c r="B3768" t="str">
        <f>"1551601735675568"</f>
        <v>1551601735675568</v>
      </c>
      <c r="C3768" t="s">
        <v>40</v>
      </c>
      <c r="D3768">
        <v>5.1017349999999997</v>
      </c>
      <c r="E3768">
        <v>0.49507610000000002</v>
      </c>
      <c r="F3768" t="s">
        <v>41</v>
      </c>
      <c r="G3768">
        <v>-191.16370000000001</v>
      </c>
      <c r="H3768" s="1">
        <v>-2.8138379999999998E-6</v>
      </c>
      <c r="I3768">
        <v>175.4265</v>
      </c>
      <c r="J3768">
        <v>-189.13319999999999</v>
      </c>
      <c r="K3768">
        <v>1.1162219999999901</v>
      </c>
      <c r="L3768">
        <v>190.65960000000001</v>
      </c>
      <c r="M3768">
        <v>-0.18701110000000001</v>
      </c>
      <c r="N3768">
        <v>-1.498642E-2</v>
      </c>
      <c r="O3768">
        <v>-0.98224389999999995</v>
      </c>
      <c r="P3768">
        <v>-0.146727</v>
      </c>
      <c r="Q3768">
        <v>0.17762</v>
      </c>
      <c r="R3768">
        <v>-0.97309999999999997</v>
      </c>
      <c r="S3768">
        <v>-0.41270449999999997</v>
      </c>
      <c r="T3768">
        <v>-0.22009029999999999</v>
      </c>
      <c r="U3768">
        <v>-3.0631409999999999</v>
      </c>
      <c r="V3768">
        <v>-3.538007E-2</v>
      </c>
      <c r="W3768">
        <v>0.1928098</v>
      </c>
      <c r="X3768">
        <v>0.98059810000000003</v>
      </c>
      <c r="Y3768">
        <v>-5.4355149999999998E-2</v>
      </c>
      <c r="Z3768">
        <v>5.4646550000000002E-2</v>
      </c>
      <c r="AA3768">
        <v>0.99702519999999994</v>
      </c>
      <c r="AB3768">
        <v>28</v>
      </c>
      <c r="AC3768">
        <v>-2.0305000000000102</v>
      </c>
      <c r="AD3768">
        <v>-1.11622481383799</v>
      </c>
      <c r="AE3768">
        <v>-15.2331</v>
      </c>
      <c r="AF3768">
        <v>-0.84992422405927104</v>
      </c>
      <c r="AG3768">
        <v>-1.11622481383799</v>
      </c>
      <c r="AH3768">
        <v>15.263536975700401</v>
      </c>
      <c r="AI3768">
        <v>94.176157175624098</v>
      </c>
      <c r="AJ3768">
        <v>93.187127197574398</v>
      </c>
      <c r="AK3768">
        <v>15.3278795020786</v>
      </c>
      <c r="AL3768">
        <v>78.883193488220599</v>
      </c>
      <c r="AM3768">
        <v>92.066340691227794</v>
      </c>
      <c r="AN3768">
        <v>1.0000000010264201</v>
      </c>
    </row>
    <row r="3769" spans="1:40" x14ac:dyDescent="0.25">
      <c r="A3769" t="str">
        <f>"20190303162855703"</f>
        <v>20190303162855703</v>
      </c>
      <c r="B3769" t="str">
        <f>"1551601735695088"</f>
        <v>1551601735695088</v>
      </c>
      <c r="C3769" t="s">
        <v>40</v>
      </c>
      <c r="D3769">
        <v>5.398803</v>
      </c>
      <c r="E3769">
        <v>0.49488890000000002</v>
      </c>
      <c r="F3769" t="s">
        <v>41</v>
      </c>
      <c r="G3769">
        <v>-191.15790000000001</v>
      </c>
      <c r="H3769" s="1">
        <v>-2.9254220000000002E-6</v>
      </c>
      <c r="I3769">
        <v>175.6902</v>
      </c>
      <c r="J3769">
        <v>-189.18819999999999</v>
      </c>
      <c r="K3769">
        <v>1.1169020000000001</v>
      </c>
      <c r="L3769">
        <v>190.40170000000001</v>
      </c>
      <c r="M3769">
        <v>-0.19199620000000001</v>
      </c>
      <c r="N3769">
        <v>-1.489539E-2</v>
      </c>
      <c r="O3769">
        <v>-0.98128269999999995</v>
      </c>
      <c r="P3769">
        <v>-0.14322099999999999</v>
      </c>
      <c r="Q3769">
        <v>0.17590029999999901</v>
      </c>
      <c r="R3769">
        <v>-0.97393419999999997</v>
      </c>
      <c r="S3769">
        <v>-0.41415410000000002</v>
      </c>
      <c r="T3769">
        <v>-0.22833510000000001</v>
      </c>
      <c r="U3769">
        <v>-3.0621489999999998</v>
      </c>
      <c r="V3769">
        <v>-4.4311450000000002E-2</v>
      </c>
      <c r="W3769">
        <v>0.19103809999999999</v>
      </c>
      <c r="X3769">
        <v>0.98058190000000001</v>
      </c>
      <c r="Y3769">
        <v>-5.893433E-2</v>
      </c>
      <c r="Z3769">
        <v>5.7236309999999999E-2</v>
      </c>
      <c r="AA3769">
        <v>0.99661960000000005</v>
      </c>
      <c r="AB3769">
        <v>28</v>
      </c>
      <c r="AC3769">
        <v>-1.96970000000001</v>
      </c>
      <c r="AD3769">
        <v>-1.116904925422</v>
      </c>
      <c r="AE3769">
        <v>-14.711499999999999</v>
      </c>
      <c r="AF3769">
        <v>-0.88679701636849295</v>
      </c>
      <c r="AG3769">
        <v>-1.116904925422</v>
      </c>
      <c r="AH3769">
        <v>14.732536119680701</v>
      </c>
      <c r="AI3769">
        <v>94.327618782970603</v>
      </c>
      <c r="AJ3769">
        <v>93.444654349504901</v>
      </c>
      <c r="AK3769">
        <v>14.8014021659561</v>
      </c>
      <c r="AL3769">
        <v>78.986626849483201</v>
      </c>
      <c r="AM3769">
        <v>92.587374938357499</v>
      </c>
      <c r="AN3769">
        <v>0.99999996143016001</v>
      </c>
    </row>
    <row r="3770" spans="1:40" x14ac:dyDescent="0.25">
      <c r="A3770" t="str">
        <f>"20190303162855727"</f>
        <v>20190303162855727</v>
      </c>
      <c r="B3770" t="str">
        <f>"1551601735715584"</f>
        <v>1551601735715584</v>
      </c>
      <c r="C3770" t="s">
        <v>40</v>
      </c>
      <c r="D3770">
        <v>5.4004070000000004</v>
      </c>
      <c r="E3770">
        <v>0.49465740000000002</v>
      </c>
      <c r="F3770" t="s">
        <v>41</v>
      </c>
      <c r="G3770">
        <v>-191.16380000000001</v>
      </c>
      <c r="H3770" s="1">
        <v>-2.7870059999999999E-6</v>
      </c>
      <c r="I3770">
        <v>175.3639</v>
      </c>
      <c r="J3770">
        <v>-189.2491</v>
      </c>
      <c r="K3770">
        <v>1.1175679999999999</v>
      </c>
      <c r="L3770">
        <v>190.1199</v>
      </c>
      <c r="M3770">
        <v>-0.1966753</v>
      </c>
      <c r="N3770">
        <v>-1.4803800000000001E-2</v>
      </c>
      <c r="O3770">
        <v>-0.98035720000000004</v>
      </c>
      <c r="P3770">
        <v>-0.1416934</v>
      </c>
      <c r="Q3770">
        <v>0.1769944</v>
      </c>
      <c r="R3770">
        <v>-0.97395940000000003</v>
      </c>
      <c r="S3770">
        <v>-0.40228269999999999</v>
      </c>
      <c r="T3770">
        <v>-0.227438</v>
      </c>
      <c r="U3770">
        <v>-3.062195</v>
      </c>
      <c r="V3770">
        <v>-5.0797000000000002E-2</v>
      </c>
      <c r="W3770">
        <v>0.19202420000000001</v>
      </c>
      <c r="X3770">
        <v>0.98007469999999997</v>
      </c>
      <c r="Y3770">
        <v>-6.7484829999999996E-2</v>
      </c>
      <c r="Z3770">
        <v>5.6939539999999997E-2</v>
      </c>
      <c r="AA3770">
        <v>0.99609420000000004</v>
      </c>
      <c r="AB3770">
        <v>28</v>
      </c>
      <c r="AC3770">
        <v>-1.9147000000000101</v>
      </c>
      <c r="AD3770">
        <v>-1.1175707870059901</v>
      </c>
      <c r="AE3770">
        <v>-14.755999999999901</v>
      </c>
      <c r="AF3770">
        <v>-1.0194122700555499</v>
      </c>
      <c r="AG3770">
        <v>-1.1175707870059901</v>
      </c>
      <c r="AH3770">
        <v>14.761079242691</v>
      </c>
      <c r="AI3770">
        <v>94.319391097883297</v>
      </c>
      <c r="AJ3770">
        <v>93.950620920351497</v>
      </c>
      <c r="AK3770">
        <v>14.838383545700401</v>
      </c>
      <c r="AL3770">
        <v>78.929062438116006</v>
      </c>
      <c r="AM3770">
        <v>92.966969525489901</v>
      </c>
      <c r="AN3770">
        <v>1.00000002308736</v>
      </c>
    </row>
    <row r="3771" spans="1:40" x14ac:dyDescent="0.25">
      <c r="A3771" t="str">
        <f>"20190303162855750"</f>
        <v>20190303162855750</v>
      </c>
      <c r="B3771" t="str">
        <f>"1551601735735104"</f>
        <v>1551601735735104</v>
      </c>
      <c r="C3771" t="s">
        <v>40</v>
      </c>
      <c r="D3771">
        <v>5.3437419999999998</v>
      </c>
      <c r="E3771">
        <v>0.49436799999999997</v>
      </c>
      <c r="F3771" t="s">
        <v>41</v>
      </c>
      <c r="G3771">
        <v>-191.24969999999999</v>
      </c>
      <c r="H3771" s="1">
        <v>-2.4904080000000001E-6</v>
      </c>
      <c r="I3771">
        <v>174.61920000000001</v>
      </c>
      <c r="J3771">
        <v>-189.3082</v>
      </c>
      <c r="K3771">
        <v>1.1181410000000001</v>
      </c>
      <c r="L3771">
        <v>189.8486</v>
      </c>
      <c r="M3771">
        <v>-0.2004756</v>
      </c>
      <c r="N3771">
        <v>-1.472159E-2</v>
      </c>
      <c r="O3771">
        <v>-0.97958820000000002</v>
      </c>
      <c r="P3771">
        <v>-0.1404792</v>
      </c>
      <c r="Q3771">
        <v>0.178038</v>
      </c>
      <c r="R3771">
        <v>-0.97394480000000005</v>
      </c>
      <c r="S3771">
        <v>-0.39530939999999998</v>
      </c>
      <c r="T3771">
        <v>-0.22082650000000001</v>
      </c>
      <c r="U3771">
        <v>-3.0628510000000002</v>
      </c>
      <c r="V3771">
        <v>-5.6043370000000002E-2</v>
      </c>
      <c r="W3771">
        <v>0.1929535</v>
      </c>
      <c r="X3771">
        <v>0.97960610000000004</v>
      </c>
      <c r="Y3771">
        <v>-7.3592210000000005E-2</v>
      </c>
      <c r="Z3771">
        <v>5.4848189999999998E-2</v>
      </c>
      <c r="AA3771">
        <v>0.99577899999999997</v>
      </c>
      <c r="AB3771">
        <v>28</v>
      </c>
      <c r="AC3771">
        <v>-1.94149999999999</v>
      </c>
      <c r="AD3771">
        <v>-1.1181434904080001</v>
      </c>
      <c r="AE3771">
        <v>-15.229399999999901</v>
      </c>
      <c r="AF3771">
        <v>-1.14530222513616</v>
      </c>
      <c r="AG3771">
        <v>-1.1181434904080001</v>
      </c>
      <c r="AH3771">
        <v>15.228643896752301</v>
      </c>
      <c r="AI3771">
        <v>94.187549424803095</v>
      </c>
      <c r="AJ3771">
        <v>94.300953031707294</v>
      </c>
      <c r="AK3771">
        <v>15.312529411763901</v>
      </c>
      <c r="AL3771">
        <v>78.874802640945106</v>
      </c>
      <c r="AM3771">
        <v>93.2743285124712</v>
      </c>
      <c r="AN3771">
        <v>1.0000000118201999</v>
      </c>
    </row>
    <row r="3772" spans="1:40" x14ac:dyDescent="0.25">
      <c r="A3772" t="str">
        <f>"20190303162855771"</f>
        <v>20190303162855771</v>
      </c>
      <c r="B3772" t="str">
        <f>"1551601735765362"</f>
        <v>1551601735765362</v>
      </c>
      <c r="C3772" t="s">
        <v>40</v>
      </c>
      <c r="D3772">
        <v>5.3974270000000004</v>
      </c>
      <c r="E3772">
        <v>0.49408819999999998</v>
      </c>
      <c r="F3772" t="s">
        <v>41</v>
      </c>
      <c r="G3772">
        <v>-191.3135</v>
      </c>
      <c r="H3772" s="1">
        <v>-2.2565470000000001E-6</v>
      </c>
      <c r="I3772">
        <v>174.03450000000001</v>
      </c>
      <c r="J3772">
        <v>-189.3663</v>
      </c>
      <c r="K3772">
        <v>1.118654</v>
      </c>
      <c r="L3772">
        <v>189.58369999999999</v>
      </c>
      <c r="M3772">
        <v>-0.20351320000000001</v>
      </c>
      <c r="N3772">
        <v>-1.4645699999999999E-2</v>
      </c>
      <c r="O3772">
        <v>-0.97896280000000002</v>
      </c>
      <c r="P3772">
        <v>-0.13764109999999999</v>
      </c>
      <c r="Q3772">
        <v>0.1776259</v>
      </c>
      <c r="R3772">
        <v>-0.9744254</v>
      </c>
      <c r="S3772">
        <v>-0.38850400000000002</v>
      </c>
      <c r="T3772">
        <v>-0.2166286</v>
      </c>
      <c r="U3772">
        <v>-3.063812</v>
      </c>
      <c r="V3772">
        <v>-6.2204250000000003E-2</v>
      </c>
      <c r="W3772">
        <v>0.19243640000000001</v>
      </c>
      <c r="X3772">
        <v>0.97933590000000004</v>
      </c>
      <c r="Y3772">
        <v>-7.8888769999999997E-2</v>
      </c>
      <c r="Z3772">
        <v>5.3517929999999998E-2</v>
      </c>
      <c r="AA3772">
        <v>0.99544580000000005</v>
      </c>
      <c r="AB3772">
        <v>28</v>
      </c>
      <c r="AC3772">
        <v>-1.9472</v>
      </c>
      <c r="AD3772">
        <v>-1.118656256547</v>
      </c>
      <c r="AE3772">
        <v>-15.5491999999999</v>
      </c>
      <c r="AF3772">
        <v>-1.2519858990931401</v>
      </c>
      <c r="AG3772">
        <v>-1.118656256547</v>
      </c>
      <c r="AH3772">
        <v>15.540848040663301</v>
      </c>
      <c r="AI3772">
        <v>94.103895013120393</v>
      </c>
      <c r="AJ3772">
        <v>94.605857039755506</v>
      </c>
      <c r="AK3772">
        <v>15.631276925921</v>
      </c>
      <c r="AL3772">
        <v>78.904995694111506</v>
      </c>
      <c r="AM3772">
        <v>93.634360450892302</v>
      </c>
      <c r="AN3772">
        <v>0.99999997089591497</v>
      </c>
    </row>
    <row r="3773" spans="1:40" x14ac:dyDescent="0.25">
      <c r="A3773" t="str">
        <f>"20190303162855794"</f>
        <v>20190303162855794</v>
      </c>
      <c r="B3773" t="str">
        <f>"1551601735785857"</f>
        <v>1551601735785857</v>
      </c>
      <c r="C3773" t="s">
        <v>40</v>
      </c>
      <c r="D3773">
        <v>5.3963660000000004</v>
      </c>
      <c r="E3773">
        <v>0.49399310000000002</v>
      </c>
      <c r="F3773" t="s">
        <v>41</v>
      </c>
      <c r="G3773">
        <v>-191.31970000000001</v>
      </c>
      <c r="H3773" s="1">
        <v>-2.1395450000000002E-6</v>
      </c>
      <c r="I3773">
        <v>173.75790000000001</v>
      </c>
      <c r="J3773">
        <v>-189.4297</v>
      </c>
      <c r="K3773">
        <v>1.119213</v>
      </c>
      <c r="L3773">
        <v>189.2961</v>
      </c>
      <c r="M3773">
        <v>-0.20608199999999999</v>
      </c>
      <c r="N3773">
        <v>-1.4569159999999999E-2</v>
      </c>
      <c r="O3773">
        <v>-0.97842620000000002</v>
      </c>
      <c r="P3773">
        <v>-0.13472039999999999</v>
      </c>
      <c r="Q3773">
        <v>0.17685519999999999</v>
      </c>
      <c r="R3773">
        <v>-0.97497299999999998</v>
      </c>
      <c r="S3773">
        <v>-0.37829590000000002</v>
      </c>
      <c r="T3773">
        <v>-0.21663679999999999</v>
      </c>
      <c r="U3773">
        <v>-3.0647890000000002</v>
      </c>
      <c r="V3773">
        <v>-6.8014359999999996E-2</v>
      </c>
      <c r="W3773">
        <v>0.1915356</v>
      </c>
      <c r="X3773">
        <v>0.97912619999999895</v>
      </c>
      <c r="Y3773">
        <v>-8.4804299999999999E-2</v>
      </c>
      <c r="Z3773">
        <v>5.351235E-2</v>
      </c>
      <c r="AA3773">
        <v>0.9949597</v>
      </c>
      <c r="AB3773">
        <v>28</v>
      </c>
      <c r="AC3773">
        <v>-1.8900000000000099</v>
      </c>
      <c r="AD3773">
        <v>-1.1192151395450001</v>
      </c>
      <c r="AE3773">
        <v>-15.5381999999999</v>
      </c>
      <c r="AF3773">
        <v>-1.34617894232621</v>
      </c>
      <c r="AG3773">
        <v>-1.1192151395450001</v>
      </c>
      <c r="AH3773">
        <v>15.514810966325101</v>
      </c>
      <c r="AI3773">
        <v>94.110692413049193</v>
      </c>
      <c r="AJ3773">
        <v>94.958982818306097</v>
      </c>
      <c r="AK3773">
        <v>15.613269984027999</v>
      </c>
      <c r="AL3773">
        <v>78.957586111620301</v>
      </c>
      <c r="AM3773">
        <v>93.973630675641601</v>
      </c>
      <c r="AN3773">
        <v>0.99999997738000401</v>
      </c>
    </row>
    <row r="3774" spans="1:40" x14ac:dyDescent="0.25">
      <c r="A3774" t="str">
        <f>"20190303162855817"</f>
        <v>20190303162855817</v>
      </c>
      <c r="B3774" t="str">
        <f>"1551601735805376"</f>
        <v>1551601735805376</v>
      </c>
      <c r="C3774" t="s">
        <v>40</v>
      </c>
      <c r="D3774">
        <v>5.4003540000000001</v>
      </c>
      <c r="E3774">
        <v>0.49373869999999997</v>
      </c>
      <c r="F3774" t="s">
        <v>41</v>
      </c>
      <c r="G3774">
        <v>-191.3176</v>
      </c>
      <c r="H3774" s="1">
        <v>-2.0497550000000001E-6</v>
      </c>
      <c r="I3774">
        <v>173.55</v>
      </c>
      <c r="J3774">
        <v>-189.48869999999999</v>
      </c>
      <c r="K3774">
        <v>1.1197600000000001</v>
      </c>
      <c r="L3774">
        <v>189.02809999999999</v>
      </c>
      <c r="M3774">
        <v>-0.2078258</v>
      </c>
      <c r="N3774">
        <v>-1.4505270000000001E-2</v>
      </c>
      <c r="O3774">
        <v>-0.97805850000000005</v>
      </c>
      <c r="P3774">
        <v>-0.1333135</v>
      </c>
      <c r="Q3774">
        <v>0.17668610000000001</v>
      </c>
      <c r="R3774">
        <v>-0.97519730000000004</v>
      </c>
      <c r="S3774">
        <v>-0.36756899999999998</v>
      </c>
      <c r="T3774">
        <v>-0.21790809999999999</v>
      </c>
      <c r="U3774">
        <v>-3.0657350000000001</v>
      </c>
      <c r="V3774">
        <v>-7.1439649999999993E-2</v>
      </c>
      <c r="W3774">
        <v>0.19122620000000001</v>
      </c>
      <c r="X3774">
        <v>0.9789428</v>
      </c>
      <c r="Y3774">
        <v>-9.0046199999999896E-2</v>
      </c>
      <c r="Z3774">
        <v>5.3906519999999999E-2</v>
      </c>
      <c r="AA3774">
        <v>0.99447759999999996</v>
      </c>
      <c r="AB3774">
        <v>28</v>
      </c>
      <c r="AC3774">
        <v>-1.8289</v>
      </c>
      <c r="AD3774">
        <v>-1.119762049755</v>
      </c>
      <c r="AE3774">
        <v>-15.4780999999999</v>
      </c>
      <c r="AF3774">
        <v>-1.4207935504907301</v>
      </c>
      <c r="AG3774">
        <v>-1.119762049755</v>
      </c>
      <c r="AH3774">
        <v>15.4405100296445</v>
      </c>
      <c r="AI3774">
        <v>94.130499579655094</v>
      </c>
      <c r="AJ3774">
        <v>95.257396023374895</v>
      </c>
      <c r="AK3774">
        <v>15.5461207809775</v>
      </c>
      <c r="AL3774">
        <v>78.975648019883394</v>
      </c>
      <c r="AM3774">
        <v>94.173836723644897</v>
      </c>
      <c r="AN3774">
        <v>1.0000000444152</v>
      </c>
    </row>
    <row r="3775" spans="1:40" x14ac:dyDescent="0.25">
      <c r="A3775" t="str">
        <f>"20190303162855836"</f>
        <v>20190303162855836</v>
      </c>
      <c r="B3775" t="str">
        <f>"1551601735825873"</f>
        <v>1551601735825873</v>
      </c>
      <c r="C3775" t="s">
        <v>40</v>
      </c>
      <c r="D3775">
        <v>5.397138</v>
      </c>
      <c r="E3775">
        <v>0.49371300000000001</v>
      </c>
      <c r="F3775" t="s">
        <v>41</v>
      </c>
      <c r="G3775">
        <v>-191.33969999999999</v>
      </c>
      <c r="H3775" s="1">
        <v>-1.8983469999999999E-6</v>
      </c>
      <c r="I3775">
        <v>173.1833</v>
      </c>
      <c r="J3775">
        <v>-189.5411</v>
      </c>
      <c r="K3775">
        <v>1.1202700000000001</v>
      </c>
      <c r="L3775">
        <v>188.7894</v>
      </c>
      <c r="M3775">
        <v>-0.2088342</v>
      </c>
      <c r="N3775">
        <v>-1.445549E-2</v>
      </c>
      <c r="O3775">
        <v>-0.97784450000000001</v>
      </c>
      <c r="P3775">
        <v>-0.1316243</v>
      </c>
      <c r="Q3775">
        <v>0.1755041</v>
      </c>
      <c r="R3775">
        <v>-0.97564019999999996</v>
      </c>
      <c r="S3775">
        <v>-0.3582458</v>
      </c>
      <c r="T3775">
        <v>-0.21671750000000001</v>
      </c>
      <c r="U3775">
        <v>-3.066589</v>
      </c>
      <c r="V3775">
        <v>-7.4434890000000004E-2</v>
      </c>
      <c r="W3775">
        <v>0.18991649999999999</v>
      </c>
      <c r="X3775">
        <v>0.97897460000000003</v>
      </c>
      <c r="Y3775">
        <v>-9.4082189999999996E-2</v>
      </c>
      <c r="Z3775">
        <v>5.3538219999999997E-2</v>
      </c>
      <c r="AA3775">
        <v>0.9941238</v>
      </c>
      <c r="AB3775">
        <v>28</v>
      </c>
      <c r="AC3775">
        <v>-1.79859999999999</v>
      </c>
      <c r="AD3775">
        <v>-1.1202718983469999</v>
      </c>
      <c r="AE3775">
        <v>-15.6060999999999</v>
      </c>
      <c r="AF3775">
        <v>-1.4929006189118099</v>
      </c>
      <c r="AG3775">
        <v>-1.1202718983469999</v>
      </c>
      <c r="AH3775">
        <v>15.558456428315001</v>
      </c>
      <c r="AI3775">
        <v>94.099655305731702</v>
      </c>
      <c r="AJ3775">
        <v>95.480995282077401</v>
      </c>
      <c r="AK3775">
        <v>15.6700136507901</v>
      </c>
      <c r="AL3775">
        <v>79.052089263066506</v>
      </c>
      <c r="AM3775">
        <v>94.348034175801104</v>
      </c>
      <c r="AN3775">
        <v>1.00000004863335</v>
      </c>
    </row>
    <row r="3776" spans="1:40" x14ac:dyDescent="0.25">
      <c r="A3776" t="str">
        <f>"20190303162855860"</f>
        <v>20190303162855860</v>
      </c>
      <c r="B3776" t="str">
        <f>"1551601735845392"</f>
        <v>1551601735845392</v>
      </c>
      <c r="C3776" t="s">
        <v>40</v>
      </c>
      <c r="D3776">
        <v>5.4535369999999999</v>
      </c>
      <c r="E3776">
        <v>0.49363170000000001</v>
      </c>
      <c r="F3776" t="s">
        <v>41</v>
      </c>
      <c r="G3776">
        <v>-191.33539999999999</v>
      </c>
      <c r="H3776" s="1">
        <v>-1.866178E-6</v>
      </c>
      <c r="I3776">
        <v>173.11099999999999</v>
      </c>
      <c r="J3776">
        <v>-189.6011</v>
      </c>
      <c r="K3776">
        <v>1.1208880000000001</v>
      </c>
      <c r="L3776">
        <v>188.51390000000001</v>
      </c>
      <c r="M3776">
        <v>-0.2093469</v>
      </c>
      <c r="N3776">
        <v>-1.440606E-2</v>
      </c>
      <c r="O3776">
        <v>-0.97773540000000003</v>
      </c>
      <c r="P3776">
        <v>-0.13132820000000001</v>
      </c>
      <c r="Q3776">
        <v>0.1752351</v>
      </c>
      <c r="R3776">
        <v>-0.97572820000000005</v>
      </c>
      <c r="S3776">
        <v>-0.35099789999999997</v>
      </c>
      <c r="T3776">
        <v>-0.2191447</v>
      </c>
      <c r="U3776">
        <v>-3.0669710000000001</v>
      </c>
      <c r="V3776">
        <v>-7.5537240000000005E-2</v>
      </c>
      <c r="W3776">
        <v>0.18949089999999999</v>
      </c>
      <c r="X3776">
        <v>0.97897259999999997</v>
      </c>
      <c r="Y3776">
        <v>-9.6939020000000001E-2</v>
      </c>
      <c r="Z3776">
        <v>5.4319329999999999E-2</v>
      </c>
      <c r="AA3776">
        <v>0.993807</v>
      </c>
      <c r="AB3776">
        <v>28</v>
      </c>
      <c r="AC3776">
        <v>-1.73429999999999</v>
      </c>
      <c r="AD3776">
        <v>-1.12088986617799</v>
      </c>
      <c r="AE3776">
        <v>-15.402900000000001</v>
      </c>
      <c r="AF3776">
        <v>-1.5210671738569701</v>
      </c>
      <c r="AG3776">
        <v>-1.12088986617799</v>
      </c>
      <c r="AH3776">
        <v>15.3443887232302</v>
      </c>
      <c r="AI3776">
        <v>94.157663970829702</v>
      </c>
      <c r="AJ3776">
        <v>95.661153462586498</v>
      </c>
      <c r="AK3776">
        <v>15.4602815216631</v>
      </c>
      <c r="AL3776">
        <v>79.076924947966603</v>
      </c>
      <c r="AM3776">
        <v>94.412183322710305</v>
      </c>
      <c r="AN3776">
        <v>1.0000000136801901</v>
      </c>
    </row>
    <row r="3777" spans="1:40" x14ac:dyDescent="0.25">
      <c r="A3777" t="str">
        <f>"20190303162855885"</f>
        <v>20190303162855885</v>
      </c>
      <c r="B3777" t="str">
        <f>"1551601735875649"</f>
        <v>1551601735875649</v>
      </c>
      <c r="C3777" t="s">
        <v>40</v>
      </c>
      <c r="D3777">
        <v>5.454008</v>
      </c>
      <c r="E3777">
        <v>0.4935486</v>
      </c>
      <c r="F3777" t="s">
        <v>41</v>
      </c>
      <c r="G3777">
        <v>-191.3817</v>
      </c>
      <c r="H3777" s="1">
        <v>-1.7566620000000001E-6</v>
      </c>
      <c r="I3777">
        <v>172.827</v>
      </c>
      <c r="J3777">
        <v>-189.66589999999999</v>
      </c>
      <c r="K3777">
        <v>1.121578</v>
      </c>
      <c r="L3777">
        <v>188.21250000000001</v>
      </c>
      <c r="M3777">
        <v>-0.20904030000000001</v>
      </c>
      <c r="N3777">
        <v>-1.4362160000000001E-2</v>
      </c>
      <c r="O3777">
        <v>-0.97780160000000005</v>
      </c>
      <c r="P3777">
        <v>-0.12941949999999999</v>
      </c>
      <c r="Q3777">
        <v>0.17656949999999999</v>
      </c>
      <c r="R3777">
        <v>-0.97574260000000002</v>
      </c>
      <c r="S3777">
        <v>-0.34814450000000002</v>
      </c>
      <c r="T3777">
        <v>-0.2191583</v>
      </c>
      <c r="U3777">
        <v>-3.0671390000000001</v>
      </c>
      <c r="V3777">
        <v>-7.740901E-2</v>
      </c>
      <c r="W3777">
        <v>0.1906533</v>
      </c>
      <c r="X3777">
        <v>0.97860060000000004</v>
      </c>
      <c r="Y3777">
        <v>-9.7545740000000006E-2</v>
      </c>
      <c r="Z3777">
        <v>5.4369849999999997E-2</v>
      </c>
      <c r="AA3777">
        <v>0.99374479999999998</v>
      </c>
      <c r="AB3777">
        <v>28</v>
      </c>
      <c r="AC3777">
        <v>-1.7158</v>
      </c>
      <c r="AD3777">
        <v>-1.121579756662</v>
      </c>
      <c r="AE3777">
        <v>-15.3855</v>
      </c>
      <c r="AF3777">
        <v>-1.53060218598895</v>
      </c>
      <c r="AG3777">
        <v>-1.121579756662</v>
      </c>
      <c r="AH3777">
        <v>15.323792783496099</v>
      </c>
      <c r="AI3777">
        <v>94.165476844825093</v>
      </c>
      <c r="AJ3777">
        <v>95.704014287677296</v>
      </c>
      <c r="AK3777">
        <v>15.4408325382356</v>
      </c>
      <c r="AL3777">
        <v>79.009087346522904</v>
      </c>
      <c r="AM3777">
        <v>94.522778392670105</v>
      </c>
      <c r="AN3777">
        <v>0.99999998497521503</v>
      </c>
    </row>
    <row r="3778" spans="1:40" x14ac:dyDescent="0.25">
      <c r="A3778" t="str">
        <f>"20190303162855898"</f>
        <v>20190303162855898</v>
      </c>
      <c r="B3778" t="str">
        <f>"1551601735885408"</f>
        <v>1551601735885408</v>
      </c>
      <c r="C3778" t="s">
        <v>40</v>
      </c>
      <c r="D3778">
        <v>5.2290830000000001</v>
      </c>
      <c r="E3778">
        <v>0.49355260000000001</v>
      </c>
      <c r="F3778" t="s">
        <v>41</v>
      </c>
      <c r="G3778">
        <v>-191.44409999999999</v>
      </c>
      <c r="H3778" s="1">
        <v>-1.4589769999999999E-6</v>
      </c>
      <c r="I3778">
        <v>172.09440000000001</v>
      </c>
      <c r="J3778">
        <v>-189.70079999999999</v>
      </c>
      <c r="K3778">
        <v>1.1219520000000001</v>
      </c>
      <c r="L3778">
        <v>188.04769999999999</v>
      </c>
      <c r="M3778">
        <v>-0.20840439999999999</v>
      </c>
      <c r="N3778">
        <v>-1.434408E-2</v>
      </c>
      <c r="O3778">
        <v>-0.97793759999999996</v>
      </c>
      <c r="P3778">
        <v>-0.12870419999999999</v>
      </c>
      <c r="Q3778">
        <v>0.17799989999999999</v>
      </c>
      <c r="R3778">
        <v>-0.97557749999999999</v>
      </c>
      <c r="S3778">
        <v>-0.338501</v>
      </c>
      <c r="T3778">
        <v>-0.2135098</v>
      </c>
      <c r="U3778">
        <v>-3.0683289999999999</v>
      </c>
      <c r="V3778">
        <v>-7.7607689999999993E-2</v>
      </c>
      <c r="W3778">
        <v>0.1919923</v>
      </c>
      <c r="X3778">
        <v>0.97832300000000005</v>
      </c>
      <c r="Y3778">
        <v>-0.1000153</v>
      </c>
      <c r="Z3778">
        <v>5.2614139999999997E-2</v>
      </c>
      <c r="AA3778">
        <v>0.99359379999999997</v>
      </c>
      <c r="AB3778">
        <v>28</v>
      </c>
      <c r="AC3778">
        <v>-1.7433000000000001</v>
      </c>
      <c r="AD3778">
        <v>-1.1219534589769999</v>
      </c>
      <c r="AE3778">
        <v>-15.953299999999899</v>
      </c>
      <c r="AF3778">
        <v>-1.61218621324114</v>
      </c>
      <c r="AG3778">
        <v>-1.1219534589769999</v>
      </c>
      <c r="AH3778">
        <v>15.888628318780199</v>
      </c>
      <c r="AI3778">
        <v>94.018591383823207</v>
      </c>
      <c r="AJ3778">
        <v>95.793854391043396</v>
      </c>
      <c r="AK3778">
        <v>16.009573192394001</v>
      </c>
      <c r="AL3778">
        <v>78.930923946198902</v>
      </c>
      <c r="AM3778">
        <v>94.5356195831571</v>
      </c>
      <c r="AN3778">
        <v>0.99999994456771102</v>
      </c>
    </row>
    <row r="3779" spans="1:40" x14ac:dyDescent="0.25">
      <c r="A3779" t="str">
        <f>"20190303162855914"</f>
        <v>20190303162855914</v>
      </c>
      <c r="B3779" t="str">
        <f>"1551601735905907"</f>
        <v>1551601735905907</v>
      </c>
      <c r="C3779" t="s">
        <v>40</v>
      </c>
      <c r="D3779">
        <v>5.4532449999999999</v>
      </c>
      <c r="E3779">
        <v>0.49363000000000001</v>
      </c>
      <c r="F3779" t="s">
        <v>41</v>
      </c>
      <c r="G3779">
        <v>-191.50739999999999</v>
      </c>
      <c r="H3779" s="1">
        <v>-1.207488E-6</v>
      </c>
      <c r="I3779">
        <v>171.46889999999999</v>
      </c>
      <c r="J3779">
        <v>-189.7441</v>
      </c>
      <c r="K3779">
        <v>1.122393</v>
      </c>
      <c r="L3779">
        <v>187.84020000000001</v>
      </c>
      <c r="M3779">
        <v>-0.20730280000000001</v>
      </c>
      <c r="N3779">
        <v>-1.43254E-2</v>
      </c>
      <c r="O3779">
        <v>-0.97817189999999998</v>
      </c>
      <c r="P3779">
        <v>-0.1287277</v>
      </c>
      <c r="Q3779">
        <v>0.17884169999999999</v>
      </c>
      <c r="R3779">
        <v>-0.97542039999999997</v>
      </c>
      <c r="S3779">
        <v>-0.33442690000000003</v>
      </c>
      <c r="T3779">
        <v>-0.20768429999999999</v>
      </c>
      <c r="U3779">
        <v>-3.0688930000000001</v>
      </c>
      <c r="V3779">
        <v>-7.6649729999999999E-2</v>
      </c>
      <c r="W3779">
        <v>0.1927354</v>
      </c>
      <c r="X3779">
        <v>0.97825249999999997</v>
      </c>
      <c r="Y3779">
        <v>-0.10020900000000001</v>
      </c>
      <c r="Z3779">
        <v>5.0830199999999999E-2</v>
      </c>
      <c r="AA3779">
        <v>0.99366719999999997</v>
      </c>
      <c r="AB3779">
        <v>28</v>
      </c>
      <c r="AC3779">
        <v>-1.7632999999999801</v>
      </c>
      <c r="AD3779">
        <v>-1.122394207488</v>
      </c>
      <c r="AE3779">
        <v>-16.371300000000002</v>
      </c>
      <c r="AF3779">
        <v>-1.6614573805777999</v>
      </c>
      <c r="AG3779">
        <v>-1.122394207488</v>
      </c>
      <c r="AH3779">
        <v>16.305402920422399</v>
      </c>
      <c r="AI3779">
        <v>93.917563228312105</v>
      </c>
      <c r="AJ3779">
        <v>95.818137160489897</v>
      </c>
      <c r="AK3779">
        <v>16.428218825599998</v>
      </c>
      <c r="AL3779">
        <v>78.887538156342202</v>
      </c>
      <c r="AM3779">
        <v>94.480184459156106</v>
      </c>
      <c r="AN3779">
        <v>1.0000000346392399</v>
      </c>
    </row>
    <row r="3780" spans="1:40" x14ac:dyDescent="0.25">
      <c r="A3780" t="str">
        <f>"20190303162855939"</f>
        <v>20190303162855939</v>
      </c>
      <c r="B3780" t="str">
        <f>"1551601735925424"</f>
        <v>1551601735925424</v>
      </c>
      <c r="C3780" t="s">
        <v>40</v>
      </c>
      <c r="D3780">
        <v>5.4512910000000003</v>
      </c>
      <c r="E3780">
        <v>0.49358869999999999</v>
      </c>
      <c r="F3780" t="s">
        <v>41</v>
      </c>
      <c r="G3780">
        <v>-191.5829</v>
      </c>
      <c r="H3780" s="1">
        <v>-9.7533109999999995E-7</v>
      </c>
      <c r="I3780">
        <v>170.8809</v>
      </c>
      <c r="J3780">
        <v>-189.8023</v>
      </c>
      <c r="K3780">
        <v>1.122935</v>
      </c>
      <c r="L3780">
        <v>187.5564</v>
      </c>
      <c r="M3780">
        <v>-0.20519870000000001</v>
      </c>
      <c r="N3780">
        <v>-1.430419E-2</v>
      </c>
      <c r="O3780">
        <v>-0.97861600000000004</v>
      </c>
      <c r="P3780">
        <v>-0.12806329999999999</v>
      </c>
      <c r="Q3780">
        <v>0.1775215</v>
      </c>
      <c r="R3780">
        <v>-0.97574930000000004</v>
      </c>
      <c r="S3780">
        <v>-0.3327484</v>
      </c>
      <c r="T3780">
        <v>-0.2031046</v>
      </c>
      <c r="U3780">
        <v>-3.0689090000000001</v>
      </c>
      <c r="V3780">
        <v>-7.5508809999999996E-2</v>
      </c>
      <c r="W3780">
        <v>0.19130249999999999</v>
      </c>
      <c r="X3780">
        <v>0.9786224</v>
      </c>
      <c r="Y3780">
        <v>-9.8601309999999998E-2</v>
      </c>
      <c r="Z3780">
        <v>4.9471340000000003E-2</v>
      </c>
      <c r="AA3780">
        <v>0.99389649999999996</v>
      </c>
      <c r="AB3780">
        <v>28</v>
      </c>
      <c r="AC3780">
        <v>-1.78059999999999</v>
      </c>
      <c r="AD3780">
        <v>-1.1229359753310999</v>
      </c>
      <c r="AE3780">
        <v>-16.6755</v>
      </c>
      <c r="AF3780">
        <v>-1.6719424171809401</v>
      </c>
      <c r="AG3780">
        <v>-1.1229359753310999</v>
      </c>
      <c r="AH3780">
        <v>16.611512130046901</v>
      </c>
      <c r="AI3780">
        <v>93.847920829051702</v>
      </c>
      <c r="AJ3780">
        <v>95.747442841893601</v>
      </c>
      <c r="AK3780">
        <v>16.733162041220901</v>
      </c>
      <c r="AL3780">
        <v>78.971193790959703</v>
      </c>
      <c r="AM3780">
        <v>94.412101336858996</v>
      </c>
      <c r="AN3780">
        <v>1.0000000143378101</v>
      </c>
    </row>
    <row r="3781" spans="1:40" x14ac:dyDescent="0.25">
      <c r="A3781" t="str">
        <f>"20190303162855962"</f>
        <v>20190303162855962</v>
      </c>
      <c r="B3781" t="str">
        <f>"1551601735955680"</f>
        <v>1551601735955680</v>
      </c>
      <c r="C3781" t="s">
        <v>40</v>
      </c>
      <c r="D3781">
        <v>5.4496159999999998</v>
      </c>
      <c r="E3781">
        <v>0.49345480000000003</v>
      </c>
      <c r="F3781" t="s">
        <v>41</v>
      </c>
      <c r="G3781">
        <v>-191.59379999999999</v>
      </c>
      <c r="H3781" s="1">
        <v>-9.7050579999999993E-7</v>
      </c>
      <c r="I3781">
        <v>170.86279999999999</v>
      </c>
      <c r="J3781">
        <v>-189.85810000000001</v>
      </c>
      <c r="K3781">
        <v>1.123402</v>
      </c>
      <c r="L3781">
        <v>187.27799999999999</v>
      </c>
      <c r="M3781">
        <v>-0.2024801</v>
      </c>
      <c r="N3781">
        <v>-1.428755E-2</v>
      </c>
      <c r="O3781">
        <v>-0.97918210000000006</v>
      </c>
      <c r="P3781">
        <v>-0.12724099999999999</v>
      </c>
      <c r="Q3781">
        <v>0.17495849999999999</v>
      </c>
      <c r="R3781">
        <v>-0.97631920000000005</v>
      </c>
      <c r="S3781">
        <v>-0.32934570000000002</v>
      </c>
      <c r="T3781">
        <v>-0.2064377</v>
      </c>
      <c r="U3781">
        <v>-3.0688930000000001</v>
      </c>
      <c r="V3781">
        <v>-7.3916850000000006E-2</v>
      </c>
      <c r="W3781">
        <v>0.18865129999999999</v>
      </c>
      <c r="X3781">
        <v>0.97925839999999997</v>
      </c>
      <c r="Y3781">
        <v>-9.6932619999999997E-2</v>
      </c>
      <c r="Z3781">
        <v>5.0589969999999998E-2</v>
      </c>
      <c r="AA3781">
        <v>0.99400440000000001</v>
      </c>
      <c r="AB3781">
        <v>28</v>
      </c>
      <c r="AC3781">
        <v>-1.73569999999998</v>
      </c>
      <c r="AD3781">
        <v>-1.1234029705058</v>
      </c>
      <c r="AE3781">
        <v>-16.415199999999999</v>
      </c>
      <c r="AF3781">
        <v>-1.6168618542216699</v>
      </c>
      <c r="AG3781">
        <v>-1.1234029705058</v>
      </c>
      <c r="AH3781">
        <v>16.350858191948301</v>
      </c>
      <c r="AI3781">
        <v>93.911373092911305</v>
      </c>
      <c r="AJ3781">
        <v>95.647359039158601</v>
      </c>
      <c r="AK3781">
        <v>16.468965969452402</v>
      </c>
      <c r="AL3781">
        <v>79.125914084553997</v>
      </c>
      <c r="AM3781">
        <v>94.316641626332995</v>
      </c>
      <c r="AN3781">
        <v>1.00000001383808</v>
      </c>
    </row>
    <row r="3782" spans="1:40" x14ac:dyDescent="0.25">
      <c r="A3782" t="str">
        <f>"20190303162855984"</f>
        <v>20190303162855984</v>
      </c>
      <c r="B3782" t="str">
        <f>"1551601735975200"</f>
        <v>1551601735975200</v>
      </c>
      <c r="C3782" t="s">
        <v>40</v>
      </c>
      <c r="D3782">
        <v>5.4475550000000004</v>
      </c>
      <c r="E3782">
        <v>0.49330570000000001</v>
      </c>
      <c r="F3782" t="s">
        <v>41</v>
      </c>
      <c r="G3782">
        <v>-191.5652</v>
      </c>
      <c r="H3782" s="1">
        <v>-1.1120760000000001E-6</v>
      </c>
      <c r="I3782">
        <v>171.2106</v>
      </c>
      <c r="J3782">
        <v>-189.91050000000001</v>
      </c>
      <c r="K3782">
        <v>1.1237919999999999</v>
      </c>
      <c r="L3782">
        <v>187.00890000000001</v>
      </c>
      <c r="M3782">
        <v>-0.1993287</v>
      </c>
      <c r="N3782">
        <v>-1.427636E-2</v>
      </c>
      <c r="O3782">
        <v>-0.97982880000000006</v>
      </c>
      <c r="P3782">
        <v>-0.12674779999999999</v>
      </c>
      <c r="Q3782">
        <v>0.17277890000000001</v>
      </c>
      <c r="R3782">
        <v>-0.97677159999999996</v>
      </c>
      <c r="S3782">
        <v>-0.3260498</v>
      </c>
      <c r="T3782">
        <v>-0.2145599</v>
      </c>
      <c r="U3782">
        <v>-3.0687259999999998</v>
      </c>
      <c r="V3782">
        <v>-7.1502360000000001E-2</v>
      </c>
      <c r="W3782">
        <v>0.1864111</v>
      </c>
      <c r="X3782">
        <v>0.97986649999999997</v>
      </c>
      <c r="Y3782">
        <v>-9.4793950000000002E-2</v>
      </c>
      <c r="Z3782">
        <v>5.321447E-2</v>
      </c>
      <c r="AA3782">
        <v>0.9940736</v>
      </c>
      <c r="AB3782">
        <v>28</v>
      </c>
      <c r="AC3782">
        <v>-1.6546999999999901</v>
      </c>
      <c r="AD3782">
        <v>-1.1237931120760001</v>
      </c>
      <c r="AE3782">
        <v>-15.798299999999999</v>
      </c>
      <c r="AF3782">
        <v>-1.52027826663652</v>
      </c>
      <c r="AG3782">
        <v>-1.1237931120760001</v>
      </c>
      <c r="AH3782">
        <v>15.732326093653301</v>
      </c>
      <c r="AI3782">
        <v>94.066937328607906</v>
      </c>
      <c r="AJ3782">
        <v>95.519584480771897</v>
      </c>
      <c r="AK3782">
        <v>15.845511707856</v>
      </c>
      <c r="AL3782">
        <v>79.256586509030598</v>
      </c>
      <c r="AM3782">
        <v>94.173563458815195</v>
      </c>
      <c r="AN3782">
        <v>1.0000000217555101</v>
      </c>
    </row>
    <row r="3783" spans="1:40" x14ac:dyDescent="0.25">
      <c r="A3783" t="str">
        <f>"20190303162855996"</f>
        <v>20190303162855996</v>
      </c>
      <c r="B3783" t="str">
        <f>"1551601735985936"</f>
        <v>1551601735985936</v>
      </c>
      <c r="C3783" t="s">
        <v>40</v>
      </c>
      <c r="D3783">
        <v>5.3911870000000004</v>
      </c>
      <c r="E3783">
        <v>0.49322650000000001</v>
      </c>
      <c r="F3783" t="s">
        <v>41</v>
      </c>
      <c r="G3783">
        <v>-191.54679999999999</v>
      </c>
      <c r="H3783" s="1">
        <v>-1.2209390000000001E-6</v>
      </c>
      <c r="I3783">
        <v>171.47579999999999</v>
      </c>
      <c r="J3783">
        <v>-189.93879999999999</v>
      </c>
      <c r="K3783">
        <v>1.1239709999999901</v>
      </c>
      <c r="L3783">
        <v>186.86009999999999</v>
      </c>
      <c r="M3783">
        <v>-0.19740240000000001</v>
      </c>
      <c r="N3783">
        <v>-1.4271580000000001E-2</v>
      </c>
      <c r="O3783">
        <v>-0.98021879999999995</v>
      </c>
      <c r="P3783">
        <v>-0.12693840000000001</v>
      </c>
      <c r="Q3783">
        <v>0.1716792</v>
      </c>
      <c r="R3783">
        <v>-0.97694080000000005</v>
      </c>
      <c r="S3783">
        <v>-0.32325739999999997</v>
      </c>
      <c r="T3783">
        <v>-0.2220106</v>
      </c>
      <c r="U3783">
        <v>-3.0686490000000002</v>
      </c>
      <c r="V3783">
        <v>-6.949263E-2</v>
      </c>
      <c r="W3783">
        <v>0.1852927</v>
      </c>
      <c r="X3783">
        <v>0.98022310000000001</v>
      </c>
      <c r="Y3783">
        <v>-9.3741930000000001E-2</v>
      </c>
      <c r="Z3783">
        <v>5.5594709999999999E-2</v>
      </c>
      <c r="AA3783">
        <v>0.99404309999999996</v>
      </c>
      <c r="AB3783">
        <v>27</v>
      </c>
      <c r="AC3783">
        <v>-1.6080000000000001</v>
      </c>
      <c r="AD3783">
        <v>-1.12397222093899</v>
      </c>
      <c r="AE3783">
        <v>-15.3842999999999</v>
      </c>
      <c r="AF3783">
        <v>-1.45318163618344</v>
      </c>
      <c r="AG3783">
        <v>-1.12397222093899</v>
      </c>
      <c r="AH3783">
        <v>15.3180892274349</v>
      </c>
      <c r="AI3783">
        <v>94.177893923346303</v>
      </c>
      <c r="AJ3783">
        <v>95.419261949218296</v>
      </c>
      <c r="AK3783">
        <v>15.4278614201982</v>
      </c>
      <c r="AL3783">
        <v>79.321801735742199</v>
      </c>
      <c r="AM3783">
        <v>94.055182750408605</v>
      </c>
      <c r="AN3783">
        <v>0.99999996803560698</v>
      </c>
    </row>
    <row r="3784" spans="1:40" x14ac:dyDescent="0.25">
      <c r="A3784" t="str">
        <f>"20190303162856010"</f>
        <v>20190303162856010</v>
      </c>
      <c r="B3784" t="str">
        <f>"1551601735995698"</f>
        <v>1551601735995698</v>
      </c>
      <c r="C3784" t="s">
        <v>40</v>
      </c>
      <c r="D3784">
        <v>5.3916019999999998</v>
      </c>
      <c r="E3784">
        <v>0.49317329999999998</v>
      </c>
      <c r="F3784" t="s">
        <v>41</v>
      </c>
      <c r="G3784">
        <v>-191.5487</v>
      </c>
      <c r="H3784" s="1">
        <v>-1.25549E-6</v>
      </c>
      <c r="I3784">
        <v>171.55520000000001</v>
      </c>
      <c r="J3784">
        <v>-189.9676</v>
      </c>
      <c r="K3784">
        <v>1.124128</v>
      </c>
      <c r="L3784">
        <v>186.7072</v>
      </c>
      <c r="M3784">
        <v>-0.1953609</v>
      </c>
      <c r="N3784">
        <v>-1.4266050000000001E-2</v>
      </c>
      <c r="O3784">
        <v>-0.98062780000000005</v>
      </c>
      <c r="P3784">
        <v>-0.12669459999999999</v>
      </c>
      <c r="Q3784">
        <v>0.170573</v>
      </c>
      <c r="R3784">
        <v>-0.97716619999999998</v>
      </c>
      <c r="S3784">
        <v>-0.32275389999999998</v>
      </c>
      <c r="T3784">
        <v>-0.2253426</v>
      </c>
      <c r="U3784">
        <v>-3.068451</v>
      </c>
      <c r="V3784">
        <v>-6.7794519999999997E-2</v>
      </c>
      <c r="W3784">
        <v>0.18416940000000001</v>
      </c>
      <c r="X3784">
        <v>0.98055369999999997</v>
      </c>
      <c r="Y3784">
        <v>-9.1830369999999995E-2</v>
      </c>
      <c r="Z3784">
        <v>5.669598E-2</v>
      </c>
      <c r="AA3784">
        <v>0.99415929999999997</v>
      </c>
      <c r="AB3784">
        <v>27</v>
      </c>
      <c r="AC3784">
        <v>-1.58109999999999</v>
      </c>
      <c r="AD3784">
        <v>-1.12412925549</v>
      </c>
      <c r="AE3784">
        <v>-15.1519999999999</v>
      </c>
      <c r="AF3784">
        <v>-1.4021464740584</v>
      </c>
      <c r="AG3784">
        <v>-1.12412925549</v>
      </c>
      <c r="AH3784">
        <v>15.0867533302828</v>
      </c>
      <c r="AI3784">
        <v>94.243073607827199</v>
      </c>
      <c r="AJ3784">
        <v>95.309754674699903</v>
      </c>
      <c r="AK3784">
        <v>15.193413288874901</v>
      </c>
      <c r="AL3784">
        <v>79.387289656953797</v>
      </c>
      <c r="AM3784">
        <v>93.955079919981898</v>
      </c>
      <c r="AN3784">
        <v>1.0000000117110399</v>
      </c>
    </row>
    <row r="3785" spans="1:40" x14ac:dyDescent="0.25">
      <c r="A3785" t="str">
        <f>"20190303162856028"</f>
        <v>20190303162856028</v>
      </c>
      <c r="B3785" t="str">
        <f>"1551601736015216"</f>
        <v>1551601736015216</v>
      </c>
      <c r="C3785" t="s">
        <v>40</v>
      </c>
      <c r="D3785">
        <v>5.385758</v>
      </c>
      <c r="E3785">
        <v>0.49298730000000002</v>
      </c>
      <c r="F3785" t="s">
        <v>41</v>
      </c>
      <c r="G3785">
        <v>-191.55269999999999</v>
      </c>
      <c r="H3785" s="1">
        <v>-1.2691939999999999E-6</v>
      </c>
      <c r="I3785">
        <v>171.58459999999999</v>
      </c>
      <c r="J3785">
        <v>-190.0077</v>
      </c>
      <c r="K3785">
        <v>1.124296</v>
      </c>
      <c r="L3785">
        <v>186.49010000000001</v>
      </c>
      <c r="M3785">
        <v>-0.19234270000000001</v>
      </c>
      <c r="N3785">
        <v>-1.4257239999999999E-2</v>
      </c>
      <c r="O3785">
        <v>-0.98122430000000005</v>
      </c>
      <c r="P3785">
        <v>-0.12548969999999901</v>
      </c>
      <c r="Q3785">
        <v>0.16748969999999999</v>
      </c>
      <c r="R3785">
        <v>-0.97785449999999996</v>
      </c>
      <c r="S3785">
        <v>-0.32160949999999999</v>
      </c>
      <c r="T3785">
        <v>-0.22807279999999999</v>
      </c>
      <c r="U3785">
        <v>-3.0682070000000001</v>
      </c>
      <c r="V3785">
        <v>-6.614196E-2</v>
      </c>
      <c r="W3785">
        <v>0.18106910000000001</v>
      </c>
      <c r="X3785">
        <v>0.98124370000000005</v>
      </c>
      <c r="Y3785">
        <v>-8.9131559999999999E-2</v>
      </c>
      <c r="Z3785">
        <v>5.7637529999999999E-2</v>
      </c>
      <c r="AA3785">
        <v>0.99435079999999998</v>
      </c>
      <c r="AB3785">
        <v>27</v>
      </c>
      <c r="AC3785">
        <v>-1.5449999999999799</v>
      </c>
      <c r="AD3785">
        <v>-1.1242972691940001</v>
      </c>
      <c r="AE3785">
        <v>-14.9055</v>
      </c>
      <c r="AF3785">
        <v>-1.3435470523678901</v>
      </c>
      <c r="AG3785">
        <v>-1.1242972691940001</v>
      </c>
      <c r="AH3785">
        <v>14.8407861834632</v>
      </c>
      <c r="AI3785">
        <v>94.314717703340506</v>
      </c>
      <c r="AJ3785">
        <v>95.172926792499695</v>
      </c>
      <c r="AK3785">
        <v>14.943831422185999</v>
      </c>
      <c r="AL3785">
        <v>79.567961834175705</v>
      </c>
      <c r="AM3785">
        <v>93.85626036683</v>
      </c>
      <c r="AN3785">
        <v>0.99999998831856995</v>
      </c>
    </row>
    <row r="3786" spans="1:40" x14ac:dyDescent="0.25">
      <c r="A3786" t="str">
        <f>"20190303162856042"</f>
        <v>20190303162856042</v>
      </c>
      <c r="B3786" t="str">
        <f>"1551601736035713"</f>
        <v>1551601736035713</v>
      </c>
      <c r="C3786" t="s">
        <v>40</v>
      </c>
      <c r="D3786">
        <v>5.4010249999999997</v>
      </c>
      <c r="E3786">
        <v>0.49287570000000003</v>
      </c>
      <c r="F3786" t="s">
        <v>41</v>
      </c>
      <c r="G3786">
        <v>-191.5136</v>
      </c>
      <c r="H3786" s="1">
        <v>-1.4094560000000001E-6</v>
      </c>
      <c r="I3786">
        <v>171.9358</v>
      </c>
      <c r="J3786">
        <v>-190.04040000000001</v>
      </c>
      <c r="K3786">
        <v>1.1243909999999999</v>
      </c>
      <c r="L3786">
        <v>186.30950000000001</v>
      </c>
      <c r="M3786">
        <v>-0.1897614</v>
      </c>
      <c r="N3786">
        <v>-1.42489E-2</v>
      </c>
      <c r="O3786">
        <v>-0.98172700000000002</v>
      </c>
      <c r="P3786">
        <v>-0.1233172</v>
      </c>
      <c r="Q3786">
        <v>0.166018</v>
      </c>
      <c r="R3786">
        <v>-0.97838219999999998</v>
      </c>
      <c r="S3786">
        <v>-0.31742859999999901</v>
      </c>
      <c r="T3786">
        <v>-0.23698169999999999</v>
      </c>
      <c r="U3786">
        <v>-3.06778</v>
      </c>
      <c r="V3786">
        <v>-6.5821950000000004E-2</v>
      </c>
      <c r="W3786">
        <v>0.1795795</v>
      </c>
      <c r="X3786">
        <v>0.98153900000000005</v>
      </c>
      <c r="Y3786">
        <v>-8.7854730000000006E-2</v>
      </c>
      <c r="Z3786">
        <v>6.0507600000000002E-2</v>
      </c>
      <c r="AA3786">
        <v>0.99429389999999995</v>
      </c>
      <c r="AB3786">
        <v>27</v>
      </c>
      <c r="AC3786">
        <v>-1.4731999999999901</v>
      </c>
      <c r="AD3786">
        <v>-1.1243924094559901</v>
      </c>
      <c r="AE3786">
        <v>-14.373699999999999</v>
      </c>
      <c r="AF3786">
        <v>-1.27370996969726</v>
      </c>
      <c r="AG3786">
        <v>-1.1243924094559901</v>
      </c>
      <c r="AH3786">
        <v>14.3054360262941</v>
      </c>
      <c r="AI3786">
        <v>94.476512840149198</v>
      </c>
      <c r="AJ3786">
        <v>95.088014897681802</v>
      </c>
      <c r="AK3786">
        <v>14.4059742912356</v>
      </c>
      <c r="AL3786">
        <v>79.654732868274905</v>
      </c>
      <c r="AM3786">
        <v>93.836507653125096</v>
      </c>
      <c r="AN3786">
        <v>1.0000000672215199</v>
      </c>
    </row>
    <row r="3787" spans="1:40" x14ac:dyDescent="0.25">
      <c r="A3787" t="str">
        <f>"20190303162856062"</f>
        <v>20190303162856062</v>
      </c>
      <c r="B3787" t="str">
        <f>"1551601736045472"</f>
        <v>1551601736045472</v>
      </c>
      <c r="C3787" t="s">
        <v>40</v>
      </c>
      <c r="D3787">
        <v>5.3452979999999997</v>
      </c>
      <c r="E3787">
        <v>0.492813</v>
      </c>
      <c r="F3787" t="s">
        <v>41</v>
      </c>
      <c r="G3787">
        <v>-191.4973</v>
      </c>
      <c r="H3787" s="1">
        <v>-1.4119E-6</v>
      </c>
      <c r="I3787">
        <v>171.95160000000001</v>
      </c>
      <c r="J3787">
        <v>-190.07939999999999</v>
      </c>
      <c r="K3787">
        <v>1.1244459999999901</v>
      </c>
      <c r="L3787">
        <v>186.0899</v>
      </c>
      <c r="M3787">
        <v>-0.186558</v>
      </c>
      <c r="N3787">
        <v>-1.4238290000000001E-2</v>
      </c>
      <c r="O3787">
        <v>-0.98234100000000002</v>
      </c>
      <c r="P3787">
        <v>-0.1201644</v>
      </c>
      <c r="Q3787">
        <v>0.1653915</v>
      </c>
      <c r="R3787">
        <v>-0.97888039999999998</v>
      </c>
      <c r="S3787">
        <v>-0.31127929999999998</v>
      </c>
      <c r="T3787">
        <v>-0.24024690000000001</v>
      </c>
      <c r="U3787">
        <v>-3.067825</v>
      </c>
      <c r="V3787">
        <v>-6.5826999999999997E-2</v>
      </c>
      <c r="W3787">
        <v>0.17893399999999901</v>
      </c>
      <c r="X3787">
        <v>0.98165650000000004</v>
      </c>
      <c r="Y3787">
        <v>-8.6586170000000004E-2</v>
      </c>
      <c r="Z3787">
        <v>6.161759E-2</v>
      </c>
      <c r="AA3787">
        <v>0.99433700000000003</v>
      </c>
      <c r="AB3787">
        <v>27</v>
      </c>
      <c r="AC3787">
        <v>-1.4178999999999999</v>
      </c>
      <c r="AD3787">
        <v>-1.1244474119000001</v>
      </c>
      <c r="AE3787">
        <v>-14.1382999999999</v>
      </c>
      <c r="AF3787">
        <v>-1.2371302262188499</v>
      </c>
      <c r="AG3787">
        <v>-1.1244474119000001</v>
      </c>
      <c r="AH3787">
        <v>14.0664945657603</v>
      </c>
      <c r="AI3787">
        <v>94.5528913457171</v>
      </c>
      <c r="AJ3787">
        <v>95.026158157705197</v>
      </c>
      <c r="AK3787">
        <v>14.165491256829601</v>
      </c>
      <c r="AL3787">
        <v>79.692325799221905</v>
      </c>
      <c r="AM3787">
        <v>93.8363432421271</v>
      </c>
      <c r="AN3787">
        <v>1.00000002713862</v>
      </c>
    </row>
    <row r="3788" spans="1:40" x14ac:dyDescent="0.25">
      <c r="A3788" t="str">
        <f>"20190303162856074"</f>
        <v>20190303162856074</v>
      </c>
      <c r="B3788" t="str">
        <f>"1551601736065968"</f>
        <v>1551601736065968</v>
      </c>
      <c r="C3788" t="s">
        <v>40</v>
      </c>
      <c r="D3788">
        <v>5.4059239999999997</v>
      </c>
      <c r="E3788">
        <v>0.4926529</v>
      </c>
      <c r="F3788" t="s">
        <v>41</v>
      </c>
      <c r="G3788">
        <v>-191.4924</v>
      </c>
      <c r="H3788" s="1">
        <v>-1.352646E-6</v>
      </c>
      <c r="I3788">
        <v>171.81649999999999</v>
      </c>
      <c r="J3788">
        <v>-190.108</v>
      </c>
      <c r="K3788">
        <v>1.1244609999999999</v>
      </c>
      <c r="L3788">
        <v>185.9254</v>
      </c>
      <c r="M3788">
        <v>-0.1841507</v>
      </c>
      <c r="N3788">
        <v>-1.4230649999999999E-2</v>
      </c>
      <c r="O3788">
        <v>-0.98279510000000003</v>
      </c>
      <c r="P3788">
        <v>-0.1183459</v>
      </c>
      <c r="Q3788">
        <v>0.16611219999999999</v>
      </c>
      <c r="R3788">
        <v>-0.97897990000000001</v>
      </c>
      <c r="S3788">
        <v>-0.3037415</v>
      </c>
      <c r="T3788">
        <v>-0.24171670000000001</v>
      </c>
      <c r="U3788">
        <v>-3.0682680000000002</v>
      </c>
      <c r="V3788">
        <v>-6.5234669999999995E-2</v>
      </c>
      <c r="W3788">
        <v>0.17964659999999999</v>
      </c>
      <c r="X3788">
        <v>0.98156589999999999</v>
      </c>
      <c r="Y3788">
        <v>-8.6581069999999996E-2</v>
      </c>
      <c r="Z3788">
        <v>6.2132220000000002E-2</v>
      </c>
      <c r="AA3788">
        <v>0.99430540000000001</v>
      </c>
      <c r="AB3788">
        <v>27</v>
      </c>
      <c r="AC3788">
        <v>-1.3843999999999901</v>
      </c>
      <c r="AD3788">
        <v>-1.124462352646</v>
      </c>
      <c r="AE3788">
        <v>-14.1089</v>
      </c>
      <c r="AF3788">
        <v>-1.22996934496614</v>
      </c>
      <c r="AG3788">
        <v>-1.124462352646</v>
      </c>
      <c r="AH3788">
        <v>14.034230749869799</v>
      </c>
      <c r="AI3788">
        <v>94.563496338085201</v>
      </c>
      <c r="AJ3788">
        <v>95.008642892494194</v>
      </c>
      <c r="AK3788">
        <v>14.132829614506299</v>
      </c>
      <c r="AL3788">
        <v>79.650824476076707</v>
      </c>
      <c r="AM3788">
        <v>93.802274332951797</v>
      </c>
      <c r="AN3788">
        <v>1.00000003955218</v>
      </c>
    </row>
    <row r="3789" spans="1:40" x14ac:dyDescent="0.25">
      <c r="A3789" t="str">
        <f>"20190303162856088"</f>
        <v>20190303162856088</v>
      </c>
      <c r="B3789" t="str">
        <f>"1551601736075729"</f>
        <v>1551601736075729</v>
      </c>
      <c r="C3789" t="s">
        <v>40</v>
      </c>
      <c r="D3789">
        <v>5.409338</v>
      </c>
      <c r="E3789">
        <v>0.4926529</v>
      </c>
      <c r="F3789" t="s">
        <v>41</v>
      </c>
      <c r="G3789">
        <v>-191.5104</v>
      </c>
      <c r="H3789" s="1">
        <v>-1.1955189999999999E-6</v>
      </c>
      <c r="I3789">
        <v>171.4391</v>
      </c>
      <c r="J3789">
        <v>-190.1353</v>
      </c>
      <c r="K3789">
        <v>1.1244609999999999</v>
      </c>
      <c r="L3789">
        <v>185.76730000000001</v>
      </c>
      <c r="M3789">
        <v>-0.1818437</v>
      </c>
      <c r="N3789">
        <v>-1.422346E-2</v>
      </c>
      <c r="O3789">
        <v>-0.98322469999999995</v>
      </c>
      <c r="P3789">
        <v>-0.11678570000000001</v>
      </c>
      <c r="Q3789">
        <v>0.16602999999999901</v>
      </c>
      <c r="R3789">
        <v>-0.97918119999999997</v>
      </c>
      <c r="S3789">
        <v>-0.29708859999999998</v>
      </c>
      <c r="T3789">
        <v>-0.23821780000000001</v>
      </c>
      <c r="U3789">
        <v>-3.068924</v>
      </c>
      <c r="V3789">
        <v>-6.4497070000000004E-2</v>
      </c>
      <c r="W3789">
        <v>0.1795631</v>
      </c>
      <c r="X3789">
        <v>0.98162990000000006</v>
      </c>
      <c r="Y3789">
        <v>-8.6393209999999998E-2</v>
      </c>
      <c r="Z3789">
        <v>6.1079269999999998E-2</v>
      </c>
      <c r="AA3789">
        <v>0.99438700000000002</v>
      </c>
      <c r="AB3789">
        <v>27</v>
      </c>
      <c r="AC3789">
        <v>-1.3751</v>
      </c>
      <c r="AD3789">
        <v>-1.124462195519</v>
      </c>
      <c r="AE3789">
        <v>-14.328200000000001</v>
      </c>
      <c r="AF3789">
        <v>-1.24598336346103</v>
      </c>
      <c r="AG3789">
        <v>-1.124462195519</v>
      </c>
      <c r="AH3789">
        <v>14.2523637510846</v>
      </c>
      <c r="AI3789">
        <v>94.494024176719293</v>
      </c>
      <c r="AJ3789">
        <v>94.996262194019707</v>
      </c>
      <c r="AK3789">
        <v>14.3508453501668</v>
      </c>
      <c r="AL3789">
        <v>79.655687548939198</v>
      </c>
      <c r="AM3789">
        <v>93.759162093422006</v>
      </c>
      <c r="AN3789">
        <v>1.0000000197471</v>
      </c>
    </row>
    <row r="3790" spans="1:40" x14ac:dyDescent="0.25">
      <c r="A3790" t="str">
        <f>"20190303162856105"</f>
        <v>20190303162856105</v>
      </c>
      <c r="B3790" t="str">
        <f>"1551601736095248"</f>
        <v>1551601736095248</v>
      </c>
      <c r="C3790" t="s">
        <v>40</v>
      </c>
      <c r="D3790">
        <v>5.0784969999999996</v>
      </c>
      <c r="E3790">
        <v>0.48991249999999997</v>
      </c>
      <c r="F3790" t="s">
        <v>41</v>
      </c>
      <c r="G3790">
        <v>-191.5078</v>
      </c>
      <c r="H3790" s="1">
        <v>-1.1302359999999999E-6</v>
      </c>
      <c r="I3790">
        <v>171.2885</v>
      </c>
      <c r="J3790">
        <v>-190.1694</v>
      </c>
      <c r="K3790">
        <v>1.124436</v>
      </c>
      <c r="L3790">
        <v>185.56569999999999</v>
      </c>
      <c r="M3790">
        <v>-0.17892720000000001</v>
      </c>
      <c r="N3790">
        <v>-1.4214600000000001E-2</v>
      </c>
      <c r="O3790">
        <v>-0.98375970000000001</v>
      </c>
      <c r="P3790">
        <v>-0.11578380000000001</v>
      </c>
      <c r="Q3790">
        <v>0.16460369999999999</v>
      </c>
      <c r="R3790">
        <v>-0.97954090000000005</v>
      </c>
      <c r="S3790">
        <v>-0.290985099999999</v>
      </c>
      <c r="T3790">
        <v>-0.23838390000000001</v>
      </c>
      <c r="U3790">
        <v>-3.0694729999999999</v>
      </c>
      <c r="V3790">
        <v>-6.2611990000000006E-2</v>
      </c>
      <c r="W3790">
        <v>0.17814859999999999</v>
      </c>
      <c r="X3790">
        <v>0.98200960000000004</v>
      </c>
      <c r="Y3790">
        <v>-8.5416409999999998E-2</v>
      </c>
      <c r="Z3790">
        <v>6.1194119999999998E-2</v>
      </c>
      <c r="AA3790">
        <v>0.99446429999999997</v>
      </c>
      <c r="AB3790">
        <v>27</v>
      </c>
      <c r="AC3790">
        <v>-1.3384</v>
      </c>
      <c r="AD3790">
        <v>-1.1244371302359999</v>
      </c>
      <c r="AE3790">
        <v>-14.277199999999899</v>
      </c>
      <c r="AF3790">
        <v>-1.2304745916857101</v>
      </c>
      <c r="AG3790">
        <v>-1.1244371302359999</v>
      </c>
      <c r="AH3790">
        <v>14.198947206119</v>
      </c>
      <c r="AI3790">
        <v>94.511057189334096</v>
      </c>
      <c r="AJ3790">
        <v>94.952853628919797</v>
      </c>
      <c r="AK3790">
        <v>14.296451599708</v>
      </c>
      <c r="AL3790">
        <v>79.738060677805706</v>
      </c>
      <c r="AM3790">
        <v>93.648185729027901</v>
      </c>
      <c r="AN3790">
        <v>1.0000000197329399</v>
      </c>
    </row>
    <row r="3791" spans="1:40" x14ac:dyDescent="0.25">
      <c r="A3791" t="str">
        <f>"20190303162856118"</f>
        <v>20190303162856118</v>
      </c>
      <c r="B3791" t="str">
        <f>"1551601736105985"</f>
        <v>1551601736105985</v>
      </c>
      <c r="C3791" t="s">
        <v>40</v>
      </c>
      <c r="D3791">
        <v>5.4054190000000002</v>
      </c>
      <c r="E3791">
        <v>0.48951650000000002</v>
      </c>
      <c r="F3791" t="s">
        <v>41</v>
      </c>
      <c r="G3791">
        <v>-191.71459999999999</v>
      </c>
      <c r="H3791" s="1">
        <v>-4.2307729999999997E-6</v>
      </c>
      <c r="I3791">
        <v>167.57660000000001</v>
      </c>
      <c r="J3791">
        <v>-190.19739999999999</v>
      </c>
      <c r="K3791">
        <v>1.124401</v>
      </c>
      <c r="L3791">
        <v>185.3974</v>
      </c>
      <c r="M3791">
        <v>-0.17653250000000001</v>
      </c>
      <c r="N3791">
        <v>-1.420741E-2</v>
      </c>
      <c r="O3791">
        <v>-0.98419230000000002</v>
      </c>
      <c r="P3791">
        <v>-0.1144753</v>
      </c>
      <c r="Q3791">
        <v>0.16328399999999901</v>
      </c>
      <c r="R3791">
        <v>-0.97991539999999999</v>
      </c>
      <c r="S3791">
        <v>-0.26315309999999997</v>
      </c>
      <c r="T3791">
        <v>-0.19150410000000001</v>
      </c>
      <c r="U3791">
        <v>-3.063736</v>
      </c>
      <c r="V3791">
        <v>-6.1549729999999997E-2</v>
      </c>
      <c r="W3791">
        <v>0.17683750000000001</v>
      </c>
      <c r="X3791">
        <v>0.98231369999999896</v>
      </c>
      <c r="Y3791">
        <v>-9.1712849999999999E-2</v>
      </c>
      <c r="Z3791">
        <v>4.6598920000000002E-2</v>
      </c>
      <c r="AA3791">
        <v>0.99469459999999998</v>
      </c>
      <c r="AB3791">
        <v>27</v>
      </c>
      <c r="AC3791">
        <v>-1.5172000000000001</v>
      </c>
      <c r="AD3791">
        <v>-1.1244052307729999</v>
      </c>
      <c r="AE3791">
        <v>-17.820799999999899</v>
      </c>
      <c r="AF3791">
        <v>-1.64639348422982</v>
      </c>
      <c r="AG3791">
        <v>-1.1244052307729999</v>
      </c>
      <c r="AH3791">
        <v>17.738617049116801</v>
      </c>
      <c r="AI3791">
        <v>93.611498499660598</v>
      </c>
      <c r="AJ3791">
        <v>95.302663568667995</v>
      </c>
      <c r="AK3791">
        <v>17.850306256283702</v>
      </c>
      <c r="AL3791">
        <v>79.814393369688304</v>
      </c>
      <c r="AM3791">
        <v>93.585347041373694</v>
      </c>
      <c r="AN3791">
        <v>1.0000000379384999</v>
      </c>
    </row>
    <row r="3792" spans="1:40" x14ac:dyDescent="0.25">
      <c r="A3792" t="str">
        <f>"20190303162856133"</f>
        <v>20190303162856133</v>
      </c>
      <c r="B3792" t="str">
        <f>"1551601736125504"</f>
        <v>1551601736125504</v>
      </c>
      <c r="C3792" t="s">
        <v>40</v>
      </c>
      <c r="D3792">
        <v>5.3562339999999997</v>
      </c>
      <c r="E3792">
        <v>0.48861929999999998</v>
      </c>
      <c r="F3792" t="s">
        <v>41</v>
      </c>
      <c r="G3792">
        <v>-191.6404</v>
      </c>
      <c r="H3792" s="1">
        <v>-4.4162290000000003E-6</v>
      </c>
      <c r="I3792">
        <v>168.02850000000001</v>
      </c>
      <c r="J3792">
        <v>-190.2236</v>
      </c>
      <c r="K3792">
        <v>1.12436</v>
      </c>
      <c r="L3792">
        <v>185.23759999999999</v>
      </c>
      <c r="M3792">
        <v>-0.17430079999999901</v>
      </c>
      <c r="N3792">
        <v>-1.4200580000000001E-2</v>
      </c>
      <c r="O3792">
        <v>-0.98459010000000002</v>
      </c>
      <c r="P3792">
        <v>-0.1128918</v>
      </c>
      <c r="Q3792">
        <v>0.16253239999999999</v>
      </c>
      <c r="R3792">
        <v>-0.98022370000000003</v>
      </c>
      <c r="S3792">
        <v>-0.25460820000000001</v>
      </c>
      <c r="T3792">
        <v>-0.198406</v>
      </c>
      <c r="U3792">
        <v>-3.0648040000000001</v>
      </c>
      <c r="V3792">
        <v>-6.0911149999999997E-2</v>
      </c>
      <c r="W3792">
        <v>0.17609029999999901</v>
      </c>
      <c r="X3792">
        <v>0.98248769999999996</v>
      </c>
      <c r="Y3792">
        <v>-9.2245560000000004E-2</v>
      </c>
      <c r="Z3792">
        <v>4.8802770000000002E-2</v>
      </c>
      <c r="AA3792">
        <v>0.99453959999999997</v>
      </c>
      <c r="AB3792">
        <v>27</v>
      </c>
      <c r="AC3792">
        <v>-1.4167999999999901</v>
      </c>
      <c r="AD3792">
        <v>-1.1243644162289901</v>
      </c>
      <c r="AE3792">
        <v>-17.2090999999999</v>
      </c>
      <c r="AF3792">
        <v>-1.5979789794310699</v>
      </c>
      <c r="AG3792">
        <v>-1.1243644162289901</v>
      </c>
      <c r="AH3792">
        <v>17.120003143207398</v>
      </c>
      <c r="AI3792">
        <v>93.741315620543901</v>
      </c>
      <c r="AJ3792">
        <v>95.332530540921894</v>
      </c>
      <c r="AK3792">
        <v>17.2311415693394</v>
      </c>
      <c r="AL3792">
        <v>79.857887150738094</v>
      </c>
      <c r="AM3792">
        <v>93.547617711042406</v>
      </c>
      <c r="AN3792">
        <v>1.0000000212998501</v>
      </c>
    </row>
    <row r="3793" spans="1:40" x14ac:dyDescent="0.25">
      <c r="A3793" t="str">
        <f>"20190303162856152"</f>
        <v>20190303162856152</v>
      </c>
      <c r="B3793" t="str">
        <f>"1551601736145024"</f>
        <v>1551601736145024</v>
      </c>
      <c r="C3793" t="s">
        <v>40</v>
      </c>
      <c r="D3793">
        <v>5.3163629999999999</v>
      </c>
      <c r="E3793">
        <v>0.48445300000000002</v>
      </c>
      <c r="F3793" t="s">
        <v>41</v>
      </c>
      <c r="G3793">
        <v>-191.64</v>
      </c>
      <c r="H3793" s="1">
        <v>-4.0647549999999998E-6</v>
      </c>
      <c r="I3793">
        <v>167.26740000000001</v>
      </c>
      <c r="J3793">
        <v>-190.26140000000001</v>
      </c>
      <c r="K3793">
        <v>1.124301</v>
      </c>
      <c r="L3793">
        <v>185.0044</v>
      </c>
      <c r="M3793">
        <v>-0.1711203</v>
      </c>
      <c r="N3793">
        <v>-1.4190670000000001E-2</v>
      </c>
      <c r="O3793">
        <v>-0.98514800000000002</v>
      </c>
      <c r="P3793">
        <v>-0.110585199999999</v>
      </c>
      <c r="Q3793">
        <v>0.16272690000000001</v>
      </c>
      <c r="R3793">
        <v>-0.98045450000000001</v>
      </c>
      <c r="S3793">
        <v>-0.24153140000000001</v>
      </c>
      <c r="T3793">
        <v>-0.1917403</v>
      </c>
      <c r="U3793">
        <v>-3.0644990000000001</v>
      </c>
      <c r="V3793">
        <v>-6.0016939999999998E-2</v>
      </c>
      <c r="W3793">
        <v>0.17629020000000001</v>
      </c>
      <c r="X3793">
        <v>0.98250689999999996</v>
      </c>
      <c r="Y3793">
        <v>-9.3231010000000003E-2</v>
      </c>
      <c r="Z3793">
        <v>4.6765000000000001E-2</v>
      </c>
      <c r="AA3793">
        <v>0.99454560000000003</v>
      </c>
      <c r="AB3793">
        <v>27</v>
      </c>
      <c r="AC3793">
        <v>-1.3785999999999701</v>
      </c>
      <c r="AD3793">
        <v>-1.1243050647549999</v>
      </c>
      <c r="AE3793">
        <v>-17.736999999999899</v>
      </c>
      <c r="AF3793">
        <v>-1.6705326498097799</v>
      </c>
      <c r="AG3793">
        <v>-1.1243050647549999</v>
      </c>
      <c r="AH3793">
        <v>17.640804093260499</v>
      </c>
      <c r="AI3793">
        <v>93.630513389804094</v>
      </c>
      <c r="AJ3793">
        <v>95.409611251098198</v>
      </c>
      <c r="AK3793">
        <v>17.7553572273134</v>
      </c>
      <c r="AL3793">
        <v>79.846251873866905</v>
      </c>
      <c r="AM3793">
        <v>93.495598645736607</v>
      </c>
      <c r="AN3793">
        <v>1.0000000381253</v>
      </c>
    </row>
    <row r="3794" spans="1:40" x14ac:dyDescent="0.25">
      <c r="A3794" t="str">
        <f>"20190303162856174"</f>
        <v>20190303162856174</v>
      </c>
      <c r="B3794" t="str">
        <f>"1551601736165520"</f>
        <v>1551601736165520</v>
      </c>
      <c r="C3794" t="s">
        <v>40</v>
      </c>
      <c r="D3794">
        <v>5.3160809999999996</v>
      </c>
      <c r="E3794">
        <v>0.47985539999999999</v>
      </c>
      <c r="F3794" t="s">
        <v>41</v>
      </c>
      <c r="G3794">
        <v>-191.50659999999999</v>
      </c>
      <c r="H3794" s="1">
        <v>-3.3879869999999999E-6</v>
      </c>
      <c r="I3794">
        <v>165.91079999999999</v>
      </c>
      <c r="J3794">
        <v>-190.30340000000001</v>
      </c>
      <c r="K3794">
        <v>1.1242080000000001</v>
      </c>
      <c r="L3794">
        <v>184.73910000000001</v>
      </c>
      <c r="M3794">
        <v>-0.16763939999999999</v>
      </c>
      <c r="N3794">
        <v>-1.4179290000000001E-2</v>
      </c>
      <c r="O3794">
        <v>-0.98574640000000002</v>
      </c>
      <c r="P3794">
        <v>-0.1094542</v>
      </c>
      <c r="Q3794">
        <v>0.16328779999999901</v>
      </c>
      <c r="R3794">
        <v>-0.98048809999999997</v>
      </c>
      <c r="S3794">
        <v>-0.20004269999999999</v>
      </c>
      <c r="T3794">
        <v>-0.18060989999999999</v>
      </c>
      <c r="U3794">
        <v>-3.0672299999999999</v>
      </c>
      <c r="V3794">
        <v>-5.762229E-2</v>
      </c>
      <c r="W3794">
        <v>0.17686939999999901</v>
      </c>
      <c r="X3794">
        <v>0.98254620000000004</v>
      </c>
      <c r="Y3794">
        <v>-0.1031483</v>
      </c>
      <c r="Z3794">
        <v>4.3236549999999999E-2</v>
      </c>
      <c r="AA3794">
        <v>0.99372579999999999</v>
      </c>
      <c r="AB3794">
        <v>27</v>
      </c>
      <c r="AC3794">
        <v>-1.2031999999999801</v>
      </c>
      <c r="AD3794">
        <v>-1.1242113879869999</v>
      </c>
      <c r="AE3794">
        <v>-18.828299999999999</v>
      </c>
      <c r="AF3794">
        <v>-1.96354117587652</v>
      </c>
      <c r="AG3794">
        <v>-1.1242113879869999</v>
      </c>
      <c r="AH3794">
        <v>18.6971327640026</v>
      </c>
      <c r="AI3794">
        <v>93.422133653734605</v>
      </c>
      <c r="AJ3794">
        <v>95.995130262907693</v>
      </c>
      <c r="AK3794">
        <v>18.833537075891599</v>
      </c>
      <c r="AL3794">
        <v>79.812536734544906</v>
      </c>
      <c r="AM3794">
        <v>93.356317295955606</v>
      </c>
      <c r="AN3794">
        <v>1.0000000740478101</v>
      </c>
    </row>
    <row r="3795" spans="1:40" x14ac:dyDescent="0.25">
      <c r="A3795" t="str">
        <f>"20190303162856194"</f>
        <v>20190303162856194</v>
      </c>
      <c r="B3795" t="str">
        <f>"1551601736185040"</f>
        <v>1551601736185040</v>
      </c>
      <c r="C3795" t="s">
        <v>40</v>
      </c>
      <c r="D3795">
        <v>5.3154379999999897</v>
      </c>
      <c r="E3795">
        <v>0.47731230000000002</v>
      </c>
      <c r="F3795" t="s">
        <v>41</v>
      </c>
      <c r="G3795">
        <v>-191.37200000000001</v>
      </c>
      <c r="H3795" s="1">
        <v>-2.4949750000000002E-6</v>
      </c>
      <c r="I3795">
        <v>164.09739999999999</v>
      </c>
      <c r="J3795">
        <v>-190.34190000000001</v>
      </c>
      <c r="K3795">
        <v>1.1241019999999999</v>
      </c>
      <c r="L3795">
        <v>184.49170000000001</v>
      </c>
      <c r="M3795">
        <v>-0.1645315</v>
      </c>
      <c r="N3795">
        <v>-1.416851E-2</v>
      </c>
      <c r="O3795">
        <v>-0.98627010000000004</v>
      </c>
      <c r="P3795">
        <v>-0.1084497</v>
      </c>
      <c r="Q3795">
        <v>0.1631206</v>
      </c>
      <c r="R3795">
        <v>-0.98062749999999999</v>
      </c>
      <c r="S3795">
        <v>-0.15892029999999999</v>
      </c>
      <c r="T3795">
        <v>-0.16719029999999999</v>
      </c>
      <c r="U3795">
        <v>-3.0697939999999999</v>
      </c>
      <c r="V3795">
        <v>-5.548583E-2</v>
      </c>
      <c r="W3795">
        <v>0.17672109999999999</v>
      </c>
      <c r="X3795">
        <v>0.98269580000000001</v>
      </c>
      <c r="Y3795">
        <v>-0.1133166</v>
      </c>
      <c r="Z3795">
        <v>3.8969740000000003E-2</v>
      </c>
      <c r="AA3795">
        <v>0.99279439999999997</v>
      </c>
      <c r="AB3795">
        <v>27</v>
      </c>
      <c r="AC3795">
        <v>-1.0301</v>
      </c>
      <c r="AD3795">
        <v>-1.1241044949750001</v>
      </c>
      <c r="AE3795">
        <v>-20.394300000000001</v>
      </c>
      <c r="AF3795">
        <v>-2.33271383950781</v>
      </c>
      <c r="AG3795">
        <v>-1.1241044949750001</v>
      </c>
      <c r="AH3795">
        <v>20.224520860278901</v>
      </c>
      <c r="AI3795">
        <v>93.160388954038396</v>
      </c>
      <c r="AJ3795">
        <v>96.579471170876104</v>
      </c>
      <c r="AK3795">
        <v>20.389615219530501</v>
      </c>
      <c r="AL3795">
        <v>79.821169233400497</v>
      </c>
      <c r="AM3795">
        <v>93.231653113885201</v>
      </c>
      <c r="AN3795">
        <v>1.0000000299268099</v>
      </c>
    </row>
    <row r="3796" spans="1:40" x14ac:dyDescent="0.25">
      <c r="A3796" t="str">
        <f>"20190303162856207"</f>
        <v>20190303162856207</v>
      </c>
      <c r="B3796" t="str">
        <f>"1551601736195777"</f>
        <v>1551601736195777</v>
      </c>
      <c r="C3796" t="s">
        <v>40</v>
      </c>
      <c r="D3796">
        <v>5.3102299999999998</v>
      </c>
      <c r="E3796">
        <v>0.47637689999999999</v>
      </c>
      <c r="F3796" t="s">
        <v>41</v>
      </c>
      <c r="G3796">
        <v>-191.29589999999999</v>
      </c>
      <c r="H3796" s="1">
        <v>-1.9156159999999999E-6</v>
      </c>
      <c r="I3796">
        <v>162.91460000000001</v>
      </c>
      <c r="J3796">
        <v>-190.36340000000001</v>
      </c>
      <c r="K3796">
        <v>1.1240380000000001</v>
      </c>
      <c r="L3796">
        <v>184.3519</v>
      </c>
      <c r="M3796">
        <v>-0.16283259999999999</v>
      </c>
      <c r="N3796">
        <v>-1.416242E-2</v>
      </c>
      <c r="O3796">
        <v>-0.98655219999999999</v>
      </c>
      <c r="P3796">
        <v>-0.10785169999999999</v>
      </c>
      <c r="Q3796">
        <v>0.1629622</v>
      </c>
      <c r="R3796">
        <v>-0.98072020000000004</v>
      </c>
      <c r="S3796">
        <v>-0.1357727</v>
      </c>
      <c r="T3796">
        <v>-0.1599824</v>
      </c>
      <c r="U3796">
        <v>-3.0708470000000001</v>
      </c>
      <c r="V3796">
        <v>-5.4365940000000001E-2</v>
      </c>
      <c r="W3796">
        <v>0.17657320000000001</v>
      </c>
      <c r="X3796">
        <v>0.98278489999999996</v>
      </c>
      <c r="Y3796">
        <v>-0.1190826</v>
      </c>
      <c r="Z3796">
        <v>3.667956E-2</v>
      </c>
      <c r="AA3796">
        <v>0.99220660000000005</v>
      </c>
      <c r="AB3796">
        <v>27</v>
      </c>
      <c r="AC3796">
        <v>-0.93249999999997601</v>
      </c>
      <c r="AD3796">
        <v>-1.1240399156159999</v>
      </c>
      <c r="AE3796">
        <v>-21.4373</v>
      </c>
      <c r="AF3796">
        <v>-2.56395308596599</v>
      </c>
      <c r="AG3796">
        <v>-1.1240399156159999</v>
      </c>
      <c r="AH3796">
        <v>21.244692608011601</v>
      </c>
      <c r="AI3796">
        <v>93.0068721027028</v>
      </c>
      <c r="AJ3796">
        <v>96.881560045649806</v>
      </c>
      <c r="AK3796">
        <v>21.428352367082098</v>
      </c>
      <c r="AL3796">
        <v>79.829777899003503</v>
      </c>
      <c r="AM3796">
        <v>93.166275124715</v>
      </c>
      <c r="AN3796">
        <v>0.99999995502916506</v>
      </c>
    </row>
    <row r="3797" spans="1:40" x14ac:dyDescent="0.25">
      <c r="A3797" t="str">
        <f>"20190303162856219"</f>
        <v>20190303162856219</v>
      </c>
      <c r="B3797" t="str">
        <f>"1551601736205537"</f>
        <v>1551601736205537</v>
      </c>
      <c r="C3797" t="s">
        <v>40</v>
      </c>
      <c r="D3797">
        <v>5.2538070000000001</v>
      </c>
      <c r="E3797">
        <v>0.47551589999999999</v>
      </c>
      <c r="F3797" t="s">
        <v>41</v>
      </c>
      <c r="G3797">
        <v>-191.26759999999999</v>
      </c>
      <c r="H3797" s="1">
        <v>-1.7004949999999999E-6</v>
      </c>
      <c r="I3797">
        <v>162.47550000000001</v>
      </c>
      <c r="J3797">
        <v>-190.38509999999999</v>
      </c>
      <c r="K3797">
        <v>1.1239629999999901</v>
      </c>
      <c r="L3797">
        <v>184.209</v>
      </c>
      <c r="M3797">
        <v>-0.16115170000000001</v>
      </c>
      <c r="N3797">
        <v>-1.4156139999999999E-2</v>
      </c>
      <c r="O3797">
        <v>-0.98682809999999999</v>
      </c>
      <c r="P3797">
        <v>-0.1071628</v>
      </c>
      <c r="Q3797">
        <v>0.1629275</v>
      </c>
      <c r="R3797">
        <v>-0.98080100000000003</v>
      </c>
      <c r="S3797">
        <v>-0.12693789999999999</v>
      </c>
      <c r="T3797">
        <v>-0.15780539999999901</v>
      </c>
      <c r="U3797">
        <v>-3.071259</v>
      </c>
      <c r="V3797">
        <v>-5.3349220000000003E-2</v>
      </c>
      <c r="W3797">
        <v>0.17654829999999999</v>
      </c>
      <c r="X3797">
        <v>0.98284510000000003</v>
      </c>
      <c r="Y3797">
        <v>-0.1202449</v>
      </c>
      <c r="Z3797">
        <v>3.6006290000000003E-2</v>
      </c>
      <c r="AA3797">
        <v>0.9920911</v>
      </c>
      <c r="AB3797">
        <v>27</v>
      </c>
      <c r="AC3797">
        <v>-0.88249999999999296</v>
      </c>
      <c r="AD3797">
        <v>-1.12396470049499</v>
      </c>
      <c r="AE3797">
        <v>-21.7334999999999</v>
      </c>
      <c r="AF3797">
        <v>-2.6247699847548698</v>
      </c>
      <c r="AG3797">
        <v>-1.12396470049499</v>
      </c>
      <c r="AH3797">
        <v>21.5341101808073</v>
      </c>
      <c r="AI3797">
        <v>92.965908925325195</v>
      </c>
      <c r="AJ3797">
        <v>96.949441697051697</v>
      </c>
      <c r="AK3797">
        <v>21.722583073842301</v>
      </c>
      <c r="AL3797">
        <v>79.831227448256797</v>
      </c>
      <c r="AM3797">
        <v>93.106988486102694</v>
      </c>
      <c r="AN3797">
        <v>0.99999996605075303</v>
      </c>
    </row>
    <row r="3798" spans="1:40" x14ac:dyDescent="0.25">
      <c r="A3798" t="str">
        <f>"20190303162856232"</f>
        <v>20190303162856232</v>
      </c>
      <c r="B3798" t="str">
        <f>"1551601736225057"</f>
        <v>1551601736225057</v>
      </c>
      <c r="C3798" t="s">
        <v>40</v>
      </c>
      <c r="D3798">
        <v>5.2495000000000003</v>
      </c>
      <c r="E3798">
        <v>0.47443560000000001</v>
      </c>
      <c r="F3798" t="s">
        <v>41</v>
      </c>
      <c r="G3798">
        <v>-191.24100000000001</v>
      </c>
      <c r="H3798" s="1">
        <v>-1.4677660000000001E-6</v>
      </c>
      <c r="I3798">
        <v>161.99809999999999</v>
      </c>
      <c r="J3798">
        <v>-190.41040000000001</v>
      </c>
      <c r="K3798">
        <v>1.1238779999999999</v>
      </c>
      <c r="L3798">
        <v>184.04079999999999</v>
      </c>
      <c r="M3798">
        <v>-0.1592441</v>
      </c>
      <c r="N3798">
        <v>-1.414876E-2</v>
      </c>
      <c r="O3798">
        <v>-0.98713799999999996</v>
      </c>
      <c r="P3798">
        <v>-0.10574649999999999</v>
      </c>
      <c r="Q3798">
        <v>0.16281109999999999</v>
      </c>
      <c r="R3798">
        <v>-0.98097460000000003</v>
      </c>
      <c r="S3798">
        <v>-0.11836240000000001</v>
      </c>
      <c r="T3798">
        <v>-0.15543660000000001</v>
      </c>
      <c r="U3798">
        <v>-3.071609</v>
      </c>
      <c r="V3798">
        <v>-5.2832869999999997E-2</v>
      </c>
      <c r="W3798">
        <v>0.17643900000000001</v>
      </c>
      <c r="X3798">
        <v>0.98289260000000001</v>
      </c>
      <c r="Y3798">
        <v>-0.12109549999999999</v>
      </c>
      <c r="Z3798">
        <v>3.5277139999999998E-2</v>
      </c>
      <c r="AA3798">
        <v>0.99201379999999995</v>
      </c>
      <c r="AB3798">
        <v>27</v>
      </c>
      <c r="AC3798">
        <v>-0.83059999999997502</v>
      </c>
      <c r="AD3798">
        <v>-1.123879467766</v>
      </c>
      <c r="AE3798">
        <v>-22.0427</v>
      </c>
      <c r="AF3798">
        <v>-2.6835556779813401</v>
      </c>
      <c r="AG3798">
        <v>-1.123879467766</v>
      </c>
      <c r="AH3798">
        <v>21.836955862309399</v>
      </c>
      <c r="AI3798">
        <v>92.924274150892202</v>
      </c>
      <c r="AJ3798">
        <v>97.005982876281706</v>
      </c>
      <c r="AK3798">
        <v>22.0299164198901</v>
      </c>
      <c r="AL3798">
        <v>79.837589568720006</v>
      </c>
      <c r="AM3798">
        <v>93.076826592686899</v>
      </c>
      <c r="AN3798">
        <v>0.99999994800409697</v>
      </c>
    </row>
    <row r="3799" spans="1:40" x14ac:dyDescent="0.25">
      <c r="A3799" t="str">
        <f>"20190303162856244"</f>
        <v>20190303162856244</v>
      </c>
      <c r="B3799" t="str">
        <f>"1551601736235793"</f>
        <v>1551601736235793</v>
      </c>
      <c r="C3799" t="s">
        <v>40</v>
      </c>
      <c r="D3799">
        <v>5.2504619999999997</v>
      </c>
      <c r="E3799">
        <v>0.47399049999999998</v>
      </c>
      <c r="F3799" t="s">
        <v>41</v>
      </c>
      <c r="G3799">
        <v>-191.19319999999999</v>
      </c>
      <c r="H3799" s="1">
        <v>-1.157182E-6</v>
      </c>
      <c r="I3799">
        <v>161.36799999999999</v>
      </c>
      <c r="J3799">
        <v>-190.4308</v>
      </c>
      <c r="K3799">
        <v>1.1238079999999999</v>
      </c>
      <c r="L3799">
        <v>183.9041</v>
      </c>
      <c r="M3799">
        <v>-0.15772900000000001</v>
      </c>
      <c r="N3799">
        <v>-1.414288E-2</v>
      </c>
      <c r="O3799">
        <v>-0.98738119999999996</v>
      </c>
      <c r="P3799">
        <v>-0.1049211</v>
      </c>
      <c r="Q3799">
        <v>0.16253399999999901</v>
      </c>
      <c r="R3799">
        <v>-0.98110869999999994</v>
      </c>
      <c r="S3799">
        <v>-0.1060638</v>
      </c>
      <c r="T3799">
        <v>-0.15228120000000001</v>
      </c>
      <c r="U3799">
        <v>-3.0720670000000001</v>
      </c>
      <c r="V3799">
        <v>-5.2123950000000002E-2</v>
      </c>
      <c r="W3799">
        <v>0.17617049999999901</v>
      </c>
      <c r="X3799">
        <v>0.98297860000000004</v>
      </c>
      <c r="Y3799">
        <v>-0.1235421</v>
      </c>
      <c r="Z3799">
        <v>3.4284509999999997E-2</v>
      </c>
      <c r="AA3799">
        <v>0.99174689999999999</v>
      </c>
      <c r="AB3799">
        <v>27</v>
      </c>
      <c r="AC3799">
        <v>-0.76239999999998498</v>
      </c>
      <c r="AD3799">
        <v>-1.1238091571819999</v>
      </c>
      <c r="AE3799">
        <v>-22.536100000000001</v>
      </c>
      <c r="AF3799">
        <v>-2.7951543815396001</v>
      </c>
      <c r="AG3799">
        <v>-1.1238091571819999</v>
      </c>
      <c r="AH3799">
        <v>22.318773596913299</v>
      </c>
      <c r="AI3799">
        <v>92.860253204665099</v>
      </c>
      <c r="AJ3799">
        <v>97.138431979542105</v>
      </c>
      <c r="AK3799">
        <v>22.5211786971437</v>
      </c>
      <c r="AL3799">
        <v>79.853218214908594</v>
      </c>
      <c r="AM3799">
        <v>93.035353888364199</v>
      </c>
      <c r="AN3799">
        <v>0.99999993964590395</v>
      </c>
    </row>
    <row r="3800" spans="1:40" x14ac:dyDescent="0.25">
      <c r="A3800" t="str">
        <f>"20190303162856263"</f>
        <v>20190303162856263</v>
      </c>
      <c r="B3800" t="str">
        <f>"1551601736255315"</f>
        <v>1551601736255315</v>
      </c>
      <c r="C3800" t="s">
        <v>40</v>
      </c>
      <c r="D3800">
        <v>5.2431999999999999</v>
      </c>
      <c r="E3800">
        <v>0.47326109999999999</v>
      </c>
      <c r="F3800" t="s">
        <v>41</v>
      </c>
      <c r="G3800">
        <v>-191.172</v>
      </c>
      <c r="H3800" s="1">
        <v>-1.07017E-6</v>
      </c>
      <c r="I3800">
        <v>161.19579999999999</v>
      </c>
      <c r="J3800">
        <v>-190.4633</v>
      </c>
      <c r="K3800">
        <v>1.1236930000000001</v>
      </c>
      <c r="L3800">
        <v>183.684</v>
      </c>
      <c r="M3800">
        <v>-0.15540680000000001</v>
      </c>
      <c r="N3800">
        <v>-1.413348E-2</v>
      </c>
      <c r="O3800">
        <v>-0.98774949999999995</v>
      </c>
      <c r="P3800">
        <v>-0.1028744</v>
      </c>
      <c r="Q3800">
        <v>0.16251380000000001</v>
      </c>
      <c r="R3800">
        <v>-0.9813288</v>
      </c>
      <c r="S3800">
        <v>-0.1002808</v>
      </c>
      <c r="T3800">
        <v>-0.1520417</v>
      </c>
      <c r="U3800">
        <v>-3.072235</v>
      </c>
      <c r="V3800">
        <v>-5.1811419999999997E-2</v>
      </c>
      <c r="W3800">
        <v>0.17615829999999999</v>
      </c>
      <c r="X3800">
        <v>0.98299740000000002</v>
      </c>
      <c r="Y3800">
        <v>-0.1230755</v>
      </c>
      <c r="Z3800">
        <v>3.4242799999999997E-2</v>
      </c>
      <c r="AA3800">
        <v>0.99180639999999998</v>
      </c>
      <c r="AB3800">
        <v>27</v>
      </c>
      <c r="AC3800">
        <v>-0.708699999999993</v>
      </c>
      <c r="AD3800">
        <v>-1.12369407017</v>
      </c>
      <c r="AE3800">
        <v>-22.488199999999999</v>
      </c>
      <c r="AF3800">
        <v>-2.7881256306039499</v>
      </c>
      <c r="AG3800">
        <v>-1.12369407017</v>
      </c>
      <c r="AH3800">
        <v>22.269526062929302</v>
      </c>
      <c r="AI3800">
        <v>92.866288491917501</v>
      </c>
      <c r="AJ3800">
        <v>97.136250720555793</v>
      </c>
      <c r="AK3800">
        <v>22.471495810534201</v>
      </c>
      <c r="AL3800">
        <v>79.853929246878295</v>
      </c>
      <c r="AM3800">
        <v>93.017130340214806</v>
      </c>
      <c r="AN3800">
        <v>1.0000000291540301</v>
      </c>
    </row>
    <row r="3801" spans="1:40" x14ac:dyDescent="0.25">
      <c r="A3801" t="str">
        <f>"20190303162856274"</f>
        <v>20190303162856274</v>
      </c>
      <c r="B3801" t="str">
        <f>"1551601736265073"</f>
        <v>1551601736265073</v>
      </c>
      <c r="C3801" t="s">
        <v>40</v>
      </c>
      <c r="D3801">
        <v>5.2174440000000004</v>
      </c>
      <c r="E3801">
        <v>0.47298679999999899</v>
      </c>
      <c r="F3801" t="s">
        <v>41</v>
      </c>
      <c r="G3801">
        <v>-191.13140000000001</v>
      </c>
      <c r="H3801" s="1">
        <v>-7.7729430000000003E-7</v>
      </c>
      <c r="I3801">
        <v>160.59909999999999</v>
      </c>
      <c r="J3801">
        <v>-190.48400000000001</v>
      </c>
      <c r="K3801">
        <v>1.1236200000000001</v>
      </c>
      <c r="L3801">
        <v>183.5419</v>
      </c>
      <c r="M3801">
        <v>-0.15398529999999999</v>
      </c>
      <c r="N3801">
        <v>-1.412744E-2</v>
      </c>
      <c r="O3801">
        <v>-0.98797210000000002</v>
      </c>
      <c r="P3801">
        <v>-0.1018867</v>
      </c>
      <c r="Q3801">
        <v>0.162607</v>
      </c>
      <c r="R3801">
        <v>-0.98141619999999996</v>
      </c>
      <c r="S3801">
        <v>-8.8928220000000002E-2</v>
      </c>
      <c r="T3801">
        <v>-0.14956069999999999</v>
      </c>
      <c r="U3801">
        <v>-3.07254</v>
      </c>
      <c r="V3801">
        <v>-5.1351609999999999E-2</v>
      </c>
      <c r="W3801">
        <v>0.17625689999999999</v>
      </c>
      <c r="X3801">
        <v>0.98300390000000004</v>
      </c>
      <c r="Y3801">
        <v>-0.12531039999999999</v>
      </c>
      <c r="Z3801">
        <v>3.3464550000000003E-2</v>
      </c>
      <c r="AA3801">
        <v>0.99155300000000002</v>
      </c>
      <c r="AB3801">
        <v>27</v>
      </c>
      <c r="AC3801">
        <v>-0.64740000000000397</v>
      </c>
      <c r="AD3801">
        <v>-1.1236207772943001</v>
      </c>
      <c r="AE3801">
        <v>-22.942799999999998</v>
      </c>
      <c r="AF3801">
        <v>-2.88661153431954</v>
      </c>
      <c r="AG3801">
        <v>-1.1236207772943001</v>
      </c>
      <c r="AH3801">
        <v>22.714371521878899</v>
      </c>
      <c r="AI3801">
        <v>92.809405879727194</v>
      </c>
      <c r="AJ3801">
        <v>97.242499691980399</v>
      </c>
      <c r="AK3801">
        <v>22.9246095590563</v>
      </c>
      <c r="AL3801">
        <v>79.848190553309607</v>
      </c>
      <c r="AM3801">
        <v>92.990383339509904</v>
      </c>
      <c r="AN3801">
        <v>1.0000000750311999</v>
      </c>
    </row>
    <row r="3802" spans="1:40" x14ac:dyDescent="0.25">
      <c r="A3802" t="str">
        <f>"20190303162856288"</f>
        <v>20190303162856288</v>
      </c>
      <c r="B3802" t="str">
        <f>"1551601736275809"</f>
        <v>1551601736275809</v>
      </c>
      <c r="C3802" t="s">
        <v>40</v>
      </c>
      <c r="D3802">
        <v>5.189057</v>
      </c>
      <c r="E3802">
        <v>0.47266829999999999</v>
      </c>
      <c r="F3802" t="s">
        <v>41</v>
      </c>
      <c r="G3802">
        <v>-191.12</v>
      </c>
      <c r="H3802" s="1">
        <v>-6.1256739999999998E-7</v>
      </c>
      <c r="I3802">
        <v>160.25710000000001</v>
      </c>
      <c r="J3802">
        <v>-190.50530000000001</v>
      </c>
      <c r="K3802">
        <v>1.123548</v>
      </c>
      <c r="L3802">
        <v>183.3948</v>
      </c>
      <c r="M3802">
        <v>-0.1525397</v>
      </c>
      <c r="N3802">
        <v>-1.4121399999999999E-2</v>
      </c>
      <c r="O3802">
        <v>-0.98819650000000003</v>
      </c>
      <c r="P3802">
        <v>-0.1006321</v>
      </c>
      <c r="Q3802">
        <v>0.16265789999999999</v>
      </c>
      <c r="R3802">
        <v>-0.9815374</v>
      </c>
      <c r="S3802">
        <v>-8.3923339999999999E-2</v>
      </c>
      <c r="T3802">
        <v>-0.1482716</v>
      </c>
      <c r="U3802">
        <v>-3.072632</v>
      </c>
      <c r="V3802">
        <v>-5.113736E-2</v>
      </c>
      <c r="W3802">
        <v>0.17631179999999999</v>
      </c>
      <c r="X3802">
        <v>0.98300520000000002</v>
      </c>
      <c r="Y3802">
        <v>-0.12547359999999999</v>
      </c>
      <c r="Z3802">
        <v>3.307471E-2</v>
      </c>
      <c r="AA3802">
        <v>0.99154549999999997</v>
      </c>
      <c r="AB3802">
        <v>27</v>
      </c>
      <c r="AC3802">
        <v>-0.61469999999999902</v>
      </c>
      <c r="AD3802">
        <v>-1.1235486125673999</v>
      </c>
      <c r="AE3802">
        <v>-23.137699999999899</v>
      </c>
      <c r="AF3802">
        <v>-2.91539502571041</v>
      </c>
      <c r="AG3802">
        <v>-1.1235486125673999</v>
      </c>
      <c r="AH3802">
        <v>22.906672869242598</v>
      </c>
      <c r="AI3802">
        <v>92.785613579914497</v>
      </c>
      <c r="AJ3802">
        <v>97.253195343509205</v>
      </c>
      <c r="AK3802">
        <v>23.118770546446399</v>
      </c>
      <c r="AL3802">
        <v>79.844994731900101</v>
      </c>
      <c r="AM3802">
        <v>92.977925387544005</v>
      </c>
      <c r="AN3802">
        <v>1.00000005181702</v>
      </c>
    </row>
    <row r="3803" spans="1:40" x14ac:dyDescent="0.25">
      <c r="A3803" t="str">
        <f>"20190303162856306"</f>
        <v>20190303162856306</v>
      </c>
      <c r="B3803" t="str">
        <f>"1551601736295329"</f>
        <v>1551601736295329</v>
      </c>
      <c r="C3803" t="s">
        <v>40</v>
      </c>
      <c r="D3803">
        <v>5.0817100000000002</v>
      </c>
      <c r="E3803">
        <v>0.47223720000000002</v>
      </c>
      <c r="F3803" t="s">
        <v>41</v>
      </c>
      <c r="G3803">
        <v>-191.09899999999999</v>
      </c>
      <c r="H3803" s="1">
        <v>-4.0512740000000002E-7</v>
      </c>
      <c r="I3803">
        <v>159.83009999999999</v>
      </c>
      <c r="J3803">
        <v>-190.5361</v>
      </c>
      <c r="K3803">
        <v>1.123453</v>
      </c>
      <c r="L3803">
        <v>183.18</v>
      </c>
      <c r="M3803">
        <v>-0.15051020000000001</v>
      </c>
      <c r="N3803">
        <v>-1.411286E-2</v>
      </c>
      <c r="O3803">
        <v>-0.98850789999999999</v>
      </c>
      <c r="P3803">
        <v>-9.9749640000000001E-2</v>
      </c>
      <c r="Q3803">
        <v>0.1634786</v>
      </c>
      <c r="R3803">
        <v>-0.98149140000000001</v>
      </c>
      <c r="S3803">
        <v>-7.7407840000000006E-2</v>
      </c>
      <c r="T3803">
        <v>-0.14650820000000001</v>
      </c>
      <c r="U3803">
        <v>-3.072784</v>
      </c>
      <c r="V3803">
        <v>-4.9942E-2</v>
      </c>
      <c r="W3803">
        <v>0.1771402</v>
      </c>
      <c r="X3803">
        <v>0.98291770000000001</v>
      </c>
      <c r="Y3803">
        <v>-0.12553879999999901</v>
      </c>
      <c r="Z3803">
        <v>3.254166E-2</v>
      </c>
      <c r="AA3803">
        <v>0.99155490000000002</v>
      </c>
      <c r="AB3803">
        <v>27</v>
      </c>
      <c r="AC3803">
        <v>-0.56290000000001295</v>
      </c>
      <c r="AD3803">
        <v>-1.1234534051273899</v>
      </c>
      <c r="AE3803">
        <v>-23.349900000000002</v>
      </c>
      <c r="AF3803">
        <v>-2.9514326780601499</v>
      </c>
      <c r="AG3803">
        <v>-1.1234534051273899</v>
      </c>
      <c r="AH3803">
        <v>23.1151069609774</v>
      </c>
      <c r="AI3803">
        <v>92.760158323173798</v>
      </c>
      <c r="AJ3803">
        <v>97.276390188973195</v>
      </c>
      <c r="AK3803">
        <v>23.329836523731601</v>
      </c>
      <c r="AL3803">
        <v>79.796771654592902</v>
      </c>
      <c r="AM3803">
        <v>92.908694382295494</v>
      </c>
      <c r="AN3803">
        <v>1.00000002939666</v>
      </c>
    </row>
    <row r="3804" spans="1:40" x14ac:dyDescent="0.25">
      <c r="A3804" t="str">
        <f>"20190303162856317"</f>
        <v>20190303162856317</v>
      </c>
      <c r="B3804" t="str">
        <f>"1551601736305089"</f>
        <v>1551601736305089</v>
      </c>
      <c r="C3804" t="s">
        <v>40</v>
      </c>
      <c r="D3804">
        <v>5.1895879999999996</v>
      </c>
      <c r="E3804">
        <v>0.47200950000000003</v>
      </c>
      <c r="F3804" t="s">
        <v>56</v>
      </c>
      <c r="G3804">
        <v>-191.101</v>
      </c>
      <c r="H3804" s="1">
        <v>-1.4707400000000001E-5</v>
      </c>
      <c r="I3804">
        <v>158.75040000000001</v>
      </c>
      <c r="J3804">
        <v>-190.5566</v>
      </c>
      <c r="K3804">
        <v>1.1234040000000001</v>
      </c>
      <c r="L3804">
        <v>183.03579999999999</v>
      </c>
      <c r="M3804">
        <v>-0.14919649999999901</v>
      </c>
      <c r="N3804">
        <v>-1.410747E-2</v>
      </c>
      <c r="O3804">
        <v>-0.988707</v>
      </c>
      <c r="P3804">
        <v>-9.9193710000000004E-2</v>
      </c>
      <c r="Q3804">
        <v>0.16370570000000001</v>
      </c>
      <c r="R3804">
        <v>-0.98150990000000005</v>
      </c>
      <c r="S3804">
        <v>-7.1044919999999998E-2</v>
      </c>
      <c r="T3804">
        <v>-0.14131560000000001</v>
      </c>
      <c r="U3804">
        <v>-3.0728909999999998</v>
      </c>
      <c r="V3804">
        <v>-4.9162820000000003E-2</v>
      </c>
      <c r="W3804">
        <v>0.17737149999999999</v>
      </c>
      <c r="X3804">
        <v>0.98291519999999999</v>
      </c>
      <c r="Y3804">
        <v>-0.1262733</v>
      </c>
      <c r="Z3804">
        <v>3.0906070000000001E-2</v>
      </c>
      <c r="AA3804">
        <v>0.99151389999999995</v>
      </c>
      <c r="AB3804">
        <v>27</v>
      </c>
      <c r="AC3804">
        <v>-0.544399999999996</v>
      </c>
      <c r="AD3804">
        <v>-1.1234187073999999</v>
      </c>
      <c r="AE3804">
        <v>-24.2853999999999</v>
      </c>
      <c r="AF3804">
        <v>-3.0787664686081802</v>
      </c>
      <c r="AG3804">
        <v>-1.1234187073999999</v>
      </c>
      <c r="AH3804">
        <v>24.043339147490101</v>
      </c>
      <c r="AI3804">
        <v>92.653549264730799</v>
      </c>
      <c r="AJ3804">
        <v>97.297054501395607</v>
      </c>
      <c r="AK3804">
        <v>24.265675962593601</v>
      </c>
      <c r="AL3804">
        <v>79.783305203569199</v>
      </c>
      <c r="AM3804">
        <v>92.863397201394307</v>
      </c>
      <c r="AN3804">
        <v>0.99999996113681999</v>
      </c>
    </row>
    <row r="3805" spans="1:40" x14ac:dyDescent="0.25">
      <c r="A3805" t="str">
        <f>"20190303162856329"</f>
        <v>20190303162856329</v>
      </c>
      <c r="B3805" t="str">
        <f>"1551601736315153"</f>
        <v>1551601736315153</v>
      </c>
      <c r="C3805" t="s">
        <v>40</v>
      </c>
      <c r="D3805">
        <v>5.251061</v>
      </c>
      <c r="E3805">
        <v>0.47184700000000002</v>
      </c>
      <c r="F3805" t="s">
        <v>56</v>
      </c>
      <c r="G3805">
        <v>-191.09540000000001</v>
      </c>
      <c r="H3805" s="1">
        <v>-1.455211E-5</v>
      </c>
      <c r="I3805">
        <v>158.3895</v>
      </c>
      <c r="J3805">
        <v>-190.57640000000001</v>
      </c>
      <c r="K3805">
        <v>1.123362</v>
      </c>
      <c r="L3805">
        <v>182.89510000000001</v>
      </c>
      <c r="M3805">
        <v>-0.14793709999999999</v>
      </c>
      <c r="N3805">
        <v>-1.4102419999999999E-2</v>
      </c>
      <c r="O3805">
        <v>-0.98889609999999994</v>
      </c>
      <c r="P3805">
        <v>-9.8831139999999998E-2</v>
      </c>
      <c r="Q3805">
        <v>0.16363829999999999</v>
      </c>
      <c r="R3805">
        <v>-0.98155729999999997</v>
      </c>
      <c r="S3805">
        <v>-6.7184450000000007E-2</v>
      </c>
      <c r="T3805">
        <v>-0.14007720000000001</v>
      </c>
      <c r="U3805">
        <v>-3.073105</v>
      </c>
      <c r="V3805">
        <v>-4.8253610000000002E-2</v>
      </c>
      <c r="W3805">
        <v>0.17730960000000001</v>
      </c>
      <c r="X3805">
        <v>0.9829715</v>
      </c>
      <c r="Y3805">
        <v>-0.12625649999999999</v>
      </c>
      <c r="Z3805">
        <v>3.0526500000000002E-2</v>
      </c>
      <c r="AA3805">
        <v>0.99152779999999996</v>
      </c>
      <c r="AB3805">
        <v>27</v>
      </c>
      <c r="AC3805">
        <v>-0.51900000000000501</v>
      </c>
      <c r="AD3805">
        <v>-1.1233765521100001</v>
      </c>
      <c r="AE3805">
        <v>-24.505600000000001</v>
      </c>
      <c r="AF3805">
        <v>-3.1058363524019601</v>
      </c>
      <c r="AG3805">
        <v>-1.1233765521100001</v>
      </c>
      <c r="AH3805">
        <v>24.261730221167699</v>
      </c>
      <c r="AI3805">
        <v>92.629610787364996</v>
      </c>
      <c r="AJ3805">
        <v>97.294974411033905</v>
      </c>
      <c r="AK3805">
        <v>24.485500763726598</v>
      </c>
      <c r="AL3805">
        <v>79.786909721187698</v>
      </c>
      <c r="AM3805">
        <v>92.810366940712896</v>
      </c>
      <c r="AN3805">
        <v>1.0000000374712199</v>
      </c>
    </row>
    <row r="3806" spans="1:40" x14ac:dyDescent="0.25">
      <c r="A3806" t="str">
        <f>"20190303162856341"</f>
        <v>20190303162856341</v>
      </c>
      <c r="B3806" t="str">
        <f>"1551601736335649"</f>
        <v>1551601736335649</v>
      </c>
      <c r="C3806" t="s">
        <v>40</v>
      </c>
      <c r="D3806">
        <v>5.248869</v>
      </c>
      <c r="E3806">
        <v>0.47149550000000001</v>
      </c>
      <c r="F3806" t="s">
        <v>56</v>
      </c>
      <c r="G3806">
        <v>-191.0976</v>
      </c>
      <c r="H3806" s="1">
        <v>-1.4392850000000001E-5</v>
      </c>
      <c r="I3806">
        <v>158.0179</v>
      </c>
      <c r="J3806">
        <v>-190.59700000000001</v>
      </c>
      <c r="K3806">
        <v>1.1233219999999999</v>
      </c>
      <c r="L3806">
        <v>182.7483</v>
      </c>
      <c r="M3806">
        <v>-0.146643</v>
      </c>
      <c r="N3806">
        <v>-1.4097299999999899E-2</v>
      </c>
      <c r="O3806">
        <v>-0.989089</v>
      </c>
      <c r="P3806">
        <v>-9.8532670000000003E-2</v>
      </c>
      <c r="Q3806">
        <v>0.1638532</v>
      </c>
      <c r="R3806">
        <v>-0.98155179999999997</v>
      </c>
      <c r="S3806">
        <v>-6.4376829999999996E-2</v>
      </c>
      <c r="T3806">
        <v>-0.13876830000000001</v>
      </c>
      <c r="U3806">
        <v>-3.073029</v>
      </c>
      <c r="V3806">
        <v>-4.7241610000000003E-2</v>
      </c>
      <c r="W3806">
        <v>0.1775283</v>
      </c>
      <c r="X3806">
        <v>0.98298110000000005</v>
      </c>
      <c r="Y3806">
        <v>-0.1258637</v>
      </c>
      <c r="Z3806">
        <v>3.013002E-2</v>
      </c>
      <c r="AA3806">
        <v>0.99158990000000002</v>
      </c>
      <c r="AB3806">
        <v>27</v>
      </c>
      <c r="AC3806">
        <v>-0.50059999999999105</v>
      </c>
      <c r="AD3806">
        <v>-1.12333639285</v>
      </c>
      <c r="AE3806">
        <v>-24.730399999999999</v>
      </c>
      <c r="AF3806">
        <v>-3.1252677217336</v>
      </c>
      <c r="AG3806">
        <v>-1.12333639285</v>
      </c>
      <c r="AH3806">
        <v>24.485914381946898</v>
      </c>
      <c r="AI3806">
        <v>92.605599192971894</v>
      </c>
      <c r="AJ3806">
        <v>97.273638029377906</v>
      </c>
      <c r="AK3806">
        <v>24.710102915691099</v>
      </c>
      <c r="AL3806">
        <v>79.774176284972995</v>
      </c>
      <c r="AM3806">
        <v>92.751491167131206</v>
      </c>
      <c r="AN3806">
        <v>0.99999995498674499</v>
      </c>
    </row>
    <row r="3807" spans="1:40" x14ac:dyDescent="0.25">
      <c r="A3807" t="str">
        <f>"20190303162856366"</f>
        <v>20190303162856366</v>
      </c>
      <c r="B3807" t="str">
        <f>"1551601736355169"</f>
        <v>1551601736355169</v>
      </c>
      <c r="C3807" t="s">
        <v>40</v>
      </c>
      <c r="D3807">
        <v>5.1891150000000001</v>
      </c>
      <c r="E3807">
        <v>0.47119719999999998</v>
      </c>
      <c r="F3807" t="s">
        <v>56</v>
      </c>
      <c r="G3807">
        <v>-191.09379999999999</v>
      </c>
      <c r="H3807" s="1">
        <v>-1.412762E-5</v>
      </c>
      <c r="I3807">
        <v>157.40039999999999</v>
      </c>
      <c r="J3807">
        <v>-190.6361</v>
      </c>
      <c r="K3807">
        <v>1.123262</v>
      </c>
      <c r="L3807">
        <v>182.46459999999999</v>
      </c>
      <c r="M3807">
        <v>-0.14419779999999999</v>
      </c>
      <c r="N3807">
        <v>-1.4088369999999999E-2</v>
      </c>
      <c r="O3807">
        <v>-0.98944869999999996</v>
      </c>
      <c r="P3807">
        <v>-9.8184579999999994E-2</v>
      </c>
      <c r="Q3807">
        <v>0.1639408</v>
      </c>
      <c r="R3807">
        <v>-0.98157209999999995</v>
      </c>
      <c r="S3807">
        <v>-6.0226439999999999E-2</v>
      </c>
      <c r="T3807">
        <v>-0.13618920000000001</v>
      </c>
      <c r="U3807">
        <v>-3.0730900000000001</v>
      </c>
      <c r="V3807">
        <v>-4.513052E-2</v>
      </c>
      <c r="W3807">
        <v>0.17762349999999999</v>
      </c>
      <c r="X3807">
        <v>0.98306309999999997</v>
      </c>
      <c r="Y3807">
        <v>-0.124751399999999</v>
      </c>
      <c r="Z3807">
        <v>2.9343629999999999E-2</v>
      </c>
      <c r="AA3807">
        <v>0.99175400000000002</v>
      </c>
      <c r="AB3807">
        <v>27</v>
      </c>
      <c r="AC3807">
        <v>-0.45769999999998801</v>
      </c>
      <c r="AD3807">
        <v>-1.1232761276200001</v>
      </c>
      <c r="AE3807">
        <v>-25.0642</v>
      </c>
      <c r="AF3807">
        <v>-3.1553100322302199</v>
      </c>
      <c r="AG3807">
        <v>-1.1232761276200001</v>
      </c>
      <c r="AH3807">
        <v>24.818374458058301</v>
      </c>
      <c r="AI3807">
        <v>92.570765390521899</v>
      </c>
      <c r="AJ3807">
        <v>97.245488132806003</v>
      </c>
      <c r="AK3807">
        <v>25.0433512413729</v>
      </c>
      <c r="AL3807">
        <v>79.768633742241903</v>
      </c>
      <c r="AM3807">
        <v>92.628492573349703</v>
      </c>
      <c r="AN3807">
        <v>0.99999996508466404</v>
      </c>
    </row>
    <row r="3808" spans="1:40" x14ac:dyDescent="0.25">
      <c r="A3808" t="str">
        <f>"20190303162856384"</f>
        <v>20190303162856384</v>
      </c>
      <c r="B3808" t="str">
        <f>"1551601736375665"</f>
        <v>1551601736375665</v>
      </c>
      <c r="C3808" t="s">
        <v>40</v>
      </c>
      <c r="D3808">
        <v>5.1892930000000002</v>
      </c>
      <c r="E3808">
        <v>0.47093069999999998</v>
      </c>
      <c r="F3808" t="s">
        <v>56</v>
      </c>
      <c r="G3808">
        <v>-191.10499999999999</v>
      </c>
      <c r="H3808" s="1">
        <v>-1.388112E-5</v>
      </c>
      <c r="I3808">
        <v>156.8235</v>
      </c>
      <c r="J3808">
        <v>-190.666</v>
      </c>
      <c r="K3808">
        <v>1.1232420000000001</v>
      </c>
      <c r="L3808">
        <v>182.24459999999999</v>
      </c>
      <c r="M3808">
        <v>-0.14232330000000001</v>
      </c>
      <c r="N3808">
        <v>-1.408208E-2</v>
      </c>
      <c r="O3808">
        <v>-0.98971989999999999</v>
      </c>
      <c r="P3808">
        <v>-9.8378999999999994E-2</v>
      </c>
      <c r="Q3808">
        <v>0.16427059999999999</v>
      </c>
      <c r="R3808">
        <v>-0.98149719999999996</v>
      </c>
      <c r="S3808">
        <v>-5.6198119999999997E-2</v>
      </c>
      <c r="T3808">
        <v>-0.13462759999999999</v>
      </c>
      <c r="U3808">
        <v>-3.0731660000000001</v>
      </c>
      <c r="V3808">
        <v>-4.3050230000000002E-2</v>
      </c>
      <c r="W3808">
        <v>0.17795859999999999</v>
      </c>
      <c r="X3808">
        <v>0.98309579999999996</v>
      </c>
      <c r="Y3808">
        <v>-0.12417250000000001</v>
      </c>
      <c r="Z3808">
        <v>2.8870150000000001E-2</v>
      </c>
      <c r="AA3808">
        <v>0.99184050000000001</v>
      </c>
      <c r="AB3808">
        <v>27</v>
      </c>
      <c r="AC3808">
        <v>-0.43899999999999201</v>
      </c>
      <c r="AD3808">
        <v>-1.12325588112</v>
      </c>
      <c r="AE3808">
        <v>-25.421099999999999</v>
      </c>
      <c r="AF3808">
        <v>-3.17764179632008</v>
      </c>
      <c r="AG3808">
        <v>-1.12325588112</v>
      </c>
      <c r="AH3808">
        <v>25.175615184989599</v>
      </c>
      <c r="AI3808">
        <v>92.534578026148495</v>
      </c>
      <c r="AJ3808">
        <v>97.193776883250607</v>
      </c>
      <c r="AK3808">
        <v>25.400210847606601</v>
      </c>
      <c r="AL3808">
        <v>79.749123125538702</v>
      </c>
      <c r="AM3808">
        <v>92.5074073601116</v>
      </c>
      <c r="AN3808">
        <v>0.999999968797326</v>
      </c>
    </row>
    <row r="3809" spans="1:40" x14ac:dyDescent="0.25">
      <c r="A3809" t="str">
        <f>"20190303162856405"</f>
        <v>20190303162856405</v>
      </c>
      <c r="B3809" t="str">
        <f>"1551601736395185"</f>
        <v>1551601736395185</v>
      </c>
      <c r="C3809" t="s">
        <v>40</v>
      </c>
      <c r="D3809">
        <v>5.0501899999999997</v>
      </c>
      <c r="E3809">
        <v>0.47076570000000001</v>
      </c>
      <c r="F3809" t="s">
        <v>56</v>
      </c>
      <c r="G3809">
        <v>-191.13069999999999</v>
      </c>
      <c r="H3809" s="1">
        <v>-1.3608679999999999E-5</v>
      </c>
      <c r="I3809">
        <v>156.1831</v>
      </c>
      <c r="J3809">
        <v>-190.69980000000001</v>
      </c>
      <c r="K3809">
        <v>1.123229</v>
      </c>
      <c r="L3809">
        <v>181.99189999999999</v>
      </c>
      <c r="M3809">
        <v>-0.1401761</v>
      </c>
      <c r="N3809">
        <v>-1.4075549999999999E-2</v>
      </c>
      <c r="O3809">
        <v>-0.99002670000000004</v>
      </c>
      <c r="P3809">
        <v>-9.8475690000000005E-2</v>
      </c>
      <c r="Q3809">
        <v>0.1648974</v>
      </c>
      <c r="R3809">
        <v>-0.98138250000000005</v>
      </c>
      <c r="S3809">
        <v>-5.4794309999999999E-2</v>
      </c>
      <c r="T3809">
        <v>-0.1324563</v>
      </c>
      <c r="U3809">
        <v>-3.0732270000000002</v>
      </c>
      <c r="V3809">
        <v>-4.0795720000000001E-2</v>
      </c>
      <c r="W3809">
        <v>0.17858969999999999</v>
      </c>
      <c r="X3809">
        <v>0.98307750000000005</v>
      </c>
      <c r="Y3809">
        <v>-0.12247420000000001</v>
      </c>
      <c r="Z3809">
        <v>2.8208230000000001E-2</v>
      </c>
      <c r="AA3809">
        <v>0.99207069999999997</v>
      </c>
      <c r="AB3809">
        <v>27</v>
      </c>
      <c r="AC3809">
        <v>-0.43089999999997902</v>
      </c>
      <c r="AD3809">
        <v>-1.12324260867999</v>
      </c>
      <c r="AE3809">
        <v>-25.808799999999898</v>
      </c>
      <c r="AF3809">
        <v>-3.1854580551979401</v>
      </c>
      <c r="AG3809">
        <v>-1.12324260867999</v>
      </c>
      <c r="AH3809">
        <v>25.5659244036536</v>
      </c>
      <c r="AI3809">
        <v>92.496402068384</v>
      </c>
      <c r="AJ3809">
        <v>97.102325656782298</v>
      </c>
      <c r="AK3809">
        <v>25.788084604962702</v>
      </c>
      <c r="AL3809">
        <v>79.712375111801705</v>
      </c>
      <c r="AM3809">
        <v>92.376295072177598</v>
      </c>
      <c r="AN3809">
        <v>0.99999997136132801</v>
      </c>
    </row>
    <row r="3810" spans="1:40" x14ac:dyDescent="0.25">
      <c r="A3810" t="str">
        <f>"20190303162856418"</f>
        <v>20190303162856418</v>
      </c>
      <c r="B3810" t="str">
        <f>"1551601736405924"</f>
        <v>1551601736405924</v>
      </c>
      <c r="C3810" t="s">
        <v>40</v>
      </c>
      <c r="D3810">
        <v>5.2482100000000003</v>
      </c>
      <c r="E3810">
        <v>0.47068529999999997</v>
      </c>
      <c r="F3810" t="s">
        <v>56</v>
      </c>
      <c r="G3810">
        <v>-191.17269999999999</v>
      </c>
      <c r="H3810" s="1">
        <v>-1.324392E-5</v>
      </c>
      <c r="I3810">
        <v>155.32409999999999</v>
      </c>
      <c r="J3810">
        <v>-190.71960000000001</v>
      </c>
      <c r="K3810">
        <v>1.123229</v>
      </c>
      <c r="L3810">
        <v>181.84200000000001</v>
      </c>
      <c r="M3810">
        <v>-0.13889979999999999</v>
      </c>
      <c r="N3810">
        <v>-1.4071999999999999E-2</v>
      </c>
      <c r="O3810">
        <v>-0.99020660000000005</v>
      </c>
      <c r="P3810">
        <v>-9.8186629999999997E-2</v>
      </c>
      <c r="Q3810">
        <v>0.16493150000000001</v>
      </c>
      <c r="R3810">
        <v>-0.981406</v>
      </c>
      <c r="S3810">
        <v>-5.4489139999999998E-2</v>
      </c>
      <c r="T3810">
        <v>-0.12944259999999999</v>
      </c>
      <c r="U3810">
        <v>-3.0731959999999998</v>
      </c>
      <c r="V3810">
        <v>-3.9812430000000003E-2</v>
      </c>
      <c r="W3810">
        <v>0.17862529999999999</v>
      </c>
      <c r="X3810">
        <v>0.98311139999999997</v>
      </c>
      <c r="Y3810">
        <v>-0.121294</v>
      </c>
      <c r="Z3810">
        <v>2.726611E-2</v>
      </c>
      <c r="AA3810">
        <v>0.99224210000000002</v>
      </c>
      <c r="AB3810">
        <v>27</v>
      </c>
      <c r="AC3810">
        <v>-0.45309999999997702</v>
      </c>
      <c r="AD3810">
        <v>-1.12324224392</v>
      </c>
      <c r="AE3810">
        <v>-26.517900000000001</v>
      </c>
      <c r="AF3810">
        <v>-3.2291961441113401</v>
      </c>
      <c r="AG3810">
        <v>-1.12324224392</v>
      </c>
      <c r="AH3810">
        <v>26.276606304282101</v>
      </c>
      <c r="AI3810">
        <v>92.429469425841205</v>
      </c>
      <c r="AJ3810">
        <v>97.006088879390205</v>
      </c>
      <c r="AK3810">
        <v>26.498102191400601</v>
      </c>
      <c r="AL3810">
        <v>79.710302617301195</v>
      </c>
      <c r="AM3810">
        <v>92.319003195649202</v>
      </c>
      <c r="AN3810">
        <v>1.00000002609627</v>
      </c>
    </row>
    <row r="3811" spans="1:40" x14ac:dyDescent="0.25">
      <c r="A3811" t="str">
        <f>"20190303162856430"</f>
        <v>20190303162856430</v>
      </c>
      <c r="B3811" t="str">
        <f>"1551601736425441"</f>
        <v>1551601736425441</v>
      </c>
      <c r="C3811" t="s">
        <v>40</v>
      </c>
      <c r="D3811">
        <v>5.1936720000000003</v>
      </c>
      <c r="E3811">
        <v>0.4704584</v>
      </c>
      <c r="F3811" t="s">
        <v>56</v>
      </c>
      <c r="G3811">
        <v>-191.18430000000001</v>
      </c>
      <c r="H3811" s="1">
        <v>-1.31458399999999E-5</v>
      </c>
      <c r="I3811">
        <v>155.09309999999999</v>
      </c>
      <c r="J3811">
        <v>-190.73699999999999</v>
      </c>
      <c r="K3811">
        <v>1.1232249999999999</v>
      </c>
      <c r="L3811">
        <v>181.70910000000001</v>
      </c>
      <c r="M3811">
        <v>-0.1377652</v>
      </c>
      <c r="N3811">
        <v>-1.406898E-2</v>
      </c>
      <c r="O3811">
        <v>-0.99036519999999995</v>
      </c>
      <c r="P3811">
        <v>-9.800623E-2</v>
      </c>
      <c r="Q3811">
        <v>0.16509789999999999</v>
      </c>
      <c r="R3811">
        <v>-0.98139569999999998</v>
      </c>
      <c r="S3811">
        <v>-5.33905E-2</v>
      </c>
      <c r="T3811">
        <v>-0.12905</v>
      </c>
      <c r="U3811">
        <v>-3.0731959999999998</v>
      </c>
      <c r="V3811">
        <v>-3.8859570000000003E-2</v>
      </c>
      <c r="W3811">
        <v>0.17879329999999999</v>
      </c>
      <c r="X3811">
        <v>0.98311899999999997</v>
      </c>
      <c r="Y3811">
        <v>-0.1205117</v>
      </c>
      <c r="Z3811">
        <v>2.7155599999999998E-2</v>
      </c>
      <c r="AA3811">
        <v>0.99234040000000001</v>
      </c>
      <c r="AB3811">
        <v>27</v>
      </c>
      <c r="AC3811">
        <v>-0.44730000000001202</v>
      </c>
      <c r="AD3811">
        <v>-1.12323814583999</v>
      </c>
      <c r="AE3811">
        <v>-26.616</v>
      </c>
      <c r="AF3811">
        <v>-3.2183564384546099</v>
      </c>
      <c r="AG3811">
        <v>-1.12323814583999</v>
      </c>
      <c r="AH3811">
        <v>26.376829043208399</v>
      </c>
      <c r="AI3811">
        <v>92.420496515266507</v>
      </c>
      <c r="AJ3811">
        <v>96.956531793181099</v>
      </c>
      <c r="AK3811">
        <v>26.596176275394502</v>
      </c>
      <c r="AL3811">
        <v>79.700519572926694</v>
      </c>
      <c r="AM3811">
        <v>92.263541755677196</v>
      </c>
      <c r="AN3811">
        <v>1.00000003923323</v>
      </c>
    </row>
    <row r="3812" spans="1:40" x14ac:dyDescent="0.25">
      <c r="A3812" t="str">
        <f>"20190303162856442"</f>
        <v>20190303162856442</v>
      </c>
      <c r="B3812" t="str">
        <f>"1551601736436178"</f>
        <v>1551601736436178</v>
      </c>
      <c r="C3812" t="s">
        <v>40</v>
      </c>
      <c r="D3812">
        <v>5.1948809999999996</v>
      </c>
      <c r="E3812">
        <v>0.47034239999999999</v>
      </c>
      <c r="F3812" t="s">
        <v>56</v>
      </c>
      <c r="G3812">
        <v>-191.1885</v>
      </c>
      <c r="H3812" s="1">
        <v>-1.294976E-5</v>
      </c>
      <c r="I3812">
        <v>154.6352</v>
      </c>
      <c r="J3812">
        <v>-190.7561</v>
      </c>
      <c r="K3812">
        <v>1.1232219999999999</v>
      </c>
      <c r="L3812">
        <v>181.5625</v>
      </c>
      <c r="M3812">
        <v>-0.1365104</v>
      </c>
      <c r="N3812">
        <v>-1.406573E-2</v>
      </c>
      <c r="O3812">
        <v>-0.9905389</v>
      </c>
      <c r="P3812">
        <v>-9.7713900000000006E-2</v>
      </c>
      <c r="Q3812">
        <v>0.164905</v>
      </c>
      <c r="R3812">
        <v>-0.98145720000000003</v>
      </c>
      <c r="S3812">
        <v>-5.1254269999999998E-2</v>
      </c>
      <c r="T3812">
        <v>-0.12750139999999999</v>
      </c>
      <c r="U3812">
        <v>-3.0732270000000002</v>
      </c>
      <c r="V3812">
        <v>-3.7906910000000002E-2</v>
      </c>
      <c r="W3812">
        <v>0.17860179999999901</v>
      </c>
      <c r="X3812">
        <v>0.98319100000000004</v>
      </c>
      <c r="Y3812">
        <v>-0.1199442</v>
      </c>
      <c r="Z3812">
        <v>2.6676249999999999E-2</v>
      </c>
      <c r="AA3812">
        <v>0.99242220000000003</v>
      </c>
      <c r="AB3812">
        <v>27</v>
      </c>
      <c r="AC3812">
        <v>-0.43240000000000101</v>
      </c>
      <c r="AD3812">
        <v>-1.12323494976</v>
      </c>
      <c r="AE3812">
        <v>-26.927299999999999</v>
      </c>
      <c r="AF3812">
        <v>-3.2422282706949299</v>
      </c>
      <c r="AG3812">
        <v>-1.12323494976</v>
      </c>
      <c r="AH3812">
        <v>26.687781219016799</v>
      </c>
      <c r="AI3812">
        <v>92.392471438714693</v>
      </c>
      <c r="AJ3812">
        <v>96.926768678179997</v>
      </c>
      <c r="AK3812">
        <v>26.907459324614099</v>
      </c>
      <c r="AL3812">
        <v>79.711671214622001</v>
      </c>
      <c r="AM3812">
        <v>92.207944078554405</v>
      </c>
      <c r="AN3812">
        <v>1.00000003963499</v>
      </c>
    </row>
    <row r="3813" spans="1:40" x14ac:dyDescent="0.25">
      <c r="A3813" t="str">
        <f>"20190303162856456"</f>
        <v>20190303162856456</v>
      </c>
      <c r="B3813" t="str">
        <f>"1551601736445937"</f>
        <v>1551601736445937</v>
      </c>
      <c r="C3813" t="s">
        <v>40</v>
      </c>
      <c r="D3813">
        <v>5.1991160000000001</v>
      </c>
      <c r="E3813">
        <v>0.47023009999999899</v>
      </c>
      <c r="F3813" t="s">
        <v>56</v>
      </c>
      <c r="G3813">
        <v>-191.18989999999999</v>
      </c>
      <c r="H3813" s="1">
        <v>-1.2947039999999999E-5</v>
      </c>
      <c r="I3813">
        <v>154.6285</v>
      </c>
      <c r="J3813">
        <v>-190.77680000000001</v>
      </c>
      <c r="K3813">
        <v>1.123216</v>
      </c>
      <c r="L3813">
        <v>181.4007</v>
      </c>
      <c r="M3813">
        <v>-0.13511819999999999</v>
      </c>
      <c r="N3813">
        <v>-1.4062389999999999E-2</v>
      </c>
      <c r="O3813">
        <v>-0.99072990000000005</v>
      </c>
      <c r="P3813">
        <v>-9.7169290000000005E-2</v>
      </c>
      <c r="Q3813">
        <v>0.16440529999999901</v>
      </c>
      <c r="R3813">
        <v>-0.98159549999999995</v>
      </c>
      <c r="S3813">
        <v>-4.9499509999999997E-2</v>
      </c>
      <c r="T3813">
        <v>-0.12816569999999999</v>
      </c>
      <c r="U3813">
        <v>-3.0732729999999999</v>
      </c>
      <c r="V3813">
        <v>-3.707767E-2</v>
      </c>
      <c r="W3813">
        <v>0.17810399999999901</v>
      </c>
      <c r="X3813">
        <v>0.98331279999999999</v>
      </c>
      <c r="Y3813">
        <v>-0.119116</v>
      </c>
      <c r="Z3813">
        <v>2.6904359999999999E-2</v>
      </c>
      <c r="AA3813">
        <v>0.9925157</v>
      </c>
      <c r="AB3813">
        <v>27</v>
      </c>
      <c r="AC3813">
        <v>-0.41309999999998498</v>
      </c>
      <c r="AD3813">
        <v>-1.1232289470399901</v>
      </c>
      <c r="AE3813">
        <v>-26.772200000000002</v>
      </c>
      <c r="AF3813">
        <v>-3.2028211946456202</v>
      </c>
      <c r="AG3813">
        <v>-1.1232289470399901</v>
      </c>
      <c r="AH3813">
        <v>26.5357615202951</v>
      </c>
      <c r="AI3813">
        <v>92.4063749999913</v>
      </c>
      <c r="AJ3813">
        <v>96.882211596910807</v>
      </c>
      <c r="AK3813">
        <v>26.751940982558899</v>
      </c>
      <c r="AL3813">
        <v>79.740656623602305</v>
      </c>
      <c r="AM3813">
        <v>92.159422754580007</v>
      </c>
      <c r="AN3813">
        <v>0.99999992553623096</v>
      </c>
    </row>
    <row r="3814" spans="1:40" x14ac:dyDescent="0.25">
      <c r="A3814" t="str">
        <f>"20190303162856469"</f>
        <v>20190303162856469</v>
      </c>
      <c r="B3814" t="str">
        <f>"1551601736455699"</f>
        <v>1551601736455699</v>
      </c>
      <c r="C3814" t="s">
        <v>40</v>
      </c>
      <c r="D3814">
        <v>5.201244</v>
      </c>
      <c r="E3814">
        <v>0.47006629999999999</v>
      </c>
      <c r="F3814" t="s">
        <v>56</v>
      </c>
      <c r="G3814">
        <v>-191.18539999999999</v>
      </c>
      <c r="H3814" s="1">
        <v>-1.29975399999999E-5</v>
      </c>
      <c r="I3814">
        <v>154.74719999999999</v>
      </c>
      <c r="J3814">
        <v>-190.79499999999999</v>
      </c>
      <c r="K3814">
        <v>1.1232120000000001</v>
      </c>
      <c r="L3814">
        <v>181.2569</v>
      </c>
      <c r="M3814">
        <v>-0.13387669999999999</v>
      </c>
      <c r="N3814">
        <v>-1.4059500000000001E-2</v>
      </c>
      <c r="O3814">
        <v>-0.99089839999999996</v>
      </c>
      <c r="P3814">
        <v>-9.6576510000000004E-2</v>
      </c>
      <c r="Q3814">
        <v>0.16385839999999999</v>
      </c>
      <c r="R3814">
        <v>-0.98174539999999999</v>
      </c>
      <c r="S3814">
        <v>-4.7119139999999997E-2</v>
      </c>
      <c r="T3814">
        <v>-0.12951309999999999</v>
      </c>
      <c r="U3814">
        <v>-3.0732729999999999</v>
      </c>
      <c r="V3814">
        <v>-3.6446930000000002E-2</v>
      </c>
      <c r="W3814">
        <v>0.17755879999999999</v>
      </c>
      <c r="X3814">
        <v>0.98343499999999995</v>
      </c>
      <c r="Y3814">
        <v>-0.11864039999999999</v>
      </c>
      <c r="Z3814">
        <v>2.7348339999999999E-2</v>
      </c>
      <c r="AA3814">
        <v>0.99256060000000002</v>
      </c>
      <c r="AB3814">
        <v>27</v>
      </c>
      <c r="AC3814">
        <v>-0.39039999999999903</v>
      </c>
      <c r="AD3814">
        <v>-1.1232249975399999</v>
      </c>
      <c r="AE3814">
        <v>-26.509699999999999</v>
      </c>
      <c r="AF3814">
        <v>-3.15683049920889</v>
      </c>
      <c r="AG3814">
        <v>-1.1232249975399999</v>
      </c>
      <c r="AH3814">
        <v>26.276121018823101</v>
      </c>
      <c r="AI3814">
        <v>92.430276716072598</v>
      </c>
      <c r="AJ3814">
        <v>96.850718051548498</v>
      </c>
      <c r="AK3814">
        <v>26.488898599067301</v>
      </c>
      <c r="AL3814">
        <v>79.772400528758695</v>
      </c>
      <c r="AM3814">
        <v>92.122458500304006</v>
      </c>
      <c r="AN3814">
        <v>0.99999995269443098</v>
      </c>
    </row>
    <row r="3815" spans="1:40" x14ac:dyDescent="0.25">
      <c r="A3815" t="str">
        <f>"20190303162856484"</f>
        <v>20190303162856484</v>
      </c>
      <c r="B3815" t="str">
        <f>"1551601736475217"</f>
        <v>1551601736475217</v>
      </c>
      <c r="C3815" t="s">
        <v>40</v>
      </c>
      <c r="D3815">
        <v>5.2018740000000001</v>
      </c>
      <c r="E3815">
        <v>0.46974660000000001</v>
      </c>
      <c r="F3815" t="s">
        <v>56</v>
      </c>
      <c r="G3815">
        <v>-191.173</v>
      </c>
      <c r="H3815" s="1">
        <v>-1.307632E-5</v>
      </c>
      <c r="I3815">
        <v>154.93340000000001</v>
      </c>
      <c r="J3815">
        <v>-190.81909999999999</v>
      </c>
      <c r="K3815">
        <v>1.1232</v>
      </c>
      <c r="L3815">
        <v>181.065</v>
      </c>
      <c r="M3815">
        <v>-0.13221449999999901</v>
      </c>
      <c r="N3815">
        <v>-1.40558E-2</v>
      </c>
      <c r="O3815">
        <v>-0.99112180000000005</v>
      </c>
      <c r="P3815">
        <v>-9.5714610000000006E-2</v>
      </c>
      <c r="Q3815">
        <v>0.1628763</v>
      </c>
      <c r="R3815">
        <v>-0.98199309999999995</v>
      </c>
      <c r="S3815">
        <v>-4.4128420000000002E-2</v>
      </c>
      <c r="T3815">
        <v>-0.13114000000000001</v>
      </c>
      <c r="U3815">
        <v>-3.0733489999999999</v>
      </c>
      <c r="V3815">
        <v>-3.5676739999999998E-2</v>
      </c>
      <c r="W3815">
        <v>0.1765784</v>
      </c>
      <c r="X3815">
        <v>0.98363979999999995</v>
      </c>
      <c r="Y3815">
        <v>-0.11794109999999999</v>
      </c>
      <c r="Z3815">
        <v>2.7885409999999999E-2</v>
      </c>
      <c r="AA3815">
        <v>0.99262899999999998</v>
      </c>
      <c r="AB3815">
        <v>27</v>
      </c>
      <c r="AC3815">
        <v>-0.35390000000000998</v>
      </c>
      <c r="AD3815">
        <v>-1.1232130763199999</v>
      </c>
      <c r="AE3815">
        <v>-26.131599999999899</v>
      </c>
      <c r="AF3815">
        <v>-3.0987999975184102</v>
      </c>
      <c r="AG3815">
        <v>-1.1232130763199999</v>
      </c>
      <c r="AH3815">
        <v>25.901099614508102</v>
      </c>
      <c r="AI3815">
        <v>92.4655411864304</v>
      </c>
      <c r="AJ3815">
        <v>96.822422383553004</v>
      </c>
      <c r="AK3815">
        <v>26.109981430098799</v>
      </c>
      <c r="AL3815">
        <v>79.829475755701196</v>
      </c>
      <c r="AM3815">
        <v>92.077214617651293</v>
      </c>
      <c r="AN3815">
        <v>1.0000000086338099</v>
      </c>
    </row>
    <row r="3816" spans="1:40" x14ac:dyDescent="0.25">
      <c r="A3816" t="str">
        <f>"20190303162856495"</f>
        <v>20190303162856495</v>
      </c>
      <c r="B3816" t="str">
        <f>"1551601736485953"</f>
        <v>1551601736485953</v>
      </c>
      <c r="C3816" t="s">
        <v>40</v>
      </c>
      <c r="D3816">
        <v>5.1424279999999998</v>
      </c>
      <c r="E3816">
        <v>0.46964149999999999</v>
      </c>
      <c r="F3816" t="s">
        <v>56</v>
      </c>
      <c r="G3816">
        <v>-191.14850000000001</v>
      </c>
      <c r="H3816" s="1">
        <v>-1.323719E-5</v>
      </c>
      <c r="I3816">
        <v>155.3134</v>
      </c>
      <c r="J3816">
        <v>-190.83590000000001</v>
      </c>
      <c r="K3816">
        <v>1.1231960000000001</v>
      </c>
      <c r="L3816">
        <v>180.92930000000001</v>
      </c>
      <c r="M3816">
        <v>-0.1310355</v>
      </c>
      <c r="N3816">
        <v>-1.4053319999999999E-2</v>
      </c>
      <c r="O3816">
        <v>-0.9912782</v>
      </c>
      <c r="P3816">
        <v>-9.48161E-2</v>
      </c>
      <c r="Q3816">
        <v>0.16301089999999999</v>
      </c>
      <c r="R3816">
        <v>-0.98205799999999999</v>
      </c>
      <c r="S3816">
        <v>-3.9306639999999997E-2</v>
      </c>
      <c r="T3816">
        <v>-0.13405329999999999</v>
      </c>
      <c r="U3816">
        <v>-3.0733950000000001</v>
      </c>
      <c r="V3816">
        <v>-3.5403360000000002E-2</v>
      </c>
      <c r="W3816">
        <v>0.1767117</v>
      </c>
      <c r="X3816">
        <v>0.98362570000000005</v>
      </c>
      <c r="Y3816">
        <v>-0.11831659999999999</v>
      </c>
      <c r="Z3816">
        <v>2.8825369999999999E-2</v>
      </c>
      <c r="AA3816">
        <v>0.99255749999999998</v>
      </c>
      <c r="AB3816">
        <v>27</v>
      </c>
      <c r="AC3816">
        <v>-0.31260000000000299</v>
      </c>
      <c r="AD3816">
        <v>-1.12320923718999</v>
      </c>
      <c r="AE3816">
        <v>-25.6159</v>
      </c>
      <c r="AF3816">
        <v>-3.0411729270507601</v>
      </c>
      <c r="AG3816">
        <v>-1.12320923718999</v>
      </c>
      <c r="AH3816">
        <v>25.387149859722602</v>
      </c>
      <c r="AI3816">
        <v>92.515337633796804</v>
      </c>
      <c r="AJ3816">
        <v>96.831014701066195</v>
      </c>
      <c r="AK3816">
        <v>25.593313770646201</v>
      </c>
      <c r="AL3816">
        <v>79.821715811730897</v>
      </c>
      <c r="AM3816">
        <v>92.061340861001895</v>
      </c>
      <c r="AN3816">
        <v>0.99999997025833398</v>
      </c>
    </row>
    <row r="3817" spans="1:40" x14ac:dyDescent="0.25">
      <c r="A3817" t="str">
        <f>"20190303162856508"</f>
        <v>20190303162856508</v>
      </c>
      <c r="B3817" t="str">
        <f>"1551601736495714"</f>
        <v>1551601736495714</v>
      </c>
      <c r="C3817" t="s">
        <v>40</v>
      </c>
      <c r="D3817">
        <v>5.0080869999999997</v>
      </c>
      <c r="E3817">
        <v>0.46951660000000001</v>
      </c>
      <c r="F3817" t="s">
        <v>56</v>
      </c>
      <c r="G3817">
        <v>-191.13939999999999</v>
      </c>
      <c r="H3817" s="1">
        <v>-1.3104030000000001E-5</v>
      </c>
      <c r="I3817">
        <v>155.00489999999999</v>
      </c>
      <c r="J3817">
        <v>-190.8527</v>
      </c>
      <c r="K3817">
        <v>1.1231960000000001</v>
      </c>
      <c r="L3817">
        <v>180.7927</v>
      </c>
      <c r="M3817">
        <v>-0.12984669999999901</v>
      </c>
      <c r="N3817">
        <v>-1.405081E-2</v>
      </c>
      <c r="O3817">
        <v>-0.99143479999999995</v>
      </c>
      <c r="P3817">
        <v>-9.3475840000000004E-2</v>
      </c>
      <c r="Q3817">
        <v>0.1629649</v>
      </c>
      <c r="R3817">
        <v>-0.98219429999999996</v>
      </c>
      <c r="S3817">
        <v>-3.598022E-2</v>
      </c>
      <c r="T3817">
        <v>-0.1331609</v>
      </c>
      <c r="U3817">
        <v>-3.0734409999999999</v>
      </c>
      <c r="V3817">
        <v>-3.5567849999999998E-2</v>
      </c>
      <c r="W3817">
        <v>0.17666289999999901</v>
      </c>
      <c r="X3817">
        <v>0.98362859999999996</v>
      </c>
      <c r="Y3817">
        <v>-0.11820029999999999</v>
      </c>
      <c r="Z3817">
        <v>2.855193E-2</v>
      </c>
      <c r="AA3817">
        <v>0.99257919999999999</v>
      </c>
      <c r="AB3817">
        <v>27</v>
      </c>
      <c r="AC3817">
        <v>-0.28669999999999601</v>
      </c>
      <c r="AD3817">
        <v>-1.1232091040299901</v>
      </c>
      <c r="AE3817">
        <v>-25.787800000000001</v>
      </c>
      <c r="AF3817">
        <v>-3.0587160412313898</v>
      </c>
      <c r="AG3817">
        <v>-1.1232091040299901</v>
      </c>
      <c r="AH3817">
        <v>25.558189405764601</v>
      </c>
      <c r="AI3817">
        <v>92.498559647432501</v>
      </c>
      <c r="AJ3817">
        <v>96.8245037120886</v>
      </c>
      <c r="AK3817">
        <v>25.7650613857836</v>
      </c>
      <c r="AL3817">
        <v>79.824557230044803</v>
      </c>
      <c r="AM3817">
        <v>92.070903779287704</v>
      </c>
      <c r="AN3817">
        <v>1.0000000374639899</v>
      </c>
    </row>
    <row r="3818" spans="1:40" x14ac:dyDescent="0.25">
      <c r="A3818" t="str">
        <f>"20190303162856521"</f>
        <v>20190303162856521</v>
      </c>
      <c r="B3818" t="str">
        <f>"1551601736515235"</f>
        <v>1551601736515235</v>
      </c>
      <c r="C3818" t="s">
        <v>40</v>
      </c>
      <c r="D3818">
        <v>5.1414559999999998</v>
      </c>
      <c r="E3818">
        <v>0.4692598</v>
      </c>
      <c r="F3818" t="s">
        <v>56</v>
      </c>
      <c r="G3818">
        <v>-191.11519999999999</v>
      </c>
      <c r="H3818" s="1">
        <v>-1.3022279999999999E-5</v>
      </c>
      <c r="I3818">
        <v>154.8194</v>
      </c>
      <c r="J3818">
        <v>-190.87209999999999</v>
      </c>
      <c r="K3818">
        <v>1.123202</v>
      </c>
      <c r="L3818">
        <v>180.63339999999999</v>
      </c>
      <c r="M3818">
        <v>-0.12845790000000001</v>
      </c>
      <c r="N3818">
        <v>-1.404789E-2</v>
      </c>
      <c r="O3818">
        <v>-0.99161549999999998</v>
      </c>
      <c r="P3818">
        <v>-9.2201259999999993E-2</v>
      </c>
      <c r="Q3818">
        <v>0.16311039999999999</v>
      </c>
      <c r="R3818">
        <v>-0.98229029999999995</v>
      </c>
      <c r="S3818">
        <v>-3.106689E-2</v>
      </c>
      <c r="T3818">
        <v>-0.13291259999999999</v>
      </c>
      <c r="U3818">
        <v>-3.073502</v>
      </c>
      <c r="V3818">
        <v>-3.5463269999999998E-2</v>
      </c>
      <c r="W3818">
        <v>0.17680560000000001</v>
      </c>
      <c r="X3818">
        <v>0.98360669999999994</v>
      </c>
      <c r="Y3818">
        <v>-0.11839619999999999</v>
      </c>
      <c r="Z3818">
        <v>2.8484720000000002E-2</v>
      </c>
      <c r="AA3818">
        <v>0.99255780000000005</v>
      </c>
      <c r="AB3818">
        <v>27</v>
      </c>
      <c r="AC3818">
        <v>-0.24309999999999801</v>
      </c>
      <c r="AD3818">
        <v>-1.1232150222799999</v>
      </c>
      <c r="AE3818">
        <v>-25.814</v>
      </c>
      <c r="AF3818">
        <v>-3.0694430378050002</v>
      </c>
      <c r="AG3818">
        <v>-1.1232150222799999</v>
      </c>
      <c r="AH3818">
        <v>25.582887564863899</v>
      </c>
      <c r="AI3818">
        <v>92.496074224504497</v>
      </c>
      <c r="AJ3818">
        <v>96.841661838528694</v>
      </c>
      <c r="AK3818">
        <v>25.790836138153299</v>
      </c>
      <c r="AL3818">
        <v>79.816249995890502</v>
      </c>
      <c r="AM3818">
        <v>92.064865921449297</v>
      </c>
      <c r="AN3818">
        <v>1.00000000199767</v>
      </c>
    </row>
    <row r="3819" spans="1:40" x14ac:dyDescent="0.25">
      <c r="A3819" t="str">
        <f>"20190303162856533"</f>
        <v>20190303162856533</v>
      </c>
      <c r="B3819" t="str">
        <f>"1551601736524994"</f>
        <v>1551601736524994</v>
      </c>
      <c r="C3819" t="s">
        <v>40</v>
      </c>
      <c r="D3819">
        <v>5.0158009999999997</v>
      </c>
      <c r="E3819">
        <v>0.46914070000000002</v>
      </c>
      <c r="F3819" t="s">
        <v>56</v>
      </c>
      <c r="G3819">
        <v>-191.08779999999999</v>
      </c>
      <c r="H3819" s="1">
        <v>-1.2901899999999999E-5</v>
      </c>
      <c r="I3819">
        <v>154.49369999999999</v>
      </c>
      <c r="J3819">
        <v>-190.8897</v>
      </c>
      <c r="K3819">
        <v>1.123205</v>
      </c>
      <c r="L3819">
        <v>180.4863</v>
      </c>
      <c r="M3819">
        <v>-0.12717400000000001</v>
      </c>
      <c r="N3819">
        <v>-1.404535E-2</v>
      </c>
      <c r="O3819">
        <v>-0.99178109999999997</v>
      </c>
      <c r="P3819">
        <v>-9.08635E-2</v>
      </c>
      <c r="Q3819">
        <v>0.1633568</v>
      </c>
      <c r="R3819">
        <v>-0.98237410000000003</v>
      </c>
      <c r="S3819">
        <v>-2.5360110000000002E-2</v>
      </c>
      <c r="T3819">
        <v>-0.13207379999999999</v>
      </c>
      <c r="U3819">
        <v>-3.073639</v>
      </c>
      <c r="V3819">
        <v>-3.5525470000000003E-2</v>
      </c>
      <c r="W3819">
        <v>0.1770487</v>
      </c>
      <c r="X3819">
        <v>0.98356069999999995</v>
      </c>
      <c r="Y3819">
        <v>-0.1189538</v>
      </c>
      <c r="Z3819">
        <v>2.8225190000000001E-2</v>
      </c>
      <c r="AA3819">
        <v>0.99249849999999995</v>
      </c>
      <c r="AB3819">
        <v>27</v>
      </c>
      <c r="AC3819">
        <v>-0.19809999999998201</v>
      </c>
      <c r="AD3819">
        <v>-1.1232179018999999</v>
      </c>
      <c r="AE3819">
        <v>-25.992599999999999</v>
      </c>
      <c r="AF3819">
        <v>-3.1036221552038801</v>
      </c>
      <c r="AG3819">
        <v>-1.1232179018999999</v>
      </c>
      <c r="AH3819">
        <v>25.758607118959102</v>
      </c>
      <c r="AI3819">
        <v>92.478925024426601</v>
      </c>
      <c r="AJ3819">
        <v>96.870377124743499</v>
      </c>
      <c r="AK3819">
        <v>25.969211186447499</v>
      </c>
      <c r="AL3819">
        <v>79.802097862239805</v>
      </c>
      <c r="AM3819">
        <v>92.068581059654093</v>
      </c>
      <c r="AN3819">
        <v>0.99999997588745004</v>
      </c>
    </row>
    <row r="3820" spans="1:40" x14ac:dyDescent="0.25">
      <c r="A3820" t="str">
        <f>"20190303162856555"</f>
        <v>20190303162856555</v>
      </c>
      <c r="B3820" t="str">
        <f>"1551601736545490"</f>
        <v>1551601736545490</v>
      </c>
      <c r="C3820" t="s">
        <v>40</v>
      </c>
      <c r="D3820">
        <v>5.0025250000000003</v>
      </c>
      <c r="E3820">
        <v>0.46897070000000002</v>
      </c>
      <c r="F3820" t="s">
        <v>56</v>
      </c>
      <c r="G3820">
        <v>-191.06280000000001</v>
      </c>
      <c r="H3820" s="1">
        <v>-1.287292E-5</v>
      </c>
      <c r="I3820">
        <v>154.38740000000001</v>
      </c>
      <c r="J3820">
        <v>-190.91820000000001</v>
      </c>
      <c r="K3820">
        <v>1.123211</v>
      </c>
      <c r="L3820">
        <v>180.24510000000001</v>
      </c>
      <c r="M3820">
        <v>-0.12506869999999901</v>
      </c>
      <c r="N3820">
        <v>-1.4041440000000001E-2</v>
      </c>
      <c r="O3820">
        <v>-0.99204870000000001</v>
      </c>
      <c r="P3820">
        <v>-8.8733599999999996E-2</v>
      </c>
      <c r="Q3820">
        <v>0.16392290000000001</v>
      </c>
      <c r="R3820">
        <v>-0.98247439999999997</v>
      </c>
      <c r="S3820">
        <v>-2.0385739999999999E-2</v>
      </c>
      <c r="T3820">
        <v>-0.1322941</v>
      </c>
      <c r="U3820">
        <v>-3.0739589999999999</v>
      </c>
      <c r="V3820">
        <v>-3.5559809999999997E-2</v>
      </c>
      <c r="W3820">
        <v>0.17760899999999999</v>
      </c>
      <c r="X3820">
        <v>0.98345850000000001</v>
      </c>
      <c r="Y3820">
        <v>-0.1184534</v>
      </c>
      <c r="Z3820">
        <v>2.831231E-2</v>
      </c>
      <c r="AA3820">
        <v>0.99255590000000005</v>
      </c>
      <c r="AB3820">
        <v>27</v>
      </c>
      <c r="AC3820">
        <v>-0.14459999999999601</v>
      </c>
      <c r="AD3820">
        <v>-1.1232238729199999</v>
      </c>
      <c r="AE3820">
        <v>-25.857699999999902</v>
      </c>
      <c r="AF3820">
        <v>-3.08502244950256</v>
      </c>
      <c r="AG3820">
        <v>-1.1232238729199999</v>
      </c>
      <c r="AH3820">
        <v>25.624364476719901</v>
      </c>
      <c r="AI3820">
        <v>92.491936647408806</v>
      </c>
      <c r="AJ3820">
        <v>96.865032431608995</v>
      </c>
      <c r="AK3820">
        <v>25.833835375693202</v>
      </c>
      <c r="AL3820">
        <v>79.769478719509095</v>
      </c>
      <c r="AM3820">
        <v>92.070793858516495</v>
      </c>
      <c r="AN3820">
        <v>1.0000000390952399</v>
      </c>
    </row>
    <row r="3821" spans="1:40" x14ac:dyDescent="0.25">
      <c r="A3821" t="str">
        <f>"20190303162856576"</f>
        <v>20190303162856576</v>
      </c>
      <c r="B3821" t="str">
        <f>"1551601736565009"</f>
        <v>1551601736565009</v>
      </c>
      <c r="C3821" t="s">
        <v>40</v>
      </c>
      <c r="D3821">
        <v>5.2024489999999997</v>
      </c>
      <c r="E3821">
        <v>0.46880359999999999</v>
      </c>
      <c r="F3821" t="s">
        <v>56</v>
      </c>
      <c r="G3821">
        <v>-191.02799999999999</v>
      </c>
      <c r="H3821" s="1">
        <v>-1.260523E-5</v>
      </c>
      <c r="I3821">
        <v>153.64400000000001</v>
      </c>
      <c r="J3821">
        <v>-190.94739999999999</v>
      </c>
      <c r="K3821">
        <v>1.1232120000000001</v>
      </c>
      <c r="L3821">
        <v>179.99420000000001</v>
      </c>
      <c r="M3821">
        <v>-0.122876</v>
      </c>
      <c r="N3821">
        <v>-1.403766E-2</v>
      </c>
      <c r="O3821">
        <v>-0.99232290000000001</v>
      </c>
      <c r="P3821">
        <v>-8.6834040000000001E-2</v>
      </c>
      <c r="Q3821">
        <v>0.16429050000000001</v>
      </c>
      <c r="R3821">
        <v>-0.98258290000000004</v>
      </c>
      <c r="S3821">
        <v>-1.268005E-2</v>
      </c>
      <c r="T3821">
        <v>-0.12979869999999999</v>
      </c>
      <c r="U3821">
        <v>-3.0740050000000001</v>
      </c>
      <c r="V3821">
        <v>-3.5281229999999997E-2</v>
      </c>
      <c r="W3821">
        <v>0.17797360000000001</v>
      </c>
      <c r="X3821">
        <v>0.98340260000000002</v>
      </c>
      <c r="Y3821">
        <v>-0.11874759999999999</v>
      </c>
      <c r="Z3821">
        <v>2.753243E-2</v>
      </c>
      <c r="AA3821">
        <v>0.9925427</v>
      </c>
      <c r="AB3821">
        <v>27</v>
      </c>
      <c r="AC3821">
        <v>-8.0600000000004002E-2</v>
      </c>
      <c r="AD3821">
        <v>-1.1232246052299999</v>
      </c>
      <c r="AE3821">
        <v>-26.350200000000001</v>
      </c>
      <c r="AF3821">
        <v>-3.1524086368037398</v>
      </c>
      <c r="AG3821">
        <v>-1.1232246052299999</v>
      </c>
      <c r="AH3821">
        <v>26.112936445385699</v>
      </c>
      <c r="AI3821">
        <v>92.445276150179595</v>
      </c>
      <c r="AJ3821">
        <v>96.883556128630701</v>
      </c>
      <c r="AK3821">
        <v>26.326503063034</v>
      </c>
      <c r="AL3821">
        <v>79.748250283414094</v>
      </c>
      <c r="AM3821">
        <v>92.054701648398293</v>
      </c>
      <c r="AN3821">
        <v>1.0000000205870101</v>
      </c>
    </row>
    <row r="3822" spans="1:40" x14ac:dyDescent="0.25">
      <c r="A3822" t="str">
        <f>"20190303162856596"</f>
        <v>20190303162856596</v>
      </c>
      <c r="B3822" t="str">
        <f>"1551601736585505"</f>
        <v>1551601736585505</v>
      </c>
      <c r="C3822" t="s">
        <v>40</v>
      </c>
      <c r="D3822">
        <v>5.0359769999999999</v>
      </c>
      <c r="E3822">
        <v>0.46861609999999998</v>
      </c>
      <c r="F3822" t="s">
        <v>56</v>
      </c>
      <c r="G3822">
        <v>-190.99440000000001</v>
      </c>
      <c r="H3822" s="1">
        <v>-1.2349889999999999E-5</v>
      </c>
      <c r="I3822">
        <v>153.06270000000001</v>
      </c>
      <c r="J3822">
        <v>-190.97389999999999</v>
      </c>
      <c r="K3822">
        <v>1.1232089999999999</v>
      </c>
      <c r="L3822">
        <v>179.76179999999999</v>
      </c>
      <c r="M3822">
        <v>-0.1208461</v>
      </c>
      <c r="N3822">
        <v>-1.403425E-2</v>
      </c>
      <c r="O3822">
        <v>-0.99257220000000002</v>
      </c>
      <c r="P3822">
        <v>-8.515499E-2</v>
      </c>
      <c r="Q3822">
        <v>0.16405989999999901</v>
      </c>
      <c r="R3822">
        <v>-0.98276819999999998</v>
      </c>
      <c r="S3822">
        <v>-5.3710939999999999E-3</v>
      </c>
      <c r="T3822">
        <v>-0.1282123</v>
      </c>
      <c r="U3822">
        <v>-3.0741420000000002</v>
      </c>
      <c r="V3822">
        <v>-3.495214E-2</v>
      </c>
      <c r="W3822">
        <v>0.17774179999999901</v>
      </c>
      <c r="X3822">
        <v>0.98345629999999995</v>
      </c>
      <c r="Y3822">
        <v>-0.119077</v>
      </c>
      <c r="Z3822">
        <v>2.7039549999999999E-2</v>
      </c>
      <c r="AA3822">
        <v>0.99251679999999998</v>
      </c>
      <c r="AB3822">
        <v>26</v>
      </c>
      <c r="AC3822">
        <v>-2.0500000000026799E-2</v>
      </c>
      <c r="AD3822">
        <v>-1.1232213498899899</v>
      </c>
      <c r="AE3822">
        <v>-26.699099999999898</v>
      </c>
      <c r="AF3822">
        <v>-3.2007847461819701</v>
      </c>
      <c r="AG3822">
        <v>-1.1232213498899899</v>
      </c>
      <c r="AH3822">
        <v>26.459039449175702</v>
      </c>
      <c r="AI3822">
        <v>92.413249738130702</v>
      </c>
      <c r="AJ3822">
        <v>96.897629220753998</v>
      </c>
      <c r="AK3822">
        <v>26.6755959214649</v>
      </c>
      <c r="AL3822">
        <v>79.761746898738295</v>
      </c>
      <c r="AM3822">
        <v>92.035441310813098</v>
      </c>
      <c r="AN3822">
        <v>1.00000004678375</v>
      </c>
    </row>
    <row r="3823" spans="1:40" x14ac:dyDescent="0.25">
      <c r="A3823" t="str">
        <f>"20190303162856609"</f>
        <v>20190303162856609</v>
      </c>
      <c r="B3823" t="str">
        <f>"1551601736595265"</f>
        <v>1551601736595265</v>
      </c>
      <c r="C3823" t="s">
        <v>40</v>
      </c>
      <c r="D3823">
        <v>5.1935699999999896</v>
      </c>
      <c r="E3823">
        <v>0.46854889999999999</v>
      </c>
      <c r="F3823" t="s">
        <v>56</v>
      </c>
      <c r="G3823">
        <v>-190.95580000000001</v>
      </c>
      <c r="H3823" s="1">
        <v>-1.237809E-5</v>
      </c>
      <c r="I3823">
        <v>153.14439999999999</v>
      </c>
      <c r="J3823">
        <v>-190.9922</v>
      </c>
      <c r="K3823">
        <v>1.123208</v>
      </c>
      <c r="L3823">
        <v>179.59799999999899</v>
      </c>
      <c r="M3823">
        <v>-0.1194148</v>
      </c>
      <c r="N3823">
        <v>-1.403189E-2</v>
      </c>
      <c r="O3823">
        <v>-0.99274560000000001</v>
      </c>
      <c r="P3823">
        <v>-8.3961690000000005E-2</v>
      </c>
      <c r="Q3823">
        <v>0.16419719999999999</v>
      </c>
      <c r="R3823">
        <v>-0.98284800000000005</v>
      </c>
      <c r="S3823">
        <v>2.0904539999999998E-3</v>
      </c>
      <c r="T3823">
        <v>-0.12973769999999901</v>
      </c>
      <c r="U3823">
        <v>-3.0744479999999998</v>
      </c>
      <c r="V3823">
        <v>-3.47243E-2</v>
      </c>
      <c r="W3823">
        <v>0.17787739999999999</v>
      </c>
      <c r="X3823">
        <v>0.98343979999999998</v>
      </c>
      <c r="Y3823">
        <v>-0.1200534</v>
      </c>
      <c r="Z3823">
        <v>2.753214E-2</v>
      </c>
      <c r="AA3823">
        <v>0.99238559999999998</v>
      </c>
      <c r="AB3823">
        <v>26</v>
      </c>
      <c r="AC3823">
        <v>3.63999999999862E-2</v>
      </c>
      <c r="AD3823">
        <v>-1.1232203780900001</v>
      </c>
      <c r="AE3823">
        <v>-26.453599999999899</v>
      </c>
      <c r="AF3823">
        <v>-3.1896504430478099</v>
      </c>
      <c r="AG3823">
        <v>-1.1232203780900001</v>
      </c>
      <c r="AH3823">
        <v>26.212668065768</v>
      </c>
      <c r="AI3823">
        <v>92.435695253304203</v>
      </c>
      <c r="AJ3823">
        <v>96.937845256311206</v>
      </c>
      <c r="AK3823">
        <v>26.4298971071157</v>
      </c>
      <c r="AL3823">
        <v>79.753851228423699</v>
      </c>
      <c r="AM3823">
        <v>92.022217977498102</v>
      </c>
      <c r="AN3823">
        <v>0.999999993332644</v>
      </c>
    </row>
    <row r="3824" spans="1:40" x14ac:dyDescent="0.25">
      <c r="A3824" t="str">
        <f>"20190303162856621"</f>
        <v>20190303162856621</v>
      </c>
      <c r="B3824" t="str">
        <f>"1551601736615761"</f>
        <v>1551601736615761</v>
      </c>
      <c r="C3824" t="s">
        <v>40</v>
      </c>
      <c r="D3824">
        <v>4.975447</v>
      </c>
      <c r="E3824">
        <v>0.46841909999999998</v>
      </c>
      <c r="F3824" t="s">
        <v>56</v>
      </c>
      <c r="G3824">
        <v>-190.9358</v>
      </c>
      <c r="H3824" s="1">
        <v>-1.224562E-5</v>
      </c>
      <c r="I3824">
        <v>152.84379999999999</v>
      </c>
      <c r="J3824">
        <v>-191.00810000000001</v>
      </c>
      <c r="K3824">
        <v>1.1232089999999999</v>
      </c>
      <c r="L3824">
        <v>179.45529999999999</v>
      </c>
      <c r="M3824">
        <v>-0.1181681</v>
      </c>
      <c r="N3824">
        <v>-1.40299E-2</v>
      </c>
      <c r="O3824">
        <v>-0.99289459999999996</v>
      </c>
      <c r="P3824">
        <v>-8.3084399999999906E-2</v>
      </c>
      <c r="Q3824">
        <v>0.16425780000000001</v>
      </c>
      <c r="R3824">
        <v>-0.98291220000000001</v>
      </c>
      <c r="S3824">
        <v>6.4849850000000004E-3</v>
      </c>
      <c r="T3824">
        <v>-0.129076</v>
      </c>
      <c r="U3824">
        <v>-3.074478</v>
      </c>
      <c r="V3824">
        <v>-3.436517E-2</v>
      </c>
      <c r="W3824">
        <v>0.17793789999999901</v>
      </c>
      <c r="X3824">
        <v>0.98344149999999997</v>
      </c>
      <c r="Y3824">
        <v>-0.1202255</v>
      </c>
      <c r="Z3824">
        <v>2.7329740000000002E-2</v>
      </c>
      <c r="AA3824">
        <v>0.99237039999999999</v>
      </c>
      <c r="AB3824">
        <v>26</v>
      </c>
      <c r="AC3824">
        <v>7.2300000000012604E-2</v>
      </c>
      <c r="AD3824">
        <v>-1.1232212456199999</v>
      </c>
      <c r="AE3824">
        <v>-26.611499999999999</v>
      </c>
      <c r="AF3824">
        <v>-3.2110124581402602</v>
      </c>
      <c r="AG3824">
        <v>-1.1232212456199999</v>
      </c>
      <c r="AH3824">
        <v>26.369490579534499</v>
      </c>
      <c r="AI3824">
        <v>92.421203967136293</v>
      </c>
      <c r="AJ3824">
        <v>96.942725410839202</v>
      </c>
      <c r="AK3824">
        <v>26.588009711091701</v>
      </c>
      <c r="AL3824">
        <v>79.750328941164994</v>
      </c>
      <c r="AM3824">
        <v>92.001317181118296</v>
      </c>
      <c r="AN3824">
        <v>1.0000000225438901</v>
      </c>
    </row>
    <row r="3825" spans="1:40" x14ac:dyDescent="0.25">
      <c r="A3825" t="str">
        <f>"20190303162856634"</f>
        <v>20190303162856634</v>
      </c>
      <c r="B3825" t="str">
        <f>"1551601736625522"</f>
        <v>1551601736625522</v>
      </c>
      <c r="C3825" t="s">
        <v>40</v>
      </c>
      <c r="D3825">
        <v>4.959854</v>
      </c>
      <c r="E3825">
        <v>0.46835759999999999</v>
      </c>
      <c r="F3825" t="s">
        <v>56</v>
      </c>
      <c r="G3825">
        <v>-190.9204</v>
      </c>
      <c r="H3825" s="1">
        <v>-1.2135180000000001E-5</v>
      </c>
      <c r="I3825">
        <v>152.59280000000001</v>
      </c>
      <c r="J3825">
        <v>-191.024</v>
      </c>
      <c r="K3825">
        <v>1.12321</v>
      </c>
      <c r="L3825">
        <v>179.3098</v>
      </c>
      <c r="M3825">
        <v>-0.1168971</v>
      </c>
      <c r="N3825">
        <v>-1.4024170000000001E-2</v>
      </c>
      <c r="O3825">
        <v>-0.99304519999999996</v>
      </c>
      <c r="P3825">
        <v>-8.2148550000000001E-2</v>
      </c>
      <c r="Q3825">
        <v>0.16468369999999999</v>
      </c>
      <c r="R3825">
        <v>-0.9829196</v>
      </c>
      <c r="S3825">
        <v>1.004028E-2</v>
      </c>
      <c r="T3825">
        <v>-0.12855610000000001</v>
      </c>
      <c r="U3825">
        <v>-3.0744929999999999</v>
      </c>
      <c r="V3825">
        <v>-3.403428E-2</v>
      </c>
      <c r="W3825">
        <v>0.17835879999999901</v>
      </c>
      <c r="X3825">
        <v>0.98337669999999999</v>
      </c>
      <c r="Y3825">
        <v>-0.1201025</v>
      </c>
      <c r="Z3825">
        <v>2.7177650000000001E-2</v>
      </c>
      <c r="AA3825">
        <v>0.99238939999999998</v>
      </c>
      <c r="AB3825">
        <v>26</v>
      </c>
      <c r="AC3825">
        <v>0.1036</v>
      </c>
      <c r="AD3825">
        <v>-1.12322213518</v>
      </c>
      <c r="AE3825">
        <v>-26.716999999999899</v>
      </c>
      <c r="AF3825">
        <v>-3.22064362566574</v>
      </c>
      <c r="AG3825">
        <v>-1.12322213518</v>
      </c>
      <c r="AH3825">
        <v>26.474887999088399</v>
      </c>
      <c r="AI3825">
        <v>92.411613334221201</v>
      </c>
      <c r="AJ3825">
        <v>96.935894644205405</v>
      </c>
      <c r="AK3825">
        <v>26.693704649088598</v>
      </c>
      <c r="AL3825">
        <v>79.725820503118598</v>
      </c>
      <c r="AM3825">
        <v>91.982193159042893</v>
      </c>
      <c r="AN3825">
        <v>0.99999996392772295</v>
      </c>
    </row>
    <row r="3826" spans="1:40" x14ac:dyDescent="0.25">
      <c r="A3826" t="str">
        <f>"20190303162856647"</f>
        <v>20190303162856647</v>
      </c>
      <c r="B3826" t="str">
        <f>"1551601736635282"</f>
        <v>1551601736635282</v>
      </c>
      <c r="C3826" t="s">
        <v>40</v>
      </c>
      <c r="D3826">
        <v>4.9806280000000003</v>
      </c>
      <c r="E3826">
        <v>0.46829569999999998</v>
      </c>
      <c r="F3826" t="s">
        <v>56</v>
      </c>
      <c r="G3826">
        <v>-190.9051</v>
      </c>
      <c r="H3826" s="1">
        <v>-1.1938E-5</v>
      </c>
      <c r="I3826">
        <v>152.1395</v>
      </c>
      <c r="J3826">
        <v>-191.04089999999999</v>
      </c>
      <c r="K3826">
        <v>1.1232089999999999</v>
      </c>
      <c r="L3826">
        <v>179.154</v>
      </c>
      <c r="M3826">
        <v>-0.11553380000000001</v>
      </c>
      <c r="N3826">
        <v>-1.4011910000000001E-2</v>
      </c>
      <c r="O3826">
        <v>-0.99320469999999905</v>
      </c>
      <c r="P3826">
        <v>-8.1530469999999994E-2</v>
      </c>
      <c r="Q3826">
        <v>0.1650973</v>
      </c>
      <c r="R3826">
        <v>-0.98290160000000004</v>
      </c>
      <c r="S3826">
        <v>1.345825E-2</v>
      </c>
      <c r="T3826">
        <v>-0.1271014</v>
      </c>
      <c r="U3826">
        <v>-3.0745390000000001</v>
      </c>
      <c r="V3826">
        <v>-3.3294190000000001E-2</v>
      </c>
      <c r="W3826">
        <v>0.1787628</v>
      </c>
      <c r="X3826">
        <v>0.98332869999999994</v>
      </c>
      <c r="Y3826">
        <v>-0.11984350000000001</v>
      </c>
      <c r="Z3826">
        <v>2.6733259999999998E-2</v>
      </c>
      <c r="AA3826">
        <v>0.9924328</v>
      </c>
      <c r="AB3826">
        <v>26</v>
      </c>
      <c r="AC3826">
        <v>0.13579999999998901</v>
      </c>
      <c r="AD3826">
        <v>-1.123220938</v>
      </c>
      <c r="AE3826">
        <v>-27.014500000000002</v>
      </c>
      <c r="AF3826">
        <v>-3.2506652626898398</v>
      </c>
      <c r="AG3826">
        <v>-1.123220938</v>
      </c>
      <c r="AH3826">
        <v>26.771591373016701</v>
      </c>
      <c r="AI3826">
        <v>92.384979184840404</v>
      </c>
      <c r="AJ3826">
        <v>96.923088616136695</v>
      </c>
      <c r="AK3826">
        <v>26.991601556213801</v>
      </c>
      <c r="AL3826">
        <v>79.7022951649177</v>
      </c>
      <c r="AM3826">
        <v>91.939217375529793</v>
      </c>
      <c r="AN3826">
        <v>0.99999998699764203</v>
      </c>
    </row>
    <row r="3827" spans="1:40" x14ac:dyDescent="0.25">
      <c r="A3827" t="str">
        <f>"20190303162856664"</f>
        <v>20190303162856664</v>
      </c>
      <c r="B3827" t="str">
        <f>"1551601736655778"</f>
        <v>1551601736655778</v>
      </c>
      <c r="C3827" t="s">
        <v>40</v>
      </c>
      <c r="D3827">
        <v>4.9592460000000003</v>
      </c>
      <c r="E3827">
        <v>0.46819100000000002</v>
      </c>
      <c r="F3827" t="s">
        <v>56</v>
      </c>
      <c r="G3827">
        <v>-190.8997</v>
      </c>
      <c r="H3827" s="1">
        <v>-1.173672E-5</v>
      </c>
      <c r="I3827">
        <v>151.67250000000001</v>
      </c>
      <c r="J3827">
        <v>-191.0617</v>
      </c>
      <c r="K3827">
        <v>1.1231930000000001</v>
      </c>
      <c r="L3827">
        <v>178.95849999999999</v>
      </c>
      <c r="M3827">
        <v>-0.11382150000000001</v>
      </c>
      <c r="N3827">
        <v>-1.39805E-2</v>
      </c>
      <c r="O3827">
        <v>-0.99340280000000003</v>
      </c>
      <c r="P3827">
        <v>-8.1326679999999998E-2</v>
      </c>
      <c r="Q3827">
        <v>0.16545099999999999</v>
      </c>
      <c r="R3827">
        <v>-0.98285900000000004</v>
      </c>
      <c r="S3827">
        <v>1.5792850000000001E-2</v>
      </c>
      <c r="T3827">
        <v>-0.1256649</v>
      </c>
      <c r="U3827">
        <v>-3.0746000000000002</v>
      </c>
      <c r="V3827">
        <v>-3.1793179999999997E-2</v>
      </c>
      <c r="W3827">
        <v>0.17909120000000001</v>
      </c>
      <c r="X3827">
        <v>0.98331860000000004</v>
      </c>
      <c r="Y3827">
        <v>-0.1188864</v>
      </c>
      <c r="Z3827">
        <v>2.6317799999999999E-2</v>
      </c>
      <c r="AA3827">
        <v>0.99255899999999997</v>
      </c>
      <c r="AB3827">
        <v>26</v>
      </c>
      <c r="AC3827">
        <v>0.162000000000006</v>
      </c>
      <c r="AD3827">
        <v>-1.12320473672</v>
      </c>
      <c r="AE3827">
        <v>-27.285999999999898</v>
      </c>
      <c r="AF3827">
        <v>-3.2614578349591898</v>
      </c>
      <c r="AG3827">
        <v>-1.12320473672</v>
      </c>
      <c r="AH3827">
        <v>27.044373787934099</v>
      </c>
      <c r="AI3827">
        <v>92.361148722259202</v>
      </c>
      <c r="AJ3827">
        <v>96.876464914580197</v>
      </c>
      <c r="AK3827">
        <v>27.263470976222099</v>
      </c>
      <c r="AL3827">
        <v>79.683170393044804</v>
      </c>
      <c r="AM3827">
        <v>91.851872487223801</v>
      </c>
      <c r="AN3827">
        <v>0.99999996665895496</v>
      </c>
    </row>
    <row r="3828" spans="1:40" x14ac:dyDescent="0.25">
      <c r="A3828" t="str">
        <f>"20190303162856677"</f>
        <v>20190303162856677</v>
      </c>
      <c r="B3828" t="str">
        <f>"1551601736665537"</f>
        <v>1551601736665537</v>
      </c>
      <c r="C3828" t="s">
        <v>40</v>
      </c>
      <c r="D3828">
        <v>4.9402720000000002</v>
      </c>
      <c r="E3828">
        <v>0.46813660000000001</v>
      </c>
      <c r="F3828" t="s">
        <v>56</v>
      </c>
      <c r="G3828">
        <v>-190.8999</v>
      </c>
      <c r="H3828" s="1">
        <v>-1.1489429999999999E-5</v>
      </c>
      <c r="I3828">
        <v>151.096</v>
      </c>
      <c r="J3828">
        <v>-191.0772</v>
      </c>
      <c r="K3828">
        <v>1.1231819999999999</v>
      </c>
      <c r="L3828">
        <v>178.8108</v>
      </c>
      <c r="M3828">
        <v>-0.1125259</v>
      </c>
      <c r="N3828">
        <v>-1.3935889999999999E-2</v>
      </c>
      <c r="O3828">
        <v>-0.99355130000000003</v>
      </c>
      <c r="P3828">
        <v>-8.1010990000000005E-2</v>
      </c>
      <c r="Q3828">
        <v>0.16531080000000001</v>
      </c>
      <c r="R3828">
        <v>-0.98290909999999998</v>
      </c>
      <c r="S3828">
        <v>1.7852779999999999E-2</v>
      </c>
      <c r="T3828">
        <v>-0.12394769999999899</v>
      </c>
      <c r="U3828">
        <v>-3.0746769999999999</v>
      </c>
      <c r="V3828">
        <v>-3.0826429999999998E-2</v>
      </c>
      <c r="W3828">
        <v>0.1789115</v>
      </c>
      <c r="X3828">
        <v>0.98338210000000004</v>
      </c>
      <c r="Y3828">
        <v>-0.11825720000000001</v>
      </c>
      <c r="Z3828">
        <v>2.582131E-2</v>
      </c>
      <c r="AA3828">
        <v>0.99264719999999995</v>
      </c>
      <c r="AB3828">
        <v>26</v>
      </c>
      <c r="AC3828">
        <v>0.17730000000000201</v>
      </c>
      <c r="AD3828">
        <v>-1.12319348943</v>
      </c>
      <c r="AE3828">
        <v>-27.7148</v>
      </c>
      <c r="AF3828">
        <v>-3.2897057897329098</v>
      </c>
      <c r="AG3828">
        <v>-1.12319348943</v>
      </c>
      <c r="AH3828">
        <v>27.473668942317701</v>
      </c>
      <c r="AI3828">
        <v>92.324507164596398</v>
      </c>
      <c r="AJ3828">
        <v>96.8281053555352</v>
      </c>
      <c r="AK3828">
        <v>27.692710465928901</v>
      </c>
      <c r="AL3828">
        <v>79.693635545849205</v>
      </c>
      <c r="AM3828">
        <v>91.795483308599898</v>
      </c>
      <c r="AN3828">
        <v>0.99999997410960195</v>
      </c>
    </row>
    <row r="3829" spans="1:40" x14ac:dyDescent="0.25">
      <c r="A3829" t="str">
        <f>"20190303162856690"</f>
        <v>20190303162856690</v>
      </c>
      <c r="B3829" t="str">
        <f>"1551601736675298"</f>
        <v>1551601736675298</v>
      </c>
      <c r="C3829" t="s">
        <v>40</v>
      </c>
      <c r="D3829">
        <v>4.9691390000000002</v>
      </c>
      <c r="E3829">
        <v>0.46811740000000002</v>
      </c>
      <c r="F3829" t="s">
        <v>56</v>
      </c>
      <c r="G3829">
        <v>-190.9008</v>
      </c>
      <c r="H3829" s="1">
        <v>-1.1469910000000001E-5</v>
      </c>
      <c r="I3829">
        <v>151.05009999999999</v>
      </c>
      <c r="J3829">
        <v>-191.0926</v>
      </c>
      <c r="K3829">
        <v>1.1231719999999901</v>
      </c>
      <c r="L3829">
        <v>178.6626</v>
      </c>
      <c r="M3829">
        <v>-0.1112259</v>
      </c>
      <c r="N3829">
        <v>-1.3878990000000001E-2</v>
      </c>
      <c r="O3829">
        <v>-0.99369839999999998</v>
      </c>
      <c r="P3829">
        <v>-8.0746319999999996E-2</v>
      </c>
      <c r="Q3829">
        <v>0.1651291</v>
      </c>
      <c r="R3829">
        <v>-0.98296119999999998</v>
      </c>
      <c r="S3829">
        <v>1.954651E-2</v>
      </c>
      <c r="T3829">
        <v>-0.1244031</v>
      </c>
      <c r="U3829">
        <v>-3.074722</v>
      </c>
      <c r="V3829">
        <v>-2.9804520000000001E-2</v>
      </c>
      <c r="W3829">
        <v>0.178678799999999</v>
      </c>
      <c r="X3829">
        <v>0.983456</v>
      </c>
      <c r="Y3829">
        <v>-0.117505</v>
      </c>
      <c r="Z3829">
        <v>2.603374E-2</v>
      </c>
      <c r="AA3829">
        <v>0.99273100000000003</v>
      </c>
      <c r="AB3829">
        <v>26</v>
      </c>
      <c r="AC3829">
        <v>0.1918</v>
      </c>
      <c r="AD3829">
        <v>-1.1231834699099901</v>
      </c>
      <c r="AE3829">
        <v>-27.612500000000001</v>
      </c>
      <c r="AF3829">
        <v>-3.2567418608365499</v>
      </c>
      <c r="AG3829">
        <v>-1.1231834699099901</v>
      </c>
      <c r="AH3829">
        <v>27.3745089752165</v>
      </c>
      <c r="AI3829">
        <v>92.333108548465901</v>
      </c>
      <c r="AJ3829">
        <v>96.784582272238097</v>
      </c>
      <c r="AK3829">
        <v>27.590426787011001</v>
      </c>
      <c r="AL3829">
        <v>79.707187561651196</v>
      </c>
      <c r="AM3829">
        <v>91.735868906717201</v>
      </c>
      <c r="AN3829">
        <v>1.0000000634589301</v>
      </c>
    </row>
    <row r="3830" spans="1:40" x14ac:dyDescent="0.25">
      <c r="A3830" t="str">
        <f>"20190303162856708"</f>
        <v>20190303162856708</v>
      </c>
      <c r="B3830" t="str">
        <f>"1551601736695794"</f>
        <v>1551601736695794</v>
      </c>
      <c r="C3830" t="s">
        <v>40</v>
      </c>
      <c r="D3830">
        <v>5.1850079999999998</v>
      </c>
      <c r="E3830">
        <v>0.46817300000000001</v>
      </c>
      <c r="F3830" t="s">
        <v>56</v>
      </c>
      <c r="G3830">
        <v>-190.9083</v>
      </c>
      <c r="H3830" s="1">
        <v>-1.1456499999999999E-5</v>
      </c>
      <c r="I3830">
        <v>151.01580000000001</v>
      </c>
      <c r="J3830">
        <v>-191.11420000000001</v>
      </c>
      <c r="K3830">
        <v>1.123149</v>
      </c>
      <c r="L3830">
        <v>178.4511</v>
      </c>
      <c r="M3830">
        <v>-0.10936750000000001</v>
      </c>
      <c r="N3830">
        <v>-1.376869E-2</v>
      </c>
      <c r="O3830">
        <v>-0.99390610000000001</v>
      </c>
      <c r="P3830">
        <v>-8.1030870000000005E-2</v>
      </c>
      <c r="Q3830">
        <v>0.1644369</v>
      </c>
      <c r="R3830">
        <v>-0.98305359999999997</v>
      </c>
      <c r="S3830">
        <v>2.0492549999999998E-2</v>
      </c>
      <c r="T3830">
        <v>-0.1249132</v>
      </c>
      <c r="U3830">
        <v>-3.0747070000000001</v>
      </c>
      <c r="V3830">
        <v>-2.768555E-2</v>
      </c>
      <c r="W3830">
        <v>0.17788909999999999</v>
      </c>
      <c r="X3830">
        <v>0.98366100000000001</v>
      </c>
      <c r="Y3830">
        <v>-0.1159541</v>
      </c>
      <c r="Z3830">
        <v>2.632377E-2</v>
      </c>
      <c r="AA3830">
        <v>0.9929057</v>
      </c>
      <c r="AB3830">
        <v>26</v>
      </c>
      <c r="AC3830">
        <v>0.20590000000001399</v>
      </c>
      <c r="AD3830">
        <v>-1.1231604565</v>
      </c>
      <c r="AE3830">
        <v>-27.435299999999899</v>
      </c>
      <c r="AF3830">
        <v>-3.2001160639031698</v>
      </c>
      <c r="AG3830">
        <v>-1.1231604565</v>
      </c>
      <c r="AH3830">
        <v>27.202586042163201</v>
      </c>
      <c r="AI3830">
        <v>92.348153377606494</v>
      </c>
      <c r="AJ3830">
        <v>96.709445869606199</v>
      </c>
      <c r="AK3830">
        <v>27.413188789609801</v>
      </c>
      <c r="AL3830">
        <v>79.753169992127397</v>
      </c>
      <c r="AM3830">
        <v>91.612188046956106</v>
      </c>
      <c r="AN3830">
        <v>0.99999999224930602</v>
      </c>
    </row>
    <row r="3831" spans="1:40" x14ac:dyDescent="0.25">
      <c r="A3831" t="str">
        <f>"20190303162856722"</f>
        <v>20190303162856722</v>
      </c>
      <c r="B3831" t="str">
        <f>"1551601736716164"</f>
        <v>1551601736716164</v>
      </c>
      <c r="C3831" t="s">
        <v>40</v>
      </c>
      <c r="D3831">
        <v>5.3106819999999999</v>
      </c>
      <c r="E3831">
        <v>0.48441919999999999</v>
      </c>
      <c r="F3831" t="s">
        <v>56</v>
      </c>
      <c r="G3831">
        <v>-190.94649999999999</v>
      </c>
      <c r="H3831" s="1">
        <v>-1.1563799999999999E-5</v>
      </c>
      <c r="I3831">
        <v>151.2501</v>
      </c>
      <c r="J3831">
        <v>-191.13059999999999</v>
      </c>
      <c r="K3831">
        <v>1.1231249999999999</v>
      </c>
      <c r="L3831">
        <v>178.28749999999999</v>
      </c>
      <c r="M3831">
        <v>-0.1079282</v>
      </c>
      <c r="N3831">
        <v>-1.365455E-2</v>
      </c>
      <c r="O3831">
        <v>-0.99406499999999998</v>
      </c>
      <c r="P3831">
        <v>-8.0527730000000006E-2</v>
      </c>
      <c r="Q3831">
        <v>0.16439509999999999</v>
      </c>
      <c r="R3831">
        <v>-0.98310209999999998</v>
      </c>
      <c r="S3831">
        <v>1.895142E-2</v>
      </c>
      <c r="T3831">
        <v>-0.1269499</v>
      </c>
      <c r="U3831">
        <v>-3.0745089999999999</v>
      </c>
      <c r="V3831">
        <v>-2.676272E-2</v>
      </c>
      <c r="W3831">
        <v>0.17773900000000001</v>
      </c>
      <c r="X3831">
        <v>0.98371370000000002</v>
      </c>
      <c r="Y3831">
        <v>-0.1140187</v>
      </c>
      <c r="Z3831">
        <v>2.7108279999999998E-2</v>
      </c>
      <c r="AA3831">
        <v>0.99310869999999996</v>
      </c>
      <c r="AB3831">
        <v>26</v>
      </c>
      <c r="AC3831">
        <v>0.18410000000000001</v>
      </c>
      <c r="AD3831">
        <v>-1.1231365637999999</v>
      </c>
      <c r="AE3831">
        <v>-27.037399999999899</v>
      </c>
      <c r="AF3831">
        <v>-3.0960519177757999</v>
      </c>
      <c r="AG3831">
        <v>-1.1231365637999999</v>
      </c>
      <c r="AH3831">
        <v>26.813298891497102</v>
      </c>
      <c r="AI3831">
        <v>92.382749941893707</v>
      </c>
      <c r="AJ3831">
        <v>96.586604433029606</v>
      </c>
      <c r="AK3831">
        <v>27.014810209647301</v>
      </c>
      <c r="AL3831">
        <v>79.761909639661297</v>
      </c>
      <c r="AM3831">
        <v>91.558393215654604</v>
      </c>
      <c r="AN3831">
        <v>1.0000000194352401</v>
      </c>
    </row>
    <row r="3832" spans="1:40" x14ac:dyDescent="0.25">
      <c r="A3832" t="str">
        <f>"20190303162856736"</f>
        <v>20190303162856736</v>
      </c>
      <c r="B3832" t="str">
        <f>"1551601736725924"</f>
        <v>1551601736725924</v>
      </c>
      <c r="C3832" t="s">
        <v>40</v>
      </c>
      <c r="D3832">
        <v>4.9840350000000004</v>
      </c>
      <c r="E3832">
        <v>0.5117775</v>
      </c>
      <c r="F3832" t="s">
        <v>56</v>
      </c>
      <c r="G3832">
        <v>-192.36680000000001</v>
      </c>
      <c r="H3832" s="1">
        <v>-9.5364200000000004E-6</v>
      </c>
      <c r="I3832">
        <v>143.631</v>
      </c>
      <c r="J3832">
        <v>-191.1465</v>
      </c>
      <c r="K3832">
        <v>1.1230910000000001</v>
      </c>
      <c r="L3832">
        <v>178.12639999999999</v>
      </c>
      <c r="M3832">
        <v>-0.1065088</v>
      </c>
      <c r="N3832">
        <v>-1.3510879999999999E-2</v>
      </c>
      <c r="O3832">
        <v>-0.99421990000000005</v>
      </c>
      <c r="P3832">
        <v>-8.0626649999999994E-2</v>
      </c>
      <c r="Q3832">
        <v>0.16427169999999999</v>
      </c>
      <c r="R3832">
        <v>-0.98311470000000001</v>
      </c>
      <c r="S3832">
        <v>-0.10911559999999999</v>
      </c>
      <c r="T3832">
        <v>-9.9140880000000001E-2</v>
      </c>
      <c r="U3832">
        <v>-3.0591889999999999</v>
      </c>
      <c r="V3832">
        <v>-2.5255819999999998E-2</v>
      </c>
      <c r="W3832">
        <v>0.17748139999999901</v>
      </c>
      <c r="X3832">
        <v>0.98380009999999996</v>
      </c>
      <c r="Y3832">
        <v>-7.0992189999999997E-2</v>
      </c>
      <c r="Z3832">
        <v>1.8582290000000001E-2</v>
      </c>
      <c r="AA3832">
        <v>0.99730379999999996</v>
      </c>
      <c r="AB3832">
        <v>26</v>
      </c>
      <c r="AC3832">
        <v>-1.2202999999999999</v>
      </c>
      <c r="AD3832">
        <v>-1.12310053642</v>
      </c>
      <c r="AE3832">
        <v>-34.495399999999897</v>
      </c>
      <c r="AF3832">
        <v>-2.45843915758409</v>
      </c>
      <c r="AG3832">
        <v>-1.12310053642</v>
      </c>
      <c r="AH3832">
        <v>34.392719012303303</v>
      </c>
      <c r="AI3832">
        <v>91.865582809726206</v>
      </c>
      <c r="AJ3832">
        <v>94.088627351106794</v>
      </c>
      <c r="AK3832">
        <v>34.498759382993804</v>
      </c>
      <c r="AL3832">
        <v>79.776908009498598</v>
      </c>
      <c r="AM3832">
        <v>91.470557009792998</v>
      </c>
      <c r="AN3832">
        <v>1.0000000702749099</v>
      </c>
    </row>
    <row r="3833" spans="1:40" x14ac:dyDescent="0.25">
      <c r="A3833" t="str">
        <f>"20190303162856756"</f>
        <v>20190303162856756</v>
      </c>
      <c r="B3833" t="str">
        <f>"1551601736745446"</f>
        <v>1551601736745446</v>
      </c>
      <c r="C3833" t="s">
        <v>40</v>
      </c>
      <c r="D3833">
        <v>4.9527970000000003</v>
      </c>
      <c r="E3833">
        <v>0.51508959999999904</v>
      </c>
      <c r="F3833" t="s">
        <v>56</v>
      </c>
      <c r="G3833">
        <v>-194.35929999999999</v>
      </c>
      <c r="H3833" s="1">
        <v>-1.1098890000000001E-5</v>
      </c>
      <c r="I3833">
        <v>148.21559999999999</v>
      </c>
      <c r="J3833">
        <v>-191.1688</v>
      </c>
      <c r="K3833">
        <v>1.1230359999999999</v>
      </c>
      <c r="L3833">
        <v>177.89789999999999</v>
      </c>
      <c r="M3833">
        <v>-0.1044904</v>
      </c>
      <c r="N3833">
        <v>-1.3264130000000001E-2</v>
      </c>
      <c r="O3833">
        <v>-0.99443760000000003</v>
      </c>
      <c r="P3833">
        <v>-8.1644930000000004E-2</v>
      </c>
      <c r="Q3833">
        <v>0.1636976</v>
      </c>
      <c r="R3833">
        <v>-0.98312659999999996</v>
      </c>
      <c r="S3833">
        <v>-0.32693480000000003</v>
      </c>
      <c r="T3833">
        <v>-0.1142898</v>
      </c>
      <c r="U3833">
        <v>-3.0438079999999998</v>
      </c>
      <c r="V3833">
        <v>-2.2236949999999998E-2</v>
      </c>
      <c r="W3833">
        <v>0.1766789</v>
      </c>
      <c r="X3833">
        <v>0.98401729999999998</v>
      </c>
      <c r="Y3833">
        <v>2.2773590000000001E-3</v>
      </c>
      <c r="Z3833">
        <v>2.392381E-2</v>
      </c>
      <c r="AA3833">
        <v>0.99971120000000002</v>
      </c>
      <c r="AB3833">
        <v>26</v>
      </c>
      <c r="AC3833">
        <v>-3.1904999999999801</v>
      </c>
      <c r="AD3833">
        <v>-1.1230470988900001</v>
      </c>
      <c r="AE3833">
        <v>-29.682300000000001</v>
      </c>
      <c r="AF3833">
        <v>7.1143338274164802E-2</v>
      </c>
      <c r="AG3833">
        <v>-1.1230470988900001</v>
      </c>
      <c r="AH3833">
        <v>29.811005302272601</v>
      </c>
      <c r="AI3833">
        <v>92.157433518644794</v>
      </c>
      <c r="AJ3833">
        <v>89.863265084693296</v>
      </c>
      <c r="AK3833">
        <v>29.832236478229898</v>
      </c>
      <c r="AL3833">
        <v>79.8236252680136</v>
      </c>
      <c r="AM3833">
        <v>91.294557087199394</v>
      </c>
      <c r="AN3833">
        <v>0.99999998117490096</v>
      </c>
    </row>
    <row r="3834" spans="1:40" x14ac:dyDescent="0.25">
      <c r="A3834" t="str">
        <f>"20190303162856777"</f>
        <v>20190303162856777</v>
      </c>
      <c r="B3834" t="str">
        <f>"1551601736765940"</f>
        <v>1551601736765940</v>
      </c>
      <c r="C3834" t="s">
        <v>40</v>
      </c>
      <c r="D3834">
        <v>4.9180270000000004</v>
      </c>
      <c r="E3834">
        <v>0.51576750000000005</v>
      </c>
      <c r="F3834" t="s">
        <v>56</v>
      </c>
      <c r="G3834">
        <v>-194.31979999999999</v>
      </c>
      <c r="H3834" s="1">
        <v>-1.2036649999999999E-5</v>
      </c>
      <c r="I3834">
        <v>150.95750000000001</v>
      </c>
      <c r="J3834">
        <v>-191.19370000000001</v>
      </c>
      <c r="K3834">
        <v>1.122957</v>
      </c>
      <c r="L3834">
        <v>177.63679999999999</v>
      </c>
      <c r="M3834">
        <v>-0.1021775</v>
      </c>
      <c r="N3834">
        <v>-1.291719E-2</v>
      </c>
      <c r="O3834">
        <v>-0.99468239999999997</v>
      </c>
      <c r="P3834">
        <v>-8.2417790000000005E-2</v>
      </c>
      <c r="Q3834">
        <v>0.16271240000000001</v>
      </c>
      <c r="R3834">
        <v>-0.98322560000000003</v>
      </c>
      <c r="S3834">
        <v>-0.35592649999999998</v>
      </c>
      <c r="T3834">
        <v>-0.12685389999999999</v>
      </c>
      <c r="U3834">
        <v>-3.0430600000000001</v>
      </c>
      <c r="V3834">
        <v>-1.9176019999999998E-2</v>
      </c>
      <c r="W3834">
        <v>0.17536740000000001</v>
      </c>
      <c r="X3834">
        <v>0.98431630000000003</v>
      </c>
      <c r="Y3834">
        <v>1.401725E-2</v>
      </c>
      <c r="Z3834">
        <v>2.8349050000000001E-2</v>
      </c>
      <c r="AA3834">
        <v>0.99949980000000005</v>
      </c>
      <c r="AB3834">
        <v>26</v>
      </c>
      <c r="AC3834">
        <v>-3.1260999999999801</v>
      </c>
      <c r="AD3834">
        <v>-1.12296903665</v>
      </c>
      <c r="AE3834">
        <v>-26.679299999999898</v>
      </c>
      <c r="AF3834">
        <v>0.38281539320341001</v>
      </c>
      <c r="AG3834">
        <v>-1.12296903665</v>
      </c>
      <c r="AH3834">
        <v>26.8122263083912</v>
      </c>
      <c r="AI3834">
        <v>92.398057432310907</v>
      </c>
      <c r="AJ3834">
        <v>89.182006899020493</v>
      </c>
      <c r="AK3834">
        <v>26.8384628228766</v>
      </c>
      <c r="AL3834">
        <v>79.899960898373195</v>
      </c>
      <c r="AM3834">
        <v>91.116070157383405</v>
      </c>
      <c r="AN3834">
        <v>1.0000000115857399</v>
      </c>
    </row>
    <row r="3835" spans="1:40" x14ac:dyDescent="0.25">
      <c r="A3835" t="str">
        <f>"20190303162856800"</f>
        <v>20190303162856800</v>
      </c>
      <c r="B3835" t="str">
        <f>"1551601736785463"</f>
        <v>1551601736785463</v>
      </c>
      <c r="C3835" t="s">
        <v>40</v>
      </c>
      <c r="D3835">
        <v>4.883127</v>
      </c>
      <c r="E3835">
        <v>0.51541490000000001</v>
      </c>
      <c r="F3835" t="s">
        <v>56</v>
      </c>
      <c r="G3835">
        <v>-194.2878</v>
      </c>
      <c r="H3835" s="1">
        <v>-1.2376160000000001E-5</v>
      </c>
      <c r="I3835">
        <v>151.7621</v>
      </c>
      <c r="J3835">
        <v>-191.21690000000001</v>
      </c>
      <c r="K3835">
        <v>1.122876</v>
      </c>
      <c r="L3835">
        <v>177.38669999999999</v>
      </c>
      <c r="M3835">
        <v>-9.9959510000000001E-2</v>
      </c>
      <c r="N3835">
        <v>-1.2539639999999999E-2</v>
      </c>
      <c r="O3835">
        <v>-0.99491260000000004</v>
      </c>
      <c r="P3835">
        <v>-8.2773940000000004E-2</v>
      </c>
      <c r="Q3835">
        <v>0.1619032</v>
      </c>
      <c r="R3835">
        <v>-0.98332920000000001</v>
      </c>
      <c r="S3835">
        <v>-0.3638306</v>
      </c>
      <c r="T3835">
        <v>-0.13204669999999999</v>
      </c>
      <c r="U3835">
        <v>-3.0425260000000001</v>
      </c>
      <c r="V3835">
        <v>-1.6625210000000001E-2</v>
      </c>
      <c r="W3835">
        <v>0.17419970000000001</v>
      </c>
      <c r="X3835">
        <v>0.98456999999999995</v>
      </c>
      <c r="Y3835">
        <v>1.8819039999999999E-2</v>
      </c>
      <c r="Z3835">
        <v>3.0421520000000001E-2</v>
      </c>
      <c r="AA3835">
        <v>0.99936000000000003</v>
      </c>
      <c r="AB3835">
        <v>26</v>
      </c>
      <c r="AC3835">
        <v>-3.0708999999999902</v>
      </c>
      <c r="AD3835">
        <v>-1.1228883761599999</v>
      </c>
      <c r="AE3835">
        <v>-25.624599999999901</v>
      </c>
      <c r="AF3835">
        <v>0.492960212485549</v>
      </c>
      <c r="AG3835">
        <v>-1.1228883761599999</v>
      </c>
      <c r="AH3835">
        <v>25.754473947990899</v>
      </c>
      <c r="AI3835">
        <v>92.496043396642193</v>
      </c>
      <c r="AJ3835">
        <v>88.903449119045405</v>
      </c>
      <c r="AK3835">
        <v>25.783654054732999</v>
      </c>
      <c r="AL3835">
        <v>79.967911123620297</v>
      </c>
      <c r="AM3835">
        <v>90.967390686739805</v>
      </c>
      <c r="AN3835">
        <v>1.0000000089938099</v>
      </c>
    </row>
    <row r="3836" spans="1:40" x14ac:dyDescent="0.25">
      <c r="A3836" t="str">
        <f>"20190303162856822"</f>
        <v>20190303162856822</v>
      </c>
      <c r="B3836" t="str">
        <f>"1551601736815288"</f>
        <v>1551601736815288</v>
      </c>
      <c r="C3836" t="s">
        <v>40</v>
      </c>
      <c r="D3836">
        <v>4.9367210000000004</v>
      </c>
      <c r="E3836">
        <v>0.51470109999999902</v>
      </c>
      <c r="F3836" t="s">
        <v>56</v>
      </c>
      <c r="G3836">
        <v>-194.21279999999999</v>
      </c>
      <c r="H3836" s="1">
        <v>-1.255988E-5</v>
      </c>
      <c r="I3836">
        <v>152.22139999999999</v>
      </c>
      <c r="J3836">
        <v>-191.24080000000001</v>
      </c>
      <c r="K3836">
        <v>1.1227940000000001</v>
      </c>
      <c r="L3836">
        <v>177.12379999999999</v>
      </c>
      <c r="M3836">
        <v>-9.7629079999999993E-2</v>
      </c>
      <c r="N3836">
        <v>-1.211691E-2</v>
      </c>
      <c r="O3836">
        <v>-0.99514910000000001</v>
      </c>
      <c r="P3836">
        <v>-8.2547720000000005E-2</v>
      </c>
      <c r="Q3836">
        <v>0.16072990000000001</v>
      </c>
      <c r="R3836">
        <v>-0.98354070000000005</v>
      </c>
      <c r="S3836">
        <v>-0.36222840000000001</v>
      </c>
      <c r="T3836">
        <v>-0.1357679</v>
      </c>
      <c r="U3836">
        <v>-3.0427249999999999</v>
      </c>
      <c r="V3836">
        <v>-1.4552310000000001E-2</v>
      </c>
      <c r="W3836">
        <v>0.17262040000000001</v>
      </c>
      <c r="X3836">
        <v>0.98488089999999995</v>
      </c>
      <c r="Y3836">
        <v>2.06281E-2</v>
      </c>
      <c r="Z3836">
        <v>3.2059240000000003E-2</v>
      </c>
      <c r="AA3836">
        <v>0.99927310000000003</v>
      </c>
      <c r="AB3836">
        <v>26</v>
      </c>
      <c r="AC3836">
        <v>-2.9719999999999702</v>
      </c>
      <c r="AD3836">
        <v>-1.1228065598799899</v>
      </c>
      <c r="AE3836">
        <v>-24.9024</v>
      </c>
      <c r="AF3836">
        <v>0.525370318226977</v>
      </c>
      <c r="AG3836">
        <v>-1.1228065598799899</v>
      </c>
      <c r="AH3836">
        <v>25.023438358092001</v>
      </c>
      <c r="AI3836">
        <v>92.568584251744795</v>
      </c>
      <c r="AJ3836">
        <v>88.797244415966105</v>
      </c>
      <c r="AK3836">
        <v>25.054124925916199</v>
      </c>
      <c r="AL3836">
        <v>80.059790060701204</v>
      </c>
      <c r="AM3836">
        <v>90.846523955660302</v>
      </c>
      <c r="AN3836">
        <v>0.99999997970365195</v>
      </c>
    </row>
    <row r="3837" spans="1:40" x14ac:dyDescent="0.25">
      <c r="A3837" t="str">
        <f>"20190303162856844"</f>
        <v>20190303162856844</v>
      </c>
      <c r="B3837" t="str">
        <f>"1551601736835784"</f>
        <v>1551601736835784</v>
      </c>
      <c r="C3837" t="s">
        <v>40</v>
      </c>
      <c r="D3837">
        <v>4.9493390000000002</v>
      </c>
      <c r="E3837">
        <v>0.52213909999999997</v>
      </c>
      <c r="F3837" t="s">
        <v>56</v>
      </c>
      <c r="G3837">
        <v>-194.16659999999999</v>
      </c>
      <c r="H3837" s="1">
        <v>-1.250115E-5</v>
      </c>
      <c r="I3837">
        <v>152.1036</v>
      </c>
      <c r="J3837">
        <v>-191.2647</v>
      </c>
      <c r="K3837">
        <v>1.12273</v>
      </c>
      <c r="L3837">
        <v>176.85390000000001</v>
      </c>
      <c r="M3837">
        <v>-9.5240560000000002E-2</v>
      </c>
      <c r="N3837">
        <v>-1.168019E-2</v>
      </c>
      <c r="O3837">
        <v>-0.99538590000000005</v>
      </c>
      <c r="P3837">
        <v>-8.1990640000000004E-2</v>
      </c>
      <c r="Q3837">
        <v>0.160103</v>
      </c>
      <c r="R3837">
        <v>-0.9836897</v>
      </c>
      <c r="S3837">
        <v>-0.35580440000000002</v>
      </c>
      <c r="T3837">
        <v>-0.13654330000000001</v>
      </c>
      <c r="U3837">
        <v>-3.0426790000000001</v>
      </c>
      <c r="V3837">
        <v>-1.274987E-2</v>
      </c>
      <c r="W3837">
        <v>0.17157240000000001</v>
      </c>
      <c r="X3837">
        <v>0.98508899999999999</v>
      </c>
      <c r="Y3837">
        <v>2.094648E-2</v>
      </c>
      <c r="Z3837">
        <v>3.2763279999999999E-2</v>
      </c>
      <c r="AA3837">
        <v>0.99924360000000001</v>
      </c>
      <c r="AB3837">
        <v>27</v>
      </c>
      <c r="AC3837">
        <v>-2.9018999999999799</v>
      </c>
      <c r="AD3837">
        <v>-1.1227425011499901</v>
      </c>
      <c r="AE3837">
        <v>-24.750299999999999</v>
      </c>
      <c r="AF3837">
        <v>0.53023776257934196</v>
      </c>
      <c r="AG3837">
        <v>-1.1227425011499901</v>
      </c>
      <c r="AH3837">
        <v>24.863703982618599</v>
      </c>
      <c r="AI3837">
        <v>92.584898213479306</v>
      </c>
      <c r="AJ3837">
        <v>88.778308265741501</v>
      </c>
      <c r="AK3837">
        <v>24.894687757512401</v>
      </c>
      <c r="AL3837">
        <v>80.120745620513205</v>
      </c>
      <c r="AM3837">
        <v>90.741529905546301</v>
      </c>
      <c r="AN3837">
        <v>0.99999999277388796</v>
      </c>
    </row>
    <row r="3838" spans="1:40" x14ac:dyDescent="0.25">
      <c r="A3838" t="str">
        <f>"20190303162856860"</f>
        <v>20190303162856860</v>
      </c>
      <c r="B3838" t="str">
        <f>"1551601736845545"</f>
        <v>1551601736845545</v>
      </c>
      <c r="C3838" t="s">
        <v>40</v>
      </c>
      <c r="D3838">
        <v>4.9041389999999998</v>
      </c>
      <c r="E3838">
        <v>0.5210804</v>
      </c>
      <c r="F3838" t="s">
        <v>41</v>
      </c>
      <c r="G3838">
        <v>-193.46119999999999</v>
      </c>
      <c r="H3838" s="1">
        <v>-1.3955609999999901E-6</v>
      </c>
      <c r="I3838">
        <v>160.59569999999999</v>
      </c>
      <c r="J3838">
        <v>-191.2809</v>
      </c>
      <c r="K3838">
        <v>1.12269</v>
      </c>
      <c r="L3838">
        <v>176.66720000000001</v>
      </c>
      <c r="M3838">
        <v>-9.3592239999999993E-2</v>
      </c>
      <c r="N3838">
        <v>-1.138876E-2</v>
      </c>
      <c r="O3838">
        <v>-0.99554549999999997</v>
      </c>
      <c r="P3838">
        <v>-8.1144969999999997E-2</v>
      </c>
      <c r="Q3838">
        <v>0.1600558</v>
      </c>
      <c r="R3838">
        <v>-0.98376719999999895</v>
      </c>
      <c r="S3838">
        <v>-0.41201779999999999</v>
      </c>
      <c r="T3838">
        <v>-0.21060039999999999</v>
      </c>
      <c r="U3838">
        <v>-3.0496979999999998</v>
      </c>
      <c r="V3838">
        <v>-1.196471E-2</v>
      </c>
      <c r="W3838">
        <v>0.17124130000000001</v>
      </c>
      <c r="X3838">
        <v>0.98515649999999999</v>
      </c>
      <c r="Y3838">
        <v>4.0306019999999998E-2</v>
      </c>
      <c r="Z3838">
        <v>5.6809289999999998E-2</v>
      </c>
      <c r="AA3838">
        <v>0.99757110000000004</v>
      </c>
      <c r="AB3838">
        <v>27</v>
      </c>
      <c r="AC3838">
        <v>-2.1802999999999799</v>
      </c>
      <c r="AD3838">
        <v>-1.1226913955610001</v>
      </c>
      <c r="AE3838">
        <v>-16.0715</v>
      </c>
      <c r="AF3838">
        <v>0.66328512388079097</v>
      </c>
      <c r="AG3838">
        <v>-1.1226913955610001</v>
      </c>
      <c r="AH3838">
        <v>16.127740231955599</v>
      </c>
      <c r="AI3838">
        <v>93.978722609854799</v>
      </c>
      <c r="AJ3838">
        <v>87.644925284413901</v>
      </c>
      <c r="AK3838">
        <v>16.1803704566573</v>
      </c>
      <c r="AL3838">
        <v>80.140001633595404</v>
      </c>
      <c r="AM3838">
        <v>90.695822119468602</v>
      </c>
      <c r="AN3838">
        <v>1.0000000333016601</v>
      </c>
    </row>
    <row r="3839" spans="1:40" x14ac:dyDescent="0.25">
      <c r="A3839" t="str">
        <f>"20190303162856876"</f>
        <v>20190303162856876</v>
      </c>
      <c r="B3839" t="str">
        <f>"1551601736865065"</f>
        <v>1551601736865065</v>
      </c>
      <c r="C3839" t="s">
        <v>40</v>
      </c>
      <c r="D3839">
        <v>4.9282760000000003</v>
      </c>
      <c r="E3839">
        <v>0.51792289999999996</v>
      </c>
      <c r="F3839" t="s">
        <v>56</v>
      </c>
      <c r="G3839">
        <v>-193.5341</v>
      </c>
      <c r="H3839" s="1">
        <v>-1.495709E-5</v>
      </c>
      <c r="I3839">
        <v>159.5352</v>
      </c>
      <c r="J3839">
        <v>-191.29740000000001</v>
      </c>
      <c r="K3839">
        <v>1.1226640000000001</v>
      </c>
      <c r="L3839">
        <v>176.47219999999999</v>
      </c>
      <c r="M3839">
        <v>-9.1872709999999996E-2</v>
      </c>
      <c r="N3839">
        <v>-1.1099100000000001E-2</v>
      </c>
      <c r="O3839">
        <v>-0.99570899999999996</v>
      </c>
      <c r="P3839">
        <v>-8.0660250000000003E-2</v>
      </c>
      <c r="Q3839">
        <v>0.1600927</v>
      </c>
      <c r="R3839">
        <v>-0.98380089999999998</v>
      </c>
      <c r="S3839">
        <v>-0.401001</v>
      </c>
      <c r="T3839">
        <v>-0.19980390000000001</v>
      </c>
      <c r="U3839">
        <v>-3.0489199999999999</v>
      </c>
      <c r="V3839">
        <v>-1.074802E-2</v>
      </c>
      <c r="W3839">
        <v>0.17099690000000001</v>
      </c>
      <c r="X3839">
        <v>0.98521289999999995</v>
      </c>
      <c r="Y3839">
        <v>3.854896E-2</v>
      </c>
      <c r="Z3839">
        <v>5.3664410000000003E-2</v>
      </c>
      <c r="AA3839">
        <v>0.99781470000000005</v>
      </c>
      <c r="AB3839">
        <v>27</v>
      </c>
      <c r="AC3839">
        <v>-2.2366999999999799</v>
      </c>
      <c r="AD3839">
        <v>-1.12267895709</v>
      </c>
      <c r="AE3839">
        <v>-16.936999999999902</v>
      </c>
      <c r="AF3839">
        <v>0.66820986094183998</v>
      </c>
      <c r="AG3839">
        <v>-1.12267895709</v>
      </c>
      <c r="AH3839">
        <v>16.997461897557699</v>
      </c>
      <c r="AI3839">
        <v>93.775977688295896</v>
      </c>
      <c r="AJ3839">
        <v>87.748728580160403</v>
      </c>
      <c r="AK3839">
        <v>17.047598758120699</v>
      </c>
      <c r="AL3839">
        <v>80.154213615815394</v>
      </c>
      <c r="AM3839">
        <v>90.625034198893005</v>
      </c>
      <c r="AN3839">
        <v>0.99999995903496897</v>
      </c>
    </row>
    <row r="3840" spans="1:40" x14ac:dyDescent="0.25">
      <c r="A3840" t="str">
        <f>"20190303162856892"</f>
        <v>20190303162856892</v>
      </c>
      <c r="B3840" t="str">
        <f>"1551601736885560"</f>
        <v>1551601736885560</v>
      </c>
      <c r="C3840" t="s">
        <v>40</v>
      </c>
      <c r="D3840">
        <v>4.9240519999999997</v>
      </c>
      <c r="E3840">
        <v>0.51680170000000003</v>
      </c>
      <c r="F3840" t="s">
        <v>56</v>
      </c>
      <c r="G3840">
        <v>-193.75659999999999</v>
      </c>
      <c r="H3840" s="1">
        <v>-1.398089E-5</v>
      </c>
      <c r="I3840">
        <v>156.5078</v>
      </c>
      <c r="J3840">
        <v>-191.3125</v>
      </c>
      <c r="K3840">
        <v>1.12264599999999</v>
      </c>
      <c r="L3840">
        <v>176.29</v>
      </c>
      <c r="M3840">
        <v>-9.0267799999999995E-2</v>
      </c>
      <c r="N3840">
        <v>-1.084338E-2</v>
      </c>
      <c r="O3840">
        <v>-0.99585860000000004</v>
      </c>
      <c r="P3840">
        <v>-7.9563190000000006E-2</v>
      </c>
      <c r="Q3840">
        <v>0.16055810000000001</v>
      </c>
      <c r="R3840">
        <v>-0.98381470000000004</v>
      </c>
      <c r="S3840">
        <v>-0.37527470000000002</v>
      </c>
      <c r="T3840">
        <v>-0.1713182</v>
      </c>
      <c r="U3840">
        <v>-3.0465239999999998</v>
      </c>
      <c r="V3840">
        <v>-1.025529E-2</v>
      </c>
      <c r="W3840">
        <v>0.17121169999999999</v>
      </c>
      <c r="X3840">
        <v>0.98518090000000003</v>
      </c>
      <c r="Y3840">
        <v>3.2027269999999997E-2</v>
      </c>
      <c r="Z3840">
        <v>4.4808880000000002E-2</v>
      </c>
      <c r="AA3840">
        <v>0.99848199999999998</v>
      </c>
      <c r="AB3840">
        <v>27</v>
      </c>
      <c r="AC3840">
        <v>-2.4440999999999899</v>
      </c>
      <c r="AD3840">
        <v>-1.12265998088999</v>
      </c>
      <c r="AE3840">
        <v>-19.7821999999999</v>
      </c>
      <c r="AF3840">
        <v>0.64627024624484697</v>
      </c>
      <c r="AG3840">
        <v>-1.12265998088999</v>
      </c>
      <c r="AH3840">
        <v>19.859068699717799</v>
      </c>
      <c r="AI3840">
        <v>93.2338557218457</v>
      </c>
      <c r="AJ3840">
        <v>88.136091129266802</v>
      </c>
      <c r="AK3840">
        <v>19.901272328270501</v>
      </c>
      <c r="AL3840">
        <v>80.141722792937401</v>
      </c>
      <c r="AM3840">
        <v>90.596401749918201</v>
      </c>
      <c r="AN3840">
        <v>1.00000001145734</v>
      </c>
    </row>
    <row r="3841" spans="1:40" x14ac:dyDescent="0.25">
      <c r="A3841" t="str">
        <f>"20190303162856908"</f>
        <v>20190303162856908</v>
      </c>
      <c r="B3841" t="str">
        <f>"1551601736895320"</f>
        <v>1551601736895320</v>
      </c>
      <c r="C3841" t="s">
        <v>40</v>
      </c>
      <c r="D3841">
        <v>5.1305589999999999</v>
      </c>
      <c r="E3841">
        <v>0.51666309999999904</v>
      </c>
      <c r="F3841" t="s">
        <v>56</v>
      </c>
      <c r="G3841">
        <v>-193.9074</v>
      </c>
      <c r="H3841" s="1">
        <v>-1.3166700000000001E-5</v>
      </c>
      <c r="I3841">
        <v>154.5523</v>
      </c>
      <c r="J3841">
        <v>-191.3295</v>
      </c>
      <c r="K3841">
        <v>1.1226339999999999</v>
      </c>
      <c r="L3841">
        <v>176.08250000000001</v>
      </c>
      <c r="M3841">
        <v>-8.8440870000000005E-2</v>
      </c>
      <c r="N3841">
        <v>-1.057105E-2</v>
      </c>
      <c r="O3841">
        <v>-0.99602539999999995</v>
      </c>
      <c r="P3841">
        <v>-7.8405550000000004E-2</v>
      </c>
      <c r="Q3841">
        <v>0.16106770000000001</v>
      </c>
      <c r="R3841">
        <v>-0.98382409999999998</v>
      </c>
      <c r="S3841">
        <v>-0.36355589999999999</v>
      </c>
      <c r="T3841">
        <v>-0.15729319999999999</v>
      </c>
      <c r="U3841">
        <v>-3.0456240000000001</v>
      </c>
      <c r="V3841">
        <v>-9.6037810000000005E-3</v>
      </c>
      <c r="W3841">
        <v>0.1714541</v>
      </c>
      <c r="X3841">
        <v>0.9851453</v>
      </c>
      <c r="Y3841">
        <v>3.0133770000000001E-2</v>
      </c>
      <c r="Z3841">
        <v>4.0577500000000002E-2</v>
      </c>
      <c r="AA3841">
        <v>0.99872190000000005</v>
      </c>
      <c r="AB3841">
        <v>27</v>
      </c>
      <c r="AC3841">
        <v>-2.5779000000000001</v>
      </c>
      <c r="AD3841">
        <v>-1.1226471667</v>
      </c>
      <c r="AE3841">
        <v>-21.530200000000001</v>
      </c>
      <c r="AF3841">
        <v>0.66176745327524999</v>
      </c>
      <c r="AG3841">
        <v>-1.1226471667</v>
      </c>
      <c r="AH3841">
        <v>21.615886974446799</v>
      </c>
      <c r="AI3841">
        <v>92.971664404439593</v>
      </c>
      <c r="AJ3841">
        <v>88.246445181686298</v>
      </c>
      <c r="AK3841">
        <v>21.655134322261201</v>
      </c>
      <c r="AL3841">
        <v>80.127625748660094</v>
      </c>
      <c r="AM3841">
        <v>90.558535566734705</v>
      </c>
      <c r="AN3841">
        <v>1.0000000015641901</v>
      </c>
    </row>
    <row r="3842" spans="1:40" x14ac:dyDescent="0.25">
      <c r="A3842" t="str">
        <f>"20190303162856921"</f>
        <v>20190303162856921</v>
      </c>
      <c r="B3842" t="str">
        <f>"1551601736915825"</f>
        <v>1551601736915825</v>
      </c>
      <c r="C3842" t="s">
        <v>40</v>
      </c>
      <c r="D3842">
        <v>4.9107539999999998</v>
      </c>
      <c r="E3842">
        <v>0.51587299999999903</v>
      </c>
      <c r="F3842" t="s">
        <v>56</v>
      </c>
      <c r="G3842">
        <v>-193.97900000000001</v>
      </c>
      <c r="H3842" s="1">
        <v>-1.293632E-5</v>
      </c>
      <c r="I3842">
        <v>153.6114</v>
      </c>
      <c r="J3842">
        <v>-191.3415</v>
      </c>
      <c r="K3842">
        <v>1.1226320000000001</v>
      </c>
      <c r="L3842">
        <v>175.93279999999999</v>
      </c>
      <c r="M3842">
        <v>-8.7123679999999995E-2</v>
      </c>
      <c r="N3842">
        <v>-1.0386619999999999E-2</v>
      </c>
      <c r="O3842">
        <v>-0.99614360000000002</v>
      </c>
      <c r="P3842">
        <v>-7.7893459999999998E-2</v>
      </c>
      <c r="Q3842">
        <v>0.16166440000000001</v>
      </c>
      <c r="R3842">
        <v>-0.98376719999999895</v>
      </c>
      <c r="S3842">
        <v>-0.35910029999999998</v>
      </c>
      <c r="T3842">
        <v>-0.1521586</v>
      </c>
      <c r="U3842">
        <v>-3.0456240000000001</v>
      </c>
      <c r="V3842">
        <v>-8.8087740000000001E-3</v>
      </c>
      <c r="W3842">
        <v>0.1718712</v>
      </c>
      <c r="X3842">
        <v>0.98508010000000001</v>
      </c>
      <c r="Y3842">
        <v>3.0022320000000002E-2</v>
      </c>
      <c r="Z3842">
        <v>3.9108200000000003E-2</v>
      </c>
      <c r="AA3842">
        <v>0.99878389999999995</v>
      </c>
      <c r="AB3842">
        <v>27</v>
      </c>
      <c r="AC3842">
        <v>-2.6375000000000099</v>
      </c>
      <c r="AD3842">
        <v>-1.12264493632</v>
      </c>
      <c r="AE3842">
        <v>-22.321399999999901</v>
      </c>
      <c r="AF3842">
        <v>0.68094413126000197</v>
      </c>
      <c r="AG3842">
        <v>-1.12264493632</v>
      </c>
      <c r="AH3842">
        <v>22.410407341437399</v>
      </c>
      <c r="AI3842">
        <v>92.866502706199697</v>
      </c>
      <c r="AJ3842">
        <v>88.259593241295704</v>
      </c>
      <c r="AK3842">
        <v>22.448839029493101</v>
      </c>
      <c r="AL3842">
        <v>80.103368106339104</v>
      </c>
      <c r="AM3842">
        <v>90.512336124724897</v>
      </c>
      <c r="AN3842">
        <v>1.0000000536524101</v>
      </c>
    </row>
    <row r="3843" spans="1:40" x14ac:dyDescent="0.25">
      <c r="A3843" t="str">
        <f>"20190303162856935"</f>
        <v>20190303162856935</v>
      </c>
      <c r="B3843" t="str">
        <f>"1551601736925586"</f>
        <v>1551601736925586</v>
      </c>
      <c r="C3843" t="s">
        <v>40</v>
      </c>
      <c r="D3843">
        <v>4.9329470000000004</v>
      </c>
      <c r="E3843">
        <v>0.51554540000000004</v>
      </c>
      <c r="F3843" t="s">
        <v>56</v>
      </c>
      <c r="G3843">
        <v>-194.1258</v>
      </c>
      <c r="H3843" s="1">
        <v>-1.235872E-5</v>
      </c>
      <c r="I3843">
        <v>151.7885</v>
      </c>
      <c r="J3843">
        <v>-191.3544</v>
      </c>
      <c r="K3843">
        <v>1.122628</v>
      </c>
      <c r="L3843">
        <v>175.7681</v>
      </c>
      <c r="M3843">
        <v>-8.5675600000000005E-2</v>
      </c>
      <c r="N3843">
        <v>-1.020095E-2</v>
      </c>
      <c r="O3843">
        <v>-0.99627100000000002</v>
      </c>
      <c r="P3843">
        <v>-7.7408870000000005E-2</v>
      </c>
      <c r="Q3843">
        <v>0.16216989999999901</v>
      </c>
      <c r="R3843">
        <v>-0.98372190000000004</v>
      </c>
      <c r="S3843">
        <v>-0.35115049999999998</v>
      </c>
      <c r="T3843">
        <v>-0.141583399999999</v>
      </c>
      <c r="U3843">
        <v>-3.0449830000000002</v>
      </c>
      <c r="V3843">
        <v>-7.8580690000000005E-3</v>
      </c>
      <c r="W3843">
        <v>0.17219679999999901</v>
      </c>
      <c r="X3843">
        <v>0.9850312</v>
      </c>
      <c r="Y3843">
        <v>2.8942160000000001E-2</v>
      </c>
      <c r="Z3843">
        <v>3.5887299999999997E-2</v>
      </c>
      <c r="AA3843">
        <v>0.99893670000000001</v>
      </c>
      <c r="AB3843">
        <v>27</v>
      </c>
      <c r="AC3843">
        <v>-2.7713999999999999</v>
      </c>
      <c r="AD3843">
        <v>-1.12264035872</v>
      </c>
      <c r="AE3843">
        <v>-23.979600000000001</v>
      </c>
      <c r="AF3843">
        <v>0.70511042419041803</v>
      </c>
      <c r="AG3843">
        <v>-1.12264035872</v>
      </c>
      <c r="AH3843">
        <v>24.076798062816401</v>
      </c>
      <c r="AI3843">
        <v>92.668481662407402</v>
      </c>
      <c r="AJ3843">
        <v>88.322521648914801</v>
      </c>
      <c r="AK3843">
        <v>24.113268277920501</v>
      </c>
      <c r="AL3843">
        <v>80.084429480327103</v>
      </c>
      <c r="AM3843">
        <v>90.457066373314504</v>
      </c>
      <c r="AN3843">
        <v>0.99999997607604396</v>
      </c>
    </row>
    <row r="3844" spans="1:40" x14ac:dyDescent="0.25">
      <c r="A3844" t="str">
        <f>"20190303162856949"</f>
        <v>20190303162856949</v>
      </c>
      <c r="B3844" t="str">
        <f>"1551601736935346"</f>
        <v>1551601736935346</v>
      </c>
      <c r="C3844" t="s">
        <v>40</v>
      </c>
      <c r="D3844">
        <v>4.9309649999999996</v>
      </c>
      <c r="E3844">
        <v>0.51535790000000004</v>
      </c>
      <c r="F3844" t="s">
        <v>56</v>
      </c>
      <c r="G3844">
        <v>-194.20849999999999</v>
      </c>
      <c r="H3844" s="1">
        <v>-1.1906609999999999E-5</v>
      </c>
      <c r="I3844">
        <v>150.7004</v>
      </c>
      <c r="J3844">
        <v>-191.36709999999999</v>
      </c>
      <c r="K3844">
        <v>1.122625</v>
      </c>
      <c r="L3844">
        <v>175.6035</v>
      </c>
      <c r="M3844">
        <v>-8.4227469999999999E-2</v>
      </c>
      <c r="N3844">
        <v>-1.0025589999999999E-2</v>
      </c>
      <c r="O3844">
        <v>-0.99639639999999996</v>
      </c>
      <c r="P3844">
        <v>-7.720784E-2</v>
      </c>
      <c r="Q3844">
        <v>0.16288159999999999</v>
      </c>
      <c r="R3844">
        <v>-0.98362039999999995</v>
      </c>
      <c r="S3844">
        <v>-0.34667969999999998</v>
      </c>
      <c r="T3844">
        <v>-0.13636099999999901</v>
      </c>
      <c r="U3844">
        <v>-3.0448460000000002</v>
      </c>
      <c r="V3844">
        <v>-6.6211730000000002E-3</v>
      </c>
      <c r="W3844">
        <v>0.1727397</v>
      </c>
      <c r="X3844">
        <v>0.98494519999999997</v>
      </c>
      <c r="Y3844">
        <v>2.8958979999999999E-2</v>
      </c>
      <c r="Z3844">
        <v>3.437904E-2</v>
      </c>
      <c r="AA3844">
        <v>0.99898920000000002</v>
      </c>
      <c r="AB3844">
        <v>27</v>
      </c>
      <c r="AC3844">
        <v>-2.8413999999999899</v>
      </c>
      <c r="AD3844">
        <v>-1.1226369066099999</v>
      </c>
      <c r="AE3844">
        <v>-24.903099999999899</v>
      </c>
      <c r="AF3844">
        <v>0.732203408374134</v>
      </c>
      <c r="AG3844">
        <v>-1.1226369066099999</v>
      </c>
      <c r="AH3844">
        <v>25.0037748996318</v>
      </c>
      <c r="AI3844">
        <v>92.569679202111203</v>
      </c>
      <c r="AJ3844">
        <v>88.322646098447905</v>
      </c>
      <c r="AK3844">
        <v>25.039672415724102</v>
      </c>
      <c r="AL3844">
        <v>80.052850082427</v>
      </c>
      <c r="AM3844">
        <v>90.385158031056704</v>
      </c>
      <c r="AN3844">
        <v>0.99999994544551096</v>
      </c>
    </row>
    <row r="3845" spans="1:40" x14ac:dyDescent="0.25">
      <c r="A3845" t="str">
        <f>"20190303162856966"</f>
        <v>20190303162856966</v>
      </c>
      <c r="B3845" t="str">
        <f>"1551601736955841"</f>
        <v>1551601736955841</v>
      </c>
      <c r="C3845" t="s">
        <v>40</v>
      </c>
      <c r="D3845">
        <v>4.9286969999999997</v>
      </c>
      <c r="E3845">
        <v>0.51504740000000004</v>
      </c>
      <c r="F3845" t="s">
        <v>56</v>
      </c>
      <c r="G3845">
        <v>-194.30240000000001</v>
      </c>
      <c r="H3845" s="1">
        <v>-1.145849E-5</v>
      </c>
      <c r="I3845">
        <v>149.61699999999999</v>
      </c>
      <c r="J3845">
        <v>-191.3827</v>
      </c>
      <c r="K3845">
        <v>1.122627</v>
      </c>
      <c r="L3845">
        <v>175.39709999999999</v>
      </c>
      <c r="M3845">
        <v>-8.241163E-2</v>
      </c>
      <c r="N3845">
        <v>-9.8237600000000008E-3</v>
      </c>
      <c r="O3845">
        <v>-0.99655000000000005</v>
      </c>
      <c r="P3845">
        <v>-7.8570849999999998E-2</v>
      </c>
      <c r="Q3845">
        <v>0.16319220000000001</v>
      </c>
      <c r="R3845">
        <v>-0.98346069999999997</v>
      </c>
      <c r="S3845">
        <v>-0.3439178</v>
      </c>
      <c r="T3845">
        <v>-0.13153480000000001</v>
      </c>
      <c r="U3845">
        <v>-3.0447389999999999</v>
      </c>
      <c r="V3845">
        <v>-3.4560400000000001E-3</v>
      </c>
      <c r="W3845">
        <v>0.17286319999999999</v>
      </c>
      <c r="X3845">
        <v>0.98493980000000003</v>
      </c>
      <c r="Y3845">
        <v>2.989522E-2</v>
      </c>
      <c r="Z3845">
        <v>3.302397E-2</v>
      </c>
      <c r="AA3845">
        <v>0.99900730000000004</v>
      </c>
      <c r="AB3845">
        <v>27</v>
      </c>
      <c r="AC3845">
        <v>-2.9197000000000002</v>
      </c>
      <c r="AD3845">
        <v>-1.12263845849</v>
      </c>
      <c r="AE3845">
        <v>-25.780099999999901</v>
      </c>
      <c r="AF3845">
        <v>0.78361765472192102</v>
      </c>
      <c r="AG3845">
        <v>-1.12263845849</v>
      </c>
      <c r="AH3845">
        <v>25.884562478453901</v>
      </c>
      <c r="AI3845">
        <v>92.482281097292599</v>
      </c>
      <c r="AJ3845">
        <v>88.265982830954698</v>
      </c>
      <c r="AK3845">
        <v>25.920743593466899</v>
      </c>
      <c r="AL3845">
        <v>80.045666728945804</v>
      </c>
      <c r="AM3845">
        <v>90.201043447687596</v>
      </c>
      <c r="AN3845">
        <v>1.00000001987538</v>
      </c>
    </row>
    <row r="3846" spans="1:40" x14ac:dyDescent="0.25">
      <c r="A3846" t="str">
        <f>"20190303162856990"</f>
        <v>20190303162856990</v>
      </c>
      <c r="B3846" t="str">
        <f>"1551601736975362"</f>
        <v>1551601736975362</v>
      </c>
      <c r="C3846" t="s">
        <v>40</v>
      </c>
      <c r="D3846">
        <v>4.8928770000000004</v>
      </c>
      <c r="E3846">
        <v>0.51503840000000001</v>
      </c>
      <c r="F3846" t="s">
        <v>56</v>
      </c>
      <c r="G3846">
        <v>-194.43039999999999</v>
      </c>
      <c r="H3846" s="1">
        <v>-1.119141E-5</v>
      </c>
      <c r="I3846">
        <v>148.51859999999999</v>
      </c>
      <c r="J3846">
        <v>-191.4025</v>
      </c>
      <c r="K3846">
        <v>1.122633</v>
      </c>
      <c r="L3846">
        <v>175.12649999999999</v>
      </c>
      <c r="M3846">
        <v>-8.0035980000000007E-2</v>
      </c>
      <c r="N3846">
        <v>-9.5962670000000003E-3</v>
      </c>
      <c r="O3846">
        <v>-0.99674609999999997</v>
      </c>
      <c r="P3846">
        <v>-7.9103140000000002E-2</v>
      </c>
      <c r="Q3846">
        <v>0.16337009999999999</v>
      </c>
      <c r="R3846">
        <v>-0.98338879999999995</v>
      </c>
      <c r="S3846">
        <v>-0.34515380000000001</v>
      </c>
      <c r="T3846">
        <v>-0.12713749999999999</v>
      </c>
      <c r="U3846">
        <v>-3.0439609999999999</v>
      </c>
      <c r="V3846">
        <v>-5.723452E-4</v>
      </c>
      <c r="W3846">
        <v>0.17282890000000001</v>
      </c>
      <c r="X3846">
        <v>0.98495169999999999</v>
      </c>
      <c r="Y3846">
        <v>3.2710950000000003E-2</v>
      </c>
      <c r="Z3846">
        <v>3.1840279999999999E-2</v>
      </c>
      <c r="AA3846">
        <v>0.9989576</v>
      </c>
      <c r="AB3846">
        <v>27</v>
      </c>
      <c r="AC3846">
        <v>-3.0278999999999798</v>
      </c>
      <c r="AD3846">
        <v>-1.12264419141</v>
      </c>
      <c r="AE3846">
        <v>-26.607900000000001</v>
      </c>
      <c r="AF3846">
        <v>0.88694006851458096</v>
      </c>
      <c r="AG3846">
        <v>-1.12264419141</v>
      </c>
      <c r="AH3846">
        <v>26.717930822182399</v>
      </c>
      <c r="AI3846">
        <v>92.404737452389099</v>
      </c>
      <c r="AJ3846">
        <v>88.0986825624814</v>
      </c>
      <c r="AK3846">
        <v>26.756210869339601</v>
      </c>
      <c r="AL3846">
        <v>80.047661843660293</v>
      </c>
      <c r="AM3846">
        <v>90.0332939784697</v>
      </c>
      <c r="AN3846">
        <v>1.0000000037935599</v>
      </c>
    </row>
    <row r="3847" spans="1:40" x14ac:dyDescent="0.25">
      <c r="A3847" t="str">
        <f>"20190303162857011"</f>
        <v>20190303162857011</v>
      </c>
      <c r="B3847" t="str">
        <f>"1551601737005617"</f>
        <v>1551601737005617</v>
      </c>
      <c r="C3847" t="s">
        <v>40</v>
      </c>
      <c r="D3847">
        <v>4.8542509999999996</v>
      </c>
      <c r="E3847">
        <v>0.5146406</v>
      </c>
      <c r="F3847" t="s">
        <v>56</v>
      </c>
      <c r="G3847">
        <v>-194.55680000000001</v>
      </c>
      <c r="H3847" s="1">
        <v>-1.092532E-5</v>
      </c>
      <c r="I3847">
        <v>147.42449999999999</v>
      </c>
      <c r="J3847">
        <v>-191.4212</v>
      </c>
      <c r="K3847">
        <v>1.122635</v>
      </c>
      <c r="L3847">
        <v>174.863</v>
      </c>
      <c r="M3847">
        <v>-7.7733090000000005E-2</v>
      </c>
      <c r="N3847">
        <v>-9.4110489999999995E-3</v>
      </c>
      <c r="O3847">
        <v>-0.99692990000000004</v>
      </c>
      <c r="P3847">
        <v>-8.0213469999999995E-2</v>
      </c>
      <c r="Q3847">
        <v>0.16391159999999999</v>
      </c>
      <c r="R3847">
        <v>-0.98320890000000005</v>
      </c>
      <c r="S3847">
        <v>-0.34652709999999998</v>
      </c>
      <c r="T3847">
        <v>-0.12333180000000001</v>
      </c>
      <c r="U3847">
        <v>-3.0432890000000001</v>
      </c>
      <c r="V3847">
        <v>2.8239300000000001E-3</v>
      </c>
      <c r="W3847">
        <v>0.17320139999999901</v>
      </c>
      <c r="X3847">
        <v>0.98488240000000005</v>
      </c>
      <c r="Y3847">
        <v>3.549302E-2</v>
      </c>
      <c r="Z3847">
        <v>3.0803130000000001E-2</v>
      </c>
      <c r="AA3847">
        <v>0.99889510000000004</v>
      </c>
      <c r="AB3847">
        <v>27</v>
      </c>
      <c r="AC3847">
        <v>-3.1356000000000099</v>
      </c>
      <c r="AD3847">
        <v>-1.1226459253200001</v>
      </c>
      <c r="AE3847">
        <v>-27.438500000000001</v>
      </c>
      <c r="AF3847">
        <v>0.99149946334150896</v>
      </c>
      <c r="AG3847">
        <v>-1.1226459253200001</v>
      </c>
      <c r="AH3847">
        <v>27.553688770826401</v>
      </c>
      <c r="AI3847">
        <v>92.331658036090005</v>
      </c>
      <c r="AJ3847">
        <v>87.939142224920602</v>
      </c>
      <c r="AK3847">
        <v>27.594368446097999</v>
      </c>
      <c r="AL3847">
        <v>80.025992542178102</v>
      </c>
      <c r="AM3847">
        <v>89.835717617409003</v>
      </c>
      <c r="AN3847">
        <v>1.0000000206861801</v>
      </c>
    </row>
    <row r="3848" spans="1:40" x14ac:dyDescent="0.25">
      <c r="A3848" t="str">
        <f>"20190303162857024"</f>
        <v>20190303162857024</v>
      </c>
      <c r="B3848" t="str">
        <f>"1551601737015378"</f>
        <v>1551601737015378</v>
      </c>
      <c r="C3848" t="s">
        <v>40</v>
      </c>
      <c r="D3848">
        <v>4.8814909999999996</v>
      </c>
      <c r="E3848">
        <v>0.51453839999999995</v>
      </c>
      <c r="F3848" t="s">
        <v>56</v>
      </c>
      <c r="G3848">
        <v>-194.72110000000001</v>
      </c>
      <c r="H3848" s="1">
        <v>-1.054776E-5</v>
      </c>
      <c r="I3848">
        <v>145.88229999999999</v>
      </c>
      <c r="J3848">
        <v>-191.43279999999999</v>
      </c>
      <c r="K3848">
        <v>1.1226339999999999</v>
      </c>
      <c r="L3848">
        <v>174.69720000000001</v>
      </c>
      <c r="M3848">
        <v>-7.6289850000000006E-2</v>
      </c>
      <c r="N3848">
        <v>-9.3075380000000006E-3</v>
      </c>
      <c r="O3848">
        <v>-0.9970424</v>
      </c>
      <c r="P3848">
        <v>-8.0576830000000002E-2</v>
      </c>
      <c r="Q3848">
        <v>0.16404869999999999</v>
      </c>
      <c r="R3848">
        <v>-0.98315580000000002</v>
      </c>
      <c r="S3848">
        <v>-0.3464508</v>
      </c>
      <c r="T3848">
        <v>-0.1178645</v>
      </c>
      <c r="U3848">
        <v>-3.0426329999999999</v>
      </c>
      <c r="V3848">
        <v>4.6177190000000002E-3</v>
      </c>
      <c r="W3848">
        <v>0.1732436</v>
      </c>
      <c r="X3848">
        <v>0.98486819999999997</v>
      </c>
      <c r="Y3848">
        <v>3.6944980000000002E-2</v>
      </c>
      <c r="Z3848">
        <v>2.9140599999999999E-2</v>
      </c>
      <c r="AA3848">
        <v>0.99889229999999996</v>
      </c>
      <c r="AB3848">
        <v>27</v>
      </c>
      <c r="AC3848">
        <v>-3.28830000000002</v>
      </c>
      <c r="AD3848">
        <v>-1.12264454776</v>
      </c>
      <c r="AE3848">
        <v>-28.814900000000002</v>
      </c>
      <c r="AF3848">
        <v>1.07872038205194</v>
      </c>
      <c r="AG3848">
        <v>-1.12264454776</v>
      </c>
      <c r="AH3848">
        <v>28.938430051747801</v>
      </c>
      <c r="AI3848">
        <v>92.220092083506998</v>
      </c>
      <c r="AJ3848">
        <v>87.865208245571097</v>
      </c>
      <c r="AK3848">
        <v>28.980281266805701</v>
      </c>
      <c r="AL3848">
        <v>80.023537538758504</v>
      </c>
      <c r="AM3848">
        <v>89.731361139564797</v>
      </c>
      <c r="AN3848">
        <v>1.0000000198204799</v>
      </c>
    </row>
    <row r="3849" spans="1:40" x14ac:dyDescent="0.25">
      <c r="A3849" t="str">
        <f>"20190303162857036"</f>
        <v>20190303162857036</v>
      </c>
      <c r="B3849" t="str">
        <f>"1551601737025138"</f>
        <v>1551601737025138</v>
      </c>
      <c r="C3849" t="s">
        <v>40</v>
      </c>
      <c r="D3849">
        <v>4.8598140000000001</v>
      </c>
      <c r="E3849">
        <v>0.5144609</v>
      </c>
      <c r="F3849" t="s">
        <v>56</v>
      </c>
      <c r="G3849">
        <v>-194.76589999999999</v>
      </c>
      <c r="H3849" s="1">
        <v>-1.0436769999999999E-5</v>
      </c>
      <c r="I3849">
        <v>145.43129999999999</v>
      </c>
      <c r="J3849">
        <v>-191.44300000000001</v>
      </c>
      <c r="K3849">
        <v>1.122627</v>
      </c>
      <c r="L3849">
        <v>174.54519999999999</v>
      </c>
      <c r="M3849">
        <v>-7.4979370000000004E-2</v>
      </c>
      <c r="N3849">
        <v>-9.2244949999999992E-3</v>
      </c>
      <c r="O3849">
        <v>-0.99714239999999998</v>
      </c>
      <c r="P3849">
        <v>-8.1216049999999998E-2</v>
      </c>
      <c r="Q3849">
        <v>0.16425490000000001</v>
      </c>
      <c r="R3849">
        <v>-0.98306910000000003</v>
      </c>
      <c r="S3849">
        <v>-0.34651179999999998</v>
      </c>
      <c r="T3849">
        <v>-0.1167096</v>
      </c>
      <c r="U3849">
        <v>-3.042465</v>
      </c>
      <c r="V3849">
        <v>6.5588540000000002E-3</v>
      </c>
      <c r="W3849">
        <v>0.17337559999999999</v>
      </c>
      <c r="X3849">
        <v>0.98483399999999999</v>
      </c>
      <c r="Y3849">
        <v>3.828517E-2</v>
      </c>
      <c r="Z3849">
        <v>2.8853469999999999E-2</v>
      </c>
      <c r="AA3849">
        <v>0.99885020000000002</v>
      </c>
      <c r="AB3849">
        <v>27</v>
      </c>
      <c r="AC3849">
        <v>-3.3229000000000002</v>
      </c>
      <c r="AD3849">
        <v>-1.1226374367700001</v>
      </c>
      <c r="AE3849">
        <v>-29.113900000000001</v>
      </c>
      <c r="AF3849">
        <v>1.12885382550174</v>
      </c>
      <c r="AG3849">
        <v>-1.1226374367700001</v>
      </c>
      <c r="AH3849">
        <v>29.238184549317499</v>
      </c>
      <c r="AI3849">
        <v>92.197229047256997</v>
      </c>
      <c r="AJ3849">
        <v>87.788971785397706</v>
      </c>
      <c r="AK3849">
        <v>29.2814969138146</v>
      </c>
      <c r="AL3849">
        <v>80.015858718405994</v>
      </c>
      <c r="AM3849">
        <v>89.6184239203468</v>
      </c>
      <c r="AN3849">
        <v>1.0000000623985701</v>
      </c>
    </row>
    <row r="3850" spans="1:40" x14ac:dyDescent="0.25">
      <c r="A3850" t="str">
        <f>"20190303162857054"</f>
        <v>20190303162857054</v>
      </c>
      <c r="B3850" t="str">
        <f>"1551601737045633"</f>
        <v>1551601737045633</v>
      </c>
      <c r="C3850" t="s">
        <v>40</v>
      </c>
      <c r="D3850">
        <v>4.8760139999999996</v>
      </c>
      <c r="E3850">
        <v>0.5143915</v>
      </c>
      <c r="F3850" t="s">
        <v>56</v>
      </c>
      <c r="G3850">
        <v>-194.8201</v>
      </c>
      <c r="H3850" s="1">
        <v>-1.033701E-5</v>
      </c>
      <c r="I3850">
        <v>145.01660000000001</v>
      </c>
      <c r="J3850">
        <v>-191.4572</v>
      </c>
      <c r="K3850">
        <v>1.1226100000000001</v>
      </c>
      <c r="L3850">
        <v>174.33170000000001</v>
      </c>
      <c r="M3850">
        <v>-7.3156550000000001E-2</v>
      </c>
      <c r="N3850">
        <v>-9.1194680000000004E-3</v>
      </c>
      <c r="O3850">
        <v>-0.99727900000000003</v>
      </c>
      <c r="P3850">
        <v>-8.3584779999999997E-2</v>
      </c>
      <c r="Q3850">
        <v>0.16362270000000001</v>
      </c>
      <c r="R3850">
        <v>-0.98297579999999996</v>
      </c>
      <c r="S3850">
        <v>-0.34793089999999999</v>
      </c>
      <c r="T3850">
        <v>-0.1156628</v>
      </c>
      <c r="U3850">
        <v>-3.0422669999999998</v>
      </c>
      <c r="V3850">
        <v>1.073793E-2</v>
      </c>
      <c r="W3850">
        <v>0.17265749999999999</v>
      </c>
      <c r="X3850">
        <v>0.9849234</v>
      </c>
      <c r="Y3850">
        <v>4.057943E-2</v>
      </c>
      <c r="Z3850">
        <v>2.8623900000000001E-2</v>
      </c>
      <c r="AA3850">
        <v>0.99876620000000005</v>
      </c>
      <c r="AB3850">
        <v>27</v>
      </c>
      <c r="AC3850">
        <v>-3.36289999999999</v>
      </c>
      <c r="AD3850">
        <v>-1.1226203370100001</v>
      </c>
      <c r="AE3850">
        <v>-29.315100000000001</v>
      </c>
      <c r="AF3850">
        <v>1.20746023656419</v>
      </c>
      <c r="AG3850">
        <v>-1.1226203370100001</v>
      </c>
      <c r="AH3850">
        <v>29.439958107877501</v>
      </c>
      <c r="AI3850">
        <v>92.181942802324699</v>
      </c>
      <c r="AJ3850">
        <v>87.651368183364994</v>
      </c>
      <c r="AK3850">
        <v>29.486087737058899</v>
      </c>
      <c r="AL3850">
        <v>80.057632284927095</v>
      </c>
      <c r="AM3850">
        <v>89.375368992467003</v>
      </c>
      <c r="AN3850">
        <v>1.0000000096572399</v>
      </c>
    </row>
    <row r="3851" spans="1:40" x14ac:dyDescent="0.25">
      <c r="A3851" t="str">
        <f>"20190303162857076"</f>
        <v>20190303162857076</v>
      </c>
      <c r="B3851" t="str">
        <f>"1551601737065154"</f>
        <v>1551601737065154</v>
      </c>
      <c r="C3851" t="s">
        <v>40</v>
      </c>
      <c r="D3851">
        <v>4.8409659999999999</v>
      </c>
      <c r="E3851">
        <v>0.51419440000000005</v>
      </c>
      <c r="F3851" t="s">
        <v>56</v>
      </c>
      <c r="G3851">
        <v>-194.85220000000001</v>
      </c>
      <c r="H3851" s="1">
        <v>-1.039135E-5</v>
      </c>
      <c r="I3851">
        <v>145.20099999999999</v>
      </c>
      <c r="J3851">
        <v>-191.4743</v>
      </c>
      <c r="K3851">
        <v>1.122576</v>
      </c>
      <c r="L3851">
        <v>174.06559999999999</v>
      </c>
      <c r="M3851">
        <v>-7.092764E-2</v>
      </c>
      <c r="N3851">
        <v>-9.0122009999999992E-3</v>
      </c>
      <c r="O3851">
        <v>-0.99744089999999996</v>
      </c>
      <c r="P3851">
        <v>-8.5342849999999998E-2</v>
      </c>
      <c r="Q3851">
        <v>0.16169839999999999</v>
      </c>
      <c r="R3851">
        <v>-0.98314330000000005</v>
      </c>
      <c r="S3851">
        <v>-0.35444639999999999</v>
      </c>
      <c r="T3851">
        <v>-0.1172048</v>
      </c>
      <c r="U3851">
        <v>-3.0413209999999999</v>
      </c>
      <c r="V3851">
        <v>1.470159E-2</v>
      </c>
      <c r="W3851">
        <v>0.17064550000000001</v>
      </c>
      <c r="X3851">
        <v>0.98522279999999995</v>
      </c>
      <c r="Y3851">
        <v>4.4955670000000003E-2</v>
      </c>
      <c r="Z3851">
        <v>2.924502E-2</v>
      </c>
      <c r="AA3851">
        <v>0.99856080000000003</v>
      </c>
      <c r="AB3851">
        <v>27</v>
      </c>
      <c r="AC3851">
        <v>-3.3779000000000101</v>
      </c>
      <c r="AD3851">
        <v>-1.12258639135</v>
      </c>
      <c r="AE3851">
        <v>-28.864599999999999</v>
      </c>
      <c r="AF3851">
        <v>1.3200415002893999</v>
      </c>
      <c r="AG3851">
        <v>-1.12258639135</v>
      </c>
      <c r="AH3851">
        <v>28.988240054709902</v>
      </c>
      <c r="AI3851">
        <v>92.2154106008784</v>
      </c>
      <c r="AJ3851">
        <v>87.392715343315601</v>
      </c>
      <c r="AK3851">
        <v>29.039985730678598</v>
      </c>
      <c r="AL3851">
        <v>80.174648045074207</v>
      </c>
      <c r="AM3851">
        <v>89.145090281549599</v>
      </c>
      <c r="AN3851">
        <v>0.99999999452930899</v>
      </c>
    </row>
    <row r="3852" spans="1:40" x14ac:dyDescent="0.25">
      <c r="A3852" t="str">
        <f>"20190303162857090"</f>
        <v>20190303162857090</v>
      </c>
      <c r="B3852" t="str">
        <f>"1551601737075889"</f>
        <v>1551601737075889</v>
      </c>
      <c r="C3852" t="s">
        <v>40</v>
      </c>
      <c r="D3852">
        <v>4.8618980000000001</v>
      </c>
      <c r="E3852">
        <v>0.51423660000000004</v>
      </c>
      <c r="F3852" t="s">
        <v>56</v>
      </c>
      <c r="G3852">
        <v>-194.7818</v>
      </c>
      <c r="H3852" s="1">
        <v>-1.05868E-5</v>
      </c>
      <c r="I3852">
        <v>145.98949999999999</v>
      </c>
      <c r="J3852">
        <v>-191.48500000000001</v>
      </c>
      <c r="K3852">
        <v>1.122549</v>
      </c>
      <c r="L3852">
        <v>173.89500000000001</v>
      </c>
      <c r="M3852">
        <v>-6.9529530000000006E-2</v>
      </c>
      <c r="N3852">
        <v>-8.9577440000000001E-3</v>
      </c>
      <c r="O3852">
        <v>-0.99753999999999998</v>
      </c>
      <c r="P3852">
        <v>-8.5872110000000001E-2</v>
      </c>
      <c r="Q3852">
        <v>0.160302799999999</v>
      </c>
      <c r="R3852">
        <v>-0.98332609999999998</v>
      </c>
      <c r="S3852">
        <v>-0.35816959999999998</v>
      </c>
      <c r="T3852">
        <v>-0.1215647</v>
      </c>
      <c r="U3852">
        <v>-3.040359</v>
      </c>
      <c r="V3852">
        <v>1.6614090000000001E-2</v>
      </c>
      <c r="W3852">
        <v>0.16920479999999999</v>
      </c>
      <c r="X3852">
        <v>0.98544089999999995</v>
      </c>
      <c r="Y3852">
        <v>4.7592290000000002E-2</v>
      </c>
      <c r="Z3852">
        <v>3.073176E-2</v>
      </c>
      <c r="AA3852">
        <v>0.998394</v>
      </c>
      <c r="AB3852">
        <v>27</v>
      </c>
      <c r="AC3852">
        <v>-3.29679999999999</v>
      </c>
      <c r="AD3852">
        <v>-1.1225595868</v>
      </c>
      <c r="AE3852">
        <v>-27.9055</v>
      </c>
      <c r="AF3852">
        <v>1.3463385487092401</v>
      </c>
      <c r="AG3852">
        <v>-1.1225595868</v>
      </c>
      <c r="AH3852">
        <v>28.022471937739098</v>
      </c>
      <c r="AI3852">
        <v>92.291359910445294</v>
      </c>
      <c r="AJ3852">
        <v>87.249341717804796</v>
      </c>
      <c r="AK3852">
        <v>28.077245253319099</v>
      </c>
      <c r="AL3852">
        <v>80.258412616093295</v>
      </c>
      <c r="AM3852">
        <v>89.034110457115005</v>
      </c>
      <c r="AN3852">
        <v>1.00000002986118</v>
      </c>
    </row>
    <row r="3853" spans="1:40" x14ac:dyDescent="0.25">
      <c r="A3853" t="str">
        <f>"20190303162857103"</f>
        <v>20190303162857103</v>
      </c>
      <c r="B3853" t="str">
        <f>"1551601737095410"</f>
        <v>1551601737095410</v>
      </c>
      <c r="C3853" t="s">
        <v>40</v>
      </c>
      <c r="D3853">
        <v>4.8795469999999996</v>
      </c>
      <c r="E3853">
        <v>0.51403750000000004</v>
      </c>
      <c r="F3853" t="s">
        <v>56</v>
      </c>
      <c r="G3853">
        <v>-194.70570000000001</v>
      </c>
      <c r="H3853" s="1">
        <v>-1.0766590000000001E-5</v>
      </c>
      <c r="I3853">
        <v>146.7225</v>
      </c>
      <c r="J3853">
        <v>-191.4949</v>
      </c>
      <c r="K3853">
        <v>1.1225229999999999</v>
      </c>
      <c r="L3853">
        <v>173.7353</v>
      </c>
      <c r="M3853">
        <v>-6.8239850000000005E-2</v>
      </c>
      <c r="N3853">
        <v>-8.9144069999999992E-3</v>
      </c>
      <c r="O3853">
        <v>-0.9976294</v>
      </c>
      <c r="P3853">
        <v>-8.6444480000000004E-2</v>
      </c>
      <c r="Q3853">
        <v>0.15851960000000001</v>
      </c>
      <c r="R3853">
        <v>-0.98356489999999996</v>
      </c>
      <c r="S3853">
        <v>-0.36030580000000001</v>
      </c>
      <c r="T3853">
        <v>-0.12558510000000001</v>
      </c>
      <c r="U3853">
        <v>-3.0398860000000001</v>
      </c>
      <c r="V3853">
        <v>1.846105E-2</v>
      </c>
      <c r="W3853">
        <v>0.1673877</v>
      </c>
      <c r="X3853">
        <v>0.98571830000000005</v>
      </c>
      <c r="Y3853">
        <v>4.9587859999999997E-2</v>
      </c>
      <c r="Z3853">
        <v>3.2092019999999999E-2</v>
      </c>
      <c r="AA3853">
        <v>0.99825410000000003</v>
      </c>
      <c r="AB3853">
        <v>27</v>
      </c>
      <c r="AC3853">
        <v>-3.2107999999999999</v>
      </c>
      <c r="AD3853">
        <v>-1.1225337665899999</v>
      </c>
      <c r="AE3853">
        <v>-27.012799999999999</v>
      </c>
      <c r="AF3853">
        <v>1.3575810028859201</v>
      </c>
      <c r="AG3853">
        <v>-1.1225337665899999</v>
      </c>
      <c r="AH3853">
        <v>27.122754886846</v>
      </c>
      <c r="AI3853">
        <v>92.366997169090098</v>
      </c>
      <c r="AJ3853">
        <v>87.134553556702599</v>
      </c>
      <c r="AK3853">
        <v>27.179899574657298</v>
      </c>
      <c r="AL3853">
        <v>80.364031089837596</v>
      </c>
      <c r="AM3853">
        <v>88.927059986370296</v>
      </c>
      <c r="AN3853">
        <v>1.0000000097166399</v>
      </c>
    </row>
    <row r="3854" spans="1:40" x14ac:dyDescent="0.25">
      <c r="A3854" t="str">
        <f>"20190303162857115"</f>
        <v>20190303162857115</v>
      </c>
      <c r="B3854" t="str">
        <f>"1551601737105169"</f>
        <v>1551601737105169</v>
      </c>
      <c r="C3854" t="s">
        <v>40</v>
      </c>
      <c r="D3854">
        <v>4.8494219999999997</v>
      </c>
      <c r="E3854">
        <v>0.51406779999999996</v>
      </c>
      <c r="F3854" t="s">
        <v>56</v>
      </c>
      <c r="G3854">
        <v>-194.59360000000001</v>
      </c>
      <c r="H3854" s="1">
        <v>-1.098039E-5</v>
      </c>
      <c r="I3854">
        <v>147.6086</v>
      </c>
      <c r="J3854">
        <v>-191.5042</v>
      </c>
      <c r="K3854">
        <v>1.122487</v>
      </c>
      <c r="L3854">
        <v>173.58109999999999</v>
      </c>
      <c r="M3854">
        <v>-6.7035269999999994E-2</v>
      </c>
      <c r="N3854">
        <v>-8.8821690000000005E-3</v>
      </c>
      <c r="O3854">
        <v>-0.99771109999999996</v>
      </c>
      <c r="P3854">
        <v>-8.7107539999999997E-2</v>
      </c>
      <c r="Q3854">
        <v>0.1567991</v>
      </c>
      <c r="R3854">
        <v>-0.98378180000000004</v>
      </c>
      <c r="S3854">
        <v>-0.3604889</v>
      </c>
      <c r="T3854">
        <v>-0.13059380000000001</v>
      </c>
      <c r="U3854">
        <v>-3.039536</v>
      </c>
      <c r="V3854">
        <v>2.031784E-2</v>
      </c>
      <c r="W3854">
        <v>0.16564329999999999</v>
      </c>
      <c r="X3854">
        <v>0.98597639999999998</v>
      </c>
      <c r="Y3854">
        <v>5.0859389999999997E-2</v>
      </c>
      <c r="Z3854">
        <v>3.376349E-2</v>
      </c>
      <c r="AA3854">
        <v>0.99813490000000005</v>
      </c>
      <c r="AB3854">
        <v>27</v>
      </c>
      <c r="AC3854">
        <v>-3.0894000000000101</v>
      </c>
      <c r="AD3854">
        <v>-1.1224979803899999</v>
      </c>
      <c r="AE3854">
        <v>-25.9725</v>
      </c>
      <c r="AF3854">
        <v>1.3388421169686799</v>
      </c>
      <c r="AG3854">
        <v>-1.1224979803899999</v>
      </c>
      <c r="AH3854">
        <v>26.073158456757302</v>
      </c>
      <c r="AI3854">
        <v>92.461927998915797</v>
      </c>
      <c r="AJ3854">
        <v>87.060475536835199</v>
      </c>
      <c r="AK3854">
        <v>26.131630103025</v>
      </c>
      <c r="AL3854">
        <v>80.465392795330004</v>
      </c>
      <c r="AM3854">
        <v>88.819483159900798</v>
      </c>
      <c r="AN3854">
        <v>0.99999998940705703</v>
      </c>
    </row>
    <row r="3855" spans="1:40" x14ac:dyDescent="0.25">
      <c r="A3855" t="str">
        <f>"20190303162857135"</f>
        <v>20190303162857135</v>
      </c>
      <c r="B3855" t="str">
        <f>"1551601737125666"</f>
        <v>1551601737125666</v>
      </c>
      <c r="C3855" t="s">
        <v>40</v>
      </c>
      <c r="D3855">
        <v>4.8604609999999999</v>
      </c>
      <c r="E3855">
        <v>0.51408339999999997</v>
      </c>
      <c r="F3855" t="s">
        <v>56</v>
      </c>
      <c r="G3855">
        <v>-194.51070000000001</v>
      </c>
      <c r="H3855" s="1">
        <v>-1.117398E-5</v>
      </c>
      <c r="I3855">
        <v>148.39850000000001</v>
      </c>
      <c r="J3855">
        <v>-191.51830000000001</v>
      </c>
      <c r="K3855">
        <v>1.1224229999999999</v>
      </c>
      <c r="L3855">
        <v>173.3432</v>
      </c>
      <c r="M3855">
        <v>-6.5229330000000002E-2</v>
      </c>
      <c r="N3855">
        <v>-8.8383699999999999E-3</v>
      </c>
      <c r="O3855">
        <v>-0.99783129999999998</v>
      </c>
      <c r="P3855">
        <v>-8.9403529999999995E-2</v>
      </c>
      <c r="Q3855">
        <v>0.15378839999999999</v>
      </c>
      <c r="R3855">
        <v>-0.98405120000000001</v>
      </c>
      <c r="S3855">
        <v>-0.36280820000000003</v>
      </c>
      <c r="T3855">
        <v>-0.13545860000000001</v>
      </c>
      <c r="U3855">
        <v>-3.0389400000000002</v>
      </c>
      <c r="V3855">
        <v>2.4410149999999999E-2</v>
      </c>
      <c r="W3855">
        <v>0.1626061</v>
      </c>
      <c r="X3855">
        <v>0.98638899999999996</v>
      </c>
      <c r="Y3855">
        <v>5.3433269999999998E-2</v>
      </c>
      <c r="Z3855">
        <v>3.5402500000000003E-2</v>
      </c>
      <c r="AA3855">
        <v>0.99794360000000004</v>
      </c>
      <c r="AB3855">
        <v>27</v>
      </c>
      <c r="AC3855">
        <v>-2.9923999999999999</v>
      </c>
      <c r="AD3855">
        <v>-1.1224341739799999</v>
      </c>
      <c r="AE3855">
        <v>-24.944699999999902</v>
      </c>
      <c r="AF3855">
        <v>1.35613036273016</v>
      </c>
      <c r="AG3855">
        <v>-1.1224341739799999</v>
      </c>
      <c r="AH3855">
        <v>25.036797585436801</v>
      </c>
      <c r="AI3855">
        <v>92.563177760856405</v>
      </c>
      <c r="AJ3855">
        <v>86.899575877141004</v>
      </c>
      <c r="AK3855">
        <v>25.0986091520979</v>
      </c>
      <c r="AL3855">
        <v>80.641803249357494</v>
      </c>
      <c r="AM3855">
        <v>88.582391763838203</v>
      </c>
      <c r="AN3855">
        <v>0.99999992925061298</v>
      </c>
    </row>
    <row r="3856" spans="1:40" x14ac:dyDescent="0.25">
      <c r="A3856" t="str">
        <f>"20190303162857154"</f>
        <v>20190303162857154</v>
      </c>
      <c r="B3856" t="str">
        <f>"1551601737145185"</f>
        <v>1551601737145185</v>
      </c>
      <c r="C3856" t="s">
        <v>40</v>
      </c>
      <c r="D3856">
        <v>4.8818619999999999</v>
      </c>
      <c r="E3856">
        <v>0.51426099999999997</v>
      </c>
      <c r="F3856" t="s">
        <v>56</v>
      </c>
      <c r="G3856">
        <v>-194.40600000000001</v>
      </c>
      <c r="H3856" s="1">
        <v>-1.14762E-5</v>
      </c>
      <c r="I3856">
        <v>149.61490000000001</v>
      </c>
      <c r="J3856">
        <v>-191.53229999999999</v>
      </c>
      <c r="K3856">
        <v>1.1223430000000001</v>
      </c>
      <c r="L3856">
        <v>173.0992</v>
      </c>
      <c r="M3856">
        <v>-6.3467380000000004E-2</v>
      </c>
      <c r="N3856">
        <v>-8.8014349999999998E-3</v>
      </c>
      <c r="O3856">
        <v>-0.99794519999999998</v>
      </c>
      <c r="P3856">
        <v>-9.2032249999999996E-2</v>
      </c>
      <c r="Q3856">
        <v>0.15278699999999901</v>
      </c>
      <c r="R3856">
        <v>-0.98396459999999997</v>
      </c>
      <c r="S3856">
        <v>-0.36965940000000003</v>
      </c>
      <c r="T3856">
        <v>-0.14368429999999999</v>
      </c>
      <c r="U3856">
        <v>-3.0374910000000002</v>
      </c>
      <c r="V3856">
        <v>2.881154E-2</v>
      </c>
      <c r="W3856">
        <v>0.16158029999999901</v>
      </c>
      <c r="X3856">
        <v>0.98643890000000001</v>
      </c>
      <c r="Y3856">
        <v>5.7456970000000003E-2</v>
      </c>
      <c r="Z3856">
        <v>3.8136839999999998E-2</v>
      </c>
      <c r="AA3856">
        <v>0.99761929999999999</v>
      </c>
      <c r="AB3856">
        <v>28</v>
      </c>
      <c r="AC3856">
        <v>-2.8736999999999799</v>
      </c>
      <c r="AD3856">
        <v>-1.1223544762</v>
      </c>
      <c r="AE3856">
        <v>-23.484299999999902</v>
      </c>
      <c r="AF3856">
        <v>1.3742687583533</v>
      </c>
      <c r="AG3856">
        <v>-1.1223544762</v>
      </c>
      <c r="AH3856">
        <v>23.566310766312501</v>
      </c>
      <c r="AI3856">
        <v>92.722055462051699</v>
      </c>
      <c r="AJ3856">
        <v>86.662577902357896</v>
      </c>
      <c r="AK3856">
        <v>23.6330128702383</v>
      </c>
      <c r="AL3856">
        <v>80.7013656148427</v>
      </c>
      <c r="AM3856">
        <v>88.327001839983495</v>
      </c>
      <c r="AN3856">
        <v>1.00000000080923</v>
      </c>
    </row>
    <row r="3857" spans="1:40" x14ac:dyDescent="0.25">
      <c r="A3857" t="str">
        <f>"20190303162857169"</f>
        <v>20190303162857169</v>
      </c>
      <c r="B3857" t="str">
        <f>"1551601737155923"</f>
        <v>1551601737155923</v>
      </c>
      <c r="C3857" t="s">
        <v>40</v>
      </c>
      <c r="D3857">
        <v>4.9027629999999904</v>
      </c>
      <c r="E3857">
        <v>0.51432389999999995</v>
      </c>
      <c r="F3857" t="s">
        <v>56</v>
      </c>
      <c r="G3857">
        <v>-194.40100000000001</v>
      </c>
      <c r="H3857" s="1">
        <v>-1.1683599999999999E-5</v>
      </c>
      <c r="I3857">
        <v>150.101</v>
      </c>
      <c r="J3857">
        <v>-191.542</v>
      </c>
      <c r="K3857">
        <v>1.1222909999999999</v>
      </c>
      <c r="L3857">
        <v>172.92779999999999</v>
      </c>
      <c r="M3857">
        <v>-6.2285269999999997E-2</v>
      </c>
      <c r="N3857">
        <v>-8.7806099999999995E-3</v>
      </c>
      <c r="O3857">
        <v>-0.99801989999999996</v>
      </c>
      <c r="P3857">
        <v>-9.336245E-2</v>
      </c>
      <c r="Q3857">
        <v>0.15259220000000001</v>
      </c>
      <c r="R3857">
        <v>-0.98386960000000001</v>
      </c>
      <c r="S3857">
        <v>-0.37875370000000003</v>
      </c>
      <c r="T3857">
        <v>-0.1481856</v>
      </c>
      <c r="U3857">
        <v>-3.0364840000000002</v>
      </c>
      <c r="V3857">
        <v>3.1335200000000001E-2</v>
      </c>
      <c r="W3857">
        <v>0.1613695</v>
      </c>
      <c r="X3857">
        <v>0.98639650000000001</v>
      </c>
      <c r="Y3857">
        <v>6.1613290000000001E-2</v>
      </c>
      <c r="Z3857">
        <v>3.9630569999999997E-2</v>
      </c>
      <c r="AA3857">
        <v>0.99731300000000001</v>
      </c>
      <c r="AB3857">
        <v>28</v>
      </c>
      <c r="AC3857">
        <v>-2.85899999999998</v>
      </c>
      <c r="AD3857">
        <v>-1.1223026836000001</v>
      </c>
      <c r="AE3857">
        <v>-22.826799999999899</v>
      </c>
      <c r="AF3857">
        <v>1.4282213726333199</v>
      </c>
      <c r="AG3857">
        <v>-1.1223026836000001</v>
      </c>
      <c r="AH3857">
        <v>22.906040710035001</v>
      </c>
      <c r="AI3857">
        <v>92.799588647988003</v>
      </c>
      <c r="AJ3857">
        <v>86.432152542990806</v>
      </c>
      <c r="AK3857">
        <v>22.977947702365501</v>
      </c>
      <c r="AL3857">
        <v>80.713604473247599</v>
      </c>
      <c r="AM3857">
        <v>88.1804769857672</v>
      </c>
      <c r="AN3857">
        <v>1.0000000327507601</v>
      </c>
    </row>
    <row r="3858" spans="1:40" x14ac:dyDescent="0.25">
      <c r="A3858" t="str">
        <f>"20190303162857190"</f>
        <v>20190303162857190</v>
      </c>
      <c r="B3858" t="str">
        <f>"1551601737175442"</f>
        <v>1551601737175442</v>
      </c>
      <c r="C3858" t="s">
        <v>40</v>
      </c>
      <c r="D3858">
        <v>4.914873</v>
      </c>
      <c r="E3858">
        <v>0.51442069999999995</v>
      </c>
      <c r="F3858" t="s">
        <v>56</v>
      </c>
      <c r="G3858">
        <v>-194.41579999999999</v>
      </c>
      <c r="H3858" s="1">
        <v>-1.17057199999999E-5</v>
      </c>
      <c r="I3858">
        <v>150.1464</v>
      </c>
      <c r="J3858">
        <v>-191.55619999999999</v>
      </c>
      <c r="K3858">
        <v>1.1222080000000001</v>
      </c>
      <c r="L3858">
        <v>172.672</v>
      </c>
      <c r="M3858">
        <v>-6.062302E-2</v>
      </c>
      <c r="N3858">
        <v>-8.7592199999999999E-3</v>
      </c>
      <c r="O3858">
        <v>-0.99812259999999997</v>
      </c>
      <c r="P3858">
        <v>-9.5941490000000004E-2</v>
      </c>
      <c r="Q3858">
        <v>0.15214369999999999</v>
      </c>
      <c r="R3858">
        <v>-0.98369119999999999</v>
      </c>
      <c r="S3858">
        <v>-0.3829803</v>
      </c>
      <c r="T3858">
        <v>-0.1495667</v>
      </c>
      <c r="U3858">
        <v>-3.0360260000000001</v>
      </c>
      <c r="V3858">
        <v>3.559905E-2</v>
      </c>
      <c r="W3858">
        <v>0.16090739999999901</v>
      </c>
      <c r="X3858">
        <v>0.98632730000000002</v>
      </c>
      <c r="Y3858">
        <v>6.4657480000000003E-2</v>
      </c>
      <c r="Z3858">
        <v>4.0107080000000003E-2</v>
      </c>
      <c r="AA3858">
        <v>0.99710120000000002</v>
      </c>
      <c r="AB3858">
        <v>28</v>
      </c>
      <c r="AC3858">
        <v>-2.8595999999999999</v>
      </c>
      <c r="AD3858">
        <v>-1.1222197057200001</v>
      </c>
      <c r="AE3858">
        <v>-22.525600000000001</v>
      </c>
      <c r="AF3858">
        <v>1.4850906088483</v>
      </c>
      <c r="AG3858">
        <v>-1.1222197057200001</v>
      </c>
      <c r="AH3858">
        <v>22.602321073803399</v>
      </c>
      <c r="AI3858">
        <v>92.836332079432495</v>
      </c>
      <c r="AJ3858">
        <v>86.240771409447106</v>
      </c>
      <c r="AK3858">
        <v>22.678840118218002</v>
      </c>
      <c r="AL3858">
        <v>80.740431249755403</v>
      </c>
      <c r="AM3858">
        <v>87.932947474885296</v>
      </c>
      <c r="AN3858">
        <v>1.0000000132304701</v>
      </c>
    </row>
    <row r="3859" spans="1:40" x14ac:dyDescent="0.25">
      <c r="A3859" t="str">
        <f>"20190303162857206"</f>
        <v>20190303162857206</v>
      </c>
      <c r="B3859" t="str">
        <f>"1551601737195937"</f>
        <v>1551601737195937</v>
      </c>
      <c r="C3859" t="s">
        <v>40</v>
      </c>
      <c r="D3859">
        <v>4.9237679999999999</v>
      </c>
      <c r="E3859">
        <v>0.51451959999999997</v>
      </c>
      <c r="F3859" t="s">
        <v>56</v>
      </c>
      <c r="G3859">
        <v>-194.45859999999999</v>
      </c>
      <c r="H3859" s="1">
        <v>-1.17280399999999E-5</v>
      </c>
      <c r="I3859">
        <v>150.1807</v>
      </c>
      <c r="J3859">
        <v>-191.5675</v>
      </c>
      <c r="K3859">
        <v>1.122128</v>
      </c>
      <c r="L3859">
        <v>172.4649</v>
      </c>
      <c r="M3859">
        <v>-5.9365429999999997E-2</v>
      </c>
      <c r="N3859">
        <v>-8.7486059999999904E-3</v>
      </c>
      <c r="O3859">
        <v>-0.99819809999999998</v>
      </c>
      <c r="P3859">
        <v>-9.6857410000000005E-2</v>
      </c>
      <c r="Q3859">
        <v>0.1518805</v>
      </c>
      <c r="R3859">
        <v>-0.98364220000000002</v>
      </c>
      <c r="S3859">
        <v>-0.39164729999999998</v>
      </c>
      <c r="T3859">
        <v>-0.15143280000000001</v>
      </c>
      <c r="U3859">
        <v>-3.0349729999999999</v>
      </c>
      <c r="V3859">
        <v>3.7790020000000001E-2</v>
      </c>
      <c r="W3859">
        <v>0.160634</v>
      </c>
      <c r="X3859">
        <v>0.98629029999999995</v>
      </c>
      <c r="Y3859">
        <v>6.875452E-2</v>
      </c>
      <c r="Z3859">
        <v>4.0732539999999998E-2</v>
      </c>
      <c r="AA3859">
        <v>0.99680170000000001</v>
      </c>
      <c r="AB3859">
        <v>28</v>
      </c>
      <c r="AC3859">
        <v>-2.89109999999999</v>
      </c>
      <c r="AD3859">
        <v>-1.1221397280399901</v>
      </c>
      <c r="AE3859">
        <v>-22.284199999999998</v>
      </c>
      <c r="AF3859">
        <v>1.5591509296602599</v>
      </c>
      <c r="AG3859">
        <v>-1.1221397280399901</v>
      </c>
      <c r="AH3859">
        <v>22.360770809330401</v>
      </c>
      <c r="AI3859">
        <v>92.865940723559206</v>
      </c>
      <c r="AJ3859">
        <v>86.011389100213705</v>
      </c>
      <c r="AK3859">
        <v>22.443133033917299</v>
      </c>
      <c r="AL3859">
        <v>80.756301890368107</v>
      </c>
      <c r="AM3859">
        <v>87.805767701729394</v>
      </c>
      <c r="AN3859">
        <v>0.99999996172084404</v>
      </c>
    </row>
    <row r="3860" spans="1:40" x14ac:dyDescent="0.25">
      <c r="A3860" t="str">
        <f>"20190303162857224"</f>
        <v>20190303162857224</v>
      </c>
      <c r="B3860" t="str">
        <f>"1551601737215457"</f>
        <v>1551601737215457</v>
      </c>
      <c r="C3860" t="s">
        <v>40</v>
      </c>
      <c r="D3860">
        <v>4.8792260000000001</v>
      </c>
      <c r="E3860">
        <v>0.51445010000000002</v>
      </c>
      <c r="F3860" t="s">
        <v>56</v>
      </c>
      <c r="G3860">
        <v>-194.46770000000001</v>
      </c>
      <c r="H3860" s="1">
        <v>-1.1732630000000001E-5</v>
      </c>
      <c r="I3860">
        <v>150.18770000000001</v>
      </c>
      <c r="J3860">
        <v>-191.57919999999999</v>
      </c>
      <c r="K3860">
        <v>1.1220349999999999</v>
      </c>
      <c r="L3860">
        <v>172.24520000000001</v>
      </c>
      <c r="M3860">
        <v>-5.8124599999999998E-2</v>
      </c>
      <c r="N3860">
        <v>-8.7444500000000008E-3</v>
      </c>
      <c r="O3860">
        <v>-0.99827109999999997</v>
      </c>
      <c r="P3860">
        <v>-9.9624760000000007E-2</v>
      </c>
      <c r="Q3860">
        <v>0.150919</v>
      </c>
      <c r="R3860">
        <v>-0.98351370000000005</v>
      </c>
      <c r="S3860">
        <v>-0.39506530000000001</v>
      </c>
      <c r="T3860">
        <v>-0.1528571</v>
      </c>
      <c r="U3860">
        <v>-3.034592</v>
      </c>
      <c r="V3860">
        <v>4.1822699999999997E-2</v>
      </c>
      <c r="W3860">
        <v>0.15967239999999999</v>
      </c>
      <c r="X3860">
        <v>0.98628369999999999</v>
      </c>
      <c r="Y3860">
        <v>7.1111250000000001E-2</v>
      </c>
      <c r="Z3860">
        <v>4.1204249999999998E-2</v>
      </c>
      <c r="AA3860">
        <v>0.99661699999999998</v>
      </c>
      <c r="AB3860">
        <v>28</v>
      </c>
      <c r="AC3860">
        <v>-2.8885000000000201</v>
      </c>
      <c r="AD3860">
        <v>-1.1220467326299901</v>
      </c>
      <c r="AE3860">
        <v>-22.057500000000001</v>
      </c>
      <c r="AF3860">
        <v>1.59741993031869</v>
      </c>
      <c r="AG3860">
        <v>-1.1220467326299901</v>
      </c>
      <c r="AH3860">
        <v>22.131800347237402</v>
      </c>
      <c r="AI3860">
        <v>92.894801336078203</v>
      </c>
      <c r="AJ3860">
        <v>85.8716879522607</v>
      </c>
      <c r="AK3860">
        <v>22.217725489211599</v>
      </c>
      <c r="AL3860">
        <v>80.812118106175603</v>
      </c>
      <c r="AM3860">
        <v>87.571865495946</v>
      </c>
      <c r="AN3860">
        <v>0.99999997522136896</v>
      </c>
    </row>
    <row r="3861" spans="1:40" x14ac:dyDescent="0.25">
      <c r="A3861" t="str">
        <f>"20190303162857239"</f>
        <v>20190303162857239</v>
      </c>
      <c r="B3861" t="str">
        <f>"1551601737225220"</f>
        <v>1551601737225220</v>
      </c>
      <c r="C3861" t="s">
        <v>40</v>
      </c>
      <c r="D3861">
        <v>4.906644</v>
      </c>
      <c r="E3861">
        <v>0.51441979999999998</v>
      </c>
      <c r="F3861" t="s">
        <v>56</v>
      </c>
      <c r="G3861">
        <v>-194.47120000000001</v>
      </c>
      <c r="H3861" s="1">
        <v>-1.186012E-5</v>
      </c>
      <c r="I3861">
        <v>150.48339999999999</v>
      </c>
      <c r="J3861">
        <v>-191.58850000000001</v>
      </c>
      <c r="K3861">
        <v>1.1219629999999901</v>
      </c>
      <c r="L3861">
        <v>172.06979999999999</v>
      </c>
      <c r="M3861">
        <v>-5.7225610000000003E-2</v>
      </c>
      <c r="N3861">
        <v>-8.7455399999999996E-3</v>
      </c>
      <c r="O3861">
        <v>-0.99832299999999996</v>
      </c>
      <c r="P3861">
        <v>-0.1008814</v>
      </c>
      <c r="Q3861">
        <v>0.15076320000000001</v>
      </c>
      <c r="R3861">
        <v>-0.98340910000000004</v>
      </c>
      <c r="S3861">
        <v>-0.40312189999999998</v>
      </c>
      <c r="T3861">
        <v>-0.15640679999999901</v>
      </c>
      <c r="U3861">
        <v>-3.0334629999999998</v>
      </c>
      <c r="V3861">
        <v>4.4000690000000002E-2</v>
      </c>
      <c r="W3861">
        <v>0.15951560000000001</v>
      </c>
      <c r="X3861">
        <v>0.98621429999999999</v>
      </c>
      <c r="Y3861">
        <v>7.4650739999999993E-2</v>
      </c>
      <c r="Z3861">
        <v>4.2367120000000001E-2</v>
      </c>
      <c r="AA3861">
        <v>0.99630929999999995</v>
      </c>
      <c r="AB3861">
        <v>28</v>
      </c>
      <c r="AC3861">
        <v>-2.8826999999999998</v>
      </c>
      <c r="AD3861">
        <v>-1.1219748601199999</v>
      </c>
      <c r="AE3861">
        <v>-21.586400000000001</v>
      </c>
      <c r="AF3861">
        <v>1.6382852776953201</v>
      </c>
      <c r="AG3861">
        <v>-1.1219748601199999</v>
      </c>
      <c r="AH3861">
        <v>21.658508224368401</v>
      </c>
      <c r="AI3861">
        <v>92.957007929901593</v>
      </c>
      <c r="AJ3861">
        <v>85.674290283533693</v>
      </c>
      <c r="AK3861">
        <v>21.749339869128999</v>
      </c>
      <c r="AL3861">
        <v>80.821218648471998</v>
      </c>
      <c r="AM3861">
        <v>87.445399996967097</v>
      </c>
      <c r="AN3861">
        <v>0.999999966444162</v>
      </c>
    </row>
    <row r="3862" spans="1:40" x14ac:dyDescent="0.25">
      <c r="A3862" t="str">
        <f>"20190303162857256"</f>
        <v>20190303162857256</v>
      </c>
      <c r="B3862" t="str">
        <f>"1551601737245714"</f>
        <v>1551601737245714</v>
      </c>
      <c r="C3862" t="s">
        <v>40</v>
      </c>
      <c r="D3862">
        <v>4.9748640000000002</v>
      </c>
      <c r="E3862">
        <v>0.51437959999999905</v>
      </c>
      <c r="F3862" t="s">
        <v>56</v>
      </c>
      <c r="G3862">
        <v>-194.48679999999999</v>
      </c>
      <c r="H3862" s="1">
        <v>-1.184733E-5</v>
      </c>
      <c r="I3862">
        <v>150.44710000000001</v>
      </c>
      <c r="J3862">
        <v>-191.6</v>
      </c>
      <c r="K3862">
        <v>1.12188</v>
      </c>
      <c r="L3862">
        <v>171.8486</v>
      </c>
      <c r="M3862">
        <v>-5.617871E-2</v>
      </c>
      <c r="N3862">
        <v>-8.748746E-3</v>
      </c>
      <c r="O3862">
        <v>-0.9983824</v>
      </c>
      <c r="P3862">
        <v>-0.1039364</v>
      </c>
      <c r="Q3862">
        <v>0.15163209999999999</v>
      </c>
      <c r="R3862">
        <v>-0.98295719999999998</v>
      </c>
      <c r="S3862">
        <v>-0.40655520000000001</v>
      </c>
      <c r="T3862">
        <v>-0.15737989999999999</v>
      </c>
      <c r="U3862">
        <v>-3.03302</v>
      </c>
      <c r="V3862">
        <v>4.8145710000000001E-2</v>
      </c>
      <c r="W3862">
        <v>0.160385</v>
      </c>
      <c r="X3862">
        <v>0.98587970000000003</v>
      </c>
      <c r="Y3862">
        <v>7.682079E-2</v>
      </c>
      <c r="Z3862">
        <v>4.2684560000000003E-2</v>
      </c>
      <c r="AA3862">
        <v>0.99613079999999998</v>
      </c>
      <c r="AB3862">
        <v>28</v>
      </c>
      <c r="AC3862">
        <v>-2.8867999999999898</v>
      </c>
      <c r="AD3862">
        <v>-1.1218918473299999</v>
      </c>
      <c r="AE3862">
        <v>-21.401499999999999</v>
      </c>
      <c r="AF3862">
        <v>1.67536433884157</v>
      </c>
      <c r="AG3862">
        <v>-1.1218918473299999</v>
      </c>
      <c r="AH3862">
        <v>21.471931501043599</v>
      </c>
      <c r="AI3862">
        <v>92.981893780153399</v>
      </c>
      <c r="AJ3862">
        <v>85.538491023039796</v>
      </c>
      <c r="AK3862">
        <v>21.566393517936099</v>
      </c>
      <c r="AL3862">
        <v>80.770756957439701</v>
      </c>
      <c r="AM3862">
        <v>87.204165802931499</v>
      </c>
      <c r="AN3862">
        <v>1.00000007024424</v>
      </c>
    </row>
    <row r="3863" spans="1:40" x14ac:dyDescent="0.25">
      <c r="A3863" t="str">
        <f>"20190303162857277"</f>
        <v>20190303162857277</v>
      </c>
      <c r="B3863" t="str">
        <f>"1551601737265234"</f>
        <v>1551601737265234</v>
      </c>
      <c r="C3863" t="s">
        <v>40</v>
      </c>
      <c r="D3863">
        <v>5.0676949999999996</v>
      </c>
      <c r="E3863">
        <v>0.51434899999999995</v>
      </c>
      <c r="F3863" t="s">
        <v>56</v>
      </c>
      <c r="G3863">
        <v>-194.60400000000001</v>
      </c>
      <c r="H3863" s="1">
        <v>-1.165012E-5</v>
      </c>
      <c r="I3863">
        <v>149.93899999999999</v>
      </c>
      <c r="J3863">
        <v>-191.6139</v>
      </c>
      <c r="K3863">
        <v>1.1217629999999901</v>
      </c>
      <c r="L3863">
        <v>171.5797</v>
      </c>
      <c r="M3863">
        <v>-5.5064299999999997E-2</v>
      </c>
      <c r="N3863">
        <v>-8.7577609999999993E-3</v>
      </c>
      <c r="O3863">
        <v>-0.99844440000000001</v>
      </c>
      <c r="P3863">
        <v>-0.10664179999999999</v>
      </c>
      <c r="Q3863">
        <v>0.15287590000000001</v>
      </c>
      <c r="R3863">
        <v>-0.98247459999999998</v>
      </c>
      <c r="S3863">
        <v>-0.41571039999999998</v>
      </c>
      <c r="T3863">
        <v>-0.15525649999999999</v>
      </c>
      <c r="U3863">
        <v>-3.0320279999999999</v>
      </c>
      <c r="V3863">
        <v>5.2020959999999998E-2</v>
      </c>
      <c r="W3863">
        <v>0.1616283</v>
      </c>
      <c r="X3863">
        <v>0.98547969999999896</v>
      </c>
      <c r="Y3863">
        <v>8.0932630000000005E-2</v>
      </c>
      <c r="Z3863">
        <v>4.1986460000000003E-2</v>
      </c>
      <c r="AA3863">
        <v>0.99583480000000002</v>
      </c>
      <c r="AB3863">
        <v>28</v>
      </c>
      <c r="AC3863">
        <v>-2.9901000000000102</v>
      </c>
      <c r="AD3863">
        <v>-1.1217746501200001</v>
      </c>
      <c r="AE3863">
        <v>-21.640699999999999</v>
      </c>
      <c r="AF3863">
        <v>1.7891699534799199</v>
      </c>
      <c r="AG3863">
        <v>-1.1217746501200001</v>
      </c>
      <c r="AH3863">
        <v>21.715262548516201</v>
      </c>
      <c r="AI3863">
        <v>92.947207926774695</v>
      </c>
      <c r="AJ3863">
        <v>85.289909098992794</v>
      </c>
      <c r="AK3863">
        <v>21.817702331801101</v>
      </c>
      <c r="AL3863">
        <v>80.698579373473507</v>
      </c>
      <c r="AM3863">
        <v>86.978306508472699</v>
      </c>
      <c r="AN3863">
        <v>1.0000000633761399</v>
      </c>
    </row>
    <row r="3864" spans="1:40" x14ac:dyDescent="0.25">
      <c r="A3864" t="str">
        <f>"20190303162857291"</f>
        <v>20190303162857291</v>
      </c>
      <c r="B3864" t="str">
        <f>"1551601737285730"</f>
        <v>1551601737285730</v>
      </c>
      <c r="C3864" t="s">
        <v>40</v>
      </c>
      <c r="D3864">
        <v>5.0556749999999999</v>
      </c>
      <c r="E3864">
        <v>0.52499580000000001</v>
      </c>
      <c r="F3864" t="s">
        <v>56</v>
      </c>
      <c r="G3864">
        <v>-194.74760000000001</v>
      </c>
      <c r="H3864" s="1">
        <v>-1.1421139999999999E-5</v>
      </c>
      <c r="I3864">
        <v>149.1763</v>
      </c>
      <c r="J3864">
        <v>-191.62270000000001</v>
      </c>
      <c r="K3864">
        <v>1.1216820000000001</v>
      </c>
      <c r="L3864">
        <v>171.40770000000001</v>
      </c>
      <c r="M3864">
        <v>-5.4453399999999999E-2</v>
      </c>
      <c r="N3864">
        <v>-8.7667960000000003E-3</v>
      </c>
      <c r="O3864">
        <v>-0.99847810000000004</v>
      </c>
      <c r="P3864">
        <v>-0.107820899999999</v>
      </c>
      <c r="Q3864">
        <v>0.15380250000000001</v>
      </c>
      <c r="R3864">
        <v>-0.98220180000000001</v>
      </c>
      <c r="S3864">
        <v>-0.42398069999999999</v>
      </c>
      <c r="T3864">
        <v>-0.15177349999999901</v>
      </c>
      <c r="U3864">
        <v>-3.0311279999999998</v>
      </c>
      <c r="V3864">
        <v>5.3848729999999997E-2</v>
      </c>
      <c r="W3864">
        <v>0.16255439999999999</v>
      </c>
      <c r="X3864">
        <v>0.98522909999999997</v>
      </c>
      <c r="Y3864">
        <v>8.425386E-2</v>
      </c>
      <c r="Z3864">
        <v>4.0843669999999999E-2</v>
      </c>
      <c r="AA3864">
        <v>0.99560689999999996</v>
      </c>
      <c r="AB3864">
        <v>28</v>
      </c>
      <c r="AC3864">
        <v>-3.12489999999999</v>
      </c>
      <c r="AD3864">
        <v>-1.12169342114</v>
      </c>
      <c r="AE3864">
        <v>-22.231400000000001</v>
      </c>
      <c r="AF3864">
        <v>1.9048863659539099</v>
      </c>
      <c r="AG3864">
        <v>-1.12169342114</v>
      </c>
      <c r="AH3864">
        <v>22.312878642883501</v>
      </c>
      <c r="AI3864">
        <v>92.867487267958694</v>
      </c>
      <c r="AJ3864">
        <v>85.120398808336901</v>
      </c>
      <c r="AK3864">
        <v>22.422117240133002</v>
      </c>
      <c r="AL3864">
        <v>80.644806042977095</v>
      </c>
      <c r="AM3864">
        <v>86.871551775200302</v>
      </c>
      <c r="AN3864">
        <v>0.99999999908439097</v>
      </c>
    </row>
    <row r="3865" spans="1:40" x14ac:dyDescent="0.25">
      <c r="A3865" t="str">
        <f>"20190303162857304"</f>
        <v>20190303162857304</v>
      </c>
      <c r="B3865" t="str">
        <f>"1551601737295489"</f>
        <v>1551601737295489</v>
      </c>
      <c r="C3865" t="s">
        <v>40</v>
      </c>
      <c r="D3865">
        <v>5.0277260000000004</v>
      </c>
      <c r="E3865">
        <v>0.53936759999999995</v>
      </c>
      <c r="F3865" t="s">
        <v>56</v>
      </c>
      <c r="G3865">
        <v>-194.41309999999999</v>
      </c>
      <c r="H3865" s="1">
        <v>-1.333359E-5</v>
      </c>
      <c r="I3865">
        <v>154.86320000000001</v>
      </c>
      <c r="J3865">
        <v>-191.63130000000001</v>
      </c>
      <c r="K3865">
        <v>1.121602</v>
      </c>
      <c r="L3865">
        <v>171.23949999999999</v>
      </c>
      <c r="M3865">
        <v>-5.3912450000000001E-2</v>
      </c>
      <c r="N3865">
        <v>-8.777099E-3</v>
      </c>
      <c r="O3865">
        <v>-0.99850720000000004</v>
      </c>
      <c r="P3865">
        <v>-0.10879949999999999</v>
      </c>
      <c r="Q3865">
        <v>0.15466240000000001</v>
      </c>
      <c r="R3865">
        <v>-0.98195849999999996</v>
      </c>
      <c r="S3865">
        <v>-0.51112369999999996</v>
      </c>
      <c r="T3865">
        <v>-0.20545840000000001</v>
      </c>
      <c r="U3865">
        <v>-3.0304259999999998</v>
      </c>
      <c r="V3865">
        <v>5.540614E-2</v>
      </c>
      <c r="W3865">
        <v>0.16341439999999999</v>
      </c>
      <c r="X3865">
        <v>0.9850004</v>
      </c>
      <c r="Y3865">
        <v>0.11259130000000001</v>
      </c>
      <c r="Z3865">
        <v>5.8091199999999898E-2</v>
      </c>
      <c r="AA3865">
        <v>0.99194190000000004</v>
      </c>
      <c r="AB3865">
        <v>28</v>
      </c>
      <c r="AC3865">
        <v>-2.7817999999999699</v>
      </c>
      <c r="AD3865">
        <v>-1.1216153335899901</v>
      </c>
      <c r="AE3865">
        <v>-16.376299999999901</v>
      </c>
      <c r="AF3865">
        <v>1.8862336711925001</v>
      </c>
      <c r="AG3865">
        <v>-1.1216153335899901</v>
      </c>
      <c r="AH3865">
        <v>16.427562107182201</v>
      </c>
      <c r="AI3865">
        <v>93.880472111339401</v>
      </c>
      <c r="AJ3865">
        <v>83.449910179104904</v>
      </c>
      <c r="AK3865">
        <v>16.573493753708401</v>
      </c>
      <c r="AL3865">
        <v>80.594863384436294</v>
      </c>
      <c r="AM3865">
        <v>86.780512786134906</v>
      </c>
      <c r="AN3865">
        <v>0.99999994723860797</v>
      </c>
    </row>
    <row r="3866" spans="1:40" x14ac:dyDescent="0.25">
      <c r="A3866" t="str">
        <f>"20190303162857317"</f>
        <v>20190303162857317</v>
      </c>
      <c r="B3866" t="str">
        <f>"1551601737305250"</f>
        <v>1551601737305250</v>
      </c>
      <c r="C3866" t="s">
        <v>40</v>
      </c>
      <c r="D3866">
        <v>5.0600800000000001</v>
      </c>
      <c r="E3866">
        <v>0.54005409999999998</v>
      </c>
      <c r="F3866" t="s">
        <v>56</v>
      </c>
      <c r="G3866">
        <v>-194.71799999999999</v>
      </c>
      <c r="H3866" s="1">
        <v>-1.401667E-5</v>
      </c>
      <c r="I3866">
        <v>156.39250000000001</v>
      </c>
      <c r="J3866">
        <v>-191.63980000000001</v>
      </c>
      <c r="K3866">
        <v>1.121518</v>
      </c>
      <c r="L3866">
        <v>171.07169999999999</v>
      </c>
      <c r="M3866">
        <v>-5.346774E-2</v>
      </c>
      <c r="N3866">
        <v>-8.7882380000000003E-3</v>
      </c>
      <c r="O3866">
        <v>-0.9985311</v>
      </c>
      <c r="P3866">
        <v>-0.110003</v>
      </c>
      <c r="Q3866">
        <v>0.15602929999999901</v>
      </c>
      <c r="R3866">
        <v>-0.98160809999999998</v>
      </c>
      <c r="S3866">
        <v>-0.6281738</v>
      </c>
      <c r="T3866">
        <v>-0.2282563</v>
      </c>
      <c r="U3866">
        <v>-3.0214690000000002</v>
      </c>
      <c r="V3866">
        <v>5.7098870000000003E-2</v>
      </c>
      <c r="W3866">
        <v>0.16477990000000001</v>
      </c>
      <c r="X3866">
        <v>0.9846762</v>
      </c>
      <c r="Y3866">
        <v>0.15042169999999999</v>
      </c>
      <c r="Z3866">
        <v>6.5236230000000006E-2</v>
      </c>
      <c r="AA3866">
        <v>0.98646719999999999</v>
      </c>
      <c r="AB3866">
        <v>28</v>
      </c>
      <c r="AC3866">
        <v>-3.0781999999999798</v>
      </c>
      <c r="AD3866">
        <v>-1.12153201667</v>
      </c>
      <c r="AE3866">
        <v>-14.6791999999999</v>
      </c>
      <c r="AF3866">
        <v>2.2761754674913099</v>
      </c>
      <c r="AG3866">
        <v>-1.12153201667</v>
      </c>
      <c r="AH3866">
        <v>14.7403706995183</v>
      </c>
      <c r="AI3866">
        <v>94.3002360336057</v>
      </c>
      <c r="AJ3866">
        <v>81.221845428627603</v>
      </c>
      <c r="AK3866">
        <v>14.957183464223601</v>
      </c>
      <c r="AL3866">
        <v>80.515550939533398</v>
      </c>
      <c r="AM3866">
        <v>86.681279832476207</v>
      </c>
      <c r="AN3866">
        <v>0.99999995762286198</v>
      </c>
    </row>
    <row r="3867" spans="1:40" x14ac:dyDescent="0.25">
      <c r="A3867" t="str">
        <f>"20190303162857334"</f>
        <v>20190303162857334</v>
      </c>
      <c r="B3867" t="str">
        <f>"1551601737325745"</f>
        <v>1551601737325745</v>
      </c>
      <c r="C3867" t="s">
        <v>40</v>
      </c>
      <c r="D3867">
        <v>5.042713</v>
      </c>
      <c r="E3867">
        <v>0.54049440000000004</v>
      </c>
      <c r="F3867" t="s">
        <v>56</v>
      </c>
      <c r="G3867">
        <v>-194.8141</v>
      </c>
      <c r="H3867" s="1">
        <v>-1.3864089999999999E-5</v>
      </c>
      <c r="I3867">
        <v>156.01689999999999</v>
      </c>
      <c r="J3867">
        <v>-191.65020000000001</v>
      </c>
      <c r="K3867">
        <v>1.121427</v>
      </c>
      <c r="L3867">
        <v>170.8672</v>
      </c>
      <c r="M3867">
        <v>-5.3004030000000001E-2</v>
      </c>
      <c r="N3867">
        <v>-8.8016840000000006E-3</v>
      </c>
      <c r="O3867">
        <v>-0.99855570000000005</v>
      </c>
      <c r="P3867">
        <v>-0.11306629999999999</v>
      </c>
      <c r="Q3867">
        <v>0.15837499999999999</v>
      </c>
      <c r="R3867">
        <v>-0.98088410000000004</v>
      </c>
      <c r="S3867">
        <v>-0.63688659999999997</v>
      </c>
      <c r="T3867">
        <v>-0.2250241</v>
      </c>
      <c r="U3867">
        <v>-3.0205989999999998</v>
      </c>
      <c r="V3867">
        <v>6.0692410000000002E-2</v>
      </c>
      <c r="W3867">
        <v>0.16712389999999999</v>
      </c>
      <c r="X3867">
        <v>0.98406610000000005</v>
      </c>
      <c r="Y3867">
        <v>0.15367620000000001</v>
      </c>
      <c r="Z3867">
        <v>6.4164479999999996E-2</v>
      </c>
      <c r="AA3867">
        <v>0.98603580000000002</v>
      </c>
      <c r="AB3867">
        <v>28</v>
      </c>
      <c r="AC3867">
        <v>-3.16389999999998</v>
      </c>
      <c r="AD3867">
        <v>-1.12144086409</v>
      </c>
      <c r="AE3867">
        <v>-14.850300000000001</v>
      </c>
      <c r="AF3867">
        <v>2.3594251527885599</v>
      </c>
      <c r="AG3867">
        <v>-1.12144086409</v>
      </c>
      <c r="AH3867">
        <v>14.9157621278382</v>
      </c>
      <c r="AI3867">
        <v>94.247080845519605</v>
      </c>
      <c r="AJ3867">
        <v>81.011240278018306</v>
      </c>
      <c r="AK3867">
        <v>15.142802795966</v>
      </c>
      <c r="AL3867">
        <v>80.379361846427003</v>
      </c>
      <c r="AM3867">
        <v>86.470745394093697</v>
      </c>
      <c r="AN3867">
        <v>1.0000000278760099</v>
      </c>
    </row>
    <row r="3868" spans="1:40" x14ac:dyDescent="0.25">
      <c r="A3868" t="str">
        <f>"20190303162857346"</f>
        <v>20190303162857346</v>
      </c>
      <c r="B3868" t="str">
        <f>"1551601737335506"</f>
        <v>1551601737335506</v>
      </c>
      <c r="C3868" t="s">
        <v>40</v>
      </c>
      <c r="D3868">
        <v>5.0775319999999997</v>
      </c>
      <c r="E3868">
        <v>0.54052650000000002</v>
      </c>
      <c r="F3868" t="s">
        <v>56</v>
      </c>
      <c r="G3868">
        <v>-194.97540000000001</v>
      </c>
      <c r="H3868" s="1">
        <v>-1.3623089999999999E-5</v>
      </c>
      <c r="I3868">
        <v>155.42179999999999</v>
      </c>
      <c r="J3868">
        <v>-191.65780000000001</v>
      </c>
      <c r="K3868">
        <v>1.121359</v>
      </c>
      <c r="L3868">
        <v>170.7176</v>
      </c>
      <c r="M3868">
        <v>-5.2713509999999998E-2</v>
      </c>
      <c r="N3868">
        <v>-8.8114189999999992E-3</v>
      </c>
      <c r="O3868">
        <v>-0.99857090000000004</v>
      </c>
      <c r="P3868">
        <v>-0.11453729999999999</v>
      </c>
      <c r="Q3868">
        <v>0.1592837</v>
      </c>
      <c r="R3868">
        <v>-0.9805663</v>
      </c>
      <c r="S3868">
        <v>-0.64993290000000004</v>
      </c>
      <c r="T3868">
        <v>-0.21919420000000001</v>
      </c>
      <c r="U3868">
        <v>-3.0189210000000002</v>
      </c>
      <c r="V3868">
        <v>6.2493479999999997E-2</v>
      </c>
      <c r="W3868">
        <v>0.16803119999999999</v>
      </c>
      <c r="X3868">
        <v>0.98379879999999997</v>
      </c>
      <c r="Y3868">
        <v>0.158173799999999</v>
      </c>
      <c r="Z3868">
        <v>6.2258769999999998E-2</v>
      </c>
      <c r="AA3868">
        <v>0.98544659999999995</v>
      </c>
      <c r="AB3868">
        <v>28</v>
      </c>
      <c r="AC3868">
        <v>-3.3175999999999899</v>
      </c>
      <c r="AD3868">
        <v>-1.1213726230900001</v>
      </c>
      <c r="AE3868">
        <v>-15.2958</v>
      </c>
      <c r="AF3868">
        <v>2.4938590274754202</v>
      </c>
      <c r="AG3868">
        <v>-1.1213726230900001</v>
      </c>
      <c r="AH3868">
        <v>15.370520956758</v>
      </c>
      <c r="AI3868">
        <v>94.119006572030003</v>
      </c>
      <c r="AJ3868">
        <v>80.784098790646397</v>
      </c>
      <c r="AK3868">
        <v>15.6118456273073</v>
      </c>
      <c r="AL3868">
        <v>80.326631441527596</v>
      </c>
      <c r="AM3868">
        <v>86.365305379395906</v>
      </c>
      <c r="AN3868">
        <v>0.99999999904869497</v>
      </c>
    </row>
    <row r="3869" spans="1:40" x14ac:dyDescent="0.25">
      <c r="A3869" t="str">
        <f>"20190303162857359"</f>
        <v>20190303162857359</v>
      </c>
      <c r="B3869" t="str">
        <f>"1551601737356002"</f>
        <v>1551601737356002</v>
      </c>
      <c r="C3869" t="s">
        <v>40</v>
      </c>
      <c r="D3869">
        <v>5.0609919999999997</v>
      </c>
      <c r="E3869">
        <v>0.53995869999999901</v>
      </c>
      <c r="F3869" t="s">
        <v>56</v>
      </c>
      <c r="G3869">
        <v>-195.03960000000001</v>
      </c>
      <c r="H3869" s="1">
        <v>-1.34981E-5</v>
      </c>
      <c r="I3869">
        <v>155.1172</v>
      </c>
      <c r="J3869">
        <v>-191.66669999999999</v>
      </c>
      <c r="K3869">
        <v>1.121278</v>
      </c>
      <c r="L3869">
        <v>170.54480000000001</v>
      </c>
      <c r="M3869">
        <v>-5.2451480000000002E-2</v>
      </c>
      <c r="N3869">
        <v>-8.8224800000000006E-3</v>
      </c>
      <c r="O3869">
        <v>-0.99858469999999999</v>
      </c>
      <c r="P3869">
        <v>-0.11619359999999999</v>
      </c>
      <c r="Q3869">
        <v>0.1597954</v>
      </c>
      <c r="R3869">
        <v>-0.9802883</v>
      </c>
      <c r="S3869">
        <v>-0.65429689999999996</v>
      </c>
      <c r="T3869">
        <v>-0.21695829999999999</v>
      </c>
      <c r="U3869">
        <v>-3.0183110000000002</v>
      </c>
      <c r="V3869">
        <v>6.4453289999999996E-2</v>
      </c>
      <c r="W3869">
        <v>0.1685412</v>
      </c>
      <c r="X3869">
        <v>0.98358509999999999</v>
      </c>
      <c r="Y3869">
        <v>0.1598445</v>
      </c>
      <c r="Z3869">
        <v>6.1522060000000003E-2</v>
      </c>
      <c r="AA3869">
        <v>0.98522319999999997</v>
      </c>
      <c r="AB3869">
        <v>28</v>
      </c>
      <c r="AC3869">
        <v>-3.3729000000000098</v>
      </c>
      <c r="AD3869">
        <v>-1.1212914981</v>
      </c>
      <c r="AE3869">
        <v>-15.4276</v>
      </c>
      <c r="AF3869">
        <v>2.5461882724134401</v>
      </c>
      <c r="AG3869">
        <v>-1.1212914981</v>
      </c>
      <c r="AH3869">
        <v>15.505112745797399</v>
      </c>
      <c r="AI3869">
        <v>94.081806524083504</v>
      </c>
      <c r="AJ3869">
        <v>80.674347323234997</v>
      </c>
      <c r="AK3869">
        <v>15.752742320058999</v>
      </c>
      <c r="AL3869">
        <v>80.296987887845901</v>
      </c>
      <c r="AM3869">
        <v>86.250828479615706</v>
      </c>
      <c r="AN3869">
        <v>1.00000000581563</v>
      </c>
    </row>
    <row r="3870" spans="1:40" x14ac:dyDescent="0.25">
      <c r="A3870" t="str">
        <f>"20190303162857380"</f>
        <v>20190303162857380</v>
      </c>
      <c r="B3870" t="str">
        <f>"1551601737375521"</f>
        <v>1551601737375521</v>
      </c>
      <c r="C3870" t="s">
        <v>40</v>
      </c>
      <c r="D3870">
        <v>5.0961790000000002</v>
      </c>
      <c r="E3870">
        <v>0.53929839999999996</v>
      </c>
      <c r="F3870" t="s">
        <v>56</v>
      </c>
      <c r="G3870">
        <v>-194.9759</v>
      </c>
      <c r="H3870" s="1">
        <v>-1.3560800000000001E-5</v>
      </c>
      <c r="I3870">
        <v>155.2765</v>
      </c>
      <c r="J3870">
        <v>-191.67939999999999</v>
      </c>
      <c r="K3870">
        <v>1.1211629999999999</v>
      </c>
      <c r="L3870">
        <v>170.2963</v>
      </c>
      <c r="M3870">
        <v>-5.2184429999999997E-2</v>
      </c>
      <c r="N3870">
        <v>-8.8419109999999992E-3</v>
      </c>
      <c r="O3870">
        <v>-0.99859849999999994</v>
      </c>
      <c r="P3870">
        <v>-0.11937349999999999</v>
      </c>
      <c r="Q3870">
        <v>0.159557</v>
      </c>
      <c r="R3870">
        <v>-0.9799447</v>
      </c>
      <c r="S3870">
        <v>-0.6543274</v>
      </c>
      <c r="T3870">
        <v>-0.2217075</v>
      </c>
      <c r="U3870">
        <v>-3.0189210000000002</v>
      </c>
      <c r="V3870">
        <v>6.7955050000000003E-2</v>
      </c>
      <c r="W3870">
        <v>0.16830519999999999</v>
      </c>
      <c r="X3870">
        <v>0.98338979999999998</v>
      </c>
      <c r="Y3870">
        <v>0.16005559999999999</v>
      </c>
      <c r="Z3870">
        <v>6.3019859999999997E-2</v>
      </c>
      <c r="AA3870">
        <v>0.98509420000000003</v>
      </c>
      <c r="AB3870">
        <v>28</v>
      </c>
      <c r="AC3870">
        <v>-3.2965</v>
      </c>
      <c r="AD3870">
        <v>-1.1211765607999999</v>
      </c>
      <c r="AE3870">
        <v>-15.0198</v>
      </c>
      <c r="AF3870">
        <v>2.49491479233181</v>
      </c>
      <c r="AG3870">
        <v>-1.1211765607999999</v>
      </c>
      <c r="AH3870">
        <v>15.0911410075822</v>
      </c>
      <c r="AI3870">
        <v>94.192212011874602</v>
      </c>
      <c r="AJ3870">
        <v>80.612592074166699</v>
      </c>
      <c r="AK3870">
        <v>15.3370197108895</v>
      </c>
      <c r="AL3870">
        <v>80.310705732704804</v>
      </c>
      <c r="AM3870">
        <v>86.046981800061403</v>
      </c>
      <c r="AN3870">
        <v>1.0000000139557901</v>
      </c>
    </row>
    <row r="3871" spans="1:40" x14ac:dyDescent="0.25">
      <c r="A3871" t="str">
        <f>"20190303162857403"</f>
        <v>20190303162857403</v>
      </c>
      <c r="B3871" t="str">
        <f>"1551601737396017"</f>
        <v>1551601737396017</v>
      </c>
      <c r="C3871" t="s">
        <v>40</v>
      </c>
      <c r="D3871">
        <v>5.126347</v>
      </c>
      <c r="E3871">
        <v>0.53869709999999904</v>
      </c>
      <c r="F3871" t="s">
        <v>56</v>
      </c>
      <c r="G3871">
        <v>-194.8965</v>
      </c>
      <c r="H3871" s="1">
        <v>-1.3665680000000001E-5</v>
      </c>
      <c r="I3871">
        <v>155.53739999999999</v>
      </c>
      <c r="J3871">
        <v>-191.6943</v>
      </c>
      <c r="K3871">
        <v>1.1210450000000001</v>
      </c>
      <c r="L3871">
        <v>170.00550000000001</v>
      </c>
      <c r="M3871">
        <v>-5.200714E-2</v>
      </c>
      <c r="N3871">
        <v>-8.8684499999999999E-3</v>
      </c>
      <c r="O3871">
        <v>-0.99860729999999998</v>
      </c>
      <c r="P3871">
        <v>-0.1231177</v>
      </c>
      <c r="Q3871">
        <v>0.1590435</v>
      </c>
      <c r="R3871">
        <v>-0.97956500000000002</v>
      </c>
      <c r="S3871">
        <v>-0.6579895</v>
      </c>
      <c r="T3871">
        <v>-0.22931190000000001</v>
      </c>
      <c r="U3871">
        <v>-3.0186000000000002</v>
      </c>
      <c r="V3871">
        <v>7.1935609999999997E-2</v>
      </c>
      <c r="W3871">
        <v>0.167799</v>
      </c>
      <c r="X3871">
        <v>0.98319319999999999</v>
      </c>
      <c r="Y3871">
        <v>0.161358</v>
      </c>
      <c r="Z3871">
        <v>6.5435409999999999E-2</v>
      </c>
      <c r="AA3871">
        <v>0.98472420000000005</v>
      </c>
      <c r="AB3871">
        <v>28</v>
      </c>
      <c r="AC3871">
        <v>-3.2021999999999999</v>
      </c>
      <c r="AD3871">
        <v>-1.1210586656799999</v>
      </c>
      <c r="AE3871">
        <v>-14.4681</v>
      </c>
      <c r="AF3871">
        <v>2.4314754233112401</v>
      </c>
      <c r="AG3871">
        <v>-1.1210586656799999</v>
      </c>
      <c r="AH3871">
        <v>14.531889094789999</v>
      </c>
      <c r="AI3871">
        <v>94.351081397432097</v>
      </c>
      <c r="AJ3871">
        <v>80.501261119140096</v>
      </c>
      <c r="AK3871">
        <v>14.7764896348672</v>
      </c>
      <c r="AL3871">
        <v>80.340127661656993</v>
      </c>
      <c r="AM3871">
        <v>85.815394326300506</v>
      </c>
      <c r="AN3871">
        <v>1.0000000524566499</v>
      </c>
    </row>
    <row r="3872" spans="1:40" x14ac:dyDescent="0.25">
      <c r="A3872" t="str">
        <f>"20190303162857424"</f>
        <v>20190303162857424</v>
      </c>
      <c r="B3872" t="str">
        <f>"1551601737415537"</f>
        <v>1551601737415537</v>
      </c>
      <c r="C3872" t="s">
        <v>40</v>
      </c>
      <c r="D3872">
        <v>5.1458680000000001</v>
      </c>
      <c r="E3872">
        <v>0.53837259999999998</v>
      </c>
      <c r="F3872" t="s">
        <v>56</v>
      </c>
      <c r="G3872">
        <v>-194.8777</v>
      </c>
      <c r="H3872" s="1">
        <v>-1.3668900000000001E-5</v>
      </c>
      <c r="I3872">
        <v>155.5488</v>
      </c>
      <c r="J3872">
        <v>-191.708</v>
      </c>
      <c r="K3872">
        <v>1.120959</v>
      </c>
      <c r="L3872">
        <v>169.74029999999999</v>
      </c>
      <c r="M3872">
        <v>-5.1951659999999997E-2</v>
      </c>
      <c r="N3872">
        <v>-8.8929190000000009E-3</v>
      </c>
      <c r="O3872">
        <v>-0.99861009999999995</v>
      </c>
      <c r="P3872">
        <v>-0.12810759999999999</v>
      </c>
      <c r="Q3872">
        <v>0.15892010000000001</v>
      </c>
      <c r="R3872">
        <v>-0.97894499999999995</v>
      </c>
      <c r="S3872">
        <v>-0.66436770000000001</v>
      </c>
      <c r="T3872">
        <v>-0.233963</v>
      </c>
      <c r="U3872">
        <v>-3.01709</v>
      </c>
      <c r="V3872">
        <v>7.7039930000000006E-2</v>
      </c>
      <c r="W3872">
        <v>0.16768329999999901</v>
      </c>
      <c r="X3872">
        <v>0.98282610000000004</v>
      </c>
      <c r="Y3872">
        <v>0.16347829999999999</v>
      </c>
      <c r="Z3872">
        <v>6.6916519999999993E-2</v>
      </c>
      <c r="AA3872">
        <v>0.98427489999999995</v>
      </c>
      <c r="AB3872">
        <v>28</v>
      </c>
      <c r="AC3872">
        <v>-3.1697000000000002</v>
      </c>
      <c r="AD3872">
        <v>-1.1209726688999999</v>
      </c>
      <c r="AE3872">
        <v>-14.1914999999999</v>
      </c>
      <c r="AF3872">
        <v>2.4137736553941398</v>
      </c>
      <c r="AG3872">
        <v>-1.1209726688999999</v>
      </c>
      <c r="AH3872">
        <v>14.252313294340301</v>
      </c>
      <c r="AI3872">
        <v>94.434281310188396</v>
      </c>
      <c r="AJ3872">
        <v>80.387590439916195</v>
      </c>
      <c r="AK3872">
        <v>14.498666049810399</v>
      </c>
      <c r="AL3872">
        <v>80.346851465250793</v>
      </c>
      <c r="AM3872">
        <v>85.517970615606799</v>
      </c>
      <c r="AN3872">
        <v>0.99999999137725204</v>
      </c>
    </row>
    <row r="3873" spans="1:40" x14ac:dyDescent="0.25">
      <c r="A3873" t="str">
        <f>"20190303162857436"</f>
        <v>20190303162857436</v>
      </c>
      <c r="B3873" t="str">
        <f>"1551601737425298"</f>
        <v>1551601737425298</v>
      </c>
      <c r="C3873" t="s">
        <v>40</v>
      </c>
      <c r="D3873">
        <v>5.1740870000000001</v>
      </c>
      <c r="E3873">
        <v>0.53822530000000002</v>
      </c>
      <c r="F3873" t="s">
        <v>56</v>
      </c>
      <c r="G3873">
        <v>-194.89850000000001</v>
      </c>
      <c r="H3873" s="1">
        <v>-1.3665270000000001E-5</v>
      </c>
      <c r="I3873">
        <v>155.536</v>
      </c>
      <c r="J3873">
        <v>-191.7165</v>
      </c>
      <c r="K3873">
        <v>1.1209150000000001</v>
      </c>
      <c r="L3873">
        <v>169.57480000000001</v>
      </c>
      <c r="M3873">
        <v>-5.1962660000000001E-2</v>
      </c>
      <c r="N3873">
        <v>-8.9072079999999998E-3</v>
      </c>
      <c r="O3873">
        <v>-0.99860939999999998</v>
      </c>
      <c r="P3873">
        <v>-0.1310606</v>
      </c>
      <c r="Q3873">
        <v>0.158726799999999</v>
      </c>
      <c r="R3873">
        <v>-0.97858540000000005</v>
      </c>
      <c r="S3873">
        <v>-0.67712399999999995</v>
      </c>
      <c r="T3873">
        <v>-0.23790069999999999</v>
      </c>
      <c r="U3873">
        <v>-3.0145420000000001</v>
      </c>
      <c r="V3873">
        <v>8.0013899999999902E-2</v>
      </c>
      <c r="W3873">
        <v>0.167493899999999</v>
      </c>
      <c r="X3873">
        <v>0.98262079999999996</v>
      </c>
      <c r="Y3873">
        <v>0.16758809999999999</v>
      </c>
      <c r="Z3873">
        <v>6.8172819999999995E-2</v>
      </c>
      <c r="AA3873">
        <v>0.98349719999999996</v>
      </c>
      <c r="AB3873">
        <v>28</v>
      </c>
      <c r="AC3873">
        <v>-3.1820000000000102</v>
      </c>
      <c r="AD3873">
        <v>-1.1209286652699999</v>
      </c>
      <c r="AE3873">
        <v>-14.0388</v>
      </c>
      <c r="AF3873">
        <v>2.43342301857952</v>
      </c>
      <c r="AG3873">
        <v>-1.1209286652699999</v>
      </c>
      <c r="AH3873">
        <v>14.099687696422199</v>
      </c>
      <c r="AI3873">
        <v>94.479519461091201</v>
      </c>
      <c r="AJ3873">
        <v>80.207954853217004</v>
      </c>
      <c r="AK3873">
        <v>14.3519762331401</v>
      </c>
      <c r="AL3873">
        <v>80.357859376471097</v>
      </c>
      <c r="AM3873">
        <v>85.344728932577198</v>
      </c>
      <c r="AN3873">
        <v>1.00000003366152</v>
      </c>
    </row>
    <row r="3874" spans="1:40" x14ac:dyDescent="0.25">
      <c r="A3874" t="str">
        <f>"20190303162857455"</f>
        <v>20190303162857455</v>
      </c>
      <c r="B3874" t="str">
        <f>"1551601737445795"</f>
        <v>1551601737445795</v>
      </c>
      <c r="C3874" t="s">
        <v>40</v>
      </c>
      <c r="D3874">
        <v>5.1772970000000003</v>
      </c>
      <c r="E3874">
        <v>0.5377651</v>
      </c>
      <c r="F3874" t="s">
        <v>56</v>
      </c>
      <c r="G3874">
        <v>-194.90299999999999</v>
      </c>
      <c r="H3874" s="1">
        <v>-1.3672319999999999E-5</v>
      </c>
      <c r="I3874">
        <v>155.5515</v>
      </c>
      <c r="J3874">
        <v>-191.72900000000001</v>
      </c>
      <c r="K3874">
        <v>1.120854</v>
      </c>
      <c r="L3874">
        <v>169.3357</v>
      </c>
      <c r="M3874">
        <v>-5.200813E-2</v>
      </c>
      <c r="N3874">
        <v>-8.9270210000000003E-3</v>
      </c>
      <c r="O3874">
        <v>-0.99860689999999996</v>
      </c>
      <c r="P3874">
        <v>-0.13686719999999999</v>
      </c>
      <c r="Q3874">
        <v>0.1585521</v>
      </c>
      <c r="R3874">
        <v>-0.97781870000000004</v>
      </c>
      <c r="S3874">
        <v>-0.68463130000000005</v>
      </c>
      <c r="T3874">
        <v>-0.2408391</v>
      </c>
      <c r="U3874">
        <v>-3.0129999999999999</v>
      </c>
      <c r="V3874">
        <v>8.5828310000000005E-2</v>
      </c>
      <c r="W3874">
        <v>0.1673251</v>
      </c>
      <c r="X3874">
        <v>0.98215870000000005</v>
      </c>
      <c r="Y3874">
        <v>0.1699658</v>
      </c>
      <c r="Z3874">
        <v>6.9101079999999995E-2</v>
      </c>
      <c r="AA3874">
        <v>0.98302420000000001</v>
      </c>
      <c r="AB3874">
        <v>28</v>
      </c>
      <c r="AC3874">
        <v>-3.1739999999999702</v>
      </c>
      <c r="AD3874">
        <v>-1.12086767232</v>
      </c>
      <c r="AE3874">
        <v>-13.784199999999901</v>
      </c>
      <c r="AF3874">
        <v>2.4374796637374301</v>
      </c>
      <c r="AG3874">
        <v>-1.12086767232</v>
      </c>
      <c r="AH3874">
        <v>13.843696037635199</v>
      </c>
      <c r="AI3874">
        <v>94.559082000206701</v>
      </c>
      <c r="AJ3874">
        <v>80.014199859735399</v>
      </c>
      <c r="AK3874">
        <v>14.101261341894901</v>
      </c>
      <c r="AL3874">
        <v>80.367668533309498</v>
      </c>
      <c r="AM3874">
        <v>85.005757092784407</v>
      </c>
      <c r="AN3874">
        <v>0.99999994993657604</v>
      </c>
    </row>
    <row r="3875" spans="1:40" x14ac:dyDescent="0.25">
      <c r="A3875" t="str">
        <f>"20190303162857469"</f>
        <v>20190303162857469</v>
      </c>
      <c r="B3875" t="str">
        <f>"1551601737455554"</f>
        <v>1551601737455554</v>
      </c>
      <c r="C3875" t="s">
        <v>40</v>
      </c>
      <c r="D3875">
        <v>5.1975720000000001</v>
      </c>
      <c r="E3875">
        <v>0.53756879999999996</v>
      </c>
      <c r="F3875" t="s">
        <v>56</v>
      </c>
      <c r="G3875">
        <v>-194.92339999999999</v>
      </c>
      <c r="H3875" s="1">
        <v>-1.3681980000000001E-5</v>
      </c>
      <c r="I3875">
        <v>155.56979999999999</v>
      </c>
      <c r="J3875">
        <v>-191.738</v>
      </c>
      <c r="K3875">
        <v>1.120824</v>
      </c>
      <c r="L3875">
        <v>169.16399999999999</v>
      </c>
      <c r="M3875">
        <v>-5.2063459999999999E-2</v>
      </c>
      <c r="N3875">
        <v>-8.94194699999999E-3</v>
      </c>
      <c r="O3875">
        <v>-0.99860380000000004</v>
      </c>
      <c r="P3875">
        <v>-0.1397427</v>
      </c>
      <c r="Q3875">
        <v>0.15784860000000001</v>
      </c>
      <c r="R3875">
        <v>-0.97752559999999999</v>
      </c>
      <c r="S3875">
        <v>-0.6984863</v>
      </c>
      <c r="T3875">
        <v>-0.24508759999999999</v>
      </c>
      <c r="U3875">
        <v>-3.01004</v>
      </c>
      <c r="V3875">
        <v>8.8672609999999999E-2</v>
      </c>
      <c r="W3875">
        <v>0.1666289</v>
      </c>
      <c r="X3875">
        <v>0.98202440000000002</v>
      </c>
      <c r="Y3875">
        <v>0.17439199999999999</v>
      </c>
      <c r="Z3875">
        <v>7.0458899999999894E-2</v>
      </c>
      <c r="AA3875">
        <v>0.98215220000000003</v>
      </c>
      <c r="AB3875">
        <v>28</v>
      </c>
      <c r="AC3875">
        <v>-3.18539999999998</v>
      </c>
      <c r="AD3875">
        <v>-1.1208376819799999</v>
      </c>
      <c r="AE3875">
        <v>-13.594200000000001</v>
      </c>
      <c r="AF3875">
        <v>2.4574540459541701</v>
      </c>
      <c r="AG3875">
        <v>-1.1208376819799999</v>
      </c>
      <c r="AH3875">
        <v>13.653625600026899</v>
      </c>
      <c r="AI3875">
        <v>94.6190449212733</v>
      </c>
      <c r="AJ3875">
        <v>79.796833372042599</v>
      </c>
      <c r="AK3875">
        <v>13.918220055848799</v>
      </c>
      <c r="AL3875">
        <v>80.408126061595794</v>
      </c>
      <c r="AM3875">
        <v>84.840427954145099</v>
      </c>
      <c r="AN3875">
        <v>0.99999997213739</v>
      </c>
    </row>
    <row r="3876" spans="1:40" x14ac:dyDescent="0.25">
      <c r="A3876" t="str">
        <f>"20190303162857481"</f>
        <v>20190303162857481</v>
      </c>
      <c r="B3876" t="str">
        <f>"1551601737476050"</f>
        <v>1551601737476050</v>
      </c>
      <c r="C3876" t="s">
        <v>40</v>
      </c>
      <c r="D3876">
        <v>5.1888779999999999</v>
      </c>
      <c r="E3876">
        <v>0.53242670000000003</v>
      </c>
      <c r="F3876" t="s">
        <v>56</v>
      </c>
      <c r="G3876">
        <v>-194.9205</v>
      </c>
      <c r="H3876" s="1">
        <v>-1.3691300000000001E-5</v>
      </c>
      <c r="I3876">
        <v>155.59219999999999</v>
      </c>
      <c r="J3876">
        <v>-191.7465</v>
      </c>
      <c r="K3876">
        <v>1.1208009999999999</v>
      </c>
      <c r="L3876">
        <v>169.0009</v>
      </c>
      <c r="M3876">
        <v>-5.2130210000000003E-2</v>
      </c>
      <c r="N3876">
        <v>-8.9573610000000005E-3</v>
      </c>
      <c r="O3876">
        <v>-0.99860020000000005</v>
      </c>
      <c r="P3876">
        <v>-0.143231</v>
      </c>
      <c r="Q3876">
        <v>0.157500799999999</v>
      </c>
      <c r="R3876">
        <v>-0.97707670000000002</v>
      </c>
      <c r="S3876">
        <v>-0.70541379999999998</v>
      </c>
      <c r="T3876">
        <v>-0.24843870000000001</v>
      </c>
      <c r="U3876">
        <v>-3.0082550000000001</v>
      </c>
      <c r="V3876">
        <v>9.2123640000000007E-2</v>
      </c>
      <c r="W3876">
        <v>0.16628799999999999</v>
      </c>
      <c r="X3876">
        <v>0.98176450000000004</v>
      </c>
      <c r="Y3876">
        <v>0.17657979999999901</v>
      </c>
      <c r="Z3876">
        <v>7.1531789999999998E-2</v>
      </c>
      <c r="AA3876">
        <v>0.98168370000000005</v>
      </c>
      <c r="AB3876">
        <v>28</v>
      </c>
      <c r="AC3876">
        <v>-3.1739999999999999</v>
      </c>
      <c r="AD3876">
        <v>-1.1208146913000001</v>
      </c>
      <c r="AE3876">
        <v>-13.4087</v>
      </c>
      <c r="AF3876">
        <v>2.4544183822885999</v>
      </c>
      <c r="AG3876">
        <v>-1.1208146913000001</v>
      </c>
      <c r="AH3876">
        <v>13.4668336138882</v>
      </c>
      <c r="AI3876">
        <v>94.680878500133801</v>
      </c>
      <c r="AJ3876">
        <v>79.670843530410593</v>
      </c>
      <c r="AK3876">
        <v>13.734482252771601</v>
      </c>
      <c r="AL3876">
        <v>80.427934809154607</v>
      </c>
      <c r="AM3876">
        <v>84.639360698182003</v>
      </c>
      <c r="AN3876">
        <v>0.99999999872554901</v>
      </c>
    </row>
    <row r="3877" spans="1:40" x14ac:dyDescent="0.25">
      <c r="A3877" t="str">
        <f>"20190303162857494"</f>
        <v>20190303162857494</v>
      </c>
      <c r="B3877" t="str">
        <f>"1551601737485810"</f>
        <v>1551601737485810</v>
      </c>
      <c r="C3877" t="s">
        <v>40</v>
      </c>
      <c r="D3877">
        <v>5.2107380000000001</v>
      </c>
      <c r="E3877">
        <v>0.53227829999999998</v>
      </c>
      <c r="F3877" t="s">
        <v>56</v>
      </c>
      <c r="G3877">
        <v>-194.4469</v>
      </c>
      <c r="H3877" s="1">
        <v>-1.422442E-5</v>
      </c>
      <c r="I3877">
        <v>156.93279999999999</v>
      </c>
      <c r="J3877">
        <v>-191.75479999999999</v>
      </c>
      <c r="K3877">
        <v>1.1207819999999999</v>
      </c>
      <c r="L3877">
        <v>168.84280000000001</v>
      </c>
      <c r="M3877">
        <v>-5.2211239999999999E-2</v>
      </c>
      <c r="N3877">
        <v>-8.9761649999999995E-3</v>
      </c>
      <c r="O3877">
        <v>-0.99859569999999998</v>
      </c>
      <c r="P3877">
        <v>-0.14698020000000001</v>
      </c>
      <c r="Q3877">
        <v>0.15760550000000001</v>
      </c>
      <c r="R3877">
        <v>-0.9765026</v>
      </c>
      <c r="S3877">
        <v>-0.67501829999999996</v>
      </c>
      <c r="T3877">
        <v>-0.28016649999999998</v>
      </c>
      <c r="U3877">
        <v>-3.0166170000000001</v>
      </c>
      <c r="V3877">
        <v>9.5825939999999998E-2</v>
      </c>
      <c r="W3877">
        <v>0.16640269999999999</v>
      </c>
      <c r="X3877">
        <v>0.9813906</v>
      </c>
      <c r="Y3877">
        <v>0.16631309999999999</v>
      </c>
      <c r="Z3877">
        <v>8.164428E-2</v>
      </c>
      <c r="AA3877">
        <v>0.98268719999999998</v>
      </c>
      <c r="AB3877">
        <v>28</v>
      </c>
      <c r="AC3877">
        <v>-2.6921000000000102</v>
      </c>
      <c r="AD3877">
        <v>-1.12079622442</v>
      </c>
      <c r="AE3877">
        <v>-11.91</v>
      </c>
      <c r="AF3877">
        <v>2.0493008054041102</v>
      </c>
      <c r="AG3877">
        <v>-1.12079622442</v>
      </c>
      <c r="AH3877">
        <v>11.933771353976001</v>
      </c>
      <c r="AI3877">
        <v>95.288408891501305</v>
      </c>
      <c r="AJ3877">
        <v>80.256044661669506</v>
      </c>
      <c r="AK3877">
        <v>12.160210388668499</v>
      </c>
      <c r="AL3877">
        <v>80.421270039274802</v>
      </c>
      <c r="AM3877">
        <v>84.423145871398603</v>
      </c>
      <c r="AN3877">
        <v>0.99999998955626601</v>
      </c>
    </row>
    <row r="3878" spans="1:40" x14ac:dyDescent="0.25">
      <c r="A3878" t="str">
        <f>"20190303162857507"</f>
        <v>20190303162857507</v>
      </c>
      <c r="B3878" t="str">
        <f>"1551601737495570"</f>
        <v>1551601737495570</v>
      </c>
      <c r="C3878" t="s">
        <v>40</v>
      </c>
      <c r="D3878">
        <v>5.250451</v>
      </c>
      <c r="E3878">
        <v>0.53227829999999998</v>
      </c>
      <c r="F3878" t="s">
        <v>56</v>
      </c>
      <c r="G3878">
        <v>-194.61060000000001</v>
      </c>
      <c r="H3878" s="1">
        <v>-1.396305E-5</v>
      </c>
      <c r="I3878">
        <v>156.28970000000001</v>
      </c>
      <c r="J3878">
        <v>-191.76320000000001</v>
      </c>
      <c r="K3878">
        <v>1.1207609999999999</v>
      </c>
      <c r="L3878">
        <v>168.68350000000001</v>
      </c>
      <c r="M3878">
        <v>-5.2298320000000002E-2</v>
      </c>
      <c r="N3878">
        <v>-8.9960950000000008E-3</v>
      </c>
      <c r="O3878">
        <v>-0.99859089999999995</v>
      </c>
      <c r="P3878">
        <v>-0.1506179</v>
      </c>
      <c r="Q3878">
        <v>0.158042299999999</v>
      </c>
      <c r="R3878">
        <v>-0.97587749999999995</v>
      </c>
      <c r="S3878">
        <v>-0.68530269999999904</v>
      </c>
      <c r="T3878">
        <v>-0.26896300000000001</v>
      </c>
      <c r="U3878">
        <v>-3.0124360000000001</v>
      </c>
      <c r="V3878">
        <v>9.9413199999999993E-2</v>
      </c>
      <c r="W3878">
        <v>0.1668499</v>
      </c>
      <c r="X3878">
        <v>0.98095770000000004</v>
      </c>
      <c r="Y3878">
        <v>0.16977310000000001</v>
      </c>
      <c r="Z3878">
        <v>7.808901E-2</v>
      </c>
      <c r="AA3878">
        <v>0.98238440000000005</v>
      </c>
      <c r="AB3878">
        <v>28</v>
      </c>
      <c r="AC3878">
        <v>-2.8473999999999902</v>
      </c>
      <c r="AD3878">
        <v>-1.1207749630499999</v>
      </c>
      <c r="AE3878">
        <v>-12.393800000000001</v>
      </c>
      <c r="AF3878">
        <v>2.1783809439625199</v>
      </c>
      <c r="AG3878">
        <v>-1.1207749630499999</v>
      </c>
      <c r="AH3878">
        <v>12.4292123662474</v>
      </c>
      <c r="AI3878">
        <v>95.075625459540305</v>
      </c>
      <c r="AJ3878">
        <v>80.059134585916695</v>
      </c>
      <c r="AK3878">
        <v>12.668338490113699</v>
      </c>
      <c r="AL3878">
        <v>80.395283618018397</v>
      </c>
      <c r="AM3878">
        <v>84.213230448148806</v>
      </c>
      <c r="AN3878">
        <v>0.99999994132676795</v>
      </c>
    </row>
    <row r="3879" spans="1:40" x14ac:dyDescent="0.25">
      <c r="A3879" t="str">
        <f>"20190303162857523"</f>
        <v>20190303162857523</v>
      </c>
      <c r="B3879" t="str">
        <f>"1551601737515089"</f>
        <v>1551601737515089</v>
      </c>
      <c r="C3879" t="s">
        <v>40</v>
      </c>
      <c r="D3879">
        <v>5.2068190000000003</v>
      </c>
      <c r="E3879">
        <v>0.53271459999999904</v>
      </c>
      <c r="F3879" t="s">
        <v>56</v>
      </c>
      <c r="G3879">
        <v>-194.6808</v>
      </c>
      <c r="H3879" s="1">
        <v>-1.387836E-5</v>
      </c>
      <c r="I3879">
        <v>156.07769999999999</v>
      </c>
      <c r="J3879">
        <v>-191.7749</v>
      </c>
      <c r="K3879">
        <v>1.1207400000000001</v>
      </c>
      <c r="L3879">
        <v>168.4639</v>
      </c>
      <c r="M3879">
        <v>-5.2430820000000003E-2</v>
      </c>
      <c r="N3879">
        <v>-9.0253469999999995E-3</v>
      </c>
      <c r="O3879">
        <v>-0.99858400000000003</v>
      </c>
      <c r="P3879">
        <v>-0.15848979999999999</v>
      </c>
      <c r="Q3879">
        <v>0.1576999</v>
      </c>
      <c r="R3879">
        <v>-0.97468569999999999</v>
      </c>
      <c r="S3879">
        <v>-0.69665529999999998</v>
      </c>
      <c r="T3879">
        <v>-0.26761439999999997</v>
      </c>
      <c r="U3879">
        <v>-3.0099640000000001</v>
      </c>
      <c r="V3879">
        <v>0.1072153</v>
      </c>
      <c r="W3879">
        <v>0.16652159999999999</v>
      </c>
      <c r="X3879">
        <v>0.98019149999999999</v>
      </c>
      <c r="Y3879">
        <v>0.1733421</v>
      </c>
      <c r="Z3879">
        <v>7.7632779999999998E-2</v>
      </c>
      <c r="AA3879">
        <v>0.98179720000000004</v>
      </c>
      <c r="AB3879">
        <v>29</v>
      </c>
      <c r="AC3879">
        <v>-2.9058999999999999</v>
      </c>
      <c r="AD3879">
        <v>-1.12075387836</v>
      </c>
      <c r="AE3879">
        <v>-12.386200000000001</v>
      </c>
      <c r="AF3879">
        <v>2.2351128459605198</v>
      </c>
      <c r="AG3879">
        <v>-1.12075387836</v>
      </c>
      <c r="AH3879">
        <v>12.425105242772201</v>
      </c>
      <c r="AI3879">
        <v>95.073180797401605</v>
      </c>
      <c r="AJ3879">
        <v>79.802306842153001</v>
      </c>
      <c r="AK3879">
        <v>12.674188691352301</v>
      </c>
      <c r="AL3879">
        <v>80.414360990659205</v>
      </c>
      <c r="AM3879">
        <v>83.757689707965497</v>
      </c>
      <c r="AN3879">
        <v>0.99999997024644904</v>
      </c>
    </row>
    <row r="3880" spans="1:40" x14ac:dyDescent="0.25">
      <c r="A3880" t="str">
        <f>"20190303162857536"</f>
        <v>20190303162857536</v>
      </c>
      <c r="B3880" t="str">
        <f>"1551601737525827"</f>
        <v>1551601737525827</v>
      </c>
      <c r="C3880" t="s">
        <v>40</v>
      </c>
      <c r="D3880">
        <v>5.1815410000000002</v>
      </c>
      <c r="E3880">
        <v>0.55119510000000005</v>
      </c>
      <c r="F3880" t="s">
        <v>56</v>
      </c>
      <c r="G3880">
        <v>-194.83189999999999</v>
      </c>
      <c r="H3880" s="1">
        <v>-1.376358E-5</v>
      </c>
      <c r="I3880">
        <v>155.779</v>
      </c>
      <c r="J3880">
        <v>-191.78370000000001</v>
      </c>
      <c r="K3880">
        <v>1.120727</v>
      </c>
      <c r="L3880">
        <v>168.29849999999999</v>
      </c>
      <c r="M3880">
        <v>-5.253708E-2</v>
      </c>
      <c r="N3880">
        <v>-9.0465460000000008E-3</v>
      </c>
      <c r="O3880">
        <v>-0.99857810000000002</v>
      </c>
      <c r="P3880">
        <v>-0.162129299999999</v>
      </c>
      <c r="Q3880">
        <v>0.15735589999999999</v>
      </c>
      <c r="R3880">
        <v>-0.97414230000000002</v>
      </c>
      <c r="S3880">
        <v>-0.72375489999999998</v>
      </c>
      <c r="T3880">
        <v>-0.265339099999999</v>
      </c>
      <c r="U3880">
        <v>-3.0031590000000001</v>
      </c>
      <c r="V3880">
        <v>0.11077910000000001</v>
      </c>
      <c r="W3880">
        <v>0.16619059999999999</v>
      </c>
      <c r="X3880">
        <v>0.97985140000000004</v>
      </c>
      <c r="Y3880">
        <v>0.1821189</v>
      </c>
      <c r="Z3880">
        <v>7.6914300000000005E-2</v>
      </c>
      <c r="AA3880">
        <v>0.98026369999999896</v>
      </c>
      <c r="AB3880">
        <v>29</v>
      </c>
      <c r="AC3880">
        <v>-3.0481999999999698</v>
      </c>
      <c r="AD3880">
        <v>-1.12074076358</v>
      </c>
      <c r="AE3880">
        <v>-12.519499999999899</v>
      </c>
      <c r="AF3880">
        <v>2.3683082627657699</v>
      </c>
      <c r="AG3880">
        <v>-1.12074076358</v>
      </c>
      <c r="AH3880">
        <v>12.567283805133799</v>
      </c>
      <c r="AI3880">
        <v>95.008415548912296</v>
      </c>
      <c r="AJ3880">
        <v>79.327755413660697</v>
      </c>
      <c r="AK3880">
        <v>12.8375062268889</v>
      </c>
      <c r="AL3880">
        <v>80.433594615313993</v>
      </c>
      <c r="AM3880">
        <v>83.549698009023004</v>
      </c>
      <c r="AN3880">
        <v>1.00000004530356</v>
      </c>
    </row>
    <row r="3881" spans="1:40" x14ac:dyDescent="0.25">
      <c r="A3881" t="str">
        <f>"20190303162857551"</f>
        <v>20190303162857551</v>
      </c>
      <c r="B3881" t="str">
        <f>"1551601737545347"</f>
        <v>1551601737545347</v>
      </c>
      <c r="C3881" t="s">
        <v>40</v>
      </c>
      <c r="D3881">
        <v>5.1837429999999998</v>
      </c>
      <c r="E3881">
        <v>0.55297799999999997</v>
      </c>
      <c r="F3881" t="s">
        <v>56</v>
      </c>
      <c r="G3881">
        <v>-198.31010000000001</v>
      </c>
      <c r="H3881" s="1">
        <v>-1.127086E-5</v>
      </c>
      <c r="I3881">
        <v>146.40989999999999</v>
      </c>
      <c r="J3881">
        <v>-191.79320000000001</v>
      </c>
      <c r="K3881">
        <v>1.1207199999999999</v>
      </c>
      <c r="L3881">
        <v>168.1198</v>
      </c>
      <c r="M3881">
        <v>-5.2654189999999997E-2</v>
      </c>
      <c r="N3881">
        <v>-9.0685699999999998E-3</v>
      </c>
      <c r="O3881">
        <v>-0.99857189999999996</v>
      </c>
      <c r="P3881">
        <v>-0.165658</v>
      </c>
      <c r="Q3881">
        <v>0.15720039999999999</v>
      </c>
      <c r="R3881">
        <v>-0.97357400000000005</v>
      </c>
      <c r="S3881">
        <v>-0.88177490000000003</v>
      </c>
      <c r="T3881">
        <v>-0.15142130000000001</v>
      </c>
      <c r="U3881">
        <v>-2.9573360000000002</v>
      </c>
      <c r="V3881">
        <v>0.1142225</v>
      </c>
      <c r="W3881">
        <v>0.16604859999999999</v>
      </c>
      <c r="X3881">
        <v>0.97948000000000002</v>
      </c>
      <c r="Y3881">
        <v>0.23458519999999999</v>
      </c>
      <c r="Z3881">
        <v>4.0257349999999997E-2</v>
      </c>
      <c r="AA3881">
        <v>0.97126159999999995</v>
      </c>
      <c r="AB3881">
        <v>29</v>
      </c>
      <c r="AC3881">
        <v>-6.5168999999999899</v>
      </c>
      <c r="AD3881">
        <v>-1.1207312708599999</v>
      </c>
      <c r="AE3881">
        <v>-21.709900000000001</v>
      </c>
      <c r="AF3881">
        <v>5.3516123144089098</v>
      </c>
      <c r="AG3881">
        <v>-1.1207312708599999</v>
      </c>
      <c r="AH3881">
        <v>21.9692306169588</v>
      </c>
      <c r="AI3881">
        <v>92.837504487393502</v>
      </c>
      <c r="AJ3881">
        <v>76.3096227959755</v>
      </c>
      <c r="AK3881">
        <v>22.639410037506199</v>
      </c>
      <c r="AL3881">
        <v>80.441844755662601</v>
      </c>
      <c r="AM3881">
        <v>83.348470120209498</v>
      </c>
      <c r="AN3881">
        <v>0.99999999373410497</v>
      </c>
    </row>
    <row r="3882" spans="1:40" x14ac:dyDescent="0.25">
      <c r="A3882" t="str">
        <f>"20190303162857567"</f>
        <v>20190303162857567</v>
      </c>
      <c r="B3882" t="str">
        <f>"1551601737555106"</f>
        <v>1551601737555106</v>
      </c>
      <c r="C3882" t="s">
        <v>40</v>
      </c>
      <c r="D3882">
        <v>5.2059059999999997</v>
      </c>
      <c r="E3882">
        <v>0.55341280000000004</v>
      </c>
      <c r="F3882" t="s">
        <v>56</v>
      </c>
      <c r="G3882">
        <v>-198.32069999999999</v>
      </c>
      <c r="H3882" s="1">
        <v>-1.140374E-5</v>
      </c>
      <c r="I3882">
        <v>146.85140000000001</v>
      </c>
      <c r="J3882">
        <v>-191.8048</v>
      </c>
      <c r="K3882">
        <v>1.120709</v>
      </c>
      <c r="L3882">
        <v>167.9033</v>
      </c>
      <c r="M3882">
        <v>-5.2798909999999998E-2</v>
      </c>
      <c r="N3882">
        <v>-9.0950360000000008E-3</v>
      </c>
      <c r="O3882">
        <v>-0.9985638</v>
      </c>
      <c r="P3882">
        <v>-0.1716606</v>
      </c>
      <c r="Q3882">
        <v>0.15698500000000001</v>
      </c>
      <c r="R3882">
        <v>-0.97256819999999999</v>
      </c>
      <c r="S3882">
        <v>-0.90611269999999999</v>
      </c>
      <c r="T3882">
        <v>-0.1555744</v>
      </c>
      <c r="U3882">
        <v>-2.9523619999999999</v>
      </c>
      <c r="V3882">
        <v>0.1201319</v>
      </c>
      <c r="W3882">
        <v>0.1658483</v>
      </c>
      <c r="X3882">
        <v>0.97880670000000003</v>
      </c>
      <c r="Y3882">
        <v>0.2422</v>
      </c>
      <c r="Z3882">
        <v>4.1554859999999999E-2</v>
      </c>
      <c r="AA3882">
        <v>0.96933599999999998</v>
      </c>
      <c r="AB3882">
        <v>29</v>
      </c>
      <c r="AC3882">
        <v>-6.5158999999999798</v>
      </c>
      <c r="AD3882">
        <v>-1.12072040374</v>
      </c>
      <c r="AE3882">
        <v>-21.0518999999999</v>
      </c>
      <c r="AF3882">
        <v>5.3813295656395201</v>
      </c>
      <c r="AG3882">
        <v>-1.12072040374</v>
      </c>
      <c r="AH3882">
        <v>21.311462218923399</v>
      </c>
      <c r="AI3882">
        <v>92.918829863805698</v>
      </c>
      <c r="AJ3882">
        <v>75.828553978144598</v>
      </c>
      <c r="AK3882">
        <v>22.008933277784799</v>
      </c>
      <c r="AL3882">
        <v>80.453481984515406</v>
      </c>
      <c r="AM3882">
        <v>83.002909366751098</v>
      </c>
      <c r="AN3882">
        <v>0.99999994398769299</v>
      </c>
    </row>
    <row r="3883" spans="1:40" x14ac:dyDescent="0.25">
      <c r="A3883" t="str">
        <f>"20190303162857592"</f>
        <v>20190303162857592</v>
      </c>
      <c r="B3883" t="str">
        <f>"1551601737585361"</f>
        <v>1551601737585361</v>
      </c>
      <c r="C3883" t="s">
        <v>40</v>
      </c>
      <c r="D3883">
        <v>5.241517</v>
      </c>
      <c r="E3883">
        <v>0.55286239999999998</v>
      </c>
      <c r="F3883" t="s">
        <v>56</v>
      </c>
      <c r="G3883">
        <v>-198.42619999999999</v>
      </c>
      <c r="H3883" s="1">
        <v>-1.141914E-5</v>
      </c>
      <c r="I3883">
        <v>146.85230000000001</v>
      </c>
      <c r="J3883">
        <v>-191.82130000000001</v>
      </c>
      <c r="K3883">
        <v>1.120703</v>
      </c>
      <c r="L3883">
        <v>167.59520000000001</v>
      </c>
      <c r="M3883">
        <v>-5.3008479999999997E-2</v>
      </c>
      <c r="N3883">
        <v>-9.1358870000000005E-3</v>
      </c>
      <c r="O3883">
        <v>-0.99855229999999995</v>
      </c>
      <c r="P3883">
        <v>-0.17794399999999999</v>
      </c>
      <c r="Q3883">
        <v>0.15720049999999999</v>
      </c>
      <c r="R3883">
        <v>-0.97140309999999996</v>
      </c>
      <c r="S3883">
        <v>-0.92675779999999996</v>
      </c>
      <c r="T3883">
        <v>-0.15685950000000001</v>
      </c>
      <c r="U3883">
        <v>-2.9463650000000001</v>
      </c>
      <c r="V3883">
        <v>0.12626589999999999</v>
      </c>
      <c r="W3883">
        <v>0.1660914</v>
      </c>
      <c r="X3883">
        <v>0.97799309999999995</v>
      </c>
      <c r="Y3883">
        <v>0.2487298</v>
      </c>
      <c r="Z3883">
        <v>4.1936569999999999E-2</v>
      </c>
      <c r="AA3883">
        <v>0.96766459999999999</v>
      </c>
      <c r="AB3883">
        <v>29</v>
      </c>
      <c r="AC3883">
        <v>-6.6048999999999802</v>
      </c>
      <c r="AD3883">
        <v>-1.12071441913999</v>
      </c>
      <c r="AE3883">
        <v>-20.742899999999899</v>
      </c>
      <c r="AF3883">
        <v>5.48148959748743</v>
      </c>
      <c r="AG3883">
        <v>-1.12071441913999</v>
      </c>
      <c r="AH3883">
        <v>21.008184740710199</v>
      </c>
      <c r="AI3883">
        <v>92.954893813297502</v>
      </c>
      <c r="AJ3883">
        <v>75.376333559863397</v>
      </c>
      <c r="AK3883">
        <v>21.740435945869098</v>
      </c>
      <c r="AL3883">
        <v>80.439357708094406</v>
      </c>
      <c r="AM3883">
        <v>82.643400067759003</v>
      </c>
      <c r="AN3883">
        <v>0.99999996715218897</v>
      </c>
    </row>
    <row r="3884" spans="1:40" x14ac:dyDescent="0.25">
      <c r="A3884" t="str">
        <f>"20190303162857613"</f>
        <v>20190303162857613</v>
      </c>
      <c r="B3884" t="str">
        <f>"1551601737605858"</f>
        <v>1551601737605858</v>
      </c>
      <c r="C3884" t="s">
        <v>40</v>
      </c>
      <c r="D3884">
        <v>5.2293289999999999</v>
      </c>
      <c r="E3884">
        <v>0.55212689999999998</v>
      </c>
      <c r="F3884" t="s">
        <v>56</v>
      </c>
      <c r="G3884">
        <v>-198.38159999999999</v>
      </c>
      <c r="H3884" s="1">
        <v>-1.147884E-5</v>
      </c>
      <c r="I3884">
        <v>147.0745</v>
      </c>
      <c r="J3884">
        <v>-191.83619999999999</v>
      </c>
      <c r="K3884">
        <v>1.120695</v>
      </c>
      <c r="L3884">
        <v>167.3193</v>
      </c>
      <c r="M3884">
        <v>-5.3198269999999999E-2</v>
      </c>
      <c r="N3884">
        <v>-9.1730460000000007E-3</v>
      </c>
      <c r="O3884">
        <v>-0.99854209999999999</v>
      </c>
      <c r="P3884">
        <v>-0.18425920000000001</v>
      </c>
      <c r="Q3884">
        <v>0.15753059999999999</v>
      </c>
      <c r="R3884">
        <v>-0.97017200000000003</v>
      </c>
      <c r="S3884">
        <v>-0.9405365</v>
      </c>
      <c r="T3884">
        <v>-0.1606746</v>
      </c>
      <c r="U3884">
        <v>-2.9420169999999999</v>
      </c>
      <c r="V3884">
        <v>0.13245299999999999</v>
      </c>
      <c r="W3884">
        <v>0.16644639999999999</v>
      </c>
      <c r="X3884">
        <v>0.97711400000000004</v>
      </c>
      <c r="Y3884">
        <v>0.25305139999999998</v>
      </c>
      <c r="Z3884">
        <v>4.3145200000000002E-2</v>
      </c>
      <c r="AA3884">
        <v>0.96649030000000002</v>
      </c>
      <c r="AB3884">
        <v>29</v>
      </c>
      <c r="AC3884">
        <v>-6.5453999999999999</v>
      </c>
      <c r="AD3884">
        <v>-1.1207064788400001</v>
      </c>
      <c r="AE3884">
        <v>-20.244800000000001</v>
      </c>
      <c r="AF3884">
        <v>5.4439932160676197</v>
      </c>
      <c r="AG3884">
        <v>-1.1207064788400001</v>
      </c>
      <c r="AH3884">
        <v>20.50745170747</v>
      </c>
      <c r="AI3884">
        <v>93.023513638024298</v>
      </c>
      <c r="AJ3884">
        <v>75.132927024510707</v>
      </c>
      <c r="AK3884">
        <v>21.247320317689901</v>
      </c>
      <c r="AL3884">
        <v>80.418730759244298</v>
      </c>
      <c r="AM3884">
        <v>82.280306590675195</v>
      </c>
      <c r="AN3884">
        <v>0.99999998513898003</v>
      </c>
    </row>
    <row r="3885" spans="1:40" x14ac:dyDescent="0.25">
      <c r="A3885" t="str">
        <f>"20190303162857626"</f>
        <v>20190303162857626</v>
      </c>
      <c r="B3885" t="str">
        <f>"1551601737615618"</f>
        <v>1551601737615618</v>
      </c>
      <c r="C3885" t="s">
        <v>40</v>
      </c>
      <c r="D3885">
        <v>5.2340479999999996</v>
      </c>
      <c r="E3885">
        <v>0.55173369999999999</v>
      </c>
      <c r="F3885" t="s">
        <v>56</v>
      </c>
      <c r="G3885">
        <v>-198.46209999999999</v>
      </c>
      <c r="H3885" s="1">
        <v>-1.143813E-5</v>
      </c>
      <c r="I3885">
        <v>146.89869999999999</v>
      </c>
      <c r="J3885">
        <v>-191.845</v>
      </c>
      <c r="K3885">
        <v>1.1206929999999999</v>
      </c>
      <c r="L3885">
        <v>167.15549999999999</v>
      </c>
      <c r="M3885">
        <v>-5.3311980000000002E-2</v>
      </c>
      <c r="N3885">
        <v>-9.1942870000000006E-3</v>
      </c>
      <c r="O3885">
        <v>-0.99853559999999997</v>
      </c>
      <c r="P3885">
        <v>-0.18728230000000001</v>
      </c>
      <c r="Q3885">
        <v>0.15761910000000001</v>
      </c>
      <c r="R3885">
        <v>-0.9695783</v>
      </c>
      <c r="S3885">
        <v>-0.95310969999999995</v>
      </c>
      <c r="T3885">
        <v>-0.1612085</v>
      </c>
      <c r="U3885">
        <v>-2.937408</v>
      </c>
      <c r="V3885">
        <v>0.1353925</v>
      </c>
      <c r="W3885">
        <v>0.16655029999999901</v>
      </c>
      <c r="X3885">
        <v>0.97669329999999999</v>
      </c>
      <c r="Y3885">
        <v>0.25712249999999998</v>
      </c>
      <c r="Z3885">
        <v>4.331397E-2</v>
      </c>
      <c r="AA3885">
        <v>0.96540769999999998</v>
      </c>
      <c r="AB3885">
        <v>29</v>
      </c>
      <c r="AC3885">
        <v>-6.61709999999999</v>
      </c>
      <c r="AD3885">
        <v>-1.12070443813</v>
      </c>
      <c r="AE3885">
        <v>-20.256799999999998</v>
      </c>
      <c r="AF3885">
        <v>5.5124673950182101</v>
      </c>
      <c r="AG3885">
        <v>-1.12070443813</v>
      </c>
      <c r="AH3885">
        <v>20.524012466877998</v>
      </c>
      <c r="AI3885">
        <v>93.018727301351504</v>
      </c>
      <c r="AJ3885">
        <v>74.965950187373593</v>
      </c>
      <c r="AK3885">
        <v>21.2809389585926</v>
      </c>
      <c r="AL3885">
        <v>80.412693280639104</v>
      </c>
      <c r="AM3885">
        <v>82.1077640007653</v>
      </c>
      <c r="AN3885">
        <v>0.99999996687561399</v>
      </c>
    </row>
    <row r="3886" spans="1:40" x14ac:dyDescent="0.25">
      <c r="A3886" t="str">
        <f>"20190303162857640"</f>
        <v>20190303162857640</v>
      </c>
      <c r="B3886" t="str">
        <f>"1551601737625379"</f>
        <v>1551601737625379</v>
      </c>
      <c r="C3886" t="s">
        <v>40</v>
      </c>
      <c r="D3886">
        <v>5.2260210000000002</v>
      </c>
      <c r="E3886">
        <v>0.55135719999999899</v>
      </c>
      <c r="F3886" t="s">
        <v>56</v>
      </c>
      <c r="G3886">
        <v>-198.49639999999999</v>
      </c>
      <c r="H3886" s="1">
        <v>-1.141159E-5</v>
      </c>
      <c r="I3886">
        <v>146.79300000000001</v>
      </c>
      <c r="J3886">
        <v>-191.8546</v>
      </c>
      <c r="K3886">
        <v>1.120687</v>
      </c>
      <c r="L3886">
        <v>166.97909999999999</v>
      </c>
      <c r="M3886">
        <v>-5.3435839999999998E-2</v>
      </c>
      <c r="N3886">
        <v>-9.2157809999999993E-3</v>
      </c>
      <c r="O3886">
        <v>-0.99852870000000005</v>
      </c>
      <c r="P3886">
        <v>-0.19021959999999999</v>
      </c>
      <c r="Q3886">
        <v>0.15741069999999999</v>
      </c>
      <c r="R3886">
        <v>-0.96904029999999997</v>
      </c>
      <c r="S3886">
        <v>-0.95877080000000003</v>
      </c>
      <c r="T3886">
        <v>-0.1615453</v>
      </c>
      <c r="U3886">
        <v>-2.935181</v>
      </c>
      <c r="V3886">
        <v>0.13823339999999901</v>
      </c>
      <c r="W3886">
        <v>0.16635759999999999</v>
      </c>
      <c r="X3886">
        <v>0.97632819999999998</v>
      </c>
      <c r="Y3886">
        <v>0.25889859999999998</v>
      </c>
      <c r="Z3886">
        <v>4.3411930000000001E-2</v>
      </c>
      <c r="AA3886">
        <v>0.96492840000000002</v>
      </c>
      <c r="AB3886">
        <v>29</v>
      </c>
      <c r="AC3886">
        <v>-6.6417999999999804</v>
      </c>
      <c r="AD3886">
        <v>-1.1206984115900001</v>
      </c>
      <c r="AE3886">
        <v>-20.1860999999999</v>
      </c>
      <c r="AF3886">
        <v>5.5382000678615197</v>
      </c>
      <c r="AG3886">
        <v>-1.1206984115900001</v>
      </c>
      <c r="AH3886">
        <v>20.455292496481999</v>
      </c>
      <c r="AI3886">
        <v>93.027192298976502</v>
      </c>
      <c r="AJ3886">
        <v>74.850564061868894</v>
      </c>
      <c r="AK3886">
        <v>21.2213716813507</v>
      </c>
      <c r="AL3886">
        <v>80.423891083502397</v>
      </c>
      <c r="AM3886">
        <v>81.941342603420793</v>
      </c>
      <c r="AN3886">
        <v>1.00000003903427</v>
      </c>
    </row>
    <row r="3887" spans="1:40" x14ac:dyDescent="0.25">
      <c r="A3887" t="str">
        <f>"20190303162857657"</f>
        <v>20190303162857657</v>
      </c>
      <c r="B3887" t="str">
        <f>"1551601737645874"</f>
        <v>1551601737645874</v>
      </c>
      <c r="C3887" t="s">
        <v>40</v>
      </c>
      <c r="D3887">
        <v>5.2269829999999997</v>
      </c>
      <c r="E3887">
        <v>0.54550679999999996</v>
      </c>
      <c r="F3887" t="s">
        <v>56</v>
      </c>
      <c r="G3887">
        <v>-198.49619999999999</v>
      </c>
      <c r="H3887" s="1">
        <v>-1.1407260000000001E-5</v>
      </c>
      <c r="I3887">
        <v>146.77850000000001</v>
      </c>
      <c r="J3887">
        <v>-191.86670000000001</v>
      </c>
      <c r="K3887">
        <v>1.1206830000000001</v>
      </c>
      <c r="L3887">
        <v>166.75710000000001</v>
      </c>
      <c r="M3887">
        <v>-5.3597510000000001E-2</v>
      </c>
      <c r="N3887">
        <v>-9.2412009999999992E-3</v>
      </c>
      <c r="O3887">
        <v>-0.99852010000000002</v>
      </c>
      <c r="P3887">
        <v>-0.19561690000000001</v>
      </c>
      <c r="Q3887">
        <v>0.15635170000000001</v>
      </c>
      <c r="R3887">
        <v>-0.96813700000000003</v>
      </c>
      <c r="S3887">
        <v>-0.96430970000000005</v>
      </c>
      <c r="T3887">
        <v>-0.16271649999999999</v>
      </c>
      <c r="U3887">
        <v>-2.9329679999999998</v>
      </c>
      <c r="V3887">
        <v>0.14351420000000001</v>
      </c>
      <c r="W3887">
        <v>0.16531460000000001</v>
      </c>
      <c r="X3887">
        <v>0.97574320000000003</v>
      </c>
      <c r="Y3887">
        <v>0.26059589999999999</v>
      </c>
      <c r="Z3887">
        <v>4.3777160000000002E-2</v>
      </c>
      <c r="AA3887">
        <v>0.9644549</v>
      </c>
      <c r="AB3887">
        <v>29</v>
      </c>
      <c r="AC3887">
        <v>-6.62949999999997</v>
      </c>
      <c r="AD3887">
        <v>-1.12069440726</v>
      </c>
      <c r="AE3887">
        <v>-19.9786</v>
      </c>
      <c r="AF3887">
        <v>5.5334368255542099</v>
      </c>
      <c r="AG3887">
        <v>-1.12069440726</v>
      </c>
      <c r="AH3887">
        <v>20.247827859615199</v>
      </c>
      <c r="AI3887">
        <v>93.056178090122501</v>
      </c>
      <c r="AJ3887">
        <v>74.715118194179496</v>
      </c>
      <c r="AK3887">
        <v>21.020214368304501</v>
      </c>
      <c r="AL3887">
        <v>80.484489463677207</v>
      </c>
      <c r="AM3887">
        <v>81.632817602064605</v>
      </c>
      <c r="AN3887">
        <v>1.0000000174605199</v>
      </c>
    </row>
    <row r="3888" spans="1:40" x14ac:dyDescent="0.25">
      <c r="A3888" t="str">
        <f>"20190303162857670"</f>
        <v>20190303162857670</v>
      </c>
      <c r="B3888" t="str">
        <f>"1551601737665394"</f>
        <v>1551601737665394</v>
      </c>
      <c r="C3888" t="s">
        <v>40</v>
      </c>
      <c r="D3888">
        <v>5.2746779999999998</v>
      </c>
      <c r="E3888">
        <v>0.54440859999999902</v>
      </c>
      <c r="F3888" t="s">
        <v>56</v>
      </c>
      <c r="G3888">
        <v>-197.899</v>
      </c>
      <c r="H3888" s="1">
        <v>-1.1607969999999999E-5</v>
      </c>
      <c r="I3888">
        <v>147.76499999999999</v>
      </c>
      <c r="J3888">
        <v>-191.87559999999999</v>
      </c>
      <c r="K3888">
        <v>1.120676</v>
      </c>
      <c r="L3888">
        <v>166.5934</v>
      </c>
      <c r="M3888">
        <v>-5.3724220000000003E-2</v>
      </c>
      <c r="N3888">
        <v>-9.2589179999999997E-3</v>
      </c>
      <c r="O3888">
        <v>-0.99851299999999998</v>
      </c>
      <c r="P3888">
        <v>-0.19834189999999999</v>
      </c>
      <c r="Q3888">
        <v>0.1554294</v>
      </c>
      <c r="R3888">
        <v>-0.96773039999999999</v>
      </c>
      <c r="S3888">
        <v>-0.93324280000000004</v>
      </c>
      <c r="T3888">
        <v>-0.173377799999999</v>
      </c>
      <c r="U3888">
        <v>-2.9381710000000001</v>
      </c>
      <c r="V3888">
        <v>0.1461353</v>
      </c>
      <c r="W3888">
        <v>0.1644041</v>
      </c>
      <c r="X3888">
        <v>0.97550800000000004</v>
      </c>
      <c r="Y3888">
        <v>0.25066860000000002</v>
      </c>
      <c r="Z3888">
        <v>4.7284970000000003E-2</v>
      </c>
      <c r="AA3888">
        <v>0.96691749999999999</v>
      </c>
      <c r="AB3888">
        <v>29</v>
      </c>
      <c r="AC3888">
        <v>-6.0233999999999996</v>
      </c>
      <c r="AD3888">
        <v>-1.1206876079700001</v>
      </c>
      <c r="AE3888">
        <v>-18.828399999999998</v>
      </c>
      <c r="AF3888">
        <v>4.9870882234541103</v>
      </c>
      <c r="AG3888">
        <v>-1.1206876079700001</v>
      </c>
      <c r="AH3888">
        <v>19.063554791229599</v>
      </c>
      <c r="AI3888">
        <v>93.255078084867904</v>
      </c>
      <c r="AJ3888">
        <v>75.339773556031005</v>
      </c>
      <c r="AK3888">
        <v>19.736922529649501</v>
      </c>
      <c r="AL3888">
        <v>80.537381254937202</v>
      </c>
      <c r="AM3888">
        <v>81.480200355455395</v>
      </c>
      <c r="AN3888">
        <v>1.0000000460334399</v>
      </c>
    </row>
    <row r="3889" spans="1:40" x14ac:dyDescent="0.25">
      <c r="A3889" t="str">
        <f>"20190303162857682"</f>
        <v>20190303162857682</v>
      </c>
      <c r="B3889" t="str">
        <f>"1551601737675154"</f>
        <v>1551601737675154</v>
      </c>
      <c r="C3889" t="s">
        <v>40</v>
      </c>
      <c r="D3889">
        <v>5.3164249999999997</v>
      </c>
      <c r="E3889">
        <v>0.53852019999999901</v>
      </c>
      <c r="F3889" t="s">
        <v>56</v>
      </c>
      <c r="G3889">
        <v>-197.41489999999999</v>
      </c>
      <c r="H3889" s="1">
        <v>-1.188226E-5</v>
      </c>
      <c r="I3889">
        <v>149.13079999999999</v>
      </c>
      <c r="J3889">
        <v>-191.88499999999999</v>
      </c>
      <c r="K3889">
        <v>1.1206670000000001</v>
      </c>
      <c r="L3889">
        <v>166.4212</v>
      </c>
      <c r="M3889">
        <v>-5.3863880000000003E-2</v>
      </c>
      <c r="N3889">
        <v>-9.2768669999999994E-3</v>
      </c>
      <c r="O3889">
        <v>-0.99850510000000003</v>
      </c>
      <c r="P3889">
        <v>-0.2013788</v>
      </c>
      <c r="Q3889">
        <v>0.15498619999999999</v>
      </c>
      <c r="R3889">
        <v>-0.96717419999999998</v>
      </c>
      <c r="S3889">
        <v>-0.93235780000000001</v>
      </c>
      <c r="T3889">
        <v>-0.1886303</v>
      </c>
      <c r="U3889">
        <v>-2.9392399999999999</v>
      </c>
      <c r="V3889">
        <v>0.14906429999999901</v>
      </c>
      <c r="W3889">
        <v>0.163970899999999</v>
      </c>
      <c r="X3889">
        <v>0.9751377</v>
      </c>
      <c r="Y3889">
        <v>0.25008770000000002</v>
      </c>
      <c r="Z3889">
        <v>5.2203310000000003E-2</v>
      </c>
      <c r="AA3889">
        <v>0.96681479999999997</v>
      </c>
      <c r="AB3889">
        <v>29</v>
      </c>
      <c r="AC3889">
        <v>-5.5298999999999898</v>
      </c>
      <c r="AD3889">
        <v>-1.12067888226</v>
      </c>
      <c r="AE3889">
        <v>-17.290400000000002</v>
      </c>
      <c r="AF3889">
        <v>4.5730745651600104</v>
      </c>
      <c r="AG3889">
        <v>-1.12067888226</v>
      </c>
      <c r="AH3889">
        <v>17.496489928146101</v>
      </c>
      <c r="AI3889">
        <v>93.546077784796196</v>
      </c>
      <c r="AJ3889">
        <v>75.352231345378101</v>
      </c>
      <c r="AK3889">
        <v>18.118942903529899</v>
      </c>
      <c r="AL3889">
        <v>80.562543557701403</v>
      </c>
      <c r="AM3889">
        <v>81.308769151456602</v>
      </c>
      <c r="AN3889">
        <v>1.0000000777712901</v>
      </c>
    </row>
    <row r="3890" spans="1:40" x14ac:dyDescent="0.25">
      <c r="A3890" t="str">
        <f>"20190303162857695"</f>
        <v>20190303162857695</v>
      </c>
      <c r="B3890" t="str">
        <f>"1551601737685890"</f>
        <v>1551601737685890</v>
      </c>
      <c r="C3890" t="s">
        <v>40</v>
      </c>
      <c r="D3890">
        <v>5.2814439999999996</v>
      </c>
      <c r="E3890">
        <v>0.53843240000000003</v>
      </c>
      <c r="F3890" t="s">
        <v>56</v>
      </c>
      <c r="G3890">
        <v>-195.7851</v>
      </c>
      <c r="H3890" s="1">
        <v>-1.307327E-5</v>
      </c>
      <c r="I3890">
        <v>153.51910000000001</v>
      </c>
      <c r="J3890">
        <v>-191.89349999999999</v>
      </c>
      <c r="K3890">
        <v>1.1206529999999999</v>
      </c>
      <c r="L3890">
        <v>166.26650000000001</v>
      </c>
      <c r="M3890">
        <v>-5.4008420000000001E-2</v>
      </c>
      <c r="N3890">
        <v>-9.2917390000000002E-3</v>
      </c>
      <c r="O3890">
        <v>-0.99849750000000004</v>
      </c>
      <c r="P3890">
        <v>-0.20461019999999999</v>
      </c>
      <c r="Q3890">
        <v>0.1545262</v>
      </c>
      <c r="R3890">
        <v>-0.96656969999999998</v>
      </c>
      <c r="S3890">
        <v>-0.89382929999999905</v>
      </c>
      <c r="T3890">
        <v>-0.25683529999999999</v>
      </c>
      <c r="U3890">
        <v>-2.9568789999999998</v>
      </c>
      <c r="V3890">
        <v>0.15218770000000001</v>
      </c>
      <c r="W3890">
        <v>0.16351459999999901</v>
      </c>
      <c r="X3890">
        <v>0.97473169999999998</v>
      </c>
      <c r="Y3890">
        <v>0.23634069999999999</v>
      </c>
      <c r="Z3890">
        <v>7.4086059999999995E-2</v>
      </c>
      <c r="AA3890">
        <v>0.96884170000000003</v>
      </c>
      <c r="AB3890">
        <v>29</v>
      </c>
      <c r="AC3890">
        <v>-3.8916000000000102</v>
      </c>
      <c r="AD3890">
        <v>-1.12066607327</v>
      </c>
      <c r="AE3890">
        <v>-12.747400000000001</v>
      </c>
      <c r="AF3890">
        <v>3.1749765739687201</v>
      </c>
      <c r="AG3890">
        <v>-1.12066607327</v>
      </c>
      <c r="AH3890">
        <v>12.848147110736001</v>
      </c>
      <c r="AI3890">
        <v>94.840078038317898</v>
      </c>
      <c r="AJ3890">
        <v>76.119408559901899</v>
      </c>
      <c r="AK3890">
        <v>13.281989793406099</v>
      </c>
      <c r="AL3890">
        <v>80.589044609040599</v>
      </c>
      <c r="AM3890">
        <v>81.125889660332703</v>
      </c>
      <c r="AN3890">
        <v>1.0000000037146699</v>
      </c>
    </row>
    <row r="3891" spans="1:40" x14ac:dyDescent="0.25">
      <c r="A3891" t="str">
        <f>"20190303162857709"</f>
        <v>20190303162857709</v>
      </c>
      <c r="B3891" t="str">
        <f>"1551601737705411"</f>
        <v>1551601737705411</v>
      </c>
      <c r="C3891" t="s">
        <v>40</v>
      </c>
      <c r="D3891">
        <v>5.2061449999999896</v>
      </c>
      <c r="E3891">
        <v>0.53923809999999905</v>
      </c>
      <c r="F3891" t="s">
        <v>56</v>
      </c>
      <c r="G3891">
        <v>-195.7766</v>
      </c>
      <c r="H3891" s="1">
        <v>-1.308155E-5</v>
      </c>
      <c r="I3891">
        <v>153.55500000000001</v>
      </c>
      <c r="J3891">
        <v>-191.90350000000001</v>
      </c>
      <c r="K3891">
        <v>1.1206320000000001</v>
      </c>
      <c r="L3891">
        <v>166.08459999999999</v>
      </c>
      <c r="M3891">
        <v>-5.4196279999999999E-2</v>
      </c>
      <c r="N3891">
        <v>-9.3086309999999995E-3</v>
      </c>
      <c r="O3891">
        <v>-0.99848709999999996</v>
      </c>
      <c r="P3891">
        <v>-0.208259</v>
      </c>
      <c r="Q3891">
        <v>0.1544122</v>
      </c>
      <c r="R3891">
        <v>-0.96580820000000001</v>
      </c>
      <c r="S3891">
        <v>-0.90249630000000003</v>
      </c>
      <c r="T3891">
        <v>-0.26046380000000002</v>
      </c>
      <c r="U3891">
        <v>-2.9544069999999998</v>
      </c>
      <c r="V3891">
        <v>0.15569749999999999</v>
      </c>
      <c r="W3891">
        <v>0.16340209999999999</v>
      </c>
      <c r="X3891">
        <v>0.97419610000000001</v>
      </c>
      <c r="Y3891">
        <v>0.23895549999999999</v>
      </c>
      <c r="Z3891">
        <v>7.524256E-2</v>
      </c>
      <c r="AA3891">
        <v>0.96811100000000005</v>
      </c>
      <c r="AB3891">
        <v>29</v>
      </c>
      <c r="AC3891">
        <v>-3.8730999999999902</v>
      </c>
      <c r="AD3891">
        <v>-1.12064508155</v>
      </c>
      <c r="AE3891">
        <v>-12.529599999999901</v>
      </c>
      <c r="AF3891">
        <v>3.1652085721935901</v>
      </c>
      <c r="AG3891">
        <v>-1.12064508155</v>
      </c>
      <c r="AH3891">
        <v>12.6288870439238</v>
      </c>
      <c r="AI3891">
        <v>94.919572561657105</v>
      </c>
      <c r="AJ3891">
        <v>75.929657868198504</v>
      </c>
      <c r="AK3891">
        <v>13.0676386035303</v>
      </c>
      <c r="AL3891">
        <v>80.595578220504706</v>
      </c>
      <c r="AM3891">
        <v>80.919694337389402</v>
      </c>
      <c r="AN3891">
        <v>0.99999999952293495</v>
      </c>
    </row>
    <row r="3892" spans="1:40" x14ac:dyDescent="0.25">
      <c r="A3892" t="str">
        <f>"20190303162857725"</f>
        <v>20190303162857725</v>
      </c>
      <c r="B3892" t="str">
        <f>"1551601737715170"</f>
        <v>1551601737715170</v>
      </c>
      <c r="C3892" t="s">
        <v>40</v>
      </c>
      <c r="D3892">
        <v>5.2804219999999997</v>
      </c>
      <c r="E3892">
        <v>0.53873590000000005</v>
      </c>
      <c r="F3892" t="s">
        <v>56</v>
      </c>
      <c r="G3892">
        <v>-196.03909999999999</v>
      </c>
      <c r="H3892" s="1">
        <v>-1.2921340000000001E-5</v>
      </c>
      <c r="I3892">
        <v>152.82570000000001</v>
      </c>
      <c r="J3892">
        <v>-191.9151</v>
      </c>
      <c r="K3892">
        <v>1.1205830000000001</v>
      </c>
      <c r="L3892">
        <v>165.87610000000001</v>
      </c>
      <c r="M3892">
        <v>-5.4446870000000001E-2</v>
      </c>
      <c r="N3892">
        <v>-9.326885E-3</v>
      </c>
      <c r="O3892">
        <v>-0.99847319999999995</v>
      </c>
      <c r="P3892">
        <v>-0.21502540000000001</v>
      </c>
      <c r="Q3892">
        <v>0.15364059999999999</v>
      </c>
      <c r="R3892">
        <v>-0.96444759999999996</v>
      </c>
      <c r="S3892">
        <v>-0.91944890000000001</v>
      </c>
      <c r="T3892">
        <v>-0.2491466</v>
      </c>
      <c r="U3892">
        <v>-2.947784</v>
      </c>
      <c r="V3892">
        <v>0.16229669999999999</v>
      </c>
      <c r="W3892">
        <v>0.16262160000000001</v>
      </c>
      <c r="X3892">
        <v>0.97324920000000004</v>
      </c>
      <c r="Y3892">
        <v>0.24447840000000001</v>
      </c>
      <c r="Z3892">
        <v>7.1627199999999905E-2</v>
      </c>
      <c r="AA3892">
        <v>0.96700560000000002</v>
      </c>
      <c r="AB3892">
        <v>29</v>
      </c>
      <c r="AC3892">
        <v>-4.1239999999999899</v>
      </c>
      <c r="AD3892">
        <v>-1.1205959213400001</v>
      </c>
      <c r="AE3892">
        <v>-13.0503999999999</v>
      </c>
      <c r="AF3892">
        <v>3.3846086080762099</v>
      </c>
      <c r="AG3892">
        <v>-1.1205959213400001</v>
      </c>
      <c r="AH3892">
        <v>13.1673194150379</v>
      </c>
      <c r="AI3892">
        <v>94.711945472775298</v>
      </c>
      <c r="AJ3892">
        <v>75.584424875599893</v>
      </c>
      <c r="AK3892">
        <v>13.641466608338799</v>
      </c>
      <c r="AL3892">
        <v>80.640903894868501</v>
      </c>
      <c r="AM3892">
        <v>80.532608629406099</v>
      </c>
      <c r="AN3892">
        <v>1.00000000445904</v>
      </c>
    </row>
    <row r="3893" spans="1:40" x14ac:dyDescent="0.25">
      <c r="A3893" t="str">
        <f>"20190303162857741"</f>
        <v>20190303162857741</v>
      </c>
      <c r="B3893" t="str">
        <f>"1551601737735666"</f>
        <v>1551601737735666</v>
      </c>
      <c r="C3893" t="s">
        <v>40</v>
      </c>
      <c r="D3893">
        <v>5.216189</v>
      </c>
      <c r="E3893">
        <v>0.53844789999999998</v>
      </c>
      <c r="F3893" t="s">
        <v>56</v>
      </c>
      <c r="G3893">
        <v>-196.0532</v>
      </c>
      <c r="H3893" s="1">
        <v>-1.293117E-5</v>
      </c>
      <c r="I3893">
        <v>152.85980000000001</v>
      </c>
      <c r="J3893">
        <v>-191.92679999999999</v>
      </c>
      <c r="K3893">
        <v>1.1205320000000001</v>
      </c>
      <c r="L3893">
        <v>165.66679999999999</v>
      </c>
      <c r="M3893">
        <v>-5.4750489999999999E-2</v>
      </c>
      <c r="N3893">
        <v>-9.3439439999999999E-3</v>
      </c>
      <c r="O3893">
        <v>-0.99845640000000002</v>
      </c>
      <c r="P3893">
        <v>-0.2180935</v>
      </c>
      <c r="Q3893">
        <v>0.1525791</v>
      </c>
      <c r="R3893">
        <v>-0.96392699999999998</v>
      </c>
      <c r="S3893">
        <v>-0.9354401</v>
      </c>
      <c r="T3893">
        <v>-0.2533147</v>
      </c>
      <c r="U3893">
        <v>-2.9423680000000001</v>
      </c>
      <c r="V3893">
        <v>0.16511020000000001</v>
      </c>
      <c r="W3893">
        <v>0.16155310000000001</v>
      </c>
      <c r="X3893">
        <v>0.97295390000000004</v>
      </c>
      <c r="Y3893">
        <v>0.2494335</v>
      </c>
      <c r="Z3893">
        <v>7.2979820000000001E-2</v>
      </c>
      <c r="AA3893">
        <v>0.96563810000000005</v>
      </c>
      <c r="AB3893">
        <v>29</v>
      </c>
      <c r="AC3893">
        <v>-4.1264000000000101</v>
      </c>
      <c r="AD3893">
        <v>-1.12054493116999</v>
      </c>
      <c r="AE3893">
        <v>-12.806999999999899</v>
      </c>
      <c r="AF3893">
        <v>3.3954414503511998</v>
      </c>
      <c r="AG3893">
        <v>-1.12054493116999</v>
      </c>
      <c r="AH3893">
        <v>12.9240878384689</v>
      </c>
      <c r="AI3893">
        <v>94.793399629711999</v>
      </c>
      <c r="AJ3893">
        <v>75.279800179762404</v>
      </c>
      <c r="AK3893">
        <v>13.4095745660328</v>
      </c>
      <c r="AL3893">
        <v>80.702945146267695</v>
      </c>
      <c r="AM3893">
        <v>80.368665841703304</v>
      </c>
      <c r="AN3893">
        <v>1.00000003689442</v>
      </c>
    </row>
    <row r="3894" spans="1:40" x14ac:dyDescent="0.25">
      <c r="A3894" t="str">
        <f>"20190303162857761"</f>
        <v>20190303162857761</v>
      </c>
      <c r="B3894" t="str">
        <f>"1551601737755187"</f>
        <v>1551601737755187</v>
      </c>
      <c r="C3894" t="s">
        <v>40</v>
      </c>
      <c r="D3894">
        <v>5.2651839999999996</v>
      </c>
      <c r="E3894">
        <v>0.53810899999999995</v>
      </c>
      <c r="F3894" t="s">
        <v>56</v>
      </c>
      <c r="G3894">
        <v>-196.1413</v>
      </c>
      <c r="H3894" s="1">
        <v>-1.28544699999999E-5</v>
      </c>
      <c r="I3894">
        <v>152.5239</v>
      </c>
      <c r="J3894">
        <v>-191.941</v>
      </c>
      <c r="K3894">
        <v>1.1204510000000001</v>
      </c>
      <c r="L3894">
        <v>165.41630000000001</v>
      </c>
      <c r="M3894">
        <v>-5.5193779999999998E-2</v>
      </c>
      <c r="N3894">
        <v>-9.3629430000000003E-3</v>
      </c>
      <c r="O3894">
        <v>-0.99843179999999998</v>
      </c>
      <c r="P3894">
        <v>-0.22356390000000001</v>
      </c>
      <c r="Q3894">
        <v>0.15079149999999999</v>
      </c>
      <c r="R3894">
        <v>-0.96295450000000005</v>
      </c>
      <c r="S3894">
        <v>-0.94235230000000003</v>
      </c>
      <c r="T3894">
        <v>-0.2505521</v>
      </c>
      <c r="U3894">
        <v>-2.9387210000000001</v>
      </c>
      <c r="V3894">
        <v>0.17021939999999999</v>
      </c>
      <c r="W3894">
        <v>0.15974579999999999</v>
      </c>
      <c r="X3894">
        <v>0.9723716</v>
      </c>
      <c r="Y3894">
        <v>0.25142910000000002</v>
      </c>
      <c r="Z3894">
        <v>7.2114109999999995E-2</v>
      </c>
      <c r="AA3894">
        <v>0.96518550000000003</v>
      </c>
      <c r="AB3894">
        <v>29</v>
      </c>
      <c r="AC3894">
        <v>-4.2003000000000199</v>
      </c>
      <c r="AD3894">
        <v>-1.1204638544700001</v>
      </c>
      <c r="AE3894">
        <v>-12.8924</v>
      </c>
      <c r="AF3894">
        <v>3.4586682569743199</v>
      </c>
      <c r="AG3894">
        <v>-1.1204638544700001</v>
      </c>
      <c r="AH3894">
        <v>13.0157104633834</v>
      </c>
      <c r="AI3894">
        <v>94.755951027732706</v>
      </c>
      <c r="AJ3894">
        <v>75.118684130299499</v>
      </c>
      <c r="AK3894">
        <v>13.513938886483199</v>
      </c>
      <c r="AL3894">
        <v>80.807857647340199</v>
      </c>
      <c r="AM3894">
        <v>80.070646036071395</v>
      </c>
      <c r="AN3894">
        <v>0.99999994662027802</v>
      </c>
    </row>
    <row r="3895" spans="1:40" x14ac:dyDescent="0.25">
      <c r="A3895" t="str">
        <f>"20190303162857781"</f>
        <v>20190303162857781</v>
      </c>
      <c r="B3895" t="str">
        <f>"1551601737775682"</f>
        <v>1551601737775682</v>
      </c>
      <c r="C3895" t="s">
        <v>40</v>
      </c>
      <c r="D3895">
        <v>5.2478669999999896</v>
      </c>
      <c r="E3895">
        <v>0.53919240000000002</v>
      </c>
      <c r="F3895" t="s">
        <v>56</v>
      </c>
      <c r="G3895">
        <v>-196.19820000000001</v>
      </c>
      <c r="H3895" s="1">
        <v>-1.281676E-5</v>
      </c>
      <c r="I3895">
        <v>152.35399999999899</v>
      </c>
      <c r="J3895">
        <v>-191.95650000000001</v>
      </c>
      <c r="K3895">
        <v>1.120336</v>
      </c>
      <c r="L3895">
        <v>165.14779999999999</v>
      </c>
      <c r="M3895">
        <v>-5.5822829999999997E-2</v>
      </c>
      <c r="N3895">
        <v>-9.3821040000000005E-3</v>
      </c>
      <c r="O3895">
        <v>-0.99839670000000003</v>
      </c>
      <c r="P3895">
        <v>-0.2281174</v>
      </c>
      <c r="Q3895">
        <v>0.14976049999999999</v>
      </c>
      <c r="R3895">
        <v>-0.96204719999999999</v>
      </c>
      <c r="S3895">
        <v>-0.95585629999999999</v>
      </c>
      <c r="T3895">
        <v>-0.25157849999999998</v>
      </c>
      <c r="U3895">
        <v>-2.932877</v>
      </c>
      <c r="V3895">
        <v>0.17424410000000001</v>
      </c>
      <c r="W3895">
        <v>0.15867809999999999</v>
      </c>
      <c r="X3895">
        <v>0.97183350000000002</v>
      </c>
      <c r="Y3895">
        <v>0.25538880000000003</v>
      </c>
      <c r="Z3895">
        <v>7.2478929999999997E-2</v>
      </c>
      <c r="AA3895">
        <v>0.96411789999999997</v>
      </c>
      <c r="AB3895">
        <v>29</v>
      </c>
      <c r="AC3895">
        <v>-4.2416999999999998</v>
      </c>
      <c r="AD3895">
        <v>-1.12034881676</v>
      </c>
      <c r="AE3895">
        <v>-12.793799999999999</v>
      </c>
      <c r="AF3895">
        <v>3.4967090316639502</v>
      </c>
      <c r="AG3895">
        <v>-1.12034881676</v>
      </c>
      <c r="AH3895">
        <v>12.9213690792274</v>
      </c>
      <c r="AI3895">
        <v>94.7842022932454</v>
      </c>
      <c r="AJ3895">
        <v>74.857617292573195</v>
      </c>
      <c r="AK3895">
        <v>13.4329421351002</v>
      </c>
      <c r="AL3895">
        <v>80.869823698860898</v>
      </c>
      <c r="AM3895">
        <v>79.835201904549095</v>
      </c>
      <c r="AN3895">
        <v>1.00000004876333</v>
      </c>
    </row>
    <row r="3896" spans="1:40" x14ac:dyDescent="0.25">
      <c r="A3896" t="str">
        <f>"20190303162857798"</f>
        <v>20190303162857798</v>
      </c>
      <c r="B3896" t="str">
        <f>"1551601737785442"</f>
        <v>1551601737785442</v>
      </c>
      <c r="C3896" t="s">
        <v>40</v>
      </c>
      <c r="D3896">
        <v>5.189629</v>
      </c>
      <c r="E3896">
        <v>0.53919240000000002</v>
      </c>
      <c r="F3896" t="s">
        <v>56</v>
      </c>
      <c r="G3896">
        <v>-196.29239999999999</v>
      </c>
      <c r="H3896" s="1">
        <v>-1.2781200000000001E-5</v>
      </c>
      <c r="I3896">
        <v>152.17949999999999</v>
      </c>
      <c r="J3896">
        <v>-191.9692</v>
      </c>
      <c r="K3896">
        <v>1.120215</v>
      </c>
      <c r="L3896">
        <v>164.9314</v>
      </c>
      <c r="M3896">
        <v>-5.6490749999999999E-2</v>
      </c>
      <c r="N3896">
        <v>-9.3970500000000005E-3</v>
      </c>
      <c r="O3896">
        <v>-0.99835910000000005</v>
      </c>
      <c r="P3896">
        <v>-0.23071630000000001</v>
      </c>
      <c r="Q3896">
        <v>0.14923689999999901</v>
      </c>
      <c r="R3896">
        <v>-0.96150849999999999</v>
      </c>
      <c r="S3896">
        <v>-0.97821040000000004</v>
      </c>
      <c r="T3896">
        <v>-0.25275900000000001</v>
      </c>
      <c r="U3896">
        <v>-2.925751</v>
      </c>
      <c r="V3896">
        <v>0.17626359999999999</v>
      </c>
      <c r="W3896">
        <v>0.15811269999999999</v>
      </c>
      <c r="X3896">
        <v>0.97156140000000002</v>
      </c>
      <c r="Y3896">
        <v>0.26205620000000002</v>
      </c>
      <c r="Z3896">
        <v>7.2862449999999995E-2</v>
      </c>
      <c r="AA3896">
        <v>0.96229810000000005</v>
      </c>
      <c r="AB3896">
        <v>29</v>
      </c>
      <c r="AC3896">
        <v>-4.3231999999999804</v>
      </c>
      <c r="AD3896">
        <v>-1.1202277812000001</v>
      </c>
      <c r="AE3896">
        <v>-12.751899999999999</v>
      </c>
      <c r="AF3896">
        <v>3.5711810883739901</v>
      </c>
      <c r="AG3896">
        <v>-1.1202277812000001</v>
      </c>
      <c r="AH3896">
        <v>12.886569629344301</v>
      </c>
      <c r="AI3896">
        <v>94.788634547459793</v>
      </c>
      <c r="AJ3896">
        <v>74.510656381753904</v>
      </c>
      <c r="AK3896">
        <v>13.4190879518569</v>
      </c>
      <c r="AL3896">
        <v>80.902632643185797</v>
      </c>
      <c r="AM3896">
        <v>79.717071832206699</v>
      </c>
      <c r="AN3896">
        <v>1.0000000182780999</v>
      </c>
    </row>
    <row r="3897" spans="1:40" x14ac:dyDescent="0.25">
      <c r="A3897" t="str">
        <f>"20190303162857817"</f>
        <v>20190303162857817</v>
      </c>
      <c r="B3897" t="str">
        <f>"1551601737805938"</f>
        <v>1551601737805938</v>
      </c>
      <c r="C3897" t="s">
        <v>40</v>
      </c>
      <c r="D3897">
        <v>5.1246660000000004</v>
      </c>
      <c r="E3897">
        <v>0.5572357</v>
      </c>
      <c r="F3897" t="s">
        <v>56</v>
      </c>
      <c r="G3897">
        <v>-196.3202</v>
      </c>
      <c r="H3897" s="1">
        <v>-1.275002E-5</v>
      </c>
      <c r="I3897">
        <v>152.04570000000001</v>
      </c>
      <c r="J3897">
        <v>-191.98400000000001</v>
      </c>
      <c r="K3897">
        <v>1.1200509999999999</v>
      </c>
      <c r="L3897">
        <v>164.68639999999999</v>
      </c>
      <c r="M3897">
        <v>-5.7417179999999998E-2</v>
      </c>
      <c r="N3897">
        <v>-9.4139270000000008E-3</v>
      </c>
      <c r="O3897">
        <v>-0.99830600000000003</v>
      </c>
      <c r="P3897">
        <v>-0.2347175</v>
      </c>
      <c r="Q3897">
        <v>0.14898359999999999</v>
      </c>
      <c r="R3897">
        <v>-0.96057899999999996</v>
      </c>
      <c r="S3897">
        <v>-0.98689269999999996</v>
      </c>
      <c r="T3897">
        <v>-0.25409080000000001</v>
      </c>
      <c r="U3897">
        <v>-2.9227289999999999</v>
      </c>
      <c r="V3897">
        <v>0.17947060000000001</v>
      </c>
      <c r="W3897">
        <v>0.1577953</v>
      </c>
      <c r="X3897">
        <v>0.97102569999999999</v>
      </c>
      <c r="Y3897">
        <v>0.26401619999999998</v>
      </c>
      <c r="Z3897">
        <v>7.329157E-2</v>
      </c>
      <c r="AA3897">
        <v>0.96172959999999996</v>
      </c>
      <c r="AB3897">
        <v>29</v>
      </c>
      <c r="AC3897">
        <v>-4.3361999999999901</v>
      </c>
      <c r="AD3897">
        <v>-1.1200637500199999</v>
      </c>
      <c r="AE3897">
        <v>-12.640699999999899</v>
      </c>
      <c r="AF3897">
        <v>3.5780853725997201</v>
      </c>
      <c r="AG3897">
        <v>-1.1200637500199999</v>
      </c>
      <c r="AH3897">
        <v>12.7790586241911</v>
      </c>
      <c r="AI3897">
        <v>94.824462372373404</v>
      </c>
      <c r="AJ3897">
        <v>74.357965756533105</v>
      </c>
      <c r="AK3897">
        <v>13.3177166608332</v>
      </c>
      <c r="AL3897">
        <v>80.921049183531807</v>
      </c>
      <c r="AM3897">
        <v>79.528432892436996</v>
      </c>
      <c r="AN3897">
        <v>0.99999998151346903</v>
      </c>
    </row>
    <row r="3898" spans="1:40" x14ac:dyDescent="0.25">
      <c r="A3898" t="str">
        <f>"20190303162857837"</f>
        <v>20190303162857837</v>
      </c>
      <c r="B3898" t="str">
        <f>"1551601737825459"</f>
        <v>1551601737825459</v>
      </c>
      <c r="C3898" t="s">
        <v>40</v>
      </c>
      <c r="D3898">
        <v>5.1308129999999998</v>
      </c>
      <c r="E3898">
        <v>0.55823469999999997</v>
      </c>
      <c r="F3898" t="s">
        <v>56</v>
      </c>
      <c r="G3898">
        <v>-198.88720000000001</v>
      </c>
      <c r="H3898" s="1">
        <v>-1.161711E-5</v>
      </c>
      <c r="I3898">
        <v>147.29519999999999</v>
      </c>
      <c r="J3898">
        <v>-192.0001</v>
      </c>
      <c r="K3898">
        <v>1.1198539999999999</v>
      </c>
      <c r="L3898">
        <v>164.42590000000001</v>
      </c>
      <c r="M3898">
        <v>-5.862622E-2</v>
      </c>
      <c r="N3898">
        <v>-9.4319980000000005E-3</v>
      </c>
      <c r="O3898">
        <v>-0.9982356</v>
      </c>
      <c r="P3898">
        <v>-0.23880999999999999</v>
      </c>
      <c r="Q3898">
        <v>0.14950350000000001</v>
      </c>
      <c r="R3898">
        <v>-0.95948869999999997</v>
      </c>
      <c r="S3898">
        <v>-1.1404570000000001</v>
      </c>
      <c r="T3898">
        <v>-0.1850424</v>
      </c>
      <c r="U3898">
        <v>-2.873154</v>
      </c>
      <c r="V3898">
        <v>0.18251919999999999</v>
      </c>
      <c r="W3898">
        <v>0.1582337</v>
      </c>
      <c r="X3898">
        <v>0.97038590000000002</v>
      </c>
      <c r="Y3898">
        <v>0.31323109999999998</v>
      </c>
      <c r="Z3898">
        <v>5.0901990000000001E-2</v>
      </c>
      <c r="AA3898">
        <v>0.94831180000000004</v>
      </c>
      <c r="AB3898">
        <v>29</v>
      </c>
      <c r="AC3898">
        <v>-6.8871000000000002</v>
      </c>
      <c r="AD3898">
        <v>-1.1198656171100001</v>
      </c>
      <c r="AE3898">
        <v>-17.130700000000001</v>
      </c>
      <c r="AF3898">
        <v>5.8493813796820602</v>
      </c>
      <c r="AG3898">
        <v>-1.1198656171100001</v>
      </c>
      <c r="AH3898">
        <v>17.4408526675441</v>
      </c>
      <c r="AI3898">
        <v>93.483682970193499</v>
      </c>
      <c r="AJ3898">
        <v>71.459375801811007</v>
      </c>
      <c r="AK3898">
        <v>18.4296691043637</v>
      </c>
      <c r="AL3898">
        <v>80.895611102330506</v>
      </c>
      <c r="AM3898">
        <v>79.347730787141401</v>
      </c>
      <c r="AN3898">
        <v>0.99999997855156897</v>
      </c>
    </row>
    <row r="3899" spans="1:40" x14ac:dyDescent="0.25">
      <c r="A3899" t="str">
        <f>"20190303162857849"</f>
        <v>20190303162857849</v>
      </c>
      <c r="B3899" t="str">
        <f>"1551601737835218"</f>
        <v>1551601737835218</v>
      </c>
      <c r="C3899" t="s">
        <v>40</v>
      </c>
      <c r="D3899">
        <v>5.1201290000000004</v>
      </c>
      <c r="E3899">
        <v>0.55837890000000001</v>
      </c>
      <c r="F3899" t="s">
        <v>56</v>
      </c>
      <c r="G3899">
        <v>-198.17740000000001</v>
      </c>
      <c r="H3899" s="1">
        <v>-1.2020080000000001E-5</v>
      </c>
      <c r="I3899">
        <v>149.1405</v>
      </c>
      <c r="J3899">
        <v>-192.011</v>
      </c>
      <c r="K3899">
        <v>1.119712</v>
      </c>
      <c r="L3899">
        <v>164.25550000000001</v>
      </c>
      <c r="M3899">
        <v>-5.9549829999999998E-2</v>
      </c>
      <c r="N3899">
        <v>-9.4438000000000005E-3</v>
      </c>
      <c r="O3899">
        <v>-0.99818099999999998</v>
      </c>
      <c r="P3899">
        <v>-0.24125099999999999</v>
      </c>
      <c r="Q3899">
        <v>0.15025459999999999</v>
      </c>
      <c r="R3899">
        <v>-0.95876099999999997</v>
      </c>
      <c r="S3899">
        <v>-1.160126</v>
      </c>
      <c r="T3899">
        <v>-0.2103187</v>
      </c>
      <c r="U3899">
        <v>-2.8706969999999998</v>
      </c>
      <c r="V3899">
        <v>0.18415500000000001</v>
      </c>
      <c r="W3899">
        <v>0.1589267</v>
      </c>
      <c r="X3899">
        <v>0.96996360000000004</v>
      </c>
      <c r="Y3899">
        <v>0.31804519999999997</v>
      </c>
      <c r="Z3899">
        <v>5.8994230000000002E-2</v>
      </c>
      <c r="AA3899">
        <v>0.94623829999999998</v>
      </c>
      <c r="AB3899">
        <v>29</v>
      </c>
      <c r="AC3899">
        <v>-6.1664000000000003</v>
      </c>
      <c r="AD3899">
        <v>-1.1197240200799901</v>
      </c>
      <c r="AE3899">
        <v>-15.115</v>
      </c>
      <c r="AF3899">
        <v>5.2307105617834999</v>
      </c>
      <c r="AG3899">
        <v>-1.1197240200799901</v>
      </c>
      <c r="AH3899">
        <v>15.383023219780499</v>
      </c>
      <c r="AI3899">
        <v>93.942279549915796</v>
      </c>
      <c r="AJ3899">
        <v>71.220355330883805</v>
      </c>
      <c r="AK3899">
        <v>16.2865440853056</v>
      </c>
      <c r="AL3899">
        <v>80.855397118623699</v>
      </c>
      <c r="AM3899">
        <v>79.249905548414702</v>
      </c>
      <c r="AN3899">
        <v>1.00000007266142</v>
      </c>
    </row>
    <row r="3900" spans="1:40" x14ac:dyDescent="0.25">
      <c r="A3900" t="str">
        <f>"20190303162857863"</f>
        <v>20190303162857863</v>
      </c>
      <c r="B3900" t="str">
        <f>"1551601737855714"</f>
        <v>1551601737855714</v>
      </c>
      <c r="C3900" t="s">
        <v>40</v>
      </c>
      <c r="D3900">
        <v>5.1110569999999997</v>
      </c>
      <c r="E3900">
        <v>0.55833369999999904</v>
      </c>
      <c r="F3900" t="s">
        <v>56</v>
      </c>
      <c r="G3900">
        <v>-198.0788</v>
      </c>
      <c r="H3900" s="1">
        <v>-1.20588E-5</v>
      </c>
      <c r="I3900">
        <v>149.3537</v>
      </c>
      <c r="J3900">
        <v>-192.02279999999999</v>
      </c>
      <c r="K3900">
        <v>1.119564</v>
      </c>
      <c r="L3900">
        <v>164.0746</v>
      </c>
      <c r="M3900">
        <v>-6.0623389999999999E-2</v>
      </c>
      <c r="N3900">
        <v>-9.4561860000000001E-3</v>
      </c>
      <c r="O3900">
        <v>-0.99811629999999996</v>
      </c>
      <c r="P3900">
        <v>-0.24383540000000001</v>
      </c>
      <c r="Q3900">
        <v>0.15073449999999999</v>
      </c>
      <c r="R3900">
        <v>-0.95803159999999998</v>
      </c>
      <c r="S3900">
        <v>-1.1681520000000001</v>
      </c>
      <c r="T3900">
        <v>-0.2155675</v>
      </c>
      <c r="U3900">
        <v>-2.868881</v>
      </c>
      <c r="V3900">
        <v>0.18579370000000001</v>
      </c>
      <c r="W3900">
        <v>0.1593424</v>
      </c>
      <c r="X3900">
        <v>0.96958270000000002</v>
      </c>
      <c r="Y3900">
        <v>0.31946570000000002</v>
      </c>
      <c r="Z3900">
        <v>6.0663380000000003E-2</v>
      </c>
      <c r="AA3900">
        <v>0.94565410000000005</v>
      </c>
      <c r="AB3900">
        <v>29</v>
      </c>
      <c r="AC3900">
        <v>-6.0560000000000098</v>
      </c>
      <c r="AD3900">
        <v>-1.1195760587999899</v>
      </c>
      <c r="AE3900">
        <v>-14.7209</v>
      </c>
      <c r="AF3900">
        <v>5.1270268641382399</v>
      </c>
      <c r="AG3900">
        <v>-1.1195760587999899</v>
      </c>
      <c r="AH3900">
        <v>14.986834470754101</v>
      </c>
      <c r="AI3900">
        <v>94.043072066697704</v>
      </c>
      <c r="AJ3900">
        <v>71.1140772068903</v>
      </c>
      <c r="AK3900">
        <v>15.879076247402301</v>
      </c>
      <c r="AL3900">
        <v>80.831270752848397</v>
      </c>
      <c r="AM3900">
        <v>79.152345457841903</v>
      </c>
      <c r="AN3900">
        <v>0.99999995576836898</v>
      </c>
    </row>
    <row r="3901" spans="1:40" x14ac:dyDescent="0.25">
      <c r="A3901" t="str">
        <f>"20190303162857876"</f>
        <v>20190303162857876</v>
      </c>
      <c r="B3901" t="str">
        <f>"1551601737865474"</f>
        <v>1551601737865474</v>
      </c>
      <c r="C3901" t="s">
        <v>40</v>
      </c>
      <c r="D3901">
        <v>5.1201600000000003</v>
      </c>
      <c r="E3901">
        <v>0.55826849999999995</v>
      </c>
      <c r="F3901" t="s">
        <v>56</v>
      </c>
      <c r="G3901">
        <v>-197.995</v>
      </c>
      <c r="H3901" s="1">
        <v>-1.208291E-5</v>
      </c>
      <c r="I3901">
        <v>149.50139999999999</v>
      </c>
      <c r="J3901">
        <v>-192.03460000000001</v>
      </c>
      <c r="K3901">
        <v>1.119416</v>
      </c>
      <c r="L3901">
        <v>163.8998</v>
      </c>
      <c r="M3901">
        <v>-6.18323E-2</v>
      </c>
      <c r="N3901">
        <v>-9.4681309999999994E-3</v>
      </c>
      <c r="O3901">
        <v>-0.99804170000000003</v>
      </c>
      <c r="P3901">
        <v>-0.24598210000000001</v>
      </c>
      <c r="Q3901">
        <v>0.15128050000000001</v>
      </c>
      <c r="R3901">
        <v>-0.95739629999999998</v>
      </c>
      <c r="S3901">
        <v>-1.1749419999999999</v>
      </c>
      <c r="T3901">
        <v>-0.22025910000000001</v>
      </c>
      <c r="U3901">
        <v>-2.867035</v>
      </c>
      <c r="V3901">
        <v>0.18685840000000001</v>
      </c>
      <c r="W3901">
        <v>0.1598272</v>
      </c>
      <c r="X3901">
        <v>0.96929829999999995</v>
      </c>
      <c r="Y3901">
        <v>0.32041239999999999</v>
      </c>
      <c r="Z3901">
        <v>6.2162479999999999E-2</v>
      </c>
      <c r="AA3901">
        <v>0.94523630000000003</v>
      </c>
      <c r="AB3901">
        <v>29</v>
      </c>
      <c r="AC3901">
        <v>-5.9603999999999902</v>
      </c>
      <c r="AD3901">
        <v>-1.1194280829100001</v>
      </c>
      <c r="AE3901">
        <v>-14.398400000000001</v>
      </c>
      <c r="AF3901">
        <v>5.0326979869592501</v>
      </c>
      <c r="AG3901">
        <v>-1.1194280829100001</v>
      </c>
      <c r="AH3901">
        <v>14.663739968867301</v>
      </c>
      <c r="AI3901">
        <v>94.129911206559896</v>
      </c>
      <c r="AJ3901">
        <v>71.057421423006602</v>
      </c>
      <c r="AK3901">
        <v>15.5436944815352</v>
      </c>
      <c r="AL3901">
        <v>80.803133515628403</v>
      </c>
      <c r="AM3901">
        <v>79.088545865101096</v>
      </c>
      <c r="AN3901">
        <v>0.99999999494664404</v>
      </c>
    </row>
    <row r="3902" spans="1:40" x14ac:dyDescent="0.25">
      <c r="A3902" t="str">
        <f>"20190303162857893"</f>
        <v>20190303162857893</v>
      </c>
      <c r="B3902" t="str">
        <f>"1551601737885970"</f>
        <v>1551601737885970</v>
      </c>
      <c r="C3902" t="s">
        <v>40</v>
      </c>
      <c r="D3902">
        <v>5.1343019999999999</v>
      </c>
      <c r="E3902">
        <v>0.55798300000000001</v>
      </c>
      <c r="F3902" t="s">
        <v>56</v>
      </c>
      <c r="G3902">
        <v>-198.01650000000001</v>
      </c>
      <c r="H3902" s="1">
        <v>-1.2055079999999999E-5</v>
      </c>
      <c r="I3902">
        <v>149.38140000000001</v>
      </c>
      <c r="J3902">
        <v>-192.04990000000001</v>
      </c>
      <c r="K3902">
        <v>1.119224</v>
      </c>
      <c r="L3902">
        <v>163.67859999999999</v>
      </c>
      <c r="M3902">
        <v>-6.3494560000000005E-2</v>
      </c>
      <c r="N3902">
        <v>-9.4829489999999992E-3</v>
      </c>
      <c r="O3902">
        <v>-0.99793730000000003</v>
      </c>
      <c r="P3902">
        <v>-0.24970210000000001</v>
      </c>
      <c r="Q3902">
        <v>0.15033640000000001</v>
      </c>
      <c r="R3902">
        <v>-0.95658180000000004</v>
      </c>
      <c r="S3902">
        <v>-1.180496</v>
      </c>
      <c r="T3902">
        <v>-0.22091169999999999</v>
      </c>
      <c r="U3902">
        <v>-2.8651119999999999</v>
      </c>
      <c r="V3902">
        <v>0.18907280000000001</v>
      </c>
      <c r="W3902">
        <v>0.15880329999999901</v>
      </c>
      <c r="X3902">
        <v>0.96903709999999998</v>
      </c>
      <c r="Y3902">
        <v>0.32061970000000001</v>
      </c>
      <c r="Z3902">
        <v>6.236734E-2</v>
      </c>
      <c r="AA3902">
        <v>0.94515249999999995</v>
      </c>
      <c r="AB3902">
        <v>29</v>
      </c>
      <c r="AC3902">
        <v>-5.9665999999999997</v>
      </c>
      <c r="AD3902">
        <v>-1.11923605507999</v>
      </c>
      <c r="AE3902">
        <v>-14.297199999999901</v>
      </c>
      <c r="AF3902">
        <v>5.0205206495713099</v>
      </c>
      <c r="AG3902">
        <v>-1.11923605507999</v>
      </c>
      <c r="AH3902">
        <v>14.5711604220194</v>
      </c>
      <c r="AI3902">
        <v>94.1536368068153</v>
      </c>
      <c r="AJ3902">
        <v>70.988513476558794</v>
      </c>
      <c r="AK3902">
        <v>15.452411882421099</v>
      </c>
      <c r="AL3902">
        <v>80.862557292179403</v>
      </c>
      <c r="AM3902">
        <v>78.959493256583002</v>
      </c>
      <c r="AN3902">
        <v>0.99999995648356899</v>
      </c>
    </row>
    <row r="3903" spans="1:40" x14ac:dyDescent="0.25">
      <c r="A3903" t="str">
        <f>"20190303162857914"</f>
        <v>20190303162857914</v>
      </c>
      <c r="B3903" t="str">
        <f>"1551601737905490"</f>
        <v>1551601737905490</v>
      </c>
      <c r="C3903" t="s">
        <v>40</v>
      </c>
      <c r="D3903">
        <v>5.160825</v>
      </c>
      <c r="E3903">
        <v>0.55767140000000004</v>
      </c>
      <c r="F3903" t="s">
        <v>56</v>
      </c>
      <c r="G3903">
        <v>-197.9051</v>
      </c>
      <c r="H3903" s="1">
        <v>-1.208645E-5</v>
      </c>
      <c r="I3903">
        <v>149.5753</v>
      </c>
      <c r="J3903">
        <v>-192.06970000000001</v>
      </c>
      <c r="K3903">
        <v>1.1189960000000001</v>
      </c>
      <c r="L3903">
        <v>163.40450000000001</v>
      </c>
      <c r="M3903">
        <v>-6.5797969999999997E-2</v>
      </c>
      <c r="N3903">
        <v>-9.5008890000000002E-3</v>
      </c>
      <c r="O3903">
        <v>-0.9977878</v>
      </c>
      <c r="P3903">
        <v>-0.25350389999999901</v>
      </c>
      <c r="Q3903">
        <v>0.148478</v>
      </c>
      <c r="R3903">
        <v>-0.95587160000000004</v>
      </c>
      <c r="S3903">
        <v>-1.18808</v>
      </c>
      <c r="T3903">
        <v>-0.22710720000000001</v>
      </c>
      <c r="U3903">
        <v>-2.8617249999999999</v>
      </c>
      <c r="V3903">
        <v>0.1907498</v>
      </c>
      <c r="W3903">
        <v>0.15685299999999999</v>
      </c>
      <c r="X3903">
        <v>0.9690261</v>
      </c>
      <c r="Y3903">
        <v>0.32091409999999998</v>
      </c>
      <c r="Z3903">
        <v>6.4379800000000001E-2</v>
      </c>
      <c r="AA3903">
        <v>0.94491769999999997</v>
      </c>
      <c r="AB3903">
        <v>29</v>
      </c>
      <c r="AC3903">
        <v>-5.8353999999999902</v>
      </c>
      <c r="AD3903">
        <v>-1.1190080864499901</v>
      </c>
      <c r="AE3903">
        <v>-13.8292</v>
      </c>
      <c r="AF3903">
        <v>4.88562541265979</v>
      </c>
      <c r="AG3903">
        <v>-1.1190080864499901</v>
      </c>
      <c r="AH3903">
        <v>14.1048111153845</v>
      </c>
      <c r="AI3903">
        <v>94.287183145612403</v>
      </c>
      <c r="AJ3903">
        <v>70.894934230486399</v>
      </c>
      <c r="AK3903">
        <v>14.968874753001399</v>
      </c>
      <c r="AL3903">
        <v>80.975719672328196</v>
      </c>
      <c r="AM3903">
        <v>78.863882353952206</v>
      </c>
      <c r="AN3903">
        <v>0.99999996614512399</v>
      </c>
    </row>
    <row r="3904" spans="1:40" x14ac:dyDescent="0.25">
      <c r="A3904" t="str">
        <f>"20190303162857927"</f>
        <v>20190303162857927</v>
      </c>
      <c r="B3904" t="str">
        <f>"1551601737915250"</f>
        <v>1551601737915250</v>
      </c>
      <c r="C3904" t="s">
        <v>40</v>
      </c>
      <c r="D3904">
        <v>5.1407420000000004</v>
      </c>
      <c r="E3904">
        <v>0.55750659999999996</v>
      </c>
      <c r="F3904" t="s">
        <v>56</v>
      </c>
      <c r="G3904">
        <v>-197.70349999999999</v>
      </c>
      <c r="H3904" s="1">
        <v>-1.219736E-5</v>
      </c>
      <c r="I3904">
        <v>149.93299999999999</v>
      </c>
      <c r="J3904">
        <v>-192.0823</v>
      </c>
      <c r="K3904">
        <v>1.1188560000000001</v>
      </c>
      <c r="L3904">
        <v>163.23480000000001</v>
      </c>
      <c r="M3904">
        <v>-6.7350229999999997E-2</v>
      </c>
      <c r="N3904">
        <v>-9.5127579999999996E-3</v>
      </c>
      <c r="O3904">
        <v>-0.99768420000000002</v>
      </c>
      <c r="P3904">
        <v>-0.25613760000000002</v>
      </c>
      <c r="Q3904">
        <v>0.14719699999999999</v>
      </c>
      <c r="R3904">
        <v>-0.95536750000000004</v>
      </c>
      <c r="S3904">
        <v>-1.1953739999999999</v>
      </c>
      <c r="T3904">
        <v>-0.23743059999999999</v>
      </c>
      <c r="U3904">
        <v>-2.858368</v>
      </c>
      <c r="V3904">
        <v>0.1919469</v>
      </c>
      <c r="W3904">
        <v>0.1555154</v>
      </c>
      <c r="X3904">
        <v>0.96900529999999996</v>
      </c>
      <c r="Y3904">
        <v>0.32179720000000001</v>
      </c>
      <c r="Z3904">
        <v>6.7728179999999999E-2</v>
      </c>
      <c r="AA3904">
        <v>0.94438310000000003</v>
      </c>
      <c r="AB3904">
        <v>29</v>
      </c>
      <c r="AC3904">
        <v>-5.6211999999999804</v>
      </c>
      <c r="AD3904">
        <v>-1.1188681973600001</v>
      </c>
      <c r="AE3904">
        <v>-13.3018</v>
      </c>
      <c r="AF3904">
        <v>4.6843946356618398</v>
      </c>
      <c r="AG3904">
        <v>-1.1188681973600001</v>
      </c>
      <c r="AH3904">
        <v>13.5687454725718</v>
      </c>
      <c r="AI3904">
        <v>94.456905327612205</v>
      </c>
      <c r="AJ3904">
        <v>70.953576445632606</v>
      </c>
      <c r="AK3904">
        <v>14.3981343529334</v>
      </c>
      <c r="AL3904">
        <v>81.053310677728405</v>
      </c>
      <c r="AM3904">
        <v>78.795523138054506</v>
      </c>
      <c r="AN3904">
        <v>0.999999961742429</v>
      </c>
    </row>
    <row r="3905" spans="1:40" x14ac:dyDescent="0.25">
      <c r="A3905" t="str">
        <f>"20190303162857941"</f>
        <v>20190303162857941</v>
      </c>
      <c r="B3905" t="str">
        <f>"1551601737935746"</f>
        <v>1551601737935746</v>
      </c>
      <c r="C3905" t="s">
        <v>40</v>
      </c>
      <c r="D3905">
        <v>5.1517330000000001</v>
      </c>
      <c r="E3905">
        <v>0.55726200000000004</v>
      </c>
      <c r="F3905" t="s">
        <v>56</v>
      </c>
      <c r="G3905">
        <v>-197.62</v>
      </c>
      <c r="H3905" s="1">
        <v>-1.224071E-5</v>
      </c>
      <c r="I3905">
        <v>150.0686</v>
      </c>
      <c r="J3905">
        <v>-192.09649999999999</v>
      </c>
      <c r="K3905">
        <v>1.118708</v>
      </c>
      <c r="L3905">
        <v>163.0504</v>
      </c>
      <c r="M3905">
        <v>-6.9153140000000002E-2</v>
      </c>
      <c r="N3905">
        <v>-9.5277260000000003E-3</v>
      </c>
      <c r="O3905">
        <v>-0.99756089999999997</v>
      </c>
      <c r="P3905">
        <v>-0.25893969999999999</v>
      </c>
      <c r="Q3905">
        <v>0.1462791</v>
      </c>
      <c r="R3905">
        <v>-0.95475290000000002</v>
      </c>
      <c r="S3905">
        <v>-1.2010350000000001</v>
      </c>
      <c r="T3905">
        <v>-0.24266389999999999</v>
      </c>
      <c r="U3905">
        <v>-2.8555450000000002</v>
      </c>
      <c r="V3905">
        <v>0.193081</v>
      </c>
      <c r="W3905">
        <v>0.15453800000000001</v>
      </c>
      <c r="X3905">
        <v>0.96893640000000003</v>
      </c>
      <c r="Y3905">
        <v>0.32196279999999999</v>
      </c>
      <c r="Z3905">
        <v>6.9432309999999997E-2</v>
      </c>
      <c r="AA3905">
        <v>0.94420289999999996</v>
      </c>
      <c r="AB3905">
        <v>29</v>
      </c>
      <c r="AC3905">
        <v>-5.5235000000000101</v>
      </c>
      <c r="AD3905">
        <v>-1.1187202407100001</v>
      </c>
      <c r="AE3905">
        <v>-12.9817999999999</v>
      </c>
      <c r="AF3905">
        <v>4.5836811003587297</v>
      </c>
      <c r="AG3905">
        <v>-1.1187202407100001</v>
      </c>
      <c r="AH3905">
        <v>13.249392196791799</v>
      </c>
      <c r="AI3905">
        <v>94.562271916569998</v>
      </c>
      <c r="AJ3905">
        <v>70.916730401636798</v>
      </c>
      <c r="AK3905">
        <v>14.064425370101899</v>
      </c>
      <c r="AL3905">
        <v>81.109997300012296</v>
      </c>
      <c r="AM3905">
        <v>78.730231043523403</v>
      </c>
      <c r="AN3905">
        <v>1.0000000066249799</v>
      </c>
    </row>
    <row r="3906" spans="1:40" x14ac:dyDescent="0.25">
      <c r="A3906" t="str">
        <f>"20190303162857954"</f>
        <v>20190303162857954</v>
      </c>
      <c r="B3906" t="str">
        <f>"1551601737945507"</f>
        <v>1551601737945507</v>
      </c>
      <c r="C3906" t="s">
        <v>40</v>
      </c>
      <c r="D3906">
        <v>5.2899609999999999</v>
      </c>
      <c r="E3906">
        <v>0.55726200000000004</v>
      </c>
      <c r="F3906" t="s">
        <v>56</v>
      </c>
      <c r="G3906">
        <v>-197.5411</v>
      </c>
      <c r="H3906" s="1">
        <v>-1.227349E-5</v>
      </c>
      <c r="I3906">
        <v>150.17760000000001</v>
      </c>
      <c r="J3906">
        <v>-192.11009999999999</v>
      </c>
      <c r="K3906">
        <v>1.118573</v>
      </c>
      <c r="L3906">
        <v>162.87909999999999</v>
      </c>
      <c r="M3906">
        <v>-7.0954719999999999E-2</v>
      </c>
      <c r="N3906">
        <v>-9.5463389999999992E-3</v>
      </c>
      <c r="O3906">
        <v>-0.99743400000000004</v>
      </c>
      <c r="P3906">
        <v>-0.26228020000000002</v>
      </c>
      <c r="Q3906">
        <v>0.145539</v>
      </c>
      <c r="R3906">
        <v>-0.95395370000000002</v>
      </c>
      <c r="S3906">
        <v>-1.2066650000000001</v>
      </c>
      <c r="T3906">
        <v>-0.2479343</v>
      </c>
      <c r="U3906">
        <v>-2.8529049999999998</v>
      </c>
      <c r="V3906">
        <v>0.19476289999999999</v>
      </c>
      <c r="W3906">
        <v>0.15374270000000001</v>
      </c>
      <c r="X3906">
        <v>0.96872630000000004</v>
      </c>
      <c r="Y3906">
        <v>0.32209779999999999</v>
      </c>
      <c r="Z3906">
        <v>7.1140610000000007E-2</v>
      </c>
      <c r="AA3906">
        <v>0.94402969999999997</v>
      </c>
      <c r="AB3906">
        <v>29</v>
      </c>
      <c r="AC3906">
        <v>-5.4310000000000098</v>
      </c>
      <c r="AD3906">
        <v>-1.1185852734899999</v>
      </c>
      <c r="AE3906">
        <v>-12.7014999999999</v>
      </c>
      <c r="AF3906">
        <v>4.4866190254733</v>
      </c>
      <c r="AG3906">
        <v>-1.1185852734899999</v>
      </c>
      <c r="AH3906">
        <v>12.969812895011099</v>
      </c>
      <c r="AI3906">
        <v>94.659666215489693</v>
      </c>
      <c r="AJ3906">
        <v>70.918073744428696</v>
      </c>
      <c r="AK3906">
        <v>13.7694237288785</v>
      </c>
      <c r="AL3906">
        <v>81.156115959197507</v>
      </c>
      <c r="AM3906">
        <v>78.632205385173506</v>
      </c>
      <c r="AN3906">
        <v>1.0000000246656899</v>
      </c>
    </row>
    <row r="3907" spans="1:40" x14ac:dyDescent="0.25">
      <c r="A3907" t="str">
        <f>"20190303162857970"</f>
        <v>20190303162857970</v>
      </c>
      <c r="B3907" t="str">
        <f>"1551601737966002"</f>
        <v>1551601737966002</v>
      </c>
      <c r="C3907" t="s">
        <v>40</v>
      </c>
      <c r="D3907">
        <v>5.2481119999999999</v>
      </c>
      <c r="E3907">
        <v>0.52445769999999903</v>
      </c>
      <c r="F3907" t="s">
        <v>56</v>
      </c>
      <c r="G3907">
        <v>-197.53120000000001</v>
      </c>
      <c r="H3907" s="1">
        <v>-1.226977E-5</v>
      </c>
      <c r="I3907">
        <v>150.17310000000001</v>
      </c>
      <c r="J3907">
        <v>-192.12780000000001</v>
      </c>
      <c r="K3907">
        <v>1.1184050000000001</v>
      </c>
      <c r="L3907">
        <v>162.6628</v>
      </c>
      <c r="M3907">
        <v>-7.3343980000000003E-2</v>
      </c>
      <c r="N3907">
        <v>-9.5756620000000004E-3</v>
      </c>
      <c r="O3907">
        <v>-0.99726090000000001</v>
      </c>
      <c r="P3907">
        <v>-0.2672118</v>
      </c>
      <c r="Q3907">
        <v>0.14408260000000001</v>
      </c>
      <c r="R3907">
        <v>-0.95280600000000004</v>
      </c>
      <c r="S3907">
        <v>-1.2154849999999999</v>
      </c>
      <c r="T3907">
        <v>-0.2508029</v>
      </c>
      <c r="U3907">
        <v>-2.8488769999999999</v>
      </c>
      <c r="V3907">
        <v>0.19749539999999999</v>
      </c>
      <c r="W3907">
        <v>0.15221589999999999</v>
      </c>
      <c r="X3907">
        <v>0.96841410000000006</v>
      </c>
      <c r="Y3907">
        <v>0.3227565</v>
      </c>
      <c r="Z3907">
        <v>7.2070739999999994E-2</v>
      </c>
      <c r="AA3907">
        <v>0.94373410000000002</v>
      </c>
      <c r="AB3907">
        <v>29</v>
      </c>
      <c r="AC3907">
        <v>-5.4034000000000004</v>
      </c>
      <c r="AD3907">
        <v>-1.1184172697700001</v>
      </c>
      <c r="AE3907">
        <v>-12.489699999999999</v>
      </c>
      <c r="AF3907">
        <v>4.4427510940442101</v>
      </c>
      <c r="AG3907">
        <v>-1.1184172697700001</v>
      </c>
      <c r="AH3907">
        <v>12.766154718160299</v>
      </c>
      <c r="AI3907">
        <v>94.729921583632802</v>
      </c>
      <c r="AJ3907">
        <v>70.811585963767698</v>
      </c>
      <c r="AK3907">
        <v>13.563318206138099</v>
      </c>
      <c r="AL3907">
        <v>81.244636814436006</v>
      </c>
      <c r="AM3907">
        <v>78.473338837901096</v>
      </c>
      <c r="AN3907">
        <v>0.99999999115639004</v>
      </c>
    </row>
    <row r="3908" spans="1:40" x14ac:dyDescent="0.25">
      <c r="A3908" t="str">
        <f>"20190303162857994"</f>
        <v>20190303162857994</v>
      </c>
      <c r="B3908" t="str">
        <f>"1551601737985523"</f>
        <v>1551601737985523</v>
      </c>
      <c r="C3908" t="s">
        <v>40</v>
      </c>
      <c r="D3908">
        <v>5.2809049999999997</v>
      </c>
      <c r="E3908">
        <v>0.4738214</v>
      </c>
      <c r="F3908" t="s">
        <v>44</v>
      </c>
      <c r="G3908">
        <v>-192.40770000000001</v>
      </c>
      <c r="H3908">
        <v>0.97598090000000004</v>
      </c>
      <c r="I3908">
        <v>161.8135</v>
      </c>
      <c r="J3908">
        <v>-192.15450000000001</v>
      </c>
      <c r="K3908">
        <v>1.1181650000000001</v>
      </c>
      <c r="L3908">
        <v>162.35169999999999</v>
      </c>
      <c r="M3908">
        <v>-7.7045879999999997E-2</v>
      </c>
      <c r="N3908">
        <v>-9.6329199999999997E-3</v>
      </c>
      <c r="O3908">
        <v>-0.99698100000000001</v>
      </c>
      <c r="P3908">
        <v>-0.27315780000000001</v>
      </c>
      <c r="Q3908">
        <v>0.14293</v>
      </c>
      <c r="R3908">
        <v>-0.95129160000000001</v>
      </c>
      <c r="S3908">
        <v>-0.97166439999999998</v>
      </c>
      <c r="T3908">
        <v>-0.49467559999999999</v>
      </c>
      <c r="U3908">
        <v>-2.9508969999999999</v>
      </c>
      <c r="V3908">
        <v>0.2000208</v>
      </c>
      <c r="W3908">
        <v>0.15098429999999999</v>
      </c>
      <c r="X3908">
        <v>0.96808850000000002</v>
      </c>
      <c r="Y3908">
        <v>0.2349763</v>
      </c>
      <c r="Z3908">
        <v>0.1488331</v>
      </c>
      <c r="AA3908">
        <v>0.96053880000000003</v>
      </c>
      <c r="AB3908">
        <v>29</v>
      </c>
      <c r="AC3908">
        <v>-0.25319999999999199</v>
      </c>
      <c r="AD3908">
        <v>-0.14218409999999901</v>
      </c>
      <c r="AE3908">
        <v>-0.53819999999998902</v>
      </c>
      <c r="AF3908">
        <v>0.19957451165384699</v>
      </c>
      <c r="AG3908">
        <v>-0.14218409999999901</v>
      </c>
      <c r="AH3908">
        <v>0.52604776085126903</v>
      </c>
      <c r="AI3908">
        <v>104.182387353816</v>
      </c>
      <c r="AJ3908">
        <v>69.224017241669202</v>
      </c>
      <c r="AK3908">
        <v>0.58032107551881595</v>
      </c>
      <c r="AL3908">
        <v>81.316027182253606</v>
      </c>
      <c r="AM3908">
        <v>78.326146939318903</v>
      </c>
      <c r="AN3908">
        <v>0.99999996155568904</v>
      </c>
    </row>
    <row r="3909" spans="1:40" x14ac:dyDescent="0.25">
      <c r="A3909" t="str">
        <f>"20190303162858019"</f>
        <v>20190303162858019</v>
      </c>
      <c r="B3909" t="str">
        <f>"1551601738006017"</f>
        <v>1551601738006017</v>
      </c>
      <c r="C3909" t="s">
        <v>40</v>
      </c>
      <c r="D3909">
        <v>5.3090869999999999</v>
      </c>
      <c r="E3909">
        <v>0.47143449999999998</v>
      </c>
      <c r="F3909" t="s">
        <v>44</v>
      </c>
      <c r="G3909">
        <v>-192.30410000000001</v>
      </c>
      <c r="H3909">
        <v>0.92208140000000005</v>
      </c>
      <c r="I3909">
        <v>161.57220000000001</v>
      </c>
      <c r="J3909">
        <v>-192.1806</v>
      </c>
      <c r="K3909">
        <v>1.1179589999999999</v>
      </c>
      <c r="L3909">
        <v>162.06120000000001</v>
      </c>
      <c r="M3909">
        <v>-8.0753770000000002E-2</v>
      </c>
      <c r="N3909">
        <v>-9.7016900000000007E-3</v>
      </c>
      <c r="O3909">
        <v>-0.99668710000000005</v>
      </c>
      <c r="P3909">
        <v>-0.27929680000000001</v>
      </c>
      <c r="Q3909">
        <v>0.14313199999999901</v>
      </c>
      <c r="R3909">
        <v>-0.94947749999999997</v>
      </c>
      <c r="S3909">
        <v>-0.59466549999999996</v>
      </c>
      <c r="T3909">
        <v>-0.77973340000000002</v>
      </c>
      <c r="U3909">
        <v>-3.1000369999999999</v>
      </c>
      <c r="V3909">
        <v>0.2027602</v>
      </c>
      <c r="W3909">
        <v>0.15112239999999999</v>
      </c>
      <c r="X3909">
        <v>0.96749689999999999</v>
      </c>
      <c r="Y3909">
        <v>0.1032392</v>
      </c>
      <c r="Z3909">
        <v>0.230709</v>
      </c>
      <c r="AA3909">
        <v>0.96753040000000001</v>
      </c>
      <c r="AB3909">
        <v>30</v>
      </c>
      <c r="AC3909">
        <v>-0.12350000000000699</v>
      </c>
      <c r="AD3909">
        <v>-0.19587759999999901</v>
      </c>
      <c r="AE3909">
        <v>-0.48900000000000399</v>
      </c>
      <c r="AF3909">
        <v>7.26483638331437E-2</v>
      </c>
      <c r="AG3909">
        <v>-0.19587759999999901</v>
      </c>
      <c r="AH3909">
        <v>0.43218791281199598</v>
      </c>
      <c r="AI3909">
        <v>114.08238570131</v>
      </c>
      <c r="AJ3909">
        <v>80.458104589793095</v>
      </c>
      <c r="AK3909">
        <v>0.48003355187963997</v>
      </c>
      <c r="AL3909">
        <v>81.308022819422902</v>
      </c>
      <c r="AM3909">
        <v>78.163713146690299</v>
      </c>
      <c r="AN3909">
        <v>0.99999996499770405</v>
      </c>
    </row>
    <row r="3910" spans="1:40" x14ac:dyDescent="0.25">
      <c r="A3910" t="str">
        <f>"20190303162858037"</f>
        <v>20190303162858037</v>
      </c>
      <c r="B3910" t="str">
        <f>"1551601738025538"</f>
        <v>1551601738025538</v>
      </c>
      <c r="C3910" t="s">
        <v>40</v>
      </c>
      <c r="D3910">
        <v>5.2053279999999997</v>
      </c>
      <c r="E3910">
        <v>0.47169290000000003</v>
      </c>
      <c r="F3910" t="s">
        <v>44</v>
      </c>
      <c r="G3910">
        <v>-192.3236</v>
      </c>
      <c r="H3910">
        <v>0.91012490000000001</v>
      </c>
      <c r="I3910">
        <v>161.31309999999999</v>
      </c>
      <c r="J3910">
        <v>-192.20670000000001</v>
      </c>
      <c r="K3910">
        <v>1.117783</v>
      </c>
      <c r="L3910">
        <v>161.78569999999999</v>
      </c>
      <c r="M3910">
        <v>-8.4494089999999994E-2</v>
      </c>
      <c r="N3910">
        <v>-9.7890700000000004E-3</v>
      </c>
      <c r="O3910">
        <v>-0.99637600000000004</v>
      </c>
      <c r="P3910">
        <v>-0.28601720000000003</v>
      </c>
      <c r="Q3910">
        <v>0.144889299999999</v>
      </c>
      <c r="R3910">
        <v>-0.94720709999999997</v>
      </c>
      <c r="S3910">
        <v>-0.59440609999999905</v>
      </c>
      <c r="T3910">
        <v>-0.8651856</v>
      </c>
      <c r="U3910">
        <v>-3.115173</v>
      </c>
      <c r="V3910">
        <v>0.20609730000000001</v>
      </c>
      <c r="W3910">
        <v>0.15283229999999901</v>
      </c>
      <c r="X3910">
        <v>0.96652269999999896</v>
      </c>
      <c r="Y3910">
        <v>9.7455689999999998E-2</v>
      </c>
      <c r="Z3910">
        <v>0.25400620000000002</v>
      </c>
      <c r="AA3910">
        <v>0.96228020000000003</v>
      </c>
      <c r="AB3910">
        <v>30</v>
      </c>
      <c r="AC3910">
        <v>-0.116899999999986</v>
      </c>
      <c r="AD3910">
        <v>-0.20765810000000001</v>
      </c>
      <c r="AE3910">
        <v>-0.47259999999999902</v>
      </c>
      <c r="AF3910">
        <v>6.47650010820989E-2</v>
      </c>
      <c r="AG3910">
        <v>-0.20765810000000001</v>
      </c>
      <c r="AH3910">
        <v>0.40677964951809398</v>
      </c>
      <c r="AI3910">
        <v>116.75463967999499</v>
      </c>
      <c r="AJ3910">
        <v>80.953640760775201</v>
      </c>
      <c r="AK3910">
        <v>0.46128741054015099</v>
      </c>
      <c r="AL3910">
        <v>81.208901390298095</v>
      </c>
      <c r="AM3910">
        <v>77.962766618550205</v>
      </c>
      <c r="AN3910">
        <v>0.999999969302934</v>
      </c>
    </row>
    <row r="3911" spans="1:40" x14ac:dyDescent="0.25">
      <c r="A3911" t="str">
        <f>"20190303162858050"</f>
        <v>20190303162858050</v>
      </c>
      <c r="B3911" t="str">
        <f>"1551601738046035"</f>
        <v>1551601738046035</v>
      </c>
      <c r="C3911" t="s">
        <v>40</v>
      </c>
      <c r="D3911">
        <v>5.1983790000000001</v>
      </c>
      <c r="E3911">
        <v>0.47181590000000001</v>
      </c>
      <c r="F3911" t="s">
        <v>44</v>
      </c>
      <c r="G3911">
        <v>-192.35329999999999</v>
      </c>
      <c r="H3911">
        <v>0.90981049999999997</v>
      </c>
      <c r="I3911">
        <v>161.0489</v>
      </c>
      <c r="J3911">
        <v>-192.2243</v>
      </c>
      <c r="K3911">
        <v>1.117677</v>
      </c>
      <c r="L3911">
        <v>161.6079</v>
      </c>
      <c r="M3911">
        <v>-8.7032559999999995E-2</v>
      </c>
      <c r="N3911">
        <v>-9.8643480000000002E-3</v>
      </c>
      <c r="O3911">
        <v>-0.99615659999999895</v>
      </c>
      <c r="P3911">
        <v>-0.28963929999999999</v>
      </c>
      <c r="Q3911">
        <v>0.1461624</v>
      </c>
      <c r="R3911">
        <v>-0.94591000000000003</v>
      </c>
      <c r="S3911">
        <v>-0.61970519999999996</v>
      </c>
      <c r="T3911">
        <v>-0.87918469999999904</v>
      </c>
      <c r="U3911">
        <v>-3.114563</v>
      </c>
      <c r="V3911">
        <v>0.20740990000000001</v>
      </c>
      <c r="W3911">
        <v>0.15409890000000001</v>
      </c>
      <c r="X3911">
        <v>0.96604069999999997</v>
      </c>
      <c r="Y3911">
        <v>0.1022877</v>
      </c>
      <c r="Z3911">
        <v>0.2576138</v>
      </c>
      <c r="AA3911">
        <v>0.96081859999999997</v>
      </c>
      <c r="AB3911">
        <v>30</v>
      </c>
      <c r="AC3911">
        <v>-0.12899999999999001</v>
      </c>
      <c r="AD3911">
        <v>-0.20786650000000001</v>
      </c>
      <c r="AE3911">
        <v>-0.55899999999999705</v>
      </c>
      <c r="AF3911">
        <v>7.0589597043359001E-2</v>
      </c>
      <c r="AG3911">
        <v>-0.20786650000000001</v>
      </c>
      <c r="AH3911">
        <v>0.50217836699068197</v>
      </c>
      <c r="AI3911">
        <v>112.288715030109</v>
      </c>
      <c r="AJ3911">
        <v>81.998542129509303</v>
      </c>
      <c r="AK3911">
        <v>0.54806430763772795</v>
      </c>
      <c r="AL3911">
        <v>81.135460715366705</v>
      </c>
      <c r="AM3911">
        <v>77.882495606272997</v>
      </c>
      <c r="AN3911">
        <v>0.99999998582785399</v>
      </c>
    </row>
    <row r="3912" spans="1:40" x14ac:dyDescent="0.25">
      <c r="A3912" t="str">
        <f>"20190303162858064"</f>
        <v>20190303162858064</v>
      </c>
      <c r="B3912" t="str">
        <f>"1551601738055794"</f>
        <v>1551601738055794</v>
      </c>
      <c r="C3912" t="s">
        <v>40</v>
      </c>
      <c r="D3912">
        <v>5.2057690000000001</v>
      </c>
      <c r="E3912">
        <v>0.47187190000000001</v>
      </c>
      <c r="F3912" t="s">
        <v>44</v>
      </c>
      <c r="G3912">
        <v>-192.3897</v>
      </c>
      <c r="H3912">
        <v>0.88770930000000003</v>
      </c>
      <c r="I3912">
        <v>160.7944</v>
      </c>
      <c r="J3912">
        <v>-192.2424</v>
      </c>
      <c r="K3912">
        <v>1.117569</v>
      </c>
      <c r="L3912">
        <v>161.42859999999999</v>
      </c>
      <c r="M3912">
        <v>-8.9666430000000005E-2</v>
      </c>
      <c r="N3912">
        <v>-9.9533409999999992E-3</v>
      </c>
      <c r="O3912">
        <v>-0.99592239999999999</v>
      </c>
      <c r="P3912">
        <v>-0.29351440000000001</v>
      </c>
      <c r="Q3912">
        <v>0.14704999999999999</v>
      </c>
      <c r="R3912">
        <v>-0.94457740000000001</v>
      </c>
      <c r="S3912">
        <v>-0.63305659999999997</v>
      </c>
      <c r="T3912">
        <v>-0.88008759999999997</v>
      </c>
      <c r="U3912">
        <v>-3.1137079999999999</v>
      </c>
      <c r="V3912">
        <v>0.20888670000000001</v>
      </c>
      <c r="W3912">
        <v>0.15499019999999999</v>
      </c>
      <c r="X3912">
        <v>0.96557979999999999</v>
      </c>
      <c r="Y3912">
        <v>0.10366300000000001</v>
      </c>
      <c r="Z3912">
        <v>0.25764100000000001</v>
      </c>
      <c r="AA3912">
        <v>0.96066390000000002</v>
      </c>
      <c r="AB3912">
        <v>30</v>
      </c>
      <c r="AC3912">
        <v>-0.14730000000000101</v>
      </c>
      <c r="AD3912">
        <v>-0.2298597</v>
      </c>
      <c r="AE3912">
        <v>-0.63419999999999199</v>
      </c>
      <c r="AF3912">
        <v>7.9881025763316807E-2</v>
      </c>
      <c r="AG3912">
        <v>-0.2298597</v>
      </c>
      <c r="AH3912">
        <v>0.57338702929060104</v>
      </c>
      <c r="AI3912">
        <v>111.65535548670501</v>
      </c>
      <c r="AJ3912">
        <v>82.0689244186959</v>
      </c>
      <c r="AK3912">
        <v>0.62288774696552696</v>
      </c>
      <c r="AL3912">
        <v>81.083771960074998</v>
      </c>
      <c r="AM3912">
        <v>77.793143293300602</v>
      </c>
      <c r="AN3912">
        <v>0.99999998285048397</v>
      </c>
    </row>
    <row r="3913" spans="1:40" x14ac:dyDescent="0.25">
      <c r="A3913" t="str">
        <f>"20190303162858084"</f>
        <v>20190303162858084</v>
      </c>
      <c r="B3913" t="str">
        <f>"1551601738075314"</f>
        <v>1551601738075314</v>
      </c>
      <c r="C3913" t="s">
        <v>40</v>
      </c>
      <c r="D3913">
        <v>5.1908269999999996</v>
      </c>
      <c r="E3913">
        <v>0.47232770000000002</v>
      </c>
      <c r="F3913" t="s">
        <v>44</v>
      </c>
      <c r="G3913">
        <v>-192.4271</v>
      </c>
      <c r="H3913">
        <v>0.86666480000000001</v>
      </c>
      <c r="I3913">
        <v>160.53909999999999</v>
      </c>
      <c r="J3913">
        <v>-192.2696</v>
      </c>
      <c r="K3913">
        <v>1.1174170000000001</v>
      </c>
      <c r="L3913">
        <v>161.17080000000001</v>
      </c>
      <c r="M3913">
        <v>-9.3652879999999994E-2</v>
      </c>
      <c r="N3913">
        <v>-1.0124360000000001E-2</v>
      </c>
      <c r="O3913">
        <v>-0.99555360000000004</v>
      </c>
      <c r="P3913">
        <v>-0.29954950000000002</v>
      </c>
      <c r="Q3913">
        <v>0.1480061</v>
      </c>
      <c r="R3913">
        <v>-0.94253109999999996</v>
      </c>
      <c r="S3913">
        <v>-0.64624019999999904</v>
      </c>
      <c r="T3913">
        <v>-0.87762180000000001</v>
      </c>
      <c r="U3913">
        <v>-3.111847</v>
      </c>
      <c r="V3913">
        <v>0.2112957</v>
      </c>
      <c r="W3913">
        <v>0.15598689999999901</v>
      </c>
      <c r="X3913">
        <v>0.9648949</v>
      </c>
      <c r="Y3913">
        <v>0.1037484</v>
      </c>
      <c r="Z3913">
        <v>0.2566832</v>
      </c>
      <c r="AA3913">
        <v>0.96091099999999996</v>
      </c>
      <c r="AB3913">
        <v>30</v>
      </c>
      <c r="AC3913">
        <v>-0.157499999999998</v>
      </c>
      <c r="AD3913">
        <v>-0.25075219999999998</v>
      </c>
      <c r="AE3913">
        <v>-0.63170000000002302</v>
      </c>
      <c r="AF3913">
        <v>8.5030249524312096E-2</v>
      </c>
      <c r="AG3913">
        <v>-0.25075219999999998</v>
      </c>
      <c r="AH3913">
        <v>0.56052301390423798</v>
      </c>
      <c r="AI3913">
        <v>113.85951065182201</v>
      </c>
      <c r="AJ3913">
        <v>81.374107821859795</v>
      </c>
      <c r="AK3913">
        <v>0.61991358934556096</v>
      </c>
      <c r="AL3913">
        <v>81.025962098904799</v>
      </c>
      <c r="AM3913">
        <v>77.648166260978797</v>
      </c>
      <c r="AN3913">
        <v>0.99999997692805398</v>
      </c>
    </row>
    <row r="3914" spans="1:40" x14ac:dyDescent="0.25">
      <c r="A3914" t="str">
        <f>"20190303162858096"</f>
        <v>20190303162858096</v>
      </c>
      <c r="B3914" t="str">
        <f>"1551601738086051"</f>
        <v>1551601738086051</v>
      </c>
      <c r="C3914" t="s">
        <v>40</v>
      </c>
      <c r="D3914">
        <v>5.220396</v>
      </c>
      <c r="E3914">
        <v>0.47250199999999998</v>
      </c>
      <c r="F3914" t="s">
        <v>44</v>
      </c>
      <c r="G3914">
        <v>-192.4624</v>
      </c>
      <c r="H3914">
        <v>0.8645294</v>
      </c>
      <c r="I3914">
        <v>160.27600000000001</v>
      </c>
      <c r="J3914">
        <v>-192.28989999999999</v>
      </c>
      <c r="K3914">
        <v>1.11731</v>
      </c>
      <c r="L3914">
        <v>160.9864</v>
      </c>
      <c r="M3914">
        <v>-9.6646850000000006E-2</v>
      </c>
      <c r="N3914">
        <v>-1.027057E-2</v>
      </c>
      <c r="O3914">
        <v>-0.99526579999999998</v>
      </c>
      <c r="P3914">
        <v>-0.30339769999999999</v>
      </c>
      <c r="Q3914">
        <v>0.14813560000000001</v>
      </c>
      <c r="R3914">
        <v>-0.94127870000000002</v>
      </c>
      <c r="S3914">
        <v>-0.66902159999999999</v>
      </c>
      <c r="T3914">
        <v>-0.87799349999999998</v>
      </c>
      <c r="U3914">
        <v>-3.1081850000000002</v>
      </c>
      <c r="V3914">
        <v>0.21239340000000001</v>
      </c>
      <c r="W3914">
        <v>0.15617529999999999</v>
      </c>
      <c r="X3914">
        <v>0.96462340000000002</v>
      </c>
      <c r="Y3914">
        <v>0.1077207</v>
      </c>
      <c r="Z3914">
        <v>0.25658760000000003</v>
      </c>
      <c r="AA3914">
        <v>0.9604994</v>
      </c>
      <c r="AB3914">
        <v>30</v>
      </c>
      <c r="AC3914">
        <v>-0.172500000000013</v>
      </c>
      <c r="AD3914">
        <v>-0.25278060000000002</v>
      </c>
      <c r="AE3914">
        <v>-0.71039999999999204</v>
      </c>
      <c r="AF3914">
        <v>9.2027644299272807E-2</v>
      </c>
      <c r="AG3914">
        <v>-0.25278060000000002</v>
      </c>
      <c r="AH3914">
        <v>0.64645380158587995</v>
      </c>
      <c r="AI3914">
        <v>111.162594534148</v>
      </c>
      <c r="AJ3914">
        <v>81.897946037336595</v>
      </c>
      <c r="AK3914">
        <v>0.70019257110916999</v>
      </c>
      <c r="AL3914">
        <v>81.015033776107202</v>
      </c>
      <c r="AM3914">
        <v>77.582596308068901</v>
      </c>
      <c r="AN3914">
        <v>0.99999999226060499</v>
      </c>
    </row>
    <row r="3915" spans="1:40" x14ac:dyDescent="0.25">
      <c r="A3915" t="str">
        <f>"20190303162858111"</f>
        <v>20190303162858111</v>
      </c>
      <c r="B3915" t="str">
        <f>"1551601738105570"</f>
        <v>1551601738105570</v>
      </c>
      <c r="C3915" t="s">
        <v>40</v>
      </c>
      <c r="D3915">
        <v>5.2412679999999998</v>
      </c>
      <c r="E3915">
        <v>0.47284359999999998</v>
      </c>
      <c r="F3915" t="s">
        <v>44</v>
      </c>
      <c r="G3915">
        <v>-192.45089999999999</v>
      </c>
      <c r="H3915">
        <v>0.91077269999999999</v>
      </c>
      <c r="I3915">
        <v>160.256</v>
      </c>
      <c r="J3915">
        <v>-192.31039999999999</v>
      </c>
      <c r="K3915">
        <v>1.117208</v>
      </c>
      <c r="L3915">
        <v>160.8058</v>
      </c>
      <c r="M3915">
        <v>-9.9656220000000004E-2</v>
      </c>
      <c r="N3915">
        <v>-1.0423750000000001E-2</v>
      </c>
      <c r="O3915">
        <v>-0.9949673</v>
      </c>
      <c r="P3915">
        <v>-0.307287799999999</v>
      </c>
      <c r="Q3915">
        <v>0.1483854</v>
      </c>
      <c r="R3915">
        <v>-0.9399767</v>
      </c>
      <c r="S3915">
        <v>-0.68341059999999998</v>
      </c>
      <c r="T3915">
        <v>-0.8774883</v>
      </c>
      <c r="U3915">
        <v>-3.1049959999999999</v>
      </c>
      <c r="V3915">
        <v>0.2135244</v>
      </c>
      <c r="W3915">
        <v>0.15649179999999999</v>
      </c>
      <c r="X3915">
        <v>0.96432240000000002</v>
      </c>
      <c r="Y3915">
        <v>0.10917930000000001</v>
      </c>
      <c r="Z3915">
        <v>0.25629550000000001</v>
      </c>
      <c r="AA3915">
        <v>0.96041270000000001</v>
      </c>
      <c r="AB3915">
        <v>30</v>
      </c>
      <c r="AC3915">
        <v>-0.14050000000000201</v>
      </c>
      <c r="AD3915">
        <v>-0.20643529999999999</v>
      </c>
      <c r="AE3915">
        <v>-0.54980000000000395</v>
      </c>
      <c r="AF3915">
        <v>7.5071695689504003E-2</v>
      </c>
      <c r="AG3915">
        <v>-0.20643529999999999</v>
      </c>
      <c r="AH3915">
        <v>0.49549268815763797</v>
      </c>
      <c r="AI3915">
        <v>112.388000834612</v>
      </c>
      <c r="AJ3915">
        <v>81.384685736699296</v>
      </c>
      <c r="AK3915">
        <v>0.54200027361383296</v>
      </c>
      <c r="AL3915">
        <v>80.996674184657707</v>
      </c>
      <c r="AM3915">
        <v>77.514766507526204</v>
      </c>
      <c r="AN3915">
        <v>1.0000000220021701</v>
      </c>
    </row>
    <row r="3916" spans="1:40" x14ac:dyDescent="0.25">
      <c r="A3916" t="str">
        <f>"20190303162858127"</f>
        <v>20190303162858127</v>
      </c>
      <c r="B3916" t="str">
        <f>"1551601738115333"</f>
        <v>1551601738115333</v>
      </c>
      <c r="C3916" t="s">
        <v>40</v>
      </c>
      <c r="D3916">
        <v>5.2507320000000002</v>
      </c>
      <c r="E3916">
        <v>0.47296820000000001</v>
      </c>
      <c r="F3916" t="s">
        <v>44</v>
      </c>
      <c r="G3916">
        <v>-192.49180000000001</v>
      </c>
      <c r="H3916">
        <v>0.88982589999999995</v>
      </c>
      <c r="I3916">
        <v>160.0018</v>
      </c>
      <c r="J3916">
        <v>-192.33359999999999</v>
      </c>
      <c r="K3916">
        <v>1.117103</v>
      </c>
      <c r="L3916">
        <v>160.6069</v>
      </c>
      <c r="M3916">
        <v>-0.1030669</v>
      </c>
      <c r="N3916">
        <v>-1.0607719999999999E-2</v>
      </c>
      <c r="O3916">
        <v>-0.994618</v>
      </c>
      <c r="P3916">
        <v>-0.31243870000000001</v>
      </c>
      <c r="Q3916">
        <v>0.14937520000000001</v>
      </c>
      <c r="R3916">
        <v>-0.93812050000000002</v>
      </c>
      <c r="S3916">
        <v>-0.69961549999999995</v>
      </c>
      <c r="T3916">
        <v>-0.87695219999999896</v>
      </c>
      <c r="U3916">
        <v>-3.1012729999999999</v>
      </c>
      <c r="V3916">
        <v>0.2155917</v>
      </c>
      <c r="W3916">
        <v>0.15755849999999999</v>
      </c>
      <c r="X3916">
        <v>0.96368849999999995</v>
      </c>
      <c r="Y3916">
        <v>0.1108083</v>
      </c>
      <c r="Z3916">
        <v>0.255967</v>
      </c>
      <c r="AA3916">
        <v>0.96031369999999905</v>
      </c>
      <c r="AB3916">
        <v>30</v>
      </c>
      <c r="AC3916">
        <v>-0.15820000000002199</v>
      </c>
      <c r="AD3916">
        <v>-0.22727710000000001</v>
      </c>
      <c r="AE3916">
        <v>-0.60509999999999298</v>
      </c>
      <c r="AF3916">
        <v>8.3907972805795997E-2</v>
      </c>
      <c r="AG3916">
        <v>-0.22727710000000001</v>
      </c>
      <c r="AH3916">
        <v>0.54607358298275999</v>
      </c>
      <c r="AI3916">
        <v>112.361006676895</v>
      </c>
      <c r="AJ3916">
        <v>81.264430885275502</v>
      </c>
      <c r="AK3916">
        <v>0.59740420664439398</v>
      </c>
      <c r="AL3916">
        <v>80.934788805169902</v>
      </c>
      <c r="AM3916">
        <v>77.389705967801305</v>
      </c>
      <c r="AN3916">
        <v>0.999999993531694</v>
      </c>
    </row>
    <row r="3917" spans="1:40" x14ac:dyDescent="0.25">
      <c r="A3917" t="str">
        <f>"20190303162858139"</f>
        <v>20190303162858139</v>
      </c>
      <c r="B3917" t="str">
        <f>"1551601738135823"</f>
        <v>1551601738135823</v>
      </c>
      <c r="C3917" t="s">
        <v>40</v>
      </c>
      <c r="D3917">
        <v>5.2376459999999998</v>
      </c>
      <c r="E3917">
        <v>0.47310740000000001</v>
      </c>
      <c r="F3917" t="s">
        <v>44</v>
      </c>
      <c r="G3917">
        <v>-192.53389999999999</v>
      </c>
      <c r="H3917">
        <v>0.87352549999999995</v>
      </c>
      <c r="I3917">
        <v>159.74539999999999</v>
      </c>
      <c r="J3917">
        <v>-192.3561</v>
      </c>
      <c r="K3917">
        <v>1.1170040000000001</v>
      </c>
      <c r="L3917">
        <v>160.42150000000001</v>
      </c>
      <c r="M3917">
        <v>-0.10636950000000001</v>
      </c>
      <c r="N3917">
        <v>-1.080658E-2</v>
      </c>
      <c r="O3917">
        <v>-0.99426789999999998</v>
      </c>
      <c r="P3917">
        <v>-0.3166389</v>
      </c>
      <c r="Q3917">
        <v>0.1494752</v>
      </c>
      <c r="R3917">
        <v>-0.9366951</v>
      </c>
      <c r="S3917">
        <v>-0.71929929999999997</v>
      </c>
      <c r="T3917">
        <v>-0.875544199999999</v>
      </c>
      <c r="U3917">
        <v>-3.0977480000000002</v>
      </c>
      <c r="V3917">
        <v>0.21676790000000001</v>
      </c>
      <c r="W3917">
        <v>0.15776419999999999</v>
      </c>
      <c r="X3917">
        <v>0.96339090000000005</v>
      </c>
      <c r="Y3917">
        <v>0.113572699999999</v>
      </c>
      <c r="Z3917">
        <v>0.25531169999999997</v>
      </c>
      <c r="AA3917">
        <v>0.96016520000000005</v>
      </c>
      <c r="AB3917">
        <v>30</v>
      </c>
      <c r="AC3917">
        <v>-0.17779999999998999</v>
      </c>
      <c r="AD3917">
        <v>-0.24347849999999999</v>
      </c>
      <c r="AE3917">
        <v>-0.67610000000001902</v>
      </c>
      <c r="AF3917">
        <v>9.3525932122959607E-2</v>
      </c>
      <c r="AG3917">
        <v>-0.24347849999999999</v>
      </c>
      <c r="AH3917">
        <v>0.61640772268878696</v>
      </c>
      <c r="AI3917">
        <v>111.331950142889</v>
      </c>
      <c r="AJ3917">
        <v>81.372464974930097</v>
      </c>
      <c r="AK3917">
        <v>0.66931857925213301</v>
      </c>
      <c r="AL3917">
        <v>80.922853357410105</v>
      </c>
      <c r="AM3917">
        <v>77.319336443922296</v>
      </c>
      <c r="AN3917">
        <v>0.99999994573742801</v>
      </c>
    </row>
    <row r="3918" spans="1:40" x14ac:dyDescent="0.25">
      <c r="A3918" t="str">
        <f>"20190303162858153"</f>
        <v>20190303162858153</v>
      </c>
      <c r="B3918" t="str">
        <f>"1551601738145582"</f>
        <v>1551601738145582</v>
      </c>
      <c r="C3918" t="s">
        <v>40</v>
      </c>
      <c r="D3918">
        <v>5.2844889999999998</v>
      </c>
      <c r="E3918">
        <v>0.47664410000000001</v>
      </c>
      <c r="F3918" t="s">
        <v>44</v>
      </c>
      <c r="G3918">
        <v>-192.52160000000001</v>
      </c>
      <c r="H3918">
        <v>0.91903520000000005</v>
      </c>
      <c r="I3918">
        <v>159.7251</v>
      </c>
      <c r="J3918">
        <v>-192.3776</v>
      </c>
      <c r="K3918">
        <v>1.116908</v>
      </c>
      <c r="L3918">
        <v>160.25040000000001</v>
      </c>
      <c r="M3918">
        <v>-0.1095286</v>
      </c>
      <c r="N3918">
        <v>-1.100786E-2</v>
      </c>
      <c r="O3918">
        <v>-0.99392270000000005</v>
      </c>
      <c r="P3918">
        <v>-0.32080920000000002</v>
      </c>
      <c r="Q3918">
        <v>0.1492077</v>
      </c>
      <c r="R3918">
        <v>-0.93531759999999997</v>
      </c>
      <c r="S3918">
        <v>-0.73443599999999998</v>
      </c>
      <c r="T3918">
        <v>-0.87944840000000002</v>
      </c>
      <c r="U3918">
        <v>-3.0948329999999999</v>
      </c>
      <c r="V3918">
        <v>0.21804390000000001</v>
      </c>
      <c r="W3918">
        <v>0.15760839999999901</v>
      </c>
      <c r="X3918">
        <v>0.9631284</v>
      </c>
      <c r="Y3918">
        <v>0.11500680000000001</v>
      </c>
      <c r="Z3918">
        <v>0.25616369999999999</v>
      </c>
      <c r="AA3918">
        <v>0.9597675</v>
      </c>
      <c r="AB3918">
        <v>30</v>
      </c>
      <c r="AC3918">
        <v>-0.14400000000000501</v>
      </c>
      <c r="AD3918">
        <v>-0.19787279999999999</v>
      </c>
      <c r="AE3918">
        <v>-0.52530000000001498</v>
      </c>
      <c r="AF3918">
        <v>7.5615386166675402E-2</v>
      </c>
      <c r="AG3918">
        <v>-0.19787279999999999</v>
      </c>
      <c r="AH3918">
        <v>0.47519829487535697</v>
      </c>
      <c r="AI3918">
        <v>112.353779008769</v>
      </c>
      <c r="AJ3918">
        <v>80.958675953938993</v>
      </c>
      <c r="AK3918">
        <v>0.52027372704896602</v>
      </c>
      <c r="AL3918">
        <v>80.931893013490196</v>
      </c>
      <c r="AM3918">
        <v>77.243764145178204</v>
      </c>
      <c r="AN3918">
        <v>0.99999993248216201</v>
      </c>
    </row>
    <row r="3919" spans="1:40" x14ac:dyDescent="0.25">
      <c r="A3919" t="str">
        <f>"20190303162858171"</f>
        <v>20190303162858171</v>
      </c>
      <c r="B3919" t="str">
        <f>"1551601738166078"</f>
        <v>1551601738166078</v>
      </c>
      <c r="C3919" t="s">
        <v>40</v>
      </c>
      <c r="D3919">
        <v>5.2630689999999998</v>
      </c>
      <c r="E3919">
        <v>0.47719400000000001</v>
      </c>
      <c r="F3919" t="s">
        <v>44</v>
      </c>
      <c r="G3919">
        <v>-192.56720000000001</v>
      </c>
      <c r="H3919">
        <v>0.85944830000000005</v>
      </c>
      <c r="I3919">
        <v>159.488</v>
      </c>
      <c r="J3919">
        <v>-192.41040000000001</v>
      </c>
      <c r="K3919">
        <v>1.1167590000000001</v>
      </c>
      <c r="L3919">
        <v>159.99799999999999</v>
      </c>
      <c r="M3919">
        <v>-0.1143585</v>
      </c>
      <c r="N3919">
        <v>-1.131601E-2</v>
      </c>
      <c r="O3919">
        <v>-0.99337520000000001</v>
      </c>
      <c r="P3919">
        <v>-0.32730809999999999</v>
      </c>
      <c r="Q3919">
        <v>0.14871309999999999</v>
      </c>
      <c r="R3919">
        <v>-0.93314209999999997</v>
      </c>
      <c r="S3919">
        <v>-0.77326969999999995</v>
      </c>
      <c r="T3919">
        <v>-1.050063</v>
      </c>
      <c r="U3919">
        <v>-3.109772</v>
      </c>
      <c r="V3919">
        <v>0.22012860000000001</v>
      </c>
      <c r="W3919">
        <v>0.15728200000000001</v>
      </c>
      <c r="X3919">
        <v>0.96270750000000005</v>
      </c>
      <c r="Y3919">
        <v>0.117260199999999</v>
      </c>
      <c r="Z3919">
        <v>0.30097160000000001</v>
      </c>
      <c r="AA3919">
        <v>0.94639640000000003</v>
      </c>
      <c r="AB3919">
        <v>30</v>
      </c>
      <c r="AC3919">
        <v>-0.15680000000000399</v>
      </c>
      <c r="AD3919">
        <v>-0.2573107</v>
      </c>
      <c r="AE3919">
        <v>-0.50999999999999002</v>
      </c>
      <c r="AF3919">
        <v>7.9058240116706202E-2</v>
      </c>
      <c r="AG3919">
        <v>-0.2573107</v>
      </c>
      <c r="AH3919">
        <v>0.42560448429610898</v>
      </c>
      <c r="AI3919">
        <v>120.727629632689</v>
      </c>
      <c r="AJ3919">
        <v>79.476950421612301</v>
      </c>
      <c r="AK3919">
        <v>0.50358532416840496</v>
      </c>
      <c r="AL3919">
        <v>80.950830978782093</v>
      </c>
      <c r="AM3919">
        <v>77.120407446835202</v>
      </c>
      <c r="AN3919">
        <v>0.999999979309104</v>
      </c>
    </row>
    <row r="3920" spans="1:40" x14ac:dyDescent="0.25">
      <c r="A3920" t="str">
        <f>"20190303162858184"</f>
        <v>20190303162858184</v>
      </c>
      <c r="B3920" t="str">
        <f>"1551601738175838"</f>
        <v>1551601738175838</v>
      </c>
      <c r="C3920" t="s">
        <v>40</v>
      </c>
      <c r="D3920">
        <v>5.2578779999999998</v>
      </c>
      <c r="E3920">
        <v>0.47745749999999998</v>
      </c>
      <c r="F3920" t="s">
        <v>44</v>
      </c>
      <c r="G3920">
        <v>-192.60839999999999</v>
      </c>
      <c r="H3920">
        <v>0.85216029999999998</v>
      </c>
      <c r="I3920">
        <v>159.22880000000001</v>
      </c>
      <c r="J3920">
        <v>-192.4314</v>
      </c>
      <c r="K3920">
        <v>1.1166609999999999</v>
      </c>
      <c r="L3920">
        <v>159.84049999999999</v>
      </c>
      <c r="M3920">
        <v>-0.1174654</v>
      </c>
      <c r="N3920">
        <v>-1.1509790000000001E-2</v>
      </c>
      <c r="O3920">
        <v>-0.99301019999999895</v>
      </c>
      <c r="P3920">
        <v>-0.33094869999999998</v>
      </c>
      <c r="Q3920">
        <v>0.1483901</v>
      </c>
      <c r="R3920">
        <v>-0.93190839999999997</v>
      </c>
      <c r="S3920">
        <v>-0.79869080000000003</v>
      </c>
      <c r="T3920">
        <v>-1.067545</v>
      </c>
      <c r="U3920">
        <v>-3.1049039999999999</v>
      </c>
      <c r="V3920">
        <v>0.22091740000000001</v>
      </c>
      <c r="W3920">
        <v>0.15706829999999999</v>
      </c>
      <c r="X3920">
        <v>0.96256169999999996</v>
      </c>
      <c r="Y3920">
        <v>0.1214147</v>
      </c>
      <c r="Z3920">
        <v>0.30538910000000002</v>
      </c>
      <c r="AA3920">
        <v>0.94445539999999994</v>
      </c>
      <c r="AB3920">
        <v>29</v>
      </c>
      <c r="AC3920">
        <v>-0.176999999999992</v>
      </c>
      <c r="AD3920">
        <v>-0.26450069999999998</v>
      </c>
      <c r="AE3920">
        <v>-0.61169999999998403</v>
      </c>
      <c r="AF3920">
        <v>8.8625790181161901E-2</v>
      </c>
      <c r="AG3920">
        <v>-0.26450069999999998</v>
      </c>
      <c r="AH3920">
        <v>0.53581495502159004</v>
      </c>
      <c r="AI3920">
        <v>115.96722711014399</v>
      </c>
      <c r="AJ3920">
        <v>80.6080976231531</v>
      </c>
      <c r="AK3920">
        <v>0.60408014121514897</v>
      </c>
      <c r="AL3920">
        <v>80.963229261378501</v>
      </c>
      <c r="AM3920">
        <v>77.073910402088302</v>
      </c>
      <c r="AN3920">
        <v>0.99999998739726903</v>
      </c>
    </row>
    <row r="3921" spans="1:40" x14ac:dyDescent="0.25">
      <c r="A3921" t="str">
        <f>"20190303162858198"</f>
        <v>20190303162858198</v>
      </c>
      <c r="B3921" t="str">
        <f>"1551601738185599"</f>
        <v>1551601738185599</v>
      </c>
      <c r="C3921" t="s">
        <v>40</v>
      </c>
      <c r="D3921">
        <v>5.2857690000000002</v>
      </c>
      <c r="E3921">
        <v>0.47787059999999998</v>
      </c>
      <c r="F3921" t="s">
        <v>44</v>
      </c>
      <c r="G3921">
        <v>-192.65700000000001</v>
      </c>
      <c r="H3921">
        <v>0.81971240000000001</v>
      </c>
      <c r="I3921">
        <v>158.98070000000001</v>
      </c>
      <c r="J3921">
        <v>-192.45750000000001</v>
      </c>
      <c r="K3921">
        <v>1.1165339999999999</v>
      </c>
      <c r="L3921">
        <v>159.65289999999999</v>
      </c>
      <c r="M3921">
        <v>-0.12132419999999999</v>
      </c>
      <c r="N3921">
        <v>-1.173512E-2</v>
      </c>
      <c r="O3921">
        <v>-0.99254379999999998</v>
      </c>
      <c r="P3921">
        <v>-0.33511220000000003</v>
      </c>
      <c r="Q3921">
        <v>0.14827170000000001</v>
      </c>
      <c r="R3921">
        <v>-0.9304384</v>
      </c>
      <c r="S3921">
        <v>-0.81327819999999995</v>
      </c>
      <c r="T3921">
        <v>-1.0708340000000001</v>
      </c>
      <c r="U3921">
        <v>-3.100876</v>
      </c>
      <c r="V3921">
        <v>0.22153880000000001</v>
      </c>
      <c r="W3921">
        <v>0.15707579999999999</v>
      </c>
      <c r="X3921">
        <v>0.96241770000000004</v>
      </c>
      <c r="Y3921">
        <v>0.1219552</v>
      </c>
      <c r="Z3921">
        <v>0.30603469999999999</v>
      </c>
      <c r="AA3921">
        <v>0.94417669999999998</v>
      </c>
      <c r="AB3921">
        <v>29</v>
      </c>
      <c r="AC3921">
        <v>-0.19950000000000001</v>
      </c>
      <c r="AD3921">
        <v>-0.29682159999999902</v>
      </c>
      <c r="AE3921">
        <v>-0.67219999999997504</v>
      </c>
      <c r="AF3921">
        <v>9.8767459807345998E-2</v>
      </c>
      <c r="AG3921">
        <v>-0.29682159999999902</v>
      </c>
      <c r="AH3921">
        <v>0.58636445631397704</v>
      </c>
      <c r="AI3921">
        <v>116.52721724444901</v>
      </c>
      <c r="AJ3921">
        <v>80.438825933874995</v>
      </c>
      <c r="AK3921">
        <v>0.66459111412336902</v>
      </c>
      <c r="AL3921">
        <v>80.962794603657201</v>
      </c>
      <c r="AM3921">
        <v>77.036904034535993</v>
      </c>
      <c r="AN3921">
        <v>1.0000000380621801</v>
      </c>
    </row>
    <row r="3922" spans="1:40" x14ac:dyDescent="0.25">
      <c r="A3922" t="str">
        <f>"20190303162858216"</f>
        <v>20190303162858216</v>
      </c>
      <c r="B3922" t="str">
        <f>"1551601738205118"</f>
        <v>1551601738205118</v>
      </c>
      <c r="C3922" t="s">
        <v>40</v>
      </c>
      <c r="D3922">
        <v>5.3014469999999996</v>
      </c>
      <c r="E3922">
        <v>0.47765020000000002</v>
      </c>
      <c r="F3922" t="s">
        <v>44</v>
      </c>
      <c r="G3922">
        <v>-192.64439999999999</v>
      </c>
      <c r="H3922">
        <v>0.87576529999999997</v>
      </c>
      <c r="I3922">
        <v>158.9572</v>
      </c>
      <c r="J3922">
        <v>-192.49080000000001</v>
      </c>
      <c r="K3922">
        <v>1.1163689999999999</v>
      </c>
      <c r="L3922">
        <v>159.42189999999999</v>
      </c>
      <c r="M3922">
        <v>-0.12623409999999999</v>
      </c>
      <c r="N3922">
        <v>-1.200185E-2</v>
      </c>
      <c r="O3922">
        <v>-0.99192789999999997</v>
      </c>
      <c r="P3922">
        <v>-0.34091329999999997</v>
      </c>
      <c r="Q3922">
        <v>0.1481874</v>
      </c>
      <c r="R3922">
        <v>-0.92834220000000001</v>
      </c>
      <c r="S3922">
        <v>-0.83100889999999905</v>
      </c>
      <c r="T3922">
        <v>-1.071169</v>
      </c>
      <c r="U3922">
        <v>-3.0957029999999999</v>
      </c>
      <c r="V3922">
        <v>0.22285930000000001</v>
      </c>
      <c r="W3922">
        <v>0.15712570000000001</v>
      </c>
      <c r="X3922">
        <v>0.96210459999999998</v>
      </c>
      <c r="Y3922">
        <v>0.12249119999999999</v>
      </c>
      <c r="Z3922">
        <v>0.30584990000000001</v>
      </c>
      <c r="AA3922">
        <v>0.94416719999999998</v>
      </c>
      <c r="AB3922">
        <v>29</v>
      </c>
      <c r="AC3922">
        <v>-0.153599999999983</v>
      </c>
      <c r="AD3922">
        <v>-0.240603699999999</v>
      </c>
      <c r="AE3922">
        <v>-0.46469999999999301</v>
      </c>
      <c r="AF3922">
        <v>7.5467437671351098E-2</v>
      </c>
      <c r="AG3922">
        <v>-0.240603699999999</v>
      </c>
      <c r="AH3922">
        <v>0.38687561674249599</v>
      </c>
      <c r="AI3922">
        <v>121.40029491171001</v>
      </c>
      <c r="AJ3922">
        <v>78.961982745773796</v>
      </c>
      <c r="AK3922">
        <v>0.461798892844338</v>
      </c>
      <c r="AL3922">
        <v>80.959899315139793</v>
      </c>
      <c r="AM3922">
        <v>76.958170942731101</v>
      </c>
      <c r="AN3922">
        <v>1.00000000726906</v>
      </c>
    </row>
    <row r="3923" spans="1:40" x14ac:dyDescent="0.25">
      <c r="A3923" t="str">
        <f>"20190303162858234"</f>
        <v>20190303162858234</v>
      </c>
      <c r="B3923" t="str">
        <f>"1551601738225613"</f>
        <v>1551601738225613</v>
      </c>
      <c r="C3923" t="s">
        <v>40</v>
      </c>
      <c r="D3923">
        <v>5.2773309999999896</v>
      </c>
      <c r="E3923">
        <v>0.4776937</v>
      </c>
      <c r="F3923" t="s">
        <v>44</v>
      </c>
      <c r="G3923">
        <v>-192.68940000000001</v>
      </c>
      <c r="H3923">
        <v>0.86596489999999904</v>
      </c>
      <c r="I3923">
        <v>158.70009999999999</v>
      </c>
      <c r="J3923">
        <v>-192.52610000000001</v>
      </c>
      <c r="K3923">
        <v>1.116196</v>
      </c>
      <c r="L3923">
        <v>159.18690000000001</v>
      </c>
      <c r="M3923">
        <v>-0.1314293</v>
      </c>
      <c r="N3923">
        <v>-1.2258949999999999E-2</v>
      </c>
      <c r="O3923">
        <v>-0.99124990000000002</v>
      </c>
      <c r="P3923">
        <v>-0.34646840000000001</v>
      </c>
      <c r="Q3923">
        <v>0.14827190000000001</v>
      </c>
      <c r="R3923">
        <v>-0.92626980000000003</v>
      </c>
      <c r="S3923">
        <v>-0.84985350000000004</v>
      </c>
      <c r="T3923">
        <v>-1.0720209999999999</v>
      </c>
      <c r="U3923">
        <v>-3.0906069999999999</v>
      </c>
      <c r="V3923">
        <v>0.223665</v>
      </c>
      <c r="W3923">
        <v>0.15733849999999999</v>
      </c>
      <c r="X3923">
        <v>0.96188280000000004</v>
      </c>
      <c r="Y3923">
        <v>0.1230425</v>
      </c>
      <c r="Z3923">
        <v>0.30575950000000002</v>
      </c>
      <c r="AA3923">
        <v>0.94412479999999999</v>
      </c>
      <c r="AB3923">
        <v>29</v>
      </c>
      <c r="AC3923">
        <v>-0.16329999999999201</v>
      </c>
      <c r="AD3923">
        <v>-0.25023109999999998</v>
      </c>
      <c r="AE3923">
        <v>-0.486800000000016</v>
      </c>
      <c r="AF3923">
        <v>7.91098313609747E-2</v>
      </c>
      <c r="AG3923">
        <v>-0.25023109999999998</v>
      </c>
      <c r="AH3923">
        <v>0.40730453663044103</v>
      </c>
      <c r="AI3923">
        <v>121.093693974727</v>
      </c>
      <c r="AJ3923">
        <v>79.008424667178701</v>
      </c>
      <c r="AK3923">
        <v>0.48453168563563498</v>
      </c>
      <c r="AL3923">
        <v>80.947552944675607</v>
      </c>
      <c r="AM3923">
        <v>76.909727338594294</v>
      </c>
      <c r="AN3923">
        <v>0.99999997837154397</v>
      </c>
    </row>
    <row r="3924" spans="1:40" x14ac:dyDescent="0.25">
      <c r="A3924" t="str">
        <f>"20190303162858250"</f>
        <v>20190303162858250</v>
      </c>
      <c r="B3924" t="str">
        <f>"1551601738245134"</f>
        <v>1551601738245134</v>
      </c>
      <c r="C3924" t="s">
        <v>40</v>
      </c>
      <c r="D3924">
        <v>5.2552450000000004</v>
      </c>
      <c r="E3924">
        <v>0.47752</v>
      </c>
      <c r="F3924" t="s">
        <v>44</v>
      </c>
      <c r="G3924">
        <v>-192.73589999999999</v>
      </c>
      <c r="H3924">
        <v>0.85770939999999996</v>
      </c>
      <c r="I3924">
        <v>158.44299999999899</v>
      </c>
      <c r="J3924">
        <v>-192.55799999999999</v>
      </c>
      <c r="K3924">
        <v>1.116042</v>
      </c>
      <c r="L3924">
        <v>158.98240000000001</v>
      </c>
      <c r="M3924">
        <v>-0.1361213</v>
      </c>
      <c r="N3924">
        <v>-1.2470719999999999E-2</v>
      </c>
      <c r="O3924">
        <v>-0.99061390000000005</v>
      </c>
      <c r="P3924">
        <v>-0.35289179999999998</v>
      </c>
      <c r="Q3924">
        <v>0.1481925</v>
      </c>
      <c r="R3924">
        <v>-0.92385430000000002</v>
      </c>
      <c r="S3924">
        <v>-0.8697357</v>
      </c>
      <c r="T3924">
        <v>-1.0717719999999999</v>
      </c>
      <c r="U3924">
        <v>-3.0850369999999998</v>
      </c>
      <c r="V3924">
        <v>0.22585930000000001</v>
      </c>
      <c r="W3924">
        <v>0.15733529999999901</v>
      </c>
      <c r="X3924">
        <v>0.96137050000000002</v>
      </c>
      <c r="Y3924">
        <v>0.1244456</v>
      </c>
      <c r="Z3924">
        <v>0.3054444</v>
      </c>
      <c r="AA3924">
        <v>0.94404290000000002</v>
      </c>
      <c r="AB3924">
        <v>29</v>
      </c>
      <c r="AC3924">
        <v>-0.17789999999999301</v>
      </c>
      <c r="AD3924">
        <v>-0.25833259999999902</v>
      </c>
      <c r="AE3924">
        <v>-0.53940000000002897</v>
      </c>
      <c r="AF3924">
        <v>8.5191063452593405E-2</v>
      </c>
      <c r="AG3924">
        <v>-0.25833259999999902</v>
      </c>
      <c r="AH3924">
        <v>0.462848048578404</v>
      </c>
      <c r="AI3924">
        <v>118.76310714168</v>
      </c>
      <c r="AJ3924">
        <v>79.5709559444728</v>
      </c>
      <c r="AK3924">
        <v>0.53686270646020895</v>
      </c>
      <c r="AL3924">
        <v>80.947739067048403</v>
      </c>
      <c r="AM3924">
        <v>76.7789939030867</v>
      </c>
      <c r="AN3924">
        <v>1.00000002914641</v>
      </c>
    </row>
    <row r="3925" spans="1:40" x14ac:dyDescent="0.25">
      <c r="A3925" t="str">
        <f>"20190303162858262"</f>
        <v>20190303162858262</v>
      </c>
      <c r="B3925" t="str">
        <f>"1551601738255871"</f>
        <v>1551601738255871</v>
      </c>
      <c r="C3925" t="s">
        <v>40</v>
      </c>
      <c r="D3925">
        <v>5.211436</v>
      </c>
      <c r="E3925">
        <v>0.47750710000000002</v>
      </c>
      <c r="F3925" t="s">
        <v>44</v>
      </c>
      <c r="G3925">
        <v>-192.7868</v>
      </c>
      <c r="H3925">
        <v>0.83996589999999904</v>
      </c>
      <c r="I3925">
        <v>158.19059999999999</v>
      </c>
      <c r="J3925">
        <v>-192.5857</v>
      </c>
      <c r="K3925">
        <v>1.115904</v>
      </c>
      <c r="L3925">
        <v>158.8098</v>
      </c>
      <c r="M3925">
        <v>-0.1401821</v>
      </c>
      <c r="N3925">
        <v>-1.264182E-2</v>
      </c>
      <c r="O3925">
        <v>-0.99004519999999996</v>
      </c>
      <c r="P3925">
        <v>-0.35762529999999998</v>
      </c>
      <c r="Q3925">
        <v>0.14810499999999999</v>
      </c>
      <c r="R3925">
        <v>-0.9220467</v>
      </c>
      <c r="S3925">
        <v>-0.88948059999999995</v>
      </c>
      <c r="T3925">
        <v>-1.0734490000000001</v>
      </c>
      <c r="U3925">
        <v>-3.0797119999999998</v>
      </c>
      <c r="V3925">
        <v>0.22690479999999999</v>
      </c>
      <c r="W3925">
        <v>0.15731500000000001</v>
      </c>
      <c r="X3925">
        <v>0.96112759999999997</v>
      </c>
      <c r="Y3925">
        <v>0.12637039999999999</v>
      </c>
      <c r="Z3925">
        <v>0.30567430000000001</v>
      </c>
      <c r="AA3925">
        <v>0.94371269999999996</v>
      </c>
      <c r="AB3925">
        <v>29</v>
      </c>
      <c r="AC3925">
        <v>-0.201099999999996</v>
      </c>
      <c r="AD3925">
        <v>-0.27593810000000002</v>
      </c>
      <c r="AE3925">
        <v>-0.61920000000000597</v>
      </c>
      <c r="AF3925">
        <v>9.5203590812370995E-2</v>
      </c>
      <c r="AG3925">
        <v>-0.27593810000000002</v>
      </c>
      <c r="AH3925">
        <v>0.54361999320920595</v>
      </c>
      <c r="AI3925">
        <v>116.564333310884</v>
      </c>
      <c r="AJ3925">
        <v>80.066586699843697</v>
      </c>
      <c r="AK3925">
        <v>0.61703181097246196</v>
      </c>
      <c r="AL3925">
        <v>80.948916850506507</v>
      </c>
      <c r="AM3925">
        <v>76.716720512233096</v>
      </c>
      <c r="AN3925">
        <v>1.0000000304848899</v>
      </c>
    </row>
    <row r="3926" spans="1:40" x14ac:dyDescent="0.25">
      <c r="A3926" t="str">
        <f>"20190303162858275"</f>
        <v>20190303162858275</v>
      </c>
      <c r="B3926" t="str">
        <f>"1551601738265630"</f>
        <v>1551601738265630</v>
      </c>
      <c r="C3926" t="s">
        <v>40</v>
      </c>
      <c r="D3926">
        <v>5.2252479999999997</v>
      </c>
      <c r="E3926">
        <v>0.47748800000000002</v>
      </c>
      <c r="F3926" t="s">
        <v>44</v>
      </c>
      <c r="G3926">
        <v>-192.7747</v>
      </c>
      <c r="H3926">
        <v>0.89178539999999995</v>
      </c>
      <c r="I3926">
        <v>158.16849999999999</v>
      </c>
      <c r="J3926">
        <v>-192.61259999999999</v>
      </c>
      <c r="K3926">
        <v>1.115775</v>
      </c>
      <c r="L3926">
        <v>158.64879999999999</v>
      </c>
      <c r="M3926">
        <v>-0.14413529999999999</v>
      </c>
      <c r="N3926">
        <v>-1.2790589999999999E-2</v>
      </c>
      <c r="O3926">
        <v>-0.9894754</v>
      </c>
      <c r="P3926">
        <v>-0.36234660000000002</v>
      </c>
      <c r="Q3926">
        <v>0.1478989</v>
      </c>
      <c r="R3926">
        <v>-0.92023460000000001</v>
      </c>
      <c r="S3926">
        <v>-0.90571590000000002</v>
      </c>
      <c r="T3926">
        <v>-1.074222</v>
      </c>
      <c r="U3926">
        <v>-3.0748899999999999</v>
      </c>
      <c r="V3926">
        <v>0.2280401</v>
      </c>
      <c r="W3926">
        <v>0.1571601</v>
      </c>
      <c r="X3926">
        <v>0.96088419999999997</v>
      </c>
      <c r="Y3926">
        <v>0.12738650000000001</v>
      </c>
      <c r="Z3926">
        <v>0.30569479999999999</v>
      </c>
      <c r="AA3926">
        <v>0.94356949999999995</v>
      </c>
      <c r="AB3926">
        <v>29</v>
      </c>
      <c r="AC3926">
        <v>-0.16210000000000899</v>
      </c>
      <c r="AD3926">
        <v>-0.22398960000000001</v>
      </c>
      <c r="AE3926">
        <v>-0.48029999999999901</v>
      </c>
      <c r="AF3926">
        <v>7.6279873946554902E-2</v>
      </c>
      <c r="AG3926">
        <v>-0.22398960000000001</v>
      </c>
      <c r="AH3926">
        <v>0.41719448441010798</v>
      </c>
      <c r="AI3926">
        <v>117.840304383657</v>
      </c>
      <c r="AJ3926">
        <v>79.638486764618804</v>
      </c>
      <c r="AK3926">
        <v>0.47962610218760798</v>
      </c>
      <c r="AL3926">
        <v>80.957903615353402</v>
      </c>
      <c r="AM3926">
        <v>76.649371693454299</v>
      </c>
      <c r="AN3926">
        <v>1.0000000150248201</v>
      </c>
    </row>
    <row r="3927" spans="1:40" x14ac:dyDescent="0.25">
      <c r="A3927" t="str">
        <f>"20190303162858289"</f>
        <v>20190303162858289</v>
      </c>
      <c r="B3927" t="str">
        <f>"1551601738285150"</f>
        <v>1551601738285150</v>
      </c>
      <c r="C3927" t="s">
        <v>40</v>
      </c>
      <c r="D3927">
        <v>5.1754290000000003</v>
      </c>
      <c r="E3927">
        <v>0.47696660000000002</v>
      </c>
      <c r="F3927" t="s">
        <v>44</v>
      </c>
      <c r="G3927">
        <v>-192.83090000000001</v>
      </c>
      <c r="H3927">
        <v>0.86119659999999998</v>
      </c>
      <c r="I3927">
        <v>157.92230000000001</v>
      </c>
      <c r="J3927">
        <v>-192.6431</v>
      </c>
      <c r="K3927">
        <v>1.115626</v>
      </c>
      <c r="L3927">
        <v>158.47020000000001</v>
      </c>
      <c r="M3927">
        <v>-0.14860779999999901</v>
      </c>
      <c r="N3927">
        <v>-1.29493E-2</v>
      </c>
      <c r="O3927">
        <v>-0.98881149999999995</v>
      </c>
      <c r="P3927">
        <v>-0.36732559999999997</v>
      </c>
      <c r="Q3927">
        <v>0.14737979999999901</v>
      </c>
      <c r="R3927">
        <v>-0.91834179999999999</v>
      </c>
      <c r="S3927">
        <v>-0.92222599999999999</v>
      </c>
      <c r="T3927">
        <v>-1.0756250000000001</v>
      </c>
      <c r="U3927">
        <v>-3.0697939999999999</v>
      </c>
      <c r="V3927">
        <v>0.2289418</v>
      </c>
      <c r="W3927">
        <v>0.15669569999999999</v>
      </c>
      <c r="X3927">
        <v>0.96074559999999998</v>
      </c>
      <c r="Y3927">
        <v>0.12796669999999999</v>
      </c>
      <c r="Z3927">
        <v>0.30585759999999901</v>
      </c>
      <c r="AA3927">
        <v>0.9434382</v>
      </c>
      <c r="AB3927">
        <v>29</v>
      </c>
      <c r="AC3927">
        <v>-0.18780000000000999</v>
      </c>
      <c r="AD3927">
        <v>-0.25442939999999897</v>
      </c>
      <c r="AE3927">
        <v>-0.54789999999999806</v>
      </c>
      <c r="AF3927">
        <v>8.7416555807558999E-2</v>
      </c>
      <c r="AG3927">
        <v>-0.25442939999999897</v>
      </c>
      <c r="AH3927">
        <v>0.477569534243176</v>
      </c>
      <c r="AI3927">
        <v>117.656872315539</v>
      </c>
      <c r="AJ3927">
        <v>79.627144601426096</v>
      </c>
      <c r="AK3927">
        <v>0.54813194930678899</v>
      </c>
      <c r="AL3927">
        <v>80.984845439353094</v>
      </c>
      <c r="AM3927">
        <v>76.596618922831595</v>
      </c>
      <c r="AN3927">
        <v>0.999999999052544</v>
      </c>
    </row>
    <row r="3928" spans="1:40" x14ac:dyDescent="0.25">
      <c r="A3928" t="str">
        <f>"20190303162858305"</f>
        <v>20190303162858305</v>
      </c>
      <c r="B3928" t="str">
        <f>"1551601738295886"</f>
        <v>1551601738295886</v>
      </c>
      <c r="C3928" t="s">
        <v>40</v>
      </c>
      <c r="D3928">
        <v>5.1682379999999997</v>
      </c>
      <c r="E3928">
        <v>0.47686790000000001</v>
      </c>
      <c r="F3928" t="s">
        <v>44</v>
      </c>
      <c r="G3928">
        <v>-192.8862</v>
      </c>
      <c r="H3928">
        <v>0.83593079999999997</v>
      </c>
      <c r="I3928">
        <v>157.67429999999999</v>
      </c>
      <c r="J3928">
        <v>-192.68100000000001</v>
      </c>
      <c r="K3928">
        <v>1.115442</v>
      </c>
      <c r="L3928">
        <v>158.256</v>
      </c>
      <c r="M3928">
        <v>-0.1541409</v>
      </c>
      <c r="N3928">
        <v>-1.31283999999999E-2</v>
      </c>
      <c r="O3928">
        <v>-0.9879618</v>
      </c>
      <c r="P3928">
        <v>-0.37479689999999999</v>
      </c>
      <c r="Q3928">
        <v>0.14683089999999999</v>
      </c>
      <c r="R3928">
        <v>-0.91540619999999995</v>
      </c>
      <c r="S3928">
        <v>-0.93548580000000003</v>
      </c>
      <c r="T3928">
        <v>-1.076659</v>
      </c>
      <c r="U3928">
        <v>-3.065353</v>
      </c>
      <c r="V3928">
        <v>0.23144770000000001</v>
      </c>
      <c r="W3928">
        <v>0.15617529999999999</v>
      </c>
      <c r="X3928">
        <v>0.96022980000000002</v>
      </c>
      <c r="Y3928">
        <v>0.12652730000000001</v>
      </c>
      <c r="Z3928">
        <v>0.3058399</v>
      </c>
      <c r="AA3928">
        <v>0.94363810000000004</v>
      </c>
      <c r="AB3928">
        <v>29</v>
      </c>
      <c r="AC3928">
        <v>-0.20520000000001901</v>
      </c>
      <c r="AD3928">
        <v>-0.27951120000000002</v>
      </c>
      <c r="AE3928">
        <v>-0.58170000000001199</v>
      </c>
      <c r="AF3928">
        <v>9.3812646138834999E-2</v>
      </c>
      <c r="AG3928">
        <v>-0.27951120000000002</v>
      </c>
      <c r="AH3928">
        <v>0.503079166038507</v>
      </c>
      <c r="AI3928">
        <v>118.642729288194</v>
      </c>
      <c r="AJ3928">
        <v>79.436983360646295</v>
      </c>
      <c r="AK3928">
        <v>0.58310888417431095</v>
      </c>
      <c r="AL3928">
        <v>81.015033986520606</v>
      </c>
      <c r="AM3928">
        <v>76.448281222997196</v>
      </c>
      <c r="AN3928">
        <v>1.0000000154867099</v>
      </c>
    </row>
    <row r="3929" spans="1:40" x14ac:dyDescent="0.25">
      <c r="A3929" t="str">
        <f>"20190303162858318"</f>
        <v>20190303162858318</v>
      </c>
      <c r="B3929" t="str">
        <f>"1551601738315407"</f>
        <v>1551601738315407</v>
      </c>
      <c r="C3929" t="s">
        <v>40</v>
      </c>
      <c r="D3929">
        <v>5.1692410000000004</v>
      </c>
      <c r="E3929">
        <v>0.47697889999999998</v>
      </c>
      <c r="F3929" t="s">
        <v>44</v>
      </c>
      <c r="G3929">
        <v>-192.9427</v>
      </c>
      <c r="H3929">
        <v>0.82111719999999899</v>
      </c>
      <c r="I3929">
        <v>157.42269999999999</v>
      </c>
      <c r="J3929">
        <v>-192.71260000000001</v>
      </c>
      <c r="K3929">
        <v>1.115291</v>
      </c>
      <c r="L3929">
        <v>158.08349999999999</v>
      </c>
      <c r="M3929">
        <v>-0.1587586</v>
      </c>
      <c r="N3929">
        <v>-1.326302E-2</v>
      </c>
      <c r="O3929">
        <v>-0.98722849999999995</v>
      </c>
      <c r="P3929">
        <v>-0.38040099999999999</v>
      </c>
      <c r="Q3929">
        <v>0.14668</v>
      </c>
      <c r="R3929">
        <v>-0.91311589999999998</v>
      </c>
      <c r="S3929">
        <v>-0.9601288</v>
      </c>
      <c r="T3929">
        <v>-1.0796650000000001</v>
      </c>
      <c r="U3929">
        <v>-3.0572970000000002</v>
      </c>
      <c r="V3929">
        <v>0.23289860000000001</v>
      </c>
      <c r="W3929">
        <v>0.1560453</v>
      </c>
      <c r="X3929">
        <v>0.95989999999999998</v>
      </c>
      <c r="Y3929">
        <v>0.1294448</v>
      </c>
      <c r="Z3929">
        <v>0.30652109999999999</v>
      </c>
      <c r="AA3929">
        <v>0.9430212</v>
      </c>
      <c r="AB3929">
        <v>29</v>
      </c>
      <c r="AC3929">
        <v>-0.230099999999993</v>
      </c>
      <c r="AD3929">
        <v>-0.29417379999999999</v>
      </c>
      <c r="AE3929">
        <v>-0.66079999999999395</v>
      </c>
      <c r="AF3929">
        <v>0.10389983179583399</v>
      </c>
      <c r="AG3929">
        <v>-0.29417379999999999</v>
      </c>
      <c r="AH3929">
        <v>0.58546870135977702</v>
      </c>
      <c r="AI3929">
        <v>116.322919988669</v>
      </c>
      <c r="AJ3929">
        <v>79.936809986178801</v>
      </c>
      <c r="AK3929">
        <v>0.66340560739682197</v>
      </c>
      <c r="AL3929">
        <v>81.022574315279599</v>
      </c>
      <c r="AM3929">
        <v>76.361980193082999</v>
      </c>
      <c r="AN3929">
        <v>0.99999995176702305</v>
      </c>
    </row>
    <row r="3930" spans="1:40" x14ac:dyDescent="0.25">
      <c r="A3930" t="str">
        <f>"20190303162858332"</f>
        <v>20190303162858332</v>
      </c>
      <c r="B3930" t="str">
        <f>"1551601738325795"</f>
        <v>1551601738325795</v>
      </c>
      <c r="C3930" t="s">
        <v>40</v>
      </c>
      <c r="D3930">
        <v>5.165845</v>
      </c>
      <c r="E3930">
        <v>0.47712700000000002</v>
      </c>
      <c r="F3930" t="s">
        <v>44</v>
      </c>
      <c r="G3930">
        <v>-192.93180000000001</v>
      </c>
      <c r="H3930">
        <v>0.87282109999999902</v>
      </c>
      <c r="I3930">
        <v>157.4008</v>
      </c>
      <c r="J3930">
        <v>-192.74629999999999</v>
      </c>
      <c r="K3930">
        <v>1.1151470000000001</v>
      </c>
      <c r="L3930">
        <v>157.9058</v>
      </c>
      <c r="M3930">
        <v>-0.16363249999999999</v>
      </c>
      <c r="N3930">
        <v>-1.339371E-2</v>
      </c>
      <c r="O3930">
        <v>-0.98643049999999999</v>
      </c>
      <c r="P3930">
        <v>-0.38636219999999999</v>
      </c>
      <c r="Q3930">
        <v>0.14696709999999999</v>
      </c>
      <c r="R3930">
        <v>-0.91056320000000002</v>
      </c>
      <c r="S3930">
        <v>-0.97946169999999999</v>
      </c>
      <c r="T3930">
        <v>-1.0836349999999999</v>
      </c>
      <c r="U3930">
        <v>-3.0514830000000002</v>
      </c>
      <c r="V3930">
        <v>0.23450589999999999</v>
      </c>
      <c r="W3930">
        <v>0.15634389999999901</v>
      </c>
      <c r="X3930">
        <v>0.95945999999999998</v>
      </c>
      <c r="Y3930">
        <v>0.1303985</v>
      </c>
      <c r="Z3930">
        <v>0.30733369999999999</v>
      </c>
      <c r="AA3930">
        <v>0.94262520000000005</v>
      </c>
      <c r="AB3930">
        <v>29</v>
      </c>
      <c r="AC3930">
        <v>-0.18550000000001801</v>
      </c>
      <c r="AD3930">
        <v>-0.24232590000000001</v>
      </c>
      <c r="AE3930">
        <v>-0.50499999999999501</v>
      </c>
      <c r="AF3930">
        <v>8.3430674878145705E-2</v>
      </c>
      <c r="AG3930">
        <v>-0.24232590000000001</v>
      </c>
      <c r="AH3930">
        <v>0.43940107180793397</v>
      </c>
      <c r="AI3930">
        <v>118.449329116439</v>
      </c>
      <c r="AJ3930">
        <v>79.249021475286995</v>
      </c>
      <c r="AK3930">
        <v>0.50868047065657396</v>
      </c>
      <c r="AL3930">
        <v>81.005253292371293</v>
      </c>
      <c r="AM3930">
        <v>76.265352696610094</v>
      </c>
      <c r="AN3930">
        <v>0.99999996190100904</v>
      </c>
    </row>
    <row r="3931" spans="1:40" x14ac:dyDescent="0.25">
      <c r="A3931" t="str">
        <f>"20190303162858345"</f>
        <v>20190303162858345</v>
      </c>
      <c r="B3931" t="str">
        <f>"1551601738335554"</f>
        <v>1551601738335554</v>
      </c>
      <c r="C3931" t="s">
        <v>40</v>
      </c>
      <c r="D3931">
        <v>5.1197990000000004</v>
      </c>
      <c r="E3931">
        <v>0.47714000000000001</v>
      </c>
      <c r="F3931" t="s">
        <v>44</v>
      </c>
      <c r="G3931">
        <v>-192.99340000000001</v>
      </c>
      <c r="H3931">
        <v>0.84740409999999899</v>
      </c>
      <c r="I3931">
        <v>157.15459999999999</v>
      </c>
      <c r="J3931">
        <v>-192.77709999999999</v>
      </c>
      <c r="K3931">
        <v>1.1150139999999999</v>
      </c>
      <c r="L3931">
        <v>157.74619999999999</v>
      </c>
      <c r="M3931">
        <v>-0.16808529999999999</v>
      </c>
      <c r="N3931">
        <v>-1.3506000000000001E-2</v>
      </c>
      <c r="O3931">
        <v>-0.98568020000000001</v>
      </c>
      <c r="P3931">
        <v>-0.39207120000000001</v>
      </c>
      <c r="Q3931">
        <v>0.14777750000000001</v>
      </c>
      <c r="R3931">
        <v>-0.90798809999999996</v>
      </c>
      <c r="S3931">
        <v>-1.001099</v>
      </c>
      <c r="T3931">
        <v>-1.0846089999999999</v>
      </c>
      <c r="U3931">
        <v>-3.0449679999999999</v>
      </c>
      <c r="V3931">
        <v>0.23628640000000001</v>
      </c>
      <c r="W3931">
        <v>0.1571525</v>
      </c>
      <c r="X3931">
        <v>0.95889089999999999</v>
      </c>
      <c r="Y3931">
        <v>0.13255120000000001</v>
      </c>
      <c r="Z3931">
        <v>0.30738919999999997</v>
      </c>
      <c r="AA3931">
        <v>0.9423068</v>
      </c>
      <c r="AB3931">
        <v>29</v>
      </c>
      <c r="AC3931">
        <v>-0.21630000000001801</v>
      </c>
      <c r="AD3931">
        <v>-0.26760990000000001</v>
      </c>
      <c r="AE3931">
        <v>-0.59159999999999902</v>
      </c>
      <c r="AF3931">
        <v>9.6378189344027101E-2</v>
      </c>
      <c r="AG3931">
        <v>-0.26760990000000001</v>
      </c>
      <c r="AH3931">
        <v>0.52481629747235703</v>
      </c>
      <c r="AI3931">
        <v>116.63490484029499</v>
      </c>
      <c r="AJ3931">
        <v>79.594046135385796</v>
      </c>
      <c r="AK3931">
        <v>0.59693882437971502</v>
      </c>
      <c r="AL3931">
        <v>80.958344082523695</v>
      </c>
      <c r="AM3931">
        <v>76.157168540551197</v>
      </c>
      <c r="AN3931">
        <v>0.99999996459200902</v>
      </c>
    </row>
    <row r="3932" spans="1:40" x14ac:dyDescent="0.25">
      <c r="A3932" t="str">
        <f>"20190303162858361"</f>
        <v>20190303162858361</v>
      </c>
      <c r="B3932" t="str">
        <f>"1551601738356051"</f>
        <v>1551601738356051</v>
      </c>
      <c r="C3932" t="s">
        <v>40</v>
      </c>
      <c r="D3932">
        <v>5.1468150000000001</v>
      </c>
      <c r="E3932">
        <v>0.47720679999999999</v>
      </c>
      <c r="F3932" t="s">
        <v>44</v>
      </c>
      <c r="G3932">
        <v>-193.0575</v>
      </c>
      <c r="H3932">
        <v>0.817353</v>
      </c>
      <c r="I3932">
        <v>156.9111</v>
      </c>
      <c r="J3932">
        <v>-192.8211</v>
      </c>
      <c r="K3932">
        <v>1.114841</v>
      </c>
      <c r="L3932">
        <v>157.52699999999999</v>
      </c>
      <c r="M3932">
        <v>-0.17440139999999901</v>
      </c>
      <c r="N3932">
        <v>-1.3648510000000001E-2</v>
      </c>
      <c r="O3932">
        <v>-0.98458020000000002</v>
      </c>
      <c r="P3932">
        <v>-0.40129579999999998</v>
      </c>
      <c r="Q3932">
        <v>0.14851619999999999</v>
      </c>
      <c r="R3932">
        <v>-0.90382810000000002</v>
      </c>
      <c r="S3932">
        <v>-1.020813</v>
      </c>
      <c r="T3932">
        <v>-1.0835060000000001</v>
      </c>
      <c r="U3932">
        <v>-3.0395660000000002</v>
      </c>
      <c r="V3932">
        <v>0.24001220000000001</v>
      </c>
      <c r="W3932">
        <v>0.15785089999999999</v>
      </c>
      <c r="X3932">
        <v>0.95785030000000004</v>
      </c>
      <c r="Y3932">
        <v>0.1322644</v>
      </c>
      <c r="Z3932">
        <v>0.30668030000000002</v>
      </c>
      <c r="AA3932">
        <v>0.94257800000000003</v>
      </c>
      <c r="AB3932">
        <v>29</v>
      </c>
      <c r="AC3932">
        <v>-0.236400000000003</v>
      </c>
      <c r="AD3932">
        <v>-0.29748799999999997</v>
      </c>
      <c r="AE3932">
        <v>-0.61590000000001</v>
      </c>
      <c r="AF3932">
        <v>0.104170170135166</v>
      </c>
      <c r="AG3932">
        <v>-0.29748799999999997</v>
      </c>
      <c r="AH3932">
        <v>0.53824295949551704</v>
      </c>
      <c r="AI3932">
        <v>118.485712499039</v>
      </c>
      <c r="AJ3932">
        <v>79.046541351947099</v>
      </c>
      <c r="AK3932">
        <v>0.62374355141875604</v>
      </c>
      <c r="AL3932">
        <v>80.9178230930995</v>
      </c>
      <c r="AM3932">
        <v>75.932817704044794</v>
      </c>
      <c r="AN3932">
        <v>0.999999979994869</v>
      </c>
    </row>
    <row r="3933" spans="1:40" x14ac:dyDescent="0.25">
      <c r="A3933" t="str">
        <f>"20190303162858374"</f>
        <v>20190303162858374</v>
      </c>
      <c r="B3933" t="str">
        <f>"1551601738365811"</f>
        <v>1551601738365811</v>
      </c>
      <c r="C3933" t="s">
        <v>40</v>
      </c>
      <c r="D3933">
        <v>5.1227179999999999</v>
      </c>
      <c r="E3933">
        <v>0.47720089999999998</v>
      </c>
      <c r="F3933" t="s">
        <v>44</v>
      </c>
      <c r="G3933">
        <v>-193.04480000000001</v>
      </c>
      <c r="H3933">
        <v>0.88443099999999997</v>
      </c>
      <c r="I3933">
        <v>156.8826</v>
      </c>
      <c r="J3933">
        <v>-192.85400000000001</v>
      </c>
      <c r="K3933">
        <v>1.1147119999999999</v>
      </c>
      <c r="L3933">
        <v>157.36920000000001</v>
      </c>
      <c r="M3933">
        <v>-0.179094899999999</v>
      </c>
      <c r="N3933">
        <v>-1.3743999999999999E-2</v>
      </c>
      <c r="O3933">
        <v>-0.9837359</v>
      </c>
      <c r="P3933">
        <v>-0.40736410000000001</v>
      </c>
      <c r="Q3933">
        <v>0.14862979999999901</v>
      </c>
      <c r="R3933">
        <v>-0.90109059999999996</v>
      </c>
      <c r="S3933">
        <v>-1.051971</v>
      </c>
      <c r="T3933">
        <v>-1.0834900000000001</v>
      </c>
      <c r="U3933">
        <v>-3.0301969999999998</v>
      </c>
      <c r="V3933">
        <v>0.24194489999999999</v>
      </c>
      <c r="W3933">
        <v>0.15794269999999999</v>
      </c>
      <c r="X3933">
        <v>0.9573488</v>
      </c>
      <c r="Y3933">
        <v>0.13709939999999901</v>
      </c>
      <c r="Z3933">
        <v>0.30649120000000002</v>
      </c>
      <c r="AA3933">
        <v>0.94194849999999997</v>
      </c>
      <c r="AB3933">
        <v>29</v>
      </c>
      <c r="AC3933">
        <v>-0.190799999999995</v>
      </c>
      <c r="AD3933">
        <v>-0.23028100000000001</v>
      </c>
      <c r="AE3933">
        <v>-0.48660000000000903</v>
      </c>
      <c r="AF3933">
        <v>8.4211873552959393E-2</v>
      </c>
      <c r="AG3933">
        <v>-0.23028100000000001</v>
      </c>
      <c r="AH3933">
        <v>0.429527553177114</v>
      </c>
      <c r="AI3933">
        <v>117.749315604858</v>
      </c>
      <c r="AJ3933">
        <v>78.907460735355002</v>
      </c>
      <c r="AK3933">
        <v>0.49458558162022698</v>
      </c>
      <c r="AL3933">
        <v>80.912496503524295</v>
      </c>
      <c r="AM3933">
        <v>75.816964690896498</v>
      </c>
      <c r="AN3933">
        <v>0.99999997799036899</v>
      </c>
    </row>
    <row r="3934" spans="1:40" x14ac:dyDescent="0.25">
      <c r="A3934" t="str">
        <f>"20190303162858387"</f>
        <v>20190303162858387</v>
      </c>
      <c r="B3934" t="str">
        <f>"1551601738375571"</f>
        <v>1551601738375571</v>
      </c>
      <c r="C3934" t="s">
        <v>40</v>
      </c>
      <c r="D3934">
        <v>5.1291310000000001</v>
      </c>
      <c r="E3934">
        <v>0.47732229999999998</v>
      </c>
      <c r="F3934" t="s">
        <v>44</v>
      </c>
      <c r="G3934">
        <v>-193.1122</v>
      </c>
      <c r="H3934">
        <v>0.85372139999999996</v>
      </c>
      <c r="I3934">
        <v>156.6405</v>
      </c>
      <c r="J3934">
        <v>-192.88759999999999</v>
      </c>
      <c r="K3934">
        <v>1.114579</v>
      </c>
      <c r="L3934">
        <v>157.2106</v>
      </c>
      <c r="M3934">
        <v>-0.18387529999999999</v>
      </c>
      <c r="N3934">
        <v>-1.3836579999999999E-2</v>
      </c>
      <c r="O3934">
        <v>-0.98285239999999996</v>
      </c>
      <c r="P3934">
        <v>-0.41391909999999998</v>
      </c>
      <c r="Q3934">
        <v>0.14885870000000001</v>
      </c>
      <c r="R3934">
        <v>-0.89806070000000005</v>
      </c>
      <c r="S3934">
        <v>-1.0712889999999999</v>
      </c>
      <c r="T3934">
        <v>-1.082578</v>
      </c>
      <c r="U3934">
        <v>-3.0235750000000001</v>
      </c>
      <c r="V3934">
        <v>0.24433340000000001</v>
      </c>
      <c r="W3934">
        <v>0.15813529999999901</v>
      </c>
      <c r="X3934">
        <v>0.95671019999999896</v>
      </c>
      <c r="Y3934">
        <v>0.13832230000000001</v>
      </c>
      <c r="Z3934">
        <v>0.30604480000000001</v>
      </c>
      <c r="AA3934">
        <v>0.9419149</v>
      </c>
      <c r="AB3934">
        <v>29</v>
      </c>
      <c r="AC3934">
        <v>-0.22460000000000899</v>
      </c>
      <c r="AD3934">
        <v>-0.26085760000000002</v>
      </c>
      <c r="AE3934">
        <v>-0.57009999999999605</v>
      </c>
      <c r="AF3934">
        <v>9.81450129872872E-2</v>
      </c>
      <c r="AG3934">
        <v>-0.26085760000000002</v>
      </c>
      <c r="AH3934">
        <v>0.509364818363369</v>
      </c>
      <c r="AI3934">
        <v>116.69661288464199</v>
      </c>
      <c r="AJ3934">
        <v>79.093838413579107</v>
      </c>
      <c r="AK3934">
        <v>0.58063038952364798</v>
      </c>
      <c r="AL3934">
        <v>80.901321047959897</v>
      </c>
      <c r="AM3934">
        <v>75.673515040592306</v>
      </c>
      <c r="AN3934">
        <v>0.99999999512284399</v>
      </c>
    </row>
    <row r="3935" spans="1:40" x14ac:dyDescent="0.25">
      <c r="A3935" t="str">
        <f>"20190303162858400"</f>
        <v>20190303162858400</v>
      </c>
      <c r="B3935" t="str">
        <f>"1551601738396067"</f>
        <v>1551601738396067</v>
      </c>
      <c r="C3935" t="s">
        <v>40</v>
      </c>
      <c r="D3935">
        <v>5.4035830000000002</v>
      </c>
      <c r="E3935">
        <v>0.47714079999999898</v>
      </c>
      <c r="F3935" t="s">
        <v>44</v>
      </c>
      <c r="G3935">
        <v>-193.18170000000001</v>
      </c>
      <c r="H3935">
        <v>0.82347870000000001</v>
      </c>
      <c r="I3935">
        <v>156.399</v>
      </c>
      <c r="J3935">
        <v>-192.92779999999999</v>
      </c>
      <c r="K3935">
        <v>1.114425</v>
      </c>
      <c r="L3935">
        <v>157.02690000000001</v>
      </c>
      <c r="M3935">
        <v>-0.1895587</v>
      </c>
      <c r="N3935">
        <v>-1.393778E-2</v>
      </c>
      <c r="O3935">
        <v>-0.98177049999999999</v>
      </c>
      <c r="P3935">
        <v>-0.42178110000000002</v>
      </c>
      <c r="Q3935">
        <v>0.14847379999999999</v>
      </c>
      <c r="R3935">
        <v>-0.89445909999999995</v>
      </c>
      <c r="S3935">
        <v>-1.0927579999999999</v>
      </c>
      <c r="T3935">
        <v>-1.081701</v>
      </c>
      <c r="U3935">
        <v>-3.0161440000000002</v>
      </c>
      <c r="V3935">
        <v>0.2472385</v>
      </c>
      <c r="W3935">
        <v>0.1576969</v>
      </c>
      <c r="X3935">
        <v>0.956036</v>
      </c>
      <c r="Y3935">
        <v>0.1393102</v>
      </c>
      <c r="Z3935">
        <v>0.30554920000000002</v>
      </c>
      <c r="AA3935">
        <v>0.94193009999999999</v>
      </c>
      <c r="AB3935">
        <v>29</v>
      </c>
      <c r="AC3935">
        <v>-0.253900000000015</v>
      </c>
      <c r="AD3935">
        <v>-0.29094629999999999</v>
      </c>
      <c r="AE3935">
        <v>-0.627900000000011</v>
      </c>
      <c r="AF3935">
        <v>0.10996759502633</v>
      </c>
      <c r="AG3935">
        <v>-0.29094629999999999</v>
      </c>
      <c r="AH3935">
        <v>0.56110472166660896</v>
      </c>
      <c r="AI3935">
        <v>116.968987979291</v>
      </c>
      <c r="AJ3935">
        <v>78.911482638163093</v>
      </c>
      <c r="AK3935">
        <v>0.64154589088866298</v>
      </c>
      <c r="AL3935">
        <v>80.926758838838794</v>
      </c>
      <c r="AM3935">
        <v>75.500517970261001</v>
      </c>
      <c r="AN3935">
        <v>1.00000001072393</v>
      </c>
    </row>
    <row r="3936" spans="1:40" x14ac:dyDescent="0.25">
      <c r="A3936" t="str">
        <f>"20190303162858418"</f>
        <v>20190303162858418</v>
      </c>
      <c r="B3936" t="str">
        <f>"1551601738405827"</f>
        <v>1551601738405827</v>
      </c>
      <c r="C3936" t="s">
        <v>40</v>
      </c>
      <c r="D3936">
        <v>5.2086730000000001</v>
      </c>
      <c r="E3936">
        <v>0.50419209999999903</v>
      </c>
      <c r="F3936" t="s">
        <v>44</v>
      </c>
      <c r="G3936">
        <v>-193.16990000000001</v>
      </c>
      <c r="H3936">
        <v>0.87949049999999995</v>
      </c>
      <c r="I3936">
        <v>156.3749</v>
      </c>
      <c r="J3936">
        <v>-192.9776</v>
      </c>
      <c r="K3936">
        <v>1.114236</v>
      </c>
      <c r="L3936">
        <v>156.80779999999999</v>
      </c>
      <c r="M3936">
        <v>-0.1965306</v>
      </c>
      <c r="N3936">
        <v>-1.4051350000000001E-2</v>
      </c>
      <c r="O3936">
        <v>-0.98039730000000003</v>
      </c>
      <c r="P3936">
        <v>-0.43403340000000001</v>
      </c>
      <c r="Q3936">
        <v>0.14819849999999901</v>
      </c>
      <c r="R3936">
        <v>-0.88862410000000003</v>
      </c>
      <c r="S3936">
        <v>-1.1163019999999999</v>
      </c>
      <c r="T3936">
        <v>-1.083483</v>
      </c>
      <c r="U3936">
        <v>-3.007431</v>
      </c>
      <c r="V3936">
        <v>0.25364940000000002</v>
      </c>
      <c r="W3936">
        <v>0.15728819999999999</v>
      </c>
      <c r="X3936">
        <v>0.95442260000000001</v>
      </c>
      <c r="Y3936">
        <v>0.13961779999999999</v>
      </c>
      <c r="Z3936">
        <v>0.30570360000000002</v>
      </c>
      <c r="AA3936">
        <v>0.94183439999999996</v>
      </c>
      <c r="AB3936">
        <v>29</v>
      </c>
      <c r="AC3936">
        <v>-0.19230000000001701</v>
      </c>
      <c r="AD3936">
        <v>-0.234745499999999</v>
      </c>
      <c r="AE3936">
        <v>-0.43289999999998902</v>
      </c>
      <c r="AF3936">
        <v>8.3063171292244498E-2</v>
      </c>
      <c r="AG3936">
        <v>-0.234745499999999</v>
      </c>
      <c r="AH3936">
        <v>0.37111174154749599</v>
      </c>
      <c r="AI3936">
        <v>121.685953962567</v>
      </c>
      <c r="AJ3936">
        <v>77.383845591799997</v>
      </c>
      <c r="AK3936">
        <v>0.44691035444459098</v>
      </c>
      <c r="AL3936">
        <v>80.950471891671697</v>
      </c>
      <c r="AM3936">
        <v>75.116978155437806</v>
      </c>
      <c r="AN3936">
        <v>1.00000004768517</v>
      </c>
    </row>
    <row r="3937" spans="1:40" x14ac:dyDescent="0.25">
      <c r="A3937" t="str">
        <f>"20190303162858434"</f>
        <v>20190303162858434</v>
      </c>
      <c r="B3937" t="str">
        <f>"1551601738425346"</f>
        <v>1551601738425346</v>
      </c>
      <c r="C3937" t="s">
        <v>40</v>
      </c>
      <c r="D3937">
        <v>5.1374630000000003</v>
      </c>
      <c r="E3937">
        <v>0.54973300000000003</v>
      </c>
      <c r="F3937" t="s">
        <v>44</v>
      </c>
      <c r="G3937">
        <v>-193.30889999999999</v>
      </c>
      <c r="H3937">
        <v>0.9360058</v>
      </c>
      <c r="I3937">
        <v>156.10740000000001</v>
      </c>
      <c r="J3937">
        <v>-193.02549999999999</v>
      </c>
      <c r="K3937">
        <v>1.114066</v>
      </c>
      <c r="L3937">
        <v>156.60409999999999</v>
      </c>
      <c r="M3937">
        <v>-0.2031792</v>
      </c>
      <c r="N3937">
        <v>-1.415026E-2</v>
      </c>
      <c r="O3937">
        <v>-0.97903960000000001</v>
      </c>
      <c r="P3937">
        <v>-0.44302160000000002</v>
      </c>
      <c r="Q3937">
        <v>0.14807239999999999</v>
      </c>
      <c r="R3937">
        <v>-0.884198699999999</v>
      </c>
      <c r="S3937">
        <v>-1.3433839999999999</v>
      </c>
      <c r="T3937">
        <v>-0.72266239999999904</v>
      </c>
      <c r="U3937">
        <v>-2.840363</v>
      </c>
      <c r="V3937">
        <v>0.256915</v>
      </c>
      <c r="W3937">
        <v>0.15708429999999901</v>
      </c>
      <c r="X3937">
        <v>0.95358229999999999</v>
      </c>
      <c r="Y3937">
        <v>0.2247345</v>
      </c>
      <c r="Z3937">
        <v>0.21163589999999999</v>
      </c>
      <c r="AA3937">
        <v>0.95115970000000005</v>
      </c>
      <c r="AB3937">
        <v>29</v>
      </c>
      <c r="AC3937">
        <v>-0.28339999999999999</v>
      </c>
      <c r="AD3937">
        <v>-0.178060199999999</v>
      </c>
      <c r="AE3937">
        <v>-0.49669999999997499</v>
      </c>
      <c r="AF3937">
        <v>0.16095376584239299</v>
      </c>
      <c r="AG3937">
        <v>-0.178060199999999</v>
      </c>
      <c r="AH3937">
        <v>0.49585115715230998</v>
      </c>
      <c r="AI3937">
        <v>108.857933557225</v>
      </c>
      <c r="AJ3937">
        <v>72.016519458647196</v>
      </c>
      <c r="AK3937">
        <v>0.55089011573286795</v>
      </c>
      <c r="AL3937">
        <v>80.9623011089964</v>
      </c>
      <c r="AM3937">
        <v>74.921354981466706</v>
      </c>
      <c r="AN3937">
        <v>0.99999999870238998</v>
      </c>
    </row>
    <row r="3938" spans="1:40" x14ac:dyDescent="0.25">
      <c r="A3938" t="str">
        <f>"20190303162858452"</f>
        <v>20190303162858452</v>
      </c>
      <c r="B3938" t="str">
        <f>"1551601738445842"</f>
        <v>1551601738445842</v>
      </c>
      <c r="C3938" t="s">
        <v>40</v>
      </c>
      <c r="D3938">
        <v>5.2562920000000002</v>
      </c>
      <c r="E3938">
        <v>0.56184609999999902</v>
      </c>
      <c r="F3938" t="s">
        <v>56</v>
      </c>
      <c r="G3938">
        <v>-199.87479999999999</v>
      </c>
      <c r="H3938" s="1">
        <v>-1.140742E-5</v>
      </c>
      <c r="I3938">
        <v>146.11359999999999</v>
      </c>
      <c r="J3938">
        <v>-193.08029999999999</v>
      </c>
      <c r="K3938">
        <v>1.1138729999999999</v>
      </c>
      <c r="L3938">
        <v>156.3784</v>
      </c>
      <c r="M3938">
        <v>-0.21072189999999999</v>
      </c>
      <c r="N3938">
        <v>-1.425269E-2</v>
      </c>
      <c r="O3938">
        <v>-0.97744229999999999</v>
      </c>
      <c r="P3938">
        <v>-0.45514450000000001</v>
      </c>
      <c r="Q3938">
        <v>0.14738299999999999</v>
      </c>
      <c r="R3938">
        <v>-0.87813549999999996</v>
      </c>
      <c r="S3938">
        <v>-1.6918949999999999</v>
      </c>
      <c r="T3938">
        <v>-0.2751923</v>
      </c>
      <c r="U3938">
        <v>-2.5912929999999998</v>
      </c>
      <c r="V3938">
        <v>0.26272420000000002</v>
      </c>
      <c r="W3938">
        <v>0.1562539</v>
      </c>
      <c r="X3938">
        <v>0.95213479999999995</v>
      </c>
      <c r="Y3938">
        <v>0.3560992</v>
      </c>
      <c r="Z3938">
        <v>7.6701080000000005E-2</v>
      </c>
      <c r="AA3938">
        <v>0.93129490000000004</v>
      </c>
      <c r="AB3938">
        <v>29</v>
      </c>
      <c r="AC3938">
        <v>-6.7944999999999904</v>
      </c>
      <c r="AD3938">
        <v>-1.1138844074199901</v>
      </c>
      <c r="AE3938">
        <v>-10.264799999999999</v>
      </c>
      <c r="AF3938">
        <v>4.4422942784139199</v>
      </c>
      <c r="AG3938">
        <v>-1.1138844074199901</v>
      </c>
      <c r="AH3938">
        <v>11.373040139814201</v>
      </c>
      <c r="AI3938">
        <v>95.212577601701099</v>
      </c>
      <c r="AJ3938">
        <v>68.664449922380598</v>
      </c>
      <c r="AK3938">
        <v>12.260536650202001</v>
      </c>
      <c r="AL3938">
        <v>81.010474258940903</v>
      </c>
      <c r="AM3938">
        <v>74.574129863720003</v>
      </c>
      <c r="AN3938">
        <v>0.99999998195094397</v>
      </c>
    </row>
    <row r="3939" spans="1:40" x14ac:dyDescent="0.25">
      <c r="A3939" t="str">
        <f>"20190303162858466"</f>
        <v>20190303162858466</v>
      </c>
      <c r="B3939" t="str">
        <f>"1551601738455603"</f>
        <v>1551601738455603</v>
      </c>
      <c r="C3939" t="s">
        <v>40</v>
      </c>
      <c r="D3939">
        <v>5.1188379999999896</v>
      </c>
      <c r="E3939">
        <v>0.56657539999999995</v>
      </c>
      <c r="F3939" t="s">
        <v>56</v>
      </c>
      <c r="G3939">
        <v>-202.4391</v>
      </c>
      <c r="H3939" s="1">
        <v>-9.5500169999999999E-6</v>
      </c>
      <c r="I3939">
        <v>143.3954</v>
      </c>
      <c r="J3939">
        <v>-193.12569999999999</v>
      </c>
      <c r="K3939">
        <v>1.1137269999999999</v>
      </c>
      <c r="L3939">
        <v>156.19720000000001</v>
      </c>
      <c r="M3939">
        <v>-0.21690190000000001</v>
      </c>
      <c r="N3939">
        <v>-1.4330000000000001E-2</v>
      </c>
      <c r="O3939">
        <v>-0.97608839999999997</v>
      </c>
      <c r="P3939">
        <v>-0.4629817</v>
      </c>
      <c r="Q3939">
        <v>0.1472763</v>
      </c>
      <c r="R3939">
        <v>-0.87404689999999996</v>
      </c>
      <c r="S3939">
        <v>-1.8118289999999999</v>
      </c>
      <c r="T3939">
        <v>-0.21564559999999999</v>
      </c>
      <c r="U3939">
        <v>-2.513474</v>
      </c>
      <c r="V3939">
        <v>0.26527129999999999</v>
      </c>
      <c r="W3939">
        <v>0.15607409999999999</v>
      </c>
      <c r="X3939">
        <v>0.95145789999999997</v>
      </c>
      <c r="Y3939">
        <v>0.39367259999999998</v>
      </c>
      <c r="Z3939">
        <v>5.7549919999999997E-2</v>
      </c>
      <c r="AA3939">
        <v>0.91744749999999997</v>
      </c>
      <c r="AB3939">
        <v>29</v>
      </c>
      <c r="AC3939">
        <v>-9.3133999999999997</v>
      </c>
      <c r="AD3939">
        <v>-1.113736550017</v>
      </c>
      <c r="AE3939">
        <v>-12.8018</v>
      </c>
      <c r="AF3939">
        <v>6.28351553579098</v>
      </c>
      <c r="AG3939">
        <v>-1.113736550017</v>
      </c>
      <c r="AH3939">
        <v>14.4457749398929</v>
      </c>
      <c r="AI3939">
        <v>94.044031977489396</v>
      </c>
      <c r="AJ3939">
        <v>66.492282393653298</v>
      </c>
      <c r="AK3939">
        <v>15.7925105732246</v>
      </c>
      <c r="AL3939">
        <v>81.020904720480601</v>
      </c>
      <c r="AM3939">
        <v>74.421259521182407</v>
      </c>
      <c r="AN3939">
        <v>1.0000000613834501</v>
      </c>
    </row>
    <row r="3940" spans="1:40" x14ac:dyDescent="0.25">
      <c r="A3940" t="str">
        <f>"20190303162858480"</f>
        <v>20190303162858480</v>
      </c>
      <c r="B3940" t="str">
        <f>"1551601738465362"</f>
        <v>1551601738465362</v>
      </c>
      <c r="C3940" t="s">
        <v>40</v>
      </c>
      <c r="D3940">
        <v>5.1066919999999998</v>
      </c>
      <c r="E3940">
        <v>0.56884679999999999</v>
      </c>
      <c r="F3940" t="s">
        <v>56</v>
      </c>
      <c r="G3940">
        <v>-203.9974</v>
      </c>
      <c r="H3940" s="1">
        <v>-8.5383139999999992E-6</v>
      </c>
      <c r="I3940">
        <v>141.7852</v>
      </c>
      <c r="J3940">
        <v>-193.1712</v>
      </c>
      <c r="K3940">
        <v>1.1135930000000001</v>
      </c>
      <c r="L3940">
        <v>156.0214</v>
      </c>
      <c r="M3940">
        <v>-0.22302810000000001</v>
      </c>
      <c r="N3940">
        <v>-1.4400380000000001E-2</v>
      </c>
      <c r="O3940">
        <v>-0.97470579999999996</v>
      </c>
      <c r="P3940">
        <v>-0.47057539999999998</v>
      </c>
      <c r="Q3940">
        <v>0.1471124</v>
      </c>
      <c r="R3940">
        <v>-0.87000959999999905</v>
      </c>
      <c r="S3940">
        <v>-1.86734</v>
      </c>
      <c r="T3940">
        <v>-0.1912973</v>
      </c>
      <c r="U3940">
        <v>-2.4754330000000002</v>
      </c>
      <c r="V3940">
        <v>0.267627</v>
      </c>
      <c r="W3940">
        <v>0.15584000000000001</v>
      </c>
      <c r="X3940">
        <v>0.95083629999999997</v>
      </c>
      <c r="Y3940">
        <v>0.4080319</v>
      </c>
      <c r="Z3940">
        <v>4.9628720000000001E-2</v>
      </c>
      <c r="AA3940">
        <v>0.91161780000000003</v>
      </c>
      <c r="AB3940">
        <v>29</v>
      </c>
      <c r="AC3940">
        <v>-10.8262</v>
      </c>
      <c r="AD3940">
        <v>-1.1136015383140001</v>
      </c>
      <c r="AE3940">
        <v>-14.236199999999901</v>
      </c>
      <c r="AF3940">
        <v>7.3495581525039304</v>
      </c>
      <c r="AG3940">
        <v>-1.1136015383140001</v>
      </c>
      <c r="AH3940">
        <v>16.229421554223499</v>
      </c>
      <c r="AI3940">
        <v>93.576658114535803</v>
      </c>
      <c r="AJ3940">
        <v>65.636415783079599</v>
      </c>
      <c r="AK3940">
        <v>17.850776941294999</v>
      </c>
      <c r="AL3940">
        <v>81.034483200121699</v>
      </c>
      <c r="AM3940">
        <v>74.279954981122401</v>
      </c>
      <c r="AN3940">
        <v>0.99999999306334497</v>
      </c>
    </row>
    <row r="3941" spans="1:40" x14ac:dyDescent="0.25">
      <c r="A3941" t="str">
        <f>"20190303162858494"</f>
        <v>20190303162858494</v>
      </c>
      <c r="B3941" t="str">
        <f>"1551601738485859"</f>
        <v>1551601738485859</v>
      </c>
      <c r="C3941" t="s">
        <v>40</v>
      </c>
      <c r="D3941">
        <v>5.1376239999999997</v>
      </c>
      <c r="E3941">
        <v>0.57060859999999902</v>
      </c>
      <c r="F3941" t="s">
        <v>56</v>
      </c>
      <c r="G3941">
        <v>-204.8501</v>
      </c>
      <c r="H3941" s="1">
        <v>-8.0104019999999992E-6</v>
      </c>
      <c r="I3941">
        <v>141.00129999999999</v>
      </c>
      <c r="J3941">
        <v>-193.22219999999999</v>
      </c>
      <c r="K3941">
        <v>1.113459</v>
      </c>
      <c r="L3941">
        <v>155.83019999999999</v>
      </c>
      <c r="M3941">
        <v>-0.2298191</v>
      </c>
      <c r="N3941">
        <v>-1.4472280000000001E-2</v>
      </c>
      <c r="O3941">
        <v>-0.97312580000000004</v>
      </c>
      <c r="P3941">
        <v>-0.48051379999999999</v>
      </c>
      <c r="Q3941">
        <v>0.1475648</v>
      </c>
      <c r="R3941">
        <v>-0.86448349999999996</v>
      </c>
      <c r="S3941">
        <v>-1.90419</v>
      </c>
      <c r="T3941">
        <v>-0.1815679</v>
      </c>
      <c r="U3941">
        <v>-2.4489589999999999</v>
      </c>
      <c r="V3941">
        <v>0.271978</v>
      </c>
      <c r="W3941">
        <v>0.15617159999999999</v>
      </c>
      <c r="X3941">
        <v>0.94954649999999996</v>
      </c>
      <c r="Y3941">
        <v>0.41508539999999999</v>
      </c>
      <c r="Z3941">
        <v>4.6445930000000003E-2</v>
      </c>
      <c r="AA3941">
        <v>0.90859610000000002</v>
      </c>
      <c r="AB3941">
        <v>29</v>
      </c>
      <c r="AC3941">
        <v>-11.6279</v>
      </c>
      <c r="AD3941">
        <v>-1.1134670104019999</v>
      </c>
      <c r="AE3941">
        <v>-14.828900000000001</v>
      </c>
      <c r="AF3941">
        <v>7.8807580902323</v>
      </c>
      <c r="AG3941">
        <v>-1.1134670104019999</v>
      </c>
      <c r="AH3941">
        <v>17.044978549894299</v>
      </c>
      <c r="AI3941">
        <v>93.393340650991703</v>
      </c>
      <c r="AJ3941">
        <v>65.186505048711695</v>
      </c>
      <c r="AK3941">
        <v>18.811630727461399</v>
      </c>
      <c r="AL3941">
        <v>81.015249184369296</v>
      </c>
      <c r="AM3941">
        <v>74.016732443490596</v>
      </c>
      <c r="AN3941">
        <v>1.0000000783964</v>
      </c>
    </row>
    <row r="3942" spans="1:40" x14ac:dyDescent="0.25">
      <c r="A3942" t="str">
        <f>"20190303162858507"</f>
        <v>20190303162858507</v>
      </c>
      <c r="B3942" t="str">
        <f>"1551601738495619"</f>
        <v>1551601738495619</v>
      </c>
      <c r="C3942" t="s">
        <v>40</v>
      </c>
      <c r="D3942">
        <v>5.1425910000000004</v>
      </c>
      <c r="E3942">
        <v>0.57097390000000003</v>
      </c>
      <c r="F3942" t="s">
        <v>56</v>
      </c>
      <c r="G3942">
        <v>-205.44649999999999</v>
      </c>
      <c r="H3942" s="1">
        <v>-7.6505030000000006E-6</v>
      </c>
      <c r="I3942">
        <v>140.61250000000001</v>
      </c>
      <c r="J3942">
        <v>-193.26390000000001</v>
      </c>
      <c r="K3942">
        <v>1.113353</v>
      </c>
      <c r="L3942">
        <v>155.67750000000001</v>
      </c>
      <c r="M3942">
        <v>-0.2353181</v>
      </c>
      <c r="N3942">
        <v>-1.452694E-2</v>
      </c>
      <c r="O3942">
        <v>-0.97180999999999995</v>
      </c>
      <c r="P3942">
        <v>-0.48728189999999999</v>
      </c>
      <c r="Q3942">
        <v>0.14805760000000001</v>
      </c>
      <c r="R3942">
        <v>-0.86060210000000004</v>
      </c>
      <c r="S3942">
        <v>-1.9439390000000001</v>
      </c>
      <c r="T3942">
        <v>-0.17706749999999999</v>
      </c>
      <c r="U3942">
        <v>-2.4199830000000002</v>
      </c>
      <c r="V3942">
        <v>0.27413340000000003</v>
      </c>
      <c r="W3942">
        <v>0.15659500000000001</v>
      </c>
      <c r="X3942">
        <v>0.9488567</v>
      </c>
      <c r="Y3942">
        <v>0.42435390000000001</v>
      </c>
      <c r="Z3942">
        <v>4.500125E-2</v>
      </c>
      <c r="AA3942">
        <v>0.90437749999999995</v>
      </c>
      <c r="AB3942">
        <v>29</v>
      </c>
      <c r="AC3942">
        <v>-12.1825999999999</v>
      </c>
      <c r="AD3942">
        <v>-1.113360650503</v>
      </c>
      <c r="AE3942">
        <v>-15.0649999999999</v>
      </c>
      <c r="AF3942">
        <v>8.2676772372948992</v>
      </c>
      <c r="AG3942">
        <v>-1.113360650503</v>
      </c>
      <c r="AH3942">
        <v>17.45131981626</v>
      </c>
      <c r="AI3942">
        <v>93.299742189725194</v>
      </c>
      <c r="AJ3942">
        <v>64.650438512886495</v>
      </c>
      <c r="AK3942">
        <v>19.3427666626975</v>
      </c>
      <c r="AL3942">
        <v>80.990687941618106</v>
      </c>
      <c r="AM3942">
        <v>73.885509350908606</v>
      </c>
      <c r="AN3942">
        <v>1.0000000760777199</v>
      </c>
    </row>
    <row r="3943" spans="1:40" x14ac:dyDescent="0.25">
      <c r="A3943" t="str">
        <f>"20190303162858520"</f>
        <v>20190303162858520</v>
      </c>
      <c r="B3943" t="str">
        <f>"1551601738505379"</f>
        <v>1551601738505379</v>
      </c>
      <c r="C3943" t="s">
        <v>40</v>
      </c>
      <c r="D3943">
        <v>5.1129189999999998</v>
      </c>
      <c r="E3943">
        <v>0.57118019999999903</v>
      </c>
      <c r="F3943" t="s">
        <v>56</v>
      </c>
      <c r="G3943">
        <v>-205.91239999999999</v>
      </c>
      <c r="H3943" s="1">
        <v>-7.3385740000000001E-6</v>
      </c>
      <c r="I3943">
        <v>140.21360000000001</v>
      </c>
      <c r="J3943">
        <v>-193.3099</v>
      </c>
      <c r="K3943">
        <v>1.1132390000000001</v>
      </c>
      <c r="L3943">
        <v>155.51339999999999</v>
      </c>
      <c r="M3943">
        <v>-0.24132339999999999</v>
      </c>
      <c r="N3943">
        <v>-1.4582599999999999E-2</v>
      </c>
      <c r="O3943">
        <v>-0.97033519999999895</v>
      </c>
      <c r="P3943">
        <v>-0.49426029999999999</v>
      </c>
      <c r="Q3943">
        <v>0.148306299999999</v>
      </c>
      <c r="R3943">
        <v>-0.85657019999999995</v>
      </c>
      <c r="S3943">
        <v>-1.965408</v>
      </c>
      <c r="T3943">
        <v>-0.1730013</v>
      </c>
      <c r="U3943">
        <v>-2.4028779999999998</v>
      </c>
      <c r="V3943">
        <v>0.2760399</v>
      </c>
      <c r="W3943">
        <v>0.15677629999999901</v>
      </c>
      <c r="X3943">
        <v>0.94827379999999994</v>
      </c>
      <c r="Y3943">
        <v>0.42679080000000003</v>
      </c>
      <c r="Z3943">
        <v>4.3666669999999998E-2</v>
      </c>
      <c r="AA3943">
        <v>0.90329559999999998</v>
      </c>
      <c r="AB3943">
        <v>29</v>
      </c>
      <c r="AC3943">
        <v>-12.6024999999999</v>
      </c>
      <c r="AD3943">
        <v>-1.1132463385739999</v>
      </c>
      <c r="AE3943">
        <v>-15.2997999999999</v>
      </c>
      <c r="AF3943">
        <v>8.5105131531526492</v>
      </c>
      <c r="AG3943">
        <v>-1.1132463385739999</v>
      </c>
      <c r="AH3943">
        <v>17.8328655991352</v>
      </c>
      <c r="AI3943">
        <v>93.224615368797998</v>
      </c>
      <c r="AJ3943">
        <v>64.4877710003489</v>
      </c>
      <c r="AK3943">
        <v>19.790887979500798</v>
      </c>
      <c r="AL3943">
        <v>80.980169773807006</v>
      </c>
      <c r="AM3943">
        <v>73.769866995314899</v>
      </c>
      <c r="AN3943">
        <v>1.00000001720007</v>
      </c>
    </row>
    <row r="3944" spans="1:40" x14ac:dyDescent="0.25">
      <c r="A3944" t="str">
        <f>"20190303162858531"</f>
        <v>20190303162858531</v>
      </c>
      <c r="B3944" t="str">
        <f>"1551601738525875"</f>
        <v>1551601738525875</v>
      </c>
      <c r="C3944" t="s">
        <v>40</v>
      </c>
      <c r="D3944">
        <v>5.1801050000000002</v>
      </c>
      <c r="E3944">
        <v>0.57040900000000005</v>
      </c>
      <c r="F3944" t="s">
        <v>56</v>
      </c>
      <c r="G3944">
        <v>-206.1568</v>
      </c>
      <c r="H3944" s="1">
        <v>-7.19433999999999E-6</v>
      </c>
      <c r="I3944">
        <v>140.0778</v>
      </c>
      <c r="J3944">
        <v>-193.3536</v>
      </c>
      <c r="K3944">
        <v>1.1131420000000001</v>
      </c>
      <c r="L3944">
        <v>155.36199999999999</v>
      </c>
      <c r="M3944">
        <v>-0.2469652</v>
      </c>
      <c r="N3944">
        <v>-1.463209E-2</v>
      </c>
      <c r="O3944">
        <v>-0.96891419999999995</v>
      </c>
      <c r="P3944">
        <v>-0.50061049999999996</v>
      </c>
      <c r="Q3944">
        <v>0.14832709999999999</v>
      </c>
      <c r="R3944">
        <v>-0.85287080000000004</v>
      </c>
      <c r="S3944">
        <v>-1.985992</v>
      </c>
      <c r="T3944">
        <v>-0.17209579999999999</v>
      </c>
      <c r="U3944">
        <v>-2.3861849999999998</v>
      </c>
      <c r="V3944">
        <v>0.27761160000000001</v>
      </c>
      <c r="W3944">
        <v>0.15673860000000001</v>
      </c>
      <c r="X3944">
        <v>0.94782109999999997</v>
      </c>
      <c r="Y3944">
        <v>0.42924699999999999</v>
      </c>
      <c r="Z3944">
        <v>4.337502E-2</v>
      </c>
      <c r="AA3944">
        <v>0.90214499999999997</v>
      </c>
      <c r="AB3944">
        <v>29</v>
      </c>
      <c r="AC3944">
        <v>-12.8032</v>
      </c>
      <c r="AD3944">
        <v>-1.11314919434</v>
      </c>
      <c r="AE3944">
        <v>-15.284199999999901</v>
      </c>
      <c r="AF3944">
        <v>8.6046373285107993</v>
      </c>
      <c r="AG3944">
        <v>-1.11314919434</v>
      </c>
      <c r="AH3944">
        <v>17.917093876308599</v>
      </c>
      <c r="AI3944">
        <v>93.205456773723796</v>
      </c>
      <c r="AJ3944">
        <v>64.347475757932401</v>
      </c>
      <c r="AK3944">
        <v>19.9073136725304</v>
      </c>
      <c r="AL3944">
        <v>80.982356828758995</v>
      </c>
      <c r="AM3944">
        <v>73.674981742219401</v>
      </c>
      <c r="AN3944">
        <v>1.0000000133948601</v>
      </c>
    </row>
    <row r="3945" spans="1:40" x14ac:dyDescent="0.25">
      <c r="A3945" t="str">
        <f>"20190303162858552"</f>
        <v>20190303162858552</v>
      </c>
      <c r="B3945" t="str">
        <f>"1551601738545395"</f>
        <v>1551601738545395</v>
      </c>
      <c r="C3945" t="s">
        <v>40</v>
      </c>
      <c r="D3945">
        <v>5.1936920000000004</v>
      </c>
      <c r="E3945">
        <v>0.56965030000000005</v>
      </c>
      <c r="F3945" t="s">
        <v>56</v>
      </c>
      <c r="G3945">
        <v>-205.67</v>
      </c>
      <c r="H3945" s="1">
        <v>-7.5795250000000001E-6</v>
      </c>
      <c r="I3945">
        <v>140.7191</v>
      </c>
      <c r="J3945">
        <v>-193.42939999999999</v>
      </c>
      <c r="K3945">
        <v>1.1129739999999999</v>
      </c>
      <c r="L3945">
        <v>155.10650000000001</v>
      </c>
      <c r="M3945">
        <v>-0.25663859999999999</v>
      </c>
      <c r="N3945">
        <v>-1.471195E-2</v>
      </c>
      <c r="O3945">
        <v>-0.96639560000000002</v>
      </c>
      <c r="P3945">
        <v>-0.51157980000000003</v>
      </c>
      <c r="Q3945">
        <v>0.14852750000000001</v>
      </c>
      <c r="R3945">
        <v>-0.84630139999999998</v>
      </c>
      <c r="S3945">
        <v>-1.9984440000000001</v>
      </c>
      <c r="T3945">
        <v>-0.180618</v>
      </c>
      <c r="U3945">
        <v>-2.375931</v>
      </c>
      <c r="V3945">
        <v>0.28045819999999999</v>
      </c>
      <c r="W3945">
        <v>0.15682950000000001</v>
      </c>
      <c r="X3945">
        <v>0.94696769999999997</v>
      </c>
      <c r="Y3945">
        <v>0.42481570000000002</v>
      </c>
      <c r="Z3945">
        <v>4.610359E-2</v>
      </c>
      <c r="AA3945">
        <v>0.90410520000000005</v>
      </c>
      <c r="AB3945">
        <v>29</v>
      </c>
      <c r="AC3945">
        <v>-12.240600000000001</v>
      </c>
      <c r="AD3945">
        <v>-1.112981579525</v>
      </c>
      <c r="AE3945">
        <v>-14.3874</v>
      </c>
      <c r="AF3945">
        <v>8.1096269833253398</v>
      </c>
      <c r="AG3945">
        <v>-1.112981579525</v>
      </c>
      <c r="AH3945">
        <v>16.988198919716101</v>
      </c>
      <c r="AI3945">
        <v>93.383607264510701</v>
      </c>
      <c r="AJ3945">
        <v>64.4816715587164</v>
      </c>
      <c r="AK3945">
        <v>18.8574568895407</v>
      </c>
      <c r="AL3945">
        <v>80.977083844656093</v>
      </c>
      <c r="AM3945">
        <v>73.502581652507303</v>
      </c>
      <c r="AN3945">
        <v>1.00000005943038</v>
      </c>
    </row>
    <row r="3946" spans="1:40" x14ac:dyDescent="0.25">
      <c r="A3946" t="str">
        <f>"20190303162858564"</f>
        <v>20190303162858564</v>
      </c>
      <c r="B3946" t="str">
        <f>"1551601738555155"</f>
        <v>1551601738555155</v>
      </c>
      <c r="C3946" t="s">
        <v>40</v>
      </c>
      <c r="D3946">
        <v>5.2145729999999997</v>
      </c>
      <c r="E3946">
        <v>0.56926509999999997</v>
      </c>
      <c r="F3946" t="s">
        <v>56</v>
      </c>
      <c r="G3946">
        <v>-205.42429999999999</v>
      </c>
      <c r="H3946" s="1">
        <v>-7.8031960000000008E-6</v>
      </c>
      <c r="I3946">
        <v>141.15369999999999</v>
      </c>
      <c r="J3946">
        <v>-193.47710000000001</v>
      </c>
      <c r="K3946">
        <v>1.11287</v>
      </c>
      <c r="L3946">
        <v>154.94970000000001</v>
      </c>
      <c r="M3946">
        <v>-0.26266499999999998</v>
      </c>
      <c r="N3946">
        <v>-1.4758830000000001E-2</v>
      </c>
      <c r="O3946">
        <v>-0.96477420000000003</v>
      </c>
      <c r="P3946">
        <v>-0.51767220000000003</v>
      </c>
      <c r="Q3946">
        <v>0.14875070000000001</v>
      </c>
      <c r="R3946">
        <v>-0.84254899999999999</v>
      </c>
      <c r="S3946">
        <v>-2.0239720000000001</v>
      </c>
      <c r="T3946">
        <v>-0.18779979999999999</v>
      </c>
      <c r="U3946">
        <v>-2.3543400000000001</v>
      </c>
      <c r="V3946">
        <v>0.28143790000000002</v>
      </c>
      <c r="W3946">
        <v>0.15700140000000001</v>
      </c>
      <c r="X3946">
        <v>0.9466485</v>
      </c>
      <c r="Y3946">
        <v>0.42881550000000002</v>
      </c>
      <c r="Z3946">
        <v>4.8490480000000002E-2</v>
      </c>
      <c r="AA3946">
        <v>0.90208980000000005</v>
      </c>
      <c r="AB3946">
        <v>29</v>
      </c>
      <c r="AC3946">
        <v>-11.947199999999899</v>
      </c>
      <c r="AD3946">
        <v>-1.112877803196</v>
      </c>
      <c r="AE3946">
        <v>-13.795999999999999</v>
      </c>
      <c r="AF3946">
        <v>7.8742047901084904</v>
      </c>
      <c r="AG3946">
        <v>-1.112877803196</v>
      </c>
      <c r="AH3946">
        <v>16.388985830681602</v>
      </c>
      <c r="AI3946">
        <v>93.502482422438803</v>
      </c>
      <c r="AJ3946">
        <v>64.337711763412699</v>
      </c>
      <c r="AK3946">
        <v>18.2164885375776</v>
      </c>
      <c r="AL3946">
        <v>80.967111136064901</v>
      </c>
      <c r="AM3946">
        <v>73.442825220314901</v>
      </c>
      <c r="AN3946">
        <v>1.0000000568553</v>
      </c>
    </row>
    <row r="3947" spans="1:40" x14ac:dyDescent="0.25">
      <c r="A3947" t="str">
        <f>"20190303162858576"</f>
        <v>20190303162858576</v>
      </c>
      <c r="B3947" t="str">
        <f>"1551601738565892"</f>
        <v>1551601738565892</v>
      </c>
      <c r="C3947" t="s">
        <v>40</v>
      </c>
      <c r="D3947">
        <v>5.1145180000000003</v>
      </c>
      <c r="E3947">
        <v>0.56978819999999997</v>
      </c>
      <c r="F3947" t="s">
        <v>56</v>
      </c>
      <c r="G3947">
        <v>-205.3434</v>
      </c>
      <c r="H3947" s="1">
        <v>-7.8817779999999995E-6</v>
      </c>
      <c r="I3947">
        <v>141.31549999999999</v>
      </c>
      <c r="J3947">
        <v>-193.52440000000001</v>
      </c>
      <c r="K3947">
        <v>1.112771</v>
      </c>
      <c r="L3947">
        <v>154.79939999999999</v>
      </c>
      <c r="M3947">
        <v>-0.26855289999999998</v>
      </c>
      <c r="N3947">
        <v>-1.480253E-2</v>
      </c>
      <c r="O3947">
        <v>-0.96315150000000005</v>
      </c>
      <c r="P3947">
        <v>-0.52378359999999902</v>
      </c>
      <c r="Q3947">
        <v>0.14923739999999999</v>
      </c>
      <c r="R3947">
        <v>-0.83867719999999901</v>
      </c>
      <c r="S3947">
        <v>-2.0383149999999999</v>
      </c>
      <c r="T3947">
        <v>-0.1911631</v>
      </c>
      <c r="U3947">
        <v>-2.3420100000000001</v>
      </c>
      <c r="V3947">
        <v>0.28261180000000002</v>
      </c>
      <c r="W3947">
        <v>0.15743180000000001</v>
      </c>
      <c r="X3947">
        <v>0.94622709999999999</v>
      </c>
      <c r="Y3947">
        <v>0.42875540000000001</v>
      </c>
      <c r="Z3947">
        <v>4.9579060000000001E-2</v>
      </c>
      <c r="AA3947">
        <v>0.90205919999999895</v>
      </c>
      <c r="AB3947">
        <v>29</v>
      </c>
      <c r="AC3947">
        <v>-11.8189999999999</v>
      </c>
      <c r="AD3947">
        <v>-1.112778881778</v>
      </c>
      <c r="AE3947">
        <v>-13.4839</v>
      </c>
      <c r="AF3947">
        <v>7.7334101140991498</v>
      </c>
      <c r="AG3947">
        <v>-1.112778881778</v>
      </c>
      <c r="AH3947">
        <v>16.1008188959017</v>
      </c>
      <c r="AI3947">
        <v>93.564894268800202</v>
      </c>
      <c r="AJ3947">
        <v>64.344485644057301</v>
      </c>
      <c r="AK3947">
        <v>17.8963761122527</v>
      </c>
      <c r="AL3947">
        <v>80.942139644990704</v>
      </c>
      <c r="AM3947">
        <v>73.370573058142298</v>
      </c>
      <c r="AN3947">
        <v>0.99999996296244398</v>
      </c>
    </row>
    <row r="3948" spans="1:40" x14ac:dyDescent="0.25">
      <c r="A3948" t="str">
        <f>"20190303162858590"</f>
        <v>20190303162858590</v>
      </c>
      <c r="B3948" t="str">
        <f>"1551601738585411"</f>
        <v>1551601738585411</v>
      </c>
      <c r="C3948" t="s">
        <v>40</v>
      </c>
      <c r="D3948">
        <v>5.1530589999999998</v>
      </c>
      <c r="E3948">
        <v>0.56995620000000002</v>
      </c>
      <c r="F3948" t="s">
        <v>56</v>
      </c>
      <c r="G3948">
        <v>-205.70939999999999</v>
      </c>
      <c r="H3948" s="1">
        <v>-7.6457399999999997E-6</v>
      </c>
      <c r="I3948">
        <v>141.03620000000001</v>
      </c>
      <c r="J3948">
        <v>-193.57300000000001</v>
      </c>
      <c r="K3948">
        <v>1.1126739999999999</v>
      </c>
      <c r="L3948">
        <v>154.648</v>
      </c>
      <c r="M3948">
        <v>-0.27454309999999998</v>
      </c>
      <c r="N3948">
        <v>-1.48451E-2</v>
      </c>
      <c r="O3948">
        <v>-0.96146019999999999</v>
      </c>
      <c r="P3948">
        <v>-0.53015279999999998</v>
      </c>
      <c r="Q3948">
        <v>0.14956229999999901</v>
      </c>
      <c r="R3948">
        <v>-0.8346074</v>
      </c>
      <c r="S3948">
        <v>-2.0583800000000001</v>
      </c>
      <c r="T3948">
        <v>-0.1879789</v>
      </c>
      <c r="U3948">
        <v>-2.3249819999999999</v>
      </c>
      <c r="V3948">
        <v>0.28398879999999999</v>
      </c>
      <c r="W3948">
        <v>0.15769359999999999</v>
      </c>
      <c r="X3948">
        <v>0.94577120000000003</v>
      </c>
      <c r="Y3948">
        <v>0.43081259999999999</v>
      </c>
      <c r="Z3948">
        <v>4.8536160000000002E-2</v>
      </c>
      <c r="AA3948">
        <v>0.90113520000000003</v>
      </c>
      <c r="AB3948">
        <v>29</v>
      </c>
      <c r="AC3948">
        <v>-12.1364</v>
      </c>
      <c r="AD3948">
        <v>-1.1126816457399999</v>
      </c>
      <c r="AE3948">
        <v>-13.611799999999899</v>
      </c>
      <c r="AF3948">
        <v>7.9030932919986903</v>
      </c>
      <c r="AG3948">
        <v>-1.1126816457399999</v>
      </c>
      <c r="AH3948">
        <v>16.3600751247014</v>
      </c>
      <c r="AI3948">
        <v>93.504463538346201</v>
      </c>
      <c r="AJ3948">
        <v>64.216115134152105</v>
      </c>
      <c r="AK3948">
        <v>18.202994317218099</v>
      </c>
      <c r="AL3948">
        <v>80.926950545362601</v>
      </c>
      <c r="AM3948">
        <v>73.286448602776801</v>
      </c>
      <c r="AN3948">
        <v>1.00000003637791</v>
      </c>
    </row>
    <row r="3949" spans="1:40" x14ac:dyDescent="0.25">
      <c r="A3949" t="str">
        <f>"20190303162858606"</f>
        <v>20190303162858606</v>
      </c>
      <c r="B3949" t="str">
        <f>"1551601738595171"</f>
        <v>1551601738595171</v>
      </c>
      <c r="C3949" t="s">
        <v>40</v>
      </c>
      <c r="D3949">
        <v>5.1321379999999897</v>
      </c>
      <c r="E3949">
        <v>0.5697449</v>
      </c>
      <c r="F3949" t="s">
        <v>56</v>
      </c>
      <c r="G3949">
        <v>-206.16900000000001</v>
      </c>
      <c r="H3949" s="1">
        <v>-7.3392370000000004E-6</v>
      </c>
      <c r="I3949">
        <v>140.6472</v>
      </c>
      <c r="J3949">
        <v>-193.64259999999999</v>
      </c>
      <c r="K3949">
        <v>1.1125419999999999</v>
      </c>
      <c r="L3949">
        <v>154.43639999999999</v>
      </c>
      <c r="M3949">
        <v>-0.28303210000000001</v>
      </c>
      <c r="N3949">
        <v>-1.490227E-2</v>
      </c>
      <c r="O3949">
        <v>-0.95899469999999998</v>
      </c>
      <c r="P3949">
        <v>-0.54008049999999996</v>
      </c>
      <c r="Q3949">
        <v>0.15027760000000001</v>
      </c>
      <c r="R3949">
        <v>-0.82808850000000001</v>
      </c>
      <c r="S3949">
        <v>-2.0766450000000001</v>
      </c>
      <c r="T3949">
        <v>-0.18344250000000001</v>
      </c>
      <c r="U3949">
        <v>-2.308243</v>
      </c>
      <c r="V3949">
        <v>0.28703089999999998</v>
      </c>
      <c r="W3949">
        <v>0.15829019999999999</v>
      </c>
      <c r="X3949">
        <v>0.94475260000000005</v>
      </c>
      <c r="Y3949">
        <v>0.43007879999999998</v>
      </c>
      <c r="Z3949">
        <v>4.7026579999999998E-2</v>
      </c>
      <c r="AA3949">
        <v>0.90156570000000003</v>
      </c>
      <c r="AB3949">
        <v>29</v>
      </c>
      <c r="AC3949">
        <v>-12.526400000000001</v>
      </c>
      <c r="AD3949">
        <v>-1.1125493392369901</v>
      </c>
      <c r="AE3949">
        <v>-13.7891999999999</v>
      </c>
      <c r="AF3949">
        <v>8.0820406602581993</v>
      </c>
      <c r="AG3949">
        <v>-1.1125493392369901</v>
      </c>
      <c r="AH3949">
        <v>16.7114033255015</v>
      </c>
      <c r="AI3949">
        <v>93.429818590612399</v>
      </c>
      <c r="AJ3949">
        <v>64.190461140117804</v>
      </c>
      <c r="AK3949">
        <v>18.596455263675502</v>
      </c>
      <c r="AL3949">
        <v>80.892332769751206</v>
      </c>
      <c r="AM3949">
        <v>73.100382345896904</v>
      </c>
      <c r="AN3949">
        <v>1.0000000000888001</v>
      </c>
    </row>
    <row r="3950" spans="1:40" x14ac:dyDescent="0.25">
      <c r="A3950" t="str">
        <f>"20190303162858623"</f>
        <v>20190303162858623</v>
      </c>
      <c r="B3950" t="str">
        <f>"1551601738615666"</f>
        <v>1551601738615666</v>
      </c>
      <c r="C3950" t="s">
        <v>40</v>
      </c>
      <c r="D3950">
        <v>5.1280469999999996</v>
      </c>
      <c r="E3950">
        <v>0.56924640000000004</v>
      </c>
      <c r="F3950" t="s">
        <v>56</v>
      </c>
      <c r="G3950">
        <v>-206.5883</v>
      </c>
      <c r="H3950" s="1">
        <v>-7.0790279999999901E-6</v>
      </c>
      <c r="I3950">
        <v>140.36580000000001</v>
      </c>
      <c r="J3950">
        <v>-193.71090000000001</v>
      </c>
      <c r="K3950">
        <v>1.112411</v>
      </c>
      <c r="L3950">
        <v>154.23500000000001</v>
      </c>
      <c r="M3950">
        <v>-0.29124260000000002</v>
      </c>
      <c r="N3950">
        <v>-1.4954240000000001E-2</v>
      </c>
      <c r="O3950">
        <v>-0.95653239999999995</v>
      </c>
      <c r="P3950">
        <v>-0.54869880000000004</v>
      </c>
      <c r="Q3950">
        <v>0.1503023</v>
      </c>
      <c r="R3950">
        <v>-0.82239850000000003</v>
      </c>
      <c r="S3950">
        <v>-2.1019899999999998</v>
      </c>
      <c r="T3950">
        <v>-0.18064450000000001</v>
      </c>
      <c r="U3950">
        <v>-2.284637</v>
      </c>
      <c r="V3950">
        <v>0.28885450000000001</v>
      </c>
      <c r="W3950">
        <v>0.1582266</v>
      </c>
      <c r="X3950">
        <v>0.94420729999999997</v>
      </c>
      <c r="Y3950">
        <v>0.4324269</v>
      </c>
      <c r="Z3950">
        <v>4.6128370000000002E-2</v>
      </c>
      <c r="AA3950">
        <v>0.90048830000000002</v>
      </c>
      <c r="AB3950">
        <v>29</v>
      </c>
      <c r="AC3950">
        <v>-12.8773999999999</v>
      </c>
      <c r="AD3950">
        <v>-1.1124180790279901</v>
      </c>
      <c r="AE3950">
        <v>-13.869199999999999</v>
      </c>
      <c r="AF3950">
        <v>8.2507684241627395</v>
      </c>
      <c r="AG3950">
        <v>-1.1124180790279901</v>
      </c>
      <c r="AH3950">
        <v>16.9600937192385</v>
      </c>
      <c r="AI3950">
        <v>93.375465751375202</v>
      </c>
      <c r="AJ3950">
        <v>64.0579448493706</v>
      </c>
      <c r="AK3950">
        <v>18.893317139588401</v>
      </c>
      <c r="AL3950">
        <v>80.896023310063399</v>
      </c>
      <c r="AM3950">
        <v>72.989936175481603</v>
      </c>
      <c r="AN3950">
        <v>1.00000000224555</v>
      </c>
    </row>
    <row r="3951" spans="1:40" x14ac:dyDescent="0.25">
      <c r="A3951" t="str">
        <f>"20190303162858642"</f>
        <v>20190303162858642</v>
      </c>
      <c r="B3951" t="str">
        <f>"1551601738635077"</f>
        <v>1551601738635077</v>
      </c>
      <c r="C3951" t="s">
        <v>40</v>
      </c>
      <c r="D3951">
        <v>5.0908660000000001</v>
      </c>
      <c r="E3951">
        <v>0.56865180000000004</v>
      </c>
      <c r="F3951" t="s">
        <v>56</v>
      </c>
      <c r="G3951">
        <v>-206.9256</v>
      </c>
      <c r="H3951" s="1">
        <v>-6.8681910000000001E-6</v>
      </c>
      <c r="I3951">
        <v>140.13380000000001</v>
      </c>
      <c r="J3951">
        <v>-193.79349999999999</v>
      </c>
      <c r="K3951">
        <v>1.11226</v>
      </c>
      <c r="L3951">
        <v>153.9999</v>
      </c>
      <c r="M3951">
        <v>-0.3010236</v>
      </c>
      <c r="N3951">
        <v>-1.501328E-2</v>
      </c>
      <c r="O3951">
        <v>-0.95349850000000003</v>
      </c>
      <c r="P3951">
        <v>-0.56047740000000001</v>
      </c>
      <c r="Q3951">
        <v>0.1502521</v>
      </c>
      <c r="R3951">
        <v>-0.81442590000000004</v>
      </c>
      <c r="S3951">
        <v>-2.122223</v>
      </c>
      <c r="T3951">
        <v>-0.17864849999999999</v>
      </c>
      <c r="U3951">
        <v>-2.2645870000000001</v>
      </c>
      <c r="V3951">
        <v>0.29283340000000002</v>
      </c>
      <c r="W3951">
        <v>0.15802369999999999</v>
      </c>
      <c r="X3951">
        <v>0.94301489999999999</v>
      </c>
      <c r="Y3951">
        <v>0.43147639999999998</v>
      </c>
      <c r="Z3951">
        <v>4.545884E-2</v>
      </c>
      <c r="AA3951">
        <v>0.9009781</v>
      </c>
      <c r="AB3951">
        <v>29</v>
      </c>
      <c r="AC3951">
        <v>-13.132099999999999</v>
      </c>
      <c r="AD3951">
        <v>-1.112266868191</v>
      </c>
      <c r="AE3951">
        <v>-13.8660999999999</v>
      </c>
      <c r="AF3951">
        <v>8.3201332367965595</v>
      </c>
      <c r="AG3951">
        <v>-1.112266868191</v>
      </c>
      <c r="AH3951">
        <v>17.118248153165801</v>
      </c>
      <c r="AI3951">
        <v>93.344478189725294</v>
      </c>
      <c r="AJ3951">
        <v>64.078448595056898</v>
      </c>
      <c r="AK3951">
        <v>19.065575640338899</v>
      </c>
      <c r="AL3951">
        <v>80.907796684992903</v>
      </c>
      <c r="AM3951">
        <v>72.748919941128705</v>
      </c>
      <c r="AN3951">
        <v>0.99999999576962995</v>
      </c>
    </row>
    <row r="3952" spans="1:40" x14ac:dyDescent="0.25">
      <c r="A3952" t="str">
        <f>"20190303162858665"</f>
        <v>20190303162858665</v>
      </c>
      <c r="B3952" t="str">
        <f>"1551601738655573"</f>
        <v>1551601738655573</v>
      </c>
      <c r="C3952" t="s">
        <v>40</v>
      </c>
      <c r="D3952">
        <v>5.0226329999999999</v>
      </c>
      <c r="E3952">
        <v>0.56811330000000004</v>
      </c>
      <c r="F3952" t="s">
        <v>56</v>
      </c>
      <c r="G3952">
        <v>-207.18790000000001</v>
      </c>
      <c r="H3952" s="1">
        <v>-6.7333420000000003E-6</v>
      </c>
      <c r="I3952">
        <v>140.06360000000001</v>
      </c>
      <c r="J3952">
        <v>-193.8939</v>
      </c>
      <c r="K3952">
        <v>1.112082</v>
      </c>
      <c r="L3952">
        <v>153.72470000000001</v>
      </c>
      <c r="M3952">
        <v>-0.31271359999999998</v>
      </c>
      <c r="N3952">
        <v>-1.5079789999999999E-2</v>
      </c>
      <c r="O3952">
        <v>-0.94972789999999996</v>
      </c>
      <c r="P3952">
        <v>-0.57420230000000005</v>
      </c>
      <c r="Q3952">
        <v>0.1498891</v>
      </c>
      <c r="R3952">
        <v>-0.80487600000000004</v>
      </c>
      <c r="S3952">
        <v>-2.1499630000000001</v>
      </c>
      <c r="T3952">
        <v>-0.1785321</v>
      </c>
      <c r="U3952">
        <v>-2.2369379999999999</v>
      </c>
      <c r="V3952">
        <v>0.29728090000000001</v>
      </c>
      <c r="W3952">
        <v>0.157479799999999</v>
      </c>
      <c r="X3952">
        <v>0.94171340000000003</v>
      </c>
      <c r="Y3952">
        <v>0.43176609999999999</v>
      </c>
      <c r="Z3952">
        <v>4.5416680000000001E-2</v>
      </c>
      <c r="AA3952">
        <v>0.90084149999999996</v>
      </c>
      <c r="AB3952">
        <v>29</v>
      </c>
      <c r="AC3952">
        <v>-13.294</v>
      </c>
      <c r="AD3952">
        <v>-1.112088733342</v>
      </c>
      <c r="AE3952">
        <v>-13.661099999999999</v>
      </c>
      <c r="AF3952">
        <v>8.3262799041702706</v>
      </c>
      <c r="AG3952">
        <v>-1.112088733342</v>
      </c>
      <c r="AH3952">
        <v>17.0753694175974</v>
      </c>
      <c r="AI3952">
        <v>93.350241997054695</v>
      </c>
      <c r="AJ3952">
        <v>64.005243227866202</v>
      </c>
      <c r="AK3952">
        <v>19.029764032715601</v>
      </c>
      <c r="AL3952">
        <v>80.939354812097804</v>
      </c>
      <c r="AM3952">
        <v>72.480090374491496</v>
      </c>
      <c r="AN3952">
        <v>0.99999997432620402</v>
      </c>
    </row>
    <row r="3953" spans="1:40" x14ac:dyDescent="0.25">
      <c r="A3953" t="str">
        <f>"20190303162858678"</f>
        <v>20190303162858678</v>
      </c>
      <c r="B3953" t="str">
        <f>"1551601738665333"</f>
        <v>1551601738665333</v>
      </c>
      <c r="C3953" t="s">
        <v>40</v>
      </c>
      <c r="D3953">
        <v>5.0340999999999996</v>
      </c>
      <c r="E3953">
        <v>0.56780719999999996</v>
      </c>
      <c r="F3953" t="s">
        <v>56</v>
      </c>
      <c r="G3953">
        <v>-207.43989999999999</v>
      </c>
      <c r="H3953" s="1">
        <v>-6.618531E-6</v>
      </c>
      <c r="I3953">
        <v>140.05199999999999</v>
      </c>
      <c r="J3953">
        <v>-193.95410000000001</v>
      </c>
      <c r="K3953">
        <v>1.111977</v>
      </c>
      <c r="L3953">
        <v>153.56530000000001</v>
      </c>
      <c r="M3953">
        <v>-0.31961859999999997</v>
      </c>
      <c r="N3953">
        <v>-1.5114560000000001E-2</v>
      </c>
      <c r="O3953">
        <v>-0.94742579999999998</v>
      </c>
      <c r="P3953">
        <v>-0.58174950000000003</v>
      </c>
      <c r="Q3953">
        <v>0.1494462</v>
      </c>
      <c r="R3953">
        <v>-0.79952100000000004</v>
      </c>
      <c r="S3953">
        <v>-2.1829070000000002</v>
      </c>
      <c r="T3953">
        <v>-0.17921089999999901</v>
      </c>
      <c r="U3953">
        <v>-2.2033230000000001</v>
      </c>
      <c r="V3953">
        <v>0.29929349999999999</v>
      </c>
      <c r="W3953">
        <v>0.15694159999999999</v>
      </c>
      <c r="X3953">
        <v>0.94116560000000005</v>
      </c>
      <c r="Y3953">
        <v>0.43883860000000002</v>
      </c>
      <c r="Z3953">
        <v>4.5741209999999997E-2</v>
      </c>
      <c r="AA3953">
        <v>0.897401</v>
      </c>
      <c r="AB3953">
        <v>28</v>
      </c>
      <c r="AC3953">
        <v>-13.4857999999999</v>
      </c>
      <c r="AD3953">
        <v>-1.1119836185309999</v>
      </c>
      <c r="AE3953">
        <v>-13.5132999999999</v>
      </c>
      <c r="AF3953">
        <v>8.4300589595089299</v>
      </c>
      <c r="AG3953">
        <v>-1.1119836185309999</v>
      </c>
      <c r="AH3953">
        <v>17.057247651134599</v>
      </c>
      <c r="AI3953">
        <v>93.344749926228303</v>
      </c>
      <c r="AJ3953">
        <v>63.700426297874301</v>
      </c>
      <c r="AK3953">
        <v>19.0591736195674</v>
      </c>
      <c r="AL3953">
        <v>80.970579693768997</v>
      </c>
      <c r="AM3953">
        <v>72.359179023147703</v>
      </c>
      <c r="AN3953">
        <v>0.99999997578808397</v>
      </c>
    </row>
    <row r="3954" spans="1:40" x14ac:dyDescent="0.25">
      <c r="A3954" t="str">
        <f>"20190303162858696"</f>
        <v>20190303162858696</v>
      </c>
      <c r="B3954" t="str">
        <f>"1551601738685830"</f>
        <v>1551601738685830</v>
      </c>
      <c r="C3954" t="s">
        <v>40</v>
      </c>
      <c r="D3954">
        <v>5.015936</v>
      </c>
      <c r="E3954">
        <v>0.56721560000000004</v>
      </c>
      <c r="F3954" t="s">
        <v>56</v>
      </c>
      <c r="G3954">
        <v>-207.47219999999999</v>
      </c>
      <c r="H3954" s="1">
        <v>-6.6302069999999996E-6</v>
      </c>
      <c r="I3954">
        <v>140.15049999999999</v>
      </c>
      <c r="J3954">
        <v>-194.03909999999999</v>
      </c>
      <c r="K3954">
        <v>1.111831</v>
      </c>
      <c r="L3954">
        <v>153.346</v>
      </c>
      <c r="M3954">
        <v>-0.32923380000000002</v>
      </c>
      <c r="N3954">
        <v>-1.5158019999999999E-2</v>
      </c>
      <c r="O3954">
        <v>-0.94412700000000005</v>
      </c>
      <c r="P3954">
        <v>-0.59314180000000005</v>
      </c>
      <c r="Q3954">
        <v>0.1481944</v>
      </c>
      <c r="R3954">
        <v>-0.79134199999999999</v>
      </c>
      <c r="S3954">
        <v>-2.2012330000000002</v>
      </c>
      <c r="T3954">
        <v>-0.18107119999999999</v>
      </c>
      <c r="U3954">
        <v>-2.184418</v>
      </c>
      <c r="V3954">
        <v>0.3031586</v>
      </c>
      <c r="W3954">
        <v>0.15552859999999999</v>
      </c>
      <c r="X3954">
        <v>0.94016259999999996</v>
      </c>
      <c r="Y3954">
        <v>0.43730150000000001</v>
      </c>
      <c r="Z3954">
        <v>4.6321000000000001E-2</v>
      </c>
      <c r="AA3954">
        <v>0.89812119999999995</v>
      </c>
      <c r="AB3954">
        <v>28</v>
      </c>
      <c r="AC3954">
        <v>-13.4330999999999</v>
      </c>
      <c r="AD3954">
        <v>-1.1118376302069899</v>
      </c>
      <c r="AE3954">
        <v>-13.195499999999999</v>
      </c>
      <c r="AF3954">
        <v>8.3101312553582503</v>
      </c>
      <c r="AG3954">
        <v>-1.1118376302069899</v>
      </c>
      <c r="AH3954">
        <v>16.824137966476599</v>
      </c>
      <c r="AI3954">
        <v>93.390919003957706</v>
      </c>
      <c r="AJ3954">
        <v>63.713346217275699</v>
      </c>
      <c r="AK3954">
        <v>18.797502033841202</v>
      </c>
      <c r="AL3954">
        <v>81.052545387503201</v>
      </c>
      <c r="AM3954">
        <v>72.127908601348096</v>
      </c>
      <c r="AN3954">
        <v>0.99999999830533903</v>
      </c>
    </row>
    <row r="3955" spans="1:40" x14ac:dyDescent="0.25">
      <c r="A3955" t="str">
        <f>"20190303162858710"</f>
        <v>20190303162858710</v>
      </c>
      <c r="B3955" t="str">
        <f>"1551601738705349"</f>
        <v>1551601738705349</v>
      </c>
      <c r="C3955" t="s">
        <v>40</v>
      </c>
      <c r="D3955">
        <v>5.0026229999999998</v>
      </c>
      <c r="E3955">
        <v>0.56736529999999996</v>
      </c>
      <c r="F3955" t="s">
        <v>56</v>
      </c>
      <c r="G3955">
        <v>-207.5564</v>
      </c>
      <c r="H3955" s="1">
        <v>-6.62428199999999E-6</v>
      </c>
      <c r="I3955">
        <v>140.26949999999999</v>
      </c>
      <c r="J3955">
        <v>-194.10380000000001</v>
      </c>
      <c r="K3955">
        <v>1.111728</v>
      </c>
      <c r="L3955">
        <v>153.18340000000001</v>
      </c>
      <c r="M3955">
        <v>-0.33645789999999998</v>
      </c>
      <c r="N3955">
        <v>-1.518741E-2</v>
      </c>
      <c r="O3955">
        <v>-0.94157590000000002</v>
      </c>
      <c r="P3955">
        <v>-0.60066239999999904</v>
      </c>
      <c r="Q3955">
        <v>0.14781910000000001</v>
      </c>
      <c r="R3955">
        <v>-0.7857189</v>
      </c>
      <c r="S3955">
        <v>-2.228043</v>
      </c>
      <c r="T3955">
        <v>-0.1832627</v>
      </c>
      <c r="U3955">
        <v>-2.1553800000000001</v>
      </c>
      <c r="V3955">
        <v>0.304930599999999</v>
      </c>
      <c r="W3955">
        <v>0.1550609</v>
      </c>
      <c r="X3955">
        <v>0.93966669999999997</v>
      </c>
      <c r="Y3955">
        <v>0.44181819999999999</v>
      </c>
      <c r="Z3955">
        <v>4.711431E-2</v>
      </c>
      <c r="AA3955">
        <v>0.89586659999999996</v>
      </c>
      <c r="AB3955">
        <v>28</v>
      </c>
      <c r="AC3955">
        <v>-13.452599999999901</v>
      </c>
      <c r="AD3955">
        <v>-1.1117346242820001</v>
      </c>
      <c r="AE3955">
        <v>-12.9139</v>
      </c>
      <c r="AF3955">
        <v>8.29314542387492</v>
      </c>
      <c r="AG3955">
        <v>-1.1117346242820001</v>
      </c>
      <c r="AH3955">
        <v>16.628475805993101</v>
      </c>
      <c r="AI3955">
        <v>93.423884532076698</v>
      </c>
      <c r="AJ3955">
        <v>63.493120028484</v>
      </c>
      <c r="AK3955">
        <v>18.6150053055824</v>
      </c>
      <c r="AL3955">
        <v>81.079672003427504</v>
      </c>
      <c r="AM3955">
        <v>72.021270217096202</v>
      </c>
      <c r="AN3955">
        <v>1.00000003030702</v>
      </c>
    </row>
    <row r="3956" spans="1:40" x14ac:dyDescent="0.25">
      <c r="A3956" t="str">
        <f>"20190303162858723"</f>
        <v>20190303162858723</v>
      </c>
      <c r="B3956" t="str">
        <f>"1551601738715110"</f>
        <v>1551601738715110</v>
      </c>
      <c r="C3956" t="s">
        <v>40</v>
      </c>
      <c r="D3956">
        <v>5.2131230000000004</v>
      </c>
      <c r="E3956">
        <v>0.56837419999999905</v>
      </c>
      <c r="F3956" t="s">
        <v>56</v>
      </c>
      <c r="G3956">
        <v>-207.86189999999999</v>
      </c>
      <c r="H3956" s="1">
        <v>-6.4551750000000004E-6</v>
      </c>
      <c r="I3956">
        <v>140.142</v>
      </c>
      <c r="J3956">
        <v>-194.1721</v>
      </c>
      <c r="K3956">
        <v>1.1116220000000001</v>
      </c>
      <c r="L3956">
        <v>153.01499999999999</v>
      </c>
      <c r="M3956">
        <v>-0.34401009999999999</v>
      </c>
      <c r="N3956">
        <v>-1.521574E-2</v>
      </c>
      <c r="O3956">
        <v>-0.93884270000000003</v>
      </c>
      <c r="P3956">
        <v>-0.60831219999999997</v>
      </c>
      <c r="Q3956">
        <v>0.146890299999999</v>
      </c>
      <c r="R3956">
        <v>-0.77998719999999999</v>
      </c>
      <c r="S3956">
        <v>-2.2497250000000002</v>
      </c>
      <c r="T3956">
        <v>-0.18179129999999999</v>
      </c>
      <c r="U3956">
        <v>-2.1325379999999998</v>
      </c>
      <c r="V3956">
        <v>0.30652499999999999</v>
      </c>
      <c r="W3956">
        <v>0.15404189999999901</v>
      </c>
      <c r="X3956">
        <v>0.93931549999999997</v>
      </c>
      <c r="Y3956">
        <v>0.44373170000000001</v>
      </c>
      <c r="Z3956">
        <v>4.6650440000000001E-2</v>
      </c>
      <c r="AA3956">
        <v>0.89494470000000004</v>
      </c>
      <c r="AB3956">
        <v>28</v>
      </c>
      <c r="AC3956">
        <v>-13.6897999999999</v>
      </c>
      <c r="AD3956">
        <v>-1.111628455175</v>
      </c>
      <c r="AE3956">
        <v>-12.8729999999999</v>
      </c>
      <c r="AF3956">
        <v>8.3957219440620801</v>
      </c>
      <c r="AG3956">
        <v>-1.111628455175</v>
      </c>
      <c r="AH3956">
        <v>16.7385209295268</v>
      </c>
      <c r="AI3956">
        <v>93.397237849198405</v>
      </c>
      <c r="AJ3956">
        <v>63.362532763485099</v>
      </c>
      <c r="AK3956">
        <v>18.759049754520301</v>
      </c>
      <c r="AL3956">
        <v>81.138766574419506</v>
      </c>
      <c r="AM3956">
        <v>71.927042728710603</v>
      </c>
      <c r="AN3956">
        <v>1.0000000455604201</v>
      </c>
    </row>
    <row r="3957" spans="1:40" x14ac:dyDescent="0.25">
      <c r="A3957" t="str">
        <f>"20190303162858738"</f>
        <v>20190303162858738</v>
      </c>
      <c r="B3957" t="str">
        <f>"1551601738725815"</f>
        <v>1551601738725815</v>
      </c>
      <c r="C3957" t="s">
        <v>40</v>
      </c>
      <c r="D3957">
        <v>5.1835469999999999</v>
      </c>
      <c r="E3957">
        <v>0.56895390000000001</v>
      </c>
      <c r="F3957" t="s">
        <v>56</v>
      </c>
      <c r="G3957">
        <v>-207.1584</v>
      </c>
      <c r="H3957" s="1">
        <v>-6.993415E-6</v>
      </c>
      <c r="I3957">
        <v>140.9992</v>
      </c>
      <c r="J3957">
        <v>-194.24420000000001</v>
      </c>
      <c r="K3957">
        <v>1.111518</v>
      </c>
      <c r="L3957">
        <v>152.8432</v>
      </c>
      <c r="M3957">
        <v>-0.351854099999999</v>
      </c>
      <c r="N3957">
        <v>-1.524437E-2</v>
      </c>
      <c r="O3957">
        <v>-0.9359307</v>
      </c>
      <c r="P3957">
        <v>-0.61642959999999902</v>
      </c>
      <c r="Q3957">
        <v>0.1461818</v>
      </c>
      <c r="R3957">
        <v>-0.77372189999999996</v>
      </c>
      <c r="S3957">
        <v>-2.2771300000000001</v>
      </c>
      <c r="T3957">
        <v>-0.19492300000000001</v>
      </c>
      <c r="U3957">
        <v>-2.1069640000000001</v>
      </c>
      <c r="V3957">
        <v>0.30845850000000002</v>
      </c>
      <c r="W3957">
        <v>0.1532319</v>
      </c>
      <c r="X3957">
        <v>0.93881479999999995</v>
      </c>
      <c r="Y3957">
        <v>0.44685160000000002</v>
      </c>
      <c r="Z3957">
        <v>5.0930169999999997E-2</v>
      </c>
      <c r="AA3957">
        <v>0.89315719999999998</v>
      </c>
      <c r="AB3957">
        <v>28</v>
      </c>
      <c r="AC3957">
        <v>-12.9141999999999</v>
      </c>
      <c r="AD3957">
        <v>-1.111524993415</v>
      </c>
      <c r="AE3957">
        <v>-11.8439999999999</v>
      </c>
      <c r="AF3957">
        <v>7.88861576645124</v>
      </c>
      <c r="AG3957">
        <v>-1.111524993415</v>
      </c>
      <c r="AH3957">
        <v>15.568252862488601</v>
      </c>
      <c r="AI3957">
        <v>93.644099503548702</v>
      </c>
      <c r="AJ3957">
        <v>63.128134111869898</v>
      </c>
      <c r="AK3957">
        <v>17.488174396204801</v>
      </c>
      <c r="AL3957">
        <v>81.185732886225694</v>
      </c>
      <c r="AM3957">
        <v>71.811462168675803</v>
      </c>
      <c r="AN3957">
        <v>0.999999945049448</v>
      </c>
    </row>
    <row r="3958" spans="1:40" x14ac:dyDescent="0.25">
      <c r="A3958" t="str">
        <f>"20190303162858756"</f>
        <v>20190303162858756</v>
      </c>
      <c r="B3958" t="str">
        <f>"1551601738745334"</f>
        <v>1551601738745334</v>
      </c>
      <c r="C3958" t="s">
        <v>40</v>
      </c>
      <c r="D3958">
        <v>5.1252209999999998</v>
      </c>
      <c r="E3958">
        <v>0.56990909999999995</v>
      </c>
      <c r="F3958" t="s">
        <v>56</v>
      </c>
      <c r="G3958">
        <v>-206.6482</v>
      </c>
      <c r="H3958" s="1">
        <v>-7.387422E-6</v>
      </c>
      <c r="I3958">
        <v>141.63470000000001</v>
      </c>
      <c r="J3958">
        <v>-194.32929999999999</v>
      </c>
      <c r="K3958">
        <v>1.1113980000000001</v>
      </c>
      <c r="L3958">
        <v>152.64500000000001</v>
      </c>
      <c r="M3958">
        <v>-0.36101250000000001</v>
      </c>
      <c r="N3958">
        <v>-1.527744E-2</v>
      </c>
      <c r="O3958">
        <v>-0.93243580000000004</v>
      </c>
      <c r="P3958">
        <v>-0.62803549999999997</v>
      </c>
      <c r="Q3958">
        <v>0.14556929999999901</v>
      </c>
      <c r="R3958">
        <v>-0.76444829999999997</v>
      </c>
      <c r="S3958">
        <v>-2.3033139999999999</v>
      </c>
      <c r="T3958">
        <v>-0.20639930000000001</v>
      </c>
      <c r="U3958">
        <v>-2.0813139999999999</v>
      </c>
      <c r="V3958">
        <v>0.313415</v>
      </c>
      <c r="W3958">
        <v>0.15242329999999901</v>
      </c>
      <c r="X3958">
        <v>0.93730369999999996</v>
      </c>
      <c r="Y3958">
        <v>0.44845309999999999</v>
      </c>
      <c r="Z3958">
        <v>5.4635919999999998E-2</v>
      </c>
      <c r="AA3958">
        <v>0.89213500000000001</v>
      </c>
      <c r="AB3958">
        <v>28</v>
      </c>
      <c r="AC3958">
        <v>-12.318899999999999</v>
      </c>
      <c r="AD3958">
        <v>-1.11140538742199</v>
      </c>
      <c r="AE3958">
        <v>-11.010300000000001</v>
      </c>
      <c r="AF3958">
        <v>7.4787636090379896</v>
      </c>
      <c r="AG3958">
        <v>-1.11140538742199</v>
      </c>
      <c r="AH3958">
        <v>14.649106510596001</v>
      </c>
      <c r="AI3958">
        <v>93.865708929516202</v>
      </c>
      <c r="AJ3958">
        <v>62.954463687300503</v>
      </c>
      <c r="AK3958">
        <v>16.4852494252846</v>
      </c>
      <c r="AL3958">
        <v>81.232613673462595</v>
      </c>
      <c r="AM3958">
        <v>71.511129115464001</v>
      </c>
      <c r="AN3958">
        <v>1.0000000253207799</v>
      </c>
    </row>
    <row r="3959" spans="1:40" x14ac:dyDescent="0.25">
      <c r="A3959" t="str">
        <f>"20190303162858780"</f>
        <v>20190303162858780</v>
      </c>
      <c r="B3959" t="str">
        <f>"1551601738775590"</f>
        <v>1551601738775590</v>
      </c>
      <c r="C3959" t="s">
        <v>40</v>
      </c>
      <c r="D3959">
        <v>5.0737740000000002</v>
      </c>
      <c r="E3959">
        <v>0.57104580000000005</v>
      </c>
      <c r="F3959" t="s">
        <v>56</v>
      </c>
      <c r="G3959">
        <v>-205.8897</v>
      </c>
      <c r="H3959" s="1">
        <v>-7.9664879999999995E-6</v>
      </c>
      <c r="I3959">
        <v>142.55410000000001</v>
      </c>
      <c r="J3959">
        <v>-194.46190000000001</v>
      </c>
      <c r="K3959">
        <v>1.111229</v>
      </c>
      <c r="L3959">
        <v>152.34649999999999</v>
      </c>
      <c r="M3959">
        <v>-0.3750269</v>
      </c>
      <c r="N3959">
        <v>-1.5327189999999999E-2</v>
      </c>
      <c r="O3959">
        <v>-0.92688720000000002</v>
      </c>
      <c r="P3959">
        <v>-0.64307840000000005</v>
      </c>
      <c r="Q3959">
        <v>0.14618100000000001</v>
      </c>
      <c r="R3959">
        <v>-0.75171919999999903</v>
      </c>
      <c r="S3959">
        <v>-2.3413539999999999</v>
      </c>
      <c r="T3959">
        <v>-0.22509570000000001</v>
      </c>
      <c r="U3959">
        <v>-2.0437319999999999</v>
      </c>
      <c r="V3959">
        <v>0.31801210000000002</v>
      </c>
      <c r="W3959">
        <v>0.1528168</v>
      </c>
      <c r="X3959">
        <v>0.93568969999999996</v>
      </c>
      <c r="Y3959">
        <v>0.45001829999999998</v>
      </c>
      <c r="Z3959">
        <v>6.0614920000000003E-2</v>
      </c>
      <c r="AA3959">
        <v>0.89095979999999997</v>
      </c>
      <c r="AB3959">
        <v>28</v>
      </c>
      <c r="AC3959">
        <v>-11.4277999999999</v>
      </c>
      <c r="AD3959">
        <v>-1.111236966488</v>
      </c>
      <c r="AE3959">
        <v>-9.7923999999999793</v>
      </c>
      <c r="AF3959">
        <v>6.8831527657945797</v>
      </c>
      <c r="AG3959">
        <v>-1.111236966488</v>
      </c>
      <c r="AH3959">
        <v>13.2912856984771</v>
      </c>
      <c r="AI3959">
        <v>94.245944598707595</v>
      </c>
      <c r="AJ3959">
        <v>62.621734565868202</v>
      </c>
      <c r="AK3959">
        <v>15.009027787018599</v>
      </c>
      <c r="AL3959">
        <v>81.209799792559195</v>
      </c>
      <c r="AM3959">
        <v>71.228685302155895</v>
      </c>
      <c r="AN3959">
        <v>0.999999942397368</v>
      </c>
    </row>
    <row r="3960" spans="1:40" x14ac:dyDescent="0.25">
      <c r="A3960" t="str">
        <f>"20190303162858801"</f>
        <v>20190303162858801</v>
      </c>
      <c r="B3960" t="str">
        <f>"1551601738795110"</f>
        <v>1551601738795110</v>
      </c>
      <c r="C3960" t="s">
        <v>40</v>
      </c>
      <c r="D3960">
        <v>5.0745809999999896</v>
      </c>
      <c r="E3960">
        <v>0.57140619999999998</v>
      </c>
      <c r="F3960" t="s">
        <v>56</v>
      </c>
      <c r="G3960">
        <v>-205.53530000000001</v>
      </c>
      <c r="H3960" s="1">
        <v>-8.2706750000000002E-6</v>
      </c>
      <c r="I3960">
        <v>143.11099999999999</v>
      </c>
      <c r="J3960">
        <v>-194.5762</v>
      </c>
      <c r="K3960">
        <v>1.1110850000000001</v>
      </c>
      <c r="L3960">
        <v>152.09909999999999</v>
      </c>
      <c r="M3960">
        <v>-0.38686680000000001</v>
      </c>
      <c r="N3960">
        <v>-1.536876E-2</v>
      </c>
      <c r="O3960">
        <v>-0.92200769999999999</v>
      </c>
      <c r="P3960">
        <v>-0.65493210000000002</v>
      </c>
      <c r="Q3960">
        <v>0.147321799999999</v>
      </c>
      <c r="R3960">
        <v>-0.74118879999999998</v>
      </c>
      <c r="S3960">
        <v>-2.3897400000000002</v>
      </c>
      <c r="T3960">
        <v>-0.23981540000000001</v>
      </c>
      <c r="U3960">
        <v>-1.9931030000000001</v>
      </c>
      <c r="V3960">
        <v>0.3210575</v>
      </c>
      <c r="W3960">
        <v>0.15379590000000001</v>
      </c>
      <c r="X3960">
        <v>0.9344886</v>
      </c>
      <c r="Y3960">
        <v>0.45833570000000001</v>
      </c>
      <c r="Z3960">
        <v>6.5400520000000004E-2</v>
      </c>
      <c r="AA3960">
        <v>0.88636959999999998</v>
      </c>
      <c r="AB3960">
        <v>28</v>
      </c>
      <c r="AC3960">
        <v>-10.959099999999999</v>
      </c>
      <c r="AD3960">
        <v>-1.1110932706749901</v>
      </c>
      <c r="AE3960">
        <v>-8.9880999999999993</v>
      </c>
      <c r="AF3960">
        <v>6.5874764237093002</v>
      </c>
      <c r="AG3960">
        <v>-1.1110932706749901</v>
      </c>
      <c r="AH3960">
        <v>12.451766423855201</v>
      </c>
      <c r="AI3960">
        <v>94.509816807159297</v>
      </c>
      <c r="AJ3960">
        <v>62.119390859500299</v>
      </c>
      <c r="AK3960">
        <v>14.130670931109901</v>
      </c>
      <c r="AL3960">
        <v>81.153031096786705</v>
      </c>
      <c r="AM3960">
        <v>71.039076464863399</v>
      </c>
      <c r="AN3960">
        <v>1.0000000203465</v>
      </c>
    </row>
    <row r="3961" spans="1:40" x14ac:dyDescent="0.25">
      <c r="A3961" t="str">
        <f>"20190303162858825"</f>
        <v>20190303162858825</v>
      </c>
      <c r="B3961" t="str">
        <f>"1551601738815606"</f>
        <v>1551601738815606</v>
      </c>
      <c r="C3961" t="s">
        <v>40</v>
      </c>
      <c r="D3961">
        <v>5.054665</v>
      </c>
      <c r="E3961">
        <v>0.5724108</v>
      </c>
      <c r="F3961" t="s">
        <v>56</v>
      </c>
      <c r="G3961">
        <v>-205.3732</v>
      </c>
      <c r="H3961" s="1">
        <v>-8.4176250000000006E-6</v>
      </c>
      <c r="I3961">
        <v>143.3954</v>
      </c>
      <c r="J3961">
        <v>-194.70099999999999</v>
      </c>
      <c r="K3961">
        <v>1.11094</v>
      </c>
      <c r="L3961">
        <v>151.8389</v>
      </c>
      <c r="M3961">
        <v>-0.3995455</v>
      </c>
      <c r="N3961">
        <v>-1.541296E-2</v>
      </c>
      <c r="O3961">
        <v>-0.91658399999999995</v>
      </c>
      <c r="P3961">
        <v>-0.66629389999999999</v>
      </c>
      <c r="Q3961">
        <v>0.14857110000000001</v>
      </c>
      <c r="R3961">
        <v>-0.73073920000000003</v>
      </c>
      <c r="S3961">
        <v>-2.424728</v>
      </c>
      <c r="T3961">
        <v>-0.24952199999999999</v>
      </c>
      <c r="U3961">
        <v>-1.95462</v>
      </c>
      <c r="V3961">
        <v>0.32278430000000002</v>
      </c>
      <c r="W3961">
        <v>0.15491769999999999</v>
      </c>
      <c r="X3961">
        <v>0.93370810000000004</v>
      </c>
      <c r="Y3961">
        <v>0.46069260000000001</v>
      </c>
      <c r="Z3961">
        <v>6.8440360000000006E-2</v>
      </c>
      <c r="AA3961">
        <v>0.88491710000000001</v>
      </c>
      <c r="AB3961">
        <v>28</v>
      </c>
      <c r="AC3961">
        <v>-10.6722</v>
      </c>
      <c r="AD3961">
        <v>-1.110948417625</v>
      </c>
      <c r="AE3961">
        <v>-8.4435000000000002</v>
      </c>
      <c r="AF3961">
        <v>6.3667337009878304</v>
      </c>
      <c r="AG3961">
        <v>-1.110948417625</v>
      </c>
      <c r="AH3961">
        <v>11.925153805445101</v>
      </c>
      <c r="AI3961">
        <v>94.698069196808504</v>
      </c>
      <c r="AJ3961">
        <v>61.902637467551699</v>
      </c>
      <c r="AK3961">
        <v>13.5638784161993</v>
      </c>
      <c r="AL3961">
        <v>81.087976907627905</v>
      </c>
      <c r="AM3961">
        <v>70.9296550429371</v>
      </c>
      <c r="AN3961">
        <v>1.00000000705269</v>
      </c>
    </row>
    <row r="3962" spans="1:40" x14ac:dyDescent="0.25">
      <c r="A3962" t="str">
        <f>"20190303162858845"</f>
        <v>20190303162858845</v>
      </c>
      <c r="B3962" t="str">
        <f>"1551601738836102"</f>
        <v>1551601738836102</v>
      </c>
      <c r="C3962" t="s">
        <v>40</v>
      </c>
      <c r="D3962">
        <v>5.0841399999999997</v>
      </c>
      <c r="E3962">
        <v>0.57249459999999996</v>
      </c>
      <c r="F3962" t="s">
        <v>56</v>
      </c>
      <c r="G3962">
        <v>-205.8278</v>
      </c>
      <c r="H3962" s="1">
        <v>-8.1657299999999907E-6</v>
      </c>
      <c r="I3962">
        <v>143.20480000000001</v>
      </c>
      <c r="J3962">
        <v>-194.82050000000001</v>
      </c>
      <c r="K3962">
        <v>1.1108049999999901</v>
      </c>
      <c r="L3962">
        <v>151.5986</v>
      </c>
      <c r="M3962">
        <v>-0.4114526</v>
      </c>
      <c r="N3962">
        <v>-1.5454209999999999E-2</v>
      </c>
      <c r="O3962">
        <v>-0.9113002</v>
      </c>
      <c r="P3962">
        <v>-0.67711940000000004</v>
      </c>
      <c r="Q3962">
        <v>0.14866099999999999</v>
      </c>
      <c r="R3962">
        <v>-0.72070089999999998</v>
      </c>
      <c r="S3962">
        <v>-2.4620510000000002</v>
      </c>
      <c r="T3962">
        <v>-0.24582100000000001</v>
      </c>
      <c r="U3962">
        <v>-1.910477</v>
      </c>
      <c r="V3962">
        <v>0.32461089999999998</v>
      </c>
      <c r="W3962">
        <v>0.15488750000000001</v>
      </c>
      <c r="X3962">
        <v>0.93307960000000001</v>
      </c>
      <c r="Y3962">
        <v>0.46561079999999999</v>
      </c>
      <c r="Z3962">
        <v>6.7216979999999996E-2</v>
      </c>
      <c r="AA3962">
        <v>0.88243329999999998</v>
      </c>
      <c r="AB3962">
        <v>28</v>
      </c>
      <c r="AC3962">
        <v>-11.007299999999899</v>
      </c>
      <c r="AD3962">
        <v>-1.11081316572999</v>
      </c>
      <c r="AE3962">
        <v>-8.3937999999999899</v>
      </c>
      <c r="AF3962">
        <v>6.5360007329705896</v>
      </c>
      <c r="AG3962">
        <v>-1.11081316572999</v>
      </c>
      <c r="AH3962">
        <v>12.1017787280724</v>
      </c>
      <c r="AI3962">
        <v>94.617354555566905</v>
      </c>
      <c r="AJ3962">
        <v>61.627140811232998</v>
      </c>
      <c r="AK3962">
        <v>13.7987774767831</v>
      </c>
      <c r="AL3962">
        <v>81.089727931229504</v>
      </c>
      <c r="AM3962">
        <v>70.817624634753301</v>
      </c>
      <c r="AN3962">
        <v>0.99999995699560895</v>
      </c>
    </row>
    <row r="3963" spans="1:40" x14ac:dyDescent="0.25">
      <c r="A3963" t="str">
        <f>"20190303162858868"</f>
        <v>20190303162858868</v>
      </c>
      <c r="B3963" t="str">
        <f>"1551601738855622"</f>
        <v>1551601738855622</v>
      </c>
      <c r="C3963" t="s">
        <v>40</v>
      </c>
      <c r="D3963">
        <v>4.7957700000000001</v>
      </c>
      <c r="E3963">
        <v>0.57337609999999894</v>
      </c>
      <c r="F3963" t="s">
        <v>56</v>
      </c>
      <c r="G3963">
        <v>-205.58500000000001</v>
      </c>
      <c r="H3963" s="1">
        <v>-8.3495939999999906E-6</v>
      </c>
      <c r="I3963">
        <v>143.49340000000001</v>
      </c>
      <c r="J3963">
        <v>-194.9564</v>
      </c>
      <c r="K3963">
        <v>1.110671</v>
      </c>
      <c r="L3963">
        <v>151.33510000000001</v>
      </c>
      <c r="M3963">
        <v>-0.4246991</v>
      </c>
      <c r="N3963">
        <v>-1.549786E-2</v>
      </c>
      <c r="O3963">
        <v>-0.90520199999999995</v>
      </c>
      <c r="P3963">
        <v>-0.69045789999999996</v>
      </c>
      <c r="Q3963">
        <v>0.14699999999999999</v>
      </c>
      <c r="R3963">
        <v>-0.70827949999999995</v>
      </c>
      <c r="S3963">
        <v>-2.490799</v>
      </c>
      <c r="T3963">
        <v>-0.25703100000000001</v>
      </c>
      <c r="U3963">
        <v>-1.8754580000000001</v>
      </c>
      <c r="V3963">
        <v>0.32828960000000001</v>
      </c>
      <c r="W3963">
        <v>0.1530571</v>
      </c>
      <c r="X3963">
        <v>0.93209410000000004</v>
      </c>
      <c r="Y3963">
        <v>0.46531339999999999</v>
      </c>
      <c r="Z3963">
        <v>7.0664420000000006E-2</v>
      </c>
      <c r="AA3963">
        <v>0.88232080000000002</v>
      </c>
      <c r="AB3963">
        <v>28</v>
      </c>
      <c r="AC3963">
        <v>-10.6286</v>
      </c>
      <c r="AD3963">
        <v>-1.1106793495939999</v>
      </c>
      <c r="AE3963">
        <v>-7.8417000000000003</v>
      </c>
      <c r="AF3963">
        <v>6.2472475930935998</v>
      </c>
      <c r="AG3963">
        <v>-1.1106793495939999</v>
      </c>
      <c r="AH3963">
        <v>11.5321290852917</v>
      </c>
      <c r="AI3963">
        <v>94.840489686006293</v>
      </c>
      <c r="AJ3963">
        <v>61.554468291929702</v>
      </c>
      <c r="AK3963">
        <v>13.162511627605801</v>
      </c>
      <c r="AL3963">
        <v>81.195868001283003</v>
      </c>
      <c r="AM3963">
        <v>70.597404990192402</v>
      </c>
      <c r="AN3963">
        <v>0.99999997429168896</v>
      </c>
    </row>
    <row r="3964" spans="1:40" x14ac:dyDescent="0.25">
      <c r="A3964" t="str">
        <f>"20190303162858886"</f>
        <v>20190303162858886</v>
      </c>
      <c r="B3964" t="str">
        <f>"1551601738875142"</f>
        <v>1551601738875142</v>
      </c>
      <c r="C3964" t="s">
        <v>40</v>
      </c>
      <c r="D3964">
        <v>4.7348879999999998</v>
      </c>
      <c r="E3964">
        <v>0.5740615</v>
      </c>
      <c r="F3964" t="s">
        <v>56</v>
      </c>
      <c r="G3964">
        <v>-205.6275</v>
      </c>
      <c r="H3964" s="1">
        <v>-8.3661290000000004E-6</v>
      </c>
      <c r="I3964">
        <v>143.6275</v>
      </c>
      <c r="J3964">
        <v>-195.06829999999999</v>
      </c>
      <c r="K3964">
        <v>1.1105700000000001</v>
      </c>
      <c r="L3964">
        <v>151.1249</v>
      </c>
      <c r="M3964">
        <v>-0.43537680000000001</v>
      </c>
      <c r="N3964">
        <v>-1.5529909999999999E-2</v>
      </c>
      <c r="O3964">
        <v>-0.90011450000000004</v>
      </c>
      <c r="P3964">
        <v>-0.70191590000000004</v>
      </c>
      <c r="Q3964">
        <v>0.14421389999999901</v>
      </c>
      <c r="R3964">
        <v>-0.6975074</v>
      </c>
      <c r="S3964">
        <v>-2.5279389999999999</v>
      </c>
      <c r="T3964">
        <v>-0.2631154</v>
      </c>
      <c r="U3964">
        <v>-1.8258970000000001</v>
      </c>
      <c r="V3964">
        <v>0.33217770000000002</v>
      </c>
      <c r="W3964">
        <v>0.15011559999999999</v>
      </c>
      <c r="X3964">
        <v>0.93119459999999998</v>
      </c>
      <c r="Y3964">
        <v>0.47222340000000002</v>
      </c>
      <c r="Z3964">
        <v>7.2677900000000004E-2</v>
      </c>
      <c r="AA3964">
        <v>0.87847770000000003</v>
      </c>
      <c r="AB3964">
        <v>28</v>
      </c>
      <c r="AC3964">
        <v>-10.559200000000001</v>
      </c>
      <c r="AD3964">
        <v>-1.1105783661290001</v>
      </c>
      <c r="AE3964">
        <v>-7.4973999999999901</v>
      </c>
      <c r="AF3964">
        <v>6.1954830126708504</v>
      </c>
      <c r="AG3964">
        <v>-1.1105783661290001</v>
      </c>
      <c r="AH3964">
        <v>11.2642745397014</v>
      </c>
      <c r="AI3964">
        <v>94.937427212727201</v>
      </c>
      <c r="AJ3964">
        <v>61.188690713246899</v>
      </c>
      <c r="AK3964">
        <v>12.903537304684001</v>
      </c>
      <c r="AL3964">
        <v>81.366374633654303</v>
      </c>
      <c r="AM3964">
        <v>70.367558924158303</v>
      </c>
      <c r="AN3964">
        <v>1.0000000504049</v>
      </c>
    </row>
    <row r="3965" spans="1:40" x14ac:dyDescent="0.25">
      <c r="A3965" t="str">
        <f>"20190303162858904"</f>
        <v>20190303162858904</v>
      </c>
      <c r="B3965" t="str">
        <f>"1551601738895638"</f>
        <v>1551601738895638</v>
      </c>
      <c r="C3965" t="s">
        <v>40</v>
      </c>
      <c r="D3965">
        <v>4.7892960000000002</v>
      </c>
      <c r="E3965">
        <v>0.57472209999999901</v>
      </c>
      <c r="F3965" t="s">
        <v>56</v>
      </c>
      <c r="G3965">
        <v>-205.54730000000001</v>
      </c>
      <c r="H3965" s="1">
        <v>-8.4552369999999995E-6</v>
      </c>
      <c r="I3965">
        <v>143.8304</v>
      </c>
      <c r="J3965">
        <v>-195.17740000000001</v>
      </c>
      <c r="K3965">
        <v>1.1104909999999999</v>
      </c>
      <c r="L3965">
        <v>150.9256</v>
      </c>
      <c r="M3965">
        <v>-0.44558930000000002</v>
      </c>
      <c r="N3965">
        <v>-1.5557639999999999E-2</v>
      </c>
      <c r="O3965">
        <v>-0.89510239999999996</v>
      </c>
      <c r="P3965">
        <v>-0.71089979999999997</v>
      </c>
      <c r="Q3965">
        <v>0.1422426</v>
      </c>
      <c r="R3965">
        <v>-0.68875909999999996</v>
      </c>
      <c r="S3965">
        <v>-2.5593569999999999</v>
      </c>
      <c r="T3965">
        <v>-0.27124239999999999</v>
      </c>
      <c r="U3965">
        <v>-1.7815859999999999</v>
      </c>
      <c r="V3965">
        <v>0.33345089999999999</v>
      </c>
      <c r="W3965">
        <v>0.14807719999999999</v>
      </c>
      <c r="X3965">
        <v>0.9310659</v>
      </c>
      <c r="Y3965">
        <v>0.47731089999999998</v>
      </c>
      <c r="Z3965">
        <v>7.5313370000000004E-2</v>
      </c>
      <c r="AA3965">
        <v>0.87550119999999898</v>
      </c>
      <c r="AB3965">
        <v>28</v>
      </c>
      <c r="AC3965">
        <v>-10.369899999999999</v>
      </c>
      <c r="AD3965">
        <v>-1.110499455237</v>
      </c>
      <c r="AE3965">
        <v>-7.0952000000000002</v>
      </c>
      <c r="AF3965">
        <v>6.0738731605219698</v>
      </c>
      <c r="AG3965">
        <v>-1.110499455237</v>
      </c>
      <c r="AH3965">
        <v>10.8879261718214</v>
      </c>
      <c r="AI3965">
        <v>95.089985794878999</v>
      </c>
      <c r="AJ3965">
        <v>60.844862196251498</v>
      </c>
      <c r="AK3965">
        <v>12.5168718349763</v>
      </c>
      <c r="AL3965">
        <v>81.484486410923097</v>
      </c>
      <c r="AM3965">
        <v>70.2955795821984</v>
      </c>
      <c r="AN3965">
        <v>1.00000003500672</v>
      </c>
    </row>
    <row r="3966" spans="1:40" x14ac:dyDescent="0.25">
      <c r="A3966" t="str">
        <f>"20190303162858923"</f>
        <v>20190303162858923</v>
      </c>
      <c r="B3966" t="str">
        <f>"1551601738916135"</f>
        <v>1551601738916135</v>
      </c>
      <c r="C3966" t="s">
        <v>40</v>
      </c>
      <c r="D3966">
        <v>4.7736919999999996</v>
      </c>
      <c r="E3966">
        <v>0.5752642</v>
      </c>
      <c r="F3966" t="s">
        <v>56</v>
      </c>
      <c r="G3966">
        <v>-205.61240000000001</v>
      </c>
      <c r="H3966" s="1">
        <v>-8.4400640000000006E-6</v>
      </c>
      <c r="I3966">
        <v>143.88220000000001</v>
      </c>
      <c r="J3966">
        <v>-195.29560000000001</v>
      </c>
      <c r="K3966">
        <v>1.110409</v>
      </c>
      <c r="L3966">
        <v>150.7158</v>
      </c>
      <c r="M3966">
        <v>-0.45642890000000003</v>
      </c>
      <c r="N3966">
        <v>-1.5584270000000001E-2</v>
      </c>
      <c r="O3966">
        <v>-0.88962350000000001</v>
      </c>
      <c r="P3966">
        <v>-0.72095540000000002</v>
      </c>
      <c r="Q3966">
        <v>0.13859440000000001</v>
      </c>
      <c r="R3966">
        <v>-0.67898069999999999</v>
      </c>
      <c r="S3966">
        <v>-2.5847319999999998</v>
      </c>
      <c r="T3966">
        <v>-0.27506789999999998</v>
      </c>
      <c r="U3966">
        <v>-1.7446440000000001</v>
      </c>
      <c r="V3966">
        <v>0.33542460000000002</v>
      </c>
      <c r="W3966">
        <v>0.14435020000000001</v>
      </c>
      <c r="X3966">
        <v>0.93094219999999905</v>
      </c>
      <c r="Y3966">
        <v>0.47914119999999999</v>
      </c>
      <c r="Z3966">
        <v>7.6461189999999998E-2</v>
      </c>
      <c r="AA3966">
        <v>0.87440119999999899</v>
      </c>
      <c r="AB3966">
        <v>28</v>
      </c>
      <c r="AC3966">
        <v>-10.316800000000001</v>
      </c>
      <c r="AD3966">
        <v>-1.1104174400639999</v>
      </c>
      <c r="AE3966">
        <v>-6.8335999999999899</v>
      </c>
      <c r="AF3966">
        <v>6.0113476396916701</v>
      </c>
      <c r="AG3966">
        <v>-1.1104174400639999</v>
      </c>
      <c r="AH3966">
        <v>10.7033436415468</v>
      </c>
      <c r="AI3966">
        <v>95.168625341973396</v>
      </c>
      <c r="AJ3966">
        <v>60.680009755535799</v>
      </c>
      <c r="AK3966">
        <v>12.326025005875399</v>
      </c>
      <c r="AL3966">
        <v>81.700347564416802</v>
      </c>
      <c r="AM3966">
        <v>70.185574771926099</v>
      </c>
      <c r="AN3966">
        <v>1.0000000111330101</v>
      </c>
    </row>
    <row r="3967" spans="1:40" x14ac:dyDescent="0.25">
      <c r="A3967" t="str">
        <f>"20190303162858936"</f>
        <v>20190303162858936</v>
      </c>
      <c r="B3967" t="str">
        <f>"1551601738925453"</f>
        <v>1551601738925453</v>
      </c>
      <c r="C3967" t="s">
        <v>40</v>
      </c>
      <c r="D3967">
        <v>4.8086190000000002</v>
      </c>
      <c r="E3967">
        <v>0.57545639999999998</v>
      </c>
      <c r="F3967" t="s">
        <v>56</v>
      </c>
      <c r="G3967">
        <v>-205.46190000000001</v>
      </c>
      <c r="H3967" s="1">
        <v>-8.5584639999999993E-6</v>
      </c>
      <c r="I3967">
        <v>144.0778</v>
      </c>
      <c r="J3967">
        <v>-195.37880000000001</v>
      </c>
      <c r="K3967">
        <v>1.1103700000000001</v>
      </c>
      <c r="L3967">
        <v>150.57239999999999</v>
      </c>
      <c r="M3967">
        <v>-0.46389590000000003</v>
      </c>
      <c r="N3967">
        <v>-1.5600620000000001E-2</v>
      </c>
      <c r="O3967">
        <v>-0.8857524</v>
      </c>
      <c r="P3967">
        <v>-0.72738930000000002</v>
      </c>
      <c r="Q3967">
        <v>0.13709109999999999</v>
      </c>
      <c r="R3967">
        <v>-0.67239179999999998</v>
      </c>
      <c r="S3967">
        <v>-2.610611</v>
      </c>
      <c r="T3967">
        <v>-0.28514460000000003</v>
      </c>
      <c r="U3967">
        <v>-1.7045589999999999</v>
      </c>
      <c r="V3967">
        <v>0.33629029999999999</v>
      </c>
      <c r="W3967">
        <v>0.14281369999999999</v>
      </c>
      <c r="X3967">
        <v>0.93086679999999999</v>
      </c>
      <c r="Y3967">
        <v>0.48488179999999997</v>
      </c>
      <c r="Z3967">
        <v>7.9775239999999997E-2</v>
      </c>
      <c r="AA3967">
        <v>0.87093379999999998</v>
      </c>
      <c r="AB3967">
        <v>28</v>
      </c>
      <c r="AC3967">
        <v>-10.0831</v>
      </c>
      <c r="AD3967">
        <v>-1.110378558464</v>
      </c>
      <c r="AE3967">
        <v>-6.4945999999999904</v>
      </c>
      <c r="AF3967">
        <v>5.86873032716254</v>
      </c>
      <c r="AG3967">
        <v>-1.110378558464</v>
      </c>
      <c r="AH3967">
        <v>10.3427367028</v>
      </c>
      <c r="AI3967">
        <v>95.334451627777099</v>
      </c>
      <c r="AJ3967">
        <v>60.428327609292097</v>
      </c>
      <c r="AK3967">
        <v>11.943497758173701</v>
      </c>
      <c r="AL3967">
        <v>81.789303838603303</v>
      </c>
      <c r="AM3967">
        <v>70.136947555213695</v>
      </c>
      <c r="AN3967">
        <v>0.999999959062009</v>
      </c>
    </row>
    <row r="3968" spans="1:40" x14ac:dyDescent="0.25">
      <c r="A3968" t="str">
        <f>"20190303162858956"</f>
        <v>20190303162858956</v>
      </c>
      <c r="B3968" t="str">
        <f>"1551601738945929"</f>
        <v>1551601738945929</v>
      </c>
      <c r="C3968" t="s">
        <v>40</v>
      </c>
      <c r="D3968">
        <v>4.7900989999999997</v>
      </c>
      <c r="E3968">
        <v>0.57582239999999996</v>
      </c>
      <c r="F3968" t="s">
        <v>56</v>
      </c>
      <c r="G3968">
        <v>-205.4622</v>
      </c>
      <c r="H3968" s="1">
        <v>-8.5714359999999906E-6</v>
      </c>
      <c r="I3968">
        <v>144.1276</v>
      </c>
      <c r="J3968">
        <v>-195.50749999999999</v>
      </c>
      <c r="K3968">
        <v>1.1103179999999999</v>
      </c>
      <c r="L3968">
        <v>150.35499999999999</v>
      </c>
      <c r="M3968">
        <v>-0.4752403</v>
      </c>
      <c r="N3968">
        <v>-1.562271E-2</v>
      </c>
      <c r="O3968">
        <v>-0.87971739999999998</v>
      </c>
      <c r="P3968">
        <v>-0.73760119999999996</v>
      </c>
      <c r="Q3968">
        <v>0.13434570000000001</v>
      </c>
      <c r="R3968">
        <v>-0.66173700000000002</v>
      </c>
      <c r="S3968">
        <v>-2.626862</v>
      </c>
      <c r="T3968">
        <v>-0.28926839999999998</v>
      </c>
      <c r="U3968">
        <v>-1.678955</v>
      </c>
      <c r="V3968">
        <v>0.33825919999999998</v>
      </c>
      <c r="W3968">
        <v>0.14000270000000001</v>
      </c>
      <c r="X3968">
        <v>0.93058039999999997</v>
      </c>
      <c r="Y3968">
        <v>0.48203380000000001</v>
      </c>
      <c r="Z3968">
        <v>8.0849989999999997E-2</v>
      </c>
      <c r="AA3968">
        <v>0.87241429999999998</v>
      </c>
      <c r="AB3968">
        <v>28</v>
      </c>
      <c r="AC3968">
        <v>-9.9547000000000008</v>
      </c>
      <c r="AD3968">
        <v>-1.110326571436</v>
      </c>
      <c r="AE3968">
        <v>-6.2273999999999798</v>
      </c>
      <c r="AF3968">
        <v>5.7471306408458904</v>
      </c>
      <c r="AG3968">
        <v>-1.110326571436</v>
      </c>
      <c r="AH3968">
        <v>10.119984294501901</v>
      </c>
      <c r="AI3968">
        <v>95.4498134095154</v>
      </c>
      <c r="AJ3968">
        <v>60.407793257948903</v>
      </c>
      <c r="AK3968">
        <v>11.6908689933278</v>
      </c>
      <c r="AL3968">
        <v>81.951997204486304</v>
      </c>
      <c r="AM3968">
        <v>70.024162841452096</v>
      </c>
      <c r="AN3968">
        <v>0.99999996162804405</v>
      </c>
    </row>
    <row r="3969" spans="1:40" x14ac:dyDescent="0.25">
      <c r="A3969" t="str">
        <f>"20190303162858977"</f>
        <v>20190303162858977</v>
      </c>
      <c r="B3969" t="str">
        <f>"1551601738965449"</f>
        <v>1551601738965449</v>
      </c>
      <c r="C3969" t="s">
        <v>40</v>
      </c>
      <c r="D3969">
        <v>4.7960799999999999</v>
      </c>
      <c r="E3969">
        <v>0.57622130000000005</v>
      </c>
      <c r="F3969" t="s">
        <v>56</v>
      </c>
      <c r="G3969">
        <v>-205.446</v>
      </c>
      <c r="H3969" s="1">
        <v>-8.6024790000000003E-6</v>
      </c>
      <c r="I3969">
        <v>144.21799999999999</v>
      </c>
      <c r="J3969">
        <v>-195.6414</v>
      </c>
      <c r="K3969">
        <v>1.1102909999999999</v>
      </c>
      <c r="L3969">
        <v>150.13560000000001</v>
      </c>
      <c r="M3969">
        <v>-0.4867435</v>
      </c>
      <c r="N3969">
        <v>-1.5641470000000001E-2</v>
      </c>
      <c r="O3969">
        <v>-0.87340499999999899</v>
      </c>
      <c r="P3969">
        <v>-0.74748610000000004</v>
      </c>
      <c r="Q3969">
        <v>0.13311819999999999</v>
      </c>
      <c r="R3969">
        <v>-0.6508024</v>
      </c>
      <c r="S3969">
        <v>-2.6520079999999999</v>
      </c>
      <c r="T3969">
        <v>-0.29628159999999998</v>
      </c>
      <c r="U3969">
        <v>-1.6376189999999999</v>
      </c>
      <c r="V3969">
        <v>0.33992149999999999</v>
      </c>
      <c r="W3969">
        <v>0.13872499999999999</v>
      </c>
      <c r="X3969">
        <v>0.93016600000000005</v>
      </c>
      <c r="Y3969">
        <v>0.48390929999999999</v>
      </c>
      <c r="Z3969">
        <v>8.2980650000000003E-2</v>
      </c>
      <c r="AA3969">
        <v>0.87117509999999998</v>
      </c>
      <c r="AB3969">
        <v>28</v>
      </c>
      <c r="AC3969">
        <v>-9.80459999999999</v>
      </c>
      <c r="AD3969">
        <v>-1.1102996024789999</v>
      </c>
      <c r="AE3969">
        <v>-5.9176000000000197</v>
      </c>
      <c r="AF3969">
        <v>5.6307997906727199</v>
      </c>
      <c r="AG3969">
        <v>-1.1102996024789999</v>
      </c>
      <c r="AH3969">
        <v>9.8494196172402901</v>
      </c>
      <c r="AI3969">
        <v>95.589386829566195</v>
      </c>
      <c r="AJ3969">
        <v>60.243893669540498</v>
      </c>
      <c r="AK3969">
        <v>11.399549915956401</v>
      </c>
      <c r="AL3969">
        <v>82.025925944206094</v>
      </c>
      <c r="AM3969">
        <v>69.925585683993702</v>
      </c>
      <c r="AN3969">
        <v>1.0000000196716201</v>
      </c>
    </row>
    <row r="3970" spans="1:40" x14ac:dyDescent="0.25">
      <c r="A3970" t="str">
        <f>"20190303162858994"</f>
        <v>20190303162858994</v>
      </c>
      <c r="B3970" t="str">
        <f>"1551601738985945"</f>
        <v>1551601738985945</v>
      </c>
      <c r="C3970" t="s">
        <v>40</v>
      </c>
      <c r="D3970">
        <v>4.7489049999999997</v>
      </c>
      <c r="E3970">
        <v>0.57690030000000003</v>
      </c>
      <c r="F3970" t="s">
        <v>56</v>
      </c>
      <c r="G3970">
        <v>-205.6285</v>
      </c>
      <c r="H3970" s="1">
        <v>-8.5131619999999995E-6</v>
      </c>
      <c r="I3970">
        <v>144.18610000000001</v>
      </c>
      <c r="J3970">
        <v>-195.7602</v>
      </c>
      <c r="K3970">
        <v>1.1102799999999999</v>
      </c>
      <c r="L3970">
        <v>149.94640000000001</v>
      </c>
      <c r="M3970">
        <v>-0.496699</v>
      </c>
      <c r="N3970">
        <v>-1.5654890000000001E-2</v>
      </c>
      <c r="O3970">
        <v>-0.86778189999999999</v>
      </c>
      <c r="P3970">
        <v>-0.75497689999999995</v>
      </c>
      <c r="Q3970">
        <v>0.1330327</v>
      </c>
      <c r="R3970">
        <v>-0.64211560000000001</v>
      </c>
      <c r="S3970">
        <v>-2.6776279999999999</v>
      </c>
      <c r="T3970">
        <v>-0.29768289999999997</v>
      </c>
      <c r="U3970">
        <v>-1.5951390000000001</v>
      </c>
      <c r="V3970">
        <v>0.34005540000000001</v>
      </c>
      <c r="W3970">
        <v>0.1386404</v>
      </c>
      <c r="X3970">
        <v>0.9301296</v>
      </c>
      <c r="Y3970">
        <v>0.48773470000000002</v>
      </c>
      <c r="Z3970">
        <v>8.3388439999999994E-2</v>
      </c>
      <c r="AA3970">
        <v>0.86900010000000005</v>
      </c>
      <c r="AB3970">
        <v>28</v>
      </c>
      <c r="AC3970">
        <v>-9.8682999999999996</v>
      </c>
      <c r="AD3970">
        <v>-1.1102885131619999</v>
      </c>
      <c r="AE3970">
        <v>-5.7603</v>
      </c>
      <c r="AF3970">
        <v>5.64975176814756</v>
      </c>
      <c r="AG3970">
        <v>-1.1102885131619999</v>
      </c>
      <c r="AH3970">
        <v>9.8088586273752192</v>
      </c>
      <c r="AI3970">
        <v>95.601964139653703</v>
      </c>
      <c r="AJ3970">
        <v>60.0587188948967</v>
      </c>
      <c r="AK3970">
        <v>11.373923825838601</v>
      </c>
      <c r="AL3970">
        <v>82.030819938214904</v>
      </c>
      <c r="AM3970">
        <v>69.917586767531603</v>
      </c>
      <c r="AN3970">
        <v>0.99999995418873899</v>
      </c>
    </row>
    <row r="3971" spans="1:40" x14ac:dyDescent="0.25">
      <c r="A3971" t="str">
        <f>"20190303162859011"</f>
        <v>20190303162859011</v>
      </c>
      <c r="B3971" t="str">
        <f>"1551601739005465"</f>
        <v>1551601739005465</v>
      </c>
      <c r="C3971" t="s">
        <v>40</v>
      </c>
      <c r="D3971">
        <v>4.7371540000000003</v>
      </c>
      <c r="E3971">
        <v>0.57753739999999998</v>
      </c>
      <c r="F3971" t="s">
        <v>56</v>
      </c>
      <c r="G3971">
        <v>-205.91050000000001</v>
      </c>
      <c r="H3971" s="1">
        <v>-8.3609479999999995E-6</v>
      </c>
      <c r="I3971">
        <v>144.08320000000001</v>
      </c>
      <c r="J3971">
        <v>-195.87389999999999</v>
      </c>
      <c r="K3971">
        <v>1.110276</v>
      </c>
      <c r="L3971">
        <v>149.76949999999999</v>
      </c>
      <c r="M3971">
        <v>-0.50602440000000004</v>
      </c>
      <c r="N3971">
        <v>-1.5665419999999999E-2</v>
      </c>
      <c r="O3971">
        <v>-0.86237699999999995</v>
      </c>
      <c r="P3971">
        <v>-0.76186019999999999</v>
      </c>
      <c r="Q3971">
        <v>0.13378129999999999</v>
      </c>
      <c r="R3971">
        <v>-0.63377600000000001</v>
      </c>
      <c r="S3971">
        <v>-2.6994630000000002</v>
      </c>
      <c r="T3971">
        <v>-0.29528070000000001</v>
      </c>
      <c r="U3971">
        <v>-1.5593109999999999</v>
      </c>
      <c r="V3971">
        <v>0.34016360000000001</v>
      </c>
      <c r="W3971">
        <v>0.13939260000000001</v>
      </c>
      <c r="X3971">
        <v>0.92997770000000002</v>
      </c>
      <c r="Y3971">
        <v>0.49009439999999999</v>
      </c>
      <c r="Z3971">
        <v>8.2523050000000001E-2</v>
      </c>
      <c r="AA3971">
        <v>0.86775429999999998</v>
      </c>
      <c r="AB3971">
        <v>28</v>
      </c>
      <c r="AC3971">
        <v>-10.0366</v>
      </c>
      <c r="AD3971">
        <v>-1.110284360948</v>
      </c>
      <c r="AE3971">
        <v>-5.6862999999999797</v>
      </c>
      <c r="AF3971">
        <v>5.7255933032779502</v>
      </c>
      <c r="AG3971">
        <v>-1.110284360948</v>
      </c>
      <c r="AH3971">
        <v>9.8920830700165396</v>
      </c>
      <c r="AI3971">
        <v>95.548369398427795</v>
      </c>
      <c r="AJ3971">
        <v>59.937500191684101</v>
      </c>
      <c r="AK3971">
        <v>11.483399213682899</v>
      </c>
      <c r="AL3971">
        <v>81.987300218172805</v>
      </c>
      <c r="AM3971">
        <v>69.908688982743897</v>
      </c>
      <c r="AN3971">
        <v>1.0000000470985</v>
      </c>
    </row>
    <row r="3972" spans="1:40" x14ac:dyDescent="0.25">
      <c r="A3972" t="str">
        <f>"20190303162859034"</f>
        <v>20190303162859034</v>
      </c>
      <c r="B3972" t="str">
        <f>"1551601739025961"</f>
        <v>1551601739025961</v>
      </c>
      <c r="C3972" t="s">
        <v>40</v>
      </c>
      <c r="D3972">
        <v>4.7482340000000001</v>
      </c>
      <c r="E3972">
        <v>0.57798479999999997</v>
      </c>
      <c r="F3972" t="s">
        <v>56</v>
      </c>
      <c r="G3972">
        <v>-206.346</v>
      </c>
      <c r="H3972" s="1">
        <v>-8.1184369999999996E-6</v>
      </c>
      <c r="I3972">
        <v>143.89609999999999</v>
      </c>
      <c r="J3972">
        <v>-196.04259999999999</v>
      </c>
      <c r="K3972">
        <v>1.110282</v>
      </c>
      <c r="L3972">
        <v>149.5147</v>
      </c>
      <c r="M3972">
        <v>-0.51949109999999998</v>
      </c>
      <c r="N3972">
        <v>-1.567762E-2</v>
      </c>
      <c r="O3972">
        <v>-0.85433219999999999</v>
      </c>
      <c r="P3972">
        <v>-0.77167169999999996</v>
      </c>
      <c r="Q3972">
        <v>0.13379659999999999</v>
      </c>
      <c r="R3972">
        <v>-0.62178889999999998</v>
      </c>
      <c r="S3972">
        <v>-2.7195130000000001</v>
      </c>
      <c r="T3972">
        <v>-0.28833170000000002</v>
      </c>
      <c r="U3972">
        <v>-1.5252840000000001</v>
      </c>
      <c r="V3972">
        <v>0.34010820000000003</v>
      </c>
      <c r="W3972">
        <v>0.1394252</v>
      </c>
      <c r="X3972">
        <v>0.92999299999999996</v>
      </c>
      <c r="Y3972">
        <v>0.487624</v>
      </c>
      <c r="Z3972">
        <v>7.9982049999999999E-2</v>
      </c>
      <c r="AA3972">
        <v>0.8693824</v>
      </c>
      <c r="AB3972">
        <v>28</v>
      </c>
      <c r="AC3972">
        <v>-10.3033999999999</v>
      </c>
      <c r="AD3972">
        <v>-1.110290118437</v>
      </c>
      <c r="AE3972">
        <v>-5.6186000000000096</v>
      </c>
      <c r="AF3972">
        <v>5.8322344689971901</v>
      </c>
      <c r="AG3972">
        <v>-1.110290118437</v>
      </c>
      <c r="AH3972">
        <v>10.063845228558</v>
      </c>
      <c r="AI3972">
        <v>95.452590527590203</v>
      </c>
      <c r="AJ3972">
        <v>59.9067016207363</v>
      </c>
      <c r="AK3972">
        <v>11.684548935788101</v>
      </c>
      <c r="AL3972">
        <v>81.985413391422497</v>
      </c>
      <c r="AM3972">
        <v>69.9120035185733</v>
      </c>
      <c r="AN3972">
        <v>0.99999997707563903</v>
      </c>
    </row>
    <row r="3973" spans="1:40" x14ac:dyDescent="0.25">
      <c r="A3973" t="str">
        <f>"20190303162859057"</f>
        <v>20190303162859057</v>
      </c>
      <c r="B3973" t="str">
        <f>"1551601739045480"</f>
        <v>1551601739045480</v>
      </c>
      <c r="C3973" t="s">
        <v>40</v>
      </c>
      <c r="D3973">
        <v>4.7660390000000001</v>
      </c>
      <c r="E3973">
        <v>0.57839819999999997</v>
      </c>
      <c r="F3973" t="s">
        <v>56</v>
      </c>
      <c r="G3973">
        <v>-206.7373</v>
      </c>
      <c r="H3973" s="1">
        <v>-7.9064639999999995E-6</v>
      </c>
      <c r="I3973">
        <v>143.75049999999999</v>
      </c>
      <c r="J3973">
        <v>-196.19759999999999</v>
      </c>
      <c r="K3973">
        <v>1.110282</v>
      </c>
      <c r="L3973">
        <v>149.28799999999899</v>
      </c>
      <c r="M3973">
        <v>-0.53148919999999999</v>
      </c>
      <c r="N3973">
        <v>-1.5685859999999999E-2</v>
      </c>
      <c r="O3973">
        <v>-0.84691989999999995</v>
      </c>
      <c r="P3973">
        <v>-0.78035669999999902</v>
      </c>
      <c r="Q3973">
        <v>0.13281409999999999</v>
      </c>
      <c r="R3973">
        <v>-0.61106769999999999</v>
      </c>
      <c r="S3973">
        <v>-2.7449650000000001</v>
      </c>
      <c r="T3973">
        <v>-0.28497460000000002</v>
      </c>
      <c r="U3973">
        <v>-1.4794620000000001</v>
      </c>
      <c r="V3973">
        <v>0.33995259999999999</v>
      </c>
      <c r="W3973">
        <v>0.13846620000000001</v>
      </c>
      <c r="X3973">
        <v>0.93019320000000005</v>
      </c>
      <c r="Y3973">
        <v>0.49002590000000001</v>
      </c>
      <c r="Z3973">
        <v>7.8774360000000002E-2</v>
      </c>
      <c r="AA3973">
        <v>0.86814119999999995</v>
      </c>
      <c r="AB3973">
        <v>28</v>
      </c>
      <c r="AC3973">
        <v>-10.5397</v>
      </c>
      <c r="AD3973">
        <v>-1.1102899064639999</v>
      </c>
      <c r="AE3973">
        <v>-5.5374999999999899</v>
      </c>
      <c r="AF3973">
        <v>5.9323048240384297</v>
      </c>
      <c r="AG3973">
        <v>-1.1102899064639999</v>
      </c>
      <c r="AH3973">
        <v>10.2040799572277</v>
      </c>
      <c r="AI3973">
        <v>95.373821617248694</v>
      </c>
      <c r="AJ3973">
        <v>59.827738103018298</v>
      </c>
      <c r="AK3973">
        <v>11.8553039596293</v>
      </c>
      <c r="AL3973">
        <v>82.040898626958196</v>
      </c>
      <c r="AM3973">
        <v>69.924435885243199</v>
      </c>
      <c r="AN3973">
        <v>1.00000002405771</v>
      </c>
    </row>
    <row r="3974" spans="1:40" x14ac:dyDescent="0.25">
      <c r="A3974" t="str">
        <f>"20190303162859078"</f>
        <v>20190303162859078</v>
      </c>
      <c r="B3974" t="str">
        <f>"1551601739065978"</f>
        <v>1551601739065978</v>
      </c>
      <c r="C3974" t="s">
        <v>40</v>
      </c>
      <c r="D3974">
        <v>4.778384</v>
      </c>
      <c r="E3974">
        <v>0.57848359999999999</v>
      </c>
      <c r="F3974" t="s">
        <v>56</v>
      </c>
      <c r="G3974">
        <v>-207.02879999999999</v>
      </c>
      <c r="H3974" s="1">
        <v>-7.7538199999999999E-6</v>
      </c>
      <c r="I3974">
        <v>143.66200000000001</v>
      </c>
      <c r="J3974">
        <v>-196.3509</v>
      </c>
      <c r="K3974">
        <v>1.1102799999999999</v>
      </c>
      <c r="L3974">
        <v>149.0702</v>
      </c>
      <c r="M3974">
        <v>-0.54302839999999997</v>
      </c>
      <c r="N3974">
        <v>-1.5691730000000001E-2</v>
      </c>
      <c r="O3974">
        <v>-0.83956779999999998</v>
      </c>
      <c r="P3974">
        <v>-0.78860819999999998</v>
      </c>
      <c r="Q3974">
        <v>0.13084799999999999</v>
      </c>
      <c r="R3974">
        <v>-0.60081269999999998</v>
      </c>
      <c r="S3974">
        <v>-2.767166</v>
      </c>
      <c r="T3974">
        <v>-0.2836571</v>
      </c>
      <c r="U3974">
        <v>-1.437317</v>
      </c>
      <c r="V3974">
        <v>0.33960430000000003</v>
      </c>
      <c r="W3974">
        <v>0.13653109999999999</v>
      </c>
      <c r="X3974">
        <v>0.93060639999999994</v>
      </c>
      <c r="Y3974">
        <v>0.4914115</v>
      </c>
      <c r="Z3974">
        <v>7.818137E-2</v>
      </c>
      <c r="AA3974">
        <v>0.86741139999999906</v>
      </c>
      <c r="AB3974">
        <v>28</v>
      </c>
      <c r="AC3974">
        <v>-10.6778999999999</v>
      </c>
      <c r="AD3974">
        <v>-1.11028775382</v>
      </c>
      <c r="AE3974">
        <v>-5.4081999999999901</v>
      </c>
      <c r="AF3974">
        <v>5.9773244994432098</v>
      </c>
      <c r="AG3974">
        <v>-1.11028775382</v>
      </c>
      <c r="AH3974">
        <v>10.252011994281901</v>
      </c>
      <c r="AI3974">
        <v>95.344965214953703</v>
      </c>
      <c r="AJ3974">
        <v>59.756139957702501</v>
      </c>
      <c r="AK3974">
        <v>11.919097994346201</v>
      </c>
      <c r="AL3974">
        <v>82.152835060955795</v>
      </c>
      <c r="AM3974">
        <v>69.951560010532702</v>
      </c>
      <c r="AN3974">
        <v>1.0000000467833201</v>
      </c>
    </row>
    <row r="3975" spans="1:40" x14ac:dyDescent="0.25">
      <c r="A3975" t="str">
        <f>"20190303162859100"</f>
        <v>20190303162859100</v>
      </c>
      <c r="B3975" t="str">
        <f>"1551601739085497"</f>
        <v>1551601739085497</v>
      </c>
      <c r="C3975" t="s">
        <v>40</v>
      </c>
      <c r="D3975">
        <v>4.7833059999999996</v>
      </c>
      <c r="E3975">
        <v>0.57848750000000004</v>
      </c>
      <c r="F3975" t="s">
        <v>56</v>
      </c>
      <c r="G3975">
        <v>-207.11250000000001</v>
      </c>
      <c r="H3975" s="1">
        <v>-7.7184739999999996E-6</v>
      </c>
      <c r="I3975">
        <v>143.6686</v>
      </c>
      <c r="J3975">
        <v>-196.5146</v>
      </c>
      <c r="K3975">
        <v>1.110287</v>
      </c>
      <c r="L3975">
        <v>148.84450000000001</v>
      </c>
      <c r="M3975">
        <v>-0.55500419999999995</v>
      </c>
      <c r="N3975">
        <v>-1.5696080000000001E-2</v>
      </c>
      <c r="O3975">
        <v>-0.83169939999999998</v>
      </c>
      <c r="P3975">
        <v>-0.79684359999999999</v>
      </c>
      <c r="Q3975">
        <v>0.12868840000000001</v>
      </c>
      <c r="R3975">
        <v>-0.59032130000000005</v>
      </c>
      <c r="S3975">
        <v>-2.786362</v>
      </c>
      <c r="T3975">
        <v>-0.28747420000000001</v>
      </c>
      <c r="U3975">
        <v>-1.3985749999999999</v>
      </c>
      <c r="V3975">
        <v>0.3388138</v>
      </c>
      <c r="W3975">
        <v>0.13441929999999999</v>
      </c>
      <c r="X3975">
        <v>0.93120170000000002</v>
      </c>
      <c r="Y3975">
        <v>0.4908825</v>
      </c>
      <c r="Z3975">
        <v>7.9107750000000004E-2</v>
      </c>
      <c r="AA3975">
        <v>0.86762689999999998</v>
      </c>
      <c r="AB3975">
        <v>28</v>
      </c>
      <c r="AC3975">
        <v>-10.597899999999999</v>
      </c>
      <c r="AD3975">
        <v>-1.110294718474</v>
      </c>
      <c r="AE3975">
        <v>-5.1759000000000102</v>
      </c>
      <c r="AF3975">
        <v>5.8901544750596999</v>
      </c>
      <c r="AG3975">
        <v>-1.110294718474</v>
      </c>
      <c r="AH3975">
        <v>10.0984349185794</v>
      </c>
      <c r="AI3975">
        <v>95.4252526940206</v>
      </c>
      <c r="AJ3975">
        <v>59.746099580557399</v>
      </c>
      <c r="AK3975">
        <v>11.7432985956553</v>
      </c>
      <c r="AL3975">
        <v>82.274957615807295</v>
      </c>
      <c r="AM3975">
        <v>70.0062973042659</v>
      </c>
      <c r="AN3975">
        <v>0.99999997268290897</v>
      </c>
    </row>
    <row r="3976" spans="1:40" x14ac:dyDescent="0.25">
      <c r="A3976" t="str">
        <f>"20190303162859122"</f>
        <v>20190303162859122</v>
      </c>
      <c r="B3976" t="str">
        <f>"1551601739115753"</f>
        <v>1551601739115753</v>
      </c>
      <c r="C3976" t="s">
        <v>40</v>
      </c>
      <c r="D3976">
        <v>4.7932620000000004</v>
      </c>
      <c r="E3976">
        <v>0.57893790000000001</v>
      </c>
      <c r="F3976" t="s">
        <v>56</v>
      </c>
      <c r="G3976">
        <v>-207.13050000000001</v>
      </c>
      <c r="H3976" s="1">
        <v>-7.7190509999999996E-6</v>
      </c>
      <c r="I3976">
        <v>143.7012</v>
      </c>
      <c r="J3976">
        <v>-196.68819999999999</v>
      </c>
      <c r="K3976">
        <v>1.110298</v>
      </c>
      <c r="L3976">
        <v>148.6122</v>
      </c>
      <c r="M3976">
        <v>-0.56734719999999905</v>
      </c>
      <c r="N3976">
        <v>-1.5699080000000001E-2</v>
      </c>
      <c r="O3976">
        <v>-0.82332899999999998</v>
      </c>
      <c r="P3976">
        <v>-0.80507680000000004</v>
      </c>
      <c r="Q3976">
        <v>0.1263059</v>
      </c>
      <c r="R3976">
        <v>-0.57956700000000005</v>
      </c>
      <c r="S3976">
        <v>-2.8053279999999998</v>
      </c>
      <c r="T3976">
        <v>-0.29340240000000001</v>
      </c>
      <c r="U3976">
        <v>-1.3591610000000001</v>
      </c>
      <c r="V3976">
        <v>0.33766960000000001</v>
      </c>
      <c r="W3976">
        <v>0.1320952</v>
      </c>
      <c r="X3976">
        <v>0.93194960000000004</v>
      </c>
      <c r="Y3976">
        <v>0.48993029999999999</v>
      </c>
      <c r="Z3976">
        <v>8.0627820000000003E-2</v>
      </c>
      <c r="AA3976">
        <v>0.86802509999999999</v>
      </c>
      <c r="AB3976">
        <v>28</v>
      </c>
      <c r="AC3976">
        <v>-10.442299999999999</v>
      </c>
      <c r="AD3976">
        <v>-1.110305719051</v>
      </c>
      <c r="AE3976">
        <v>-4.9109999999999996</v>
      </c>
      <c r="AF3976">
        <v>5.7586100385427503</v>
      </c>
      <c r="AG3976">
        <v>-1.110305719051</v>
      </c>
      <c r="AH3976">
        <v>9.8775616519065803</v>
      </c>
      <c r="AI3976">
        <v>95.546533074727606</v>
      </c>
      <c r="AJ3976">
        <v>59.7578510158976</v>
      </c>
      <c r="AK3976">
        <v>11.487410176057001</v>
      </c>
      <c r="AL3976">
        <v>82.409317106452903</v>
      </c>
      <c r="AM3976">
        <v>70.083229814718095</v>
      </c>
      <c r="AN3976">
        <v>0.99999997878367897</v>
      </c>
    </row>
    <row r="3977" spans="1:40" x14ac:dyDescent="0.25">
      <c r="A3977" t="str">
        <f>"20190303162859135"</f>
        <v>20190303162859135</v>
      </c>
      <c r="B3977" t="str">
        <f>"1551601739125513"</f>
        <v>1551601739125513</v>
      </c>
      <c r="C3977" t="s">
        <v>40</v>
      </c>
      <c r="D3977">
        <v>4.7826719999999998</v>
      </c>
      <c r="E3977">
        <v>0.57908459999999995</v>
      </c>
      <c r="F3977" t="s">
        <v>56</v>
      </c>
      <c r="G3977">
        <v>-207.34620000000001</v>
      </c>
      <c r="H3977" s="1">
        <v>-7.6108849999999899E-6</v>
      </c>
      <c r="I3977">
        <v>143.65369999999999</v>
      </c>
      <c r="J3977">
        <v>-196.78559999999999</v>
      </c>
      <c r="K3977">
        <v>1.110303</v>
      </c>
      <c r="L3977">
        <v>148.48580000000001</v>
      </c>
      <c r="M3977">
        <v>-0.5740904</v>
      </c>
      <c r="N3977">
        <v>-1.5700240000000001E-2</v>
      </c>
      <c r="O3977">
        <v>-0.81864169999999903</v>
      </c>
      <c r="P3977">
        <v>-0.80968059999999997</v>
      </c>
      <c r="Q3977">
        <v>0.1249127</v>
      </c>
      <c r="R3977">
        <v>-0.57342340000000003</v>
      </c>
      <c r="S3977">
        <v>-2.8260190000000001</v>
      </c>
      <c r="T3977">
        <v>-0.29440450000000001</v>
      </c>
      <c r="U3977">
        <v>-1.3147740000000001</v>
      </c>
      <c r="V3977">
        <v>0.3372443</v>
      </c>
      <c r="W3977">
        <v>0.13072619999999999</v>
      </c>
      <c r="X3977">
        <v>0.93229660000000003</v>
      </c>
      <c r="Y3977">
        <v>0.4963611</v>
      </c>
      <c r="Z3977">
        <v>8.102529E-2</v>
      </c>
      <c r="AA3977">
        <v>0.86432659999999994</v>
      </c>
      <c r="AB3977">
        <v>28</v>
      </c>
      <c r="AC3977">
        <v>-10.560600000000001</v>
      </c>
      <c r="AD3977">
        <v>-1.1103106108849901</v>
      </c>
      <c r="AE3977">
        <v>-4.83210000000002</v>
      </c>
      <c r="AF3977">
        <v>5.8188223161499497</v>
      </c>
      <c r="AG3977">
        <v>-1.1103106108849901</v>
      </c>
      <c r="AH3977">
        <v>9.9289771308922692</v>
      </c>
      <c r="AI3977">
        <v>95.510742061855794</v>
      </c>
      <c r="AJ3977">
        <v>59.627799958971899</v>
      </c>
      <c r="AK3977">
        <v>11.5618367773183</v>
      </c>
      <c r="AL3977">
        <v>82.488441389102206</v>
      </c>
      <c r="AM3977">
        <v>70.113169934124201</v>
      </c>
      <c r="AN3977">
        <v>1.0000000038102399</v>
      </c>
    </row>
    <row r="3978" spans="1:40" x14ac:dyDescent="0.25">
      <c r="A3978" t="str">
        <f>"20190303162859155"</f>
        <v>20190303162859155</v>
      </c>
      <c r="B3978" t="str">
        <f>"1551601739146009"</f>
        <v>1551601739146009</v>
      </c>
      <c r="C3978" t="s">
        <v>40</v>
      </c>
      <c r="D3978">
        <v>4.8113089999999996</v>
      </c>
      <c r="E3978">
        <v>0.57937720000000004</v>
      </c>
      <c r="F3978" t="s">
        <v>56</v>
      </c>
      <c r="G3978">
        <v>-207.40729999999999</v>
      </c>
      <c r="H3978" s="1">
        <v>-7.5832950000000004E-6</v>
      </c>
      <c r="I3978">
        <v>143.65190000000001</v>
      </c>
      <c r="J3978">
        <v>-196.94200000000001</v>
      </c>
      <c r="K3978">
        <v>1.1103050000000001</v>
      </c>
      <c r="L3978">
        <v>148.28620000000001</v>
      </c>
      <c r="M3978">
        <v>-0.58473960000000003</v>
      </c>
      <c r="N3978">
        <v>-1.5702399999999998E-2</v>
      </c>
      <c r="O3978">
        <v>-0.81106929999999999</v>
      </c>
      <c r="P3978">
        <v>-0.81728029999999996</v>
      </c>
      <c r="Q3978">
        <v>0.1221453</v>
      </c>
      <c r="R3978">
        <v>-0.56314600000000004</v>
      </c>
      <c r="S3978">
        <v>-2.8366850000000001</v>
      </c>
      <c r="T3978">
        <v>-0.29652489999999998</v>
      </c>
      <c r="U3978">
        <v>-1.2909550000000001</v>
      </c>
      <c r="V3978">
        <v>0.33710430000000002</v>
      </c>
      <c r="W3978">
        <v>0.1279777</v>
      </c>
      <c r="X3978">
        <v>0.93272849999999996</v>
      </c>
      <c r="Y3978">
        <v>0.4922281</v>
      </c>
      <c r="Z3978">
        <v>8.1237760000000006E-2</v>
      </c>
      <c r="AA3978">
        <v>0.86666719999999897</v>
      </c>
      <c r="AB3978">
        <v>28</v>
      </c>
      <c r="AC3978">
        <v>-10.4652999999999</v>
      </c>
      <c r="AD3978">
        <v>-1.1103125832949901</v>
      </c>
      <c r="AE3978">
        <v>-4.6342999999999899</v>
      </c>
      <c r="AF3978">
        <v>5.7250594272372997</v>
      </c>
      <c r="AG3978">
        <v>-1.1103125832949901</v>
      </c>
      <c r="AH3978">
        <v>9.7873244448110892</v>
      </c>
      <c r="AI3978">
        <v>95.592668039764504</v>
      </c>
      <c r="AJ3978">
        <v>59.674657335243502</v>
      </c>
      <c r="AK3978">
        <v>11.3930162497039</v>
      </c>
      <c r="AL3978">
        <v>82.647253286020401</v>
      </c>
      <c r="AM3978">
        <v>70.129263029566502</v>
      </c>
      <c r="AN3978">
        <v>1.00000002774401</v>
      </c>
    </row>
    <row r="3979" spans="1:40" x14ac:dyDescent="0.25">
      <c r="A3979" t="str">
        <f>"20190303162859170"</f>
        <v>20190303162859170</v>
      </c>
      <c r="B3979" t="str">
        <f>"1551601739165529"</f>
        <v>1551601739165529</v>
      </c>
      <c r="C3979" t="s">
        <v>40</v>
      </c>
      <c r="D3979">
        <v>4.7889019999999896</v>
      </c>
      <c r="E3979">
        <v>0.57958759999999998</v>
      </c>
      <c r="F3979" t="s">
        <v>56</v>
      </c>
      <c r="G3979">
        <v>-207.4726</v>
      </c>
      <c r="H3979" s="1">
        <v>-7.5594330000000003E-6</v>
      </c>
      <c r="I3979">
        <v>143.6712</v>
      </c>
      <c r="J3979">
        <v>-197.05250000000001</v>
      </c>
      <c r="K3979">
        <v>1.110298</v>
      </c>
      <c r="L3979">
        <v>148.14850000000001</v>
      </c>
      <c r="M3979">
        <v>-0.59211130000000001</v>
      </c>
      <c r="N3979">
        <v>-1.5704490000000002E-2</v>
      </c>
      <c r="O3979">
        <v>-0.80570319999999995</v>
      </c>
      <c r="P3979">
        <v>-0.82272679999999998</v>
      </c>
      <c r="Q3979">
        <v>0.1195666</v>
      </c>
      <c r="R3979">
        <v>-0.55571969999999904</v>
      </c>
      <c r="S3979">
        <v>-2.8538969999999999</v>
      </c>
      <c r="T3979">
        <v>-0.3009058</v>
      </c>
      <c r="U3979">
        <v>-1.2507170000000001</v>
      </c>
      <c r="V3979">
        <v>0.33728449999999999</v>
      </c>
      <c r="W3979">
        <v>0.12540119999999999</v>
      </c>
      <c r="X3979">
        <v>0.93301330000000005</v>
      </c>
      <c r="Y3979">
        <v>0.49633379999999999</v>
      </c>
      <c r="Z3979">
        <v>8.2556779999999996E-2</v>
      </c>
      <c r="AA3979">
        <v>0.8641974</v>
      </c>
      <c r="AB3979">
        <v>27</v>
      </c>
      <c r="AC3979">
        <v>-10.4200999999999</v>
      </c>
      <c r="AD3979">
        <v>-1.110305559433</v>
      </c>
      <c r="AE3979">
        <v>-4.4773000000000103</v>
      </c>
      <c r="AF3979">
        <v>5.6906157025179196</v>
      </c>
      <c r="AG3979">
        <v>-1.110305559433</v>
      </c>
      <c r="AH3979">
        <v>9.6856096209753293</v>
      </c>
      <c r="AI3979">
        <v>95.644653770810294</v>
      </c>
      <c r="AJ3979">
        <v>59.5643567907535</v>
      </c>
      <c r="AK3979">
        <v>11.288353256298301</v>
      </c>
      <c r="AL3979">
        <v>82.796075250930699</v>
      </c>
      <c r="AM3979">
        <v>70.125066336805901</v>
      </c>
      <c r="AN3979">
        <v>1.0000000564392799</v>
      </c>
    </row>
    <row r="3980" spans="1:40" x14ac:dyDescent="0.25">
      <c r="A3980" t="str">
        <f>"20190303162859202"</f>
        <v>20190303162859202</v>
      </c>
      <c r="B3980" t="str">
        <f>"1551601739195785"</f>
        <v>1551601739195785</v>
      </c>
      <c r="C3980" t="s">
        <v>40</v>
      </c>
      <c r="D3980">
        <v>5.1174369999999998</v>
      </c>
      <c r="E3980">
        <v>0.57951759999999997</v>
      </c>
      <c r="F3980" t="s">
        <v>56</v>
      </c>
      <c r="G3980">
        <v>-207.5145</v>
      </c>
      <c r="H3980" s="1">
        <v>-7.5465959999999998E-6</v>
      </c>
      <c r="I3980">
        <v>143.69280000000001</v>
      </c>
      <c r="J3980">
        <v>-197.31</v>
      </c>
      <c r="K3980">
        <v>1.110276</v>
      </c>
      <c r="L3980">
        <v>147.83690000000001</v>
      </c>
      <c r="M3980">
        <v>-0.60887309999999994</v>
      </c>
      <c r="N3980">
        <v>-1.5712399999999901E-2</v>
      </c>
      <c r="O3980">
        <v>-0.79311229999999999</v>
      </c>
      <c r="P3980">
        <v>-0.83570199999999994</v>
      </c>
      <c r="Q3980">
        <v>0.1188934</v>
      </c>
      <c r="R3980">
        <v>-0.53615939999999995</v>
      </c>
      <c r="S3980">
        <v>-2.8660890000000001</v>
      </c>
      <c r="T3980">
        <v>-0.30417159999999999</v>
      </c>
      <c r="U3980">
        <v>-1.220642</v>
      </c>
      <c r="V3980">
        <v>0.33979730000000002</v>
      </c>
      <c r="W3980">
        <v>0.1246438</v>
      </c>
      <c r="X3980">
        <v>0.93220259999999999</v>
      </c>
      <c r="Y3980">
        <v>0.48708859999999898</v>
      </c>
      <c r="Z3980">
        <v>8.2662109999999997E-2</v>
      </c>
      <c r="AA3980">
        <v>0.86943179999999998</v>
      </c>
      <c r="AB3980">
        <v>27</v>
      </c>
      <c r="AC3980">
        <v>-10.2044999999999</v>
      </c>
      <c r="AD3980">
        <v>-1.1102835465959999</v>
      </c>
      <c r="AE3980">
        <v>-4.1440999999999999</v>
      </c>
      <c r="AF3980">
        <v>5.51472812115684</v>
      </c>
      <c r="AG3980">
        <v>-1.1102835465959999</v>
      </c>
      <c r="AH3980">
        <v>9.4055716789048294</v>
      </c>
      <c r="AI3980">
        <v>95.814510130344601</v>
      </c>
      <c r="AJ3980">
        <v>59.615809461444698</v>
      </c>
      <c r="AK3980">
        <v>10.959458673271</v>
      </c>
      <c r="AL3980">
        <v>82.839813736932101</v>
      </c>
      <c r="AM3980">
        <v>69.972689061980404</v>
      </c>
      <c r="AN3980">
        <v>0.99999998470624496</v>
      </c>
    </row>
    <row r="3981" spans="1:40" x14ac:dyDescent="0.25">
      <c r="A3981" t="str">
        <f>"20190303162859224"</f>
        <v>20190303162859224</v>
      </c>
      <c r="B3981" t="str">
        <f>"1551601739216282"</f>
        <v>1551601739216282</v>
      </c>
      <c r="C3981" t="s">
        <v>40</v>
      </c>
      <c r="D3981">
        <v>5.1210969999999998</v>
      </c>
      <c r="E3981">
        <v>0.57981990000000005</v>
      </c>
      <c r="F3981" t="s">
        <v>56</v>
      </c>
      <c r="G3981">
        <v>-207.9624</v>
      </c>
      <c r="H3981" s="1">
        <v>-7.3286210000000004E-6</v>
      </c>
      <c r="I3981">
        <v>143.61959999999999</v>
      </c>
      <c r="J3981">
        <v>-197.48519999999999</v>
      </c>
      <c r="K3981">
        <v>1.1102639999999999</v>
      </c>
      <c r="L3981">
        <v>147.6326</v>
      </c>
      <c r="M3981">
        <v>-0.61997080000000004</v>
      </c>
      <c r="N3981">
        <v>-1.5721700000000002E-2</v>
      </c>
      <c r="O3981">
        <v>-0.78446759999999904</v>
      </c>
      <c r="P3981">
        <v>-0.84371299999999905</v>
      </c>
      <c r="Q3981">
        <v>0.122097</v>
      </c>
      <c r="R3981">
        <v>-0.52272439999999998</v>
      </c>
      <c r="S3981">
        <v>-2.896957</v>
      </c>
      <c r="T3981">
        <v>-0.30194349999999998</v>
      </c>
      <c r="U3981">
        <v>-1.146881</v>
      </c>
      <c r="V3981">
        <v>0.34133010000000003</v>
      </c>
      <c r="W3981">
        <v>0.12777669999999999</v>
      </c>
      <c r="X3981">
        <v>0.93121799999999999</v>
      </c>
      <c r="Y3981">
        <v>0.4971448</v>
      </c>
      <c r="Z3981">
        <v>8.2026710000000003E-2</v>
      </c>
      <c r="AA3981">
        <v>0.86378159999999904</v>
      </c>
      <c r="AB3981">
        <v>27</v>
      </c>
      <c r="AC3981">
        <v>-10.4772</v>
      </c>
      <c r="AD3981">
        <v>-1.110271328621</v>
      </c>
      <c r="AE3981">
        <v>-4.0129999999999999</v>
      </c>
      <c r="AF3981">
        <v>5.6762014075249203</v>
      </c>
      <c r="AG3981">
        <v>-1.110271328621</v>
      </c>
      <c r="AH3981">
        <v>9.5512810647360595</v>
      </c>
      <c r="AI3981">
        <v>95.706547941689195</v>
      </c>
      <c r="AJ3981">
        <v>59.277537989034897</v>
      </c>
      <c r="AK3981">
        <v>11.1659721842538</v>
      </c>
      <c r="AL3981">
        <v>82.658865181743295</v>
      </c>
      <c r="AM3981">
        <v>69.870015326838399</v>
      </c>
      <c r="AN3981">
        <v>1.00000004287644</v>
      </c>
    </row>
    <row r="3982" spans="1:40" x14ac:dyDescent="0.25">
      <c r="A3982" t="str">
        <f>"20190303162859247"</f>
        <v>20190303162859247</v>
      </c>
      <c r="B3982" t="str">
        <f>"1551601739235801"</f>
        <v>1551601739235801</v>
      </c>
      <c r="C3982" t="s">
        <v>40</v>
      </c>
      <c r="D3982">
        <v>5.0941580000000002</v>
      </c>
      <c r="E3982">
        <v>0.58009709999999903</v>
      </c>
      <c r="F3982" t="s">
        <v>56</v>
      </c>
      <c r="G3982">
        <v>-208.52770000000001</v>
      </c>
      <c r="H3982" s="1">
        <v>-7.0414390000000001E-6</v>
      </c>
      <c r="I3982">
        <v>143.4813</v>
      </c>
      <c r="J3982">
        <v>-197.67949999999999</v>
      </c>
      <c r="K3982">
        <v>1.1102209999999999</v>
      </c>
      <c r="L3982">
        <v>147.4135</v>
      </c>
      <c r="M3982">
        <v>-0.63203030000000004</v>
      </c>
      <c r="N3982">
        <v>-1.5737859999999999E-2</v>
      </c>
      <c r="O3982">
        <v>-0.77478389999999997</v>
      </c>
      <c r="P3982">
        <v>-0.85180719999999999</v>
      </c>
      <c r="Q3982">
        <v>0.1263455</v>
      </c>
      <c r="R3982">
        <v>-0.50839049999999997</v>
      </c>
      <c r="S3982">
        <v>-2.9184420000000002</v>
      </c>
      <c r="T3982">
        <v>-0.29343720000000001</v>
      </c>
      <c r="U3982">
        <v>-1.097153</v>
      </c>
      <c r="V3982">
        <v>0.34231990000000001</v>
      </c>
      <c r="W3982">
        <v>0.1319477</v>
      </c>
      <c r="X3982">
        <v>0.93027249999999995</v>
      </c>
      <c r="Y3982">
        <v>0.49900440000000001</v>
      </c>
      <c r="Z3982">
        <v>7.9063770000000005E-2</v>
      </c>
      <c r="AA3982">
        <v>0.86298529999999996</v>
      </c>
      <c r="AB3982">
        <v>27</v>
      </c>
      <c r="AC3982">
        <v>-10.8482</v>
      </c>
      <c r="AD3982">
        <v>-1.110228041439</v>
      </c>
      <c r="AE3982">
        <v>-3.9321999999999901</v>
      </c>
      <c r="AF3982">
        <v>5.8661676709944297</v>
      </c>
      <c r="AG3982">
        <v>-1.110228041439</v>
      </c>
      <c r="AH3982">
        <v>9.8133745197060502</v>
      </c>
      <c r="AI3982">
        <v>95.546433562027403</v>
      </c>
      <c r="AJ3982">
        <v>59.1301689171476</v>
      </c>
      <c r="AK3982">
        <v>11.4868119559882</v>
      </c>
      <c r="AL3982">
        <v>82.417843151676806</v>
      </c>
      <c r="AM3982">
        <v>69.797490339046803</v>
      </c>
      <c r="AN3982">
        <v>1.0000000168637699</v>
      </c>
    </row>
    <row r="3983" spans="1:40" x14ac:dyDescent="0.25">
      <c r="A3983" t="str">
        <f>"20190303162859268"</f>
        <v>20190303162859268</v>
      </c>
      <c r="B3983" t="str">
        <f>"1551601739255322"</f>
        <v>1551601739255322</v>
      </c>
      <c r="C3983" t="s">
        <v>40</v>
      </c>
      <c r="D3983">
        <v>5.1220970000000001</v>
      </c>
      <c r="E3983">
        <v>0.58037729999999998</v>
      </c>
      <c r="F3983" t="s">
        <v>56</v>
      </c>
      <c r="G3983">
        <v>-209.24420000000001</v>
      </c>
      <c r="H3983" s="1">
        <v>-6.676042E-6</v>
      </c>
      <c r="I3983">
        <v>143.30090000000001</v>
      </c>
      <c r="J3983">
        <v>-197.8537</v>
      </c>
      <c r="K3983">
        <v>1.1101719999999999</v>
      </c>
      <c r="L3983">
        <v>147.2226</v>
      </c>
      <c r="M3983">
        <v>-0.64265139999999998</v>
      </c>
      <c r="N3983">
        <v>-1.5757529999999999E-2</v>
      </c>
      <c r="O3983">
        <v>-0.76599659999999903</v>
      </c>
      <c r="P3983">
        <v>-0.85741009999999995</v>
      </c>
      <c r="Q3983">
        <v>0.12992380000000001</v>
      </c>
      <c r="R3983">
        <v>-0.49796360000000001</v>
      </c>
      <c r="S3983">
        <v>-2.939819</v>
      </c>
      <c r="T3983">
        <v>-0.28222550000000002</v>
      </c>
      <c r="U3983">
        <v>-1.0454410000000001</v>
      </c>
      <c r="V3983">
        <v>0.34054759999999901</v>
      </c>
      <c r="W3983">
        <v>0.1355372</v>
      </c>
      <c r="X3983">
        <v>0.93040690000000004</v>
      </c>
      <c r="Y3983">
        <v>0.50285800000000003</v>
      </c>
      <c r="Z3983">
        <v>7.5433650000000005E-2</v>
      </c>
      <c r="AA3983">
        <v>0.86107119999999904</v>
      </c>
      <c r="AB3983">
        <v>27</v>
      </c>
      <c r="AC3983">
        <v>-11.390499999999999</v>
      </c>
      <c r="AD3983">
        <v>-1.110178676042</v>
      </c>
      <c r="AE3983">
        <v>-3.92169999999998</v>
      </c>
      <c r="AF3983">
        <v>6.1533104268248904</v>
      </c>
      <c r="AG3983">
        <v>-1.110178676042</v>
      </c>
      <c r="AH3983">
        <v>10.238459288065499</v>
      </c>
      <c r="AI3983">
        <v>95.309750016356105</v>
      </c>
      <c r="AJ3983">
        <v>58.994147626129397</v>
      </c>
      <c r="AK3983">
        <v>11.9967401611848</v>
      </c>
      <c r="AL3983">
        <v>82.210315300575203</v>
      </c>
      <c r="AM3983">
        <v>69.896360064545107</v>
      </c>
      <c r="AN3983">
        <v>1.0000000000086</v>
      </c>
    </row>
    <row r="3984" spans="1:40" x14ac:dyDescent="0.25">
      <c r="A3984" t="str">
        <f>"20190303162859290"</f>
        <v>20190303162859290</v>
      </c>
      <c r="B3984" t="str">
        <f>"1551601739285578"</f>
        <v>1551601739285578</v>
      </c>
      <c r="C3984" t="s">
        <v>40</v>
      </c>
      <c r="D3984">
        <v>5.1506499999999997</v>
      </c>
      <c r="E3984">
        <v>0.58048219999999995</v>
      </c>
      <c r="F3984" t="s">
        <v>56</v>
      </c>
      <c r="G3984">
        <v>-209.89269999999999</v>
      </c>
      <c r="H3984" s="1">
        <v>-6.3407039999999901E-6</v>
      </c>
      <c r="I3984">
        <v>143.1199</v>
      </c>
      <c r="J3984">
        <v>-198.0454</v>
      </c>
      <c r="K3984">
        <v>1.1101080000000001</v>
      </c>
      <c r="L3984">
        <v>147.01900000000001</v>
      </c>
      <c r="M3984">
        <v>-0.65414150000000004</v>
      </c>
      <c r="N3984">
        <v>-1.578326E-2</v>
      </c>
      <c r="O3984">
        <v>-0.75620779999999999</v>
      </c>
      <c r="P3984">
        <v>-0.8624404</v>
      </c>
      <c r="Q3984">
        <v>0.1340935</v>
      </c>
      <c r="R3984">
        <v>-0.4880737</v>
      </c>
      <c r="S3984">
        <v>-2.955276</v>
      </c>
      <c r="T3984">
        <v>-0.272522599999999</v>
      </c>
      <c r="U3984">
        <v>-1.007126</v>
      </c>
      <c r="V3984">
        <v>0.33685110000000001</v>
      </c>
      <c r="W3984">
        <v>0.139768</v>
      </c>
      <c r="X3984">
        <v>0.93112629999999996</v>
      </c>
      <c r="Y3984">
        <v>0.50149520000000003</v>
      </c>
      <c r="Z3984">
        <v>7.2031680000000001E-2</v>
      </c>
      <c r="AA3984">
        <v>0.86215659999999905</v>
      </c>
      <c r="AB3984">
        <v>27</v>
      </c>
      <c r="AC3984">
        <v>-11.847299999999899</v>
      </c>
      <c r="AD3984">
        <v>-1.1101143407039999</v>
      </c>
      <c r="AE3984">
        <v>-3.8990999999999998</v>
      </c>
      <c r="AF3984">
        <v>6.3588795954663704</v>
      </c>
      <c r="AG3984">
        <v>-1.1101143407039999</v>
      </c>
      <c r="AH3984">
        <v>10.615574519828501</v>
      </c>
      <c r="AI3984">
        <v>95.126313686219703</v>
      </c>
      <c r="AJ3984">
        <v>59.077793669498902</v>
      </c>
      <c r="AK3984">
        <v>12.424094572447</v>
      </c>
      <c r="AL3984">
        <v>81.965578139065499</v>
      </c>
      <c r="AM3984">
        <v>70.111530006389401</v>
      </c>
      <c r="AN3984">
        <v>0.99999997197344903</v>
      </c>
    </row>
    <row r="3985" spans="1:40" x14ac:dyDescent="0.25">
      <c r="A3985" t="str">
        <f>"20190303162859312"</f>
        <v>20190303162859312</v>
      </c>
      <c r="B3985" t="str">
        <f>"1551601739305098"</f>
        <v>1551601739305098</v>
      </c>
      <c r="C3985" t="s">
        <v>40</v>
      </c>
      <c r="D3985">
        <v>5.1635499999999999</v>
      </c>
      <c r="E3985">
        <v>0.58045559999999996</v>
      </c>
      <c r="F3985" t="s">
        <v>41</v>
      </c>
      <c r="G3985">
        <v>-210.51009999999999</v>
      </c>
      <c r="H3985" s="1">
        <v>-5.1038610000000004E-6</v>
      </c>
      <c r="I3985">
        <v>142.93389999999999</v>
      </c>
      <c r="J3985">
        <v>-198.2441</v>
      </c>
      <c r="K3985">
        <v>1.1100190000000001</v>
      </c>
      <c r="L3985">
        <v>146.81450000000001</v>
      </c>
      <c r="M3985">
        <v>-0.66586140000000005</v>
      </c>
      <c r="N3985">
        <v>-1.5814160000000001E-2</v>
      </c>
      <c r="O3985">
        <v>-0.74590829999999997</v>
      </c>
      <c r="P3985">
        <v>-0.86764589999999997</v>
      </c>
      <c r="Q3985">
        <v>0.13846889999999901</v>
      </c>
      <c r="R3985">
        <v>-0.47751209999999999</v>
      </c>
      <c r="S3985">
        <v>-2.9689480000000001</v>
      </c>
      <c r="T3985">
        <v>-0.26441559999999997</v>
      </c>
      <c r="U3985">
        <v>-0.97302250000000001</v>
      </c>
      <c r="V3985">
        <v>0.33332260000000002</v>
      </c>
      <c r="W3985">
        <v>0.14419079999999901</v>
      </c>
      <c r="X3985">
        <v>0.93172160000000004</v>
      </c>
      <c r="Y3985">
        <v>0.4983727</v>
      </c>
      <c r="Z3985">
        <v>6.9036739999999999E-2</v>
      </c>
      <c r="AA3985">
        <v>0.86420980000000003</v>
      </c>
      <c r="AB3985">
        <v>27</v>
      </c>
      <c r="AC3985">
        <v>-12.265999999999901</v>
      </c>
      <c r="AD3985">
        <v>-1.1100241038609999</v>
      </c>
      <c r="AE3985">
        <v>-3.88060000000001</v>
      </c>
      <c r="AF3985">
        <v>6.5176681004569703</v>
      </c>
      <c r="AG3985">
        <v>-1.1100241038609999</v>
      </c>
      <c r="AH3985">
        <v>10.9816553959361</v>
      </c>
      <c r="AI3985">
        <v>94.967853548626906</v>
      </c>
      <c r="AJ3985">
        <v>59.310654410930901</v>
      </c>
      <c r="AK3985">
        <v>12.818303562248801</v>
      </c>
      <c r="AL3985">
        <v>81.7095773189358</v>
      </c>
      <c r="AM3985">
        <v>70.315374047767506</v>
      </c>
      <c r="AN3985">
        <v>1.00000004119097</v>
      </c>
    </row>
    <row r="3986" spans="1:40" x14ac:dyDescent="0.25">
      <c r="A3986" t="str">
        <f>"20190303162859335"</f>
        <v>20190303162859335</v>
      </c>
      <c r="B3986" t="str">
        <f>"1551601739325593"</f>
        <v>1551601739325593</v>
      </c>
      <c r="C3986" t="s">
        <v>40</v>
      </c>
      <c r="D3986">
        <v>5.0990070000000003</v>
      </c>
      <c r="E3986">
        <v>0.58052380000000003</v>
      </c>
      <c r="F3986" t="s">
        <v>41</v>
      </c>
      <c r="G3986">
        <v>-211.20930000000001</v>
      </c>
      <c r="H3986" s="1">
        <v>-4.7995999999999998E-6</v>
      </c>
      <c r="I3986">
        <v>142.73220000000001</v>
      </c>
      <c r="J3986">
        <v>-198.43719999999999</v>
      </c>
      <c r="K3986">
        <v>1.109912</v>
      </c>
      <c r="L3986">
        <v>146.62190000000001</v>
      </c>
      <c r="M3986">
        <v>-0.67708990000000002</v>
      </c>
      <c r="N3986">
        <v>-1.584932E-2</v>
      </c>
      <c r="O3986">
        <v>-0.73572969999999904</v>
      </c>
      <c r="P3986">
        <v>-0.8732491</v>
      </c>
      <c r="Q3986">
        <v>0.14045270000000001</v>
      </c>
      <c r="R3986">
        <v>-0.46659390000000001</v>
      </c>
      <c r="S3986">
        <v>-2.9817049999999998</v>
      </c>
      <c r="T3986">
        <v>-0.25527939999999999</v>
      </c>
      <c r="U3986">
        <v>-0.93882750000000004</v>
      </c>
      <c r="V3986">
        <v>0.33074340000000002</v>
      </c>
      <c r="W3986">
        <v>0.14619299999999999</v>
      </c>
      <c r="X3986">
        <v>0.9323285</v>
      </c>
      <c r="Y3986">
        <v>0.49557960000000001</v>
      </c>
      <c r="Z3986">
        <v>6.5802810000000003E-2</v>
      </c>
      <c r="AA3986">
        <v>0.86606629999999996</v>
      </c>
      <c r="AB3986">
        <v>27</v>
      </c>
      <c r="AC3986">
        <v>-12.7721</v>
      </c>
      <c r="AD3986">
        <v>-1.1099167995999999</v>
      </c>
      <c r="AE3986">
        <v>-3.8896999999999999</v>
      </c>
      <c r="AF3986">
        <v>6.7175613690798599</v>
      </c>
      <c r="AG3986">
        <v>-1.1099167995999999</v>
      </c>
      <c r="AH3986">
        <v>11.4320667783677</v>
      </c>
      <c r="AI3986">
        <v>94.784872740356803</v>
      </c>
      <c r="AJ3986">
        <v>59.561210963120502</v>
      </c>
      <c r="AK3986">
        <v>13.306002287480901</v>
      </c>
      <c r="AL3986">
        <v>81.5936308138442</v>
      </c>
      <c r="AM3986">
        <v>70.467866870695801</v>
      </c>
      <c r="AN3986">
        <v>1.0000000109024001</v>
      </c>
    </row>
    <row r="3987" spans="1:40" x14ac:dyDescent="0.25">
      <c r="A3987" t="str">
        <f>"20190303162859356"</f>
        <v>20190303162859356</v>
      </c>
      <c r="B3987" t="str">
        <f>"1551601739345113"</f>
        <v>1551601739345113</v>
      </c>
      <c r="C3987" t="s">
        <v>40</v>
      </c>
      <c r="D3987">
        <v>4.938466</v>
      </c>
      <c r="E3987">
        <v>0.58074689999999995</v>
      </c>
      <c r="F3987" t="s">
        <v>41</v>
      </c>
      <c r="G3987">
        <v>-211.54859999999999</v>
      </c>
      <c r="H3987" s="1">
        <v>-4.6572780000000001E-6</v>
      </c>
      <c r="I3987">
        <v>142.6644</v>
      </c>
      <c r="J3987">
        <v>-198.6285</v>
      </c>
      <c r="K3987">
        <v>1.109802</v>
      </c>
      <c r="L3987">
        <v>146.43719999999999</v>
      </c>
      <c r="M3987">
        <v>-0.68805309999999997</v>
      </c>
      <c r="N3987">
        <v>-1.588881E-2</v>
      </c>
      <c r="O3987">
        <v>-0.72548659999999998</v>
      </c>
      <c r="P3987">
        <v>-0.87896779999999997</v>
      </c>
      <c r="Q3987">
        <v>0.13971749999999999</v>
      </c>
      <c r="R3987">
        <v>-0.4559551</v>
      </c>
      <c r="S3987">
        <v>-2.9934229999999999</v>
      </c>
      <c r="T3987">
        <v>-0.2534015</v>
      </c>
      <c r="U3987">
        <v>-0.9035339</v>
      </c>
      <c r="V3987">
        <v>0.32817829999999998</v>
      </c>
      <c r="W3987">
        <v>0.145483</v>
      </c>
      <c r="X3987">
        <v>0.93334539999999999</v>
      </c>
      <c r="Y3987">
        <v>0.49292570000000002</v>
      </c>
      <c r="Z3987">
        <v>6.4723639999999999E-2</v>
      </c>
      <c r="AA3987">
        <v>0.86766069999999995</v>
      </c>
      <c r="AB3987">
        <v>27</v>
      </c>
      <c r="AC3987">
        <v>-12.9200999999999</v>
      </c>
      <c r="AD3987">
        <v>-1.1098066572780001</v>
      </c>
      <c r="AE3987">
        <v>-3.7727999999999802</v>
      </c>
      <c r="AF3987">
        <v>6.73255468943902</v>
      </c>
      <c r="AG3987">
        <v>-1.1098066572780001</v>
      </c>
      <c r="AH3987">
        <v>11.5497733746869</v>
      </c>
      <c r="AI3987">
        <v>94.745513030120406</v>
      </c>
      <c r="AJ3987">
        <v>59.761380843458198</v>
      </c>
      <c r="AK3987">
        <v>13.414776497185899</v>
      </c>
      <c r="AL3987">
        <v>81.634750085760302</v>
      </c>
      <c r="AM3987">
        <v>70.627557741547804</v>
      </c>
      <c r="AN3987">
        <v>0.99999996779052402</v>
      </c>
    </row>
    <row r="3988" spans="1:40" x14ac:dyDescent="0.25">
      <c r="A3988" t="str">
        <f>"20190303162859380"</f>
        <v>20190303162859380</v>
      </c>
      <c r="B3988" t="str">
        <f>"1551601739375370"</f>
        <v>1551601739375370</v>
      </c>
      <c r="C3988" t="s">
        <v>40</v>
      </c>
      <c r="D3988">
        <v>5.1715989999999996</v>
      </c>
      <c r="E3988">
        <v>0.5810767</v>
      </c>
      <c r="F3988" t="s">
        <v>41</v>
      </c>
      <c r="G3988">
        <v>-211.6232</v>
      </c>
      <c r="H3988" s="1">
        <v>-4.6336900000000004E-6</v>
      </c>
      <c r="I3988">
        <v>142.69299999999899</v>
      </c>
      <c r="J3988">
        <v>-198.83250000000001</v>
      </c>
      <c r="K3988">
        <v>1.1096779999999999</v>
      </c>
      <c r="L3988">
        <v>146.24639999999999</v>
      </c>
      <c r="M3988">
        <v>-0.69956300000000005</v>
      </c>
      <c r="N3988">
        <v>-1.5933840000000001E-2</v>
      </c>
      <c r="O3988">
        <v>-0.71439330000000001</v>
      </c>
      <c r="P3988">
        <v>-0.88511039999999996</v>
      </c>
      <c r="Q3988">
        <v>0.14088310000000001</v>
      </c>
      <c r="R3988">
        <v>-0.44354490000000002</v>
      </c>
      <c r="S3988">
        <v>-3.0047760000000001</v>
      </c>
      <c r="T3988">
        <v>-0.25662109999999999</v>
      </c>
      <c r="U3988">
        <v>-0.86576839999999999</v>
      </c>
      <c r="V3988">
        <v>0.32633119999999999</v>
      </c>
      <c r="W3988">
        <v>0.14664679999999999</v>
      </c>
      <c r="X3988">
        <v>0.93381080000000005</v>
      </c>
      <c r="Y3988">
        <v>0.48991580000000001</v>
      </c>
      <c r="Z3988">
        <v>6.5063239999999994E-2</v>
      </c>
      <c r="AA3988">
        <v>0.86933850000000001</v>
      </c>
      <c r="AB3988">
        <v>27</v>
      </c>
      <c r="AC3988">
        <v>-12.7906999999999</v>
      </c>
      <c r="AD3988">
        <v>-1.1096826336900001</v>
      </c>
      <c r="AE3988">
        <v>-3.5534000000000101</v>
      </c>
      <c r="AF3988">
        <v>6.6064451078953201</v>
      </c>
      <c r="AG3988">
        <v>-1.1096826336900001</v>
      </c>
      <c r="AH3988">
        <v>11.408169207457499</v>
      </c>
      <c r="AI3988">
        <v>94.811545939090095</v>
      </c>
      <c r="AJ3988">
        <v>59.924964408827996</v>
      </c>
      <c r="AK3988">
        <v>13.229619691326301</v>
      </c>
      <c r="AL3988">
        <v>81.567346392101697</v>
      </c>
      <c r="AM3988">
        <v>70.737429903424101</v>
      </c>
      <c r="AN3988">
        <v>0.99999997312015898</v>
      </c>
    </row>
    <row r="3989" spans="1:40" x14ac:dyDescent="0.25">
      <c r="A3989" t="str">
        <f>"20190303162859402"</f>
        <v>20190303162859402</v>
      </c>
      <c r="B3989" t="str">
        <f>"1551601739395865"</f>
        <v>1551601739395865</v>
      </c>
      <c r="C3989" t="s">
        <v>40</v>
      </c>
      <c r="D3989">
        <v>5.1541680000000003</v>
      </c>
      <c r="E3989">
        <v>0.58123000000000002</v>
      </c>
      <c r="F3989" t="s">
        <v>41</v>
      </c>
      <c r="G3989">
        <v>-212.06180000000001</v>
      </c>
      <c r="H3989" s="1">
        <v>-4.4568079999999996E-6</v>
      </c>
      <c r="I3989">
        <v>142.64519999999999</v>
      </c>
      <c r="J3989">
        <v>-199.04769999999999</v>
      </c>
      <c r="K3989">
        <v>1.109556</v>
      </c>
      <c r="L3989">
        <v>146.05170000000001</v>
      </c>
      <c r="M3989">
        <v>-0.71149949999999995</v>
      </c>
      <c r="N3989">
        <v>-1.5981450000000001E-2</v>
      </c>
      <c r="O3989">
        <v>-0.70250489999999999</v>
      </c>
      <c r="P3989">
        <v>-0.89160300000000003</v>
      </c>
      <c r="Q3989">
        <v>0.14189280000000001</v>
      </c>
      <c r="R3989">
        <v>-0.43001250000000002</v>
      </c>
      <c r="S3989">
        <v>-3.018005</v>
      </c>
      <c r="T3989">
        <v>-0.253152299999999</v>
      </c>
      <c r="U3989">
        <v>-0.82154850000000001</v>
      </c>
      <c r="V3989">
        <v>0.32478000000000001</v>
      </c>
      <c r="W3989">
        <v>0.147651799999999</v>
      </c>
      <c r="X3989">
        <v>0.93419319999999895</v>
      </c>
      <c r="Y3989">
        <v>0.4881781</v>
      </c>
      <c r="Z3989">
        <v>6.3489539999999997E-2</v>
      </c>
      <c r="AA3989">
        <v>0.87043169999999903</v>
      </c>
      <c r="AB3989">
        <v>27</v>
      </c>
      <c r="AC3989">
        <v>-13.014099999999999</v>
      </c>
      <c r="AD3989">
        <v>-1.109560456808</v>
      </c>
      <c r="AE3989">
        <v>-3.4065000000000198</v>
      </c>
      <c r="AF3989">
        <v>6.6742000880279599</v>
      </c>
      <c r="AG3989">
        <v>-1.109560456808</v>
      </c>
      <c r="AH3989">
        <v>11.5753507518519</v>
      </c>
      <c r="AI3989">
        <v>94.7469889200609</v>
      </c>
      <c r="AJ3989">
        <v>60.032797569373699</v>
      </c>
      <c r="AK3989">
        <v>13.4076402193205</v>
      </c>
      <c r="AL3989">
        <v>81.509130797021697</v>
      </c>
      <c r="AM3989">
        <v>70.829569444605696</v>
      </c>
      <c r="AN3989">
        <v>1.00000001868473</v>
      </c>
    </row>
    <row r="3990" spans="1:40" x14ac:dyDescent="0.25">
      <c r="A3990" t="str">
        <f>"20190303162859425"</f>
        <v>20190303162859425</v>
      </c>
      <c r="B3990" t="str">
        <f>"1551601739415893"</f>
        <v>1551601739415893</v>
      </c>
      <c r="C3990" t="s">
        <v>40</v>
      </c>
      <c r="D3990">
        <v>5.0431530000000002</v>
      </c>
      <c r="E3990">
        <v>0.58142349999999998</v>
      </c>
      <c r="F3990" t="s">
        <v>41</v>
      </c>
      <c r="G3990">
        <v>-212.4496</v>
      </c>
      <c r="H3990" s="1">
        <v>-4.3041250000000001E-6</v>
      </c>
      <c r="I3990">
        <v>142.62389999999999</v>
      </c>
      <c r="J3990">
        <v>-199.25800000000001</v>
      </c>
      <c r="K3990">
        <v>1.1094569999999999</v>
      </c>
      <c r="L3990">
        <v>145.86859999999999</v>
      </c>
      <c r="M3990">
        <v>-0.72291989999999995</v>
      </c>
      <c r="N3990">
        <v>-1.6025250000000001E-2</v>
      </c>
      <c r="O3990">
        <v>-0.69074619999999998</v>
      </c>
      <c r="P3990">
        <v>-0.89803169999999899</v>
      </c>
      <c r="Q3990">
        <v>0.14100389999999999</v>
      </c>
      <c r="R3990">
        <v>-0.4167226</v>
      </c>
      <c r="S3990">
        <v>-3.0307919999999999</v>
      </c>
      <c r="T3990">
        <v>-0.25092510000000001</v>
      </c>
      <c r="U3990">
        <v>-0.775177</v>
      </c>
      <c r="V3990">
        <v>0.32344650000000003</v>
      </c>
      <c r="W3990">
        <v>0.1467717</v>
      </c>
      <c r="X3990">
        <v>0.93479429999999997</v>
      </c>
      <c r="Y3990">
        <v>0.4873422</v>
      </c>
      <c r="Z3990">
        <v>6.2325310000000002E-2</v>
      </c>
      <c r="AA3990">
        <v>0.87098399999999998</v>
      </c>
      <c r="AB3990">
        <v>27</v>
      </c>
      <c r="AC3990">
        <v>-13.191599999999999</v>
      </c>
      <c r="AD3990">
        <v>-1.1094613041250001</v>
      </c>
      <c r="AE3990">
        <v>-3.2446999999999901</v>
      </c>
      <c r="AF3990">
        <v>6.7224195381732201</v>
      </c>
      <c r="AG3990">
        <v>-1.1094613041250001</v>
      </c>
      <c r="AH3990">
        <v>11.701199434272</v>
      </c>
      <c r="AI3990">
        <v>94.699952415236893</v>
      </c>
      <c r="AJ3990">
        <v>60.122336238653702</v>
      </c>
      <c r="AK3990">
        <v>13.540306386237001</v>
      </c>
      <c r="AL3990">
        <v>81.560111900291005</v>
      </c>
      <c r="AM3990">
        <v>70.913959951546502</v>
      </c>
      <c r="AN3990">
        <v>0.99999997679781405</v>
      </c>
    </row>
    <row r="3991" spans="1:40" x14ac:dyDescent="0.25">
      <c r="A3991" t="str">
        <f>"20190303162859447"</f>
        <v>20190303162859447</v>
      </c>
      <c r="B3991" t="str">
        <f>"1551601739435412"</f>
        <v>1551601739435412</v>
      </c>
      <c r="C3991" t="s">
        <v>40</v>
      </c>
      <c r="D3991">
        <v>5.0171669999999997</v>
      </c>
      <c r="E3991">
        <v>0.58162190000000002</v>
      </c>
      <c r="F3991" t="s">
        <v>41</v>
      </c>
      <c r="G3991">
        <v>-212.60650000000001</v>
      </c>
      <c r="H3991" s="1">
        <v>-4.2529100000000002E-6</v>
      </c>
      <c r="I3991">
        <v>142.67490000000001</v>
      </c>
      <c r="J3991">
        <v>-199.4598</v>
      </c>
      <c r="K3991">
        <v>1.109383</v>
      </c>
      <c r="L3991">
        <v>145.6985</v>
      </c>
      <c r="M3991">
        <v>-0.73365209999999903</v>
      </c>
      <c r="N3991">
        <v>-1.6062699999999999E-2</v>
      </c>
      <c r="O3991">
        <v>-0.67933559999999904</v>
      </c>
      <c r="P3991">
        <v>-0.90379699999999996</v>
      </c>
      <c r="Q3991">
        <v>0.14103679999999999</v>
      </c>
      <c r="R3991">
        <v>-0.40405439999999998</v>
      </c>
      <c r="S3991">
        <v>-3.042557</v>
      </c>
      <c r="T3991">
        <v>-0.252882</v>
      </c>
      <c r="U3991">
        <v>-0.72793580000000002</v>
      </c>
      <c r="V3991">
        <v>0.32196750000000002</v>
      </c>
      <c r="W3991">
        <v>0.14683209999999999</v>
      </c>
      <c r="X3991">
        <v>0.93529530000000005</v>
      </c>
      <c r="Y3991">
        <v>0.4871993</v>
      </c>
      <c r="Z3991">
        <v>6.2380270000000002E-2</v>
      </c>
      <c r="AA3991">
        <v>0.87105999999999995</v>
      </c>
      <c r="AB3991">
        <v>27</v>
      </c>
      <c r="AC3991">
        <v>-13.146699999999999</v>
      </c>
      <c r="AD3991">
        <v>-1.10938725291</v>
      </c>
      <c r="AE3991">
        <v>-3.0235999999999801</v>
      </c>
      <c r="AF3991">
        <v>6.6685160361548403</v>
      </c>
      <c r="AG3991">
        <v>-1.10938725291</v>
      </c>
      <c r="AH3991">
        <v>11.622049700900099</v>
      </c>
      <c r="AI3991">
        <v>94.732976981760103</v>
      </c>
      <c r="AJ3991">
        <v>60.1535975281015</v>
      </c>
      <c r="AK3991">
        <v>13.4451435638139</v>
      </c>
      <c r="AL3991">
        <v>81.556613676853502</v>
      </c>
      <c r="AM3991">
        <v>71.004408720873698</v>
      </c>
      <c r="AN3991">
        <v>1.0000000174243699</v>
      </c>
    </row>
    <row r="3992" spans="1:40" x14ac:dyDescent="0.25">
      <c r="A3992" t="str">
        <f>"20190303162859469"</f>
        <v>20190303162859469</v>
      </c>
      <c r="B3992" t="str">
        <f>"1551601739465669"</f>
        <v>1551601739465669</v>
      </c>
      <c r="C3992" t="s">
        <v>40</v>
      </c>
      <c r="D3992">
        <v>5.0666180000000001</v>
      </c>
      <c r="E3992">
        <v>0.58179809999999998</v>
      </c>
      <c r="F3992" t="s">
        <v>41</v>
      </c>
      <c r="G3992">
        <v>-212.9187</v>
      </c>
      <c r="H3992" s="1">
        <v>-4.1352340000000003E-6</v>
      </c>
      <c r="I3992">
        <v>142.6875</v>
      </c>
      <c r="J3992">
        <v>-199.6756</v>
      </c>
      <c r="K3992">
        <v>1.109327</v>
      </c>
      <c r="L3992">
        <v>145.52269999999999</v>
      </c>
      <c r="M3992">
        <v>-0.74485459999999903</v>
      </c>
      <c r="N3992">
        <v>-1.6096530000000001E-2</v>
      </c>
      <c r="O3992">
        <v>-0.66703299999999999</v>
      </c>
      <c r="P3992">
        <v>-0.90983729999999996</v>
      </c>
      <c r="Q3992">
        <v>0.1415167</v>
      </c>
      <c r="R3992">
        <v>-0.39008959999999998</v>
      </c>
      <c r="S3992">
        <v>-3.0532379999999999</v>
      </c>
      <c r="T3992">
        <v>-0.25167200000000001</v>
      </c>
      <c r="U3992">
        <v>-0.68307499999999999</v>
      </c>
      <c r="V3992">
        <v>0.32078770000000001</v>
      </c>
      <c r="W3992">
        <v>0.14734149999999999</v>
      </c>
      <c r="X3992">
        <v>0.93562049999999997</v>
      </c>
      <c r="Y3992">
        <v>0.48557220000000001</v>
      </c>
      <c r="Z3992">
        <v>6.1443810000000001E-2</v>
      </c>
      <c r="AA3992">
        <v>0.87203449999999905</v>
      </c>
      <c r="AB3992">
        <v>27</v>
      </c>
      <c r="AC3992">
        <v>-13.243099999999901</v>
      </c>
      <c r="AD3992">
        <v>-1.1093311352339901</v>
      </c>
      <c r="AE3992">
        <v>-2.83519999999998</v>
      </c>
      <c r="AF3992">
        <v>6.6778383191503599</v>
      </c>
      <c r="AG3992">
        <v>-1.1093311352339901</v>
      </c>
      <c r="AH3992">
        <v>11.678520926875301</v>
      </c>
      <c r="AI3992">
        <v>94.713954931462098</v>
      </c>
      <c r="AJ3992">
        <v>60.238856420742898</v>
      </c>
      <c r="AK3992">
        <v>13.498592194142899</v>
      </c>
      <c r="AL3992">
        <v>81.527106064288603</v>
      </c>
      <c r="AM3992">
        <v>71.075162229595307</v>
      </c>
      <c r="AN3992">
        <v>0.99999999305689502</v>
      </c>
    </row>
    <row r="3993" spans="1:40" x14ac:dyDescent="0.25">
      <c r="A3993" t="str">
        <f>"20190303162859492"</f>
        <v>20190303162859492</v>
      </c>
      <c r="B3993" t="str">
        <f>"1551601739486165"</f>
        <v>1551601739486165</v>
      </c>
      <c r="C3993" t="s">
        <v>40</v>
      </c>
      <c r="D3993">
        <v>5.1150159999999998</v>
      </c>
      <c r="E3993">
        <v>0.58188300000000004</v>
      </c>
      <c r="F3993" t="s">
        <v>41</v>
      </c>
      <c r="G3993">
        <v>-213.3425</v>
      </c>
      <c r="H3993" s="1">
        <v>-3.947274E-6</v>
      </c>
      <c r="I3993">
        <v>142.69720000000001</v>
      </c>
      <c r="J3993">
        <v>-199.89080000000001</v>
      </c>
      <c r="K3993">
        <v>1.109299</v>
      </c>
      <c r="L3993">
        <v>145.35339999999999</v>
      </c>
      <c r="M3993">
        <v>-0.75573310000000005</v>
      </c>
      <c r="N3993">
        <v>-1.61239E-2</v>
      </c>
      <c r="O3993">
        <v>-0.65468110000000002</v>
      </c>
      <c r="P3993">
        <v>-0.91570410000000002</v>
      </c>
      <c r="Q3993">
        <v>0.142094</v>
      </c>
      <c r="R3993">
        <v>-0.37589319999999998</v>
      </c>
      <c r="S3993">
        <v>-3.064362</v>
      </c>
      <c r="T3993">
        <v>-0.2487328</v>
      </c>
      <c r="U3993">
        <v>-0.63354489999999997</v>
      </c>
      <c r="V3993">
        <v>0.31990469999999999</v>
      </c>
      <c r="W3993">
        <v>0.1479499</v>
      </c>
      <c r="X3993">
        <v>0.93582679999999996</v>
      </c>
      <c r="Y3993">
        <v>0.48543150000000002</v>
      </c>
      <c r="Z3993">
        <v>6.010066E-2</v>
      </c>
      <c r="AA3993">
        <v>0.8722065</v>
      </c>
      <c r="AB3993">
        <v>27</v>
      </c>
      <c r="AC3993">
        <v>-13.451699999999899</v>
      </c>
      <c r="AD3993">
        <v>-1.1093029472739999</v>
      </c>
      <c r="AE3993">
        <v>-2.6561999999999801</v>
      </c>
      <c r="AF3993">
        <v>6.7558604372723501</v>
      </c>
      <c r="AG3993">
        <v>-1.1093029472739999</v>
      </c>
      <c r="AH3993">
        <v>11.828982590587</v>
      </c>
      <c r="AI3993">
        <v>94.655494295745299</v>
      </c>
      <c r="AJ3993">
        <v>60.268112703300197</v>
      </c>
      <c r="AK3993">
        <v>13.667371086099299</v>
      </c>
      <c r="AL3993">
        <v>81.491861051745602</v>
      </c>
      <c r="AM3993">
        <v>71.127428429858597</v>
      </c>
      <c r="AN3993">
        <v>0.99999999479516999</v>
      </c>
    </row>
    <row r="3994" spans="1:40" x14ac:dyDescent="0.25">
      <c r="A3994" t="str">
        <f>"20190303162859514"</f>
        <v>20190303162859514</v>
      </c>
      <c r="B3994" t="str">
        <f>"1551601739505686"</f>
        <v>1551601739505686</v>
      </c>
      <c r="C3994" t="s">
        <v>40</v>
      </c>
      <c r="D3994">
        <v>5.1113559999999998</v>
      </c>
      <c r="E3994">
        <v>0.58192480000000002</v>
      </c>
      <c r="F3994" t="s">
        <v>41</v>
      </c>
      <c r="G3994">
        <v>-213.71299999999999</v>
      </c>
      <c r="H3994" s="1">
        <v>-3.7787809999999998E-6</v>
      </c>
      <c r="I3994">
        <v>142.72219999999999</v>
      </c>
      <c r="J3994">
        <v>-200.1139</v>
      </c>
      <c r="K3994">
        <v>1.109275</v>
      </c>
      <c r="L3994">
        <v>145.18379999999999</v>
      </c>
      <c r="M3994">
        <v>-0.76670369999999999</v>
      </c>
      <c r="N3994">
        <v>-1.614647E-2</v>
      </c>
      <c r="O3994">
        <v>-0.64179830000000004</v>
      </c>
      <c r="P3994">
        <v>-0.92167679999999996</v>
      </c>
      <c r="Q3994">
        <v>0.14209260000000001</v>
      </c>
      <c r="R3994">
        <v>-0.36100110000000002</v>
      </c>
      <c r="S3994">
        <v>-3.074249</v>
      </c>
      <c r="T3994">
        <v>-0.24672369999999999</v>
      </c>
      <c r="U3994">
        <v>-0.58520509999999903</v>
      </c>
      <c r="V3994">
        <v>0.31924089999999999</v>
      </c>
      <c r="W3994">
        <v>0.14798239999999999</v>
      </c>
      <c r="X3994">
        <v>0.93604830000000006</v>
      </c>
      <c r="Y3994">
        <v>0.48447099999999998</v>
      </c>
      <c r="Z3994">
        <v>5.896328E-2</v>
      </c>
      <c r="AA3994">
        <v>0.87281799999999998</v>
      </c>
      <c r="AB3994">
        <v>27</v>
      </c>
      <c r="AC3994">
        <v>-13.5990999999999</v>
      </c>
      <c r="AD3994">
        <v>-1.1092787787809999</v>
      </c>
      <c r="AE3994">
        <v>-2.4615999999999998</v>
      </c>
      <c r="AF3994">
        <v>6.7976577614175202</v>
      </c>
      <c r="AG3994">
        <v>-1.1092787787809999</v>
      </c>
      <c r="AH3994">
        <v>11.9310278516904</v>
      </c>
      <c r="AI3994">
        <v>94.618482366178</v>
      </c>
      <c r="AJ3994">
        <v>60.327836761594099</v>
      </c>
      <c r="AK3994">
        <v>13.7763593176218</v>
      </c>
      <c r="AL3994">
        <v>81.489978098903507</v>
      </c>
      <c r="AM3994">
        <v>71.1679681689143</v>
      </c>
      <c r="AN3994">
        <v>0.99999998143772895</v>
      </c>
    </row>
    <row r="3995" spans="1:40" x14ac:dyDescent="0.25">
      <c r="A3995" t="str">
        <f>"20190303162859535"</f>
        <v>20190303162859535</v>
      </c>
      <c r="B3995" t="str">
        <f>"1551601739525205"</f>
        <v>1551601739525205</v>
      </c>
      <c r="C3995" t="s">
        <v>40</v>
      </c>
      <c r="D3995">
        <v>5.1330260000000001</v>
      </c>
      <c r="E3995">
        <v>0.58191230000000005</v>
      </c>
      <c r="F3995" t="s">
        <v>41</v>
      </c>
      <c r="G3995">
        <v>-213.9093</v>
      </c>
      <c r="H3995" s="1">
        <v>-3.7025920000000001E-6</v>
      </c>
      <c r="I3995">
        <v>142.78469999999999</v>
      </c>
      <c r="J3995">
        <v>-200.3271</v>
      </c>
      <c r="K3995">
        <v>1.109267</v>
      </c>
      <c r="L3995">
        <v>145.02719999999999</v>
      </c>
      <c r="M3995">
        <v>-0.77688440000000003</v>
      </c>
      <c r="N3995">
        <v>-1.616335E-2</v>
      </c>
      <c r="O3995">
        <v>-0.62943570000000004</v>
      </c>
      <c r="P3995">
        <v>-0.92726240000000004</v>
      </c>
      <c r="Q3995">
        <v>0.14158660000000001</v>
      </c>
      <c r="R3995">
        <v>-0.34660879999999999</v>
      </c>
      <c r="S3995">
        <v>-3.083145</v>
      </c>
      <c r="T3995">
        <v>-0.24791260000000001</v>
      </c>
      <c r="U3995">
        <v>-0.53617859999999995</v>
      </c>
      <c r="V3995">
        <v>0.31885449999999999</v>
      </c>
      <c r="W3995">
        <v>0.14750659999999999</v>
      </c>
      <c r="X3995">
        <v>0.93625510000000001</v>
      </c>
      <c r="Y3995">
        <v>0.48435909999999899</v>
      </c>
      <c r="Z3995">
        <v>5.8743410000000003E-2</v>
      </c>
      <c r="AA3995">
        <v>0.87289490000000003</v>
      </c>
      <c r="AB3995">
        <v>27</v>
      </c>
      <c r="AC3995">
        <v>-13.5822</v>
      </c>
      <c r="AD3995">
        <v>-1.1092707025919999</v>
      </c>
      <c r="AE3995">
        <v>-2.2425000000000002</v>
      </c>
      <c r="AF3995">
        <v>6.7639287890571698</v>
      </c>
      <c r="AG3995">
        <v>-1.1092707025919999</v>
      </c>
      <c r="AH3995">
        <v>11.8876839902908</v>
      </c>
      <c r="AI3995">
        <v>94.636723275800094</v>
      </c>
      <c r="AJ3995">
        <v>60.360718728671202</v>
      </c>
      <c r="AK3995">
        <v>13.7221807599259</v>
      </c>
      <c r="AL3995">
        <v>81.517542094112997</v>
      </c>
      <c r="AM3995">
        <v>71.193020901544401</v>
      </c>
      <c r="AN3995">
        <v>1.0000000007449099</v>
      </c>
    </row>
    <row r="3996" spans="1:40" x14ac:dyDescent="0.25">
      <c r="A3996" t="str">
        <f>"20190303162859557"</f>
        <v>20190303162859557</v>
      </c>
      <c r="B3996" t="str">
        <f>"1551601739545701"</f>
        <v>1551601739545701</v>
      </c>
      <c r="C3996" t="s">
        <v>40</v>
      </c>
      <c r="D3996">
        <v>5.1533600000000002</v>
      </c>
      <c r="E3996">
        <v>0.58190390000000003</v>
      </c>
      <c r="F3996" t="s">
        <v>41</v>
      </c>
      <c r="G3996">
        <v>-214.13829999999999</v>
      </c>
      <c r="H3996" s="1">
        <v>-3.6122330000000002E-6</v>
      </c>
      <c r="I3996">
        <v>142.8518</v>
      </c>
      <c r="J3996">
        <v>-200.53980000000001</v>
      </c>
      <c r="K3996">
        <v>1.1092709999999999</v>
      </c>
      <c r="L3996">
        <v>144.87610000000001</v>
      </c>
      <c r="M3996">
        <v>-0.78675139999999999</v>
      </c>
      <c r="N3996">
        <v>-1.6176280000000001E-2</v>
      </c>
      <c r="O3996">
        <v>-0.617058199999999</v>
      </c>
      <c r="P3996">
        <v>-0.93231710000000001</v>
      </c>
      <c r="Q3996">
        <v>0.14097570000000001</v>
      </c>
      <c r="R3996">
        <v>-0.33303339999999998</v>
      </c>
      <c r="S3996">
        <v>-3.0912480000000002</v>
      </c>
      <c r="T3996">
        <v>-0.2482791</v>
      </c>
      <c r="U3996">
        <v>-0.48690800000000001</v>
      </c>
      <c r="V3996">
        <v>0.31773699999999999</v>
      </c>
      <c r="W3996">
        <v>0.146953799999999</v>
      </c>
      <c r="X3996">
        <v>0.9367219</v>
      </c>
      <c r="Y3996">
        <v>0.48445870000000002</v>
      </c>
      <c r="Z3996">
        <v>5.8305019999999999E-2</v>
      </c>
      <c r="AA3996">
        <v>0.87286900000000001</v>
      </c>
      <c r="AB3996">
        <v>27</v>
      </c>
      <c r="AC3996">
        <v>-13.5984999999999</v>
      </c>
      <c r="AD3996">
        <v>-1.1092746122329999</v>
      </c>
      <c r="AE3996">
        <v>-2.02430000000001</v>
      </c>
      <c r="AF3996">
        <v>6.7553568475577297</v>
      </c>
      <c r="AG3996">
        <v>-1.1092746122329999</v>
      </c>
      <c r="AH3996">
        <v>11.872025548942601</v>
      </c>
      <c r="AI3996">
        <v>94.642771906965095</v>
      </c>
      <c r="AJ3996">
        <v>60.359488297876503</v>
      </c>
      <c r="AK3996">
        <v>13.704390790470599</v>
      </c>
      <c r="AL3996">
        <v>81.549564752792193</v>
      </c>
      <c r="AM3996">
        <v>71.263012662085401</v>
      </c>
      <c r="AN3996">
        <v>1.0000000692215201</v>
      </c>
    </row>
    <row r="3997" spans="1:40" x14ac:dyDescent="0.25">
      <c r="A3997" t="str">
        <f>"20190303162859580"</f>
        <v>20190303162859580</v>
      </c>
      <c r="B3997" t="str">
        <f>"1551601739575957"</f>
        <v>1551601739575957</v>
      </c>
      <c r="C3997" t="s">
        <v>40</v>
      </c>
      <c r="D3997">
        <v>5.0978139999999996</v>
      </c>
      <c r="E3997">
        <v>0.58179669999999895</v>
      </c>
      <c r="F3997" t="s">
        <v>41</v>
      </c>
      <c r="G3997">
        <v>-214.29140000000001</v>
      </c>
      <c r="H3997" s="1">
        <v>-3.5573300000000002E-6</v>
      </c>
      <c r="I3997">
        <v>142.91759999999999</v>
      </c>
      <c r="J3997">
        <v>-200.7765</v>
      </c>
      <c r="K3997">
        <v>1.109273</v>
      </c>
      <c r="L3997">
        <v>144.71379999999999</v>
      </c>
      <c r="M3997">
        <v>-0.79738640000000005</v>
      </c>
      <c r="N3997">
        <v>-1.6186869999999999E-2</v>
      </c>
      <c r="O3997">
        <v>-0.60325189999999995</v>
      </c>
      <c r="P3997">
        <v>-0.9375443</v>
      </c>
      <c r="Q3997">
        <v>0.14010329999999999</v>
      </c>
      <c r="R3997">
        <v>-0.31840590000000002</v>
      </c>
      <c r="S3997">
        <v>-3.0979610000000002</v>
      </c>
      <c r="T3997">
        <v>-0.2498976</v>
      </c>
      <c r="U3997">
        <v>-0.44122309999999998</v>
      </c>
      <c r="V3997">
        <v>0.31611089999999997</v>
      </c>
      <c r="W3997">
        <v>0.1461604</v>
      </c>
      <c r="X3997">
        <v>0.93739589999999995</v>
      </c>
      <c r="Y3997">
        <v>0.48209419999999997</v>
      </c>
      <c r="Z3997">
        <v>5.8003430000000002E-2</v>
      </c>
      <c r="AA3997">
        <v>0.87419720000000001</v>
      </c>
      <c r="AB3997">
        <v>27</v>
      </c>
      <c r="AC3997">
        <v>-13.514900000000001</v>
      </c>
      <c r="AD3997">
        <v>-1.1092765573300001</v>
      </c>
      <c r="AE3997">
        <v>-1.79619999999999</v>
      </c>
      <c r="AF3997">
        <v>6.6773015853919002</v>
      </c>
      <c r="AG3997">
        <v>-1.1092765573300001</v>
      </c>
      <c r="AH3997">
        <v>11.783706303852099</v>
      </c>
      <c r="AI3997">
        <v>94.682143585709795</v>
      </c>
      <c r="AJ3997">
        <v>60.461703514070003</v>
      </c>
      <c r="AK3997">
        <v>13.5894291711743</v>
      </c>
      <c r="AL3997">
        <v>81.595519001685702</v>
      </c>
      <c r="AM3997">
        <v>71.364741037768297</v>
      </c>
      <c r="AN3997">
        <v>1.00000001848188</v>
      </c>
    </row>
    <row r="3998" spans="1:40" x14ac:dyDescent="0.25">
      <c r="A3998" t="str">
        <f>"20190303162859604"</f>
        <v>20190303162859604</v>
      </c>
      <c r="B3998" t="str">
        <f>"1551601739595476"</f>
        <v>1551601739595476</v>
      </c>
      <c r="C3998" t="s">
        <v>40</v>
      </c>
      <c r="D3998">
        <v>5.2019159999999998</v>
      </c>
      <c r="E3998">
        <v>0.58169910000000002</v>
      </c>
      <c r="F3998" t="s">
        <v>41</v>
      </c>
      <c r="G3998">
        <v>-214.36070000000001</v>
      </c>
      <c r="H3998" s="1">
        <v>-3.5432339999999999E-6</v>
      </c>
      <c r="I3998">
        <v>142.98769999999999</v>
      </c>
      <c r="J3998">
        <v>-201.00819999999999</v>
      </c>
      <c r="K3998">
        <v>1.109286</v>
      </c>
      <c r="L3998">
        <v>144.5607</v>
      </c>
      <c r="M3998">
        <v>-0.80745610000000001</v>
      </c>
      <c r="N3998">
        <v>-1.6193720000000002E-2</v>
      </c>
      <c r="O3998">
        <v>-0.58970540000000005</v>
      </c>
      <c r="P3998">
        <v>-0.94225000000000003</v>
      </c>
      <c r="Q3998">
        <v>0.1391463</v>
      </c>
      <c r="R3998">
        <v>-0.30463709999999899</v>
      </c>
      <c r="S3998">
        <v>-3.1038060000000001</v>
      </c>
      <c r="T3998">
        <v>-0.2534535</v>
      </c>
      <c r="U3998">
        <v>-0.39437870000000003</v>
      </c>
      <c r="V3998">
        <v>0.3140636</v>
      </c>
      <c r="W3998">
        <v>0.14529619999999999</v>
      </c>
      <c r="X3998">
        <v>0.93821810000000005</v>
      </c>
      <c r="Y3998">
        <v>0.48044829999999999</v>
      </c>
      <c r="Z3998">
        <v>5.8222589999999998E-2</v>
      </c>
      <c r="AA3998">
        <v>0.87508829999999904</v>
      </c>
      <c r="AB3998">
        <v>27</v>
      </c>
      <c r="AC3998">
        <v>-13.352499999999999</v>
      </c>
      <c r="AD3998">
        <v>-1.109289543234</v>
      </c>
      <c r="AE3998">
        <v>-1.573</v>
      </c>
      <c r="AF3998">
        <v>6.5601216833570799</v>
      </c>
      <c r="AG3998">
        <v>-1.109289543234</v>
      </c>
      <c r="AH3998">
        <v>11.6315194990864</v>
      </c>
      <c r="AI3998">
        <v>94.748566302661004</v>
      </c>
      <c r="AJ3998">
        <v>60.577208435406497</v>
      </c>
      <c r="AK3998">
        <v>13.3999240911584</v>
      </c>
      <c r="AL3998">
        <v>81.645568716142407</v>
      </c>
      <c r="AM3998">
        <v>71.492299708834807</v>
      </c>
      <c r="AN3998">
        <v>1.0000000668735001</v>
      </c>
    </row>
    <row r="3999" spans="1:40" x14ac:dyDescent="0.25">
      <c r="A3999" t="str">
        <f>"20190303162859625"</f>
        <v>20190303162859625</v>
      </c>
      <c r="B3999" t="str">
        <f>"1551601739615973"</f>
        <v>1551601739615973</v>
      </c>
      <c r="C3999" t="s">
        <v>40</v>
      </c>
      <c r="D3999">
        <v>5.1434519999999999</v>
      </c>
      <c r="E3999">
        <v>0.58158540000000003</v>
      </c>
      <c r="F3999" t="s">
        <v>41</v>
      </c>
      <c r="G3999">
        <v>-214.43520000000001</v>
      </c>
      <c r="H3999" s="1">
        <v>-3.5247290000000001E-6</v>
      </c>
      <c r="I3999">
        <v>143.0504</v>
      </c>
      <c r="J3999">
        <v>-201.23609999999999</v>
      </c>
      <c r="K3999">
        <v>1.1093040000000001</v>
      </c>
      <c r="L3999">
        <v>144.416</v>
      </c>
      <c r="M3999">
        <v>-0.81702739999999996</v>
      </c>
      <c r="N3999">
        <v>-1.6197599999999999E-2</v>
      </c>
      <c r="O3999">
        <v>-0.57637150000000004</v>
      </c>
      <c r="P3999">
        <v>-0.94641830000000005</v>
      </c>
      <c r="Q3999">
        <v>0.1386309</v>
      </c>
      <c r="R3999">
        <v>-0.29167459999999901</v>
      </c>
      <c r="S3999">
        <v>-3.108765</v>
      </c>
      <c r="T3999">
        <v>-0.25683519999999999</v>
      </c>
      <c r="U3999">
        <v>-0.34967039999999999</v>
      </c>
      <c r="V3999">
        <v>0.3115559</v>
      </c>
      <c r="W3999">
        <v>0.14488719999999999</v>
      </c>
      <c r="X3999">
        <v>0.93911699999999998</v>
      </c>
      <c r="Y3999">
        <v>0.47859360000000001</v>
      </c>
      <c r="Z3999">
        <v>5.8360820000000001E-2</v>
      </c>
      <c r="AA3999">
        <v>0.87609490000000001</v>
      </c>
      <c r="AB3999">
        <v>27</v>
      </c>
      <c r="AC3999">
        <v>-13.1991</v>
      </c>
      <c r="AD3999">
        <v>-1.1093075247290001</v>
      </c>
      <c r="AE3999">
        <v>-1.3655999999999999</v>
      </c>
      <c r="AF3999">
        <v>6.4476433409646399</v>
      </c>
      <c r="AG3999">
        <v>-1.1093075247290001</v>
      </c>
      <c r="AH3999">
        <v>11.4923206805638</v>
      </c>
      <c r="AI3999">
        <v>94.811937927500594</v>
      </c>
      <c r="AJ3999">
        <v>60.705863006954999</v>
      </c>
      <c r="AK3999">
        <v>13.2240728393948</v>
      </c>
      <c r="AL3999">
        <v>81.669253253061996</v>
      </c>
      <c r="AM3999">
        <v>71.646525617867795</v>
      </c>
      <c r="AN3999">
        <v>1.0000000596188201</v>
      </c>
    </row>
    <row r="4000" spans="1:40" x14ac:dyDescent="0.25">
      <c r="A4000" t="str">
        <f>"20190303162859648"</f>
        <v>20190303162859648</v>
      </c>
      <c r="B4000" t="str">
        <f>"1551601739635493"</f>
        <v>1551601739635493</v>
      </c>
      <c r="C4000" t="s">
        <v>40</v>
      </c>
      <c r="D4000">
        <v>5.2301539999999997</v>
      </c>
      <c r="E4000">
        <v>0.58144300000000004</v>
      </c>
      <c r="F4000" t="s">
        <v>41</v>
      </c>
      <c r="G4000">
        <v>-214.61369999999999</v>
      </c>
      <c r="H4000" s="1">
        <v>-3.4522670000000001E-6</v>
      </c>
      <c r="I4000">
        <v>143.09520000000001</v>
      </c>
      <c r="J4000">
        <v>-201.46299999999999</v>
      </c>
      <c r="K4000">
        <v>1.1093219999999999</v>
      </c>
      <c r="L4000">
        <v>144.27690000000001</v>
      </c>
      <c r="M4000">
        <v>-0.82625139999999997</v>
      </c>
      <c r="N4000">
        <v>-1.6199450000000001E-2</v>
      </c>
      <c r="O4000">
        <v>-0.56306889999999998</v>
      </c>
      <c r="P4000">
        <v>-0.95025349999999997</v>
      </c>
      <c r="Q4000">
        <v>0.138513</v>
      </c>
      <c r="R4000">
        <v>-0.27898509999999999</v>
      </c>
      <c r="S4000">
        <v>-3.1129760000000002</v>
      </c>
      <c r="T4000">
        <v>-0.25813629999999999</v>
      </c>
      <c r="U4000">
        <v>-0.30732730000000003</v>
      </c>
      <c r="V4000">
        <v>0.30890970000000001</v>
      </c>
      <c r="W4000">
        <v>0.1448796</v>
      </c>
      <c r="X4000">
        <v>0.93999189999999999</v>
      </c>
      <c r="Y4000">
        <v>0.47630800000000001</v>
      </c>
      <c r="Z4000">
        <v>5.7930040000000002E-2</v>
      </c>
      <c r="AA4000">
        <v>0.87736819999999904</v>
      </c>
      <c r="AB4000">
        <v>27</v>
      </c>
      <c r="AC4000">
        <v>-13.150700000000001</v>
      </c>
      <c r="AD4000">
        <v>-1.109325452267</v>
      </c>
      <c r="AE4000">
        <v>-1.1817</v>
      </c>
      <c r="AF4000">
        <v>6.3841472314334204</v>
      </c>
      <c r="AG4000">
        <v>-1.109325452267</v>
      </c>
      <c r="AH4000">
        <v>11.451838280992501</v>
      </c>
      <c r="AI4000">
        <v>94.836242750992398</v>
      </c>
      <c r="AJ4000">
        <v>60.8612974931685</v>
      </c>
      <c r="AK4000">
        <v>13.157983844254799</v>
      </c>
      <c r="AL4000">
        <v>81.669693151850197</v>
      </c>
      <c r="AM4000">
        <v>71.807916548036005</v>
      </c>
      <c r="AN4000">
        <v>1.00000003665792</v>
      </c>
    </row>
    <row r="4001" spans="1:40" x14ac:dyDescent="0.25">
      <c r="A4001" t="str">
        <f>"20190303162859672"</f>
        <v>20190303162859672</v>
      </c>
      <c r="B4001" t="str">
        <f>"1551601739665748"</f>
        <v>1551601739665748</v>
      </c>
      <c r="C4001" t="s">
        <v>40</v>
      </c>
      <c r="D4001">
        <v>5.2263229999999998</v>
      </c>
      <c r="E4001">
        <v>0.58121509999999998</v>
      </c>
      <c r="F4001" t="s">
        <v>41</v>
      </c>
      <c r="G4001">
        <v>-214.83349999999999</v>
      </c>
      <c r="H4001" s="1">
        <v>-3.3583889999999998E-6</v>
      </c>
      <c r="I4001">
        <v>143.13290000000001</v>
      </c>
      <c r="J4001">
        <v>-201.72300000000001</v>
      </c>
      <c r="K4001">
        <v>1.1093489999999999</v>
      </c>
      <c r="L4001">
        <v>144.12370000000001</v>
      </c>
      <c r="M4001">
        <v>-0.83644689999999999</v>
      </c>
      <c r="N4001">
        <v>-1.6199669999999999E-2</v>
      </c>
      <c r="O4001">
        <v>-0.54780839999999997</v>
      </c>
      <c r="P4001">
        <v>-0.95441319999999996</v>
      </c>
      <c r="Q4001">
        <v>0.13880609999999999</v>
      </c>
      <c r="R4001">
        <v>-0.26425130000000002</v>
      </c>
      <c r="S4001">
        <v>-3.1164550000000002</v>
      </c>
      <c r="T4001">
        <v>-0.25856770000000001</v>
      </c>
      <c r="U4001">
        <v>-0.26664729999999998</v>
      </c>
      <c r="V4001">
        <v>0.30616650000000001</v>
      </c>
      <c r="W4001">
        <v>0.14528629999999901</v>
      </c>
      <c r="X4001">
        <v>0.94082619999999895</v>
      </c>
      <c r="Y4001">
        <v>0.47166380000000002</v>
      </c>
      <c r="Z4001">
        <v>5.7053769999999997E-2</v>
      </c>
      <c r="AA4001">
        <v>0.87993069999999896</v>
      </c>
      <c r="AB4001">
        <v>26</v>
      </c>
      <c r="AC4001">
        <v>-13.1105</v>
      </c>
      <c r="AD4001">
        <v>-1.1093523583889999</v>
      </c>
      <c r="AE4001">
        <v>-0.99080000000000701</v>
      </c>
      <c r="AF4001">
        <v>6.30920849839596</v>
      </c>
      <c r="AG4001">
        <v>-1.1093523583889999</v>
      </c>
      <c r="AH4001">
        <v>11.4291510696701</v>
      </c>
      <c r="AI4001">
        <v>94.857077186252397</v>
      </c>
      <c r="AJ4001">
        <v>61.1000839744964</v>
      </c>
      <c r="AK4001">
        <v>13.101994836842101</v>
      </c>
      <c r="AL4001">
        <v>81.646141352790593</v>
      </c>
      <c r="AM4001">
        <v>71.973919529065398</v>
      </c>
      <c r="AN4001">
        <v>0.99999998664818901</v>
      </c>
    </row>
    <row r="4002" spans="1:40" x14ac:dyDescent="0.25">
      <c r="A4002" t="str">
        <f>"20190303162859695"</f>
        <v>20190303162859695</v>
      </c>
      <c r="B4002" t="str">
        <f>"1551601739685269"</f>
        <v>1551601739685269</v>
      </c>
      <c r="C4002" t="s">
        <v>40</v>
      </c>
      <c r="D4002">
        <v>5.3104769999999997</v>
      </c>
      <c r="E4002">
        <v>0.58102769999999904</v>
      </c>
      <c r="F4002" t="s">
        <v>41</v>
      </c>
      <c r="G4002">
        <v>-215.1233</v>
      </c>
      <c r="H4002" s="1">
        <v>-3.233291E-6</v>
      </c>
      <c r="I4002">
        <v>143.17760000000001</v>
      </c>
      <c r="J4002">
        <v>-201.9546</v>
      </c>
      <c r="K4002">
        <v>1.109378</v>
      </c>
      <c r="L4002">
        <v>143.99260000000001</v>
      </c>
      <c r="M4002">
        <v>-0.84521009999999996</v>
      </c>
      <c r="N4002">
        <v>-1.6198750000000001E-2</v>
      </c>
      <c r="O4002">
        <v>-0.53418859999999901</v>
      </c>
      <c r="P4002">
        <v>-0.95771609999999996</v>
      </c>
      <c r="Q4002">
        <v>0.14012230000000001</v>
      </c>
      <c r="R4002">
        <v>-0.25128820000000002</v>
      </c>
      <c r="S4002">
        <v>-3.1198730000000001</v>
      </c>
      <c r="T4002">
        <v>-0.2582815</v>
      </c>
      <c r="U4002">
        <v>-0.22029109999999999</v>
      </c>
      <c r="V4002">
        <v>0.30360239999999999</v>
      </c>
      <c r="W4002">
        <v>0.14670529999999901</v>
      </c>
      <c r="X4002">
        <v>0.94143679999999996</v>
      </c>
      <c r="Y4002">
        <v>0.4705066</v>
      </c>
      <c r="Z4002">
        <v>5.6246650000000002E-2</v>
      </c>
      <c r="AA4002">
        <v>0.880602</v>
      </c>
      <c r="AB4002">
        <v>26</v>
      </c>
      <c r="AC4002">
        <v>-13.168699999999999</v>
      </c>
      <c r="AD4002">
        <v>-1.109381233291</v>
      </c>
      <c r="AE4002">
        <v>-0.81499999999999695</v>
      </c>
      <c r="AF4002">
        <v>6.3020012413885702</v>
      </c>
      <c r="AG4002">
        <v>-1.109381233291</v>
      </c>
      <c r="AH4002">
        <v>11.4859945660892</v>
      </c>
      <c r="AI4002">
        <v>94.840110101873094</v>
      </c>
      <c r="AJ4002">
        <v>61.247818962660702</v>
      </c>
      <c r="AK4002">
        <v>13.148156431206299</v>
      </c>
      <c r="AL4002">
        <v>81.563958640265597</v>
      </c>
      <c r="AM4002">
        <v>72.126093261577196</v>
      </c>
      <c r="AN4002">
        <v>1.00000005536404</v>
      </c>
    </row>
    <row r="4003" spans="1:40" x14ac:dyDescent="0.25">
      <c r="A4003" t="str">
        <f>"20190303162859715"</f>
        <v>20190303162859715</v>
      </c>
      <c r="B4003" t="str">
        <f>"1551601739705766"</f>
        <v>1551601739705766</v>
      </c>
      <c r="C4003" t="s">
        <v>40</v>
      </c>
      <c r="D4003">
        <v>5.3331249999999999</v>
      </c>
      <c r="E4003">
        <v>0.58076130000000004</v>
      </c>
      <c r="F4003" t="s">
        <v>41</v>
      </c>
      <c r="G4003">
        <v>-215.61840000000001</v>
      </c>
      <c r="H4003" s="1">
        <v>-3.0083149999999998E-6</v>
      </c>
      <c r="I4003">
        <v>143.2116</v>
      </c>
      <c r="J4003">
        <v>-202.1747</v>
      </c>
      <c r="K4003">
        <v>1.1094120000000001</v>
      </c>
      <c r="L4003">
        <v>143.8725</v>
      </c>
      <c r="M4003">
        <v>-0.85326309999999905</v>
      </c>
      <c r="N4003">
        <v>-1.6197079999999999E-2</v>
      </c>
      <c r="O4003">
        <v>-0.5212291</v>
      </c>
      <c r="P4003">
        <v>-0.96113720000000002</v>
      </c>
      <c r="Q4003">
        <v>0.14129749999999999</v>
      </c>
      <c r="R4003">
        <v>-0.23717199999999999</v>
      </c>
      <c r="S4003">
        <v>-3.1226959999999999</v>
      </c>
      <c r="T4003">
        <v>-0.25353690000000001</v>
      </c>
      <c r="U4003">
        <v>-0.1784821</v>
      </c>
      <c r="V4003">
        <v>0.30302000000000001</v>
      </c>
      <c r="W4003">
        <v>0.14791499999999999</v>
      </c>
      <c r="X4003">
        <v>0.94143509999999997</v>
      </c>
      <c r="Y4003">
        <v>0.46899039999999997</v>
      </c>
      <c r="Z4003">
        <v>5.4400259999999999E-2</v>
      </c>
      <c r="AA4003">
        <v>0.88152629999999998</v>
      </c>
      <c r="AB4003">
        <v>26</v>
      </c>
      <c r="AC4003">
        <v>-13.4437</v>
      </c>
      <c r="AD4003">
        <v>-1.1094150083149901</v>
      </c>
      <c r="AE4003">
        <v>-0.66089999999999705</v>
      </c>
      <c r="AF4003">
        <v>6.4006873758954397</v>
      </c>
      <c r="AG4003">
        <v>-1.1094150083149901</v>
      </c>
      <c r="AH4003">
        <v>11.7373044534373</v>
      </c>
      <c r="AI4003">
        <v>94.743732948815605</v>
      </c>
      <c r="AJ4003">
        <v>61.3951037304099</v>
      </c>
      <c r="AK4003">
        <v>13.415063040377399</v>
      </c>
      <c r="AL4003">
        <v>81.493883029591302</v>
      </c>
      <c r="AM4003">
        <v>72.158174741774303</v>
      </c>
      <c r="AN4003">
        <v>1.0000000075685</v>
      </c>
    </row>
    <row r="4004" spans="1:40" x14ac:dyDescent="0.25">
      <c r="A4004" t="str">
        <f>"20190303162859738"</f>
        <v>20190303162859738</v>
      </c>
      <c r="B4004" t="str">
        <f>"1551601739725286"</f>
        <v>1551601739725286</v>
      </c>
      <c r="C4004" t="s">
        <v>40</v>
      </c>
      <c r="D4004">
        <v>5.2347289999999997</v>
      </c>
      <c r="E4004">
        <v>0.58067019999999903</v>
      </c>
      <c r="F4004" t="s">
        <v>41</v>
      </c>
      <c r="G4004">
        <v>-216.09649999999999</v>
      </c>
      <c r="H4004" s="1">
        <v>-2.7993820000000002E-6</v>
      </c>
      <c r="I4004">
        <v>143.2758</v>
      </c>
      <c r="J4004">
        <v>-202.4171</v>
      </c>
      <c r="K4004">
        <v>1.1094469999999901</v>
      </c>
      <c r="L4004">
        <v>143.74510000000001</v>
      </c>
      <c r="M4004">
        <v>-0.86183469999999995</v>
      </c>
      <c r="N4004">
        <v>-1.6194460000000001E-2</v>
      </c>
      <c r="O4004">
        <v>-0.50693060000000001</v>
      </c>
      <c r="P4004">
        <v>-0.96462420000000004</v>
      </c>
      <c r="Q4004">
        <v>0.14152590000000001</v>
      </c>
      <c r="R4004">
        <v>-0.22242049999999999</v>
      </c>
      <c r="S4004">
        <v>-3.1248629999999999</v>
      </c>
      <c r="T4004">
        <v>-0.24901770000000001</v>
      </c>
      <c r="U4004">
        <v>-0.1339417</v>
      </c>
      <c r="V4004">
        <v>0.30172169999999998</v>
      </c>
      <c r="W4004">
        <v>0.14820549999999999</v>
      </c>
      <c r="X4004">
        <v>0.94180629999999999</v>
      </c>
      <c r="Y4004">
        <v>0.46697860000000002</v>
      </c>
      <c r="Z4004">
        <v>5.2546780000000001E-2</v>
      </c>
      <c r="AA4004">
        <v>0.88270590000000004</v>
      </c>
      <c r="AB4004">
        <v>26</v>
      </c>
      <c r="AC4004">
        <v>-13.6793999999999</v>
      </c>
      <c r="AD4004">
        <v>-1.1094497993819901</v>
      </c>
      <c r="AE4004">
        <v>-0.46930000000000399</v>
      </c>
      <c r="AF4004">
        <v>6.4882756029244</v>
      </c>
      <c r="AG4004">
        <v>-1.1094497993819901</v>
      </c>
      <c r="AH4004">
        <v>11.950347230968999</v>
      </c>
      <c r="AI4004">
        <v>94.664347964633905</v>
      </c>
      <c r="AJ4004">
        <v>61.500864772161101</v>
      </c>
      <c r="AK4004">
        <v>13.6432913220227</v>
      </c>
      <c r="AL4004">
        <v>81.4770528805673</v>
      </c>
      <c r="AM4004">
        <v>72.236364148439193</v>
      </c>
      <c r="AN4004">
        <v>0.99999998060041395</v>
      </c>
    </row>
    <row r="4005" spans="1:40" x14ac:dyDescent="0.25">
      <c r="A4005" t="str">
        <f>"20190303162859764"</f>
        <v>20190303162859764</v>
      </c>
      <c r="B4005" t="str">
        <f>"1551601739755734"</f>
        <v>1551601739755734</v>
      </c>
      <c r="C4005" t="s">
        <v>40</v>
      </c>
      <c r="D4005">
        <v>5.2621630000000001</v>
      </c>
      <c r="E4005">
        <v>0.5802581</v>
      </c>
      <c r="F4005" t="s">
        <v>41</v>
      </c>
      <c r="G4005">
        <v>-216.5077</v>
      </c>
      <c r="H4005" s="1">
        <v>-2.6261970000000001E-6</v>
      </c>
      <c r="I4005">
        <v>143.3554</v>
      </c>
      <c r="J4005">
        <v>-202.6996</v>
      </c>
      <c r="K4005">
        <v>1.1094919999999999</v>
      </c>
      <c r="L4005">
        <v>143.60310000000001</v>
      </c>
      <c r="M4005">
        <v>-0.87143859999999995</v>
      </c>
      <c r="N4005">
        <v>-1.6190510000000002E-2</v>
      </c>
      <c r="O4005">
        <v>-0.49023739999999999</v>
      </c>
      <c r="P4005">
        <v>-0.96825240000000001</v>
      </c>
      <c r="Q4005">
        <v>0.14164499999999999</v>
      </c>
      <c r="R4005">
        <v>-0.20597199999999999</v>
      </c>
      <c r="S4005">
        <v>-3.1261899999999998</v>
      </c>
      <c r="T4005">
        <v>-0.2461467</v>
      </c>
      <c r="U4005">
        <v>-8.6471560000000003E-2</v>
      </c>
      <c r="V4005">
        <v>0.29958689999999999</v>
      </c>
      <c r="W4005">
        <v>0.1484182</v>
      </c>
      <c r="X4005">
        <v>0.94245409999999996</v>
      </c>
      <c r="Y4005">
        <v>0.46346369999999998</v>
      </c>
      <c r="Z4005">
        <v>5.0906090000000001E-2</v>
      </c>
      <c r="AA4005">
        <v>0.88465249999999995</v>
      </c>
      <c r="AB4005">
        <v>26</v>
      </c>
      <c r="AC4005">
        <v>-13.8080999999999</v>
      </c>
      <c r="AD4005">
        <v>-1.109494626197</v>
      </c>
      <c r="AE4005">
        <v>-0.247700000000008</v>
      </c>
      <c r="AF4005">
        <v>6.5122193495972596</v>
      </c>
      <c r="AG4005">
        <v>-1.109494626197</v>
      </c>
      <c r="AH4005">
        <v>12.077982235564701</v>
      </c>
      <c r="AI4005">
        <v>94.622684922762105</v>
      </c>
      <c r="AJ4005">
        <v>61.6672942657476</v>
      </c>
      <c r="AK4005">
        <v>13.766540381135901</v>
      </c>
      <c r="AL4005">
        <v>81.464729963673605</v>
      </c>
      <c r="AM4005">
        <v>72.365602877546706</v>
      </c>
      <c r="AN4005">
        <v>1.0000000016748201</v>
      </c>
    </row>
    <row r="4006" spans="1:40" x14ac:dyDescent="0.25">
      <c r="A4006" t="str">
        <f>"20190303162859784"</f>
        <v>20190303162859784</v>
      </c>
      <c r="B4006" t="str">
        <f>"1551601739775254"</f>
        <v>1551601739775254</v>
      </c>
      <c r="C4006" t="s">
        <v>40</v>
      </c>
      <c r="D4006">
        <v>5.2855990000000004</v>
      </c>
      <c r="E4006">
        <v>0.58005549999999995</v>
      </c>
      <c r="F4006" t="s">
        <v>41</v>
      </c>
      <c r="G4006">
        <v>-216.8767</v>
      </c>
      <c r="H4006" s="1">
        <v>-2.4741219999999999E-6</v>
      </c>
      <c r="I4006">
        <v>143.43940000000001</v>
      </c>
      <c r="J4006">
        <v>-202.91229999999999</v>
      </c>
      <c r="K4006">
        <v>1.1095280000000001</v>
      </c>
      <c r="L4006">
        <v>143.50069999999999</v>
      </c>
      <c r="M4006">
        <v>-0.87840130000000005</v>
      </c>
      <c r="N4006">
        <v>-1.6186929999999999E-2</v>
      </c>
      <c r="O4006">
        <v>-0.47765000000000002</v>
      </c>
      <c r="P4006">
        <v>-0.97043630000000003</v>
      </c>
      <c r="Q4006">
        <v>0.14205029999999999</v>
      </c>
      <c r="R4006">
        <v>-0.1951292</v>
      </c>
      <c r="S4006">
        <v>-3.1264799999999999</v>
      </c>
      <c r="T4006">
        <v>-0.24467659999999999</v>
      </c>
      <c r="U4006">
        <v>-3.6087040000000001E-2</v>
      </c>
      <c r="V4006">
        <v>0.29653489999999999</v>
      </c>
      <c r="W4006">
        <v>0.14894199999999999</v>
      </c>
      <c r="X4006">
        <v>0.94333619999999996</v>
      </c>
      <c r="Y4006">
        <v>0.46502320000000003</v>
      </c>
      <c r="Z4006">
        <v>5.0049429999999999E-2</v>
      </c>
      <c r="AA4006">
        <v>0.88388259999999996</v>
      </c>
      <c r="AB4006">
        <v>26</v>
      </c>
      <c r="AC4006">
        <v>-13.964399999999999</v>
      </c>
      <c r="AD4006">
        <v>-1.109530474122</v>
      </c>
      <c r="AE4006">
        <v>-6.1299999999988503E-2</v>
      </c>
      <c r="AF4006">
        <v>6.5756045351678996</v>
      </c>
      <c r="AG4006">
        <v>-1.109530474122</v>
      </c>
      <c r="AH4006">
        <v>12.220092227635799</v>
      </c>
      <c r="AI4006">
        <v>94.571361029589198</v>
      </c>
      <c r="AJ4006">
        <v>61.7154037504299</v>
      </c>
      <c r="AK4006">
        <v>13.921217149655099</v>
      </c>
      <c r="AL4006">
        <v>81.434380466254495</v>
      </c>
      <c r="AM4006">
        <v>72.549616128494307</v>
      </c>
      <c r="AN4006">
        <v>0.99999992625622203</v>
      </c>
    </row>
    <row r="4007" spans="1:40" x14ac:dyDescent="0.25">
      <c r="A4007" t="str">
        <f>"20190303162859806"</f>
        <v>20190303162859806</v>
      </c>
      <c r="B4007" t="str">
        <f>"1551601739795750"</f>
        <v>1551601739795750</v>
      </c>
      <c r="C4007" t="s">
        <v>40</v>
      </c>
      <c r="D4007">
        <v>5.286759</v>
      </c>
      <c r="E4007">
        <v>0.57979259999999999</v>
      </c>
      <c r="F4007" t="s">
        <v>41</v>
      </c>
      <c r="G4007">
        <v>-217.27189999999999</v>
      </c>
      <c r="H4007" s="1">
        <v>-2.3011930000000001E-6</v>
      </c>
      <c r="I4007">
        <v>143.49160000000001</v>
      </c>
      <c r="J4007">
        <v>-203.15090000000001</v>
      </c>
      <c r="K4007">
        <v>1.1095680000000001</v>
      </c>
      <c r="L4007">
        <v>143.3905</v>
      </c>
      <c r="M4007">
        <v>-0.88594229999999996</v>
      </c>
      <c r="N4007">
        <v>-1.6182220000000001E-2</v>
      </c>
      <c r="O4007">
        <v>-0.46351350000000002</v>
      </c>
      <c r="P4007">
        <v>-0.97256200000000004</v>
      </c>
      <c r="Q4007">
        <v>0.14336399999999999</v>
      </c>
      <c r="R4007">
        <v>-0.1832231</v>
      </c>
      <c r="S4007">
        <v>-3.1263730000000001</v>
      </c>
      <c r="T4007">
        <v>-0.2415669</v>
      </c>
      <c r="U4007">
        <v>-1.9683840000000001E-3</v>
      </c>
      <c r="V4007">
        <v>0.29290539999999998</v>
      </c>
      <c r="W4007">
        <v>0.15039229999999901</v>
      </c>
      <c r="X4007">
        <v>0.94423970000000002</v>
      </c>
      <c r="Y4007">
        <v>0.46059260000000002</v>
      </c>
      <c r="Z4007">
        <v>4.8460799999999998E-2</v>
      </c>
      <c r="AA4007">
        <v>0.88628770000000001</v>
      </c>
      <c r="AB4007">
        <v>26</v>
      </c>
      <c r="AC4007">
        <v>-14.120999999999899</v>
      </c>
      <c r="AD4007">
        <v>-1.10957030119299</v>
      </c>
      <c r="AE4007">
        <v>0.10110000000000199</v>
      </c>
      <c r="AF4007">
        <v>6.59499395595767</v>
      </c>
      <c r="AG4007">
        <v>-1.10957030119299</v>
      </c>
      <c r="AH4007">
        <v>12.3886738964502</v>
      </c>
      <c r="AI4007">
        <v>94.520344306932003</v>
      </c>
      <c r="AJ4007">
        <v>61.971815112075298</v>
      </c>
      <c r="AK4007">
        <v>14.078506044498999</v>
      </c>
      <c r="AL4007">
        <v>81.350338528912104</v>
      </c>
      <c r="AM4007">
        <v>72.765985649267094</v>
      </c>
      <c r="AN4007">
        <v>1.00000001415226</v>
      </c>
    </row>
    <row r="4008" spans="1:40" x14ac:dyDescent="0.25">
      <c r="A4008" t="str">
        <f>"20190303162859828"</f>
        <v>20190303162859828</v>
      </c>
      <c r="B4008" t="str">
        <f>"1551601739815270"</f>
        <v>1551601739815270</v>
      </c>
      <c r="C4008" t="s">
        <v>40</v>
      </c>
      <c r="D4008">
        <v>5.2989040000000003</v>
      </c>
      <c r="E4008">
        <v>0.57945880000000005</v>
      </c>
      <c r="F4008" t="s">
        <v>41</v>
      </c>
      <c r="G4008">
        <v>-217.85579999999999</v>
      </c>
      <c r="H4008" s="1">
        <v>-2.041729E-6</v>
      </c>
      <c r="I4008">
        <v>143.5538</v>
      </c>
      <c r="J4008">
        <v>-203.39609999999999</v>
      </c>
      <c r="K4008">
        <v>1.1096060000000001</v>
      </c>
      <c r="L4008">
        <v>143.28210000000001</v>
      </c>
      <c r="M4008">
        <v>-0.89340149999999996</v>
      </c>
      <c r="N4008">
        <v>-1.617702E-2</v>
      </c>
      <c r="O4008">
        <v>-0.44896799999999998</v>
      </c>
      <c r="P4008">
        <v>-0.97439480000000001</v>
      </c>
      <c r="Q4008">
        <v>0.1447996</v>
      </c>
      <c r="R4008">
        <v>-0.17201150000000001</v>
      </c>
      <c r="S4008">
        <v>-3.1259610000000002</v>
      </c>
      <c r="T4008">
        <v>-0.23587250000000001</v>
      </c>
      <c r="U4008">
        <v>3.4713750000000002E-2</v>
      </c>
      <c r="V4008">
        <v>0.28826190000000002</v>
      </c>
      <c r="W4008">
        <v>0.1519982</v>
      </c>
      <c r="X4008">
        <v>0.9454108</v>
      </c>
      <c r="Y4008">
        <v>0.45664090000000002</v>
      </c>
      <c r="Z4008">
        <v>4.6345570000000003E-2</v>
      </c>
      <c r="AA4008">
        <v>0.88844310000000004</v>
      </c>
      <c r="AB4008">
        <v>26</v>
      </c>
      <c r="AC4008">
        <v>-14.4596999999999</v>
      </c>
      <c r="AD4008">
        <v>-1.109608041729</v>
      </c>
      <c r="AE4008">
        <v>0.27169999999998101</v>
      </c>
      <c r="AF4008">
        <v>6.6961427246210503</v>
      </c>
      <c r="AG4008">
        <v>-1.109608041729</v>
      </c>
      <c r="AH4008">
        <v>12.723110137874601</v>
      </c>
      <c r="AI4008">
        <v>94.413115628129106</v>
      </c>
      <c r="AJ4008">
        <v>62.242274124425499</v>
      </c>
      <c r="AK4008">
        <v>14.420370625446999</v>
      </c>
      <c r="AL4008">
        <v>81.257256839906702</v>
      </c>
      <c r="AM4008">
        <v>73.043195354882201</v>
      </c>
      <c r="AN4008">
        <v>0.99999997827574405</v>
      </c>
    </row>
    <row r="4009" spans="1:40" x14ac:dyDescent="0.25">
      <c r="A4009" t="str">
        <f>"20190303162859851"</f>
        <v>20190303162859851</v>
      </c>
      <c r="B4009" t="str">
        <f>"1551601739845526"</f>
        <v>1551601739845526</v>
      </c>
      <c r="C4009" t="s">
        <v>40</v>
      </c>
      <c r="D4009">
        <v>5.3192680000000001</v>
      </c>
      <c r="E4009">
        <v>0.55347460000000004</v>
      </c>
      <c r="F4009" t="s">
        <v>41</v>
      </c>
      <c r="G4009">
        <v>-218.49700000000001</v>
      </c>
      <c r="H4009" s="1">
        <v>-1.7554839999999999E-6</v>
      </c>
      <c r="I4009">
        <v>143.6173</v>
      </c>
      <c r="J4009">
        <v>-203.63900000000001</v>
      </c>
      <c r="K4009">
        <v>1.109648</v>
      </c>
      <c r="L4009">
        <v>143.17930000000001</v>
      </c>
      <c r="M4009">
        <v>-0.90051049999999999</v>
      </c>
      <c r="N4009">
        <v>-1.6171419999999999E-2</v>
      </c>
      <c r="O4009">
        <v>-0.43453380000000003</v>
      </c>
      <c r="P4009">
        <v>-0.97592080000000003</v>
      </c>
      <c r="Q4009">
        <v>0.14532900000000001</v>
      </c>
      <c r="R4009">
        <v>-0.16266120000000001</v>
      </c>
      <c r="S4009">
        <v>-3.1251980000000001</v>
      </c>
      <c r="T4009">
        <v>-0.22963710000000001</v>
      </c>
      <c r="U4009">
        <v>6.9366460000000005E-2</v>
      </c>
      <c r="V4009">
        <v>0.2820626</v>
      </c>
      <c r="W4009">
        <v>0.15274889999999999</v>
      </c>
      <c r="X4009">
        <v>0.9471581</v>
      </c>
      <c r="Y4009">
        <v>0.45233889999999999</v>
      </c>
      <c r="Z4009">
        <v>4.415032E-2</v>
      </c>
      <c r="AA4009">
        <v>0.89075269999999995</v>
      </c>
      <c r="AB4009">
        <v>26</v>
      </c>
      <c r="AC4009">
        <v>-14.858000000000001</v>
      </c>
      <c r="AD4009">
        <v>-1.1096497554839999</v>
      </c>
      <c r="AE4009">
        <v>0.43799999999998801</v>
      </c>
      <c r="AF4009">
        <v>6.8136505847217403</v>
      </c>
      <c r="AG4009">
        <v>-1.1096497554839999</v>
      </c>
      <c r="AH4009">
        <v>13.1180776949764</v>
      </c>
      <c r="AI4009">
        <v>94.292984494464505</v>
      </c>
      <c r="AJ4009">
        <v>62.552219058822402</v>
      </c>
      <c r="AK4009">
        <v>14.8236675381621</v>
      </c>
      <c r="AL4009">
        <v>81.213736916888607</v>
      </c>
      <c r="AM4009">
        <v>73.416528662014798</v>
      </c>
      <c r="AN4009">
        <v>1.0000000015827899</v>
      </c>
    </row>
    <row r="4010" spans="1:40" x14ac:dyDescent="0.25">
      <c r="A4010" t="str">
        <f>"20190303162859874"</f>
        <v>20190303162859874</v>
      </c>
      <c r="B4010" t="str">
        <f>"1551601739866022"</f>
        <v>1551601739866022</v>
      </c>
      <c r="C4010" t="s">
        <v>40</v>
      </c>
      <c r="D4010">
        <v>5.3243739999999997</v>
      </c>
      <c r="E4010">
        <v>0.55224359999999995</v>
      </c>
      <c r="F4010" t="s">
        <v>41</v>
      </c>
      <c r="G4010">
        <v>-221.65520000000001</v>
      </c>
      <c r="H4010" s="1">
        <v>-4.2390410000000001E-6</v>
      </c>
      <c r="I4010">
        <v>142.58320000000001</v>
      </c>
      <c r="J4010">
        <v>-203.9059</v>
      </c>
      <c r="K4010">
        <v>1.109699</v>
      </c>
      <c r="L4010">
        <v>143.07169999999999</v>
      </c>
      <c r="M4010">
        <v>-0.90800320000000001</v>
      </c>
      <c r="N4010">
        <v>-1.6164850000000001E-2</v>
      </c>
      <c r="O4010">
        <v>-0.4186513</v>
      </c>
      <c r="P4010">
        <v>-0.97759609999999997</v>
      </c>
      <c r="Q4010">
        <v>0.1453305</v>
      </c>
      <c r="R4010">
        <v>-0.15226619999999999</v>
      </c>
      <c r="S4010">
        <v>-3.0853269999999999</v>
      </c>
      <c r="T4010">
        <v>-0.19003149999999999</v>
      </c>
      <c r="U4010">
        <v>-0.1020813</v>
      </c>
      <c r="V4010">
        <v>0.27547300000000002</v>
      </c>
      <c r="W4010">
        <v>0.15298499999999901</v>
      </c>
      <c r="X4010">
        <v>0.9490575</v>
      </c>
      <c r="Y4010">
        <v>0.3871425</v>
      </c>
      <c r="Z4010">
        <v>3.3195229999999999E-2</v>
      </c>
      <c r="AA4010">
        <v>0.92142210000000002</v>
      </c>
      <c r="AB4010">
        <v>26</v>
      </c>
      <c r="AC4010">
        <v>-17.749300000000002</v>
      </c>
      <c r="AD4010">
        <v>-1.109703239041</v>
      </c>
      <c r="AE4010">
        <v>-0.488499999999987</v>
      </c>
      <c r="AF4010">
        <v>6.9609321505686799</v>
      </c>
      <c r="AG4010">
        <v>-1.109703239041</v>
      </c>
      <c r="AH4010">
        <v>16.2595565344477</v>
      </c>
      <c r="AI4010">
        <v>93.590111628221507</v>
      </c>
      <c r="AJ4010">
        <v>66.823589659188002</v>
      </c>
      <c r="AK4010">
        <v>17.721715390459799</v>
      </c>
      <c r="AL4010">
        <v>81.200048141536698</v>
      </c>
      <c r="AM4010">
        <v>73.814124617312103</v>
      </c>
      <c r="AN4010">
        <v>0.99999996113012402</v>
      </c>
    </row>
    <row r="4011" spans="1:40" x14ac:dyDescent="0.25">
      <c r="A4011" t="str">
        <f>"20190303162859897"</f>
        <v>20190303162859897</v>
      </c>
      <c r="B4011" t="str">
        <f>"1551601739885542"</f>
        <v>1551601739885542</v>
      </c>
      <c r="C4011" t="s">
        <v>40</v>
      </c>
      <c r="D4011">
        <v>5.3373739999999996</v>
      </c>
      <c r="E4011">
        <v>0.55088700000000002</v>
      </c>
      <c r="F4011" t="s">
        <v>41</v>
      </c>
      <c r="G4011">
        <v>-221.4709</v>
      </c>
      <c r="H4011" s="1">
        <v>-4.3094459999999998E-6</v>
      </c>
      <c r="I4011">
        <v>142.62649999999999</v>
      </c>
      <c r="J4011">
        <v>-204.16040000000001</v>
      </c>
      <c r="K4011">
        <v>1.109745</v>
      </c>
      <c r="L4011">
        <v>142.97389999999999</v>
      </c>
      <c r="M4011">
        <v>-0.91484790000000005</v>
      </c>
      <c r="N4011">
        <v>-1.6158289999999999E-2</v>
      </c>
      <c r="O4011">
        <v>-0.40347509999999998</v>
      </c>
      <c r="P4011">
        <v>-0.97904219999999997</v>
      </c>
      <c r="Q4011">
        <v>0.14513579999999901</v>
      </c>
      <c r="R4011">
        <v>-0.1428701</v>
      </c>
      <c r="S4011">
        <v>-3.0855709999999998</v>
      </c>
      <c r="T4011">
        <v>-0.1949371</v>
      </c>
      <c r="U4011">
        <v>-7.8186039999999998E-2</v>
      </c>
      <c r="V4011">
        <v>0.268758099999999</v>
      </c>
      <c r="W4011">
        <v>0.15302739999999901</v>
      </c>
      <c r="X4011">
        <v>0.95097399999999999</v>
      </c>
      <c r="Y4011">
        <v>0.37887530000000003</v>
      </c>
      <c r="Z4011">
        <v>3.3215519999999998E-2</v>
      </c>
      <c r="AA4011">
        <v>0.92485150000000005</v>
      </c>
      <c r="AB4011">
        <v>26</v>
      </c>
      <c r="AC4011">
        <v>-17.310499999999902</v>
      </c>
      <c r="AD4011">
        <v>-1.109749309446</v>
      </c>
      <c r="AE4011">
        <v>-0.34739999999999299</v>
      </c>
      <c r="AF4011">
        <v>6.6401290222818199</v>
      </c>
      <c r="AG4011">
        <v>-1.109749309446</v>
      </c>
      <c r="AH4011">
        <v>15.9133526393632</v>
      </c>
      <c r="AI4011">
        <v>93.682412558911594</v>
      </c>
      <c r="AJ4011">
        <v>67.350795857653793</v>
      </c>
      <c r="AK4011">
        <v>17.278820827449199</v>
      </c>
      <c r="AL4011">
        <v>81.197589534695794</v>
      </c>
      <c r="AM4011">
        <v>74.218991253701603</v>
      </c>
      <c r="AN4011">
        <v>0.99999992507118196</v>
      </c>
    </row>
    <row r="4012" spans="1:40" x14ac:dyDescent="0.25">
      <c r="A4012" t="str">
        <f>"20190303162859917"</f>
        <v>20190303162859917</v>
      </c>
      <c r="B4012" t="str">
        <f>"1551601739906038"</f>
        <v>1551601739906038</v>
      </c>
      <c r="C4012" t="s">
        <v>40</v>
      </c>
      <c r="D4012">
        <v>5.3773429999999998</v>
      </c>
      <c r="E4012">
        <v>0.54961990000000005</v>
      </c>
      <c r="F4012" t="s">
        <v>41</v>
      </c>
      <c r="G4012">
        <v>-221.37520000000001</v>
      </c>
      <c r="H4012" s="1">
        <v>-4.3452490000000002E-6</v>
      </c>
      <c r="I4012">
        <v>142.64490000000001</v>
      </c>
      <c r="J4012">
        <v>-204.38820000000001</v>
      </c>
      <c r="K4012">
        <v>1.1097859999999999</v>
      </c>
      <c r="L4012">
        <v>142.89070000000001</v>
      </c>
      <c r="M4012">
        <v>-0.92072270000000001</v>
      </c>
      <c r="N4012">
        <v>-1.6152110000000001E-2</v>
      </c>
      <c r="O4012">
        <v>-0.38988299999999998</v>
      </c>
      <c r="P4012">
        <v>-0.98015669999999999</v>
      </c>
      <c r="Q4012">
        <v>0.1444346</v>
      </c>
      <c r="R4012">
        <v>-0.13576299999999999</v>
      </c>
      <c r="S4012">
        <v>-3.0850979999999999</v>
      </c>
      <c r="T4012">
        <v>-0.1988809</v>
      </c>
      <c r="U4012">
        <v>-5.8959959999999999E-2</v>
      </c>
      <c r="V4012">
        <v>0.26156109999999999</v>
      </c>
      <c r="W4012">
        <v>0.1525745</v>
      </c>
      <c r="X4012">
        <v>0.95305130000000005</v>
      </c>
      <c r="Y4012">
        <v>0.37089420000000001</v>
      </c>
      <c r="Z4012">
        <v>3.3077589999999997E-2</v>
      </c>
      <c r="AA4012">
        <v>0.92808590000000002</v>
      </c>
      <c r="AB4012">
        <v>26</v>
      </c>
      <c r="AC4012">
        <v>-16.986999999999899</v>
      </c>
      <c r="AD4012">
        <v>-1.1097903452490001</v>
      </c>
      <c r="AE4012">
        <v>-0.24580000000000199</v>
      </c>
      <c r="AF4012">
        <v>6.3702794941921796</v>
      </c>
      <c r="AG4012">
        <v>-1.1097903452490001</v>
      </c>
      <c r="AH4012">
        <v>15.6713284303267</v>
      </c>
      <c r="AI4012">
        <v>93.753434845713301</v>
      </c>
      <c r="AJ4012">
        <v>67.878620344949397</v>
      </c>
      <c r="AK4012">
        <v>16.9529534363691</v>
      </c>
      <c r="AL4012">
        <v>81.223847658001304</v>
      </c>
      <c r="AM4012">
        <v>74.653264040098705</v>
      </c>
      <c r="AN4012">
        <v>0.99999998375757404</v>
      </c>
    </row>
    <row r="4013" spans="1:40" x14ac:dyDescent="0.25">
      <c r="A4013" t="str">
        <f>"20190303162859941"</f>
        <v>20190303162859941</v>
      </c>
      <c r="B4013" t="str">
        <f>"1551601739935317"</f>
        <v>1551601739935317</v>
      </c>
      <c r="C4013" t="s">
        <v>40</v>
      </c>
      <c r="D4013">
        <v>5.3717449999999998</v>
      </c>
      <c r="E4013">
        <v>0.5360762</v>
      </c>
      <c r="F4013" t="s">
        <v>41</v>
      </c>
      <c r="G4013">
        <v>-221.40710000000001</v>
      </c>
      <c r="H4013" s="1">
        <v>-4.3328180000000003E-6</v>
      </c>
      <c r="I4013">
        <v>142.636</v>
      </c>
      <c r="J4013">
        <v>-204.64920000000001</v>
      </c>
      <c r="K4013">
        <v>1.109823</v>
      </c>
      <c r="L4013">
        <v>142.7998</v>
      </c>
      <c r="M4013">
        <v>-0.92717550000000004</v>
      </c>
      <c r="N4013">
        <v>-1.614469E-2</v>
      </c>
      <c r="O4013">
        <v>-0.37427929999999998</v>
      </c>
      <c r="P4013">
        <v>-0.98160769999999997</v>
      </c>
      <c r="Q4013">
        <v>0.14196310000000001</v>
      </c>
      <c r="R4013">
        <v>-0.12764510000000001</v>
      </c>
      <c r="S4013">
        <v>-3.0839840000000001</v>
      </c>
      <c r="T4013">
        <v>-0.20110430000000001</v>
      </c>
      <c r="U4013">
        <v>-4.6142580000000002E-2</v>
      </c>
      <c r="V4013">
        <v>0.25338159999999998</v>
      </c>
      <c r="W4013">
        <v>0.1503871</v>
      </c>
      <c r="X4013">
        <v>0.95560529999999999</v>
      </c>
      <c r="Y4013">
        <v>0.35905110000000001</v>
      </c>
      <c r="Z4013">
        <v>3.2342179999999998E-2</v>
      </c>
      <c r="AA4013">
        <v>0.93275739999999996</v>
      </c>
      <c r="AB4013">
        <v>26</v>
      </c>
      <c r="AC4013">
        <v>-16.757899999999999</v>
      </c>
      <c r="AD4013">
        <v>-1.1098273328179999</v>
      </c>
      <c r="AE4013">
        <v>-0.16380000000000899</v>
      </c>
      <c r="AF4013">
        <v>6.0943339731638</v>
      </c>
      <c r="AG4013">
        <v>-1.1098273328179999</v>
      </c>
      <c r="AH4013">
        <v>15.5327336326988</v>
      </c>
      <c r="AI4013">
        <v>93.805388073714994</v>
      </c>
      <c r="AJ4013">
        <v>68.577229412534805</v>
      </c>
      <c r="AK4013">
        <v>16.722393291317498</v>
      </c>
      <c r="AL4013">
        <v>81.350639790512801</v>
      </c>
      <c r="AM4013">
        <v>75.149582892307293</v>
      </c>
      <c r="AN4013">
        <v>1.0000000022265201</v>
      </c>
    </row>
    <row r="4014" spans="1:40" x14ac:dyDescent="0.25">
      <c r="A4014" t="str">
        <f>"20190303162859962"</f>
        <v>20190303162859962</v>
      </c>
      <c r="B4014" t="str">
        <f>"1551601739955815"</f>
        <v>1551601739955815</v>
      </c>
      <c r="C4014" t="s">
        <v>40</v>
      </c>
      <c r="D4014">
        <v>5.3773730000000004</v>
      </c>
      <c r="E4014">
        <v>0.53321960000000002</v>
      </c>
      <c r="F4014" t="s">
        <v>41</v>
      </c>
      <c r="G4014">
        <v>-219.88550000000001</v>
      </c>
      <c r="H4014" s="1">
        <v>-7.1265539999999997E-7</v>
      </c>
      <c r="I4014">
        <v>142.16460000000001</v>
      </c>
      <c r="J4014">
        <v>-204.89940000000001</v>
      </c>
      <c r="K4014">
        <v>1.109864</v>
      </c>
      <c r="L4014">
        <v>142.71729999999999</v>
      </c>
      <c r="M4014">
        <v>-0.9330775</v>
      </c>
      <c r="N4014">
        <v>-1.6136850000000001E-2</v>
      </c>
      <c r="O4014">
        <v>-0.35931370000000001</v>
      </c>
      <c r="P4014">
        <v>-0.98284890000000003</v>
      </c>
      <c r="Q4014">
        <v>0.1402861</v>
      </c>
      <c r="R4014">
        <v>-0.1197011</v>
      </c>
      <c r="S4014">
        <v>-3.0719150000000002</v>
      </c>
      <c r="T4014">
        <v>-0.22376109999999999</v>
      </c>
      <c r="U4014">
        <v>-0.12805179999999999</v>
      </c>
      <c r="V4014">
        <v>0.2457386</v>
      </c>
      <c r="W4014">
        <v>0.1489732</v>
      </c>
      <c r="X4014">
        <v>0.95782020000000001</v>
      </c>
      <c r="Y4014">
        <v>0.31862170000000001</v>
      </c>
      <c r="Z4014">
        <v>3.3885430000000001E-2</v>
      </c>
      <c r="AA4014">
        <v>0.94727609999999995</v>
      </c>
      <c r="AB4014">
        <v>26</v>
      </c>
      <c r="AC4014">
        <v>-14.986099999999899</v>
      </c>
      <c r="AD4014">
        <v>-1.1098647126554</v>
      </c>
      <c r="AE4014">
        <v>-0.55269999999998698</v>
      </c>
      <c r="AF4014">
        <v>4.8431048024897603</v>
      </c>
      <c r="AG4014">
        <v>-1.1098647126554</v>
      </c>
      <c r="AH4014">
        <v>14.1063638575183</v>
      </c>
      <c r="AI4014">
        <v>94.2558025058878</v>
      </c>
      <c r="AJ4014">
        <v>71.051236433600593</v>
      </c>
      <c r="AK4014">
        <v>14.955833814568701</v>
      </c>
      <c r="AL4014">
        <v>81.4325733462762</v>
      </c>
      <c r="AM4014">
        <v>75.610541303754104</v>
      </c>
      <c r="AN4014">
        <v>1.0000000046881199</v>
      </c>
    </row>
    <row r="4015" spans="1:40" x14ac:dyDescent="0.25">
      <c r="A4015" t="str">
        <f>"20190303162859985"</f>
        <v>20190303162859985</v>
      </c>
      <c r="B4015" t="str">
        <f>"1551601739975334"</f>
        <v>1551601739975334</v>
      </c>
      <c r="C4015" t="s">
        <v>40</v>
      </c>
      <c r="D4015">
        <v>5.399991</v>
      </c>
      <c r="E4015">
        <v>0.53175869999999903</v>
      </c>
      <c r="F4015" t="s">
        <v>41</v>
      </c>
      <c r="G4015">
        <v>-219.7107</v>
      </c>
      <c r="H4015" s="1">
        <v>-7.8104910000000004E-7</v>
      </c>
      <c r="I4015">
        <v>142.1112</v>
      </c>
      <c r="J4015">
        <v>-205.148</v>
      </c>
      <c r="K4015">
        <v>1.109918</v>
      </c>
      <c r="L4015">
        <v>142.63990000000001</v>
      </c>
      <c r="M4015">
        <v>-0.93866519999999998</v>
      </c>
      <c r="N4015">
        <v>-1.6126939999999999E-2</v>
      </c>
      <c r="O4015">
        <v>-0.34445290000000001</v>
      </c>
      <c r="P4015">
        <v>-0.98363880000000004</v>
      </c>
      <c r="Q4015">
        <v>0.14201269999999999</v>
      </c>
      <c r="R4015">
        <v>-0.1108495</v>
      </c>
      <c r="S4015">
        <v>-3.0698850000000002</v>
      </c>
      <c r="T4015">
        <v>-0.23003699999999999</v>
      </c>
      <c r="U4015">
        <v>-0.12561040000000001</v>
      </c>
      <c r="V4015">
        <v>0.2390774</v>
      </c>
      <c r="W4015">
        <v>0.15092639999999999</v>
      </c>
      <c r="X4015">
        <v>0.95919920000000003</v>
      </c>
      <c r="Y4015">
        <v>0.30424230000000002</v>
      </c>
      <c r="Z4015">
        <v>3.3504369999999999E-2</v>
      </c>
      <c r="AA4015">
        <v>0.95200530000000005</v>
      </c>
      <c r="AB4015">
        <v>26</v>
      </c>
      <c r="AC4015">
        <v>-14.5627</v>
      </c>
      <c r="AD4015">
        <v>-1.1099187810491</v>
      </c>
      <c r="AE4015">
        <v>-0.52870000000001405</v>
      </c>
      <c r="AF4015">
        <v>4.4944058290572402</v>
      </c>
      <c r="AG4015">
        <v>-1.1099187810491</v>
      </c>
      <c r="AH4015">
        <v>13.773507448801899</v>
      </c>
      <c r="AI4015">
        <v>94.380772083170896</v>
      </c>
      <c r="AJ4015">
        <v>71.928080602759593</v>
      </c>
      <c r="AK4015">
        <v>14.5306954719653</v>
      </c>
      <c r="AL4015">
        <v>81.319382905167501</v>
      </c>
      <c r="AM4015">
        <v>76.004376494471501</v>
      </c>
      <c r="AN4015">
        <v>0.99999994334417797</v>
      </c>
    </row>
    <row r="4016" spans="1:40" x14ac:dyDescent="0.25">
      <c r="A4016" t="str">
        <f>"20190303162900008"</f>
        <v>20190303162900008</v>
      </c>
      <c r="B4016" t="str">
        <f>"1551601739995830"</f>
        <v>1551601739995830</v>
      </c>
      <c r="C4016" t="s">
        <v>40</v>
      </c>
      <c r="D4016">
        <v>5.3829999999999902</v>
      </c>
      <c r="E4016">
        <v>0.53036079999999997</v>
      </c>
      <c r="F4016" t="s">
        <v>41</v>
      </c>
      <c r="G4016">
        <v>-220.3689</v>
      </c>
      <c r="H4016" s="1">
        <v>-4.5909009999999998E-6</v>
      </c>
      <c r="I4016">
        <v>142.09909999999999</v>
      </c>
      <c r="J4016">
        <v>-205.41909999999999</v>
      </c>
      <c r="K4016">
        <v>1.109996</v>
      </c>
      <c r="L4016">
        <v>142.56059999999999</v>
      </c>
      <c r="M4016">
        <v>-0.94443860000000002</v>
      </c>
      <c r="N4016">
        <v>-1.6111029999999998E-2</v>
      </c>
      <c r="O4016">
        <v>-0.32829249999999999</v>
      </c>
      <c r="P4016">
        <v>-0.98454299999999995</v>
      </c>
      <c r="Q4016">
        <v>0.1435555</v>
      </c>
      <c r="R4016">
        <v>-0.1003339</v>
      </c>
      <c r="S4016">
        <v>-3.069931</v>
      </c>
      <c r="T4016">
        <v>-0.22386320000000001</v>
      </c>
      <c r="U4016">
        <v>-0.10906979999999999</v>
      </c>
      <c r="V4016">
        <v>0.23278699999999999</v>
      </c>
      <c r="W4016">
        <v>0.15269050000000001</v>
      </c>
      <c r="X4016">
        <v>0.9604665</v>
      </c>
      <c r="Y4016">
        <v>0.29314649999999998</v>
      </c>
      <c r="Z4016">
        <v>3.1196040000000001E-2</v>
      </c>
      <c r="AA4016">
        <v>0.95555840000000003</v>
      </c>
      <c r="AB4016">
        <v>26</v>
      </c>
      <c r="AC4016">
        <v>-14.9498</v>
      </c>
      <c r="AD4016">
        <v>-1.110000590901</v>
      </c>
      <c r="AE4016">
        <v>-0.46150000000000002</v>
      </c>
      <c r="AF4016">
        <v>4.4481312523189596</v>
      </c>
      <c r="AG4016">
        <v>-1.110000590901</v>
      </c>
      <c r="AH4016">
        <v>14.1943523029188</v>
      </c>
      <c r="AI4016">
        <v>94.267610821703599</v>
      </c>
      <c r="AJ4016">
        <v>72.600401092634598</v>
      </c>
      <c r="AK4016">
        <v>14.9163537853268</v>
      </c>
      <c r="AL4016">
        <v>81.217123019827</v>
      </c>
      <c r="AM4016">
        <v>76.376011838904603</v>
      </c>
      <c r="AN4016">
        <v>1.00000003689074</v>
      </c>
    </row>
    <row r="4017" spans="1:40" x14ac:dyDescent="0.25">
      <c r="A4017" t="str">
        <f>"20190303162900053"</f>
        <v>20190303162900053</v>
      </c>
      <c r="B4017" t="str">
        <f>"1551601740045607"</f>
        <v>1551601740045607</v>
      </c>
      <c r="C4017" t="s">
        <v>40</v>
      </c>
      <c r="D4017">
        <v>5.4173530000000003</v>
      </c>
      <c r="E4017">
        <v>0.52303069999999996</v>
      </c>
      <c r="F4017" t="s">
        <v>41</v>
      </c>
      <c r="G4017">
        <v>-221.04560000000001</v>
      </c>
      <c r="H4017" s="1">
        <v>-4.3639809999999997E-6</v>
      </c>
      <c r="I4017">
        <v>142.1182</v>
      </c>
      <c r="J4017">
        <v>-205.92060000000001</v>
      </c>
      <c r="K4017">
        <v>1.110161</v>
      </c>
      <c r="L4017">
        <v>142.4265</v>
      </c>
      <c r="M4017">
        <v>-0.95424140000000002</v>
      </c>
      <c r="N4017">
        <v>-1.6065469999999998E-2</v>
      </c>
      <c r="O4017">
        <v>-0.29860579999999998</v>
      </c>
      <c r="P4017">
        <v>-0.98698160000000001</v>
      </c>
      <c r="Q4017">
        <v>0.13799979999999901</v>
      </c>
      <c r="R4017">
        <v>-8.2603910000000003E-2</v>
      </c>
      <c r="S4017">
        <v>-3.0700379999999998</v>
      </c>
      <c r="T4017">
        <v>-0.21807489999999999</v>
      </c>
      <c r="U4017">
        <v>-8.6898799999999998E-2</v>
      </c>
      <c r="V4017">
        <v>0.220001</v>
      </c>
      <c r="W4017">
        <v>0.14760609999999999</v>
      </c>
      <c r="X4017">
        <v>0.9642676</v>
      </c>
      <c r="Y4017">
        <v>0.27026080000000002</v>
      </c>
      <c r="Z4017">
        <v>2.7816839999999999E-2</v>
      </c>
      <c r="AA4017">
        <v>0.96238520000000005</v>
      </c>
      <c r="AB4017">
        <v>26</v>
      </c>
      <c r="AC4017">
        <v>-15.125</v>
      </c>
      <c r="AD4017">
        <v>-1.1101653639810001</v>
      </c>
      <c r="AE4017">
        <v>-0.30830000000000202</v>
      </c>
      <c r="AF4017">
        <v>4.2001459706155302</v>
      </c>
      <c r="AG4017">
        <v>-1.1101653639810001</v>
      </c>
      <c r="AH4017">
        <v>14.449023592776699</v>
      </c>
      <c r="AI4017">
        <v>94.219597845153899</v>
      </c>
      <c r="AJ4017">
        <v>73.791529329187298</v>
      </c>
      <c r="AK4017">
        <v>15.088007691357999</v>
      </c>
      <c r="AL4017">
        <v>81.511778084745799</v>
      </c>
      <c r="AM4017">
        <v>77.147758705441504</v>
      </c>
      <c r="AN4017">
        <v>1.0000000025839799</v>
      </c>
    </row>
    <row r="4018" spans="1:40" x14ac:dyDescent="0.25">
      <c r="A4018" t="str">
        <f>"20190303162900076"</f>
        <v>20190303162900076</v>
      </c>
      <c r="B4018" t="str">
        <f>"1551601740066101"</f>
        <v>1551601740066101</v>
      </c>
      <c r="C4018" t="s">
        <v>40</v>
      </c>
      <c r="D4018">
        <v>5.5349050000000002</v>
      </c>
      <c r="E4018">
        <v>0.52267849999999905</v>
      </c>
      <c r="F4018" t="s">
        <v>41</v>
      </c>
      <c r="G4018">
        <v>-223.8553</v>
      </c>
      <c r="H4018" s="1">
        <v>-3.2284069999999999E-6</v>
      </c>
      <c r="I4018">
        <v>141.9091</v>
      </c>
      <c r="J4018">
        <v>-206.19</v>
      </c>
      <c r="K4018">
        <v>1.110314</v>
      </c>
      <c r="L4018">
        <v>142.36099999999999</v>
      </c>
      <c r="M4018">
        <v>-0.95901080000000005</v>
      </c>
      <c r="N4018">
        <v>-1.6027050000000001E-2</v>
      </c>
      <c r="O4018">
        <v>-0.28291569999999999</v>
      </c>
      <c r="P4018">
        <v>-0.98861069999999995</v>
      </c>
      <c r="Q4018">
        <v>0.13251250000000001</v>
      </c>
      <c r="R4018">
        <v>-7.1340749999999994E-2</v>
      </c>
      <c r="S4018">
        <v>-3.05864</v>
      </c>
      <c r="T4018">
        <v>-0.1893309</v>
      </c>
      <c r="U4018">
        <v>-8.8226319999999997E-2</v>
      </c>
      <c r="V4018">
        <v>0.21517500000000001</v>
      </c>
      <c r="W4018">
        <v>0.1423304</v>
      </c>
      <c r="X4018">
        <v>0.96614789999999995</v>
      </c>
      <c r="Y4018">
        <v>0.25428579999999901</v>
      </c>
      <c r="Z4018">
        <v>2.2611280000000001E-2</v>
      </c>
      <c r="AA4018">
        <v>0.96686479999999997</v>
      </c>
      <c r="AB4018">
        <v>26</v>
      </c>
      <c r="AC4018">
        <v>-17.665299999999998</v>
      </c>
      <c r="AD4018">
        <v>-1.110317228407</v>
      </c>
      <c r="AE4018">
        <v>-0.45189999999999397</v>
      </c>
      <c r="AF4018">
        <v>4.5470489850684901</v>
      </c>
      <c r="AG4018">
        <v>-1.110317228407</v>
      </c>
      <c r="AH4018">
        <v>17.0041259428126</v>
      </c>
      <c r="AI4018">
        <v>93.609464478343298</v>
      </c>
      <c r="AJ4018">
        <v>75.028904385201699</v>
      </c>
      <c r="AK4018">
        <v>17.6365744377797</v>
      </c>
      <c r="AL4018">
        <v>81.817280977986499</v>
      </c>
      <c r="AM4018">
        <v>77.444325246182402</v>
      </c>
      <c r="AN4018">
        <v>0.99999999403178497</v>
      </c>
    </row>
    <row r="4019" spans="1:40" x14ac:dyDescent="0.25">
      <c r="A4019" t="str">
        <f>"20190303162900100"</f>
        <v>20190303162900100</v>
      </c>
      <c r="B4019" t="str">
        <f>"1551601740085621"</f>
        <v>1551601740085621</v>
      </c>
      <c r="C4019" t="s">
        <v>40</v>
      </c>
      <c r="D4019">
        <v>5.3746510000000001</v>
      </c>
      <c r="E4019">
        <v>0.52107550000000002</v>
      </c>
      <c r="F4019" t="s">
        <v>41</v>
      </c>
      <c r="G4019">
        <v>-222.2852</v>
      </c>
      <c r="H4019" s="1">
        <v>-3.9310479999999998E-6</v>
      </c>
      <c r="I4019">
        <v>142.05549999999999</v>
      </c>
      <c r="J4019">
        <v>-206.46019999999999</v>
      </c>
      <c r="K4019">
        <v>1.1105309999999999</v>
      </c>
      <c r="L4019">
        <v>142.2997</v>
      </c>
      <c r="M4019">
        <v>-0.96343270000000003</v>
      </c>
      <c r="N4019">
        <v>-1.5972119999999999E-2</v>
      </c>
      <c r="O4019">
        <v>-0.2674743</v>
      </c>
      <c r="P4019">
        <v>-0.9900101</v>
      </c>
      <c r="Q4019">
        <v>0.1279226</v>
      </c>
      <c r="R4019">
        <v>-5.9297860000000001E-2</v>
      </c>
      <c r="S4019">
        <v>-3.0586549999999999</v>
      </c>
      <c r="T4019">
        <v>-0.21099950000000001</v>
      </c>
      <c r="U4019">
        <v>-5.8044430000000001E-2</v>
      </c>
      <c r="V4019">
        <v>0.2113651</v>
      </c>
      <c r="W4019">
        <v>0.1379358</v>
      </c>
      <c r="X4019">
        <v>0.96762519999999996</v>
      </c>
      <c r="Y4019">
        <v>0.24809229999999999</v>
      </c>
      <c r="Z4019">
        <v>2.4465489999999999E-2</v>
      </c>
      <c r="AA4019">
        <v>0.96842740000000005</v>
      </c>
      <c r="AB4019">
        <v>26</v>
      </c>
      <c r="AC4019">
        <v>-15.824999999999999</v>
      </c>
      <c r="AD4019">
        <v>-1.1105349310479999</v>
      </c>
      <c r="AE4019">
        <v>-0.244200000000006</v>
      </c>
      <c r="AF4019">
        <v>3.97843237846158</v>
      </c>
      <c r="AG4019">
        <v>-1.1105349310479999</v>
      </c>
      <c r="AH4019">
        <v>15.2385647682356</v>
      </c>
      <c r="AI4019">
        <v>94.033426963914295</v>
      </c>
      <c r="AJ4019">
        <v>75.368021233051095</v>
      </c>
      <c r="AK4019">
        <v>15.7884473023404</v>
      </c>
      <c r="AL4019">
        <v>82.071582626887405</v>
      </c>
      <c r="AM4019">
        <v>77.678031046466202</v>
      </c>
      <c r="AN4019">
        <v>1.00000000904734</v>
      </c>
    </row>
    <row r="4020" spans="1:40" x14ac:dyDescent="0.25">
      <c r="A4020" t="str">
        <f>"20190303162900119"</f>
        <v>20190303162900119</v>
      </c>
      <c r="B4020" t="str">
        <f>"1551601740106117"</f>
        <v>1551601740106117</v>
      </c>
      <c r="C4020" t="s">
        <v>40</v>
      </c>
      <c r="D4020">
        <v>5.6020979999999998</v>
      </c>
      <c r="E4020">
        <v>0.52020509999999998</v>
      </c>
      <c r="F4020" t="s">
        <v>41</v>
      </c>
      <c r="G4020">
        <v>-221.7663</v>
      </c>
      <c r="H4020" s="1">
        <v>-4.1199939999999998E-6</v>
      </c>
      <c r="I4020">
        <v>142.12530000000001</v>
      </c>
      <c r="J4020">
        <v>-206.6866</v>
      </c>
      <c r="K4020">
        <v>1.1107800000000001</v>
      </c>
      <c r="L4020">
        <v>142.25149999999999</v>
      </c>
      <c r="M4020">
        <v>-0.96684440000000005</v>
      </c>
      <c r="N4020">
        <v>-1.591072E-2</v>
      </c>
      <c r="O4020">
        <v>-0.25487070000000001</v>
      </c>
      <c r="P4020">
        <v>-0.9909618</v>
      </c>
      <c r="Q4020">
        <v>0.12457459999999999</v>
      </c>
      <c r="R4020">
        <v>-4.9760810000000003E-2</v>
      </c>
      <c r="S4020">
        <v>-3.05687</v>
      </c>
      <c r="T4020">
        <v>-0.22179170000000001</v>
      </c>
      <c r="U4020">
        <v>-3.4805299999999997E-2</v>
      </c>
      <c r="V4020">
        <v>0.20797099999999999</v>
      </c>
      <c r="W4020">
        <v>0.1347699</v>
      </c>
      <c r="X4020">
        <v>0.96880599999999994</v>
      </c>
      <c r="Y4020">
        <v>0.24270530000000001</v>
      </c>
      <c r="Z4020">
        <v>2.4945729999999999E-2</v>
      </c>
      <c r="AA4020">
        <v>0.96977930000000001</v>
      </c>
      <c r="AB4020">
        <v>26</v>
      </c>
      <c r="AC4020">
        <v>-15.079700000000001</v>
      </c>
      <c r="AD4020">
        <v>-1.1107841199939901</v>
      </c>
      <c r="AE4020">
        <v>-0.12619999999998299</v>
      </c>
      <c r="AF4020">
        <v>3.7017444733099598</v>
      </c>
      <c r="AG4020">
        <v>-1.1107841199939901</v>
      </c>
      <c r="AH4020">
        <v>14.5348760625038</v>
      </c>
      <c r="AI4020">
        <v>94.235475827900203</v>
      </c>
      <c r="AJ4020">
        <v>75.711656417466997</v>
      </c>
      <c r="AK4020">
        <v>15.039926052320199</v>
      </c>
      <c r="AL4020">
        <v>82.254685185485698</v>
      </c>
      <c r="AM4020">
        <v>77.884339361727498</v>
      </c>
      <c r="AN4020">
        <v>0.99999996421150406</v>
      </c>
    </row>
    <row r="4021" spans="1:40" x14ac:dyDescent="0.25">
      <c r="A4021" t="str">
        <f>"20190303162900164"</f>
        <v>20190303162900164</v>
      </c>
      <c r="B4021" t="str">
        <f>"1551601740155781"</f>
        <v>1551601740155781</v>
      </c>
      <c r="C4021" t="s">
        <v>40</v>
      </c>
      <c r="D4021">
        <v>5.6258339999999896</v>
      </c>
      <c r="E4021">
        <v>0.51334489999999999</v>
      </c>
      <c r="F4021" t="s">
        <v>41</v>
      </c>
      <c r="G4021">
        <v>-221.39500000000001</v>
      </c>
      <c r="H4021" s="1">
        <v>-4.256515E-6</v>
      </c>
      <c r="I4021">
        <v>142.1825</v>
      </c>
      <c r="J4021">
        <v>-207.2</v>
      </c>
      <c r="K4021">
        <v>1.1115219999999999</v>
      </c>
      <c r="L4021">
        <v>142.15180000000001</v>
      </c>
      <c r="M4021">
        <v>-0.97362479999999996</v>
      </c>
      <c r="N4021">
        <v>-1.573391E-2</v>
      </c>
      <c r="O4021">
        <v>-0.22761229999999999</v>
      </c>
      <c r="P4021">
        <v>-0.99254909999999996</v>
      </c>
      <c r="Q4021">
        <v>0.1179709</v>
      </c>
      <c r="R4021">
        <v>-3.0487529999999999E-2</v>
      </c>
      <c r="S4021">
        <v>-3.055679</v>
      </c>
      <c r="T4021">
        <v>-0.23076740000000001</v>
      </c>
      <c r="U4021">
        <v>-1.4312739999999999E-2</v>
      </c>
      <c r="V4021">
        <v>0.19933090000000001</v>
      </c>
      <c r="W4021">
        <v>0.12862979999999999</v>
      </c>
      <c r="X4021">
        <v>0.97145329999999996</v>
      </c>
      <c r="Y4021">
        <v>0.22191759999999999</v>
      </c>
      <c r="Z4021">
        <v>2.3563310000000001E-2</v>
      </c>
      <c r="AA4021">
        <v>0.97478069999999895</v>
      </c>
      <c r="AB4021">
        <v>26</v>
      </c>
      <c r="AC4021">
        <v>-14.195</v>
      </c>
      <c r="AD4021">
        <v>-1.1115262565149999</v>
      </c>
      <c r="AE4021">
        <v>3.0699999999995901E-2</v>
      </c>
      <c r="AF4021">
        <v>3.2413758137297899</v>
      </c>
      <c r="AG4021">
        <v>-1.1115262565149999</v>
      </c>
      <c r="AH4021">
        <v>13.731132907817599</v>
      </c>
      <c r="AI4021">
        <v>94.504686327891704</v>
      </c>
      <c r="AJ4021">
        <v>76.717889261590003</v>
      </c>
      <c r="AK4021">
        <v>14.152244299647499</v>
      </c>
      <c r="AL4021">
        <v>82.609578927923096</v>
      </c>
      <c r="AM4021">
        <v>78.404517712605497</v>
      </c>
      <c r="AN4021">
        <v>0.99999997361186899</v>
      </c>
    </row>
    <row r="4022" spans="1:40" x14ac:dyDescent="0.25">
      <c r="A4022" t="str">
        <f>"20190303162900187"</f>
        <v>20190303162900187</v>
      </c>
      <c r="B4022" t="str">
        <f>"1551601740175299"</f>
        <v>1551601740175299</v>
      </c>
      <c r="C4022" t="s">
        <v>40</v>
      </c>
      <c r="D4022">
        <v>5.3790849999999999</v>
      </c>
      <c r="E4022">
        <v>0.5139167</v>
      </c>
      <c r="F4022" t="s">
        <v>41</v>
      </c>
      <c r="G4022">
        <v>-223.18610000000001</v>
      </c>
      <c r="H4022" s="1">
        <v>-3.56524E-6</v>
      </c>
      <c r="I4022">
        <v>142.0959</v>
      </c>
      <c r="J4022">
        <v>-207.471</v>
      </c>
      <c r="K4022">
        <v>1.1119490000000001</v>
      </c>
      <c r="L4022">
        <v>142.1044</v>
      </c>
      <c r="M4022">
        <v>-0.97669510000000004</v>
      </c>
      <c r="N4022">
        <v>-1.5630290000000002E-2</v>
      </c>
      <c r="O4022">
        <v>-0.214061</v>
      </c>
      <c r="P4022">
        <v>-0.99301269999999997</v>
      </c>
      <c r="Q4022">
        <v>0.1153428</v>
      </c>
      <c r="R4022">
        <v>-2.4931789999999999E-2</v>
      </c>
      <c r="S4022">
        <v>-3.0473629999999998</v>
      </c>
      <c r="T4022">
        <v>-0.21188589999999999</v>
      </c>
      <c r="U4022">
        <v>-1.063538E-2</v>
      </c>
      <c r="V4022">
        <v>0.19111529999999999</v>
      </c>
      <c r="W4022">
        <v>0.12632370000000001</v>
      </c>
      <c r="X4022">
        <v>0.97340499999999996</v>
      </c>
      <c r="Y4022">
        <v>0.2097533</v>
      </c>
      <c r="Z4022">
        <v>2.0339510000000002E-2</v>
      </c>
      <c r="AA4022">
        <v>0.97754280000000005</v>
      </c>
      <c r="AB4022">
        <v>26</v>
      </c>
      <c r="AC4022">
        <v>-15.7151</v>
      </c>
      <c r="AD4022">
        <v>-1.11195256524</v>
      </c>
      <c r="AE4022">
        <v>-8.4999999999979502E-3</v>
      </c>
      <c r="AF4022">
        <v>3.3393797840825599</v>
      </c>
      <c r="AG4022">
        <v>-1.11195256524</v>
      </c>
      <c r="AH4022">
        <v>15.2760778199229</v>
      </c>
      <c r="AI4022">
        <v>94.067523991349603</v>
      </c>
      <c r="AJ4022">
        <v>77.669010444711901</v>
      </c>
      <c r="AK4022">
        <v>15.676302159949</v>
      </c>
      <c r="AL4022">
        <v>82.742795898895196</v>
      </c>
      <c r="AM4022">
        <v>78.892017949310201</v>
      </c>
      <c r="AN4022">
        <v>1.00000001455038</v>
      </c>
    </row>
    <row r="4023" spans="1:40" x14ac:dyDescent="0.25">
      <c r="A4023" t="str">
        <f>"20190303162900209"</f>
        <v>20190303162900209</v>
      </c>
      <c r="B4023" t="str">
        <f>"1551601740195795"</f>
        <v>1551601740195795</v>
      </c>
      <c r="C4023" t="s">
        <v>40</v>
      </c>
      <c r="D4023">
        <v>5.6292419999999996</v>
      </c>
      <c r="E4023">
        <v>0.51268459999999905</v>
      </c>
      <c r="F4023" t="s">
        <v>41</v>
      </c>
      <c r="G4023">
        <v>-222.47890000000001</v>
      </c>
      <c r="H4023" s="1">
        <v>-3.8849449999999996E-6</v>
      </c>
      <c r="I4023">
        <v>142.16739999999999</v>
      </c>
      <c r="J4023">
        <v>-207.7217</v>
      </c>
      <c r="K4023">
        <v>1.112309</v>
      </c>
      <c r="L4023">
        <v>142.0634</v>
      </c>
      <c r="M4023">
        <v>-0.9792746</v>
      </c>
      <c r="N4023">
        <v>-1.5538639999999999E-2</v>
      </c>
      <c r="O4023">
        <v>-0.2019406</v>
      </c>
      <c r="P4023">
        <v>-0.99294170000000004</v>
      </c>
      <c r="Q4023">
        <v>0.1166658</v>
      </c>
      <c r="R4023">
        <v>-2.1355369999999999E-2</v>
      </c>
      <c r="S4023">
        <v>-3.0476679999999998</v>
      </c>
      <c r="T4023">
        <v>-0.22580549999999999</v>
      </c>
      <c r="U4023">
        <v>1.280212E-2</v>
      </c>
      <c r="V4023">
        <v>0.1824231</v>
      </c>
      <c r="W4023">
        <v>0.12792890000000001</v>
      </c>
      <c r="X4023">
        <v>0.97486200000000001</v>
      </c>
      <c r="Y4023">
        <v>0.20505799999999999</v>
      </c>
      <c r="Z4023">
        <v>2.0896499999999998E-2</v>
      </c>
      <c r="AA4023">
        <v>0.97852669999999997</v>
      </c>
      <c r="AB4023">
        <v>26</v>
      </c>
      <c r="AC4023">
        <v>-14.757199999999999</v>
      </c>
      <c r="AD4023">
        <v>-1.1123128849449999</v>
      </c>
      <c r="AE4023">
        <v>0.10399999999998499</v>
      </c>
      <c r="AF4023">
        <v>3.0648826235538502</v>
      </c>
      <c r="AG4023">
        <v>-1.1123128849449999</v>
      </c>
      <c r="AH4023">
        <v>14.350564800894301</v>
      </c>
      <c r="AI4023">
        <v>94.334763228850903</v>
      </c>
      <c r="AJ4023">
        <v>77.944331654805794</v>
      </c>
      <c r="AK4023">
        <v>14.71629897613</v>
      </c>
      <c r="AL4023">
        <v>82.650071955381804</v>
      </c>
      <c r="AM4023">
        <v>79.400986030269806</v>
      </c>
      <c r="AN4023">
        <v>0.99999995495640803</v>
      </c>
    </row>
    <row r="4024" spans="1:40" x14ac:dyDescent="0.25">
      <c r="A4024" t="str">
        <f>"20190303162900229"</f>
        <v>20190303162900229</v>
      </c>
      <c r="B4024" t="str">
        <f>"1551601740215316"</f>
        <v>1551601740215316</v>
      </c>
      <c r="C4024" t="s">
        <v>40</v>
      </c>
      <c r="D4024">
        <v>5.6298440000000003</v>
      </c>
      <c r="E4024">
        <v>0.51173679999999999</v>
      </c>
      <c r="F4024" t="s">
        <v>41</v>
      </c>
      <c r="G4024">
        <v>-223.82589999999999</v>
      </c>
      <c r="H4024" s="1">
        <v>-3.3039069999999998E-6</v>
      </c>
      <c r="I4024">
        <v>142.14529999999999</v>
      </c>
      <c r="J4024">
        <v>-207.96039999999999</v>
      </c>
      <c r="K4024">
        <v>1.1126100000000001</v>
      </c>
      <c r="L4024">
        <v>142.02690000000001</v>
      </c>
      <c r="M4024">
        <v>-0.98151880000000002</v>
      </c>
      <c r="N4024">
        <v>-1.545735E-2</v>
      </c>
      <c r="O4024">
        <v>-0.1907404</v>
      </c>
      <c r="P4024">
        <v>-0.99239869999999997</v>
      </c>
      <c r="Q4024">
        <v>0.1211088</v>
      </c>
      <c r="R4024">
        <v>-2.1858619999999999E-2</v>
      </c>
      <c r="S4024">
        <v>-3.0463710000000002</v>
      </c>
      <c r="T4024">
        <v>-0.21041270000000001</v>
      </c>
      <c r="U4024">
        <v>1.550293E-2</v>
      </c>
      <c r="V4024">
        <v>0.1706645</v>
      </c>
      <c r="W4024">
        <v>0.13268170000000001</v>
      </c>
      <c r="X4024">
        <v>0.97635510000000003</v>
      </c>
      <c r="Y4024">
        <v>0.1949188</v>
      </c>
      <c r="Z4024">
        <v>1.8372380000000001E-2</v>
      </c>
      <c r="AA4024">
        <v>0.9806473</v>
      </c>
      <c r="AB4024">
        <v>26</v>
      </c>
      <c r="AC4024">
        <v>-15.8654999999999</v>
      </c>
      <c r="AD4024">
        <v>-1.1126133039070001</v>
      </c>
      <c r="AE4024">
        <v>0.11839999999997899</v>
      </c>
      <c r="AF4024">
        <v>3.1273997125694102</v>
      </c>
      <c r="AG4024">
        <v>-1.1126133039070001</v>
      </c>
      <c r="AH4024">
        <v>15.475458211971199</v>
      </c>
      <c r="AI4024">
        <v>94.031012237503305</v>
      </c>
      <c r="AJ4024">
        <v>78.5750982264871</v>
      </c>
      <c r="AK4024">
        <v>15.8274553923452</v>
      </c>
      <c r="AL4024">
        <v>82.375415212640902</v>
      </c>
      <c r="AM4024">
        <v>80.085008558405406</v>
      </c>
      <c r="AN4024">
        <v>1.00000004318557</v>
      </c>
    </row>
    <row r="4025" spans="1:40" x14ac:dyDescent="0.25">
      <c r="A4025" t="str">
        <f>"20190303162900266"</f>
        <v>20190303162900266</v>
      </c>
      <c r="B4025" t="str">
        <f>"1551601740255332"</f>
        <v>1551601740255332</v>
      </c>
      <c r="C4025" t="s">
        <v>40</v>
      </c>
      <c r="D4025">
        <v>5.510402</v>
      </c>
      <c r="E4025">
        <v>0.51042209999999999</v>
      </c>
      <c r="F4025" t="s">
        <v>41</v>
      </c>
      <c r="G4025">
        <v>-225.8672</v>
      </c>
      <c r="H4025" s="1">
        <v>-2.4092460000000002E-6</v>
      </c>
      <c r="I4025">
        <v>142.07409999999999</v>
      </c>
      <c r="J4025">
        <v>-208.3638</v>
      </c>
      <c r="K4025">
        <v>1.113008</v>
      </c>
      <c r="L4025">
        <v>141.9708</v>
      </c>
      <c r="M4025">
        <v>-0.9848981</v>
      </c>
      <c r="N4025">
        <v>-1.5331050000000001E-2</v>
      </c>
      <c r="O4025">
        <v>-0.17245469999999999</v>
      </c>
      <c r="P4025">
        <v>-0.99166109999999996</v>
      </c>
      <c r="Q4025">
        <v>0.12783310000000001</v>
      </c>
      <c r="R4025">
        <v>-1.6352140000000001E-2</v>
      </c>
      <c r="S4025">
        <v>-3.046249</v>
      </c>
      <c r="T4025">
        <v>-0.18927450000000001</v>
      </c>
      <c r="U4025">
        <v>8.0413819999999997E-3</v>
      </c>
      <c r="V4025">
        <v>0.15776279999999901</v>
      </c>
      <c r="W4025">
        <v>0.13970099999999999</v>
      </c>
      <c r="X4025">
        <v>0.97754509999999994</v>
      </c>
      <c r="Y4025">
        <v>0.17446929999999999</v>
      </c>
      <c r="Z4025">
        <v>1.476715E-2</v>
      </c>
      <c r="AA4025">
        <v>0.98455190000000004</v>
      </c>
      <c r="AB4025">
        <v>25</v>
      </c>
      <c r="AC4025">
        <v>-17.503399999999999</v>
      </c>
      <c r="AD4025">
        <v>-1.113010409246</v>
      </c>
      <c r="AE4025">
        <v>0.10329999999999</v>
      </c>
      <c r="AF4025">
        <v>3.10808345100823</v>
      </c>
      <c r="AG4025">
        <v>-1.113010409246</v>
      </c>
      <c r="AH4025">
        <v>17.1539167912156</v>
      </c>
      <c r="AI4025">
        <v>93.6530473028361</v>
      </c>
      <c r="AJ4025">
        <v>79.730110119079299</v>
      </c>
      <c r="AK4025">
        <v>17.4687102039466</v>
      </c>
      <c r="AL4025">
        <v>81.969454786261906</v>
      </c>
      <c r="AM4025">
        <v>80.8322697583814</v>
      </c>
      <c r="AN4025">
        <v>0.99999994649942303</v>
      </c>
    </row>
    <row r="4026" spans="1:40" x14ac:dyDescent="0.25">
      <c r="A4026" t="str">
        <f>"20190303162900288"</f>
        <v>20190303162900288</v>
      </c>
      <c r="B4026" t="str">
        <f>"1551601740275828"</f>
        <v>1551601740275828</v>
      </c>
      <c r="C4026" t="s">
        <v>40</v>
      </c>
      <c r="D4026">
        <v>5.6898949999999999</v>
      </c>
      <c r="E4026">
        <v>0.50953630000000005</v>
      </c>
      <c r="F4026" t="s">
        <v>41</v>
      </c>
      <c r="G4026">
        <v>-229.154</v>
      </c>
      <c r="H4026" s="1">
        <v>-1.0019680000000001E-6</v>
      </c>
      <c r="I4026">
        <v>142.08439999999999</v>
      </c>
      <c r="J4026">
        <v>-208.6301</v>
      </c>
      <c r="K4026">
        <v>1.1132249999999999</v>
      </c>
      <c r="L4026">
        <v>141.93790000000001</v>
      </c>
      <c r="M4026">
        <v>-0.98687840000000004</v>
      </c>
      <c r="N4026">
        <v>-1.5254180000000001E-2</v>
      </c>
      <c r="O4026">
        <v>-0.1607439</v>
      </c>
      <c r="P4026">
        <v>-0.9912801</v>
      </c>
      <c r="Q4026">
        <v>0.1306013</v>
      </c>
      <c r="R4026">
        <v>-1.753095E-2</v>
      </c>
      <c r="S4026">
        <v>-3.0465239999999998</v>
      </c>
      <c r="T4026">
        <v>-0.16309670000000001</v>
      </c>
      <c r="U4026">
        <v>1.6662599999999899E-2</v>
      </c>
      <c r="V4026">
        <v>0.144889299999999</v>
      </c>
      <c r="W4026">
        <v>0.14273540000000001</v>
      </c>
      <c r="X4026">
        <v>0.97909840000000004</v>
      </c>
      <c r="Y4026">
        <v>0.16573740000000001</v>
      </c>
      <c r="Z4026">
        <v>1.181193E-2</v>
      </c>
      <c r="AA4026">
        <v>0.98609919999999995</v>
      </c>
      <c r="AB4026">
        <v>25</v>
      </c>
      <c r="AC4026">
        <v>-20.523900000000001</v>
      </c>
      <c r="AD4026">
        <v>-1.11322600196799</v>
      </c>
      <c r="AE4026">
        <v>0.14649999999997401</v>
      </c>
      <c r="AF4026">
        <v>3.4339673614675799</v>
      </c>
      <c r="AG4026">
        <v>-1.11322600196799</v>
      </c>
      <c r="AH4026">
        <v>20.174046494891002</v>
      </c>
      <c r="AI4026">
        <v>93.113744295579707</v>
      </c>
      <c r="AJ4026">
        <v>80.339866497052</v>
      </c>
      <c r="AK4026">
        <v>20.494476230172499</v>
      </c>
      <c r="AL4026">
        <v>81.793836792634096</v>
      </c>
      <c r="AM4026">
        <v>81.582325694878506</v>
      </c>
      <c r="AN4026">
        <v>0.999999990275105</v>
      </c>
    </row>
    <row r="4027" spans="1:40" x14ac:dyDescent="0.25">
      <c r="A4027" t="str">
        <f>"20190303162900330"</f>
        <v>20190303162900330</v>
      </c>
      <c r="B4027" t="str">
        <f>"1551601740315844"</f>
        <v>1551601740315844</v>
      </c>
      <c r="C4027" t="s">
        <v>40</v>
      </c>
      <c r="D4027">
        <v>5.693155</v>
      </c>
      <c r="E4027">
        <v>0.50836870000000001</v>
      </c>
      <c r="F4027" t="s">
        <v>41</v>
      </c>
      <c r="G4027">
        <v>-231.0352</v>
      </c>
      <c r="H4027" s="1">
        <v>-4.3474909999999998E-6</v>
      </c>
      <c r="I4027">
        <v>142.0052</v>
      </c>
      <c r="J4027">
        <v>-209.11359999999999</v>
      </c>
      <c r="K4027">
        <v>1.113556</v>
      </c>
      <c r="L4027">
        <v>141.88570000000001</v>
      </c>
      <c r="M4027">
        <v>-0.99005410000000005</v>
      </c>
      <c r="N4027">
        <v>-1.513404E-2</v>
      </c>
      <c r="O4027">
        <v>-0.13987140000000001</v>
      </c>
      <c r="P4027">
        <v>-0.98994389999999999</v>
      </c>
      <c r="Q4027">
        <v>0.139906</v>
      </c>
      <c r="R4027">
        <v>-2.0914470000000001E-2</v>
      </c>
      <c r="S4027">
        <v>-3.046478</v>
      </c>
      <c r="T4027">
        <v>-0.15136830000000001</v>
      </c>
      <c r="U4027">
        <v>9.1705320000000003E-3</v>
      </c>
      <c r="V4027">
        <v>0.12069389999999899</v>
      </c>
      <c r="W4027">
        <v>0.152501</v>
      </c>
      <c r="X4027">
        <v>0.98090599999999994</v>
      </c>
      <c r="Y4027">
        <v>0.1425555</v>
      </c>
      <c r="Z4027">
        <v>9.4264380000000005E-3</v>
      </c>
      <c r="AA4027">
        <v>0.98974189999999995</v>
      </c>
      <c r="AB4027">
        <v>25</v>
      </c>
      <c r="AC4027">
        <v>-21.921600000000002</v>
      </c>
      <c r="AD4027">
        <v>-1.1135603474910001</v>
      </c>
      <c r="AE4027">
        <v>0.11949999999998701</v>
      </c>
      <c r="AF4027">
        <v>3.1766840346199801</v>
      </c>
      <c r="AG4027">
        <v>-1.1135603474910001</v>
      </c>
      <c r="AH4027">
        <v>21.6335165422636</v>
      </c>
      <c r="AI4027">
        <v>92.915424571317104</v>
      </c>
      <c r="AJ4027">
        <v>81.646338650206701</v>
      </c>
      <c r="AK4027">
        <v>21.893843337516302</v>
      </c>
      <c r="AL4027">
        <v>81.228109584248699</v>
      </c>
      <c r="AM4027">
        <v>82.985396623140005</v>
      </c>
      <c r="AN4027">
        <v>1.0000000766671</v>
      </c>
    </row>
    <row r="4028" spans="1:40" x14ac:dyDescent="0.25">
      <c r="A4028" t="str">
        <f>"20190303162900355"</f>
        <v>20190303162900355</v>
      </c>
      <c r="B4028" t="str">
        <f>"1551601740346100"</f>
        <v>1551601740346100</v>
      </c>
      <c r="C4028" t="s">
        <v>40</v>
      </c>
      <c r="D4028">
        <v>5.6789579999999997</v>
      </c>
      <c r="E4028">
        <v>0.50757600000000003</v>
      </c>
      <c r="F4028" t="s">
        <v>41</v>
      </c>
      <c r="G4028">
        <v>-236.90369999999999</v>
      </c>
      <c r="H4028" s="1">
        <v>-1.887679E-6</v>
      </c>
      <c r="I4028">
        <v>141.7851</v>
      </c>
      <c r="J4028">
        <v>-209.3981</v>
      </c>
      <c r="K4028">
        <v>1.11374</v>
      </c>
      <c r="L4028">
        <v>141.8596</v>
      </c>
      <c r="M4028">
        <v>-0.99168179999999995</v>
      </c>
      <c r="N4028">
        <v>-1.507113E-2</v>
      </c>
      <c r="O4028">
        <v>-0.12782839999999901</v>
      </c>
      <c r="P4028">
        <v>-0.98945879999999997</v>
      </c>
      <c r="Q4028">
        <v>0.14384710000000001</v>
      </c>
      <c r="R4028">
        <v>-1.6709640000000001E-2</v>
      </c>
      <c r="S4028">
        <v>-3.047501</v>
      </c>
      <c r="T4028">
        <v>-0.1221145</v>
      </c>
      <c r="U4028">
        <v>-1.10321E-2</v>
      </c>
      <c r="V4028">
        <v>0.11285729999999999</v>
      </c>
      <c r="W4028">
        <v>0.15657939999999901</v>
      </c>
      <c r="X4028">
        <v>0.98119630000000002</v>
      </c>
      <c r="Y4028">
        <v>0.1240753</v>
      </c>
      <c r="Z4028">
        <v>6.599415E-3</v>
      </c>
      <c r="AA4028">
        <v>0.99225090000000005</v>
      </c>
      <c r="AB4028">
        <v>25</v>
      </c>
      <c r="AC4028">
        <v>-27.505599999999902</v>
      </c>
      <c r="AD4028">
        <v>-1.113741887679</v>
      </c>
      <c r="AE4028">
        <v>-7.4500000000000399E-2</v>
      </c>
      <c r="AF4028">
        <v>3.4368725655500301</v>
      </c>
      <c r="AG4028">
        <v>-1.113741887679</v>
      </c>
      <c r="AH4028">
        <v>27.244756091144399</v>
      </c>
      <c r="AI4028">
        <v>92.322512044720796</v>
      </c>
      <c r="AJ4028">
        <v>82.810226981124899</v>
      </c>
      <c r="AK4028">
        <v>27.4832539647355</v>
      </c>
      <c r="AL4028">
        <v>80.991592490863098</v>
      </c>
      <c r="AM4028">
        <v>83.438666789486504</v>
      </c>
      <c r="AN4028">
        <v>1.0000000289006601</v>
      </c>
    </row>
    <row r="4029" spans="1:40" x14ac:dyDescent="0.25">
      <c r="A4029" t="str">
        <f>"20190303162900377"</f>
        <v>20190303162900377</v>
      </c>
      <c r="B4029" t="str">
        <f>"1551601740365619"</f>
        <v>1551601740365619</v>
      </c>
      <c r="C4029" t="s">
        <v>40</v>
      </c>
      <c r="D4029">
        <v>5.7261049999999996</v>
      </c>
      <c r="E4029">
        <v>0.50738989999999995</v>
      </c>
      <c r="F4029" t="s">
        <v>41</v>
      </c>
      <c r="G4029">
        <v>-238.7671</v>
      </c>
      <c r="H4029" s="1">
        <v>-1.0841980000000001E-6</v>
      </c>
      <c r="I4029">
        <v>141.7696</v>
      </c>
      <c r="J4029">
        <v>-209.6473</v>
      </c>
      <c r="K4029">
        <v>1.11392</v>
      </c>
      <c r="L4029">
        <v>141.83930000000001</v>
      </c>
      <c r="M4029">
        <v>-0.99296479999999998</v>
      </c>
      <c r="N4029">
        <v>-1.5015860000000001E-2</v>
      </c>
      <c r="O4029">
        <v>-0.1174538</v>
      </c>
      <c r="P4029">
        <v>-0.98965499999999995</v>
      </c>
      <c r="Q4029">
        <v>0.14288809999999999</v>
      </c>
      <c r="R4029">
        <v>-1.288339E-2</v>
      </c>
      <c r="S4029">
        <v>-3.0486149999999999</v>
      </c>
      <c r="T4029">
        <v>-0.1156107</v>
      </c>
      <c r="U4029">
        <v>-9.3383790000000008E-3</v>
      </c>
      <c r="V4029">
        <v>0.10630969999999999</v>
      </c>
      <c r="W4029">
        <v>0.1557434</v>
      </c>
      <c r="X4029">
        <v>0.98206020000000005</v>
      </c>
      <c r="Y4029">
        <v>0.11427950000000001</v>
      </c>
      <c r="Z4029">
        <v>5.7026339999999998E-3</v>
      </c>
      <c r="AA4029">
        <v>0.99343230000000005</v>
      </c>
      <c r="AB4029">
        <v>25</v>
      </c>
      <c r="AC4029">
        <v>-29.119800000000001</v>
      </c>
      <c r="AD4029">
        <v>-1.1139210841980001</v>
      </c>
      <c r="AE4029">
        <v>-6.97000000000116E-2</v>
      </c>
      <c r="AF4029">
        <v>3.3465025339657899</v>
      </c>
      <c r="AG4029">
        <v>-1.1139210841980001</v>
      </c>
      <c r="AH4029">
        <v>28.884118940648101</v>
      </c>
      <c r="AI4029">
        <v>92.193866213919705</v>
      </c>
      <c r="AJ4029">
        <v>83.391199618332806</v>
      </c>
      <c r="AK4029">
        <v>29.098663652634698</v>
      </c>
      <c r="AL4029">
        <v>81.040086429580001</v>
      </c>
      <c r="AM4029">
        <v>83.821692065451899</v>
      </c>
      <c r="AN4029">
        <v>0.99999999769084502</v>
      </c>
    </row>
    <row r="4030" spans="1:40" x14ac:dyDescent="0.25">
      <c r="A4030" t="str">
        <f>"20190303162900397"</f>
        <v>20190303162900397</v>
      </c>
      <c r="B4030" t="str">
        <f>"1551601740386116"</f>
        <v>1551601740386116</v>
      </c>
      <c r="C4030" t="s">
        <v>40</v>
      </c>
      <c r="D4030">
        <v>5.5106869999999999</v>
      </c>
      <c r="E4030">
        <v>0.50731349999999997</v>
      </c>
      <c r="F4030" t="s">
        <v>41</v>
      </c>
      <c r="G4030">
        <v>-237.1234</v>
      </c>
      <c r="H4030" s="1">
        <v>-1.8071499999999999E-6</v>
      </c>
      <c r="I4030">
        <v>141.83670000000001</v>
      </c>
      <c r="J4030">
        <v>-209.88200000000001</v>
      </c>
      <c r="K4030">
        <v>1.1141209999999999</v>
      </c>
      <c r="L4030">
        <v>141.82239999999999</v>
      </c>
      <c r="M4030">
        <v>-0.99405010000000005</v>
      </c>
      <c r="N4030">
        <v>-1.4961759999999999E-2</v>
      </c>
      <c r="O4030">
        <v>-0.10789260000000001</v>
      </c>
      <c r="P4030">
        <v>-0.98992720000000001</v>
      </c>
      <c r="Q4030">
        <v>0.1411319</v>
      </c>
      <c r="R4030">
        <v>-1.1233109999999999E-2</v>
      </c>
      <c r="S4030">
        <v>-3.04921</v>
      </c>
      <c r="T4030">
        <v>-0.1236193</v>
      </c>
      <c r="U4030">
        <v>-2.89917E-4</v>
      </c>
      <c r="V4030">
        <v>9.8397490000000004E-2</v>
      </c>
      <c r="W4030">
        <v>0.15413940000000001</v>
      </c>
      <c r="X4030">
        <v>0.98313729999999999</v>
      </c>
      <c r="Y4030">
        <v>0.1076541</v>
      </c>
      <c r="Z4030">
        <v>5.7367919999999897E-3</v>
      </c>
      <c r="AA4030">
        <v>0.9941719</v>
      </c>
      <c r="AB4030">
        <v>25</v>
      </c>
      <c r="AC4030">
        <v>-27.241399999999999</v>
      </c>
      <c r="AD4030">
        <v>-1.11412280715</v>
      </c>
      <c r="AE4030">
        <v>1.4300000000019899E-2</v>
      </c>
      <c r="AF4030">
        <v>2.9487583454415498</v>
      </c>
      <c r="AG4030">
        <v>-1.11412280715</v>
      </c>
      <c r="AH4030">
        <v>27.0355798570701</v>
      </c>
      <c r="AI4030">
        <v>92.345898713632494</v>
      </c>
      <c r="AJ4030">
        <v>83.775380715782703</v>
      </c>
      <c r="AK4030">
        <v>27.218725606046299</v>
      </c>
      <c r="AL4030">
        <v>81.133112175062607</v>
      </c>
      <c r="AM4030">
        <v>84.284573825839999</v>
      </c>
      <c r="AN4030">
        <v>0.99999998566097403</v>
      </c>
    </row>
    <row r="4031" spans="1:40" x14ac:dyDescent="0.25">
      <c r="A4031" t="str">
        <f>"20190303162900419"</f>
        <v>20190303162900419</v>
      </c>
      <c r="B4031" t="str">
        <f>"1551601740405636"</f>
        <v>1551601740405636</v>
      </c>
      <c r="C4031" t="s">
        <v>40</v>
      </c>
      <c r="D4031">
        <v>5.7422000000000004</v>
      </c>
      <c r="E4031">
        <v>0.50701079999999998</v>
      </c>
      <c r="F4031" t="s">
        <v>41</v>
      </c>
      <c r="G4031">
        <v>-235.6447</v>
      </c>
      <c r="H4031" s="1">
        <v>-2.4482480000000002E-6</v>
      </c>
      <c r="I4031">
        <v>141.86199999999999</v>
      </c>
      <c r="J4031">
        <v>-210.12629999999999</v>
      </c>
      <c r="K4031">
        <v>1.114379</v>
      </c>
      <c r="L4031">
        <v>141.80690000000001</v>
      </c>
      <c r="M4031">
        <v>-0.99505480000000002</v>
      </c>
      <c r="N4031">
        <v>-1.4902429999999999E-2</v>
      </c>
      <c r="O4031">
        <v>-9.820429E-2</v>
      </c>
      <c r="P4031">
        <v>-0.99001950000000005</v>
      </c>
      <c r="Q4031">
        <v>0.1405785</v>
      </c>
      <c r="R4031">
        <v>-9.9672049999999998E-3</v>
      </c>
      <c r="S4031">
        <v>-3.0493769999999998</v>
      </c>
      <c r="T4031">
        <v>-0.13187209999999999</v>
      </c>
      <c r="U4031">
        <v>4.6844479999999999E-3</v>
      </c>
      <c r="V4031">
        <v>8.9962849999999997E-2</v>
      </c>
      <c r="W4031">
        <v>0.153741299999999</v>
      </c>
      <c r="X4031">
        <v>0.98400730000000003</v>
      </c>
      <c r="Y4031">
        <v>9.9579539999999994E-2</v>
      </c>
      <c r="Z4031">
        <v>5.6696649999999999E-3</v>
      </c>
      <c r="AA4031">
        <v>0.9950135</v>
      </c>
      <c r="AB4031">
        <v>25</v>
      </c>
      <c r="AC4031">
        <v>-25.5184</v>
      </c>
      <c r="AD4031">
        <v>-1.1143814482479999</v>
      </c>
      <c r="AE4031">
        <v>5.5099999999981698E-2</v>
      </c>
      <c r="AF4031">
        <v>2.55625313202765</v>
      </c>
      <c r="AG4031">
        <v>-1.1143814482479999</v>
      </c>
      <c r="AH4031">
        <v>25.341285270928601</v>
      </c>
      <c r="AI4031">
        <v>92.505258724287401</v>
      </c>
      <c r="AJ4031">
        <v>84.239883457466405</v>
      </c>
      <c r="AK4031">
        <v>25.494254554110402</v>
      </c>
      <c r="AL4031">
        <v>81.156197222346506</v>
      </c>
      <c r="AM4031">
        <v>84.776256340135703</v>
      </c>
      <c r="AN4031">
        <v>1.0000000340795501</v>
      </c>
    </row>
    <row r="4032" spans="1:40" x14ac:dyDescent="0.25">
      <c r="A4032" t="str">
        <f>"20190303162900442"</f>
        <v>20190303162900442</v>
      </c>
      <c r="B4032" t="str">
        <f>"1551601740435892"</f>
        <v>1551601740435892</v>
      </c>
      <c r="C4032" t="s">
        <v>40</v>
      </c>
      <c r="D4032">
        <v>5.7437889999999996</v>
      </c>
      <c r="E4032">
        <v>0.50669589999999998</v>
      </c>
      <c r="F4032" t="s">
        <v>41</v>
      </c>
      <c r="G4032">
        <v>-234.69980000000001</v>
      </c>
      <c r="H4032" s="1">
        <v>-2.8563329999999999E-6</v>
      </c>
      <c r="I4032">
        <v>141.87219999999999</v>
      </c>
      <c r="J4032">
        <v>-210.4025</v>
      </c>
      <c r="K4032">
        <v>1.114714</v>
      </c>
      <c r="L4032">
        <v>141.79169999999999</v>
      </c>
      <c r="M4032">
        <v>-0.99604199999999998</v>
      </c>
      <c r="N4032">
        <v>-1.483164E-2</v>
      </c>
      <c r="O4032">
        <v>-8.7639149999999999E-2</v>
      </c>
      <c r="P4032">
        <v>-0.98989150000000004</v>
      </c>
      <c r="Q4032">
        <v>0.14158809999999999</v>
      </c>
      <c r="R4032">
        <v>-8.2363639999999995E-3</v>
      </c>
      <c r="S4032">
        <v>-3.0499879999999999</v>
      </c>
      <c r="T4032">
        <v>-0.1383141</v>
      </c>
      <c r="U4032">
        <v>8.1024169999999902E-3</v>
      </c>
      <c r="V4032">
        <v>8.1101859999999998E-2</v>
      </c>
      <c r="W4032">
        <v>0.15490309999999999</v>
      </c>
      <c r="X4032">
        <v>0.98459509999999995</v>
      </c>
      <c r="Y4032">
        <v>9.0131260000000005E-2</v>
      </c>
      <c r="Z4032">
        <v>5.3794460000000004E-3</v>
      </c>
      <c r="AA4032">
        <v>0.99591540000000001</v>
      </c>
      <c r="AB4032">
        <v>25</v>
      </c>
      <c r="AC4032">
        <v>-24.2973</v>
      </c>
      <c r="AD4032">
        <v>-1.1147168563330001</v>
      </c>
      <c r="AE4032">
        <v>8.0500000000000599E-2</v>
      </c>
      <c r="AF4032">
        <v>2.2051774464876401</v>
      </c>
      <c r="AG4032">
        <v>-1.1147168563330001</v>
      </c>
      <c r="AH4032">
        <v>24.145912632506501</v>
      </c>
      <c r="AI4032">
        <v>92.632293037444896</v>
      </c>
      <c r="AJ4032">
        <v>84.78181515883</v>
      </c>
      <c r="AK4032">
        <v>24.272010590326602</v>
      </c>
      <c r="AL4032">
        <v>81.088823552729906</v>
      </c>
      <c r="AM4032">
        <v>85.291132921185707</v>
      </c>
      <c r="AN4032">
        <v>0.99999999651453897</v>
      </c>
    </row>
    <row r="4033" spans="1:40" x14ac:dyDescent="0.25">
      <c r="A4033" t="str">
        <f>"20190303162900467"</f>
        <v>20190303162900467</v>
      </c>
      <c r="B4033" t="str">
        <f>"1551601740456387"</f>
        <v>1551601740456387</v>
      </c>
      <c r="C4033" t="s">
        <v>40</v>
      </c>
      <c r="D4033">
        <v>5.8038089999999896</v>
      </c>
      <c r="E4033">
        <v>0.50667209999999996</v>
      </c>
      <c r="F4033" t="s">
        <v>41</v>
      </c>
      <c r="G4033">
        <v>-234.58519999999999</v>
      </c>
      <c r="H4033" s="1">
        <v>-2.9102169999999999E-6</v>
      </c>
      <c r="I4033">
        <v>141.88999999999999</v>
      </c>
      <c r="J4033">
        <v>-210.66210000000001</v>
      </c>
      <c r="K4033">
        <v>1.115065</v>
      </c>
      <c r="L4033">
        <v>141.77979999999999</v>
      </c>
      <c r="M4033">
        <v>-0.99682859999999995</v>
      </c>
      <c r="N4033">
        <v>-1.4761120000000001E-2</v>
      </c>
      <c r="O4033">
        <v>-7.819951E-2</v>
      </c>
      <c r="P4033">
        <v>-0.98978920000000004</v>
      </c>
      <c r="Q4033">
        <v>0.1422687</v>
      </c>
      <c r="R4033">
        <v>-8.7831230000000003E-3</v>
      </c>
      <c r="S4033">
        <v>-3.0508419999999998</v>
      </c>
      <c r="T4033">
        <v>-0.14063039999999999</v>
      </c>
      <c r="U4033">
        <v>1.24054E-2</v>
      </c>
      <c r="V4033">
        <v>7.1080320000000002E-2</v>
      </c>
      <c r="W4033">
        <v>0.15574440000000001</v>
      </c>
      <c r="X4033">
        <v>0.98523660000000002</v>
      </c>
      <c r="Y4033">
        <v>8.2107760000000002E-2</v>
      </c>
      <c r="Z4033">
        <v>4.9431620000000001E-3</v>
      </c>
      <c r="AA4033">
        <v>0.99661120000000003</v>
      </c>
      <c r="AB4033">
        <v>25</v>
      </c>
      <c r="AC4033">
        <v>-23.923099999999899</v>
      </c>
      <c r="AD4033">
        <v>-1.115067910217</v>
      </c>
      <c r="AE4033">
        <v>0.110199999999991</v>
      </c>
      <c r="AF4033">
        <v>1.97654668060927</v>
      </c>
      <c r="AG4033">
        <v>-1.115067910217</v>
      </c>
      <c r="AH4033">
        <v>23.789523918160299</v>
      </c>
      <c r="AI4033">
        <v>92.674414973117393</v>
      </c>
      <c r="AJ4033">
        <v>85.250503070265296</v>
      </c>
      <c r="AK4033">
        <v>23.8975220781935</v>
      </c>
      <c r="AL4033">
        <v>81.040027940991294</v>
      </c>
      <c r="AM4033">
        <v>85.873520723721001</v>
      </c>
      <c r="AN4033">
        <v>0.99999994400110903</v>
      </c>
    </row>
    <row r="4034" spans="1:40" x14ac:dyDescent="0.25">
      <c r="A4034" t="str">
        <f>"20190303162900491"</f>
        <v>20190303162900491</v>
      </c>
      <c r="B4034" t="str">
        <f>"1551601740485668"</f>
        <v>1551601740485668</v>
      </c>
      <c r="C4034" t="s">
        <v>40</v>
      </c>
      <c r="D4034">
        <v>5.7386470000000003</v>
      </c>
      <c r="E4034">
        <v>0.50659290000000001</v>
      </c>
      <c r="F4034" t="s">
        <v>41</v>
      </c>
      <c r="G4034">
        <v>-234.82849999999999</v>
      </c>
      <c r="H4034" s="1">
        <v>-2.8013639999999998E-6</v>
      </c>
      <c r="I4034">
        <v>141.8732</v>
      </c>
      <c r="J4034">
        <v>-210.95240000000001</v>
      </c>
      <c r="K4034">
        <v>1.1154599999999999</v>
      </c>
      <c r="L4034">
        <v>141.7688</v>
      </c>
      <c r="M4034">
        <v>-0.99756290000000003</v>
      </c>
      <c r="N4034">
        <v>-1.4681329999999999E-2</v>
      </c>
      <c r="O4034">
        <v>-6.8211160000000007E-2</v>
      </c>
      <c r="P4034">
        <v>-0.9896182</v>
      </c>
      <c r="Q4034">
        <v>0.143352799999999</v>
      </c>
      <c r="R4034">
        <v>-1.0291689999999999E-2</v>
      </c>
      <c r="S4034">
        <v>-3.0512999999999999</v>
      </c>
      <c r="T4034">
        <v>-0.1407909</v>
      </c>
      <c r="U4034">
        <v>1.179504E-2</v>
      </c>
      <c r="V4034">
        <v>5.9537699999999902E-2</v>
      </c>
      <c r="W4034">
        <v>0.15699150000000001</v>
      </c>
      <c r="X4034">
        <v>0.98580369999999995</v>
      </c>
      <c r="Y4034">
        <v>7.1940019999999993E-2</v>
      </c>
      <c r="Z4034">
        <v>4.3295690000000001E-3</v>
      </c>
      <c r="AA4034">
        <v>0.99739960000000005</v>
      </c>
      <c r="AB4034">
        <v>25</v>
      </c>
      <c r="AC4034">
        <v>-23.876099999999902</v>
      </c>
      <c r="AD4034">
        <v>-1.115462801364</v>
      </c>
      <c r="AE4034">
        <v>0.10439999999999799</v>
      </c>
      <c r="AF4034">
        <v>1.72917467285572</v>
      </c>
      <c r="AG4034">
        <v>-1.115462801364</v>
      </c>
      <c r="AH4034">
        <v>23.761494366284399</v>
      </c>
      <c r="AI4034">
        <v>92.680649294995405</v>
      </c>
      <c r="AJ4034">
        <v>85.837800826894707</v>
      </c>
      <c r="AK4034">
        <v>23.850428021933599</v>
      </c>
      <c r="AL4034">
        <v>80.967684985816803</v>
      </c>
      <c r="AM4034">
        <v>86.543814567164105</v>
      </c>
      <c r="AN4034">
        <v>1.0000000018636099</v>
      </c>
    </row>
    <row r="4035" spans="1:40" x14ac:dyDescent="0.25">
      <c r="A4035" t="str">
        <f>"20190303162900511"</f>
        <v>20190303162900511</v>
      </c>
      <c r="B4035" t="str">
        <f>"1551601740506163"</f>
        <v>1551601740506163</v>
      </c>
      <c r="C4035" t="s">
        <v>40</v>
      </c>
      <c r="D4035">
        <v>5.5260339999999903</v>
      </c>
      <c r="E4035">
        <v>0.50657029999999903</v>
      </c>
      <c r="F4035" t="s">
        <v>41</v>
      </c>
      <c r="G4035">
        <v>-234.60810000000001</v>
      </c>
      <c r="H4035" s="1">
        <v>-2.8854840000000001E-6</v>
      </c>
      <c r="I4035">
        <v>141.8339</v>
      </c>
      <c r="J4035">
        <v>-211.17509999999999</v>
      </c>
      <c r="K4035">
        <v>1.1157549999999901</v>
      </c>
      <c r="L4035">
        <v>141.76179999999999</v>
      </c>
      <c r="M4035">
        <v>-0.99803699999999995</v>
      </c>
      <c r="N4035">
        <v>-1.462225E-2</v>
      </c>
      <c r="O4035">
        <v>-6.0898550000000003E-2</v>
      </c>
      <c r="P4035">
        <v>-0.98900120000000002</v>
      </c>
      <c r="Q4035">
        <v>0.14726249999999999</v>
      </c>
      <c r="R4035">
        <v>-1.3799199999999999E-2</v>
      </c>
      <c r="S4035">
        <v>-3.0524140000000002</v>
      </c>
      <c r="T4035">
        <v>-0.14393410000000001</v>
      </c>
      <c r="U4035">
        <v>8.4075929999999997E-3</v>
      </c>
      <c r="V4035">
        <v>4.870497E-2</v>
      </c>
      <c r="W4035">
        <v>0.16103210000000001</v>
      </c>
      <c r="X4035">
        <v>0.98574669999999998</v>
      </c>
      <c r="Y4035">
        <v>6.3529479999999999E-2</v>
      </c>
      <c r="Z4035">
        <v>3.9400160000000002E-3</v>
      </c>
      <c r="AA4035">
        <v>0.99797219999999998</v>
      </c>
      <c r="AB4035">
        <v>25</v>
      </c>
      <c r="AC4035">
        <v>-23.433</v>
      </c>
      <c r="AD4035">
        <v>-1.11575788548399</v>
      </c>
      <c r="AE4035">
        <v>7.2100000000006007E-2</v>
      </c>
      <c r="AF4035">
        <v>1.49576312539539</v>
      </c>
      <c r="AG4035">
        <v>-1.11575788548399</v>
      </c>
      <c r="AH4035">
        <v>23.332209292499599</v>
      </c>
      <c r="AI4035">
        <v>92.732226985477695</v>
      </c>
      <c r="AJ4035">
        <v>86.3319461477533</v>
      </c>
      <c r="AK4035">
        <v>23.406712999806601</v>
      </c>
      <c r="AL4035">
        <v>80.733192256031103</v>
      </c>
      <c r="AM4035">
        <v>87.171360876197497</v>
      </c>
      <c r="AN4035">
        <v>1.0000000339469901</v>
      </c>
    </row>
    <row r="4036" spans="1:40" x14ac:dyDescent="0.25">
      <c r="A4036" t="str">
        <f>"20190303162900532"</f>
        <v>20190303162900532</v>
      </c>
      <c r="B4036" t="str">
        <f>"1551601740525684"</f>
        <v>1551601740525684</v>
      </c>
      <c r="C4036" t="s">
        <v>40</v>
      </c>
      <c r="D4036">
        <v>5.745501</v>
      </c>
      <c r="E4036">
        <v>0.50642359999999997</v>
      </c>
      <c r="F4036" t="s">
        <v>41</v>
      </c>
      <c r="G4036">
        <v>-236.61930000000001</v>
      </c>
      <c r="H4036" s="1">
        <v>-2.0004700000000002E-6</v>
      </c>
      <c r="I4036">
        <v>141.75040000000001</v>
      </c>
      <c r="J4036">
        <v>-211.41370000000001</v>
      </c>
      <c r="K4036">
        <v>1.1160730000000001</v>
      </c>
      <c r="L4036">
        <v>141.75569999999999</v>
      </c>
      <c r="M4036">
        <v>-0.99846369999999895</v>
      </c>
      <c r="N4036">
        <v>-1.4560760000000001E-2</v>
      </c>
      <c r="O4036">
        <v>-5.346368E-2</v>
      </c>
      <c r="P4036">
        <v>-0.98833930000000003</v>
      </c>
      <c r="Q4036">
        <v>0.15155399999999999</v>
      </c>
      <c r="R4036">
        <v>-1.473646E-2</v>
      </c>
      <c r="S4036">
        <v>-3.0532840000000001</v>
      </c>
      <c r="T4036">
        <v>-0.13389029999999999</v>
      </c>
      <c r="U4036">
        <v>-1.3580319999999999E-3</v>
      </c>
      <c r="V4036">
        <v>4.0317220000000001E-2</v>
      </c>
      <c r="W4036">
        <v>0.1654021</v>
      </c>
      <c r="X4036">
        <v>0.98540179999999999</v>
      </c>
      <c r="Y4036">
        <v>5.2934540000000002E-2</v>
      </c>
      <c r="Z4036">
        <v>3.109648E-3</v>
      </c>
      <c r="AA4036">
        <v>0.99859319999999896</v>
      </c>
      <c r="AB4036">
        <v>25</v>
      </c>
      <c r="AC4036">
        <v>-25.2056</v>
      </c>
      <c r="AD4036">
        <v>-1.11607500047</v>
      </c>
      <c r="AE4036">
        <v>-5.2999999999769898E-3</v>
      </c>
      <c r="AF4036">
        <v>1.3398076474568299</v>
      </c>
      <c r="AG4036">
        <v>-1.11607500047</v>
      </c>
      <c r="AH4036">
        <v>25.120574745973801</v>
      </c>
      <c r="AI4036">
        <v>92.540299453718703</v>
      </c>
      <c r="AJ4036">
        <v>86.947018184309798</v>
      </c>
      <c r="AK4036">
        <v>25.18102427438</v>
      </c>
      <c r="AL4036">
        <v>80.4794061293467</v>
      </c>
      <c r="AM4036">
        <v>87.657078706253998</v>
      </c>
      <c r="AN4036">
        <v>1.0000000201780801</v>
      </c>
    </row>
    <row r="4037" spans="1:40" x14ac:dyDescent="0.25">
      <c r="A4037" t="str">
        <f>"20190303162900554"</f>
        <v>20190303162900554</v>
      </c>
      <c r="B4037" t="str">
        <f>"1551601740546180"</f>
        <v>1551601740546180</v>
      </c>
      <c r="C4037" t="s">
        <v>40</v>
      </c>
      <c r="D4037">
        <v>5.5773349999999997</v>
      </c>
      <c r="E4037">
        <v>0.50667470000000003</v>
      </c>
      <c r="F4037" t="s">
        <v>41</v>
      </c>
      <c r="G4037">
        <v>-239.14869999999999</v>
      </c>
      <c r="H4037" s="1">
        <v>-8.9768319999999898E-7</v>
      </c>
      <c r="I4037">
        <v>141.684</v>
      </c>
      <c r="J4037">
        <v>-211.67920000000001</v>
      </c>
      <c r="K4037">
        <v>1.1164259999999999</v>
      </c>
      <c r="L4037">
        <v>141.75059999999999</v>
      </c>
      <c r="M4037">
        <v>-0.99884890000000004</v>
      </c>
      <c r="N4037">
        <v>-1.4491220000000001E-2</v>
      </c>
      <c r="O4037">
        <v>-4.5728900000000003E-2</v>
      </c>
      <c r="P4037">
        <v>-0.98824380000000001</v>
      </c>
      <c r="Q4037">
        <v>0.1522106</v>
      </c>
      <c r="R4037">
        <v>-1.4367710000000001E-2</v>
      </c>
      <c r="S4037">
        <v>-3.0541230000000001</v>
      </c>
      <c r="T4037">
        <v>-0.1228998</v>
      </c>
      <c r="U4037">
        <v>-7.8887939999999993E-3</v>
      </c>
      <c r="V4037">
        <v>3.2899129999999999E-2</v>
      </c>
      <c r="W4037">
        <v>0.16611589999999901</v>
      </c>
      <c r="X4037">
        <v>0.98555729999999997</v>
      </c>
      <c r="Y4037">
        <v>4.3090690000000001E-2</v>
      </c>
      <c r="Z4037">
        <v>2.3552429999999999E-3</v>
      </c>
      <c r="AA4037">
        <v>0.99906839999999997</v>
      </c>
      <c r="AB4037">
        <v>25</v>
      </c>
      <c r="AC4037">
        <v>-27.469499999999901</v>
      </c>
      <c r="AD4037">
        <v>-1.1164268976831999</v>
      </c>
      <c r="AE4037">
        <v>-6.6599999999993997E-2</v>
      </c>
      <c r="AF4037">
        <v>1.18778947277944</v>
      </c>
      <c r="AG4037">
        <v>-1.1164268976831999</v>
      </c>
      <c r="AH4037">
        <v>27.398546801053801</v>
      </c>
      <c r="AI4037">
        <v>92.331191368942896</v>
      </c>
      <c r="AJ4037">
        <v>87.517651669726405</v>
      </c>
      <c r="AK4037">
        <v>27.446996550789599</v>
      </c>
      <c r="AL4037">
        <v>80.437934679839898</v>
      </c>
      <c r="AM4037">
        <v>88.088105464019705</v>
      </c>
      <c r="AN4037">
        <v>1.0000000182854201</v>
      </c>
    </row>
    <row r="4038" spans="1:40" x14ac:dyDescent="0.25">
      <c r="A4038" t="str">
        <f>"20190303162900578"</f>
        <v>20190303162900578</v>
      </c>
      <c r="B4038" t="str">
        <f>"1551601740565700"</f>
        <v>1551601740565700</v>
      </c>
      <c r="C4038" t="s">
        <v>40</v>
      </c>
      <c r="D4038">
        <v>5.7351720000000004</v>
      </c>
      <c r="E4038">
        <v>0.50709870000000001</v>
      </c>
      <c r="F4038" t="s">
        <v>41</v>
      </c>
      <c r="G4038">
        <v>-228.42169999999999</v>
      </c>
      <c r="H4038" s="1">
        <v>-1.214164E-6</v>
      </c>
      <c r="I4038">
        <v>141.7013</v>
      </c>
      <c r="J4038">
        <v>-211.94069999999999</v>
      </c>
      <c r="K4038">
        <v>1.1168070000000001</v>
      </c>
      <c r="L4038">
        <v>141.74690000000001</v>
      </c>
      <c r="M4038">
        <v>-0.9991466</v>
      </c>
      <c r="N4038">
        <v>-1.4419710000000001E-2</v>
      </c>
      <c r="O4038">
        <v>-3.8706079999999997E-2</v>
      </c>
      <c r="P4038">
        <v>-0.98836990000000002</v>
      </c>
      <c r="Q4038">
        <v>0.15132190000000001</v>
      </c>
      <c r="R4038">
        <v>-1.507146E-2</v>
      </c>
      <c r="S4038">
        <v>-3.067062</v>
      </c>
      <c r="T4038">
        <v>-0.20451920000000001</v>
      </c>
      <c r="U4038">
        <v>-9.017944E-3</v>
      </c>
      <c r="V4038">
        <v>2.508809E-2</v>
      </c>
      <c r="W4038">
        <v>0.16528019999999999</v>
      </c>
      <c r="X4038">
        <v>0.98592749999999996</v>
      </c>
      <c r="Y4038">
        <v>3.5622889999999997E-2</v>
      </c>
      <c r="Z4038">
        <v>3.4634280000000002E-3</v>
      </c>
      <c r="AA4038">
        <v>0.99935929999999995</v>
      </c>
      <c r="AB4038">
        <v>25</v>
      </c>
      <c r="AC4038">
        <v>-16.480999999999899</v>
      </c>
      <c r="AD4038">
        <v>-1.1168082141639999</v>
      </c>
      <c r="AE4038">
        <v>-4.5600000000007399E-2</v>
      </c>
      <c r="AF4038">
        <v>0.58970756474608299</v>
      </c>
      <c r="AG4038">
        <v>-1.1168082141639999</v>
      </c>
      <c r="AH4038">
        <v>16.3951285827129</v>
      </c>
      <c r="AI4038">
        <v>93.894360433247698</v>
      </c>
      <c r="AJ4038">
        <v>87.940046948132604</v>
      </c>
      <c r="AK4038">
        <v>16.443699609359001</v>
      </c>
      <c r="AL4038">
        <v>80.486487723894399</v>
      </c>
      <c r="AM4038">
        <v>88.542355759635996</v>
      </c>
      <c r="AN4038">
        <v>0.99999999601406897</v>
      </c>
    </row>
    <row r="4039" spans="1:40" x14ac:dyDescent="0.25">
      <c r="A4039" t="str">
        <f>"20190303162900598"</f>
        <v>20190303162900598</v>
      </c>
      <c r="B4039" t="str">
        <f>"1551601740585220"</f>
        <v>1551601740585220</v>
      </c>
      <c r="C4039" t="s">
        <v>40</v>
      </c>
      <c r="D4039">
        <v>5.5617330000000003</v>
      </c>
      <c r="E4039">
        <v>0.50720719999999997</v>
      </c>
      <c r="F4039" t="s">
        <v>41</v>
      </c>
      <c r="G4039">
        <v>-228.0206</v>
      </c>
      <c r="H4039" s="1">
        <v>-1.386456E-6</v>
      </c>
      <c r="I4039">
        <v>141.7021</v>
      </c>
      <c r="J4039">
        <v>-212.17080000000001</v>
      </c>
      <c r="K4039">
        <v>1.117191</v>
      </c>
      <c r="L4039">
        <v>141.74469999999999</v>
      </c>
      <c r="M4039">
        <v>-0.99935010000000002</v>
      </c>
      <c r="N4039">
        <v>-1.4355740000000001E-2</v>
      </c>
      <c r="O4039">
        <v>-3.3066459999999999E-2</v>
      </c>
      <c r="P4039">
        <v>-0.98857819999999996</v>
      </c>
      <c r="Q4039">
        <v>0.14999089999999901</v>
      </c>
      <c r="R4039">
        <v>-1.470776E-2</v>
      </c>
      <c r="S4039">
        <v>-3.0677949999999998</v>
      </c>
      <c r="T4039">
        <v>-0.21306919999999999</v>
      </c>
      <c r="U4039">
        <v>-8.5296629999999998E-3</v>
      </c>
      <c r="V4039">
        <v>1.9707519999999999E-2</v>
      </c>
      <c r="W4039">
        <v>0.16396939999999999</v>
      </c>
      <c r="X4039">
        <v>0.98626849999999999</v>
      </c>
      <c r="Y4039">
        <v>3.0153099999999999E-2</v>
      </c>
      <c r="Z4039">
        <v>3.0817599999999998E-3</v>
      </c>
      <c r="AA4039">
        <v>0.9995406</v>
      </c>
      <c r="AB4039">
        <v>25</v>
      </c>
      <c r="AC4039">
        <v>-15.849799999999901</v>
      </c>
      <c r="AD4039">
        <v>-1.1171923864560001</v>
      </c>
      <c r="AE4039">
        <v>-4.2599999999992998E-2</v>
      </c>
      <c r="AF4039">
        <v>0.47919330306165397</v>
      </c>
      <c r="AG4039">
        <v>-1.1171923864560001</v>
      </c>
      <c r="AH4039">
        <v>15.7642187064582</v>
      </c>
      <c r="AI4039">
        <v>94.051844540345101</v>
      </c>
      <c r="AJ4039">
        <v>88.258885989162394</v>
      </c>
      <c r="AK4039">
        <v>15.811019463497701</v>
      </c>
      <c r="AL4039">
        <v>80.562629485472499</v>
      </c>
      <c r="AM4039">
        <v>88.8552737163795</v>
      </c>
      <c r="AN4039">
        <v>0.99999995228657901</v>
      </c>
    </row>
    <row r="4040" spans="1:40" x14ac:dyDescent="0.25">
      <c r="A4040" t="str">
        <f>"20190303162900621"</f>
        <v>20190303162900621</v>
      </c>
      <c r="B4040" t="str">
        <f>"1551601740615475"</f>
        <v>1551601740615475</v>
      </c>
      <c r="C4040" t="s">
        <v>40</v>
      </c>
      <c r="D4040">
        <v>5.7941510000000003</v>
      </c>
      <c r="E4040">
        <v>0.50729340000000001</v>
      </c>
      <c r="F4040" t="s">
        <v>41</v>
      </c>
      <c r="G4040">
        <v>-227.73500000000001</v>
      </c>
      <c r="H4040" s="1">
        <v>-1.509502E-6</v>
      </c>
      <c r="I4040">
        <v>141.70410000000001</v>
      </c>
      <c r="J4040">
        <v>-212.42259999999999</v>
      </c>
      <c r="K4040">
        <v>1.117659</v>
      </c>
      <c r="L4040">
        <v>141.74299999999999</v>
      </c>
      <c r="M4040">
        <v>-0.99951950000000001</v>
      </c>
      <c r="N4040">
        <v>-1.428725E-2</v>
      </c>
      <c r="O4040">
        <v>-2.750973E-2</v>
      </c>
      <c r="P4040">
        <v>-0.98901810000000001</v>
      </c>
      <c r="Q4040">
        <v>0.147320799999999</v>
      </c>
      <c r="R4040">
        <v>-1.1823129999999999E-2</v>
      </c>
      <c r="S4040">
        <v>-3.0679470000000002</v>
      </c>
      <c r="T4040">
        <v>-0.22021560000000001</v>
      </c>
      <c r="U4040">
        <v>-7.9803469999999901E-3</v>
      </c>
      <c r="V4040">
        <v>1.6886640000000001E-2</v>
      </c>
      <c r="W4040">
        <v>0.16128619999999999</v>
      </c>
      <c r="X4040">
        <v>0.98676319999999995</v>
      </c>
      <c r="Y4040">
        <v>2.4790340000000001E-2</v>
      </c>
      <c r="Z4040">
        <v>2.6451439999999999E-3</v>
      </c>
      <c r="AA4040">
        <v>0.99968919999999994</v>
      </c>
      <c r="AB4040">
        <v>25</v>
      </c>
      <c r="AC4040">
        <v>-15.3124</v>
      </c>
      <c r="AD4040">
        <v>-1.117660509502</v>
      </c>
      <c r="AE4040">
        <v>-3.8899999999983899E-2</v>
      </c>
      <c r="AF4040">
        <v>0.380371224118702</v>
      </c>
      <c r="AG4040">
        <v>-1.117660509502</v>
      </c>
      <c r="AH4040">
        <v>15.226553086395301</v>
      </c>
      <c r="AI4040">
        <v>94.196795402375301</v>
      </c>
      <c r="AJ4040">
        <v>88.569004160460196</v>
      </c>
      <c r="AK4040">
        <v>15.272254783608499</v>
      </c>
      <c r="AL4040">
        <v>80.718440299251398</v>
      </c>
      <c r="AM4040">
        <v>89.019583656909006</v>
      </c>
      <c r="AN4040">
        <v>1.0000000048975799</v>
      </c>
    </row>
    <row r="4041" spans="1:40" x14ac:dyDescent="0.25">
      <c r="A4041" t="str">
        <f>"20190303162900644"</f>
        <v>20190303162900644</v>
      </c>
      <c r="B4041" t="str">
        <f>"1551601740635972"</f>
        <v>1551601740635972</v>
      </c>
      <c r="C4041" t="s">
        <v>40</v>
      </c>
      <c r="D4041">
        <v>5.2555899999999998</v>
      </c>
      <c r="E4041">
        <v>0.50730609999999998</v>
      </c>
      <c r="F4041" t="s">
        <v>41</v>
      </c>
      <c r="G4041">
        <v>-227.0925</v>
      </c>
      <c r="H4041" s="1">
        <v>-1.7941309999999999E-6</v>
      </c>
      <c r="I4041">
        <v>141.7379</v>
      </c>
      <c r="J4041">
        <v>-212.67859999999999</v>
      </c>
      <c r="K4041">
        <v>1.11818</v>
      </c>
      <c r="L4041">
        <v>141.74189999999999</v>
      </c>
      <c r="M4041">
        <v>-0.99964390000000003</v>
      </c>
      <c r="N4041">
        <v>-1.422087E-2</v>
      </c>
      <c r="O4041">
        <v>-2.258607E-2</v>
      </c>
      <c r="P4041">
        <v>-0.98941950000000001</v>
      </c>
      <c r="Q4041">
        <v>0.14473459999999999</v>
      </c>
      <c r="R4041">
        <v>-1.008499E-2</v>
      </c>
      <c r="S4041">
        <v>-3.0680999999999998</v>
      </c>
      <c r="T4041">
        <v>-0.23375029999999999</v>
      </c>
      <c r="U4041">
        <v>-1.052856E-3</v>
      </c>
      <c r="V4041">
        <v>1.353102E-2</v>
      </c>
      <c r="W4041">
        <v>0.1586871</v>
      </c>
      <c r="X4041">
        <v>0.98723620000000001</v>
      </c>
      <c r="Y4041">
        <v>2.2125860000000001E-2</v>
      </c>
      <c r="Z4041">
        <v>2.3965570000000001E-3</v>
      </c>
      <c r="AA4041">
        <v>0.99975230000000004</v>
      </c>
      <c r="AB4041">
        <v>25</v>
      </c>
      <c r="AC4041">
        <v>-14.4139</v>
      </c>
      <c r="AD4041">
        <v>-1.1181817941309999</v>
      </c>
      <c r="AE4041">
        <v>-3.9999999999906699E-3</v>
      </c>
      <c r="AF4041">
        <v>0.31966347415546598</v>
      </c>
      <c r="AG4041">
        <v>-1.1181817941309999</v>
      </c>
      <c r="AH4041">
        <v>14.324108265643099</v>
      </c>
      <c r="AI4041">
        <v>94.462517410651103</v>
      </c>
      <c r="AJ4041">
        <v>88.721572889520402</v>
      </c>
      <c r="AK4041">
        <v>14.3712418693479</v>
      </c>
      <c r="AL4041">
        <v>80.869300964825598</v>
      </c>
      <c r="AM4041">
        <v>89.214755497954997</v>
      </c>
      <c r="AN4041">
        <v>0.99999999939954498</v>
      </c>
    </row>
    <row r="4042" spans="1:40" x14ac:dyDescent="0.25">
      <c r="A4042" t="str">
        <f>"20190303162900668"</f>
        <v>20190303162900668</v>
      </c>
      <c r="B4042" t="str">
        <f>"1551601740655492"</f>
        <v>1551601740655492</v>
      </c>
      <c r="C4042" t="s">
        <v>40</v>
      </c>
      <c r="D4042">
        <v>5.3679690000000004</v>
      </c>
      <c r="E4042">
        <v>0.50702700000000001</v>
      </c>
      <c r="F4042" t="s">
        <v>44</v>
      </c>
      <c r="G4042">
        <v>-213.6294</v>
      </c>
      <c r="H4042">
        <v>1.0430469999999901</v>
      </c>
      <c r="I4042">
        <v>141.74260000000001</v>
      </c>
      <c r="J4042">
        <v>-212.94640000000001</v>
      </c>
      <c r="K4042">
        <v>1.118727</v>
      </c>
      <c r="L4042">
        <v>141.74119999999999</v>
      </c>
      <c r="M4042">
        <v>-0.99973270000000003</v>
      </c>
      <c r="N4042">
        <v>-1.415636E-2</v>
      </c>
      <c r="O4042">
        <v>-1.8279449999999999E-2</v>
      </c>
      <c r="P4042">
        <v>-0.98976359999999997</v>
      </c>
      <c r="Q4042">
        <v>0.1424455</v>
      </c>
      <c r="R4042">
        <v>-8.8201709999999999E-3</v>
      </c>
      <c r="S4042">
        <v>-3.0675509999999999</v>
      </c>
      <c r="T4042">
        <v>-0.24236050000000001</v>
      </c>
      <c r="U4042">
        <v>2.2430420000000002E-3</v>
      </c>
      <c r="V4042">
        <v>1.031106E-2</v>
      </c>
      <c r="W4042">
        <v>0.15637779999999901</v>
      </c>
      <c r="X4042">
        <v>0.98764350000000001</v>
      </c>
      <c r="Y4042">
        <v>1.8904500000000001E-2</v>
      </c>
      <c r="Z4042">
        <v>2.0631529999999999E-3</v>
      </c>
      <c r="AA4042">
        <v>0.99981920000000002</v>
      </c>
      <c r="AB4042">
        <v>25</v>
      </c>
      <c r="AC4042">
        <v>-0.68299999999999195</v>
      </c>
      <c r="AD4042">
        <v>-7.5680000000000094E-2</v>
      </c>
      <c r="AE4042">
        <v>1.40000000001805E-3</v>
      </c>
      <c r="AF4042">
        <v>1.37174618416071E-2</v>
      </c>
      <c r="AG4042">
        <v>-7.5680000000000094E-2</v>
      </c>
      <c r="AH4042">
        <v>0.67457796164083395</v>
      </c>
      <c r="AI4042">
        <v>96.399858725998996</v>
      </c>
      <c r="AJ4042">
        <v>88.835057757127501</v>
      </c>
      <c r="AK4042">
        <v>0.67894849398969803</v>
      </c>
      <c r="AL4042">
        <v>81.003287201684898</v>
      </c>
      <c r="AM4042">
        <v>89.401850204352201</v>
      </c>
      <c r="AN4042">
        <v>1.0000000086917</v>
      </c>
    </row>
    <row r="4043" spans="1:40" x14ac:dyDescent="0.25">
      <c r="A4043" t="str">
        <f>"20190303162900689"</f>
        <v>20190303162900689</v>
      </c>
      <c r="B4043" t="str">
        <f>"1551601740675988"</f>
        <v>1551601740675988</v>
      </c>
      <c r="C4043" t="s">
        <v>40</v>
      </c>
      <c r="D4043">
        <v>5.6768419999999997</v>
      </c>
      <c r="E4043">
        <v>0.5068724</v>
      </c>
      <c r="F4043" t="s">
        <v>44</v>
      </c>
      <c r="G4043">
        <v>-213.86359999999999</v>
      </c>
      <c r="H4043">
        <v>1.0441389999999999</v>
      </c>
      <c r="I4043">
        <v>141.7422</v>
      </c>
      <c r="J4043">
        <v>-213.18629999999999</v>
      </c>
      <c r="K4043">
        <v>1.1191489999999999</v>
      </c>
      <c r="L4043">
        <v>141.74090000000001</v>
      </c>
      <c r="M4043">
        <v>-0.99978840000000002</v>
      </c>
      <c r="N4043">
        <v>-1.4103340000000001E-2</v>
      </c>
      <c r="O4043">
        <v>-1.497971E-2</v>
      </c>
      <c r="P4043">
        <v>-0.98997219999999997</v>
      </c>
      <c r="Q4043">
        <v>0.14102100000000001</v>
      </c>
      <c r="R4043">
        <v>-8.2719300000000003E-3</v>
      </c>
      <c r="S4043">
        <v>-3.0669559999999998</v>
      </c>
      <c r="T4043">
        <v>-0.2493515</v>
      </c>
      <c r="U4043">
        <v>2.7618410000000001E-3</v>
      </c>
      <c r="V4043">
        <v>7.4257159999999997E-3</v>
      </c>
      <c r="W4043">
        <v>0.1549304</v>
      </c>
      <c r="X4043">
        <v>0.98789749999999998</v>
      </c>
      <c r="Y4043">
        <v>1.5786689999999999E-2</v>
      </c>
      <c r="Z4043">
        <v>1.757095E-3</v>
      </c>
      <c r="AA4043">
        <v>0.99987380000000003</v>
      </c>
      <c r="AB4043">
        <v>25</v>
      </c>
      <c r="AC4043">
        <v>-0.67730000000000201</v>
      </c>
      <c r="AD4043">
        <v>-7.5009999999999993E-2</v>
      </c>
      <c r="AE4043">
        <v>1.2999999999863099E-3</v>
      </c>
      <c r="AF4043">
        <v>1.13079261859144E-2</v>
      </c>
      <c r="AG4043">
        <v>-7.5009999999999993E-2</v>
      </c>
      <c r="AH4043">
        <v>0.66899910798796702</v>
      </c>
      <c r="AI4043">
        <v>96.396533363695696</v>
      </c>
      <c r="AJ4043">
        <v>89.031635847724402</v>
      </c>
      <c r="AK4043">
        <v>0.673286102473028</v>
      </c>
      <c r="AL4043">
        <v>81.087240477490496</v>
      </c>
      <c r="AM4043">
        <v>89.569333686965393</v>
      </c>
      <c r="AN4043">
        <v>1.0000000203042601</v>
      </c>
    </row>
    <row r="4044" spans="1:40" x14ac:dyDescent="0.25">
      <c r="A4044" t="str">
        <f>"20190303162900713"</f>
        <v>20190303162900713</v>
      </c>
      <c r="B4044" t="str">
        <f>"1551601740705268"</f>
        <v>1551601740705268</v>
      </c>
      <c r="C4044" t="s">
        <v>40</v>
      </c>
      <c r="D4044">
        <v>5.6826889999999999</v>
      </c>
      <c r="E4044">
        <v>0.50660519999999998</v>
      </c>
      <c r="F4044" t="s">
        <v>41</v>
      </c>
      <c r="G4044">
        <v>-226.6747</v>
      </c>
      <c r="H4044" s="1">
        <v>-1.9781390000000002E-6</v>
      </c>
      <c r="I4044">
        <v>141.7559</v>
      </c>
      <c r="J4044">
        <v>-213.4485</v>
      </c>
      <c r="K4044">
        <v>1.1195459999999999</v>
      </c>
      <c r="L4044">
        <v>141.7407</v>
      </c>
      <c r="M4044">
        <v>-0.99982939999999998</v>
      </c>
      <c r="N4044">
        <v>-1.4049300000000001E-2</v>
      </c>
      <c r="O4044">
        <v>-1.1989720000000001E-2</v>
      </c>
      <c r="P4044">
        <v>-0.99017169999999999</v>
      </c>
      <c r="Q4044">
        <v>0.13959659999999999</v>
      </c>
      <c r="R4044">
        <v>-8.5288159999999998E-3</v>
      </c>
      <c r="S4044">
        <v>-3.0666660000000001</v>
      </c>
      <c r="T4044">
        <v>-0.25444509999999998</v>
      </c>
      <c r="U4044">
        <v>3.433228E-3</v>
      </c>
      <c r="V4044">
        <v>4.0540189999999999E-3</v>
      </c>
      <c r="W4044">
        <v>0.15347740000000001</v>
      </c>
      <c r="X4044">
        <v>0.98814389999999996</v>
      </c>
      <c r="Y4044">
        <v>1.3029539999999999E-2</v>
      </c>
      <c r="Z4044">
        <v>1.4561890000000001E-3</v>
      </c>
      <c r="AA4044">
        <v>0.99991410000000003</v>
      </c>
      <c r="AB4044">
        <v>25</v>
      </c>
      <c r="AC4044">
        <v>-13.2262</v>
      </c>
      <c r="AD4044">
        <v>-1.1195479781390001</v>
      </c>
      <c r="AE4044">
        <v>1.51999999999929E-2</v>
      </c>
      <c r="AF4044">
        <v>0.17255663332935001</v>
      </c>
      <c r="AG4044">
        <v>-1.1195479781390001</v>
      </c>
      <c r="AH4044">
        <v>13.1309836918988</v>
      </c>
      <c r="AI4044">
        <v>94.872835273213497</v>
      </c>
      <c r="AJ4044">
        <v>89.247109128277799</v>
      </c>
      <c r="AK4044">
        <v>13.179753267188801</v>
      </c>
      <c r="AL4044">
        <v>81.171499393218596</v>
      </c>
      <c r="AM4044">
        <v>89.764936184337898</v>
      </c>
      <c r="AN4044">
        <v>1.000000057244</v>
      </c>
    </row>
    <row r="4045" spans="1:40" x14ac:dyDescent="0.25">
      <c r="A4045" t="str">
        <f>"20190303162900780"</f>
        <v>20190303162900780</v>
      </c>
      <c r="B4045" t="str">
        <f>"1551601740775540"</f>
        <v>1551601740775540</v>
      </c>
      <c r="C4045" t="s">
        <v>40</v>
      </c>
      <c r="D4045">
        <v>5.6202620000000003</v>
      </c>
      <c r="E4045">
        <v>0.50624349999999996</v>
      </c>
      <c r="F4045" t="s">
        <v>41</v>
      </c>
      <c r="G4045">
        <v>-226.79349999999999</v>
      </c>
      <c r="H4045" s="1">
        <v>-1.926705E-6</v>
      </c>
      <c r="I4045">
        <v>141.75399999999999</v>
      </c>
      <c r="J4045">
        <v>-214.19560000000001</v>
      </c>
      <c r="K4045">
        <v>1.1205590000000001</v>
      </c>
      <c r="L4045">
        <v>141.74090000000001</v>
      </c>
      <c r="M4045">
        <v>-0.99988169999999998</v>
      </c>
      <c r="N4045">
        <v>-1.391977E-2</v>
      </c>
      <c r="O4045">
        <v>-6.5510899999999999E-3</v>
      </c>
      <c r="P4045">
        <v>-0.98964510000000006</v>
      </c>
      <c r="Q4045">
        <v>0.1432312</v>
      </c>
      <c r="R4045">
        <v>-9.3634740000000001E-3</v>
      </c>
      <c r="S4045">
        <v>-3.0660859999999999</v>
      </c>
      <c r="T4045">
        <v>-0.25722420000000001</v>
      </c>
      <c r="U4045">
        <v>3.067017E-3</v>
      </c>
      <c r="V4045">
        <v>-2.5277429999999998E-3</v>
      </c>
      <c r="W4045">
        <v>0.15699949999999999</v>
      </c>
      <c r="X4045">
        <v>0.98759540000000001</v>
      </c>
      <c r="Y4045">
        <v>7.5052390000000004E-3</v>
      </c>
      <c r="Z4045">
        <v>8.2417839999999998E-4</v>
      </c>
      <c r="AA4045">
        <v>0.99997150000000001</v>
      </c>
      <c r="AB4045">
        <v>25</v>
      </c>
      <c r="AC4045">
        <v>-12.5978999999999</v>
      </c>
      <c r="AD4045">
        <v>-1.1205609267049901</v>
      </c>
      <c r="AE4045">
        <v>1.30999999999801E-2</v>
      </c>
      <c r="AF4045">
        <v>9.48869637478022E-2</v>
      </c>
      <c r="AG4045">
        <v>-1.1205609267049901</v>
      </c>
      <c r="AH4045">
        <v>12.4986571688321</v>
      </c>
      <c r="AI4045">
        <v>95.122980781312293</v>
      </c>
      <c r="AJ4045">
        <v>89.565031824048503</v>
      </c>
      <c r="AK4045">
        <v>12.5491470367649</v>
      </c>
      <c r="AL4045">
        <v>80.967220421757901</v>
      </c>
      <c r="AM4045">
        <v>90.146647796594195</v>
      </c>
      <c r="AN4045">
        <v>0.99999995329304003</v>
      </c>
    </row>
    <row r="4046" spans="1:40" x14ac:dyDescent="0.25">
      <c r="A4046" t="str">
        <f>"20190303162900801"</f>
        <v>20190303162900801</v>
      </c>
      <c r="B4046" t="str">
        <f>"1551601740796036"</f>
        <v>1551601740796036</v>
      </c>
      <c r="C4046" t="s">
        <v>40</v>
      </c>
      <c r="D4046">
        <v>5.6353019999999896</v>
      </c>
      <c r="E4046">
        <v>0.49848619999999999</v>
      </c>
      <c r="F4046" t="s">
        <v>41</v>
      </c>
      <c r="G4046">
        <v>-228.3245</v>
      </c>
      <c r="H4046" s="1">
        <v>-1.265345E-6</v>
      </c>
      <c r="I4046">
        <v>141.73689999999999</v>
      </c>
      <c r="J4046">
        <v>-214.42660000000001</v>
      </c>
      <c r="K4046">
        <v>1.1208480000000001</v>
      </c>
      <c r="L4046">
        <v>141.74080000000001</v>
      </c>
      <c r="M4046">
        <v>-0.99988779999999999</v>
      </c>
      <c r="N4046">
        <v>-1.3888579999999999E-2</v>
      </c>
      <c r="O4046">
        <v>-5.6185920000000004E-3</v>
      </c>
      <c r="P4046">
        <v>-0.98936349999999995</v>
      </c>
      <c r="Q4046">
        <v>0.14519079999999901</v>
      </c>
      <c r="R4046">
        <v>-8.9327690000000001E-3</v>
      </c>
      <c r="S4046">
        <v>-3.0665589999999998</v>
      </c>
      <c r="T4046">
        <v>-0.24320890000000001</v>
      </c>
      <c r="U4046">
        <v>-8.5449219999999995E-4</v>
      </c>
      <c r="V4046">
        <v>-3.1243690000000001E-3</v>
      </c>
      <c r="W4046">
        <v>0.15892339999999999</v>
      </c>
      <c r="X4046">
        <v>0.987286</v>
      </c>
      <c r="Y4046">
        <v>5.3088869999999896E-3</v>
      </c>
      <c r="Z4046">
        <v>6.1410299999999996E-4</v>
      </c>
      <c r="AA4046">
        <v>0.99998569999999998</v>
      </c>
      <c r="AB4046">
        <v>25</v>
      </c>
      <c r="AC4046">
        <v>-13.8978999999999</v>
      </c>
      <c r="AD4046">
        <v>-1.120849265345</v>
      </c>
      <c r="AE4046">
        <v>-3.9000000000157702E-3</v>
      </c>
      <c r="AF4046">
        <v>7.3714762784121604E-2</v>
      </c>
      <c r="AG4046">
        <v>-1.120849265345</v>
      </c>
      <c r="AH4046">
        <v>13.807892764131999</v>
      </c>
      <c r="AI4046">
        <v>94.640717050669394</v>
      </c>
      <c r="AJ4046">
        <v>89.694123879462396</v>
      </c>
      <c r="AK4046">
        <v>13.8535063982967</v>
      </c>
      <c r="AL4046">
        <v>80.855588210035407</v>
      </c>
      <c r="AM4046">
        <v>90.181317834706803</v>
      </c>
      <c r="AN4046">
        <v>1.0000000272726</v>
      </c>
    </row>
    <row r="4047" spans="1:40" x14ac:dyDescent="0.25">
      <c r="A4047" t="str">
        <f>"20190303162900825"</f>
        <v>20190303162900825</v>
      </c>
      <c r="B4047" t="str">
        <f>"1551601740815556"</f>
        <v>1551601740815556</v>
      </c>
      <c r="C4047" t="s">
        <v>40</v>
      </c>
      <c r="D4047">
        <v>5.694388</v>
      </c>
      <c r="E4047">
        <v>0.49771850000000001</v>
      </c>
      <c r="F4047" t="s">
        <v>41</v>
      </c>
      <c r="G4047">
        <v>-233.3322</v>
      </c>
      <c r="H4047" s="1">
        <v>-3.3090699999999998E-6</v>
      </c>
      <c r="I4047">
        <v>141.36879999999999</v>
      </c>
      <c r="J4047">
        <v>-214.6815</v>
      </c>
      <c r="K4047">
        <v>1.121138</v>
      </c>
      <c r="L4047">
        <v>141.74039999999999</v>
      </c>
      <c r="M4047">
        <v>-0.99989189999999994</v>
      </c>
      <c r="N4047">
        <v>-1.3858199999999999E-2</v>
      </c>
      <c r="O4047">
        <v>-4.9367719999999999E-3</v>
      </c>
      <c r="P4047">
        <v>-0.98929730000000005</v>
      </c>
      <c r="Q4047">
        <v>0.14559459999999999</v>
      </c>
      <c r="R4047">
        <v>-9.6775469999999999E-3</v>
      </c>
      <c r="S4047">
        <v>-3.0583339999999999</v>
      </c>
      <c r="T4047">
        <v>-0.18131839999999999</v>
      </c>
      <c r="U4047">
        <v>-6.0165410000000002E-2</v>
      </c>
      <c r="V4047">
        <v>-4.650805E-3</v>
      </c>
      <c r="W4047">
        <v>0.1592953</v>
      </c>
      <c r="X4047">
        <v>0.98721999999999999</v>
      </c>
      <c r="Y4047">
        <v>-1.47055E-2</v>
      </c>
      <c r="Z4047">
        <v>-3.1348759999999998E-4</v>
      </c>
      <c r="AA4047">
        <v>0.9998918</v>
      </c>
      <c r="AB4047">
        <v>25</v>
      </c>
      <c r="AC4047">
        <v>-18.650700000000001</v>
      </c>
      <c r="AD4047">
        <v>-1.12114130907</v>
      </c>
      <c r="AE4047">
        <v>-0.37159999999999999</v>
      </c>
      <c r="AF4047">
        <v>-0.27850639632080199</v>
      </c>
      <c r="AG4047">
        <v>-1.12114130907</v>
      </c>
      <c r="AH4047">
        <v>18.585176108455599</v>
      </c>
      <c r="AI4047">
        <v>93.451768728488602</v>
      </c>
      <c r="AJ4047">
        <v>90.858536216126197</v>
      </c>
      <c r="AK4047">
        <v>18.621044402234901</v>
      </c>
      <c r="AL4047">
        <v>80.834004481653196</v>
      </c>
      <c r="AM4047">
        <v>90.269919092543802</v>
      </c>
      <c r="AN4047">
        <v>0.99999997549461805</v>
      </c>
    </row>
    <row r="4048" spans="1:40" x14ac:dyDescent="0.25">
      <c r="A4048" t="str">
        <f>"20190303162900845"</f>
        <v>20190303162900845</v>
      </c>
      <c r="B4048" t="str">
        <f>"1551601740836052"</f>
        <v>1551601740836052</v>
      </c>
      <c r="C4048" t="s">
        <v>40</v>
      </c>
      <c r="D4048">
        <v>5.6382839999999996</v>
      </c>
      <c r="E4048">
        <v>0.49642170000000002</v>
      </c>
      <c r="F4048" t="s">
        <v>41</v>
      </c>
      <c r="G4048">
        <v>-240.40969999999999</v>
      </c>
      <c r="H4048" s="1">
        <v>-4.4138059999999997E-6</v>
      </c>
      <c r="I4048">
        <v>141.179</v>
      </c>
      <c r="J4048">
        <v>-214.9212</v>
      </c>
      <c r="K4048">
        <v>1.121364</v>
      </c>
      <c r="L4048">
        <v>141.73990000000001</v>
      </c>
      <c r="M4048">
        <v>-0.99989380000000005</v>
      </c>
      <c r="N4048">
        <v>-1.383323E-2</v>
      </c>
      <c r="O4048">
        <v>-4.6131319999999998E-3</v>
      </c>
      <c r="P4048">
        <v>-0.98927019999999999</v>
      </c>
      <c r="Q4048">
        <v>0.14572470000000001</v>
      </c>
      <c r="R4048">
        <v>-1.045419E-2</v>
      </c>
      <c r="S4048">
        <v>-3.051361</v>
      </c>
      <c r="T4048">
        <v>-0.13296720000000001</v>
      </c>
      <c r="U4048">
        <v>-6.6574099999999997E-2</v>
      </c>
      <c r="V4048">
        <v>-5.8322690000000002E-3</v>
      </c>
      <c r="W4048">
        <v>0.1593984</v>
      </c>
      <c r="X4048">
        <v>0.98719710000000005</v>
      </c>
      <c r="Y4048">
        <v>-1.7180500000000001E-2</v>
      </c>
      <c r="Z4048">
        <v>-3.559239E-4</v>
      </c>
      <c r="AA4048">
        <v>0.99985239999999997</v>
      </c>
      <c r="AB4048">
        <v>25</v>
      </c>
      <c r="AC4048">
        <v>-25.488499999999899</v>
      </c>
      <c r="AD4048">
        <v>-1.1213684138060001</v>
      </c>
      <c r="AE4048">
        <v>-0.56090000000000295</v>
      </c>
      <c r="AF4048">
        <v>-0.44244501138652897</v>
      </c>
      <c r="AG4048">
        <v>-1.1213684138060001</v>
      </c>
      <c r="AH4048">
        <v>25.441596424984599</v>
      </c>
      <c r="AI4048">
        <v>92.523364650421399</v>
      </c>
      <c r="AJ4048">
        <v>90.996308418421904</v>
      </c>
      <c r="AK4048">
        <v>25.470140426769799</v>
      </c>
      <c r="AL4048">
        <v>80.828020963534101</v>
      </c>
      <c r="AM4048">
        <v>90.338494218576201</v>
      </c>
      <c r="AN4048">
        <v>0.99999998976632898</v>
      </c>
    </row>
    <row r="4049" spans="1:40" x14ac:dyDescent="0.25">
      <c r="A4049" t="str">
        <f>"20190303162900868"</f>
        <v>20190303162900868</v>
      </c>
      <c r="B4049" t="str">
        <f>"1551601740855572"</f>
        <v>1551601740855572</v>
      </c>
      <c r="C4049" t="s">
        <v>40</v>
      </c>
      <c r="D4049">
        <v>5.6299010000000003</v>
      </c>
      <c r="E4049">
        <v>0.495587</v>
      </c>
      <c r="F4049" t="s">
        <v>41</v>
      </c>
      <c r="G4049">
        <v>-244.69569999999999</v>
      </c>
      <c r="H4049" s="1">
        <v>-2.6211420000000001E-6</v>
      </c>
      <c r="I4049">
        <v>140.98159999999999</v>
      </c>
      <c r="J4049">
        <v>-215.16659999999999</v>
      </c>
      <c r="K4049">
        <v>1.1215250000000001</v>
      </c>
      <c r="L4049">
        <v>141.73910000000001</v>
      </c>
      <c r="M4049">
        <v>-0.99989459999999997</v>
      </c>
      <c r="N4049">
        <v>-1.3809429999999999E-2</v>
      </c>
      <c r="O4049">
        <v>-4.5027720000000004E-3</v>
      </c>
      <c r="P4049">
        <v>-0.98904599999999998</v>
      </c>
      <c r="Q4049">
        <v>0.1473421</v>
      </c>
      <c r="R4049">
        <v>-8.8650139999999992E-3</v>
      </c>
      <c r="S4049">
        <v>-3.048645</v>
      </c>
      <c r="T4049">
        <v>-0.1148183</v>
      </c>
      <c r="U4049">
        <v>-7.7636720000000006E-2</v>
      </c>
      <c r="V4049">
        <v>-4.4160889999999998E-3</v>
      </c>
      <c r="W4049">
        <v>0.1609864</v>
      </c>
      <c r="X4049">
        <v>0.98694680000000001</v>
      </c>
      <c r="Y4049">
        <v>-2.0936719999999999E-2</v>
      </c>
      <c r="Z4049">
        <v>-4.3138649999999997E-4</v>
      </c>
      <c r="AA4049">
        <v>0.99978069999999997</v>
      </c>
      <c r="AB4049">
        <v>25</v>
      </c>
      <c r="AC4049">
        <v>-29.5291</v>
      </c>
      <c r="AD4049">
        <v>-1.121527621142</v>
      </c>
      <c r="AE4049">
        <v>-0.75750000000002105</v>
      </c>
      <c r="AF4049">
        <v>-0.62361786239407802</v>
      </c>
      <c r="AG4049">
        <v>-1.121527621142</v>
      </c>
      <c r="AH4049">
        <v>29.489700484677901</v>
      </c>
      <c r="AI4049">
        <v>92.177489154411603</v>
      </c>
      <c r="AJ4049">
        <v>91.211451666177297</v>
      </c>
      <c r="AK4049">
        <v>29.5176075947779</v>
      </c>
      <c r="AL4049">
        <v>80.735845478853093</v>
      </c>
      <c r="AM4049">
        <v>90.256367995794903</v>
      </c>
      <c r="AN4049">
        <v>1.0000000544286201</v>
      </c>
    </row>
    <row r="4050" spans="1:40" x14ac:dyDescent="0.25">
      <c r="A4050" t="str">
        <f>"20190303162900890"</f>
        <v>20190303162900890</v>
      </c>
      <c r="B4050" t="str">
        <f>"1551601740876069"</f>
        <v>1551601740876069</v>
      </c>
      <c r="C4050" t="s">
        <v>40</v>
      </c>
      <c r="D4050">
        <v>5.6288850000000004</v>
      </c>
      <c r="E4050">
        <v>0.4952897</v>
      </c>
      <c r="F4050" t="s">
        <v>41</v>
      </c>
      <c r="G4050">
        <v>-247.89519999999999</v>
      </c>
      <c r="H4050" s="1">
        <v>-1.224802E-6</v>
      </c>
      <c r="I4050">
        <v>140.89230000000001</v>
      </c>
      <c r="J4050">
        <v>-215.4117</v>
      </c>
      <c r="K4050">
        <v>1.121631</v>
      </c>
      <c r="L4050">
        <v>141.7381</v>
      </c>
      <c r="M4050">
        <v>-0.99989470000000003</v>
      </c>
      <c r="N4050">
        <v>-1.3780550000000001E-2</v>
      </c>
      <c r="O4050">
        <v>-4.5569019999999998E-3</v>
      </c>
      <c r="P4050">
        <v>-0.98889070000000001</v>
      </c>
      <c r="Q4050">
        <v>0.14851789999999901</v>
      </c>
      <c r="R4050">
        <v>-6.1537349999999996E-3</v>
      </c>
      <c r="S4050">
        <v>-3.0480649999999998</v>
      </c>
      <c r="T4050">
        <v>-0.10444970000000001</v>
      </c>
      <c r="U4050">
        <v>-7.8857419999999998E-2</v>
      </c>
      <c r="V4050">
        <v>-1.6927870000000001E-3</v>
      </c>
      <c r="W4050">
        <v>0.16213089999999999</v>
      </c>
      <c r="X4050">
        <v>0.98676779999999997</v>
      </c>
      <c r="Y4050">
        <v>-2.1290010000000002E-2</v>
      </c>
      <c r="Z4050">
        <v>-4.1809630000000001E-4</v>
      </c>
      <c r="AA4050">
        <v>0.99977329999999998</v>
      </c>
      <c r="AB4050">
        <v>25</v>
      </c>
      <c r="AC4050">
        <v>-32.4834999999999</v>
      </c>
      <c r="AD4050">
        <v>-1.1216322248019901</v>
      </c>
      <c r="AE4050">
        <v>-0.845799999999997</v>
      </c>
      <c r="AF4050">
        <v>-0.69692268086923204</v>
      </c>
      <c r="AG4050">
        <v>-1.1216322248019901</v>
      </c>
      <c r="AH4050">
        <v>32.448356208512003</v>
      </c>
      <c r="AI4050">
        <v>91.979281013958698</v>
      </c>
      <c r="AJ4050">
        <v>91.230404082205894</v>
      </c>
      <c r="AK4050">
        <v>32.475214867731196</v>
      </c>
      <c r="AL4050">
        <v>80.669396958579895</v>
      </c>
      <c r="AM4050">
        <v>90.0982900491599</v>
      </c>
      <c r="AN4050">
        <v>0.99999999268973805</v>
      </c>
    </row>
    <row r="4051" spans="1:40" x14ac:dyDescent="0.25">
      <c r="A4051" t="str">
        <f>"20190303162900913"</f>
        <v>20190303162900913</v>
      </c>
      <c r="B4051" t="str">
        <f>"1551601740905348"</f>
        <v>1551601740905348</v>
      </c>
      <c r="C4051" t="s">
        <v>40</v>
      </c>
      <c r="D4051">
        <v>5.5110390000000002</v>
      </c>
      <c r="E4051">
        <v>0.49458970000000002</v>
      </c>
      <c r="F4051" t="s">
        <v>41</v>
      </c>
      <c r="G4051">
        <v>-250.54679999999999</v>
      </c>
      <c r="H4051" s="1">
        <v>-4.3169820000000003E-6</v>
      </c>
      <c r="I4051">
        <v>140.89609999999999</v>
      </c>
      <c r="J4051">
        <v>-215.6593</v>
      </c>
      <c r="K4051">
        <v>1.1216870000000001</v>
      </c>
      <c r="L4051">
        <v>141.73689999999999</v>
      </c>
      <c r="M4051">
        <v>-0.99989439999999996</v>
      </c>
      <c r="N4051">
        <v>-1.3742000000000001E-2</v>
      </c>
      <c r="O4051">
        <v>-4.7202249999999998E-3</v>
      </c>
      <c r="P4051">
        <v>-0.98901030000000001</v>
      </c>
      <c r="Q4051">
        <v>0.14776329999999999</v>
      </c>
      <c r="R4051">
        <v>-4.9885650000000004E-3</v>
      </c>
      <c r="S4051">
        <v>-3.0478670000000001</v>
      </c>
      <c r="T4051">
        <v>-9.7298620000000002E-2</v>
      </c>
      <c r="U4051">
        <v>-7.3028560000000006E-2</v>
      </c>
      <c r="V4051">
        <v>-3.8853470000000003E-4</v>
      </c>
      <c r="W4051">
        <v>0.16134039999999999</v>
      </c>
      <c r="X4051">
        <v>0.98689870000000002</v>
      </c>
      <c r="Y4051">
        <v>-1.9220870000000001E-2</v>
      </c>
      <c r="Z4051">
        <v>-3.5304379999999999E-4</v>
      </c>
      <c r="AA4051">
        <v>0.99981520000000002</v>
      </c>
      <c r="AB4051">
        <v>25</v>
      </c>
      <c r="AC4051">
        <v>-34.887499999999903</v>
      </c>
      <c r="AD4051">
        <v>-1.121691316982</v>
      </c>
      <c r="AE4051">
        <v>-0.84080000000000099</v>
      </c>
      <c r="AF4051">
        <v>-0.67540044888625805</v>
      </c>
      <c r="AG4051">
        <v>-1.121691316982</v>
      </c>
      <c r="AH4051">
        <v>34.855070600449501</v>
      </c>
      <c r="AI4051">
        <v>91.842886976529698</v>
      </c>
      <c r="AJ4051">
        <v>91.110103987503393</v>
      </c>
      <c r="AK4051">
        <v>34.879654581708003</v>
      </c>
      <c r="AL4051">
        <v>80.715293235238093</v>
      </c>
      <c r="AM4051">
        <v>90.022556922361105</v>
      </c>
      <c r="AN4051">
        <v>0.99999995984653001</v>
      </c>
    </row>
    <row r="4052" spans="1:40" x14ac:dyDescent="0.25">
      <c r="A4052" t="str">
        <f>"20190303162900936"</f>
        <v>20190303162900936</v>
      </c>
      <c r="B4052" t="str">
        <f>"1551601740925844"</f>
        <v>1551601740925844</v>
      </c>
      <c r="C4052" t="s">
        <v>40</v>
      </c>
      <c r="D4052">
        <v>5.6348830000000003</v>
      </c>
      <c r="E4052">
        <v>0.49419950000000001</v>
      </c>
      <c r="F4052" t="s">
        <v>41</v>
      </c>
      <c r="G4052">
        <v>-250.25559999999999</v>
      </c>
      <c r="H4052" s="1">
        <v>-4.4163770000000002E-6</v>
      </c>
      <c r="I4052">
        <v>140.89779999999999</v>
      </c>
      <c r="J4052">
        <v>-215.91159999999999</v>
      </c>
      <c r="K4052">
        <v>1.121707</v>
      </c>
      <c r="L4052">
        <v>141.73560000000001</v>
      </c>
      <c r="M4052">
        <v>-0.99989410000000001</v>
      </c>
      <c r="N4052">
        <v>-1.369649E-2</v>
      </c>
      <c r="O4052">
        <v>-4.9342379999999996E-3</v>
      </c>
      <c r="P4052">
        <v>-0.98926069999999999</v>
      </c>
      <c r="Q4052">
        <v>0.14602490000000001</v>
      </c>
      <c r="R4052">
        <v>-6.3339679999999997E-3</v>
      </c>
      <c r="S4052">
        <v>-3.0477289999999999</v>
      </c>
      <c r="T4052">
        <v>-9.8814490000000005E-2</v>
      </c>
      <c r="U4052">
        <v>-7.3913569999999998E-2</v>
      </c>
      <c r="V4052">
        <v>-1.5311050000000001E-3</v>
      </c>
      <c r="W4052">
        <v>0.15956029999999999</v>
      </c>
      <c r="X4052">
        <v>0.98718700000000004</v>
      </c>
      <c r="Y4052">
        <v>-1.929778E-2</v>
      </c>
      <c r="Z4052">
        <v>-3.5259720000000003E-4</v>
      </c>
      <c r="AA4052">
        <v>0.99981370000000003</v>
      </c>
      <c r="AB4052">
        <v>25</v>
      </c>
      <c r="AC4052">
        <v>-34.343999999999902</v>
      </c>
      <c r="AD4052">
        <v>-1.1217114163769999</v>
      </c>
      <c r="AE4052">
        <v>-0.83780000000001498</v>
      </c>
      <c r="AF4052">
        <v>-0.66760070894858403</v>
      </c>
      <c r="AG4052">
        <v>-1.1217114163769999</v>
      </c>
      <c r="AH4052">
        <v>34.311136671265601</v>
      </c>
      <c r="AI4052">
        <v>91.872112230579404</v>
      </c>
      <c r="AJ4052">
        <v>91.114678229352407</v>
      </c>
      <c r="AK4052">
        <v>34.335958219954897</v>
      </c>
      <c r="AL4052">
        <v>80.818624639327098</v>
      </c>
      <c r="AM4052">
        <v>90.0888644037543</v>
      </c>
      <c r="AN4052">
        <v>1.0000000032937999</v>
      </c>
    </row>
    <row r="4053" spans="1:40" x14ac:dyDescent="0.25">
      <c r="A4053" t="str">
        <f>"20190303162900958"</f>
        <v>20190303162900958</v>
      </c>
      <c r="B4053" t="str">
        <f>"1551601740945364"</f>
        <v>1551601740945364</v>
      </c>
      <c r="C4053" t="s">
        <v>40</v>
      </c>
      <c r="D4053">
        <v>5.5738640000000004</v>
      </c>
      <c r="E4053">
        <v>0.49369839999999998</v>
      </c>
      <c r="F4053" t="s">
        <v>41</v>
      </c>
      <c r="G4053">
        <v>-247.99440000000001</v>
      </c>
      <c r="H4053" s="1">
        <v>-1.1850939999999999E-6</v>
      </c>
      <c r="I4053">
        <v>140.90299999999999</v>
      </c>
      <c r="J4053">
        <v>-216.15309999999999</v>
      </c>
      <c r="K4053">
        <v>1.121705</v>
      </c>
      <c r="L4053">
        <v>141.73419999999999</v>
      </c>
      <c r="M4053">
        <v>-0.99989380000000005</v>
      </c>
      <c r="N4053">
        <v>-1.3650600000000001E-2</v>
      </c>
      <c r="O4053">
        <v>-5.1351139999999997E-3</v>
      </c>
      <c r="P4053">
        <v>-0.98940220000000001</v>
      </c>
      <c r="Q4053">
        <v>0.144928799999999</v>
      </c>
      <c r="R4053">
        <v>-8.9057330000000007E-3</v>
      </c>
      <c r="S4053">
        <v>-3.0477910000000001</v>
      </c>
      <c r="T4053">
        <v>-0.1065598</v>
      </c>
      <c r="U4053">
        <v>-7.9086299999999998E-2</v>
      </c>
      <c r="V4053">
        <v>-3.904762E-3</v>
      </c>
      <c r="W4053">
        <v>0.15841959999999999</v>
      </c>
      <c r="X4053">
        <v>0.98736420000000003</v>
      </c>
      <c r="Y4053">
        <v>-2.0789309999999998E-2</v>
      </c>
      <c r="Z4053">
        <v>-3.958667E-4</v>
      </c>
      <c r="AA4053">
        <v>0.9997838</v>
      </c>
      <c r="AB4053">
        <v>25</v>
      </c>
      <c r="AC4053">
        <v>-31.8413</v>
      </c>
      <c r="AD4053">
        <v>-1.121706185094</v>
      </c>
      <c r="AE4053">
        <v>-0.83119999999999505</v>
      </c>
      <c r="AF4053">
        <v>-0.66683813150140203</v>
      </c>
      <c r="AG4053">
        <v>-1.121706185094</v>
      </c>
      <c r="AH4053">
        <v>31.805704362733501</v>
      </c>
      <c r="AI4053">
        <v>92.019395650958202</v>
      </c>
      <c r="AJ4053">
        <v>91.201086866038807</v>
      </c>
      <c r="AK4053">
        <v>31.832463427590898</v>
      </c>
      <c r="AL4053">
        <v>80.884824319703696</v>
      </c>
      <c r="AM4053">
        <v>90.226588341222097</v>
      </c>
      <c r="AN4053">
        <v>1.0000000401360301</v>
      </c>
    </row>
    <row r="4054" spans="1:40" x14ac:dyDescent="0.25">
      <c r="A4054" t="str">
        <f>"20190303162900977"</f>
        <v>20190303162900977</v>
      </c>
      <c r="B4054" t="str">
        <f>"1551601740965861"</f>
        <v>1551601740965861</v>
      </c>
      <c r="C4054" t="s">
        <v>40</v>
      </c>
      <c r="D4054">
        <v>5.5736600000000003</v>
      </c>
      <c r="E4054">
        <v>0.49340440000000002</v>
      </c>
      <c r="F4054" t="s">
        <v>41</v>
      </c>
      <c r="G4054">
        <v>-247.03790000000001</v>
      </c>
      <c r="H4054" s="1">
        <v>-1.5761940000000001E-6</v>
      </c>
      <c r="I4054">
        <v>140.83070000000001</v>
      </c>
      <c r="J4054">
        <v>-216.36619999999999</v>
      </c>
      <c r="K4054">
        <v>1.121685</v>
      </c>
      <c r="L4054">
        <v>141.7329</v>
      </c>
      <c r="M4054">
        <v>-0.99989340000000004</v>
      </c>
      <c r="N4054">
        <v>-1.3605529999999999E-2</v>
      </c>
      <c r="O4054">
        <v>-5.2906819999999997E-3</v>
      </c>
      <c r="P4054">
        <v>-0.98936159999999995</v>
      </c>
      <c r="Q4054">
        <v>0.14509330000000001</v>
      </c>
      <c r="R4054">
        <v>-1.056435E-2</v>
      </c>
      <c r="S4054">
        <v>-3.0475310000000002</v>
      </c>
      <c r="T4054">
        <v>-0.1106834</v>
      </c>
      <c r="U4054">
        <v>-8.9141849999999995E-2</v>
      </c>
      <c r="V4054">
        <v>-5.4065429999999998E-3</v>
      </c>
      <c r="W4054">
        <v>0.15853829999999999</v>
      </c>
      <c r="X4054">
        <v>0.98733800000000005</v>
      </c>
      <c r="Y4054">
        <v>-2.3928379999999999E-2</v>
      </c>
      <c r="Z4054">
        <v>-4.771005E-4</v>
      </c>
      <c r="AA4054">
        <v>0.99971350000000003</v>
      </c>
      <c r="AB4054">
        <v>25</v>
      </c>
      <c r="AC4054">
        <v>-30.671700000000001</v>
      </c>
      <c r="AD4054">
        <v>-1.121686576194</v>
      </c>
      <c r="AE4054">
        <v>-0.90219999999999301</v>
      </c>
      <c r="AF4054">
        <v>-0.73891075247214799</v>
      </c>
      <c r="AG4054">
        <v>-1.121686576194</v>
      </c>
      <c r="AH4054">
        <v>30.635107799500499</v>
      </c>
      <c r="AI4054">
        <v>92.096305637120494</v>
      </c>
      <c r="AJ4054">
        <v>91.381691253802202</v>
      </c>
      <c r="AK4054">
        <v>30.6645397774424</v>
      </c>
      <c r="AL4054">
        <v>80.877935660669294</v>
      </c>
      <c r="AM4054">
        <v>90.313741595597605</v>
      </c>
      <c r="AN4054">
        <v>0.99999997475905</v>
      </c>
    </row>
    <row r="4055" spans="1:40" x14ac:dyDescent="0.25">
      <c r="A4055" t="str">
        <f>"20190303162901002"</f>
        <v>20190303162901002</v>
      </c>
      <c r="B4055" t="str">
        <f>"1551601740996117"</f>
        <v>1551601740996117</v>
      </c>
      <c r="C4055" t="s">
        <v>40</v>
      </c>
      <c r="D4055">
        <v>5.5796029999999996</v>
      </c>
      <c r="E4055">
        <v>0.4928766</v>
      </c>
      <c r="F4055" t="s">
        <v>41</v>
      </c>
      <c r="G4055">
        <v>-247.5086</v>
      </c>
      <c r="H4055" s="1">
        <v>-1.3517839999999999E-6</v>
      </c>
      <c r="I4055">
        <v>140.74619999999999</v>
      </c>
      <c r="J4055">
        <v>-216.64060000000001</v>
      </c>
      <c r="K4055">
        <v>1.121648</v>
      </c>
      <c r="L4055">
        <v>141.7312</v>
      </c>
      <c r="M4055">
        <v>-0.99989349999999999</v>
      </c>
      <c r="N4055">
        <v>-1.35384999999999E-2</v>
      </c>
      <c r="O4055">
        <v>-5.462171E-3</v>
      </c>
      <c r="P4055">
        <v>-0.98924330000000005</v>
      </c>
      <c r="Q4055">
        <v>0.1458419</v>
      </c>
      <c r="R4055">
        <v>-1.1297649999999999E-2</v>
      </c>
      <c r="S4055">
        <v>-3.0473330000000001</v>
      </c>
      <c r="T4055">
        <v>-0.10975890000000001</v>
      </c>
      <c r="U4055">
        <v>-9.6542359999999994E-2</v>
      </c>
      <c r="V4055">
        <v>-5.961895E-3</v>
      </c>
      <c r="W4055">
        <v>0.15921950000000001</v>
      </c>
      <c r="X4055">
        <v>0.98722520000000002</v>
      </c>
      <c r="Y4055">
        <v>-2.618268E-2</v>
      </c>
      <c r="Z4055">
        <v>-5.2592459999999998E-4</v>
      </c>
      <c r="AA4055">
        <v>0.99965700000000002</v>
      </c>
      <c r="AB4055">
        <v>25</v>
      </c>
      <c r="AC4055">
        <v>-30.867999999999899</v>
      </c>
      <c r="AD4055">
        <v>-1.121649351784</v>
      </c>
      <c r="AE4055">
        <v>-0.98500000000001298</v>
      </c>
      <c r="AF4055">
        <v>-0.81528817538984899</v>
      </c>
      <c r="AG4055">
        <v>-1.121649351784</v>
      </c>
      <c r="AH4055">
        <v>30.832251447531402</v>
      </c>
      <c r="AI4055">
        <v>92.082722357976607</v>
      </c>
      <c r="AJ4055">
        <v>91.5147025113545</v>
      </c>
      <c r="AK4055">
        <v>30.863417202265399</v>
      </c>
      <c r="AL4055">
        <v>80.8384038230935</v>
      </c>
      <c r="AM4055">
        <v>90.346007444779502</v>
      </c>
      <c r="AN4055">
        <v>0.99999999444363996</v>
      </c>
    </row>
    <row r="4056" spans="1:40" x14ac:dyDescent="0.25">
      <c r="A4056" t="str">
        <f>"20190303162901023"</f>
        <v>20190303162901023</v>
      </c>
      <c r="B4056" t="str">
        <f>"1551601741016613"</f>
        <v>1551601741016613</v>
      </c>
      <c r="C4056" t="s">
        <v>40</v>
      </c>
      <c r="D4056">
        <v>5.5744049999999996</v>
      </c>
      <c r="E4056">
        <v>0.49243530000000002</v>
      </c>
      <c r="F4056" t="s">
        <v>41</v>
      </c>
      <c r="G4056">
        <v>-248.78469999999999</v>
      </c>
      <c r="H4056" s="1">
        <v>-7.7579119999999905E-7</v>
      </c>
      <c r="I4056">
        <v>140.63900000000001</v>
      </c>
      <c r="J4056">
        <v>-216.87</v>
      </c>
      <c r="K4056">
        <v>1.1216090000000001</v>
      </c>
      <c r="L4056">
        <v>141.72970000000001</v>
      </c>
      <c r="M4056">
        <v>-0.99989349999999999</v>
      </c>
      <c r="N4056">
        <v>-1.3478830000000001E-2</v>
      </c>
      <c r="O4056">
        <v>-5.5848460000000001E-3</v>
      </c>
      <c r="P4056">
        <v>-0.98918340000000005</v>
      </c>
      <c r="Q4056">
        <v>0.1462996</v>
      </c>
      <c r="R4056">
        <v>-1.0637489999999999E-2</v>
      </c>
      <c r="S4056">
        <v>-3.0471189999999999</v>
      </c>
      <c r="T4056">
        <v>-0.1063274</v>
      </c>
      <c r="U4056">
        <v>-0.1035309</v>
      </c>
      <c r="V4056">
        <v>-5.1711730000000003E-3</v>
      </c>
      <c r="W4056">
        <v>0.15961819999999999</v>
      </c>
      <c r="X4056">
        <v>0.98716530000000002</v>
      </c>
      <c r="Y4056">
        <v>-2.835176E-2</v>
      </c>
      <c r="Z4056">
        <v>-5.6607239999999996E-4</v>
      </c>
      <c r="AA4056">
        <v>0.99959779999999998</v>
      </c>
      <c r="AB4056">
        <v>25</v>
      </c>
      <c r="AC4056">
        <v>-31.9146999999999</v>
      </c>
      <c r="AD4056">
        <v>-1.1216097757912</v>
      </c>
      <c r="AE4056">
        <v>-1.09069999999999</v>
      </c>
      <c r="AF4056">
        <v>-0.91130386034019195</v>
      </c>
      <c r="AG4056">
        <v>-1.1216097757912</v>
      </c>
      <c r="AH4056">
        <v>31.880963898373398</v>
      </c>
      <c r="AI4056">
        <v>92.014079854567399</v>
      </c>
      <c r="AJ4056">
        <v>91.637329763666401</v>
      </c>
      <c r="AK4056">
        <v>31.9137014823478</v>
      </c>
      <c r="AL4056">
        <v>80.815264300207303</v>
      </c>
      <c r="AM4056">
        <v>90.300135831308793</v>
      </c>
      <c r="AN4056">
        <v>1.0000000201627599</v>
      </c>
    </row>
    <row r="4057" spans="1:40" x14ac:dyDescent="0.25">
      <c r="A4057" t="str">
        <f>"20190303162901045"</f>
        <v>20190303162901045</v>
      </c>
      <c r="B4057" t="str">
        <f>"1551601741036133"</f>
        <v>1551601741036133</v>
      </c>
      <c r="C4057" t="s">
        <v>40</v>
      </c>
      <c r="D4057">
        <v>5.572565</v>
      </c>
      <c r="E4057">
        <v>0.49204560000000003</v>
      </c>
      <c r="F4057" t="s">
        <v>41</v>
      </c>
      <c r="G4057">
        <v>-249.9091</v>
      </c>
      <c r="H4057" s="1">
        <v>-2.7897400000000002E-7</v>
      </c>
      <c r="I4057">
        <v>140.58459999999999</v>
      </c>
      <c r="J4057">
        <v>-217.1189</v>
      </c>
      <c r="K4057">
        <v>1.1215850000000001</v>
      </c>
      <c r="L4057">
        <v>141.72810000000001</v>
      </c>
      <c r="M4057">
        <v>-0.99989380000000005</v>
      </c>
      <c r="N4057">
        <v>-1.341295E-2</v>
      </c>
      <c r="O4057">
        <v>-5.7167559999999999E-3</v>
      </c>
      <c r="P4057">
        <v>-0.98906709999999998</v>
      </c>
      <c r="Q4057">
        <v>0.14715929999999999</v>
      </c>
      <c r="R4057">
        <v>-9.5111390000000001E-3</v>
      </c>
      <c r="S4057">
        <v>-3.046967</v>
      </c>
      <c r="T4057">
        <v>-0.1034385</v>
      </c>
      <c r="U4057">
        <v>-0.10560609999999999</v>
      </c>
      <c r="V4057">
        <v>-3.9081970000000004E-3</v>
      </c>
      <c r="W4057">
        <v>0.16041129999999901</v>
      </c>
      <c r="X4057">
        <v>0.98704250000000004</v>
      </c>
      <c r="Y4057">
        <v>-2.8902199999999999E-2</v>
      </c>
      <c r="Z4057">
        <v>-5.6696959999999995E-4</v>
      </c>
      <c r="AA4057">
        <v>0.99958210000000003</v>
      </c>
      <c r="AB4057">
        <v>24</v>
      </c>
      <c r="AC4057">
        <v>-32.790199999999999</v>
      </c>
      <c r="AD4057">
        <v>-1.121585278974</v>
      </c>
      <c r="AE4057">
        <v>-1.14350000000001</v>
      </c>
      <c r="AF4057">
        <v>-0.95489504667828395</v>
      </c>
      <c r="AG4057">
        <v>-1.121585278974</v>
      </c>
      <c r="AH4057">
        <v>32.757922396896497</v>
      </c>
      <c r="AI4057">
        <v>91.960129075983005</v>
      </c>
      <c r="AJ4057">
        <v>91.669701964465204</v>
      </c>
      <c r="AK4057">
        <v>32.791024043925098</v>
      </c>
      <c r="AL4057">
        <v>80.769229453115898</v>
      </c>
      <c r="AM4057">
        <v>90.226861582373203</v>
      </c>
      <c r="AN4057">
        <v>0.99999997798886497</v>
      </c>
    </row>
    <row r="4058" spans="1:40" x14ac:dyDescent="0.25">
      <c r="A4058" t="str">
        <f>"20190303162901068"</f>
        <v>20190303162901068</v>
      </c>
      <c r="B4058" t="str">
        <f>"1551601741055652"</f>
        <v>1551601741055652</v>
      </c>
      <c r="C4058" t="s">
        <v>40</v>
      </c>
      <c r="D4058">
        <v>5.5738349999999999</v>
      </c>
      <c r="E4058">
        <v>0.49172519999999997</v>
      </c>
      <c r="F4058" t="s">
        <v>41</v>
      </c>
      <c r="G4058">
        <v>-251.142</v>
      </c>
      <c r="H4058" s="1">
        <v>-4.0285149999999998E-6</v>
      </c>
      <c r="I4058">
        <v>140.54140000000001</v>
      </c>
      <c r="J4058">
        <v>-217.3622</v>
      </c>
      <c r="K4058">
        <v>1.1215679999999999</v>
      </c>
      <c r="L4058">
        <v>141.72649999999999</v>
      </c>
      <c r="M4058">
        <v>-0.99989399999999995</v>
      </c>
      <c r="N4058">
        <v>-1.3349939999999999E-2</v>
      </c>
      <c r="O4058">
        <v>-5.8545619999999998E-3</v>
      </c>
      <c r="P4058">
        <v>-0.98902319999999999</v>
      </c>
      <c r="Q4058">
        <v>0.14753959999999999</v>
      </c>
      <c r="R4058">
        <v>-8.0984030000000005E-3</v>
      </c>
      <c r="S4058">
        <v>-3.0470730000000001</v>
      </c>
      <c r="T4058">
        <v>-0.1004483</v>
      </c>
      <c r="U4058">
        <v>-0.1062775</v>
      </c>
      <c r="V4058">
        <v>-2.3558369999999999E-3</v>
      </c>
      <c r="W4058">
        <v>0.1607295</v>
      </c>
      <c r="X4058">
        <v>0.98699570000000003</v>
      </c>
      <c r="Y4058">
        <v>-2.8984240000000001E-2</v>
      </c>
      <c r="Z4058">
        <v>-5.5632089999999999E-4</v>
      </c>
      <c r="AA4058">
        <v>0.99957969999999896</v>
      </c>
      <c r="AB4058">
        <v>24</v>
      </c>
      <c r="AC4058">
        <v>-33.779799999999902</v>
      </c>
      <c r="AD4058">
        <v>-1.1215720285149999</v>
      </c>
      <c r="AE4058">
        <v>-1.1850999999999701</v>
      </c>
      <c r="AF4058">
        <v>-0.98621031325528996</v>
      </c>
      <c r="AG4058">
        <v>-1.1215720285149999</v>
      </c>
      <c r="AH4058">
        <v>33.749000587381303</v>
      </c>
      <c r="AI4058">
        <v>91.902584132662497</v>
      </c>
      <c r="AJ4058">
        <v>91.673815879957502</v>
      </c>
      <c r="AK4058">
        <v>33.782030360003297</v>
      </c>
      <c r="AL4058">
        <v>80.750758624377795</v>
      </c>
      <c r="AM4058">
        <v>90.136757699134193</v>
      </c>
      <c r="AN4058">
        <v>1.0000000169783501</v>
      </c>
    </row>
    <row r="4059" spans="1:40" x14ac:dyDescent="0.25">
      <c r="A4059" t="str">
        <f>"20190303162901092"</f>
        <v>20190303162901092</v>
      </c>
      <c r="B4059" t="str">
        <f>"1551601741085908"</f>
        <v>1551601741085908</v>
      </c>
      <c r="C4059" t="s">
        <v>40</v>
      </c>
      <c r="D4059">
        <v>5.3574149999999996</v>
      </c>
      <c r="E4059">
        <v>0.49134929999999899</v>
      </c>
      <c r="F4059" t="s">
        <v>41</v>
      </c>
      <c r="G4059">
        <v>-252.02080000000001</v>
      </c>
      <c r="H4059" s="1">
        <v>-3.647276E-6</v>
      </c>
      <c r="I4059">
        <v>140.52539999999999</v>
      </c>
      <c r="J4059">
        <v>-217.61760000000001</v>
      </c>
      <c r="K4059">
        <v>1.12157</v>
      </c>
      <c r="L4059">
        <v>141.72479999999999</v>
      </c>
      <c r="M4059">
        <v>-0.99989360000000005</v>
      </c>
      <c r="N4059">
        <v>-1.328855E-2</v>
      </c>
      <c r="O4059">
        <v>-6.030278E-3</v>
      </c>
      <c r="P4059">
        <v>-0.98925859999999999</v>
      </c>
      <c r="Q4059">
        <v>0.146012</v>
      </c>
      <c r="R4059">
        <v>-6.9377919999999999E-3</v>
      </c>
      <c r="S4059">
        <v>-3.0471189999999999</v>
      </c>
      <c r="T4059">
        <v>-9.8606589999999994E-2</v>
      </c>
      <c r="U4059">
        <v>-0.1055908</v>
      </c>
      <c r="V4059">
        <v>-1.021377E-3</v>
      </c>
      <c r="W4059">
        <v>0.1591446</v>
      </c>
      <c r="X4059">
        <v>0.98725469999999904</v>
      </c>
      <c r="Y4059">
        <v>-2.8584060000000001E-2</v>
      </c>
      <c r="Z4059">
        <v>-5.3737019999999997E-4</v>
      </c>
      <c r="AA4059">
        <v>0.99959120000000001</v>
      </c>
      <c r="AB4059">
        <v>24</v>
      </c>
      <c r="AC4059">
        <v>-34.403199999999998</v>
      </c>
      <c r="AD4059">
        <v>-1.1215736472760001</v>
      </c>
      <c r="AE4059">
        <v>-1.19939999999999</v>
      </c>
      <c r="AF4059">
        <v>-0.990847215760981</v>
      </c>
      <c r="AG4059">
        <v>-1.1215736472760001</v>
      </c>
      <c r="AH4059">
        <v>34.3733195633733</v>
      </c>
      <c r="AI4059">
        <v>91.868076531590802</v>
      </c>
      <c r="AJ4059">
        <v>91.651154081166197</v>
      </c>
      <c r="AK4059">
        <v>34.405883268084096</v>
      </c>
      <c r="AL4059">
        <v>80.842750244452404</v>
      </c>
      <c r="AM4059">
        <v>90.059276061702306</v>
      </c>
      <c r="AN4059">
        <v>0.99999994479611098</v>
      </c>
    </row>
    <row r="4060" spans="1:40" x14ac:dyDescent="0.25">
      <c r="A4060" t="str">
        <f>"20190303162901114"</f>
        <v>20190303162901114</v>
      </c>
      <c r="B4060" t="str">
        <f>"1551601741105429"</f>
        <v>1551601741105429</v>
      </c>
      <c r="C4060" t="s">
        <v>40</v>
      </c>
      <c r="D4060">
        <v>5.5805249999999997</v>
      </c>
      <c r="E4060">
        <v>0.49105359999999998</v>
      </c>
      <c r="F4060" t="s">
        <v>41</v>
      </c>
      <c r="G4060">
        <v>-250.511</v>
      </c>
      <c r="H4060" s="1">
        <v>-4.275047E-6</v>
      </c>
      <c r="I4060">
        <v>140.59100000000001</v>
      </c>
      <c r="J4060">
        <v>-217.85730000000001</v>
      </c>
      <c r="K4060">
        <v>1.121588</v>
      </c>
      <c r="L4060">
        <v>141.72309999999999</v>
      </c>
      <c r="M4060">
        <v>-0.99989289999999997</v>
      </c>
      <c r="N4060">
        <v>-1.3236309999999999E-2</v>
      </c>
      <c r="O4060">
        <v>-6.2435320000000004E-3</v>
      </c>
      <c r="P4060">
        <v>-0.98936179999999996</v>
      </c>
      <c r="Q4060">
        <v>0.14535609999999999</v>
      </c>
      <c r="R4060">
        <v>-5.90787E-3</v>
      </c>
      <c r="S4060">
        <v>-3.04718</v>
      </c>
      <c r="T4060">
        <v>-0.1039006</v>
      </c>
      <c r="U4060">
        <v>-0.1050262</v>
      </c>
      <c r="V4060">
        <v>2.12497E-4</v>
      </c>
      <c r="W4060">
        <v>0.158439</v>
      </c>
      <c r="X4060">
        <v>0.98736880000000005</v>
      </c>
      <c r="Y4060">
        <v>-2.8183840000000002E-2</v>
      </c>
      <c r="Z4060">
        <v>-5.3673040000000005E-4</v>
      </c>
      <c r="AA4060">
        <v>0.99960260000000001</v>
      </c>
      <c r="AB4060">
        <v>24</v>
      </c>
      <c r="AC4060">
        <v>-32.653699999999901</v>
      </c>
      <c r="AD4060">
        <v>-1.121592275047</v>
      </c>
      <c r="AE4060">
        <v>-1.1320999999999799</v>
      </c>
      <c r="AF4060">
        <v>-0.92709318360676995</v>
      </c>
      <c r="AG4060">
        <v>-1.121592275047</v>
      </c>
      <c r="AH4060">
        <v>32.621691770470797</v>
      </c>
      <c r="AI4060">
        <v>91.968361887442498</v>
      </c>
      <c r="AJ4060">
        <v>91.6278810183573</v>
      </c>
      <c r="AK4060">
        <v>32.654130595839398</v>
      </c>
      <c r="AL4060">
        <v>80.883698696166803</v>
      </c>
      <c r="AM4060">
        <v>89.987669064415201</v>
      </c>
      <c r="AN4060">
        <v>1.0000000545447001</v>
      </c>
    </row>
    <row r="4061" spans="1:40" x14ac:dyDescent="0.25">
      <c r="A4061" t="str">
        <f>"20190303162901158"</f>
        <v>20190303162901158</v>
      </c>
      <c r="B4061" t="str">
        <f>"1551601741145444"</f>
        <v>1551601741145444</v>
      </c>
      <c r="C4061" t="s">
        <v>40</v>
      </c>
      <c r="D4061">
        <v>5.534351</v>
      </c>
      <c r="E4061">
        <v>0.49071819999999999</v>
      </c>
      <c r="F4061" t="s">
        <v>41</v>
      </c>
      <c r="G4061">
        <v>-249.98410000000001</v>
      </c>
      <c r="H4061" s="1">
        <v>-4.4597709999999999E-6</v>
      </c>
      <c r="I4061">
        <v>140.6216</v>
      </c>
      <c r="J4061">
        <v>-218.3407</v>
      </c>
      <c r="K4061">
        <v>1.121678</v>
      </c>
      <c r="L4061">
        <v>141.7193</v>
      </c>
      <c r="M4061">
        <v>-0.9998901</v>
      </c>
      <c r="N4061">
        <v>-1.313419E-2</v>
      </c>
      <c r="O4061">
        <v>-6.8800399999999996E-3</v>
      </c>
      <c r="P4061">
        <v>-0.98864969999999996</v>
      </c>
      <c r="Q4061">
        <v>0.15020220000000001</v>
      </c>
      <c r="R4061">
        <v>-3.3936589999999998E-3</v>
      </c>
      <c r="S4061">
        <v>-3.047256</v>
      </c>
      <c r="T4061">
        <v>-0.1063843</v>
      </c>
      <c r="U4061">
        <v>-0.1044769</v>
      </c>
      <c r="V4061">
        <v>3.3173260000000002E-3</v>
      </c>
      <c r="W4061">
        <v>0.1631763</v>
      </c>
      <c r="X4061">
        <v>0.98659129999999995</v>
      </c>
      <c r="Y4061">
        <v>-2.7366740000000001E-2</v>
      </c>
      <c r="Z4061">
        <v>-5.0756390000000003E-4</v>
      </c>
      <c r="AA4061">
        <v>0.99962530000000005</v>
      </c>
      <c r="AB4061">
        <v>24</v>
      </c>
      <c r="AC4061">
        <v>-31.6434</v>
      </c>
      <c r="AD4061">
        <v>-1.121682459771</v>
      </c>
      <c r="AE4061">
        <v>-1.0976999999999999</v>
      </c>
      <c r="AF4061">
        <v>-0.87884441417633297</v>
      </c>
      <c r="AG4061">
        <v>-1.121682459771</v>
      </c>
      <c r="AH4061">
        <v>31.610531907075298</v>
      </c>
      <c r="AI4061">
        <v>92.031472439149198</v>
      </c>
      <c r="AJ4061">
        <v>91.592542256064107</v>
      </c>
      <c r="AK4061">
        <v>31.642633684526199</v>
      </c>
      <c r="AL4061">
        <v>80.608691156088099</v>
      </c>
      <c r="AM4061">
        <v>89.807348734192203</v>
      </c>
      <c r="AN4061">
        <v>0.99999995138458297</v>
      </c>
    </row>
    <row r="4062" spans="1:40" x14ac:dyDescent="0.25">
      <c r="A4062" t="str">
        <f>"20190303162901179"</f>
        <v>20190303162901179</v>
      </c>
      <c r="B4062" t="str">
        <f>"1551601741165940"</f>
        <v>1551601741165940</v>
      </c>
      <c r="C4062" t="s">
        <v>40</v>
      </c>
      <c r="D4062">
        <v>5.5293679999999998</v>
      </c>
      <c r="E4062">
        <v>0.49055710000000002</v>
      </c>
      <c r="F4062" t="s">
        <v>41</v>
      </c>
      <c r="G4062">
        <v>-255.6644</v>
      </c>
      <c r="H4062" s="1">
        <v>-2.074621E-6</v>
      </c>
      <c r="I4062">
        <v>140.48939999999999</v>
      </c>
      <c r="J4062">
        <v>-218.56790000000001</v>
      </c>
      <c r="K4062">
        <v>1.1217200000000001</v>
      </c>
      <c r="L4062">
        <v>141.71729999999999</v>
      </c>
      <c r="M4062">
        <v>-0.99988790000000005</v>
      </c>
      <c r="N4062">
        <v>-1.3088320000000001E-2</v>
      </c>
      <c r="O4062">
        <v>-7.2802639999999998E-3</v>
      </c>
      <c r="P4062">
        <v>-0.98826199999999997</v>
      </c>
      <c r="Q4062">
        <v>0.15274160000000001</v>
      </c>
      <c r="R4062">
        <v>-2.9065620000000001E-3</v>
      </c>
      <c r="S4062">
        <v>-3.048019</v>
      </c>
      <c r="T4062">
        <v>-9.160161E-2</v>
      </c>
      <c r="U4062">
        <v>-0.1004333</v>
      </c>
      <c r="V4062">
        <v>4.1782260000000002E-3</v>
      </c>
      <c r="W4062">
        <v>0.16566589999999901</v>
      </c>
      <c r="X4062">
        <v>0.98617310000000002</v>
      </c>
      <c r="Y4062">
        <v>-2.5639120000000001E-2</v>
      </c>
      <c r="Z4062">
        <v>-4.295465E-4</v>
      </c>
      <c r="AA4062">
        <v>0.99967119999999998</v>
      </c>
      <c r="AB4062">
        <v>24</v>
      </c>
      <c r="AC4062">
        <v>-37.096499999999899</v>
      </c>
      <c r="AD4062">
        <v>-1.1217220746209999</v>
      </c>
      <c r="AE4062">
        <v>-1.2279</v>
      </c>
      <c r="AF4062">
        <v>-0.95689805416725704</v>
      </c>
      <c r="AG4062">
        <v>-1.1217220746209999</v>
      </c>
      <c r="AH4062">
        <v>37.070599123655299</v>
      </c>
      <c r="AI4062">
        <v>91.732611722854699</v>
      </c>
      <c r="AJ4062">
        <v>91.4786393832632</v>
      </c>
      <c r="AK4062">
        <v>37.099908809665699</v>
      </c>
      <c r="AL4062">
        <v>80.4640800216267</v>
      </c>
      <c r="AM4062">
        <v>89.757250240099097</v>
      </c>
      <c r="AN4062">
        <v>1.0000000155794599</v>
      </c>
    </row>
    <row r="4063" spans="1:40" x14ac:dyDescent="0.25">
      <c r="A4063" t="str">
        <f>"20190303162901202"</f>
        <v>20190303162901202</v>
      </c>
      <c r="B4063" t="str">
        <f>"1551601741196197"</f>
        <v>1551601741196197</v>
      </c>
      <c r="C4063" t="s">
        <v>40</v>
      </c>
      <c r="D4063">
        <v>5.4743060000000003</v>
      </c>
      <c r="E4063">
        <v>0.49036449999999998</v>
      </c>
      <c r="F4063" t="s">
        <v>41</v>
      </c>
      <c r="G4063">
        <v>-259.49239999999998</v>
      </c>
      <c r="H4063" s="1">
        <v>-4.0122300000000002E-7</v>
      </c>
      <c r="I4063">
        <v>140.37219999999999</v>
      </c>
      <c r="J4063">
        <v>-218.81129999999999</v>
      </c>
      <c r="K4063">
        <v>1.121767</v>
      </c>
      <c r="L4063">
        <v>141.715</v>
      </c>
      <c r="M4063">
        <v>-0.99988489999999997</v>
      </c>
      <c r="N4063">
        <v>-1.304406E-2</v>
      </c>
      <c r="O4063">
        <v>-7.762339E-3</v>
      </c>
      <c r="P4063">
        <v>-0.98808609999999997</v>
      </c>
      <c r="Q4063">
        <v>0.15387300000000001</v>
      </c>
      <c r="R4063">
        <v>-3.0436019999999999E-3</v>
      </c>
      <c r="S4063">
        <v>-3.0482480000000001</v>
      </c>
      <c r="T4063">
        <v>-8.3551050000000002E-2</v>
      </c>
      <c r="U4063">
        <v>-0.10018920000000001</v>
      </c>
      <c r="V4063">
        <v>4.4994140000000002E-3</v>
      </c>
      <c r="W4063">
        <v>0.16675209999999999</v>
      </c>
      <c r="X4063">
        <v>0.98598859999999999</v>
      </c>
      <c r="Y4063">
        <v>-2.5077169999999999E-2</v>
      </c>
      <c r="Z4063">
        <v>-3.9573700000000001E-4</v>
      </c>
      <c r="AA4063">
        <v>0.9996855</v>
      </c>
      <c r="AB4063">
        <v>24</v>
      </c>
      <c r="AC4063">
        <v>-40.681100000000001</v>
      </c>
      <c r="AD4063">
        <v>-1.1217674012229999</v>
      </c>
      <c r="AE4063">
        <v>-1.34280000000001</v>
      </c>
      <c r="AF4063">
        <v>-1.02617280144498</v>
      </c>
      <c r="AG4063">
        <v>-1.1217674012229999</v>
      </c>
      <c r="AH4063">
        <v>40.6594161127882</v>
      </c>
      <c r="AI4063">
        <v>91.579850358607104</v>
      </c>
      <c r="AJ4063">
        <v>91.445738708050996</v>
      </c>
      <c r="AK4063">
        <v>40.687830015297401</v>
      </c>
      <c r="AL4063">
        <v>80.400967462071307</v>
      </c>
      <c r="AM4063">
        <v>89.738540949631499</v>
      </c>
      <c r="AN4063">
        <v>1.0000000134553499</v>
      </c>
    </row>
    <row r="4064" spans="1:40" x14ac:dyDescent="0.25">
      <c r="A4064" t="str">
        <f>"20190303162901224"</f>
        <v>20190303162901224</v>
      </c>
      <c r="B4064" t="str">
        <f>"1551601741215716"</f>
        <v>1551601741215716</v>
      </c>
      <c r="C4064" t="s">
        <v>40</v>
      </c>
      <c r="D4064">
        <v>5.3722379999999896</v>
      </c>
      <c r="E4064">
        <v>0.48022759999999998</v>
      </c>
      <c r="F4064" t="s">
        <v>41</v>
      </c>
      <c r="G4064">
        <v>-261.40769999999998</v>
      </c>
      <c r="H4064" s="1">
        <v>-3.8472350000000001E-6</v>
      </c>
      <c r="I4064">
        <v>140.28829999999999</v>
      </c>
      <c r="J4064">
        <v>-219.06219999999999</v>
      </c>
      <c r="K4064">
        <v>1.121796</v>
      </c>
      <c r="L4064">
        <v>141.71250000000001</v>
      </c>
      <c r="M4064">
        <v>-0.99988109999999997</v>
      </c>
      <c r="N4064">
        <v>-1.3004099999999999E-2</v>
      </c>
      <c r="O4064">
        <v>-8.2989689999999998E-3</v>
      </c>
      <c r="P4064">
        <v>-0.98802999999999996</v>
      </c>
      <c r="Q4064">
        <v>0.15422549999999999</v>
      </c>
      <c r="R4064">
        <v>-3.4086960000000001E-3</v>
      </c>
      <c r="S4064">
        <v>-3.0483549999999999</v>
      </c>
      <c r="T4064">
        <v>-8.0278160000000001E-2</v>
      </c>
      <c r="U4064">
        <v>-0.1020966</v>
      </c>
      <c r="V4064">
        <v>4.6521509999999898E-3</v>
      </c>
      <c r="W4064">
        <v>0.16706470000000001</v>
      </c>
      <c r="X4064">
        <v>0.98593500000000001</v>
      </c>
      <c r="Y4064">
        <v>-2.5165119999999999E-2</v>
      </c>
      <c r="Z4064">
        <v>-3.8437639999999999E-4</v>
      </c>
      <c r="AA4064">
        <v>0.99968330000000005</v>
      </c>
      <c r="AB4064">
        <v>24</v>
      </c>
      <c r="AC4064">
        <v>-42.345499999999902</v>
      </c>
      <c r="AD4064">
        <v>-1.1217998472349999</v>
      </c>
      <c r="AE4064">
        <v>-1.4242000000000099</v>
      </c>
      <c r="AF4064">
        <v>-1.0719458243822799</v>
      </c>
      <c r="AG4064">
        <v>-1.1217998472349999</v>
      </c>
      <c r="AH4064">
        <v>42.326190737014898</v>
      </c>
      <c r="AI4064">
        <v>91.517707212216294</v>
      </c>
      <c r="AJ4064">
        <v>91.450752937441095</v>
      </c>
      <c r="AK4064">
        <v>42.3546210590277</v>
      </c>
      <c r="AL4064">
        <v>80.382802244816006</v>
      </c>
      <c r="AM4064">
        <v>89.729650900107899</v>
      </c>
      <c r="AN4064">
        <v>1.00000004036</v>
      </c>
    </row>
    <row r="4065" spans="1:40" x14ac:dyDescent="0.25">
      <c r="A4065" t="str">
        <f>"20190303162901247"</f>
        <v>20190303162901247</v>
      </c>
      <c r="B4065" t="str">
        <f>"1551601741236213"</f>
        <v>1551601741236213</v>
      </c>
      <c r="C4065" t="s">
        <v>40</v>
      </c>
      <c r="D4065">
        <v>5.4705820000000003</v>
      </c>
      <c r="E4065">
        <v>0.44651239999999998</v>
      </c>
      <c r="F4065" t="s">
        <v>41</v>
      </c>
      <c r="G4065">
        <v>-247.8176</v>
      </c>
      <c r="H4065" s="1">
        <v>-1.0137219999999999E-6</v>
      </c>
      <c r="I4065">
        <v>139.97389999999999</v>
      </c>
      <c r="J4065">
        <v>-219.31139999999999</v>
      </c>
      <c r="K4065">
        <v>1.1218140000000001</v>
      </c>
      <c r="L4065">
        <v>141.7098</v>
      </c>
      <c r="M4065">
        <v>-0.99987669999999995</v>
      </c>
      <c r="N4065">
        <v>-1.296886E-2</v>
      </c>
      <c r="O4065">
        <v>-8.8520769999999999E-3</v>
      </c>
      <c r="P4065">
        <v>-0.98795279999999996</v>
      </c>
      <c r="Q4065">
        <v>0.1547094</v>
      </c>
      <c r="R4065">
        <v>-3.7626449999999998E-3</v>
      </c>
      <c r="S4065">
        <v>-3.054306</v>
      </c>
      <c r="T4065">
        <v>-0.119154</v>
      </c>
      <c r="U4065">
        <v>-0.18466189999999999</v>
      </c>
      <c r="V4065">
        <v>4.8376959999999998E-3</v>
      </c>
      <c r="W4065">
        <v>0.16751369999999999</v>
      </c>
      <c r="X4065">
        <v>0.98585789999999995</v>
      </c>
      <c r="Y4065">
        <v>-5.146125E-2</v>
      </c>
      <c r="Z4065">
        <v>-1.1065039999999999E-3</v>
      </c>
      <c r="AA4065">
        <v>0.99867439999999996</v>
      </c>
      <c r="AB4065">
        <v>24</v>
      </c>
      <c r="AC4065">
        <v>-28.5062</v>
      </c>
      <c r="AD4065">
        <v>-1.12181501372199</v>
      </c>
      <c r="AE4065">
        <v>-1.73590000000001</v>
      </c>
      <c r="AF4065">
        <v>-1.4811862503656199</v>
      </c>
      <c r="AG4065">
        <v>-1.12181501372199</v>
      </c>
      <c r="AH4065">
        <v>28.476512252284</v>
      </c>
      <c r="AI4065">
        <v>92.252923684768206</v>
      </c>
      <c r="AJ4065">
        <v>92.977517388540306</v>
      </c>
      <c r="AK4065">
        <v>28.537065926401102</v>
      </c>
      <c r="AL4065">
        <v>80.356708538778904</v>
      </c>
      <c r="AM4065">
        <v>89.718846561342801</v>
      </c>
      <c r="AN4065">
        <v>1.00000002099134</v>
      </c>
    </row>
    <row r="4066" spans="1:40" x14ac:dyDescent="0.25">
      <c r="A4066" t="str">
        <f>"20190303162901267"</f>
        <v>20190303162901267</v>
      </c>
      <c r="B4066" t="str">
        <f>"1551601741255732"</f>
        <v>1551601741255732</v>
      </c>
      <c r="C4066" t="s">
        <v>40</v>
      </c>
      <c r="D4066">
        <v>5.3570089999999997</v>
      </c>
      <c r="E4066">
        <v>0.44152750000000002</v>
      </c>
      <c r="F4066" t="s">
        <v>41</v>
      </c>
      <c r="G4066">
        <v>-243.9753</v>
      </c>
      <c r="H4066" s="1">
        <v>-2.8458080000000001E-6</v>
      </c>
      <c r="I4066">
        <v>138.0437</v>
      </c>
      <c r="J4066">
        <v>-219.52670000000001</v>
      </c>
      <c r="K4066">
        <v>1.121815</v>
      </c>
      <c r="L4066">
        <v>141.7073</v>
      </c>
      <c r="M4066">
        <v>-0.99987289999999995</v>
      </c>
      <c r="N4066">
        <v>-1.2941289999999999E-2</v>
      </c>
      <c r="O4066">
        <v>-9.3356700000000008E-3</v>
      </c>
      <c r="P4066">
        <v>-0.98779799999999995</v>
      </c>
      <c r="Q4066">
        <v>0.15569759999999999</v>
      </c>
      <c r="R4066">
        <v>-3.7226780000000001E-3</v>
      </c>
      <c r="S4066">
        <v>-3.0566409999999999</v>
      </c>
      <c r="T4066">
        <v>-0.13902879999999901</v>
      </c>
      <c r="U4066">
        <v>-0.45433040000000002</v>
      </c>
      <c r="V4066">
        <v>5.3521080000000004E-3</v>
      </c>
      <c r="W4066">
        <v>0.16847300000000001</v>
      </c>
      <c r="X4066">
        <v>0.98569169999999995</v>
      </c>
      <c r="Y4066">
        <v>-0.1376059</v>
      </c>
      <c r="Z4066">
        <v>-3.704775E-3</v>
      </c>
      <c r="AA4066">
        <v>0.99048009999999997</v>
      </c>
      <c r="AB4066">
        <v>24</v>
      </c>
      <c r="AC4066">
        <v>-24.448599999999999</v>
      </c>
      <c r="AD4066">
        <v>-1.1218178458079999</v>
      </c>
      <c r="AE4066">
        <v>-3.6636000000000002</v>
      </c>
      <c r="AF4066">
        <v>-3.4281181096562001</v>
      </c>
      <c r="AG4066">
        <v>-1.1218178458079999</v>
      </c>
      <c r="AH4066">
        <v>24.4314308944201</v>
      </c>
      <c r="AI4066">
        <v>92.603533950323893</v>
      </c>
      <c r="AJ4066">
        <v>97.987361184700504</v>
      </c>
      <c r="AK4066">
        <v>24.696260538829598</v>
      </c>
      <c r="AL4066">
        <v>80.300951719238896</v>
      </c>
      <c r="AM4066">
        <v>89.688898479824005</v>
      </c>
      <c r="AN4066">
        <v>0.99999996211896602</v>
      </c>
    </row>
    <row r="4067" spans="1:40" x14ac:dyDescent="0.25">
      <c r="A4067" t="str">
        <f>"20190303162901304"</f>
        <v>20190303162901304</v>
      </c>
      <c r="B4067" t="str">
        <f>"1551601741295748"</f>
        <v>1551601741295748</v>
      </c>
      <c r="C4067" t="s">
        <v>40</v>
      </c>
      <c r="D4067">
        <v>5.3557129999999997</v>
      </c>
      <c r="E4067">
        <v>0.43795420000000002</v>
      </c>
      <c r="F4067" t="s">
        <v>41</v>
      </c>
      <c r="G4067">
        <v>-239.5147</v>
      </c>
      <c r="H4067" s="1">
        <v>-4.547834E-7</v>
      </c>
      <c r="I4067">
        <v>138.47540000000001</v>
      </c>
      <c r="J4067">
        <v>-219.9265</v>
      </c>
      <c r="K4067">
        <v>1.1217969999999999</v>
      </c>
      <c r="L4067">
        <v>141.70249999999999</v>
      </c>
      <c r="M4067">
        <v>-0.99986459999999999</v>
      </c>
      <c r="N4067">
        <v>-1.28973E-2</v>
      </c>
      <c r="O4067">
        <v>-1.02246E-2</v>
      </c>
      <c r="P4067">
        <v>-0.98774039999999996</v>
      </c>
      <c r="Q4067">
        <v>0.15606020000000001</v>
      </c>
      <c r="R4067">
        <v>-3.8076109999999998E-3</v>
      </c>
      <c r="S4067">
        <v>-3.0622859999999998</v>
      </c>
      <c r="T4067">
        <v>-0.17186949999999901</v>
      </c>
      <c r="U4067">
        <v>-0.49514770000000002</v>
      </c>
      <c r="V4067">
        <v>6.1483329999999997E-3</v>
      </c>
      <c r="W4067">
        <v>0.16879169999999999</v>
      </c>
      <c r="X4067">
        <v>0.98563259999999997</v>
      </c>
      <c r="Y4067">
        <v>-0.14924309999999999</v>
      </c>
      <c r="Z4067">
        <v>-4.6888399999999997E-3</v>
      </c>
      <c r="AA4067">
        <v>0.98878940000000004</v>
      </c>
      <c r="AB4067">
        <v>24</v>
      </c>
      <c r="AC4067">
        <v>-19.588200000000001</v>
      </c>
      <c r="AD4067">
        <v>-1.12179745478339</v>
      </c>
      <c r="AE4067">
        <v>-3.2270999999999699</v>
      </c>
      <c r="AF4067">
        <v>-3.0169996091959499</v>
      </c>
      <c r="AG4067">
        <v>-1.12179745478339</v>
      </c>
      <c r="AH4067">
        <v>19.557725113649902</v>
      </c>
      <c r="AI4067">
        <v>93.244496877210693</v>
      </c>
      <c r="AJ4067">
        <v>98.769395558470507</v>
      </c>
      <c r="AK4067">
        <v>19.820830653444801</v>
      </c>
      <c r="AL4067">
        <v>80.282426927329894</v>
      </c>
      <c r="AM4067">
        <v>89.642596071990994</v>
      </c>
      <c r="AN4067">
        <v>1.00000003108516</v>
      </c>
    </row>
    <row r="4068" spans="1:40" x14ac:dyDescent="0.25">
      <c r="A4068" t="str">
        <f>"20190303162901325"</f>
        <v>20190303162901325</v>
      </c>
      <c r="B4068" t="str">
        <f>"1551601741316245"</f>
        <v>1551601741316245</v>
      </c>
      <c r="C4068" t="s">
        <v>40</v>
      </c>
      <c r="D4068">
        <v>5.3453569999999999</v>
      </c>
      <c r="E4068">
        <v>0.43685449999999998</v>
      </c>
      <c r="F4068" t="s">
        <v>41</v>
      </c>
      <c r="G4068">
        <v>-237.12129999999999</v>
      </c>
      <c r="H4068" s="1">
        <v>-1.3699439999999999E-6</v>
      </c>
      <c r="I4068">
        <v>138.75550000000001</v>
      </c>
      <c r="J4068">
        <v>-220.1497</v>
      </c>
      <c r="K4068">
        <v>1.1217919999999999</v>
      </c>
      <c r="L4068">
        <v>141.6996</v>
      </c>
      <c r="M4068">
        <v>-0.99985979999999997</v>
      </c>
      <c r="N4068">
        <v>-1.2876719999999999E-2</v>
      </c>
      <c r="O4068">
        <v>-1.070721E-2</v>
      </c>
      <c r="P4068">
        <v>-0.98769949999999995</v>
      </c>
      <c r="Q4068">
        <v>0.15629770000000001</v>
      </c>
      <c r="R4068">
        <v>-4.5685079999999998E-3</v>
      </c>
      <c r="S4068">
        <v>-3.0668030000000002</v>
      </c>
      <c r="T4068">
        <v>-0.20008020000000001</v>
      </c>
      <c r="U4068">
        <v>-0.52560419999999997</v>
      </c>
      <c r="V4068">
        <v>5.8671859999999999E-3</v>
      </c>
      <c r="W4068">
        <v>0.16900789999999999</v>
      </c>
      <c r="X4068">
        <v>0.98559730000000001</v>
      </c>
      <c r="Y4068">
        <v>-0.15798029999999999</v>
      </c>
      <c r="Z4068">
        <v>-5.5807570000000004E-3</v>
      </c>
      <c r="AA4068">
        <v>0.98742649999999998</v>
      </c>
      <c r="AB4068">
        <v>24</v>
      </c>
      <c r="AC4068">
        <v>-16.971599999999899</v>
      </c>
      <c r="AD4068">
        <v>-1.1217933699439999</v>
      </c>
      <c r="AE4068">
        <v>-2.9440999999999899</v>
      </c>
      <c r="AF4068">
        <v>-2.7505316972912301</v>
      </c>
      <c r="AG4068">
        <v>-1.1217933699439999</v>
      </c>
      <c r="AH4068">
        <v>16.930345186821199</v>
      </c>
      <c r="AI4068">
        <v>93.741920952452006</v>
      </c>
      <c r="AJ4068">
        <v>99.227745081918101</v>
      </c>
      <c r="AK4068">
        <v>17.188962537848901</v>
      </c>
      <c r="AL4068">
        <v>80.269859362436605</v>
      </c>
      <c r="AM4068">
        <v>89.658926597530893</v>
      </c>
      <c r="AN4068">
        <v>1.0000000659506201</v>
      </c>
    </row>
    <row r="4069" spans="1:40" x14ac:dyDescent="0.25">
      <c r="A4069" t="str">
        <f>"20190303162901347"</f>
        <v>20190303162901347</v>
      </c>
      <c r="B4069" t="str">
        <f>"1551601741335764"</f>
        <v>1551601741335764</v>
      </c>
      <c r="C4069" t="s">
        <v>40</v>
      </c>
      <c r="D4069">
        <v>5.3909039999999999</v>
      </c>
      <c r="E4069">
        <v>0.43619340000000001</v>
      </c>
      <c r="F4069" t="s">
        <v>41</v>
      </c>
      <c r="G4069">
        <v>-237.3475</v>
      </c>
      <c r="H4069" s="1">
        <v>-1.284479E-6</v>
      </c>
      <c r="I4069">
        <v>138.69030000000001</v>
      </c>
      <c r="J4069">
        <v>-220.39359999999999</v>
      </c>
      <c r="K4069">
        <v>1.1217859999999999</v>
      </c>
      <c r="L4069">
        <v>141.69640000000001</v>
      </c>
      <c r="M4069">
        <v>-0.99985440000000003</v>
      </c>
      <c r="N4069">
        <v>-1.285593E-2</v>
      </c>
      <c r="O4069">
        <v>-1.1222370000000001E-2</v>
      </c>
      <c r="P4069">
        <v>-0.98750979999999999</v>
      </c>
      <c r="Q4069">
        <v>0.15746650000000001</v>
      </c>
      <c r="R4069">
        <v>-5.3610130000000004E-3</v>
      </c>
      <c r="S4069">
        <v>-3.0665279999999999</v>
      </c>
      <c r="T4069">
        <v>-0.20002700000000001</v>
      </c>
      <c r="U4069">
        <v>-0.53659060000000003</v>
      </c>
      <c r="V4069">
        <v>5.5840289999999999E-3</v>
      </c>
      <c r="W4069">
        <v>0.17015359999999999</v>
      </c>
      <c r="X4069">
        <v>0.98540170000000005</v>
      </c>
      <c r="Y4069">
        <v>-0.1609141</v>
      </c>
      <c r="Z4069">
        <v>-5.6641900000000004E-3</v>
      </c>
      <c r="AA4069">
        <v>0.98695219999999995</v>
      </c>
      <c r="AB4069">
        <v>24</v>
      </c>
      <c r="AC4069">
        <v>-16.953900000000001</v>
      </c>
      <c r="AD4069">
        <v>-1.121787284479</v>
      </c>
      <c r="AE4069">
        <v>-3.0061</v>
      </c>
      <c r="AF4069">
        <v>-2.8037312473506701</v>
      </c>
      <c r="AG4069">
        <v>-1.121787284479</v>
      </c>
      <c r="AH4069">
        <v>16.9147738451775</v>
      </c>
      <c r="AI4069">
        <v>93.743369783756194</v>
      </c>
      <c r="AJ4069">
        <v>99.411567325666297</v>
      </c>
      <c r="AK4069">
        <v>17.1822259865388</v>
      </c>
      <c r="AL4069">
        <v>80.203249897732604</v>
      </c>
      <c r="AM4069">
        <v>89.675322389049697</v>
      </c>
      <c r="AN4069">
        <v>0.99999996966786098</v>
      </c>
    </row>
    <row r="4070" spans="1:40" x14ac:dyDescent="0.25">
      <c r="A4070" t="str">
        <f>"20190303162901368"</f>
        <v>20190303162901368</v>
      </c>
      <c r="B4070" t="str">
        <f>"1551601741355284"</f>
        <v>1551601741355284</v>
      </c>
      <c r="C4070" t="s">
        <v>40</v>
      </c>
      <c r="D4070">
        <v>5.3501979999999998</v>
      </c>
      <c r="E4070">
        <v>0.43574059999999998</v>
      </c>
      <c r="F4070" t="s">
        <v>41</v>
      </c>
      <c r="G4070">
        <v>-237.8064</v>
      </c>
      <c r="H4070" s="1">
        <v>-1.103068E-6</v>
      </c>
      <c r="I4070">
        <v>138.60329999999999</v>
      </c>
      <c r="J4070">
        <v>-220.6232</v>
      </c>
      <c r="K4070">
        <v>1.121783</v>
      </c>
      <c r="L4070">
        <v>141.69319999999999</v>
      </c>
      <c r="M4070">
        <v>-0.99984919999999999</v>
      </c>
      <c r="N4070">
        <v>-1.283194E-2</v>
      </c>
      <c r="O4070">
        <v>-1.1699640000000001E-2</v>
      </c>
      <c r="P4070">
        <v>-0.98745570000000005</v>
      </c>
      <c r="Q4070">
        <v>0.15781970000000001</v>
      </c>
      <c r="R4070">
        <v>-4.8882609999999996E-3</v>
      </c>
      <c r="S4070">
        <v>-3.0664980000000002</v>
      </c>
      <c r="T4070">
        <v>-0.19755420000000001</v>
      </c>
      <c r="U4070">
        <v>-0.54470830000000003</v>
      </c>
      <c r="V4070">
        <v>6.5294560000000003E-3</v>
      </c>
      <c r="W4070">
        <v>0.170483</v>
      </c>
      <c r="X4070">
        <v>0.98533899999999996</v>
      </c>
      <c r="Y4070">
        <v>-0.16298270000000001</v>
      </c>
      <c r="Z4070">
        <v>-5.6610059999999997E-3</v>
      </c>
      <c r="AA4070">
        <v>0.98661270000000001</v>
      </c>
      <c r="AB4070">
        <v>24</v>
      </c>
      <c r="AC4070">
        <v>-17.183199999999999</v>
      </c>
      <c r="AD4070">
        <v>-1.121784103068</v>
      </c>
      <c r="AE4070">
        <v>-3.0899000000000001</v>
      </c>
      <c r="AF4070">
        <v>-2.8767580503047698</v>
      </c>
      <c r="AG4070">
        <v>-1.121784103068</v>
      </c>
      <c r="AH4070">
        <v>17.147384893303599</v>
      </c>
      <c r="AI4070">
        <v>93.691519638034407</v>
      </c>
      <c r="AJ4070">
        <v>99.523628162931203</v>
      </c>
      <c r="AK4070">
        <v>17.4231726483148</v>
      </c>
      <c r="AL4070">
        <v>80.184097282930395</v>
      </c>
      <c r="AM4070">
        <v>89.620328845716003</v>
      </c>
      <c r="AN4070">
        <v>1.00000001600282</v>
      </c>
    </row>
    <row r="4071" spans="1:40" x14ac:dyDescent="0.25">
      <c r="A4071" t="str">
        <f>"20190303162901392"</f>
        <v>20190303162901392</v>
      </c>
      <c r="B4071" t="str">
        <f>"1551601741385540"</f>
        <v>1551601741385540</v>
      </c>
      <c r="C4071" t="s">
        <v>40</v>
      </c>
      <c r="D4071">
        <v>5.3656920000000001</v>
      </c>
      <c r="E4071">
        <v>0.43560850000000001</v>
      </c>
      <c r="F4071" t="s">
        <v>41</v>
      </c>
      <c r="G4071">
        <v>-237.81559999999999</v>
      </c>
      <c r="H4071" s="1">
        <v>-1.0963889999999999E-6</v>
      </c>
      <c r="I4071">
        <v>138.61869999999999</v>
      </c>
      <c r="J4071">
        <v>-220.87370000000001</v>
      </c>
      <c r="K4071">
        <v>1.121769</v>
      </c>
      <c r="L4071">
        <v>141.68969999999999</v>
      </c>
      <c r="M4071">
        <v>-0.9998435</v>
      </c>
      <c r="N4071">
        <v>-1.2794099999999999E-2</v>
      </c>
      <c r="O4071">
        <v>-1.221656E-2</v>
      </c>
      <c r="P4071">
        <v>-0.98772599999999999</v>
      </c>
      <c r="Q4071">
        <v>0.1561536</v>
      </c>
      <c r="R4071">
        <v>-3.713984E-3</v>
      </c>
      <c r="S4071">
        <v>-3.0673979999999998</v>
      </c>
      <c r="T4071">
        <v>-0.2001445</v>
      </c>
      <c r="U4071">
        <v>-0.54853819999999998</v>
      </c>
      <c r="V4071">
        <v>8.2204059999999995E-3</v>
      </c>
      <c r="W4071">
        <v>0.1687842</v>
      </c>
      <c r="X4071">
        <v>0.98561880000000002</v>
      </c>
      <c r="Y4071">
        <v>-0.16360729999999901</v>
      </c>
      <c r="Z4071">
        <v>-5.7114829999999998E-3</v>
      </c>
      <c r="AA4071">
        <v>0.98650899999999997</v>
      </c>
      <c r="AB4071">
        <v>24</v>
      </c>
      <c r="AC4071">
        <v>-16.941899999999901</v>
      </c>
      <c r="AD4071">
        <v>-1.121770096389</v>
      </c>
      <c r="AE4071">
        <v>-3.07099999999999</v>
      </c>
      <c r="AF4071">
        <v>-2.8516776991303301</v>
      </c>
      <c r="AG4071">
        <v>-1.121770096389</v>
      </c>
      <c r="AH4071">
        <v>16.906393714866301</v>
      </c>
      <c r="AI4071">
        <v>93.743390485512506</v>
      </c>
      <c r="AJ4071">
        <v>99.574217444307095</v>
      </c>
      <c r="AK4071">
        <v>17.1818678347536</v>
      </c>
      <c r="AL4071">
        <v>80.282863087197001</v>
      </c>
      <c r="AM4071">
        <v>89.5221442112109</v>
      </c>
      <c r="AN4071">
        <v>1.0000000500789401</v>
      </c>
    </row>
    <row r="4072" spans="1:40" x14ac:dyDescent="0.25">
      <c r="A4072" t="str">
        <f>"20190303162901414"</f>
        <v>20190303162901414</v>
      </c>
      <c r="B4072" t="str">
        <f>"1551601741406036"</f>
        <v>1551601741406036</v>
      </c>
      <c r="C4072" t="s">
        <v>40</v>
      </c>
      <c r="D4072">
        <v>5.3493180000000002</v>
      </c>
      <c r="E4072">
        <v>0.43529069999999997</v>
      </c>
      <c r="F4072" t="s">
        <v>41</v>
      </c>
      <c r="G4072">
        <v>-236.59</v>
      </c>
      <c r="H4072" s="1">
        <v>-1.5745050000000001E-6</v>
      </c>
      <c r="I4072">
        <v>138.88740000000001</v>
      </c>
      <c r="J4072">
        <v>-221.1285</v>
      </c>
      <c r="K4072">
        <v>1.121748</v>
      </c>
      <c r="L4072">
        <v>141.6859</v>
      </c>
      <c r="M4072">
        <v>-0.99983770000000005</v>
      </c>
      <c r="N4072">
        <v>-1.273356E-2</v>
      </c>
      <c r="O4072">
        <v>-1.2742379999999999E-2</v>
      </c>
      <c r="P4072">
        <v>-0.98791269999999998</v>
      </c>
      <c r="Q4072">
        <v>0.15498509999999999</v>
      </c>
      <c r="R4072">
        <v>-2.869697E-3</v>
      </c>
      <c r="S4072">
        <v>-3.0698699999999999</v>
      </c>
      <c r="T4072">
        <v>-0.21911610000000001</v>
      </c>
      <c r="U4072">
        <v>-0.5473633</v>
      </c>
      <c r="V4072">
        <v>9.5886510000000001E-3</v>
      </c>
      <c r="W4072">
        <v>0.16755929999999999</v>
      </c>
      <c r="X4072">
        <v>0.98581529999999995</v>
      </c>
      <c r="Y4072">
        <v>-0.16252069999999999</v>
      </c>
      <c r="Z4072">
        <v>-6.0518119999999898E-3</v>
      </c>
      <c r="AA4072">
        <v>0.98668659999999997</v>
      </c>
      <c r="AB4072">
        <v>24</v>
      </c>
      <c r="AC4072">
        <v>-15.461499999999999</v>
      </c>
      <c r="AD4072">
        <v>-1.1217495745049999</v>
      </c>
      <c r="AE4072">
        <v>-2.79849999999999</v>
      </c>
      <c r="AF4072">
        <v>-2.5880499574492402</v>
      </c>
      <c r="AG4072">
        <v>-1.1217495745049999</v>
      </c>
      <c r="AH4072">
        <v>15.417329459205201</v>
      </c>
      <c r="AI4072">
        <v>94.1042263406882</v>
      </c>
      <c r="AJ4072">
        <v>99.529185081218003</v>
      </c>
      <c r="AK4072">
        <v>15.6732374557343</v>
      </c>
      <c r="AL4072">
        <v>80.354057541603098</v>
      </c>
      <c r="AM4072">
        <v>89.442723287895902</v>
      </c>
      <c r="AN4072">
        <v>0.99999993347928695</v>
      </c>
    </row>
    <row r="4073" spans="1:40" x14ac:dyDescent="0.25">
      <c r="A4073" t="str">
        <f>"20190303162901436"</f>
        <v>20190303162901436</v>
      </c>
      <c r="B4073" t="str">
        <f>"1551601741425556"</f>
        <v>1551601741425556</v>
      </c>
      <c r="C4073" t="s">
        <v>40</v>
      </c>
      <c r="D4073">
        <v>5.3642890000000003</v>
      </c>
      <c r="E4073">
        <v>0.43522519999999998</v>
      </c>
      <c r="F4073" t="s">
        <v>41</v>
      </c>
      <c r="G4073">
        <v>-236.47210000000001</v>
      </c>
      <c r="H4073" s="1">
        <v>-1.613903E-6</v>
      </c>
      <c r="I4073">
        <v>138.9503</v>
      </c>
      <c r="J4073">
        <v>-221.35429999999999</v>
      </c>
      <c r="K4073">
        <v>1.1217029999999999</v>
      </c>
      <c r="L4073">
        <v>141.6825</v>
      </c>
      <c r="M4073">
        <v>-0.99983290000000002</v>
      </c>
      <c r="N4073">
        <v>-1.26532E-2</v>
      </c>
      <c r="O4073">
        <v>-1.3205400000000001E-2</v>
      </c>
      <c r="P4073">
        <v>-0.98790460000000002</v>
      </c>
      <c r="Q4073">
        <v>0.1550522</v>
      </c>
      <c r="R4073">
        <v>-1.851948E-3</v>
      </c>
      <c r="S4073">
        <v>-3.0703429999999998</v>
      </c>
      <c r="T4073">
        <v>-0.2244689</v>
      </c>
      <c r="U4073">
        <v>-0.54739380000000004</v>
      </c>
      <c r="V4073">
        <v>1.106732E-2</v>
      </c>
      <c r="W4073">
        <v>0.16754749999999999</v>
      </c>
      <c r="X4073">
        <v>0.98580190000000001</v>
      </c>
      <c r="Y4073">
        <v>-0.162029799999999</v>
      </c>
      <c r="Z4073">
        <v>-6.1129660000000001E-3</v>
      </c>
      <c r="AA4073">
        <v>0.9867669</v>
      </c>
      <c r="AB4073">
        <v>24</v>
      </c>
      <c r="AC4073">
        <v>-15.117800000000001</v>
      </c>
      <c r="AD4073">
        <v>-1.121704613903</v>
      </c>
      <c r="AE4073">
        <v>-2.7322000000000002</v>
      </c>
      <c r="AF4073">
        <v>-2.5188806315991799</v>
      </c>
      <c r="AG4073">
        <v>-1.121704613903</v>
      </c>
      <c r="AH4073">
        <v>15.072211940955199</v>
      </c>
      <c r="AI4073">
        <v>94.198211448656906</v>
      </c>
      <c r="AJ4073">
        <v>99.487638926068797</v>
      </c>
      <c r="AK4073">
        <v>15.322354703836099</v>
      </c>
      <c r="AL4073">
        <v>80.354744151615193</v>
      </c>
      <c r="AM4073">
        <v>89.356783459639004</v>
      </c>
      <c r="AN4073">
        <v>1.0000000181859201</v>
      </c>
    </row>
    <row r="4074" spans="1:40" x14ac:dyDescent="0.25">
      <c r="A4074" t="str">
        <f>"20190303162901457"</f>
        <v>20190303162901457</v>
      </c>
      <c r="B4074" t="str">
        <f>"1551601741446056"</f>
        <v>1551601741446056</v>
      </c>
      <c r="C4074" t="s">
        <v>40</v>
      </c>
      <c r="D4074">
        <v>5.5968770000000001</v>
      </c>
      <c r="E4074">
        <v>0.43537900000000002</v>
      </c>
      <c r="F4074" t="s">
        <v>41</v>
      </c>
      <c r="G4074">
        <v>-236.41990000000001</v>
      </c>
      <c r="H4074" s="1">
        <v>-1.626147E-6</v>
      </c>
      <c r="I4074">
        <v>139.00749999999999</v>
      </c>
      <c r="J4074">
        <v>-221.5909</v>
      </c>
      <c r="K4074">
        <v>1.121664</v>
      </c>
      <c r="L4074">
        <v>141.6788</v>
      </c>
      <c r="M4074">
        <v>-0.99982780000000004</v>
      </c>
      <c r="N4074">
        <v>-1.2537319999999999E-2</v>
      </c>
      <c r="O4074">
        <v>-1.3682389999999999E-2</v>
      </c>
      <c r="P4074">
        <v>-0.98777099999999995</v>
      </c>
      <c r="Q4074">
        <v>0.15591169999999999</v>
      </c>
      <c r="R4074" s="1">
        <v>-4.2827799999999997E-5</v>
      </c>
      <c r="S4074">
        <v>-3.071625</v>
      </c>
      <c r="T4074">
        <v>-0.22869729999999999</v>
      </c>
      <c r="U4074">
        <v>-0.54536439999999997</v>
      </c>
      <c r="V4074">
        <v>1.33519E-2</v>
      </c>
      <c r="W4074">
        <v>0.1682921</v>
      </c>
      <c r="X4074">
        <v>0.98564669999999999</v>
      </c>
      <c r="Y4074">
        <v>-0.1608453</v>
      </c>
      <c r="Z4074">
        <v>-6.1120640000000004E-3</v>
      </c>
      <c r="AA4074">
        <v>0.98696070000000002</v>
      </c>
      <c r="AB4074">
        <v>24</v>
      </c>
      <c r="AC4074">
        <v>-14.829000000000001</v>
      </c>
      <c r="AD4074">
        <v>-1.1216656261469999</v>
      </c>
      <c r="AE4074">
        <v>-2.6713</v>
      </c>
      <c r="AF4074">
        <v>-2.4545357839733302</v>
      </c>
      <c r="AG4074">
        <v>-1.1216656261469999</v>
      </c>
      <c r="AH4074">
        <v>14.782247254679699</v>
      </c>
      <c r="AI4074">
        <v>94.280853949144003</v>
      </c>
      <c r="AJ4074">
        <v>99.427728669519695</v>
      </c>
      <c r="AK4074">
        <v>15.0265669262866</v>
      </c>
      <c r="AL4074">
        <v>80.311466647427807</v>
      </c>
      <c r="AM4074">
        <v>89.223899669261698</v>
      </c>
      <c r="AN4074">
        <v>0.99999996068845398</v>
      </c>
    </row>
    <row r="4075" spans="1:40" x14ac:dyDescent="0.25">
      <c r="A4075" t="str">
        <f>"20190303162901481"</f>
        <v>20190303162901481</v>
      </c>
      <c r="B4075" t="str">
        <f>"1551601741475336"</f>
        <v>1551601741475336</v>
      </c>
      <c r="C4075" t="s">
        <v>40</v>
      </c>
      <c r="D4075">
        <v>5.4670759999999996</v>
      </c>
      <c r="E4075">
        <v>0.48288370000000003</v>
      </c>
      <c r="F4075" t="s">
        <v>41</v>
      </c>
      <c r="G4075">
        <v>-236.96</v>
      </c>
      <c r="H4075" s="1">
        <v>-1.3994690000000001E-6</v>
      </c>
      <c r="I4075">
        <v>138.97919999999999</v>
      </c>
      <c r="J4075">
        <v>-221.83510000000001</v>
      </c>
      <c r="K4075">
        <v>1.1216109999999999</v>
      </c>
      <c r="L4075">
        <v>141.67490000000001</v>
      </c>
      <c r="M4075">
        <v>-0.99982329999999997</v>
      </c>
      <c r="N4075">
        <v>-1.2380810000000001E-2</v>
      </c>
      <c r="O4075">
        <v>-1.415667E-2</v>
      </c>
      <c r="P4075">
        <v>-0.98784919999999998</v>
      </c>
      <c r="Q4075">
        <v>0.15539890000000001</v>
      </c>
      <c r="R4075">
        <v>2.338485E-3</v>
      </c>
      <c r="S4075">
        <v>-3.0725099999999999</v>
      </c>
      <c r="T4075">
        <v>-0.22423779999999999</v>
      </c>
      <c r="U4075">
        <v>-0.53967290000000001</v>
      </c>
      <c r="V4075">
        <v>1.62115E-2</v>
      </c>
      <c r="W4075">
        <v>0.1676269</v>
      </c>
      <c r="X4075">
        <v>0.98571719999999896</v>
      </c>
      <c r="Y4075">
        <v>-0.15858059999999999</v>
      </c>
      <c r="Z4075">
        <v>-5.8761669999999998E-3</v>
      </c>
      <c r="AA4075">
        <v>0.98732850000000005</v>
      </c>
      <c r="AB4075">
        <v>24</v>
      </c>
      <c r="AC4075">
        <v>-15.124899999999901</v>
      </c>
      <c r="AD4075">
        <v>-1.1216123994689999</v>
      </c>
      <c r="AE4075">
        <v>-2.6957000000000102</v>
      </c>
      <c r="AF4075">
        <v>-2.4681402710531599</v>
      </c>
      <c r="AG4075">
        <v>-1.1216123994689999</v>
      </c>
      <c r="AH4075">
        <v>15.081167946889201</v>
      </c>
      <c r="AI4075">
        <v>94.197715207932703</v>
      </c>
      <c r="AJ4075">
        <v>99.294465940535005</v>
      </c>
      <c r="AK4075">
        <v>15.3229030348206</v>
      </c>
      <c r="AL4075">
        <v>80.350129372292798</v>
      </c>
      <c r="AM4075">
        <v>89.057775600614903</v>
      </c>
      <c r="AN4075">
        <v>0.99999999435584896</v>
      </c>
    </row>
    <row r="4076" spans="1:40" x14ac:dyDescent="0.25">
      <c r="A4076" t="str">
        <f>"20190303162901505"</f>
        <v>20190303162901505</v>
      </c>
      <c r="B4076" t="str">
        <f>"1551601741495833"</f>
        <v>1551601741495833</v>
      </c>
      <c r="C4076" t="s">
        <v>40</v>
      </c>
      <c r="D4076">
        <v>5.4135220000000004</v>
      </c>
      <c r="E4076">
        <v>0.4886781</v>
      </c>
      <c r="F4076" t="s">
        <v>41</v>
      </c>
      <c r="G4076">
        <v>-256.7629</v>
      </c>
      <c r="H4076" s="1">
        <v>-1.4637169999999999E-6</v>
      </c>
      <c r="I4076">
        <v>139.96459999999999</v>
      </c>
      <c r="J4076">
        <v>-222.10220000000001</v>
      </c>
      <c r="K4076">
        <v>1.121543</v>
      </c>
      <c r="L4076">
        <v>141.67060000000001</v>
      </c>
      <c r="M4076">
        <v>-0.99981889999999995</v>
      </c>
      <c r="N4076">
        <v>-1.21667999999999E-2</v>
      </c>
      <c r="O4076">
        <v>-1.4637320000000001E-2</v>
      </c>
      <c r="P4076">
        <v>-0.98798699999999995</v>
      </c>
      <c r="Q4076">
        <v>0.1544943</v>
      </c>
      <c r="R4076">
        <v>3.6565859999999999E-3</v>
      </c>
      <c r="S4076">
        <v>-3.052673</v>
      </c>
      <c r="T4076">
        <v>-9.8028420000000005E-2</v>
      </c>
      <c r="U4076">
        <v>-0.1494751</v>
      </c>
      <c r="V4076">
        <v>1.801755E-2</v>
      </c>
      <c r="W4076">
        <v>0.16651270000000001</v>
      </c>
      <c r="X4076">
        <v>0.98587469999999999</v>
      </c>
      <c r="Y4076">
        <v>-3.4259190000000002E-2</v>
      </c>
      <c r="Z4076">
        <v>-4.666192E-4</v>
      </c>
      <c r="AA4076">
        <v>0.99941290000000005</v>
      </c>
      <c r="AB4076">
        <v>24</v>
      </c>
      <c r="AC4076">
        <v>-34.660699999999899</v>
      </c>
      <c r="AD4076">
        <v>-1.121544463717</v>
      </c>
      <c r="AE4076">
        <v>-1.70600000000001</v>
      </c>
      <c r="AF4076">
        <v>-1.19718946199813</v>
      </c>
      <c r="AG4076">
        <v>-1.121544463717</v>
      </c>
      <c r="AH4076">
        <v>34.645771891150503</v>
      </c>
      <c r="AI4076">
        <v>91.8530122958649</v>
      </c>
      <c r="AJ4076">
        <v>91.979076163100999</v>
      </c>
      <c r="AK4076">
        <v>34.684587852901501</v>
      </c>
      <c r="AL4076">
        <v>80.414878602784</v>
      </c>
      <c r="AM4076">
        <v>88.952996093633899</v>
      </c>
      <c r="AN4076">
        <v>1.0000000177346899</v>
      </c>
    </row>
    <row r="4077" spans="1:40" x14ac:dyDescent="0.25">
      <c r="A4077" t="str">
        <f>"20190303162901528"</f>
        <v>20190303162901528</v>
      </c>
      <c r="B4077" t="str">
        <f>"1551601741515352"</f>
        <v>1551601741515352</v>
      </c>
      <c r="C4077" t="s">
        <v>40</v>
      </c>
      <c r="D4077">
        <v>5.3432729999999999</v>
      </c>
      <c r="E4077">
        <v>0.491035</v>
      </c>
      <c r="F4077" t="s">
        <v>41</v>
      </c>
      <c r="G4077">
        <v>-255.74189999999999</v>
      </c>
      <c r="H4077" s="1">
        <v>-2.067126E-6</v>
      </c>
      <c r="I4077">
        <v>140.58619999999999</v>
      </c>
      <c r="J4077">
        <v>-222.34800000000001</v>
      </c>
      <c r="K4077">
        <v>1.1214759999999999</v>
      </c>
      <c r="L4077">
        <v>141.66650000000001</v>
      </c>
      <c r="M4077">
        <v>-0.99981580000000003</v>
      </c>
      <c r="N4077">
        <v>-1.194769E-2</v>
      </c>
      <c r="O4077">
        <v>-1.503142E-2</v>
      </c>
      <c r="P4077">
        <v>-0.98787939999999996</v>
      </c>
      <c r="Q4077">
        <v>0.15516189999999999</v>
      </c>
      <c r="R4077">
        <v>4.4309409999999999E-3</v>
      </c>
      <c r="S4077">
        <v>-3.052765</v>
      </c>
      <c r="T4077">
        <v>-0.1017792</v>
      </c>
      <c r="U4077">
        <v>-9.8403930000000001E-2</v>
      </c>
      <c r="V4077">
        <v>1.919015E-2</v>
      </c>
      <c r="W4077">
        <v>0.16696220000000001</v>
      </c>
      <c r="X4077">
        <v>0.98577650000000006</v>
      </c>
      <c r="Y4077">
        <v>-1.7179779999999999E-2</v>
      </c>
      <c r="Z4077" s="1">
        <v>-6.7631800000000005E-5</v>
      </c>
      <c r="AA4077">
        <v>0.99985239999999997</v>
      </c>
      <c r="AB4077">
        <v>24</v>
      </c>
      <c r="AC4077">
        <v>-33.393900000000002</v>
      </c>
      <c r="AD4077">
        <v>-1.1214780671259901</v>
      </c>
      <c r="AE4077">
        <v>-1.08030000000002</v>
      </c>
      <c r="AF4077">
        <v>-0.57753376270001799</v>
      </c>
      <c r="AG4077">
        <v>-1.1214780671259901</v>
      </c>
      <c r="AH4077">
        <v>33.368771008417497</v>
      </c>
      <c r="AI4077">
        <v>91.924619045716497</v>
      </c>
      <c r="AJ4077">
        <v>90.991554157482</v>
      </c>
      <c r="AK4077">
        <v>33.392606021607598</v>
      </c>
      <c r="AL4077">
        <v>80.388758069620096</v>
      </c>
      <c r="AM4077">
        <v>88.884761665499497</v>
      </c>
      <c r="AN4077">
        <v>0.99999997301905597</v>
      </c>
    </row>
    <row r="4078" spans="1:40" x14ac:dyDescent="0.25">
      <c r="A4078" t="str">
        <f>"20190303162901547"</f>
        <v>20190303162901547</v>
      </c>
      <c r="B4078" t="str">
        <f>"1551601741535849"</f>
        <v>1551601741535849</v>
      </c>
      <c r="C4078" t="s">
        <v>40</v>
      </c>
      <c r="D4078">
        <v>5.2231459999999998</v>
      </c>
      <c r="E4078">
        <v>0.49173929999999999</v>
      </c>
      <c r="F4078" t="s">
        <v>41</v>
      </c>
      <c r="G4078">
        <v>-255.90819999999999</v>
      </c>
      <c r="H4078" s="1">
        <v>-2.0601360000000001E-6</v>
      </c>
      <c r="I4078">
        <v>140.82810000000001</v>
      </c>
      <c r="J4078">
        <v>-222.5617</v>
      </c>
      <c r="K4078">
        <v>1.1214299999999999</v>
      </c>
      <c r="L4078">
        <v>141.66290000000001</v>
      </c>
      <c r="M4078">
        <v>-0.99981319999999996</v>
      </c>
      <c r="N4078">
        <v>-1.1758960000000001E-2</v>
      </c>
      <c r="O4078">
        <v>-1.534071E-2</v>
      </c>
      <c r="P4078">
        <v>-0.98762430000000001</v>
      </c>
      <c r="Q4078">
        <v>0.15676289999999901</v>
      </c>
      <c r="R4078">
        <v>4.8665870000000003E-3</v>
      </c>
      <c r="S4078">
        <v>-3.0531619999999999</v>
      </c>
      <c r="T4078">
        <v>-0.1020272</v>
      </c>
      <c r="U4078">
        <v>-7.6263429999999993E-2</v>
      </c>
      <c r="V4078">
        <v>1.993559E-2</v>
      </c>
      <c r="W4078">
        <v>0.16837289999999999</v>
      </c>
      <c r="X4078">
        <v>0.98552169999999895</v>
      </c>
      <c r="Y4078">
        <v>-9.6271299999999994E-3</v>
      </c>
      <c r="Z4078">
        <v>1.146071E-4</v>
      </c>
      <c r="AA4078">
        <v>0.9999536</v>
      </c>
      <c r="AB4078">
        <v>24</v>
      </c>
      <c r="AC4078">
        <v>-33.346499999999899</v>
      </c>
      <c r="AD4078">
        <v>-1.1214320601359999</v>
      </c>
      <c r="AE4078">
        <v>-0.83480000000000099</v>
      </c>
      <c r="AF4078">
        <v>-0.322742626459395</v>
      </c>
      <c r="AG4078">
        <v>-1.1214320601359999</v>
      </c>
      <c r="AH4078">
        <v>33.317725441091603</v>
      </c>
      <c r="AI4078">
        <v>91.9276845679708</v>
      </c>
      <c r="AJ4078">
        <v>90.554996229914096</v>
      </c>
      <c r="AK4078">
        <v>33.338155336436898</v>
      </c>
      <c r="AL4078">
        <v>80.306769939375499</v>
      </c>
      <c r="AM4078">
        <v>88.841152446108097</v>
      </c>
      <c r="AN4078">
        <v>0.999999941186972</v>
      </c>
    </row>
    <row r="4079" spans="1:40" x14ac:dyDescent="0.25">
      <c r="A4079" t="str">
        <f>"20190303162901570"</f>
        <v>20190303162901570</v>
      </c>
      <c r="B4079" t="str">
        <f>"1551601741555368"</f>
        <v>1551601741555368</v>
      </c>
      <c r="C4079" t="s">
        <v>40</v>
      </c>
      <c r="D4079">
        <v>5.2263019999999996</v>
      </c>
      <c r="E4079">
        <v>0.4921932</v>
      </c>
      <c r="F4079" t="s">
        <v>41</v>
      </c>
      <c r="G4079">
        <v>-258.47949999999997</v>
      </c>
      <c r="H4079" s="1">
        <v>-9.636200000000001E-7</v>
      </c>
      <c r="I4079">
        <v>140.8527</v>
      </c>
      <c r="J4079">
        <v>-222.80850000000001</v>
      </c>
      <c r="K4079">
        <v>1.1213740000000001</v>
      </c>
      <c r="L4079">
        <v>141.65880000000001</v>
      </c>
      <c r="M4079">
        <v>-0.99981089999999995</v>
      </c>
      <c r="N4079">
        <v>-1.154432E-2</v>
      </c>
      <c r="O4079">
        <v>-1.565219E-2</v>
      </c>
      <c r="P4079">
        <v>-0.98751250000000002</v>
      </c>
      <c r="Q4079">
        <v>0.157467</v>
      </c>
      <c r="R4079">
        <v>4.8278669999999996E-3</v>
      </c>
      <c r="S4079">
        <v>-3.0530550000000001</v>
      </c>
      <c r="T4079">
        <v>-9.5323089999999999E-2</v>
      </c>
      <c r="U4079">
        <v>-6.8862919999999994E-2</v>
      </c>
      <c r="V4079">
        <v>2.021307E-2</v>
      </c>
      <c r="W4079">
        <v>0.16886309999999999</v>
      </c>
      <c r="X4079">
        <v>0.98543219999999998</v>
      </c>
      <c r="Y4079">
        <v>-6.8960890000000002E-3</v>
      </c>
      <c r="Z4079">
        <v>1.603749E-4</v>
      </c>
      <c r="AA4079">
        <v>0.99997619999999998</v>
      </c>
      <c r="AB4079">
        <v>24</v>
      </c>
      <c r="AC4079">
        <v>-35.6709999999999</v>
      </c>
      <c r="AD4079">
        <v>-1.1213749636200001</v>
      </c>
      <c r="AE4079">
        <v>-0.80610000000001403</v>
      </c>
      <c r="AF4079">
        <v>-0.247390425476714</v>
      </c>
      <c r="AG4079">
        <v>-1.1213749636200001</v>
      </c>
      <c r="AH4079">
        <v>35.644040089771103</v>
      </c>
      <c r="AI4079">
        <v>91.801909151582606</v>
      </c>
      <c r="AJ4079">
        <v>90.397659738923494</v>
      </c>
      <c r="AK4079">
        <v>35.662533249235999</v>
      </c>
      <c r="AL4079">
        <v>80.278275809523706</v>
      </c>
      <c r="AM4079">
        <v>88.824920455164005</v>
      </c>
      <c r="AN4079">
        <v>0.99999996776863698</v>
      </c>
    </row>
    <row r="4080" spans="1:40" x14ac:dyDescent="0.25">
      <c r="A4080" t="str">
        <f>"20190303162901593"</f>
        <v>20190303162901593</v>
      </c>
      <c r="B4080" t="str">
        <f>"1551601741585624"</f>
        <v>1551601741585624</v>
      </c>
      <c r="C4080" t="s">
        <v>40</v>
      </c>
      <c r="D4080">
        <v>5.1720389999999998</v>
      </c>
      <c r="E4080">
        <v>0.49242530000000001</v>
      </c>
      <c r="F4080" t="s">
        <v>41</v>
      </c>
      <c r="G4080">
        <v>-259.78019999999998</v>
      </c>
      <c r="H4080" s="1">
        <v>-4.0908130000000001E-7</v>
      </c>
      <c r="I4080">
        <v>140.86580000000001</v>
      </c>
      <c r="J4080">
        <v>-223.06209999999999</v>
      </c>
      <c r="K4080">
        <v>1.121326</v>
      </c>
      <c r="L4080">
        <v>141.65450000000001</v>
      </c>
      <c r="M4080">
        <v>-0.99980910000000001</v>
      </c>
      <c r="N4080">
        <v>-1.132333E-2</v>
      </c>
      <c r="O4080">
        <v>-1.591702E-2</v>
      </c>
      <c r="P4080">
        <v>-0.98748970000000003</v>
      </c>
      <c r="Q4080">
        <v>0.15762860000000001</v>
      </c>
      <c r="R4080">
        <v>4.1616999999999999E-3</v>
      </c>
      <c r="S4080">
        <v>-3.0530240000000002</v>
      </c>
      <c r="T4080">
        <v>-9.2600230000000006E-2</v>
      </c>
      <c r="U4080">
        <v>-6.5475459999999999E-2</v>
      </c>
      <c r="V4080">
        <v>1.9820560000000001E-2</v>
      </c>
      <c r="W4080">
        <v>0.16880529999999999</v>
      </c>
      <c r="X4080">
        <v>0.9854501</v>
      </c>
      <c r="Y4080">
        <v>-5.5234530000000002E-3</v>
      </c>
      <c r="Z4080">
        <v>1.873426E-4</v>
      </c>
      <c r="AA4080">
        <v>0.99998469999999995</v>
      </c>
      <c r="AB4080">
        <v>24</v>
      </c>
      <c r="AC4080">
        <v>-36.7180999999999</v>
      </c>
      <c r="AD4080">
        <v>-1.1213264090813</v>
      </c>
      <c r="AE4080">
        <v>-0.78870000000000495</v>
      </c>
      <c r="AF4080">
        <v>-0.20392971048002101</v>
      </c>
      <c r="AG4080">
        <v>-1.1213264090813</v>
      </c>
      <c r="AH4080">
        <v>36.6917987307665</v>
      </c>
      <c r="AI4080">
        <v>91.750426291367802</v>
      </c>
      <c r="AJ4080">
        <v>90.318441499827202</v>
      </c>
      <c r="AK4080">
        <v>36.709495424775298</v>
      </c>
      <c r="AL4080">
        <v>80.281635974581604</v>
      </c>
      <c r="AM4080">
        <v>88.847753594179196</v>
      </c>
      <c r="AN4080">
        <v>0.99999999174840604</v>
      </c>
    </row>
    <row r="4081" spans="1:40" x14ac:dyDescent="0.25">
      <c r="A4081" t="str">
        <f>"20190303162901614"</f>
        <v>20190303162901614</v>
      </c>
      <c r="B4081" t="str">
        <f>"1551601741606120"</f>
        <v>1551601741606120</v>
      </c>
      <c r="C4081" t="s">
        <v>40</v>
      </c>
      <c r="D4081">
        <v>5.1706890000000003</v>
      </c>
      <c r="E4081">
        <v>0.49240010000000001</v>
      </c>
      <c r="F4081" t="s">
        <v>41</v>
      </c>
      <c r="G4081">
        <v>-259.45769999999999</v>
      </c>
      <c r="H4081" s="1">
        <v>-5.4751800000000002E-7</v>
      </c>
      <c r="I4081">
        <v>140.86609999999999</v>
      </c>
      <c r="J4081">
        <v>-223.30760000000001</v>
      </c>
      <c r="K4081">
        <v>1.1212660000000001</v>
      </c>
      <c r="L4081">
        <v>141.65029999999999</v>
      </c>
      <c r="M4081">
        <v>-0.99980829999999998</v>
      </c>
      <c r="N4081">
        <v>-1.1103089999999999E-2</v>
      </c>
      <c r="O4081">
        <v>-1.6126709999999999E-2</v>
      </c>
      <c r="P4081">
        <v>-0.98735580000000001</v>
      </c>
      <c r="Q4081">
        <v>0.1584817</v>
      </c>
      <c r="R4081">
        <v>3.486697E-3</v>
      </c>
      <c r="S4081">
        <v>-3.0533139999999999</v>
      </c>
      <c r="T4081">
        <v>-9.4070909999999994E-2</v>
      </c>
      <c r="U4081">
        <v>-6.6131590000000004E-2</v>
      </c>
      <c r="V4081">
        <v>1.9362290000000001E-2</v>
      </c>
      <c r="W4081">
        <v>0.16943839999999999</v>
      </c>
      <c r="X4081">
        <v>0.98535050000000002</v>
      </c>
      <c r="Y4081">
        <v>-5.526698E-3</v>
      </c>
      <c r="Z4081">
        <v>2.0181060000000001E-4</v>
      </c>
      <c r="AA4081">
        <v>0.99998469999999995</v>
      </c>
      <c r="AB4081">
        <v>24</v>
      </c>
      <c r="AC4081">
        <v>-36.150099999999902</v>
      </c>
      <c r="AD4081">
        <v>-1.1212665475179999</v>
      </c>
      <c r="AE4081">
        <v>-0.78419999999999801</v>
      </c>
      <c r="AF4081">
        <v>-0.20088671324955701</v>
      </c>
      <c r="AG4081">
        <v>-1.1212665475179999</v>
      </c>
      <c r="AH4081">
        <v>36.123309497807398</v>
      </c>
      <c r="AI4081">
        <v>91.777861129346206</v>
      </c>
      <c r="AJ4081">
        <v>90.318626458603404</v>
      </c>
      <c r="AK4081">
        <v>36.141265655985599</v>
      </c>
      <c r="AL4081">
        <v>80.244831335836295</v>
      </c>
      <c r="AM4081">
        <v>88.874273931637902</v>
      </c>
      <c r="AN4081">
        <v>0.99999993875942494</v>
      </c>
    </row>
    <row r="4082" spans="1:40" x14ac:dyDescent="0.25">
      <c r="A4082" t="str">
        <f>"20190303162901637"</f>
        <v>20190303162901637</v>
      </c>
      <c r="B4082" t="str">
        <f>"1551601741625640"</f>
        <v>1551601741625640</v>
      </c>
      <c r="C4082" t="s">
        <v>40</v>
      </c>
      <c r="D4082">
        <v>5.1661149999999996</v>
      </c>
      <c r="E4082">
        <v>0.49253089999999999</v>
      </c>
      <c r="F4082" t="s">
        <v>41</v>
      </c>
      <c r="G4082">
        <v>-260.51679999999999</v>
      </c>
      <c r="H4082" s="1">
        <v>-4.3104119999999998E-6</v>
      </c>
      <c r="I4082">
        <v>140.8014</v>
      </c>
      <c r="J4082">
        <v>-223.5445</v>
      </c>
      <c r="K4082">
        <v>1.1212029999999999</v>
      </c>
      <c r="L4082">
        <v>141.6463</v>
      </c>
      <c r="M4082">
        <v>-0.99980820000000004</v>
      </c>
      <c r="N4082">
        <v>-1.087604E-2</v>
      </c>
      <c r="O4082">
        <v>-1.6295939999999998E-2</v>
      </c>
      <c r="P4082">
        <v>-0.98738619999999999</v>
      </c>
      <c r="Q4082">
        <v>0.1583109</v>
      </c>
      <c r="R4082">
        <v>2.52448E-3</v>
      </c>
      <c r="S4082">
        <v>-3.053436</v>
      </c>
      <c r="T4082">
        <v>-9.2013120000000004E-2</v>
      </c>
      <c r="U4082">
        <v>-6.9656369999999995E-2</v>
      </c>
      <c r="V4082">
        <v>1.8577920000000001E-2</v>
      </c>
      <c r="W4082">
        <v>0.1690432</v>
      </c>
      <c r="X4082">
        <v>0.98543349999999996</v>
      </c>
      <c r="Y4082">
        <v>-6.5098219999999898E-3</v>
      </c>
      <c r="Z4082">
        <v>1.8017970000000001E-4</v>
      </c>
      <c r="AA4082">
        <v>0.99997879999999995</v>
      </c>
      <c r="AB4082">
        <v>25</v>
      </c>
      <c r="AC4082">
        <v>-36.972299999999898</v>
      </c>
      <c r="AD4082">
        <v>-1.1212073104119999</v>
      </c>
      <c r="AE4082">
        <v>-0.84489999999999499</v>
      </c>
      <c r="AF4082">
        <v>-0.242031393677242</v>
      </c>
      <c r="AG4082">
        <v>-1.1212073104119999</v>
      </c>
      <c r="AH4082">
        <v>36.9471987388456</v>
      </c>
      <c r="AI4082">
        <v>91.738138840867506</v>
      </c>
      <c r="AJ4082">
        <v>90.375324232583793</v>
      </c>
      <c r="AK4082">
        <v>36.964999386936299</v>
      </c>
      <c r="AL4082">
        <v>80.2678062816031</v>
      </c>
      <c r="AM4082">
        <v>88.919957228606094</v>
      </c>
      <c r="AN4082">
        <v>0.99999996275000702</v>
      </c>
    </row>
    <row r="4083" spans="1:40" x14ac:dyDescent="0.25">
      <c r="A4083" t="str">
        <f>"20190303162901658"</f>
        <v>20190303162901658</v>
      </c>
      <c r="B4083" t="str">
        <f>"1551601741646137"</f>
        <v>1551601741646137</v>
      </c>
      <c r="C4083" t="s">
        <v>40</v>
      </c>
      <c r="D4083">
        <v>5.1040749999999999</v>
      </c>
      <c r="E4083">
        <v>0.492562</v>
      </c>
      <c r="F4083" t="s">
        <v>41</v>
      </c>
      <c r="G4083">
        <v>-260.16750000000002</v>
      </c>
      <c r="H4083" s="1">
        <v>-4.4262629999999999E-6</v>
      </c>
      <c r="I4083">
        <v>140.78460000000001</v>
      </c>
      <c r="J4083">
        <v>-223.78059999999999</v>
      </c>
      <c r="K4083">
        <v>1.1211500000000001</v>
      </c>
      <c r="L4083">
        <v>141.6422</v>
      </c>
      <c r="M4083">
        <v>-0.99980829999999998</v>
      </c>
      <c r="N4083">
        <v>-1.0633119999999999E-2</v>
      </c>
      <c r="O4083">
        <v>-1.6442099999999901E-2</v>
      </c>
      <c r="P4083">
        <v>-0.98753489999999999</v>
      </c>
      <c r="Q4083">
        <v>0.15739210000000001</v>
      </c>
      <c r="R4083">
        <v>1.56729E-3</v>
      </c>
      <c r="S4083">
        <v>-3.0534970000000001</v>
      </c>
      <c r="T4083">
        <v>-9.3482490000000001E-2</v>
      </c>
      <c r="U4083">
        <v>-7.1838379999999993E-2</v>
      </c>
      <c r="V4083">
        <v>1.777488E-2</v>
      </c>
      <c r="W4083">
        <v>0.16788549999999999</v>
      </c>
      <c r="X4083">
        <v>0.98564620000000003</v>
      </c>
      <c r="Y4083">
        <v>-7.0772389999999999E-3</v>
      </c>
      <c r="Z4083">
        <v>1.824064E-4</v>
      </c>
      <c r="AA4083">
        <v>0.99997499999999995</v>
      </c>
      <c r="AB4083">
        <v>25</v>
      </c>
      <c r="AC4083">
        <v>-36.386899999999997</v>
      </c>
      <c r="AD4083">
        <v>-1.121154426263</v>
      </c>
      <c r="AE4083">
        <v>-0.85759999999999004</v>
      </c>
      <c r="AF4083">
        <v>-0.25892751145000298</v>
      </c>
      <c r="AG4083">
        <v>-1.121154426263</v>
      </c>
      <c r="AH4083">
        <v>36.361580342319797</v>
      </c>
      <c r="AI4083">
        <v>91.766024574172604</v>
      </c>
      <c r="AJ4083">
        <v>90.407991146654595</v>
      </c>
      <c r="AK4083">
        <v>36.379782238142802</v>
      </c>
      <c r="AL4083">
        <v>80.335099350745594</v>
      </c>
      <c r="AM4083">
        <v>88.966855222200394</v>
      </c>
      <c r="AN4083">
        <v>0.99999995952185095</v>
      </c>
    </row>
    <row r="4084" spans="1:40" x14ac:dyDescent="0.25">
      <c r="A4084" t="str">
        <f>"20190303162901682"</f>
        <v>20190303162901682</v>
      </c>
      <c r="B4084" t="str">
        <f>"1551601741675416"</f>
        <v>1551601741675416</v>
      </c>
      <c r="C4084" t="s">
        <v>40</v>
      </c>
      <c r="D4084">
        <v>5.1672379999999896</v>
      </c>
      <c r="E4084">
        <v>0.49264029999999998</v>
      </c>
      <c r="F4084" t="s">
        <v>41</v>
      </c>
      <c r="G4084">
        <v>-259.24149999999997</v>
      </c>
      <c r="H4084" s="1">
        <v>-6.1777119999999996E-7</v>
      </c>
      <c r="I4084">
        <v>140.78139999999999</v>
      </c>
      <c r="J4084">
        <v>-224.04300000000001</v>
      </c>
      <c r="K4084">
        <v>1.1210990000000001</v>
      </c>
      <c r="L4084">
        <v>141.6378</v>
      </c>
      <c r="M4084">
        <v>-0.9998089</v>
      </c>
      <c r="N4084">
        <v>-1.034066E-2</v>
      </c>
      <c r="O4084">
        <v>-1.6588970000000001E-2</v>
      </c>
      <c r="P4084">
        <v>-0.98761520000000003</v>
      </c>
      <c r="Q4084">
        <v>0.15688859999999999</v>
      </c>
      <c r="R4084">
        <v>1.4101560000000001E-3</v>
      </c>
      <c r="S4084">
        <v>-3.0533600000000001</v>
      </c>
      <c r="T4084">
        <v>-9.6536869999999997E-2</v>
      </c>
      <c r="U4084">
        <v>-7.4111940000000001E-2</v>
      </c>
      <c r="V4084">
        <v>1.7768220000000001E-2</v>
      </c>
      <c r="W4084">
        <v>0.16709379999999999</v>
      </c>
      <c r="X4084">
        <v>0.98578089999999996</v>
      </c>
      <c r="Y4084">
        <v>-7.6754619999999897E-3</v>
      </c>
      <c r="Z4084">
        <v>1.917357E-4</v>
      </c>
      <c r="AA4084">
        <v>0.99997049999999998</v>
      </c>
      <c r="AB4084">
        <v>25</v>
      </c>
      <c r="AC4084">
        <v>-35.198499999999903</v>
      </c>
      <c r="AD4084">
        <v>-1.1210996177712</v>
      </c>
      <c r="AE4084">
        <v>-0.85640000000000704</v>
      </c>
      <c r="AF4084">
        <v>-0.272068205760714</v>
      </c>
      <c r="AG4084">
        <v>-1.1210996177712</v>
      </c>
      <c r="AH4084">
        <v>35.1722033875105</v>
      </c>
      <c r="AI4084">
        <v>91.825606874073898</v>
      </c>
      <c r="AJ4084">
        <v>90.443192280521899</v>
      </c>
      <c r="AK4084">
        <v>35.191117865080102</v>
      </c>
      <c r="AL4084">
        <v>80.381110922922602</v>
      </c>
      <c r="AM4084">
        <v>88.967383331800804</v>
      </c>
      <c r="AN4084">
        <v>1.0000000152226001</v>
      </c>
    </row>
    <row r="4085" spans="1:40" x14ac:dyDescent="0.25">
      <c r="A4085" t="str">
        <f>"20190303162901706"</f>
        <v>20190303162901706</v>
      </c>
      <c r="B4085" t="str">
        <f>"1551601741695912"</f>
        <v>1551601741695912</v>
      </c>
      <c r="C4085" t="s">
        <v>40</v>
      </c>
      <c r="D4085">
        <v>5.0495910000000004</v>
      </c>
      <c r="E4085">
        <v>0.49272270000000001</v>
      </c>
      <c r="F4085" t="s">
        <v>41</v>
      </c>
      <c r="G4085">
        <v>-258.9579</v>
      </c>
      <c r="H4085" s="1">
        <v>-7.4390489999999997E-7</v>
      </c>
      <c r="I4085">
        <v>140.79839999999999</v>
      </c>
      <c r="J4085">
        <v>-224.3015</v>
      </c>
      <c r="K4085">
        <v>1.1210439999999999</v>
      </c>
      <c r="L4085">
        <v>141.63329999999999</v>
      </c>
      <c r="M4085">
        <v>-0.99980990000000003</v>
      </c>
      <c r="N4085">
        <v>-1.001967E-2</v>
      </c>
      <c r="O4085">
        <v>-1.6724889999999999E-2</v>
      </c>
      <c r="P4085">
        <v>-0.98773069999999996</v>
      </c>
      <c r="Q4085">
        <v>0.1561622</v>
      </c>
      <c r="R4085">
        <v>1.162981E-3</v>
      </c>
      <c r="S4085">
        <v>-3.0532840000000001</v>
      </c>
      <c r="T4085">
        <v>-9.8039390000000004E-2</v>
      </c>
      <c r="U4085">
        <v>-7.3394780000000007E-2</v>
      </c>
      <c r="V4085">
        <v>1.7657699999999998E-2</v>
      </c>
      <c r="W4085">
        <v>0.16605239999999999</v>
      </c>
      <c r="X4085">
        <v>0.98595880000000002</v>
      </c>
      <c r="Y4085">
        <v>-7.3059149999999996E-3</v>
      </c>
      <c r="Z4085">
        <v>2.153562E-4</v>
      </c>
      <c r="AA4085">
        <v>0.99997329999999995</v>
      </c>
      <c r="AB4085">
        <v>25</v>
      </c>
      <c r="AC4085">
        <v>-34.656399999999898</v>
      </c>
      <c r="AD4085">
        <v>-1.1210447439049001</v>
      </c>
      <c r="AE4085">
        <v>-0.83490000000000397</v>
      </c>
      <c r="AF4085">
        <v>-0.25486309832723297</v>
      </c>
      <c r="AG4085">
        <v>-1.1210447439049001</v>
      </c>
      <c r="AH4085">
        <v>34.629302885694202</v>
      </c>
      <c r="AI4085">
        <v>91.854122538250294</v>
      </c>
      <c r="AJ4085">
        <v>90.421675142878499</v>
      </c>
      <c r="AK4085">
        <v>34.648381129078402</v>
      </c>
      <c r="AL4085">
        <v>80.441623781992504</v>
      </c>
      <c r="AM4085">
        <v>88.973990047204794</v>
      </c>
      <c r="AN4085">
        <v>0.99999997460624401</v>
      </c>
    </row>
    <row r="4086" spans="1:40" x14ac:dyDescent="0.25">
      <c r="A4086" t="str">
        <f>"20190303162901731"</f>
        <v>20190303162901731</v>
      </c>
      <c r="B4086" t="str">
        <f>"1551601741715432"</f>
        <v>1551601741715432</v>
      </c>
      <c r="C4086" t="s">
        <v>40</v>
      </c>
      <c r="D4086">
        <v>5.1067410000000004</v>
      </c>
      <c r="E4086">
        <v>0.49273630000000002</v>
      </c>
      <c r="F4086" t="s">
        <v>41</v>
      </c>
      <c r="G4086">
        <v>-258.60730000000001</v>
      </c>
      <c r="H4086" s="1">
        <v>-9.0029680000000002E-7</v>
      </c>
      <c r="I4086">
        <v>140.82079999999999</v>
      </c>
      <c r="J4086">
        <v>-224.57490000000001</v>
      </c>
      <c r="K4086">
        <v>1.1209899999999999</v>
      </c>
      <c r="L4086">
        <v>141.6285</v>
      </c>
      <c r="M4086">
        <v>-0.99981109999999895</v>
      </c>
      <c r="N4086">
        <v>-9.6568999999999995E-3</v>
      </c>
      <c r="O4086">
        <v>-1.6868939999999999E-2</v>
      </c>
      <c r="P4086">
        <v>-0.98788120000000001</v>
      </c>
      <c r="Q4086">
        <v>0.15521260000000001</v>
      </c>
      <c r="R4086">
        <v>-3.9473870000000002E-4</v>
      </c>
      <c r="S4086">
        <v>-3.0531160000000002</v>
      </c>
      <c r="T4086">
        <v>-9.9769830000000004E-2</v>
      </c>
      <c r="U4086">
        <v>-7.2296139999999995E-2</v>
      </c>
      <c r="V4086">
        <v>1.6243899999999999E-2</v>
      </c>
      <c r="W4086">
        <v>0.16474639999999999</v>
      </c>
      <c r="X4086">
        <v>0.98620220000000003</v>
      </c>
      <c r="Y4086">
        <v>-6.8042220000000004E-3</v>
      </c>
      <c r="Z4086">
        <v>2.44107E-4</v>
      </c>
      <c r="AA4086">
        <v>0.9999768</v>
      </c>
      <c r="AB4086">
        <v>25</v>
      </c>
      <c r="AC4086">
        <v>-34.032400000000003</v>
      </c>
      <c r="AD4086">
        <v>-1.1209909002967999</v>
      </c>
      <c r="AE4086">
        <v>-0.80770000000001096</v>
      </c>
      <c r="AF4086">
        <v>-0.23321490255775501</v>
      </c>
      <c r="AG4086">
        <v>-1.1209909002967999</v>
      </c>
      <c r="AH4086">
        <v>34.004309736506997</v>
      </c>
      <c r="AI4086">
        <v>91.888092635350404</v>
      </c>
      <c r="AJ4086">
        <v>90.392950782907405</v>
      </c>
      <c r="AK4086">
        <v>34.023581387702599</v>
      </c>
      <c r="AL4086">
        <v>80.517497444661103</v>
      </c>
      <c r="AM4086">
        <v>89.056357043395494</v>
      </c>
      <c r="AN4086">
        <v>1.0000000099424999</v>
      </c>
    </row>
    <row r="4087" spans="1:40" x14ac:dyDescent="0.25">
      <c r="A4087" t="str">
        <f>"20190303162901751"</f>
        <v>20190303162901751</v>
      </c>
      <c r="B4087" t="str">
        <f>"1551601741745689"</f>
        <v>1551601741745689</v>
      </c>
      <c r="C4087" t="s">
        <v>40</v>
      </c>
      <c r="D4087">
        <v>5.1015959999999998</v>
      </c>
      <c r="E4087">
        <v>0.49290220000000001</v>
      </c>
      <c r="F4087" t="s">
        <v>41</v>
      </c>
      <c r="G4087">
        <v>-258.14879999999999</v>
      </c>
      <c r="H4087" s="1">
        <v>-1.0913729999999999E-6</v>
      </c>
      <c r="I4087">
        <v>140.7998</v>
      </c>
      <c r="J4087">
        <v>-224.8057</v>
      </c>
      <c r="K4087">
        <v>1.1209549999999999</v>
      </c>
      <c r="L4087">
        <v>141.62440000000001</v>
      </c>
      <c r="M4087">
        <v>-0.99981200000000003</v>
      </c>
      <c r="N4087">
        <v>-9.3516160000000001E-3</v>
      </c>
      <c r="O4087">
        <v>-1.6995090000000001E-2</v>
      </c>
      <c r="P4087">
        <v>-0.98777459999999995</v>
      </c>
      <c r="Q4087">
        <v>0.155864</v>
      </c>
      <c r="R4087">
        <v>-2.8518319999999999E-3</v>
      </c>
      <c r="S4087">
        <v>-3.0527799999999998</v>
      </c>
      <c r="T4087">
        <v>-0.1019287</v>
      </c>
      <c r="U4087">
        <v>-7.5347899999999995E-2</v>
      </c>
      <c r="V4087">
        <v>1.3908149999999999E-2</v>
      </c>
      <c r="W4087">
        <v>0.16509589999999999</v>
      </c>
      <c r="X4087">
        <v>0.98617949999999999</v>
      </c>
      <c r="Y4087">
        <v>-7.6794330000000003E-3</v>
      </c>
      <c r="Z4087">
        <v>2.4418319999999999E-4</v>
      </c>
      <c r="AA4087">
        <v>0.99997049999999998</v>
      </c>
      <c r="AB4087">
        <v>25</v>
      </c>
      <c r="AC4087">
        <v>-33.3430999999999</v>
      </c>
      <c r="AD4087">
        <v>-1.1209560913729999</v>
      </c>
      <c r="AE4087">
        <v>-0.824600000000003</v>
      </c>
      <c r="AF4087">
        <v>-0.25749636959167799</v>
      </c>
      <c r="AG4087">
        <v>-1.1209560913729999</v>
      </c>
      <c r="AH4087">
        <v>33.314668613016302</v>
      </c>
      <c r="AI4087">
        <v>91.927076510412604</v>
      </c>
      <c r="AJ4087">
        <v>90.442842809121402</v>
      </c>
      <c r="AK4087">
        <v>33.334516521681202</v>
      </c>
      <c r="AL4087">
        <v>80.497194937044696</v>
      </c>
      <c r="AM4087">
        <v>89.192007671950094</v>
      </c>
      <c r="AN4087">
        <v>1.00000004952674</v>
      </c>
    </row>
    <row r="4088" spans="1:40" x14ac:dyDescent="0.25">
      <c r="A4088" t="str">
        <f>"20190303162901773"</f>
        <v>20190303162901773</v>
      </c>
      <c r="B4088" t="str">
        <f>"1551601741766184"</f>
        <v>1551601741766184</v>
      </c>
      <c r="C4088" t="s">
        <v>40</v>
      </c>
      <c r="D4088">
        <v>4.9616709999999999</v>
      </c>
      <c r="E4088">
        <v>0.50760249999999996</v>
      </c>
      <c r="F4088" t="s">
        <v>41</v>
      </c>
      <c r="G4088">
        <v>-259.1592</v>
      </c>
      <c r="H4088" s="1">
        <v>-6.3693649999999899E-7</v>
      </c>
      <c r="I4088">
        <v>140.7209</v>
      </c>
      <c r="J4088">
        <v>-225.05500000000001</v>
      </c>
      <c r="K4088">
        <v>1.1209169999999999</v>
      </c>
      <c r="L4088">
        <v>141.62</v>
      </c>
      <c r="M4088">
        <v>-0.99981249999999999</v>
      </c>
      <c r="N4088">
        <v>-9.0157810000000005E-3</v>
      </c>
      <c r="O4088">
        <v>-1.7137590000000001E-2</v>
      </c>
      <c r="P4088">
        <v>-0.98751630000000001</v>
      </c>
      <c r="Q4088">
        <v>0.15744029999999901</v>
      </c>
      <c r="R4088">
        <v>-4.9275760000000004E-3</v>
      </c>
      <c r="S4088">
        <v>-3.0526119999999999</v>
      </c>
      <c r="T4088">
        <v>-9.9606749999999994E-2</v>
      </c>
      <c r="U4088">
        <v>-8.0276490000000006E-2</v>
      </c>
      <c r="V4088">
        <v>1.1967210000000001E-2</v>
      </c>
      <c r="W4088">
        <v>0.16633879999999901</v>
      </c>
      <c r="X4088">
        <v>0.98599610000000004</v>
      </c>
      <c r="Y4088">
        <v>-9.1508890000000006E-3</v>
      </c>
      <c r="Z4088">
        <v>2.1392810000000001E-4</v>
      </c>
      <c r="AA4088">
        <v>0.99995809999999996</v>
      </c>
      <c r="AB4088">
        <v>25</v>
      </c>
      <c r="AC4088">
        <v>-34.104199999999899</v>
      </c>
      <c r="AD4088">
        <v>-1.1209176369364999</v>
      </c>
      <c r="AE4088">
        <v>-0.89910000000000401</v>
      </c>
      <c r="AF4088">
        <v>-0.314141279505468</v>
      </c>
      <c r="AG4088">
        <v>-1.1209176369364999</v>
      </c>
      <c r="AH4088">
        <v>34.077812492324902</v>
      </c>
      <c r="AI4088">
        <v>91.883864375733793</v>
      </c>
      <c r="AJ4088">
        <v>90.528157717800397</v>
      </c>
      <c r="AK4088">
        <v>34.09768973632</v>
      </c>
      <c r="AL4088">
        <v>80.424983665435704</v>
      </c>
      <c r="AM4088">
        <v>89.304625079591105</v>
      </c>
      <c r="AN4088">
        <v>1.00000005985791</v>
      </c>
    </row>
    <row r="4089" spans="1:40" x14ac:dyDescent="0.25">
      <c r="A4089" t="str">
        <f>"20190303162901794"</f>
        <v>20190303162901794</v>
      </c>
      <c r="B4089" t="str">
        <f>"1551601741785705"</f>
        <v>1551601741785705</v>
      </c>
      <c r="C4089" t="s">
        <v>40</v>
      </c>
      <c r="D4089">
        <v>4.9135759999999999</v>
      </c>
      <c r="E4089">
        <v>0.51968779999999903</v>
      </c>
      <c r="F4089" t="s">
        <v>44</v>
      </c>
      <c r="G4089">
        <v>-225.89320000000001</v>
      </c>
      <c r="H4089">
        <v>1.0268389999999901</v>
      </c>
      <c r="I4089">
        <v>141.62700000000001</v>
      </c>
      <c r="J4089">
        <v>-225.30269999999999</v>
      </c>
      <c r="K4089">
        <v>1.120871</v>
      </c>
      <c r="L4089">
        <v>141.6156</v>
      </c>
      <c r="M4089">
        <v>-0.99981310000000001</v>
      </c>
      <c r="N4089">
        <v>-8.6720849999999995E-3</v>
      </c>
      <c r="O4089">
        <v>-1.7285579999999998E-2</v>
      </c>
      <c r="P4089">
        <v>-0.98736869999999999</v>
      </c>
      <c r="Q4089">
        <v>0.15832969999999999</v>
      </c>
      <c r="R4089">
        <v>-5.9209550000000003E-3</v>
      </c>
      <c r="S4089">
        <v>-3.0933989999999998</v>
      </c>
      <c r="T4089">
        <v>-0.34730080000000002</v>
      </c>
      <c r="U4089">
        <v>2.4917600000000002E-2</v>
      </c>
      <c r="V4089">
        <v>1.111612E-2</v>
      </c>
      <c r="W4089">
        <v>0.16688789999999901</v>
      </c>
      <c r="X4089">
        <v>0.98591320000000005</v>
      </c>
      <c r="Y4089">
        <v>2.5077039999999998E-2</v>
      </c>
      <c r="Z4089">
        <v>3.297454E-3</v>
      </c>
      <c r="AA4089">
        <v>0.99968009999999996</v>
      </c>
      <c r="AB4089">
        <v>25</v>
      </c>
      <c r="AC4089">
        <v>-0.59050000000002001</v>
      </c>
      <c r="AD4089">
        <v>-9.4032000000000102E-2</v>
      </c>
      <c r="AE4089">
        <v>1.14000000000089E-2</v>
      </c>
      <c r="AF4089">
        <v>2.1071681896961299E-2</v>
      </c>
      <c r="AG4089">
        <v>-9.4032000000000102E-2</v>
      </c>
      <c r="AH4089">
        <v>0.57562359685005204</v>
      </c>
      <c r="AI4089">
        <v>99.271602840776097</v>
      </c>
      <c r="AJ4089">
        <v>87.903526557230407</v>
      </c>
      <c r="AK4089">
        <v>0.58363392469300301</v>
      </c>
      <c r="AL4089">
        <v>80.393075875860106</v>
      </c>
      <c r="AM4089">
        <v>89.354020441341106</v>
      </c>
      <c r="AN4089">
        <v>0.99999998861225203</v>
      </c>
    </row>
    <row r="4090" spans="1:40" x14ac:dyDescent="0.25">
      <c r="A4090" t="str">
        <f>"20190303162901819"</f>
        <v>20190303162901819</v>
      </c>
      <c r="B4090" t="str">
        <f>"1551601741805225"</f>
        <v>1551601741805225</v>
      </c>
      <c r="C4090" t="s">
        <v>40</v>
      </c>
      <c r="D4090">
        <v>4.8939909999999998</v>
      </c>
      <c r="E4090">
        <v>0.5199857</v>
      </c>
      <c r="F4090" t="s">
        <v>44</v>
      </c>
      <c r="G4090">
        <v>-226.06649999999999</v>
      </c>
      <c r="H4090">
        <v>0.91626160000000001</v>
      </c>
      <c r="I4090">
        <v>141.642</v>
      </c>
      <c r="J4090">
        <v>-225.57919999999999</v>
      </c>
      <c r="K4090">
        <v>1.120825</v>
      </c>
      <c r="L4090">
        <v>141.61060000000001</v>
      </c>
      <c r="M4090">
        <v>-0.99981330000000002</v>
      </c>
      <c r="N4090">
        <v>-8.2893050000000003E-3</v>
      </c>
      <c r="O4090">
        <v>-1.7455399999999999E-2</v>
      </c>
      <c r="P4090">
        <v>-0.98730309999999999</v>
      </c>
      <c r="Q4090">
        <v>0.15861459999999999</v>
      </c>
      <c r="R4090">
        <v>-8.6124329999999992E-3</v>
      </c>
      <c r="S4090">
        <v>-3.17543</v>
      </c>
      <c r="T4090">
        <v>-0.85065809999999997</v>
      </c>
      <c r="U4090">
        <v>0.1094055</v>
      </c>
      <c r="V4090">
        <v>8.5901769999999992E-3</v>
      </c>
      <c r="W4090">
        <v>0.16679530000000001</v>
      </c>
      <c r="X4090">
        <v>0.98595410000000006</v>
      </c>
      <c r="Y4090">
        <v>4.9496980000000003E-2</v>
      </c>
      <c r="Z4090">
        <v>1.117371E-2</v>
      </c>
      <c r="AA4090">
        <v>0.99871180000000004</v>
      </c>
      <c r="AB4090">
        <v>25</v>
      </c>
      <c r="AC4090">
        <v>-0.48730000000000401</v>
      </c>
      <c r="AD4090">
        <v>-0.20456339999999901</v>
      </c>
      <c r="AE4090">
        <v>3.1399999999990699E-2</v>
      </c>
      <c r="AF4090">
        <v>3.3944457960349103E-2</v>
      </c>
      <c r="AG4090">
        <v>-0.20456339999999901</v>
      </c>
      <c r="AH4090">
        <v>0.41401948411685302</v>
      </c>
      <c r="AI4090">
        <v>116.21743028831</v>
      </c>
      <c r="AJ4090">
        <v>85.312940685916203</v>
      </c>
      <c r="AK4090">
        <v>0.46304486183756199</v>
      </c>
      <c r="AL4090">
        <v>80.398456757635799</v>
      </c>
      <c r="AM4090">
        <v>89.500820135182195</v>
      </c>
      <c r="AN4090">
        <v>0.99999997527489504</v>
      </c>
    </row>
    <row r="4091" spans="1:40" x14ac:dyDescent="0.25">
      <c r="A4091" t="str">
        <f>"20190303162901838"</f>
        <v>20190303162901838</v>
      </c>
      <c r="B4091" t="str">
        <f>"1551601741825721"</f>
        <v>1551601741825721</v>
      </c>
      <c r="C4091" t="s">
        <v>40</v>
      </c>
      <c r="D4091">
        <v>4.9351310000000002</v>
      </c>
      <c r="E4091">
        <v>0.52047529999999997</v>
      </c>
      <c r="F4091" t="s">
        <v>44</v>
      </c>
      <c r="G4091">
        <v>-226.29079999999999</v>
      </c>
      <c r="H4091">
        <v>0.90963349999999998</v>
      </c>
      <c r="I4091">
        <v>141.63460000000001</v>
      </c>
      <c r="J4091">
        <v>-225.79669999999999</v>
      </c>
      <c r="K4091">
        <v>1.1207879999999999</v>
      </c>
      <c r="L4091">
        <v>141.60669999999999</v>
      </c>
      <c r="M4091">
        <v>-0.99981330000000002</v>
      </c>
      <c r="N4091">
        <v>-7.9997390000000005E-3</v>
      </c>
      <c r="O4091">
        <v>-1.759109E-2</v>
      </c>
      <c r="P4091">
        <v>-0.98727670000000001</v>
      </c>
      <c r="Q4091">
        <v>0.1586108</v>
      </c>
      <c r="R4091">
        <v>-1.12855E-2</v>
      </c>
      <c r="S4091">
        <v>-3.1916660000000001</v>
      </c>
      <c r="T4091">
        <v>-0.94716699999999998</v>
      </c>
      <c r="U4091">
        <v>0.106308</v>
      </c>
      <c r="V4091">
        <v>6.0503099999999997E-3</v>
      </c>
      <c r="W4091">
        <v>0.16650519999999999</v>
      </c>
      <c r="X4091">
        <v>0.98602199999999995</v>
      </c>
      <c r="Y4091">
        <v>4.8022790000000003E-2</v>
      </c>
      <c r="Z4091">
        <v>1.214112E-2</v>
      </c>
      <c r="AA4091">
        <v>0.9987724</v>
      </c>
      <c r="AB4091">
        <v>25</v>
      </c>
      <c r="AC4091">
        <v>-0.49410000000000298</v>
      </c>
      <c r="AD4091">
        <v>-0.21115449999999999</v>
      </c>
      <c r="AE4091">
        <v>2.7900000000016599E-2</v>
      </c>
      <c r="AF4091">
        <v>3.0952791250416199E-2</v>
      </c>
      <c r="AG4091">
        <v>-0.21115449999999999</v>
      </c>
      <c r="AH4091">
        <v>0.41752305186866101</v>
      </c>
      <c r="AI4091">
        <v>116.76397167176199</v>
      </c>
      <c r="AJ4091">
        <v>85.760171708533804</v>
      </c>
      <c r="AK4091">
        <v>0.468902758573846</v>
      </c>
      <c r="AL4091">
        <v>80.415314099660804</v>
      </c>
      <c r="AM4091">
        <v>89.6484329182057</v>
      </c>
      <c r="AN4091">
        <v>0.999999986181068</v>
      </c>
    </row>
    <row r="4092" spans="1:40" x14ac:dyDescent="0.25">
      <c r="A4092" t="str">
        <f>"20190303162901860"</f>
        <v>20190303162901860</v>
      </c>
      <c r="B4092" t="str">
        <f>"1551601741845832"</f>
        <v>1551601741845832</v>
      </c>
      <c r="C4092" t="s">
        <v>40</v>
      </c>
      <c r="D4092">
        <v>4.9478119999999999</v>
      </c>
      <c r="E4092">
        <v>0.52031819999999995</v>
      </c>
      <c r="F4092" t="s">
        <v>44</v>
      </c>
      <c r="G4092">
        <v>-226.51750000000001</v>
      </c>
      <c r="H4092">
        <v>0.90629890000000002</v>
      </c>
      <c r="I4092">
        <v>141.63040000000001</v>
      </c>
      <c r="J4092">
        <v>-226.04900000000001</v>
      </c>
      <c r="K4092">
        <v>1.1207560000000001</v>
      </c>
      <c r="L4092">
        <v>141.60210000000001</v>
      </c>
      <c r="M4092">
        <v>-0.99981310000000001</v>
      </c>
      <c r="N4092">
        <v>-7.6814609999999997E-3</v>
      </c>
      <c r="O4092">
        <v>-1.7749000000000001E-2</v>
      </c>
      <c r="P4092">
        <v>-0.98735119999999998</v>
      </c>
      <c r="Q4092">
        <v>0.15803629999999999</v>
      </c>
      <c r="R4092">
        <v>-1.275275E-2</v>
      </c>
      <c r="S4092">
        <v>-3.19252</v>
      </c>
      <c r="T4092">
        <v>-0.95009270000000001</v>
      </c>
      <c r="U4092">
        <v>0.1050262</v>
      </c>
      <c r="V4092">
        <v>4.7396510000000001E-3</v>
      </c>
      <c r="W4092">
        <v>0.1656174</v>
      </c>
      <c r="X4092">
        <v>0.98617869999999996</v>
      </c>
      <c r="Y4092">
        <v>4.7761190000000002E-2</v>
      </c>
      <c r="Z4092">
        <v>1.2177240000000001E-2</v>
      </c>
      <c r="AA4092">
        <v>0.99878449999999996</v>
      </c>
      <c r="AB4092">
        <v>25</v>
      </c>
      <c r="AC4092">
        <v>-0.46850000000000502</v>
      </c>
      <c r="AD4092">
        <v>-0.21445710000000001</v>
      </c>
      <c r="AE4092">
        <v>2.8300000000001501E-2</v>
      </c>
      <c r="AF4092">
        <v>3.02878304152711E-2</v>
      </c>
      <c r="AG4092">
        <v>-0.21445710000000001</v>
      </c>
      <c r="AH4092">
        <v>0.387105643518105</v>
      </c>
      <c r="AI4092">
        <v>118.912462687474</v>
      </c>
      <c r="AJ4092">
        <v>85.526191203858104</v>
      </c>
      <c r="AK4092">
        <v>0.443576351550936</v>
      </c>
      <c r="AL4092">
        <v>80.466897717684404</v>
      </c>
      <c r="AM4092">
        <v>89.724634178558702</v>
      </c>
      <c r="AN4092">
        <v>1.0000000079040201</v>
      </c>
    </row>
    <row r="4093" spans="1:40" x14ac:dyDescent="0.25">
      <c r="A4093" t="str">
        <f>"20190303162901883"</f>
        <v>20190303162901883</v>
      </c>
      <c r="B4093" t="str">
        <f>"1551601741876088"</f>
        <v>1551601741876088</v>
      </c>
      <c r="C4093" t="s">
        <v>40</v>
      </c>
      <c r="D4093">
        <v>4.9476370000000003</v>
      </c>
      <c r="E4093">
        <v>0.51975400000000005</v>
      </c>
      <c r="F4093" t="s">
        <v>44</v>
      </c>
      <c r="G4093">
        <v>-226.74950000000001</v>
      </c>
      <c r="H4093">
        <v>0.91261029999999999</v>
      </c>
      <c r="I4093">
        <v>141.62430000000001</v>
      </c>
      <c r="J4093">
        <v>-226.31399999999999</v>
      </c>
      <c r="K4093">
        <v>1.1207149999999999</v>
      </c>
      <c r="L4093">
        <v>141.59719999999999</v>
      </c>
      <c r="M4093">
        <v>-0.99981229999999999</v>
      </c>
      <c r="N4093">
        <v>-7.3685740000000001E-3</v>
      </c>
      <c r="O4093">
        <v>-1.791425E-2</v>
      </c>
      <c r="P4093">
        <v>-0.98745720000000003</v>
      </c>
      <c r="Q4093">
        <v>0.15728809999999999</v>
      </c>
      <c r="R4093">
        <v>-1.374883E-2</v>
      </c>
      <c r="S4093">
        <v>-3.1915279999999999</v>
      </c>
      <c r="T4093">
        <v>-0.94834529999999995</v>
      </c>
      <c r="U4093">
        <v>0.10098269999999999</v>
      </c>
      <c r="V4093">
        <v>3.907761E-3</v>
      </c>
      <c r="W4093">
        <v>0.1645616</v>
      </c>
      <c r="X4093">
        <v>0.98635910000000004</v>
      </c>
      <c r="Y4093">
        <v>4.6720659999999997E-2</v>
      </c>
      <c r="Z4093">
        <v>1.204912E-2</v>
      </c>
      <c r="AA4093">
        <v>0.99883529999999998</v>
      </c>
      <c r="AB4093">
        <v>26</v>
      </c>
      <c r="AC4093">
        <v>-0.43549999999999001</v>
      </c>
      <c r="AD4093">
        <v>-0.208104699999999</v>
      </c>
      <c r="AE4093">
        <v>2.7100000000018502E-2</v>
      </c>
      <c r="AF4093">
        <v>2.8430629066239398E-2</v>
      </c>
      <c r="AG4093">
        <v>-0.208104699999999</v>
      </c>
      <c r="AH4093">
        <v>0.35434464854655001</v>
      </c>
      <c r="AI4093">
        <v>120.345273996654</v>
      </c>
      <c r="AJ4093">
        <v>85.412734457795096</v>
      </c>
      <c r="AK4093">
        <v>0.41191746355886599</v>
      </c>
      <c r="AL4093">
        <v>80.528232434757399</v>
      </c>
      <c r="AM4093">
        <v>89.773006564009194</v>
      </c>
      <c r="AN4093">
        <v>1.0000000324717</v>
      </c>
    </row>
    <row r="4094" spans="1:40" x14ac:dyDescent="0.25">
      <c r="A4094" t="str">
        <f>"20190303162901908"</f>
        <v>20190303162901908</v>
      </c>
      <c r="B4094" t="str">
        <f>"1551601741895608"</f>
        <v>1551601741895608</v>
      </c>
      <c r="C4094" t="s">
        <v>40</v>
      </c>
      <c r="D4094">
        <v>4.9922839999999997</v>
      </c>
      <c r="E4094">
        <v>0.52006470000000005</v>
      </c>
      <c r="F4094" t="s">
        <v>44</v>
      </c>
      <c r="G4094">
        <v>-227.18889999999999</v>
      </c>
      <c r="H4094">
        <v>0.86062169999999905</v>
      </c>
      <c r="I4094">
        <v>141.6225</v>
      </c>
      <c r="J4094">
        <v>-226.59880000000001</v>
      </c>
      <c r="K4094">
        <v>1.1206769999999999</v>
      </c>
      <c r="L4094">
        <v>141.59190000000001</v>
      </c>
      <c r="M4094">
        <v>-0.99981149999999996</v>
      </c>
      <c r="N4094">
        <v>-7.06589E-3</v>
      </c>
      <c r="O4094">
        <v>-1.8091860000000001E-2</v>
      </c>
      <c r="P4094">
        <v>-0.98767609999999995</v>
      </c>
      <c r="Q4094">
        <v>0.15588189999999999</v>
      </c>
      <c r="R4094">
        <v>-1.4043760000000001E-2</v>
      </c>
      <c r="S4094">
        <v>-3.1904599999999999</v>
      </c>
      <c r="T4094">
        <v>-0.94848809999999995</v>
      </c>
      <c r="U4094">
        <v>9.1232300000000002E-2</v>
      </c>
      <c r="V4094">
        <v>3.7916830000000001E-3</v>
      </c>
      <c r="W4094">
        <v>0.16285829999999901</v>
      </c>
      <c r="X4094">
        <v>0.98664220000000002</v>
      </c>
      <c r="Y4094">
        <v>4.3970820000000001E-2</v>
      </c>
      <c r="Z4094">
        <v>1.1693759999999999E-2</v>
      </c>
      <c r="AA4094">
        <v>0.99896439999999997</v>
      </c>
      <c r="AB4094">
        <v>26</v>
      </c>
      <c r="AC4094">
        <v>-0.59009999999997798</v>
      </c>
      <c r="AD4094">
        <v>-0.26005529999999999</v>
      </c>
      <c r="AE4094">
        <v>3.0599999999992598E-2</v>
      </c>
      <c r="AF4094">
        <v>3.4574436537095202E-2</v>
      </c>
      <c r="AG4094">
        <v>-0.26005529999999999</v>
      </c>
      <c r="AH4094">
        <v>0.49380350380788701</v>
      </c>
      <c r="AI4094">
        <v>117.71523891616</v>
      </c>
      <c r="AJ4094">
        <v>85.994881265654897</v>
      </c>
      <c r="AK4094">
        <v>0.55916549526315895</v>
      </c>
      <c r="AL4094">
        <v>80.627158863796396</v>
      </c>
      <c r="AM4094">
        <v>89.779812414604095</v>
      </c>
      <c r="AN4094">
        <v>1.00000001677985</v>
      </c>
    </row>
    <row r="4095" spans="1:40" x14ac:dyDescent="0.25">
      <c r="A4095" t="str">
        <f>"20190303162901930"</f>
        <v>20190303162901930</v>
      </c>
      <c r="B4095" t="str">
        <f>"1551601741925864"</f>
        <v>1551601741925864</v>
      </c>
      <c r="C4095" t="s">
        <v>40</v>
      </c>
      <c r="D4095">
        <v>4.924601</v>
      </c>
      <c r="E4095">
        <v>0.5222213</v>
      </c>
      <c r="F4095" t="s">
        <v>44</v>
      </c>
      <c r="G4095">
        <v>-227.4265</v>
      </c>
      <c r="H4095">
        <v>0.87388310000000002</v>
      </c>
      <c r="I4095">
        <v>141.6157</v>
      </c>
      <c r="J4095">
        <v>-226.85409999999999</v>
      </c>
      <c r="K4095">
        <v>1.1206499999999999</v>
      </c>
      <c r="L4095">
        <v>141.58709999999999</v>
      </c>
      <c r="M4095">
        <v>-0.99981019999999998</v>
      </c>
      <c r="N4095">
        <v>-6.8229179999999999E-3</v>
      </c>
      <c r="O4095">
        <v>-1.8249930000000001E-2</v>
      </c>
      <c r="P4095">
        <v>-0.98797270000000004</v>
      </c>
      <c r="Q4095">
        <v>0.15401889999999999</v>
      </c>
      <c r="R4095">
        <v>-1.372372E-2</v>
      </c>
      <c r="S4095">
        <v>-3.1887819999999998</v>
      </c>
      <c r="T4095">
        <v>-0.95071839999999996</v>
      </c>
      <c r="U4095">
        <v>9.1415410000000002E-2</v>
      </c>
      <c r="V4095">
        <v>4.2728829999999999E-3</v>
      </c>
      <c r="W4095">
        <v>0.16075780000000001</v>
      </c>
      <c r="X4095">
        <v>0.98698470000000005</v>
      </c>
      <c r="Y4095">
        <v>4.4170790000000001E-2</v>
      </c>
      <c r="Z4095">
        <v>1.179972E-2</v>
      </c>
      <c r="AA4095">
        <v>0.99895429999999996</v>
      </c>
      <c r="AB4095">
        <v>26</v>
      </c>
      <c r="AC4095">
        <v>-0.57240000000001601</v>
      </c>
      <c r="AD4095">
        <v>-0.24676689999999901</v>
      </c>
      <c r="AE4095">
        <v>2.8600000000011502E-2</v>
      </c>
      <c r="AF4095">
        <v>3.2935712053262602E-2</v>
      </c>
      <c r="AG4095">
        <v>-0.24676689999999901</v>
      </c>
      <c r="AH4095">
        <v>0.48235736452425199</v>
      </c>
      <c r="AI4095">
        <v>117.039621158938</v>
      </c>
      <c r="AJ4095">
        <v>86.093865397919501</v>
      </c>
      <c r="AK4095">
        <v>0.54281423265685202</v>
      </c>
      <c r="AL4095">
        <v>80.749116219407796</v>
      </c>
      <c r="AM4095">
        <v>89.751954986950295</v>
      </c>
      <c r="AN4095">
        <v>1.00000006291202</v>
      </c>
    </row>
    <row r="4096" spans="1:40" x14ac:dyDescent="0.25">
      <c r="A4096" t="str">
        <f>"20190303162901952"</f>
        <v>20190303162901952</v>
      </c>
      <c r="B4096" t="str">
        <f>"1551601741945712"</f>
        <v>1551601741945712</v>
      </c>
      <c r="C4096" t="s">
        <v>40</v>
      </c>
      <c r="D4096">
        <v>4.9279270000000004</v>
      </c>
      <c r="E4096">
        <v>0.52322389999999996</v>
      </c>
      <c r="F4096" t="s">
        <v>44</v>
      </c>
      <c r="G4096">
        <v>-227.66059999999999</v>
      </c>
      <c r="H4096">
        <v>0.87584669999999898</v>
      </c>
      <c r="I4096">
        <v>141.61500000000001</v>
      </c>
      <c r="J4096">
        <v>-227.1096</v>
      </c>
      <c r="K4096">
        <v>1.120625</v>
      </c>
      <c r="L4096">
        <v>141.5822</v>
      </c>
      <c r="M4096">
        <v>-0.99980869999999999</v>
      </c>
      <c r="N4096">
        <v>-6.6075839999999997E-3</v>
      </c>
      <c r="O4096">
        <v>-1.8407750000000001E-2</v>
      </c>
      <c r="P4096">
        <v>-0.98805940000000003</v>
      </c>
      <c r="Q4096">
        <v>0.1535347</v>
      </c>
      <c r="R4096">
        <v>-1.2871219999999999E-2</v>
      </c>
      <c r="S4096">
        <v>-3.1889189999999998</v>
      </c>
      <c r="T4096">
        <v>-0.96800759999999997</v>
      </c>
      <c r="U4096">
        <v>0.1100006</v>
      </c>
      <c r="V4096">
        <v>5.2819590000000001E-3</v>
      </c>
      <c r="W4096">
        <v>0.1600616</v>
      </c>
      <c r="X4096">
        <v>0.98709290000000005</v>
      </c>
      <c r="Y4096">
        <v>4.9780909999999998E-2</v>
      </c>
      <c r="Z4096">
        <v>1.2899600000000001E-2</v>
      </c>
      <c r="AA4096">
        <v>0.99867680000000003</v>
      </c>
      <c r="AB4096">
        <v>26</v>
      </c>
      <c r="AC4096">
        <v>-0.55099999999998694</v>
      </c>
      <c r="AD4096">
        <v>-0.2447783</v>
      </c>
      <c r="AE4096">
        <v>3.2800000000008801E-2</v>
      </c>
      <c r="AF4096">
        <v>3.5881111563366597E-2</v>
      </c>
      <c r="AG4096">
        <v>-0.2447783</v>
      </c>
      <c r="AH4096">
        <v>0.45986734578560801</v>
      </c>
      <c r="AI4096">
        <v>117.95343337238199</v>
      </c>
      <c r="AJ4096">
        <v>85.538540519528794</v>
      </c>
      <c r="AK4096">
        <v>0.52218947331195098</v>
      </c>
      <c r="AL4096">
        <v>80.789528315356307</v>
      </c>
      <c r="AM4096">
        <v>89.693411765170296</v>
      </c>
      <c r="AN4096">
        <v>1.00000000405792</v>
      </c>
    </row>
    <row r="4097" spans="1:40" x14ac:dyDescent="0.25">
      <c r="A4097" t="str">
        <f>"20190303162901973"</f>
        <v>20190303162901973</v>
      </c>
      <c r="B4097" t="str">
        <f>"1551601741966210"</f>
        <v>1551601741966210</v>
      </c>
      <c r="C4097" t="s">
        <v>40</v>
      </c>
      <c r="D4097">
        <v>4.9485159999999997</v>
      </c>
      <c r="E4097">
        <v>0.52408080000000001</v>
      </c>
      <c r="F4097" t="s">
        <v>44</v>
      </c>
      <c r="G4097">
        <v>-227.89599999999999</v>
      </c>
      <c r="H4097">
        <v>0.87861590000000001</v>
      </c>
      <c r="I4097">
        <v>141.61199999999999</v>
      </c>
      <c r="J4097">
        <v>-227.35740000000001</v>
      </c>
      <c r="K4097">
        <v>1.120614</v>
      </c>
      <c r="L4097">
        <v>141.57749999999999</v>
      </c>
      <c r="M4097">
        <v>-0.99980709999999995</v>
      </c>
      <c r="N4097">
        <v>-6.4232619999999999E-3</v>
      </c>
      <c r="O4097">
        <v>-1.8560460000000001E-2</v>
      </c>
      <c r="P4097">
        <v>-0.98797670000000004</v>
      </c>
      <c r="Q4097">
        <v>0.1541767</v>
      </c>
      <c r="R4097">
        <v>-1.147166E-2</v>
      </c>
      <c r="S4097">
        <v>-3.190353</v>
      </c>
      <c r="T4097">
        <v>-0.98172749999999998</v>
      </c>
      <c r="U4097">
        <v>0.1203308</v>
      </c>
      <c r="V4097">
        <v>6.8300670000000004E-3</v>
      </c>
      <c r="W4097">
        <v>0.16052149999999901</v>
      </c>
      <c r="X4097">
        <v>0.98700869999999996</v>
      </c>
      <c r="Y4097">
        <v>5.2910230000000003E-2</v>
      </c>
      <c r="Z4097">
        <v>1.359194E-2</v>
      </c>
      <c r="AA4097">
        <v>0.99850680000000003</v>
      </c>
      <c r="AB4097">
        <v>26</v>
      </c>
      <c r="AC4097">
        <v>-0.53859999999997399</v>
      </c>
      <c r="AD4097">
        <v>-0.24199809999999999</v>
      </c>
      <c r="AE4097">
        <v>3.4500000000008399E-2</v>
      </c>
      <c r="AF4097">
        <v>3.7043232974391702E-2</v>
      </c>
      <c r="AG4097">
        <v>-0.24199809999999999</v>
      </c>
      <c r="AH4097">
        <v>0.44782900941512099</v>
      </c>
      <c r="AI4097">
        <v>118.304299677171</v>
      </c>
      <c r="AJ4097">
        <v>85.271409419097296</v>
      </c>
      <c r="AK4097">
        <v>0.51037839216265202</v>
      </c>
      <c r="AL4097">
        <v>80.762832654373099</v>
      </c>
      <c r="AM4097">
        <v>89.603521461759996</v>
      </c>
      <c r="AN4097">
        <v>0.99999998782658195</v>
      </c>
    </row>
    <row r="4098" spans="1:40" x14ac:dyDescent="0.25">
      <c r="A4098" t="str">
        <f>"20190303162901996"</f>
        <v>20190303162901996</v>
      </c>
      <c r="B4098" t="str">
        <f>"1551601741985729"</f>
        <v>1551601741985729</v>
      </c>
      <c r="C4098" t="s">
        <v>40</v>
      </c>
      <c r="D4098">
        <v>4.9417210000000003</v>
      </c>
      <c r="E4098">
        <v>0.52470839999999996</v>
      </c>
      <c r="F4098" t="s">
        <v>44</v>
      </c>
      <c r="G4098">
        <v>-228.13229999999999</v>
      </c>
      <c r="H4098">
        <v>0.88083909999999999</v>
      </c>
      <c r="I4098">
        <v>141.6096</v>
      </c>
      <c r="J4098">
        <v>-227.63149999999999</v>
      </c>
      <c r="K4098">
        <v>1.1206050000000001</v>
      </c>
      <c r="L4098">
        <v>141.57230000000001</v>
      </c>
      <c r="M4098">
        <v>-0.99980500000000005</v>
      </c>
      <c r="N4098">
        <v>-6.2450040000000002E-3</v>
      </c>
      <c r="O4098">
        <v>-1.8729409999999998E-2</v>
      </c>
      <c r="P4098">
        <v>-0.98792440000000004</v>
      </c>
      <c r="Q4098">
        <v>0.15456829999999999</v>
      </c>
      <c r="R4098">
        <v>-1.068502E-2</v>
      </c>
      <c r="S4098">
        <v>-3.1921840000000001</v>
      </c>
      <c r="T4098">
        <v>-0.98785599999999996</v>
      </c>
      <c r="U4098">
        <v>0.13159179999999901</v>
      </c>
      <c r="V4098">
        <v>7.78202199999999E-3</v>
      </c>
      <c r="W4098">
        <v>0.16073699999999999</v>
      </c>
      <c r="X4098">
        <v>0.98696660000000003</v>
      </c>
      <c r="Y4098">
        <v>5.6365690000000003E-2</v>
      </c>
      <c r="Z4098">
        <v>1.4246190000000001E-2</v>
      </c>
      <c r="AA4098">
        <v>0.99830850000000004</v>
      </c>
      <c r="AB4098">
        <v>26</v>
      </c>
      <c r="AC4098">
        <v>-0.50079999999999802</v>
      </c>
      <c r="AD4098">
        <v>-0.239765899999999</v>
      </c>
      <c r="AE4098">
        <v>3.72999999999876E-2</v>
      </c>
      <c r="AF4098">
        <v>3.8009078809562502E-2</v>
      </c>
      <c r="AG4098">
        <v>-0.239765899999999</v>
      </c>
      <c r="AH4098">
        <v>0.40719301612265801</v>
      </c>
      <c r="AI4098">
        <v>120.382138487077</v>
      </c>
      <c r="AJ4098">
        <v>84.667227721349605</v>
      </c>
      <c r="AK4098">
        <v>0.47406595453990202</v>
      </c>
      <c r="AL4098">
        <v>80.750323145320905</v>
      </c>
      <c r="AM4098">
        <v>89.548244310412201</v>
      </c>
      <c r="AN4098">
        <v>1.0000000062754799</v>
      </c>
    </row>
    <row r="4099" spans="1:40" x14ac:dyDescent="0.25">
      <c r="A4099" t="str">
        <f>"20190303162902018"</f>
        <v>20190303162902018</v>
      </c>
      <c r="B4099" t="str">
        <f>"1551601742006225"</f>
        <v>1551601742006225</v>
      </c>
      <c r="C4099" t="s">
        <v>40</v>
      </c>
      <c r="D4099">
        <v>4.9862659999999996</v>
      </c>
      <c r="E4099">
        <v>0.52525010000000005</v>
      </c>
      <c r="F4099" t="s">
        <v>44</v>
      </c>
      <c r="G4099">
        <v>-228.37270000000001</v>
      </c>
      <c r="H4099">
        <v>0.89036109999999902</v>
      </c>
      <c r="I4099">
        <v>141.60470000000001</v>
      </c>
      <c r="J4099">
        <v>-227.89570000000001</v>
      </c>
      <c r="K4099">
        <v>1.1206020000000001</v>
      </c>
      <c r="L4099">
        <v>141.56710000000001</v>
      </c>
      <c r="M4099">
        <v>-0.99980309999999994</v>
      </c>
      <c r="N4099">
        <v>-6.0961870000000003E-3</v>
      </c>
      <c r="O4099">
        <v>-1.8891910000000001E-2</v>
      </c>
      <c r="P4099">
        <v>-0.98782890000000001</v>
      </c>
      <c r="Q4099">
        <v>0.1551997</v>
      </c>
      <c r="R4099">
        <v>-1.036569E-2</v>
      </c>
      <c r="S4099">
        <v>-3.1934049999999998</v>
      </c>
      <c r="T4099">
        <v>-0.99199649999999995</v>
      </c>
      <c r="U4099">
        <v>0.1396027</v>
      </c>
      <c r="V4099">
        <v>8.2593279999999998E-3</v>
      </c>
      <c r="W4099">
        <v>0.1612208</v>
      </c>
      <c r="X4099">
        <v>0.98688379999999998</v>
      </c>
      <c r="Y4099">
        <v>5.8859349999999998E-2</v>
      </c>
      <c r="Z4099">
        <v>1.4729920000000001E-2</v>
      </c>
      <c r="AA4099">
        <v>0.99815759999999998</v>
      </c>
      <c r="AB4099">
        <v>26</v>
      </c>
      <c r="AC4099">
        <v>-0.47700000000000298</v>
      </c>
      <c r="AD4099">
        <v>-0.2302409</v>
      </c>
      <c r="AE4099">
        <v>3.7599999999997601E-2</v>
      </c>
      <c r="AF4099">
        <v>3.7842582683762199E-2</v>
      </c>
      <c r="AG4099">
        <v>-0.2302409</v>
      </c>
      <c r="AH4099">
        <v>0.386672007194163</v>
      </c>
      <c r="AI4099">
        <v>120.651453597047</v>
      </c>
      <c r="AJ4099">
        <v>84.410411612808602</v>
      </c>
      <c r="AK4099">
        <v>0.451617287362375</v>
      </c>
      <c r="AL4099">
        <v>80.722237075005694</v>
      </c>
      <c r="AM4099">
        <v>89.520497156833898</v>
      </c>
      <c r="AN4099">
        <v>0.99999999877704504</v>
      </c>
    </row>
    <row r="4100" spans="1:40" x14ac:dyDescent="0.25">
      <c r="A4100" t="str">
        <f>"20190303162902040"</f>
        <v>20190303162902040</v>
      </c>
      <c r="B4100" t="str">
        <f>"1551601742035505"</f>
        <v>1551601742035505</v>
      </c>
      <c r="C4100" t="s">
        <v>40</v>
      </c>
      <c r="D4100">
        <v>5.013941</v>
      </c>
      <c r="E4100">
        <v>0.52574619999999905</v>
      </c>
      <c r="F4100" t="s">
        <v>44</v>
      </c>
      <c r="G4100">
        <v>-228.6131</v>
      </c>
      <c r="H4100">
        <v>0.89738510000000005</v>
      </c>
      <c r="I4100">
        <v>141.6001</v>
      </c>
      <c r="J4100">
        <v>-228.1525</v>
      </c>
      <c r="K4100">
        <v>1.120601</v>
      </c>
      <c r="L4100">
        <v>141.56209999999999</v>
      </c>
      <c r="M4100">
        <v>-0.99980089999999999</v>
      </c>
      <c r="N4100">
        <v>-5.9713469999999897E-3</v>
      </c>
      <c r="O4100">
        <v>-1.9049119999999999E-2</v>
      </c>
      <c r="P4100">
        <v>-0.98760530000000002</v>
      </c>
      <c r="Q4100">
        <v>0.15662899999999999</v>
      </c>
      <c r="R4100">
        <v>-1.016886E-2</v>
      </c>
      <c r="S4100">
        <v>-3.1946560000000002</v>
      </c>
      <c r="T4100">
        <v>-0.99399029999999999</v>
      </c>
      <c r="U4100">
        <v>0.1463013</v>
      </c>
      <c r="V4100">
        <v>8.6064980000000006E-3</v>
      </c>
      <c r="W4100">
        <v>0.1625257</v>
      </c>
      <c r="X4100">
        <v>0.98666679999999995</v>
      </c>
      <c r="Y4100">
        <v>6.0968370000000001E-2</v>
      </c>
      <c r="Z4100">
        <v>1.5124189999999999E-2</v>
      </c>
      <c r="AA4100">
        <v>0.9980251</v>
      </c>
      <c r="AB4100">
        <v>26</v>
      </c>
      <c r="AC4100">
        <v>-0.46059999999999901</v>
      </c>
      <c r="AD4100">
        <v>-0.223215899999999</v>
      </c>
      <c r="AE4100">
        <v>3.80000000000109E-2</v>
      </c>
      <c r="AF4100">
        <v>3.7921407881616298E-2</v>
      </c>
      <c r="AG4100">
        <v>-0.223215899999999</v>
      </c>
      <c r="AH4100">
        <v>0.37282431151699202</v>
      </c>
      <c r="AI4100">
        <v>120.779838288611</v>
      </c>
      <c r="AJ4100">
        <v>84.192197527966599</v>
      </c>
      <c r="AK4100">
        <v>0.436189567099734</v>
      </c>
      <c r="AL4100">
        <v>80.646472834490297</v>
      </c>
      <c r="AM4100">
        <v>89.500233000903407</v>
      </c>
      <c r="AN4100">
        <v>1.00000002459527</v>
      </c>
    </row>
    <row r="4101" spans="1:40" x14ac:dyDescent="0.25">
      <c r="A4101" t="str">
        <f>"20190303162902062"</f>
        <v>20190303162902062</v>
      </c>
      <c r="B4101" t="str">
        <f>"1551601742056001"</f>
        <v>1551601742056001</v>
      </c>
      <c r="C4101" t="s">
        <v>40</v>
      </c>
      <c r="D4101">
        <v>4.9916359999999997</v>
      </c>
      <c r="E4101">
        <v>0.52601640000000005</v>
      </c>
      <c r="F4101" t="s">
        <v>44</v>
      </c>
      <c r="G4101">
        <v>-228.8537</v>
      </c>
      <c r="H4101">
        <v>0.90228680000000006</v>
      </c>
      <c r="I4101">
        <v>141.5949</v>
      </c>
      <c r="J4101">
        <v>-228.41909999999999</v>
      </c>
      <c r="K4101">
        <v>1.120598</v>
      </c>
      <c r="L4101">
        <v>141.55690000000001</v>
      </c>
      <c r="M4101">
        <v>-0.99979839999999998</v>
      </c>
      <c r="N4101">
        <v>-5.8595160000000004E-3</v>
      </c>
      <c r="O4101">
        <v>-1.9210789999999998E-2</v>
      </c>
      <c r="P4101">
        <v>-0.98737350000000002</v>
      </c>
      <c r="Q4101">
        <v>0.15814400000000001</v>
      </c>
      <c r="R4101">
        <v>-9.1771449999999994E-3</v>
      </c>
      <c r="S4101">
        <v>-3.1970519999999998</v>
      </c>
      <c r="T4101">
        <v>-0.9953554</v>
      </c>
      <c r="U4101">
        <v>0.14936830000000001</v>
      </c>
      <c r="V4101">
        <v>9.752808E-3</v>
      </c>
      <c r="W4101">
        <v>0.16392899999999999</v>
      </c>
      <c r="X4101">
        <v>0.98642390000000002</v>
      </c>
      <c r="Y4101">
        <v>6.1990299999999998E-2</v>
      </c>
      <c r="Z4101">
        <v>1.5338070000000001E-2</v>
      </c>
      <c r="AA4101">
        <v>0.99795889999999998</v>
      </c>
      <c r="AB4101">
        <v>27</v>
      </c>
      <c r="AC4101">
        <v>-0.43460000000001697</v>
      </c>
      <c r="AD4101">
        <v>-0.21831120000000001</v>
      </c>
      <c r="AE4101">
        <v>3.7999999999982402E-2</v>
      </c>
      <c r="AF4101">
        <v>3.7061327723552397E-2</v>
      </c>
      <c r="AG4101">
        <v>-0.21831120000000001</v>
      </c>
      <c r="AH4101">
        <v>0.34691590243007397</v>
      </c>
      <c r="AI4101">
        <v>122.035486070647</v>
      </c>
      <c r="AJ4101">
        <v>83.9021696805262</v>
      </c>
      <c r="AK4101">
        <v>0.41156283289061102</v>
      </c>
      <c r="AL4101">
        <v>80.564976177573698</v>
      </c>
      <c r="AM4101">
        <v>89.433533058325096</v>
      </c>
      <c r="AN4101">
        <v>0.99999997239804705</v>
      </c>
    </row>
    <row r="4102" spans="1:40" x14ac:dyDescent="0.25">
      <c r="A4102" t="str">
        <f>"20190303162902085"</f>
        <v>20190303162902085</v>
      </c>
      <c r="B4102" t="str">
        <f>"1551601742075521"</f>
        <v>1551601742075521</v>
      </c>
      <c r="C4102" t="s">
        <v>40</v>
      </c>
      <c r="D4102">
        <v>4.9998239999999896</v>
      </c>
      <c r="E4102">
        <v>0.52627380000000001</v>
      </c>
      <c r="F4102" t="s">
        <v>44</v>
      </c>
      <c r="G4102">
        <v>-229.0966</v>
      </c>
      <c r="H4102">
        <v>0.90993400000000002</v>
      </c>
      <c r="I4102">
        <v>141.58930000000001</v>
      </c>
      <c r="J4102">
        <v>-228.69</v>
      </c>
      <c r="K4102">
        <v>1.1205860000000001</v>
      </c>
      <c r="L4102">
        <v>141.5515</v>
      </c>
      <c r="M4102">
        <v>-0.99979589999999996</v>
      </c>
      <c r="N4102">
        <v>-5.763425E-3</v>
      </c>
      <c r="O4102">
        <v>-1.9369279999999999E-2</v>
      </c>
      <c r="P4102">
        <v>-0.98727019999999999</v>
      </c>
      <c r="Q4102">
        <v>0.1588629</v>
      </c>
      <c r="R4102">
        <v>-7.75934E-3</v>
      </c>
      <c r="S4102">
        <v>-3.1990970000000001</v>
      </c>
      <c r="T4102">
        <v>-0.99479680000000004</v>
      </c>
      <c r="U4102">
        <v>0.1521759</v>
      </c>
      <c r="V4102">
        <v>1.132526E-2</v>
      </c>
      <c r="W4102">
        <v>0.1645527</v>
      </c>
      <c r="X4102">
        <v>0.98630329999999999</v>
      </c>
      <c r="Y4102">
        <v>6.2948950000000004E-2</v>
      </c>
      <c r="Z4102">
        <v>1.551465E-2</v>
      </c>
      <c r="AA4102">
        <v>0.99789609999999995</v>
      </c>
      <c r="AB4102">
        <v>27</v>
      </c>
      <c r="AC4102">
        <v>-0.40659999999999702</v>
      </c>
      <c r="AD4102">
        <v>-0.21065200000000001</v>
      </c>
      <c r="AE4102">
        <v>3.7800000000004198E-2</v>
      </c>
      <c r="AF4102">
        <v>3.6070036804153403E-2</v>
      </c>
      <c r="AG4102">
        <v>-0.21065200000000001</v>
      </c>
      <c r="AH4102">
        <v>0.32050292856189999</v>
      </c>
      <c r="AI4102">
        <v>123.149812646725</v>
      </c>
      <c r="AJ4102">
        <v>83.5788376014101</v>
      </c>
      <c r="AK4102">
        <v>0.38522388279519598</v>
      </c>
      <c r="AL4102">
        <v>80.528749353895094</v>
      </c>
      <c r="AM4102">
        <v>89.342128244164002</v>
      </c>
      <c r="AN4102">
        <v>1.0000000260911199</v>
      </c>
    </row>
    <row r="4103" spans="1:40" x14ac:dyDescent="0.25">
      <c r="A4103" t="str">
        <f>"20190303162902108"</f>
        <v>20190303162902108</v>
      </c>
      <c r="B4103" t="str">
        <f>"1551601742096017"</f>
        <v>1551601742096017</v>
      </c>
      <c r="C4103" t="s">
        <v>40</v>
      </c>
      <c r="D4103">
        <v>4.9890809999999997</v>
      </c>
      <c r="E4103">
        <v>0.52648879999999998</v>
      </c>
      <c r="F4103" t="s">
        <v>44</v>
      </c>
      <c r="G4103">
        <v>-229.5548</v>
      </c>
      <c r="H4103">
        <v>0.85137410000000002</v>
      </c>
      <c r="I4103">
        <v>141.5942</v>
      </c>
      <c r="J4103">
        <v>-228.96719999999999</v>
      </c>
      <c r="K4103">
        <v>1.120576</v>
      </c>
      <c r="L4103">
        <v>141.54599999999999</v>
      </c>
      <c r="M4103">
        <v>-0.9997935</v>
      </c>
      <c r="N4103">
        <v>-5.6806219999999998E-3</v>
      </c>
      <c r="O4103">
        <v>-1.951812E-2</v>
      </c>
      <c r="P4103">
        <v>-0.98716459999999995</v>
      </c>
      <c r="Q4103">
        <v>0.1595664</v>
      </c>
      <c r="R4103">
        <v>-6.7178910000000001E-3</v>
      </c>
      <c r="S4103">
        <v>-3.2002410000000001</v>
      </c>
      <c r="T4103">
        <v>-0.9961835</v>
      </c>
      <c r="U4103">
        <v>0.1575317</v>
      </c>
      <c r="V4103">
        <v>1.251383E-2</v>
      </c>
      <c r="W4103">
        <v>0.1651744</v>
      </c>
      <c r="X4103">
        <v>0.98618499999999998</v>
      </c>
      <c r="Y4103">
        <v>6.4650699999999894E-2</v>
      </c>
      <c r="Z4103">
        <v>1.5836240000000001E-2</v>
      </c>
      <c r="AA4103">
        <v>0.99778230000000001</v>
      </c>
      <c r="AB4103">
        <v>27</v>
      </c>
      <c r="AC4103">
        <v>-0.587600000000009</v>
      </c>
      <c r="AD4103">
        <v>-0.26920189999999999</v>
      </c>
      <c r="AE4103">
        <v>4.8200000000008403E-2</v>
      </c>
      <c r="AF4103">
        <v>4.9367365272965001E-2</v>
      </c>
      <c r="AG4103">
        <v>-0.26920189999999999</v>
      </c>
      <c r="AH4103">
        <v>0.48535646870686899</v>
      </c>
      <c r="AI4103">
        <v>118.8899480596</v>
      </c>
      <c r="AJ4103">
        <v>84.192212147226897</v>
      </c>
      <c r="AK4103">
        <v>0.55720525969628698</v>
      </c>
      <c r="AL4103">
        <v>80.492634290688002</v>
      </c>
      <c r="AM4103">
        <v>89.273005403180505</v>
      </c>
      <c r="AN4103">
        <v>1.00000001629081</v>
      </c>
    </row>
    <row r="4104" spans="1:40" x14ac:dyDescent="0.25">
      <c r="A4104" t="str">
        <f>"20190303162902131"</f>
        <v>20190303162902131</v>
      </c>
      <c r="B4104" t="str">
        <f>"1551601742126272"</f>
        <v>1551601742126272</v>
      </c>
      <c r="C4104" t="s">
        <v>40</v>
      </c>
      <c r="D4104">
        <v>5.0176669999999897</v>
      </c>
      <c r="E4104">
        <v>0.52675609999999995</v>
      </c>
      <c r="F4104" t="s">
        <v>44</v>
      </c>
      <c r="G4104">
        <v>-229.8013</v>
      </c>
      <c r="H4104">
        <v>0.86136970000000002</v>
      </c>
      <c r="I4104">
        <v>141.58850000000001</v>
      </c>
      <c r="J4104">
        <v>-229.2424</v>
      </c>
      <c r="K4104">
        <v>1.120552</v>
      </c>
      <c r="L4104">
        <v>141.54050000000001</v>
      </c>
      <c r="M4104">
        <v>-0.99979119999999999</v>
      </c>
      <c r="N4104">
        <v>-5.6112230000000003E-3</v>
      </c>
      <c r="O4104">
        <v>-1.9650529999999999E-2</v>
      </c>
      <c r="P4104">
        <v>-0.98699269999999995</v>
      </c>
      <c r="Q4104">
        <v>0.16068399999999999</v>
      </c>
      <c r="R4104">
        <v>-5.136692E-3</v>
      </c>
      <c r="S4104">
        <v>-3.2009120000000002</v>
      </c>
      <c r="T4104">
        <v>-0.99480500000000005</v>
      </c>
      <c r="U4104">
        <v>0.1625519</v>
      </c>
      <c r="V4104">
        <v>1.422578E-2</v>
      </c>
      <c r="W4104">
        <v>0.16622210000000001</v>
      </c>
      <c r="X4104">
        <v>0.98598569999999996</v>
      </c>
      <c r="Y4104">
        <v>6.6263100000000005E-2</v>
      </c>
      <c r="Z4104">
        <v>1.6099459999999999E-2</v>
      </c>
      <c r="AA4104">
        <v>0.99767229999999996</v>
      </c>
      <c r="AB4104">
        <v>27</v>
      </c>
      <c r="AC4104">
        <v>-0.55889999999999396</v>
      </c>
      <c r="AD4104">
        <v>-0.25918229999999998</v>
      </c>
      <c r="AE4104">
        <v>4.8000000000001798E-2</v>
      </c>
      <c r="AF4104">
        <v>4.8598852267562498E-2</v>
      </c>
      <c r="AG4104">
        <v>-0.25918229999999998</v>
      </c>
      <c r="AH4104">
        <v>0.459711127121462</v>
      </c>
      <c r="AI4104">
        <v>119.27802208148201</v>
      </c>
      <c r="AJ4104">
        <v>83.965329861161393</v>
      </c>
      <c r="AK4104">
        <v>0.52997323845105604</v>
      </c>
      <c r="AL4104">
        <v>80.431763710090493</v>
      </c>
      <c r="AM4104">
        <v>89.173395106969295</v>
      </c>
      <c r="AN4104">
        <v>0.99999997997475398</v>
      </c>
    </row>
    <row r="4105" spans="1:40" x14ac:dyDescent="0.25">
      <c r="A4105" t="str">
        <f>"20190303162902153"</f>
        <v>20190303162902153</v>
      </c>
      <c r="B4105" t="str">
        <f>"1551601742145793"</f>
        <v>1551601742145793</v>
      </c>
      <c r="C4105" t="s">
        <v>40</v>
      </c>
      <c r="D4105">
        <v>5.041995</v>
      </c>
      <c r="E4105">
        <v>0.52686690000000003</v>
      </c>
      <c r="F4105" t="s">
        <v>44</v>
      </c>
      <c r="G4105">
        <v>-230.04929999999999</v>
      </c>
      <c r="H4105">
        <v>0.87286509999999995</v>
      </c>
      <c r="I4105">
        <v>141.58340000000001</v>
      </c>
      <c r="J4105">
        <v>-229.51830000000001</v>
      </c>
      <c r="K4105">
        <v>1.1205290000000001</v>
      </c>
      <c r="L4105">
        <v>141.53489999999999</v>
      </c>
      <c r="M4105">
        <v>-0.9997895</v>
      </c>
      <c r="N4105">
        <v>-5.5529250000000002E-3</v>
      </c>
      <c r="O4105">
        <v>-1.975706E-2</v>
      </c>
      <c r="P4105">
        <v>-0.98681969999999997</v>
      </c>
      <c r="Q4105">
        <v>0.16178970000000001</v>
      </c>
      <c r="R4105">
        <v>-3.300196E-3</v>
      </c>
      <c r="S4105">
        <v>-3.2003330000000001</v>
      </c>
      <c r="T4105">
        <v>-0.98237850000000004</v>
      </c>
      <c r="U4105">
        <v>0.16929629999999901</v>
      </c>
      <c r="V4105">
        <v>1.6170170000000001E-2</v>
      </c>
      <c r="W4105">
        <v>0.16726869999999999</v>
      </c>
      <c r="X4105">
        <v>0.98577870000000001</v>
      </c>
      <c r="Y4105">
        <v>6.8465369999999998E-2</v>
      </c>
      <c r="Z4105">
        <v>1.6277E-2</v>
      </c>
      <c r="AA4105">
        <v>0.99752070000000004</v>
      </c>
      <c r="AB4105">
        <v>27</v>
      </c>
      <c r="AC4105">
        <v>-0.53099999999997705</v>
      </c>
      <c r="AD4105">
        <v>-0.24766389999999999</v>
      </c>
      <c r="AE4105">
        <v>4.8500000000018403E-2</v>
      </c>
      <c r="AF4105">
        <v>4.8515101348454097E-2</v>
      </c>
      <c r="AG4105">
        <v>-0.24766389999999999</v>
      </c>
      <c r="AH4105">
        <v>0.43589799613653202</v>
      </c>
      <c r="AI4105">
        <v>119.45266349644101</v>
      </c>
      <c r="AJ4105">
        <v>83.649162795546701</v>
      </c>
      <c r="AK4105">
        <v>0.50368460911358504</v>
      </c>
      <c r="AL4105">
        <v>80.370946393363894</v>
      </c>
      <c r="AM4105">
        <v>89.060235921871595</v>
      </c>
      <c r="AN4105">
        <v>0.99999996888560305</v>
      </c>
    </row>
    <row r="4106" spans="1:40" x14ac:dyDescent="0.25">
      <c r="A4106" t="str">
        <f>"20190303162902174"</f>
        <v>20190303162902174</v>
      </c>
      <c r="B4106" t="str">
        <f>"1551601742166290"</f>
        <v>1551601742166290</v>
      </c>
      <c r="C4106" t="s">
        <v>40</v>
      </c>
      <c r="D4106">
        <v>5.0477749999999997</v>
      </c>
      <c r="E4106">
        <v>0.52699219999999902</v>
      </c>
      <c r="F4106" t="s">
        <v>44</v>
      </c>
      <c r="G4106">
        <v>-230.298</v>
      </c>
      <c r="H4106">
        <v>0.88336419999999904</v>
      </c>
      <c r="I4106">
        <v>141.57759999999999</v>
      </c>
      <c r="J4106">
        <v>-229.77619999999999</v>
      </c>
      <c r="K4106">
        <v>1.120503</v>
      </c>
      <c r="L4106">
        <v>141.52969999999999</v>
      </c>
      <c r="M4106">
        <v>-0.99978829999999996</v>
      </c>
      <c r="N4106">
        <v>-5.5073450000000003E-3</v>
      </c>
      <c r="O4106">
        <v>-1.9826170000000001E-2</v>
      </c>
      <c r="P4106">
        <v>-0.98660329999999996</v>
      </c>
      <c r="Q4106">
        <v>0.16311719999999999</v>
      </c>
      <c r="R4106">
        <v>-2.6497059999999999E-3</v>
      </c>
      <c r="S4106">
        <v>-3.200256</v>
      </c>
      <c r="T4106">
        <v>-0.97346639999999995</v>
      </c>
      <c r="U4106">
        <v>0.17533869999999999</v>
      </c>
      <c r="V4106">
        <v>1.6892859999999999E-2</v>
      </c>
      <c r="W4106">
        <v>0.16854959999999999</v>
      </c>
      <c r="X4106">
        <v>0.98554839999999999</v>
      </c>
      <c r="Y4106">
        <v>7.0394109999999996E-2</v>
      </c>
      <c r="Z4106">
        <v>1.644758E-2</v>
      </c>
      <c r="AA4106">
        <v>0.99738369999999998</v>
      </c>
      <c r="AB4106">
        <v>27</v>
      </c>
      <c r="AC4106">
        <v>-0.52180000000001303</v>
      </c>
      <c r="AD4106">
        <v>-0.23713880000000001</v>
      </c>
      <c r="AE4106">
        <v>4.7899999999998499E-2</v>
      </c>
      <c r="AF4106">
        <v>4.8336253380286603E-2</v>
      </c>
      <c r="AG4106">
        <v>-0.23713880000000001</v>
      </c>
      <c r="AH4106">
        <v>0.43222369465407801</v>
      </c>
      <c r="AI4106">
        <v>118.601399159941</v>
      </c>
      <c r="AJ4106">
        <v>83.619035765782797</v>
      </c>
      <c r="AK4106">
        <v>0.49536706196183899</v>
      </c>
      <c r="AL4106">
        <v>80.296499488198606</v>
      </c>
      <c r="AM4106">
        <v>89.018013919711507</v>
      </c>
      <c r="AN4106">
        <v>0.99999999256084904</v>
      </c>
    </row>
    <row r="4107" spans="1:40" x14ac:dyDescent="0.25">
      <c r="A4107" t="str">
        <f>"20190303162902196"</f>
        <v>20190303162902196</v>
      </c>
      <c r="B4107" t="str">
        <f>"1551601742185809"</f>
        <v>1551601742185809</v>
      </c>
      <c r="C4107" t="s">
        <v>40</v>
      </c>
      <c r="D4107">
        <v>5.0417430000000003</v>
      </c>
      <c r="E4107">
        <v>0.52705519999999995</v>
      </c>
      <c r="F4107" t="s">
        <v>44</v>
      </c>
      <c r="G4107">
        <v>-230.54570000000001</v>
      </c>
      <c r="H4107">
        <v>0.88865260000000001</v>
      </c>
      <c r="I4107">
        <v>141.57310000000001</v>
      </c>
      <c r="J4107">
        <v>-230.05330000000001</v>
      </c>
      <c r="K4107">
        <v>1.1204750000000001</v>
      </c>
      <c r="L4107">
        <v>141.52420000000001</v>
      </c>
      <c r="M4107">
        <v>-0.99978789999999995</v>
      </c>
      <c r="N4107">
        <v>-5.4690919999999896E-3</v>
      </c>
      <c r="O4107">
        <v>-1.986212E-2</v>
      </c>
      <c r="P4107">
        <v>-0.98635240000000002</v>
      </c>
      <c r="Q4107">
        <v>0.16463739999999999</v>
      </c>
      <c r="R4107">
        <v>-1.9672660000000001E-3</v>
      </c>
      <c r="S4107">
        <v>-3.200653</v>
      </c>
      <c r="T4107">
        <v>-0.96436480000000002</v>
      </c>
      <c r="U4107">
        <v>0.17950439999999901</v>
      </c>
      <c r="V4107">
        <v>1.7616880000000001E-2</v>
      </c>
      <c r="W4107">
        <v>0.1700296</v>
      </c>
      <c r="X4107">
        <v>0.98528150000000003</v>
      </c>
      <c r="Y4107">
        <v>7.1731329999999996E-2</v>
      </c>
      <c r="Z4107">
        <v>1.6509039999999999E-2</v>
      </c>
      <c r="AA4107">
        <v>0.99728729999999999</v>
      </c>
      <c r="AB4107">
        <v>27</v>
      </c>
      <c r="AC4107">
        <v>-0.492400000000003</v>
      </c>
      <c r="AD4107">
        <v>-0.23182240000000001</v>
      </c>
      <c r="AE4107">
        <v>4.8900000000003198E-2</v>
      </c>
      <c r="AF4107">
        <v>4.8110816917258797E-2</v>
      </c>
      <c r="AG4107">
        <v>-0.23182240000000001</v>
      </c>
      <c r="AH4107">
        <v>0.40289960689471399</v>
      </c>
      <c r="AI4107">
        <v>119.740457150271</v>
      </c>
      <c r="AJ4107">
        <v>83.190472944373596</v>
      </c>
      <c r="AK4107">
        <v>0.46731613398439498</v>
      </c>
      <c r="AL4107">
        <v>80.210460197738897</v>
      </c>
      <c r="AM4107">
        <v>88.975657892057299</v>
      </c>
      <c r="AN4107">
        <v>1.00000002678967</v>
      </c>
    </row>
    <row r="4108" spans="1:40" x14ac:dyDescent="0.25">
      <c r="A4108" t="str">
        <f>"20190303162902218"</f>
        <v>20190303162902218</v>
      </c>
      <c r="B4108" t="str">
        <f>"1551601742205329"</f>
        <v>1551601742205329</v>
      </c>
      <c r="C4108" t="s">
        <v>40</v>
      </c>
      <c r="D4108">
        <v>5.042332</v>
      </c>
      <c r="E4108">
        <v>0.52709839999999997</v>
      </c>
      <c r="F4108" t="s">
        <v>44</v>
      </c>
      <c r="G4108">
        <v>-230.79640000000001</v>
      </c>
      <c r="H4108">
        <v>0.89858769999999999</v>
      </c>
      <c r="I4108">
        <v>141.5669</v>
      </c>
      <c r="J4108">
        <v>-230.32069999999999</v>
      </c>
      <c r="K4108">
        <v>1.1204350000000001</v>
      </c>
      <c r="L4108">
        <v>141.5189</v>
      </c>
      <c r="M4108">
        <v>-0.99978840000000002</v>
      </c>
      <c r="N4108">
        <v>-5.4435000000000004E-3</v>
      </c>
      <c r="O4108">
        <v>-1.9843220000000002E-2</v>
      </c>
      <c r="P4108">
        <v>-0.98625070000000004</v>
      </c>
      <c r="Q4108">
        <v>0.16525319999999999</v>
      </c>
      <c r="R4108">
        <v>-1.1841930000000001E-3</v>
      </c>
      <c r="S4108">
        <v>-3.2014619999999998</v>
      </c>
      <c r="T4108">
        <v>-0.95599020000000001</v>
      </c>
      <c r="U4108">
        <v>0.18394469999999999</v>
      </c>
      <c r="V4108">
        <v>1.8393799999999998E-2</v>
      </c>
      <c r="W4108">
        <v>0.17061779999999999</v>
      </c>
      <c r="X4108">
        <v>0.98516559999999997</v>
      </c>
      <c r="Y4108">
        <v>7.3089089999999995E-2</v>
      </c>
      <c r="Z4108">
        <v>1.6564010000000001E-2</v>
      </c>
      <c r="AA4108">
        <v>0.99718790000000002</v>
      </c>
      <c r="AB4108">
        <v>27</v>
      </c>
      <c r="AC4108">
        <v>-0.475700000000017</v>
      </c>
      <c r="AD4108">
        <v>-0.2218473</v>
      </c>
      <c r="AE4108">
        <v>4.8000000000001798E-2</v>
      </c>
      <c r="AF4108">
        <v>4.7255938623601598E-2</v>
      </c>
      <c r="AG4108">
        <v>-0.2218473</v>
      </c>
      <c r="AH4108">
        <v>0.39056540300586301</v>
      </c>
      <c r="AI4108">
        <v>119.418787118827</v>
      </c>
      <c r="AJ4108">
        <v>83.101108716871806</v>
      </c>
      <c r="AK4108">
        <v>0.451653276615613</v>
      </c>
      <c r="AL4108">
        <v>80.176258937668095</v>
      </c>
      <c r="AM4108">
        <v>88.930367976752194</v>
      </c>
      <c r="AN4108">
        <v>1.00000001248931</v>
      </c>
    </row>
    <row r="4109" spans="1:40" x14ac:dyDescent="0.25">
      <c r="A4109" t="str">
        <f>"20190303162902240"</f>
        <v>20190303162902240</v>
      </c>
      <c r="B4109" t="str">
        <f>"1551601742235585"</f>
        <v>1551601742235585</v>
      </c>
      <c r="C4109" t="s">
        <v>40</v>
      </c>
      <c r="D4109">
        <v>5.1043859999999999</v>
      </c>
      <c r="E4109">
        <v>0.52716609999999997</v>
      </c>
      <c r="F4109" t="s">
        <v>44</v>
      </c>
      <c r="G4109">
        <v>-231.04669999999999</v>
      </c>
      <c r="H4109">
        <v>0.90475939999999999</v>
      </c>
      <c r="I4109">
        <v>141.56190000000001</v>
      </c>
      <c r="J4109">
        <v>-230.59059999999999</v>
      </c>
      <c r="K4109">
        <v>1.1203809999999901</v>
      </c>
      <c r="L4109">
        <v>141.5136</v>
      </c>
      <c r="M4109">
        <v>-0.99979010000000001</v>
      </c>
      <c r="N4109">
        <v>-5.4290369999999899E-3</v>
      </c>
      <c r="O4109">
        <v>-1.9757050000000002E-2</v>
      </c>
      <c r="P4109">
        <v>-0.98641849999999998</v>
      </c>
      <c r="Q4109">
        <v>0.16425100000000001</v>
      </c>
      <c r="R4109">
        <v>-3.6908589999999999E-4</v>
      </c>
      <c r="S4109">
        <v>-3.2013850000000001</v>
      </c>
      <c r="T4109">
        <v>-0.95099400000000001</v>
      </c>
      <c r="U4109">
        <v>0.1887665</v>
      </c>
      <c r="V4109">
        <v>1.9146030000000001E-2</v>
      </c>
      <c r="W4109">
        <v>0.1696001</v>
      </c>
      <c r="X4109">
        <v>0.98532699999999995</v>
      </c>
      <c r="Y4109">
        <v>7.4485350000000006E-2</v>
      </c>
      <c r="Z4109">
        <v>1.666306E-2</v>
      </c>
      <c r="AA4109">
        <v>0.99708289999999999</v>
      </c>
      <c r="AB4109">
        <v>28</v>
      </c>
      <c r="AC4109">
        <v>-0.45609999999999201</v>
      </c>
      <c r="AD4109">
        <v>-0.215621599999999</v>
      </c>
      <c r="AE4109">
        <v>4.8300000000011702E-2</v>
      </c>
      <c r="AF4109">
        <v>4.6929734022041598E-2</v>
      </c>
      <c r="AG4109">
        <v>-0.215621599999999</v>
      </c>
      <c r="AH4109">
        <v>0.37268731644584202</v>
      </c>
      <c r="AI4109">
        <v>119.856939231262</v>
      </c>
      <c r="AJ4109">
        <v>82.822945043108206</v>
      </c>
      <c r="AK4109">
        <v>0.43311766318350797</v>
      </c>
      <c r="AL4109">
        <v>80.235431455070596</v>
      </c>
      <c r="AM4109">
        <v>88.886817592682107</v>
      </c>
      <c r="AN4109">
        <v>1.0000000306568799</v>
      </c>
    </row>
    <row r="4110" spans="1:40" x14ac:dyDescent="0.25">
      <c r="A4110" t="str">
        <f>"20190303162902262"</f>
        <v>20190303162902262</v>
      </c>
      <c r="B4110" t="str">
        <f>"1551601742256082"</f>
        <v>1551601742256082</v>
      </c>
      <c r="C4110" t="s">
        <v>40</v>
      </c>
      <c r="D4110">
        <v>5.0421839999999998</v>
      </c>
      <c r="E4110">
        <v>0.53039939999999997</v>
      </c>
      <c r="F4110" t="s">
        <v>44</v>
      </c>
      <c r="G4110">
        <v>-231.29769999999999</v>
      </c>
      <c r="H4110">
        <v>0.90983460000000005</v>
      </c>
      <c r="I4110">
        <v>141.55629999999999</v>
      </c>
      <c r="J4110">
        <v>-230.8783</v>
      </c>
      <c r="K4110">
        <v>1.1203110000000001</v>
      </c>
      <c r="L4110">
        <v>141.50799999999899</v>
      </c>
      <c r="M4110">
        <v>-0.9997935</v>
      </c>
      <c r="N4110">
        <v>-5.4278390000000003E-3</v>
      </c>
      <c r="O4110">
        <v>-1.958466E-2</v>
      </c>
      <c r="P4110">
        <v>-0.9866026</v>
      </c>
      <c r="Q4110">
        <v>0.16314229999999999</v>
      </c>
      <c r="R4110">
        <v>1.0548669999999999E-4</v>
      </c>
      <c r="S4110">
        <v>-3.2000579999999998</v>
      </c>
      <c r="T4110">
        <v>-0.95296230000000004</v>
      </c>
      <c r="U4110">
        <v>0.193634</v>
      </c>
      <c r="V4110">
        <v>1.9477979999999999E-2</v>
      </c>
      <c r="W4110">
        <v>0.1684881</v>
      </c>
      <c r="X4110">
        <v>0.98551120000000003</v>
      </c>
      <c r="Y4110">
        <v>7.5779650000000004E-2</v>
      </c>
      <c r="Z4110">
        <v>1.6844600000000001E-2</v>
      </c>
      <c r="AA4110">
        <v>0.99698229999999999</v>
      </c>
      <c r="AB4110">
        <v>28</v>
      </c>
      <c r="AC4110">
        <v>-0.419399999999996</v>
      </c>
      <c r="AD4110">
        <v>-0.21047640000000001</v>
      </c>
      <c r="AE4110">
        <v>4.8300000000011702E-2</v>
      </c>
      <c r="AF4110">
        <v>4.5255935840066298E-2</v>
      </c>
      <c r="AG4110">
        <v>-0.21047640000000001</v>
      </c>
      <c r="AH4110">
        <v>0.33508542466400099</v>
      </c>
      <c r="AI4110">
        <v>121.901275397189</v>
      </c>
      <c r="AJ4110">
        <v>82.308293860741898</v>
      </c>
      <c r="AK4110">
        <v>0.39828464257108198</v>
      </c>
      <c r="AL4110">
        <v>80.300074165808098</v>
      </c>
      <c r="AM4110">
        <v>88.867734058588098</v>
      </c>
      <c r="AN4110">
        <v>0.999999978435965</v>
      </c>
    </row>
    <row r="4111" spans="1:40" x14ac:dyDescent="0.25">
      <c r="A4111" t="str">
        <f>"20190303162902287"</f>
        <v>20190303162902287</v>
      </c>
      <c r="B4111" t="str">
        <f>"1551601742275601"</f>
        <v>1551601742275601</v>
      </c>
      <c r="C4111" t="s">
        <v>40</v>
      </c>
      <c r="D4111">
        <v>5.0855459999999999</v>
      </c>
      <c r="E4111">
        <v>0.5300513</v>
      </c>
      <c r="F4111" t="s">
        <v>44</v>
      </c>
      <c r="G4111">
        <v>-231.54050000000001</v>
      </c>
      <c r="H4111">
        <v>0.89428619999999903</v>
      </c>
      <c r="I4111">
        <v>141.55340000000001</v>
      </c>
      <c r="J4111">
        <v>-231.17240000000001</v>
      </c>
      <c r="K4111">
        <v>1.120247</v>
      </c>
      <c r="L4111">
        <v>141.5025</v>
      </c>
      <c r="M4111">
        <v>-0.99979870000000004</v>
      </c>
      <c r="N4111">
        <v>-5.4389099999999999E-3</v>
      </c>
      <c r="O4111">
        <v>-1.93107E-2</v>
      </c>
      <c r="P4111">
        <v>-0.9865834</v>
      </c>
      <c r="Q4111">
        <v>0.1632564</v>
      </c>
      <c r="R4111">
        <v>7.716245E-4</v>
      </c>
      <c r="S4111">
        <v>-3.222626</v>
      </c>
      <c r="T4111">
        <v>-1.100007</v>
      </c>
      <c r="U4111">
        <v>0.22012329999999999</v>
      </c>
      <c r="V4111">
        <v>1.9900439999999998E-2</v>
      </c>
      <c r="W4111">
        <v>0.1686098</v>
      </c>
      <c r="X4111">
        <v>0.98548199999999997</v>
      </c>
      <c r="Y4111">
        <v>8.1660650000000001E-2</v>
      </c>
      <c r="Z4111">
        <v>2.0068800000000001E-2</v>
      </c>
      <c r="AA4111">
        <v>0.99645810000000001</v>
      </c>
      <c r="AB4111">
        <v>28</v>
      </c>
      <c r="AC4111">
        <v>-0.36809999999999798</v>
      </c>
      <c r="AD4111">
        <v>-0.22596079999999999</v>
      </c>
      <c r="AE4111">
        <v>5.0900000000012803E-2</v>
      </c>
      <c r="AF4111">
        <v>4.2342657401170901E-2</v>
      </c>
      <c r="AG4111">
        <v>-0.22596079999999999</v>
      </c>
      <c r="AH4111">
        <v>0.26796733359771202</v>
      </c>
      <c r="AI4111">
        <v>129.79111813019401</v>
      </c>
      <c r="AJ4111">
        <v>81.020692438820205</v>
      </c>
      <c r="AK4111">
        <v>0.35306893894521602</v>
      </c>
      <c r="AL4111">
        <v>80.293000589484393</v>
      </c>
      <c r="AM4111">
        <v>88.843148556216605</v>
      </c>
      <c r="AN4111">
        <v>1.00000003224611</v>
      </c>
    </row>
    <row r="4112" spans="1:40" x14ac:dyDescent="0.25">
      <c r="A4112" t="str">
        <f>"20190303162902308"</f>
        <v>20190303162902308</v>
      </c>
      <c r="B4112" t="str">
        <f>"1551601742296097"</f>
        <v>1551601742296097</v>
      </c>
      <c r="C4112" t="s">
        <v>40</v>
      </c>
      <c r="D4112">
        <v>5.1134740000000001</v>
      </c>
      <c r="E4112">
        <v>0.52992030000000001</v>
      </c>
      <c r="F4112" t="s">
        <v>44</v>
      </c>
      <c r="G4112">
        <v>-232.01669999999999</v>
      </c>
      <c r="H4112">
        <v>0.82653279999999996</v>
      </c>
      <c r="I4112">
        <v>141.56039999999999</v>
      </c>
      <c r="J4112">
        <v>-231.4417</v>
      </c>
      <c r="K4112">
        <v>1.1201950000000001</v>
      </c>
      <c r="L4112">
        <v>141.49770000000001</v>
      </c>
      <c r="M4112">
        <v>-0.9998049</v>
      </c>
      <c r="N4112">
        <v>-5.4574869999999996E-3</v>
      </c>
      <c r="O4112">
        <v>-1.8991520000000001E-2</v>
      </c>
      <c r="P4112">
        <v>-0.98640669999999997</v>
      </c>
      <c r="Q4112">
        <v>0.1643059</v>
      </c>
      <c r="R4112">
        <v>2.3980300000000002E-3</v>
      </c>
      <c r="S4112">
        <v>-3.2263489999999999</v>
      </c>
      <c r="T4112">
        <v>-1.1223970000000001</v>
      </c>
      <c r="U4112">
        <v>0.2207336</v>
      </c>
      <c r="V4112">
        <v>2.123191E-2</v>
      </c>
      <c r="W4112">
        <v>0.16967289999999999</v>
      </c>
      <c r="X4112">
        <v>0.98527169999999997</v>
      </c>
      <c r="Y4112">
        <v>8.1277520000000006E-2</v>
      </c>
      <c r="Z4112">
        <v>2.025911E-2</v>
      </c>
      <c r="AA4112">
        <v>0.99648559999999997</v>
      </c>
      <c r="AB4112">
        <v>28</v>
      </c>
      <c r="AC4112">
        <v>-0.57499999999998797</v>
      </c>
      <c r="AD4112">
        <v>-0.29366219999999899</v>
      </c>
      <c r="AE4112">
        <v>6.2699999999978204E-2</v>
      </c>
      <c r="AF4112">
        <v>5.8523550857293098E-2</v>
      </c>
      <c r="AG4112">
        <v>-0.29366219999999899</v>
      </c>
      <c r="AH4112">
        <v>0.45613028541193401</v>
      </c>
      <c r="AI4112">
        <v>122.56138235540899</v>
      </c>
      <c r="AJ4112">
        <v>82.688641165829495</v>
      </c>
      <c r="AK4112">
        <v>0.54563479634619905</v>
      </c>
      <c r="AL4112">
        <v>80.231198725931094</v>
      </c>
      <c r="AM4112">
        <v>88.765507439474007</v>
      </c>
      <c r="AN4112">
        <v>1.0000000049087701</v>
      </c>
    </row>
    <row r="4113" spans="1:40" x14ac:dyDescent="0.25">
      <c r="A4113" t="str">
        <f>"20190303162902342"</f>
        <v>20190303162902342</v>
      </c>
      <c r="B4113" t="str">
        <f>"1551601742336113"</f>
        <v>1551601742336113</v>
      </c>
      <c r="C4113" t="s">
        <v>40</v>
      </c>
      <c r="D4113">
        <v>5.1454769999999996</v>
      </c>
      <c r="E4113">
        <v>0.52976020000000001</v>
      </c>
      <c r="F4113" t="s">
        <v>44</v>
      </c>
      <c r="G4113">
        <v>-232.2714</v>
      </c>
      <c r="H4113">
        <v>0.83216610000000002</v>
      </c>
      <c r="I4113">
        <v>141.5557</v>
      </c>
      <c r="J4113">
        <v>-231.8845</v>
      </c>
      <c r="K4113">
        <v>1.120131</v>
      </c>
      <c r="L4113">
        <v>141.48990000000001</v>
      </c>
      <c r="M4113">
        <v>-0.99981640000000005</v>
      </c>
      <c r="N4113">
        <v>-5.5010930000000003E-3</v>
      </c>
      <c r="O4113">
        <v>-1.8363350000000001E-2</v>
      </c>
      <c r="P4113">
        <v>-0.98591499999999999</v>
      </c>
      <c r="Q4113">
        <v>0.1671115</v>
      </c>
      <c r="R4113">
        <v>6.7602490000000003E-3</v>
      </c>
      <c r="S4113">
        <v>-3.2274319999999999</v>
      </c>
      <c r="T4113">
        <v>-1.120433</v>
      </c>
      <c r="U4113">
        <v>0.22555539999999999</v>
      </c>
      <c r="V4113">
        <v>2.49956E-2</v>
      </c>
      <c r="W4113">
        <v>0.1725119</v>
      </c>
      <c r="X4113">
        <v>0.98469019999999996</v>
      </c>
      <c r="Y4113">
        <v>8.2120250000000006E-2</v>
      </c>
      <c r="Z4113">
        <v>2.0155559999999999E-2</v>
      </c>
      <c r="AA4113">
        <v>0.99641860000000004</v>
      </c>
      <c r="AB4113">
        <v>28</v>
      </c>
      <c r="AC4113">
        <v>-0.38689999999999702</v>
      </c>
      <c r="AD4113">
        <v>-0.28796490000000002</v>
      </c>
      <c r="AE4113">
        <v>6.5799999999995806E-2</v>
      </c>
      <c r="AF4113">
        <v>4.7383110880245501E-2</v>
      </c>
      <c r="AG4113">
        <v>-0.28796490000000002</v>
      </c>
      <c r="AH4113">
        <v>0.25066853782769799</v>
      </c>
      <c r="AI4113">
        <v>138.462325981509</v>
      </c>
      <c r="AJ4113">
        <v>79.295851268904201</v>
      </c>
      <c r="AK4113">
        <v>0.38471243635392799</v>
      </c>
      <c r="AL4113">
        <v>80.066101165649798</v>
      </c>
      <c r="AM4113">
        <v>88.545903167662502</v>
      </c>
      <c r="AN4113">
        <v>0.99999996281850401</v>
      </c>
    </row>
    <row r="4114" spans="1:40" x14ac:dyDescent="0.25">
      <c r="A4114" t="str">
        <f>"20190303162902364"</f>
        <v>20190303162902364</v>
      </c>
      <c r="B4114" t="str">
        <f>"1551601742355634"</f>
        <v>1551601742355634</v>
      </c>
      <c r="C4114" t="s">
        <v>40</v>
      </c>
      <c r="D4114">
        <v>5.1599810000000002</v>
      </c>
      <c r="E4114">
        <v>0.52966009999999997</v>
      </c>
      <c r="F4114" t="s">
        <v>44</v>
      </c>
      <c r="G4114">
        <v>-232.54750000000001</v>
      </c>
      <c r="H4114">
        <v>0.89128739999999995</v>
      </c>
      <c r="I4114">
        <v>141.53799999999899</v>
      </c>
      <c r="J4114">
        <v>-232.1557</v>
      </c>
      <c r="K4114">
        <v>1.120109</v>
      </c>
      <c r="L4114">
        <v>141.4854</v>
      </c>
      <c r="M4114">
        <v>-0.99982389999999999</v>
      </c>
      <c r="N4114">
        <v>-5.5349269999999898E-3</v>
      </c>
      <c r="O4114">
        <v>-1.7932469999999999E-2</v>
      </c>
      <c r="P4114">
        <v>-0.98565400000000003</v>
      </c>
      <c r="Q4114">
        <v>0.16847029999999999</v>
      </c>
      <c r="R4114">
        <v>1.0215800000000001E-2</v>
      </c>
      <c r="S4114">
        <v>-3.230194</v>
      </c>
      <c r="T4114">
        <v>-1.114724</v>
      </c>
      <c r="U4114">
        <v>0.2326202</v>
      </c>
      <c r="V4114">
        <v>2.8032789999999998E-2</v>
      </c>
      <c r="W4114">
        <v>0.17389830000000001</v>
      </c>
      <c r="X4114">
        <v>0.98436460000000003</v>
      </c>
      <c r="Y4114">
        <v>8.3794530000000006E-2</v>
      </c>
      <c r="Z4114">
        <v>2.018559E-2</v>
      </c>
      <c r="AA4114">
        <v>0.99627860000000001</v>
      </c>
      <c r="AB4114">
        <v>28</v>
      </c>
      <c r="AC4114">
        <v>-0.39180000000001702</v>
      </c>
      <c r="AD4114">
        <v>-0.22882160000000001</v>
      </c>
      <c r="AE4114">
        <v>5.2599999999983903E-2</v>
      </c>
      <c r="AF4114">
        <v>4.4655758701380797E-2</v>
      </c>
      <c r="AG4114">
        <v>-0.22882160000000001</v>
      </c>
      <c r="AH4114">
        <v>0.29271881738232503</v>
      </c>
      <c r="AI4114">
        <v>127.695795612174</v>
      </c>
      <c r="AJ4114">
        <v>81.326111366081406</v>
      </c>
      <c r="AK4114">
        <v>0.37421620416740697</v>
      </c>
      <c r="AL4114">
        <v>79.985448257998698</v>
      </c>
      <c r="AM4114">
        <v>88.368768475034997</v>
      </c>
      <c r="AN4114">
        <v>1.0000000608956101</v>
      </c>
    </row>
    <row r="4115" spans="1:40" x14ac:dyDescent="0.25">
      <c r="A4115" t="str">
        <f>"20190303162902386"</f>
        <v>20190303162902386</v>
      </c>
      <c r="B4115" t="str">
        <f>"1551601742376131"</f>
        <v>1551601742376131</v>
      </c>
      <c r="C4115" t="s">
        <v>40</v>
      </c>
      <c r="D4115">
        <v>5.1713930000000001</v>
      </c>
      <c r="E4115">
        <v>0.52948890000000004</v>
      </c>
      <c r="F4115" t="s">
        <v>44</v>
      </c>
      <c r="G4115">
        <v>-233.02959999999999</v>
      </c>
      <c r="H4115">
        <v>0.81941249999999999</v>
      </c>
      <c r="I4115">
        <v>141.54990000000001</v>
      </c>
      <c r="J4115">
        <v>-232.44220000000001</v>
      </c>
      <c r="K4115">
        <v>1.120098</v>
      </c>
      <c r="L4115">
        <v>141.48079999999999</v>
      </c>
      <c r="M4115">
        <v>-0.99983200000000005</v>
      </c>
      <c r="N4115">
        <v>-5.576648E-3</v>
      </c>
      <c r="O4115">
        <v>-1.7459220000000001E-2</v>
      </c>
      <c r="P4115">
        <v>-0.98541080000000003</v>
      </c>
      <c r="Q4115">
        <v>0.16965559999999999</v>
      </c>
      <c r="R4115">
        <v>1.352448E-2</v>
      </c>
      <c r="S4115">
        <v>-3.2312470000000002</v>
      </c>
      <c r="T4115">
        <v>-1.111845</v>
      </c>
      <c r="U4115">
        <v>0.2379761</v>
      </c>
      <c r="V4115">
        <v>3.08778E-2</v>
      </c>
      <c r="W4115">
        <v>0.17512</v>
      </c>
      <c r="X4115">
        <v>0.98406280000000002</v>
      </c>
      <c r="Y4115">
        <v>8.4935899999999995E-2</v>
      </c>
      <c r="Z4115">
        <v>2.0168800000000001E-2</v>
      </c>
      <c r="AA4115">
        <v>0.99618229999999997</v>
      </c>
      <c r="AB4115">
        <v>28</v>
      </c>
      <c r="AC4115">
        <v>-0.58739999999997305</v>
      </c>
      <c r="AD4115">
        <v>-0.30068549999999999</v>
      </c>
      <c r="AE4115">
        <v>6.9100000000020104E-2</v>
      </c>
      <c r="AF4115">
        <v>6.3049569438076797E-2</v>
      </c>
      <c r="AG4115">
        <v>-0.30068549999999999</v>
      </c>
      <c r="AH4115">
        <v>0.46573224765764798</v>
      </c>
      <c r="AI4115">
        <v>122.61041273465899</v>
      </c>
      <c r="AJ4115">
        <v>82.290323102766195</v>
      </c>
      <c r="AK4115">
        <v>0.55793686437160706</v>
      </c>
      <c r="AL4115">
        <v>79.914358801330096</v>
      </c>
      <c r="AM4115">
        <v>88.202769843901095</v>
      </c>
      <c r="AN4115">
        <v>1.00000002363833</v>
      </c>
    </row>
    <row r="4116" spans="1:40" x14ac:dyDescent="0.25">
      <c r="A4116" t="str">
        <f>"20190303162902408"</f>
        <v>20190303162902408</v>
      </c>
      <c r="B4116" t="str">
        <f>"1551601742395649"</f>
        <v>1551601742395649</v>
      </c>
      <c r="C4116" t="s">
        <v>40</v>
      </c>
      <c r="D4116">
        <v>5.2095960000000003</v>
      </c>
      <c r="E4116">
        <v>0.52944179999999996</v>
      </c>
      <c r="F4116" t="s">
        <v>44</v>
      </c>
      <c r="G4116">
        <v>-233.2894</v>
      </c>
      <c r="H4116">
        <v>0.82882069999999997</v>
      </c>
      <c r="I4116">
        <v>141.5446</v>
      </c>
      <c r="J4116">
        <v>-232.70939999999999</v>
      </c>
      <c r="K4116">
        <v>1.12009</v>
      </c>
      <c r="L4116">
        <v>141.47659999999999</v>
      </c>
      <c r="M4116">
        <v>-0.99983960000000005</v>
      </c>
      <c r="N4116">
        <v>-5.6196010000000001E-3</v>
      </c>
      <c r="O4116">
        <v>-1.7011289999999998E-2</v>
      </c>
      <c r="P4116">
        <v>-0.9853691</v>
      </c>
      <c r="Q4116">
        <v>0.16966210000000001</v>
      </c>
      <c r="R4116">
        <v>1.6211639999999999E-2</v>
      </c>
      <c r="S4116">
        <v>-3.2323909999999998</v>
      </c>
      <c r="T4116">
        <v>-1.1112420000000001</v>
      </c>
      <c r="U4116">
        <v>0.2432098</v>
      </c>
      <c r="V4116">
        <v>3.31259E-2</v>
      </c>
      <c r="W4116">
        <v>0.1751655</v>
      </c>
      <c r="X4116">
        <v>0.98398149999999995</v>
      </c>
      <c r="Y4116">
        <v>8.6039270000000001E-2</v>
      </c>
      <c r="Z4116">
        <v>2.0192140000000001E-2</v>
      </c>
      <c r="AA4116">
        <v>0.9960871</v>
      </c>
      <c r="AB4116">
        <v>29</v>
      </c>
      <c r="AC4116">
        <v>-0.58000000000001195</v>
      </c>
      <c r="AD4116">
        <v>-0.29126929999999901</v>
      </c>
      <c r="AE4116">
        <v>6.8000000000011995E-2</v>
      </c>
      <c r="AF4116">
        <v>6.2346654531898298E-2</v>
      </c>
      <c r="AG4116">
        <v>-0.29126929999999901</v>
      </c>
      <c r="AH4116">
        <v>0.46346209900345198</v>
      </c>
      <c r="AI4116">
        <v>121.916863523654</v>
      </c>
      <c r="AJ4116">
        <v>82.3383532371531</v>
      </c>
      <c r="AK4116">
        <v>0.55092833260460905</v>
      </c>
      <c r="AL4116">
        <v>79.911710011530403</v>
      </c>
      <c r="AM4116">
        <v>88.071856299219604</v>
      </c>
      <c r="AN4116">
        <v>0.99999993499165196</v>
      </c>
    </row>
    <row r="4117" spans="1:40" x14ac:dyDescent="0.25">
      <c r="A4117" t="str">
        <f>"20190303162902429"</f>
        <v>20190303162902429</v>
      </c>
      <c r="B4117" t="str">
        <f>"1551601742425906"</f>
        <v>1551601742425906</v>
      </c>
      <c r="C4117" t="s">
        <v>40</v>
      </c>
      <c r="D4117">
        <v>5.2744739999999997</v>
      </c>
      <c r="E4117">
        <v>0.52112650000000005</v>
      </c>
      <c r="F4117" t="s">
        <v>44</v>
      </c>
      <c r="G4117">
        <v>-233.54759999999999</v>
      </c>
      <c r="H4117">
        <v>0.83172369999999995</v>
      </c>
      <c r="I4117">
        <v>141.542</v>
      </c>
      <c r="J4117">
        <v>-232.99799999999999</v>
      </c>
      <c r="K4117">
        <v>1.1200950000000001</v>
      </c>
      <c r="L4117">
        <v>141.47210000000001</v>
      </c>
      <c r="M4117">
        <v>-0.99984729999999999</v>
      </c>
      <c r="N4117">
        <v>-5.6761959999999997E-3</v>
      </c>
      <c r="O4117">
        <v>-1.652907E-2</v>
      </c>
      <c r="P4117">
        <v>-0.98532900000000001</v>
      </c>
      <c r="Q4117">
        <v>0.16977149999999999</v>
      </c>
      <c r="R4117">
        <v>1.7455689999999999E-2</v>
      </c>
      <c r="S4117">
        <v>-3.231827</v>
      </c>
      <c r="T4117">
        <v>-1.1118209999999999</v>
      </c>
      <c r="U4117">
        <v>0.25115969999999999</v>
      </c>
      <c r="V4117">
        <v>3.3896809999999999E-2</v>
      </c>
      <c r="W4117">
        <v>0.17532929999999999</v>
      </c>
      <c r="X4117">
        <v>0.98392610000000003</v>
      </c>
      <c r="Y4117">
        <v>8.7917960000000003E-2</v>
      </c>
      <c r="Z4117">
        <v>2.0366019999999999E-2</v>
      </c>
      <c r="AA4117">
        <v>0.99591949999999996</v>
      </c>
      <c r="AB4117">
        <v>29</v>
      </c>
      <c r="AC4117">
        <v>-0.54959999999999798</v>
      </c>
      <c r="AD4117">
        <v>-0.2883713</v>
      </c>
      <c r="AE4117">
        <v>6.9899999999989804E-2</v>
      </c>
      <c r="AF4117">
        <v>6.2139979623026302E-2</v>
      </c>
      <c r="AG4117">
        <v>-0.2883713</v>
      </c>
      <c r="AH4117">
        <v>0.43147428828770601</v>
      </c>
      <c r="AI4117">
        <v>123.48521014514</v>
      </c>
      <c r="AJ4117">
        <v>81.804737278389695</v>
      </c>
      <c r="AK4117">
        <v>0.5226752769977</v>
      </c>
      <c r="AL4117">
        <v>79.902177733281604</v>
      </c>
      <c r="AM4117">
        <v>88.026908362744393</v>
      </c>
      <c r="AN4117">
        <v>0.99999996371393696</v>
      </c>
    </row>
    <row r="4118" spans="1:40" x14ac:dyDescent="0.25">
      <c r="A4118" t="str">
        <f>"20190303162902453"</f>
        <v>20190303162902453</v>
      </c>
      <c r="B4118" t="str">
        <f>"1551601742445426"</f>
        <v>1551601742445426</v>
      </c>
      <c r="C4118" t="s">
        <v>40</v>
      </c>
      <c r="D4118">
        <v>5.3264889999999996</v>
      </c>
      <c r="E4118">
        <v>0.49647350000000001</v>
      </c>
      <c r="F4118" t="s">
        <v>44</v>
      </c>
      <c r="G4118">
        <v>-233.8218</v>
      </c>
      <c r="H4118">
        <v>0.87451460000000003</v>
      </c>
      <c r="I4118">
        <v>141.52189999999999</v>
      </c>
      <c r="J4118">
        <v>-233.2929</v>
      </c>
      <c r="K4118">
        <v>1.120107</v>
      </c>
      <c r="L4118">
        <v>141.46770000000001</v>
      </c>
      <c r="M4118">
        <v>-0.99985489999999999</v>
      </c>
      <c r="N4118">
        <v>-5.7471650000000003E-3</v>
      </c>
      <c r="O4118">
        <v>-1.6042009999999999E-2</v>
      </c>
      <c r="P4118">
        <v>-0.98507520000000004</v>
      </c>
      <c r="Q4118">
        <v>0.1712428</v>
      </c>
      <c r="R4118">
        <v>1.7394929999999999E-2</v>
      </c>
      <c r="S4118">
        <v>-3.2059169999999999</v>
      </c>
      <c r="T4118">
        <v>-0.95573600000000003</v>
      </c>
      <c r="U4118">
        <v>0.19349669999999999</v>
      </c>
      <c r="V4118">
        <v>3.3355089999999997E-2</v>
      </c>
      <c r="W4118">
        <v>0.1768689</v>
      </c>
      <c r="X4118">
        <v>0.98366900000000002</v>
      </c>
      <c r="Y4118">
        <v>7.238224E-2</v>
      </c>
      <c r="Z4118">
        <v>1.5350040000000001E-2</v>
      </c>
      <c r="AA4118">
        <v>0.9972588</v>
      </c>
      <c r="AB4118">
        <v>29</v>
      </c>
      <c r="AC4118">
        <v>-0.52889999999999304</v>
      </c>
      <c r="AD4118">
        <v>-0.24559239999999999</v>
      </c>
      <c r="AE4118">
        <v>5.4199999999980202E-2</v>
      </c>
      <c r="AF4118">
        <v>5.1655693761356598E-2</v>
      </c>
      <c r="AG4118">
        <v>-0.24559239999999999</v>
      </c>
      <c r="AH4118">
        <v>0.43511855243165398</v>
      </c>
      <c r="AI4118">
        <v>119.270219025316</v>
      </c>
      <c r="AJ4118">
        <v>83.229740273763795</v>
      </c>
      <c r="AK4118">
        <v>0.50230677111297795</v>
      </c>
      <c r="AL4118">
        <v>79.812564416748899</v>
      </c>
      <c r="AM4118">
        <v>88.057909807743897</v>
      </c>
      <c r="AN4118">
        <v>0.99999993568855605</v>
      </c>
    </row>
    <row r="4119" spans="1:40" x14ac:dyDescent="0.25">
      <c r="A4119" t="str">
        <f>"20190303162902475"</f>
        <v>20190303162902475</v>
      </c>
      <c r="B4119" t="str">
        <f>"1551601742465921"</f>
        <v>1551601742465921</v>
      </c>
      <c r="C4119" t="s">
        <v>40</v>
      </c>
      <c r="D4119">
        <v>5.5542850000000001</v>
      </c>
      <c r="E4119">
        <v>0.48820170000000002</v>
      </c>
      <c r="F4119" t="s">
        <v>44</v>
      </c>
      <c r="G4119">
        <v>-234.14510000000001</v>
      </c>
      <c r="H4119">
        <v>1.0153730000000001</v>
      </c>
      <c r="I4119">
        <v>141.47030000000001</v>
      </c>
      <c r="J4119">
        <v>-233.58750000000001</v>
      </c>
      <c r="K4119">
        <v>1.1201209999999999</v>
      </c>
      <c r="L4119">
        <v>141.46350000000001</v>
      </c>
      <c r="M4119">
        <v>-0.99986200000000003</v>
      </c>
      <c r="N4119">
        <v>-5.8290379999999999E-3</v>
      </c>
      <c r="O4119">
        <v>-1.556165E-2</v>
      </c>
      <c r="P4119">
        <v>-0.98488869999999895</v>
      </c>
      <c r="Q4119">
        <v>0.17244579999999901</v>
      </c>
      <c r="R4119">
        <v>1.6029870000000002E-2</v>
      </c>
      <c r="S4119">
        <v>-3.1117859999999999</v>
      </c>
      <c r="T4119">
        <v>-0.3824883</v>
      </c>
      <c r="U4119">
        <v>8.560181E-3</v>
      </c>
      <c r="V4119">
        <v>3.151731E-2</v>
      </c>
      <c r="W4119">
        <v>0.17815329999999999</v>
      </c>
      <c r="X4119">
        <v>0.98349790000000004</v>
      </c>
      <c r="Y4119">
        <v>1.8063699999999999E-2</v>
      </c>
      <c r="Z4119">
        <v>2.974015E-3</v>
      </c>
      <c r="AA4119">
        <v>0.99983239999999995</v>
      </c>
      <c r="AB4119">
        <v>29</v>
      </c>
      <c r="AC4119">
        <v>-0.55760000000000698</v>
      </c>
      <c r="AD4119">
        <v>-0.10474799999999999</v>
      </c>
      <c r="AE4119">
        <v>6.7999999999983603E-3</v>
      </c>
      <c r="AF4119">
        <v>1.49490333139412E-2</v>
      </c>
      <c r="AG4119">
        <v>-0.10474799999999999</v>
      </c>
      <c r="AH4119">
        <v>0.53842858739114496</v>
      </c>
      <c r="AI4119">
        <v>101.004894658559</v>
      </c>
      <c r="AJ4119">
        <v>88.409637681773802</v>
      </c>
      <c r="AK4119">
        <v>0.54872667223404104</v>
      </c>
      <c r="AL4119">
        <v>79.737787108213993</v>
      </c>
      <c r="AM4119">
        <v>88.164519656068606</v>
      </c>
      <c r="AN4119">
        <v>1.00000002921746</v>
      </c>
    </row>
    <row r="4120" spans="1:40" x14ac:dyDescent="0.25">
      <c r="A4120" t="str">
        <f>"20190303162902497"</f>
        <v>20190303162902497</v>
      </c>
      <c r="B4120" t="str">
        <f>"1551601742485442"</f>
        <v>1551601742485442</v>
      </c>
      <c r="C4120" t="s">
        <v>40</v>
      </c>
      <c r="D4120">
        <v>5.0938350000000003</v>
      </c>
      <c r="E4120">
        <v>0.4868402</v>
      </c>
      <c r="F4120" t="s">
        <v>41</v>
      </c>
      <c r="G4120">
        <v>-249.8784</v>
      </c>
      <c r="H4120" s="1">
        <v>-4.4447649999999998E-7</v>
      </c>
      <c r="I4120">
        <v>141.15719999999999</v>
      </c>
      <c r="J4120">
        <v>-233.86359999999999</v>
      </c>
      <c r="K4120">
        <v>1.1201270000000001</v>
      </c>
      <c r="L4120">
        <v>141.45959999999999</v>
      </c>
      <c r="M4120">
        <v>-0.99986830000000004</v>
      </c>
      <c r="N4120">
        <v>-5.9074899999999996E-3</v>
      </c>
      <c r="O4120">
        <v>-1.511587E-2</v>
      </c>
      <c r="P4120">
        <v>-0.98480210000000001</v>
      </c>
      <c r="Q4120">
        <v>0.1730894</v>
      </c>
      <c r="R4120">
        <v>1.4315339999999999E-2</v>
      </c>
      <c r="S4120">
        <v>-3.0841059999999998</v>
      </c>
      <c r="T4120">
        <v>-0.21205560000000001</v>
      </c>
      <c r="U4120">
        <v>-5.7983399999999997E-2</v>
      </c>
      <c r="V4120">
        <v>2.936474E-2</v>
      </c>
      <c r="W4120">
        <v>0.17887539999999999</v>
      </c>
      <c r="X4120">
        <v>0.98343340000000001</v>
      </c>
      <c r="Y4120">
        <v>-3.7020970000000001E-3</v>
      </c>
      <c r="Z4120">
        <v>8.1068459999999998E-4</v>
      </c>
      <c r="AA4120">
        <v>0.99999280000000002</v>
      </c>
      <c r="AB4120">
        <v>29</v>
      </c>
      <c r="AC4120">
        <v>-16.014800000000001</v>
      </c>
      <c r="AD4120">
        <v>-1.1201274444764999</v>
      </c>
      <c r="AE4120">
        <v>-0.302400000000005</v>
      </c>
      <c r="AF4120">
        <v>-5.9990219600301702E-2</v>
      </c>
      <c r="AG4120">
        <v>-1.1201274444764999</v>
      </c>
      <c r="AH4120">
        <v>15.939591686257399</v>
      </c>
      <c r="AI4120">
        <v>94.0197259057514</v>
      </c>
      <c r="AJ4120">
        <v>90.215637278173702</v>
      </c>
      <c r="AK4120">
        <v>15.9790133438496</v>
      </c>
      <c r="AL4120">
        <v>79.695737840377902</v>
      </c>
      <c r="AM4120">
        <v>88.289690066604095</v>
      </c>
      <c r="AN4120">
        <v>0.99999997445799305</v>
      </c>
    </row>
    <row r="4121" spans="1:40" x14ac:dyDescent="0.25">
      <c r="A4121" t="str">
        <f>"20190303162902520"</f>
        <v>20190303162902520</v>
      </c>
      <c r="B4121" t="str">
        <f>"1551601742505937"</f>
        <v>1551601742505937</v>
      </c>
      <c r="C4121" t="s">
        <v>40</v>
      </c>
      <c r="D4121">
        <v>5.4015979999999999</v>
      </c>
      <c r="E4121">
        <v>0.4866085</v>
      </c>
      <c r="F4121" t="s">
        <v>41</v>
      </c>
      <c r="G4121">
        <v>-253.71520000000001</v>
      </c>
      <c r="H4121" s="1">
        <v>-3.0429499999999998E-6</v>
      </c>
      <c r="I4121">
        <v>140.98609999999999</v>
      </c>
      <c r="J4121">
        <v>-234.1755</v>
      </c>
      <c r="K4121">
        <v>1.120123</v>
      </c>
      <c r="L4121">
        <v>141.4554</v>
      </c>
      <c r="M4121">
        <v>-0.99987519999999996</v>
      </c>
      <c r="N4121">
        <v>-5.9921239999999997E-3</v>
      </c>
      <c r="O4121">
        <v>-1.4615619999999999E-2</v>
      </c>
      <c r="P4121">
        <v>-0.98486879999999999</v>
      </c>
      <c r="Q4121">
        <v>0.17284569999999999</v>
      </c>
      <c r="R4121">
        <v>1.2563599999999999E-2</v>
      </c>
      <c r="S4121">
        <v>-3.0779109999999998</v>
      </c>
      <c r="T4121">
        <v>-0.1736722</v>
      </c>
      <c r="U4121">
        <v>-7.3410030000000001E-2</v>
      </c>
      <c r="V4121">
        <v>2.7122879999999999E-2</v>
      </c>
      <c r="W4121">
        <v>0.178717299999999</v>
      </c>
      <c r="X4121">
        <v>0.98352660000000003</v>
      </c>
      <c r="Y4121">
        <v>-9.231866E-3</v>
      </c>
      <c r="Z4121">
        <v>4.4845090000000001E-4</v>
      </c>
      <c r="AA4121">
        <v>0.99995730000000005</v>
      </c>
      <c r="AB4121">
        <v>29</v>
      </c>
      <c r="AC4121">
        <v>-19.5397</v>
      </c>
      <c r="AD4121">
        <v>-1.12012604295</v>
      </c>
      <c r="AE4121">
        <v>-0.46930000000000399</v>
      </c>
      <c r="AF4121">
        <v>-0.183058678052507</v>
      </c>
      <c r="AG4121">
        <v>-1.12012604295</v>
      </c>
      <c r="AH4121">
        <v>19.480491571717099</v>
      </c>
      <c r="AI4121">
        <v>93.290732201012105</v>
      </c>
      <c r="AJ4121">
        <v>90.538394059918005</v>
      </c>
      <c r="AK4121">
        <v>19.513527223632501</v>
      </c>
      <c r="AL4121">
        <v>79.704945430900295</v>
      </c>
      <c r="AM4121">
        <v>88.420344924054007</v>
      </c>
      <c r="AN4121">
        <v>1.0000000484231699</v>
      </c>
    </row>
    <row r="4122" spans="1:40" x14ac:dyDescent="0.25">
      <c r="A4122" t="str">
        <f>"20190303162902543"</f>
        <v>20190303162902543</v>
      </c>
      <c r="B4122" t="str">
        <f>"1551601742536194"</f>
        <v>1551601742536194</v>
      </c>
      <c r="C4122" t="s">
        <v>40</v>
      </c>
      <c r="D4122">
        <v>5.4594399999999998</v>
      </c>
      <c r="E4122">
        <v>0.48686839999999998</v>
      </c>
      <c r="F4122" t="s">
        <v>41</v>
      </c>
      <c r="G4122">
        <v>-254.5171</v>
      </c>
      <c r="H4122" s="1">
        <v>-2.6821769999999999E-6</v>
      </c>
      <c r="I4122">
        <v>140.92310000000001</v>
      </c>
      <c r="J4122">
        <v>-234.4633</v>
      </c>
      <c r="K4122">
        <v>1.1201190000000001</v>
      </c>
      <c r="L4122">
        <v>141.45169999999999</v>
      </c>
      <c r="M4122">
        <v>-0.99988149999999998</v>
      </c>
      <c r="N4122">
        <v>-6.0650909999999999E-3</v>
      </c>
      <c r="O4122">
        <v>-1.415577E-2</v>
      </c>
      <c r="P4122">
        <v>-0.98499510000000001</v>
      </c>
      <c r="Q4122">
        <v>0.17220139999999901</v>
      </c>
      <c r="R4122">
        <v>1.145825E-2</v>
      </c>
      <c r="S4122">
        <v>-3.0768589999999998</v>
      </c>
      <c r="T4122">
        <v>-0.16942979999999899</v>
      </c>
      <c r="U4122">
        <v>-8.0505370000000007E-2</v>
      </c>
      <c r="V4122">
        <v>2.556698E-2</v>
      </c>
      <c r="W4122">
        <v>0.17814669999999999</v>
      </c>
      <c r="X4122">
        <v>0.98367170000000004</v>
      </c>
      <c r="Y4122">
        <v>-1.199884E-2</v>
      </c>
      <c r="Z4122">
        <v>3.2644930000000003E-4</v>
      </c>
      <c r="AA4122">
        <v>0.99992789999999998</v>
      </c>
      <c r="AB4122">
        <v>29</v>
      </c>
      <c r="AC4122">
        <v>-20.053799999999899</v>
      </c>
      <c r="AD4122">
        <v>-1.1201216821769999</v>
      </c>
      <c r="AE4122">
        <v>-0.52859999999998297</v>
      </c>
      <c r="AF4122">
        <v>-0.243904435145466</v>
      </c>
      <c r="AG4122">
        <v>-1.1201216821769999</v>
      </c>
      <c r="AH4122">
        <v>19.996928873588399</v>
      </c>
      <c r="AI4122">
        <v>93.205816761100394</v>
      </c>
      <c r="AJ4122">
        <v>90.698807396252505</v>
      </c>
      <c r="AK4122">
        <v>20.0297610153421</v>
      </c>
      <c r="AL4122">
        <v>79.738170744677205</v>
      </c>
      <c r="AM4122">
        <v>88.5111391176588</v>
      </c>
      <c r="AN4122">
        <v>0.999999965284049</v>
      </c>
    </row>
    <row r="4123" spans="1:40" x14ac:dyDescent="0.25">
      <c r="A4123" t="str">
        <f>"20190303162902564"</f>
        <v>20190303162902564</v>
      </c>
      <c r="B4123" t="str">
        <f>"1551601742555714"</f>
        <v>1551601742555714</v>
      </c>
      <c r="C4123" t="s">
        <v>40</v>
      </c>
      <c r="D4123">
        <v>5.4555639999999999</v>
      </c>
      <c r="E4123">
        <v>0.48715649999999999</v>
      </c>
      <c r="F4123" t="s">
        <v>41</v>
      </c>
      <c r="G4123">
        <v>-254.89359999999999</v>
      </c>
      <c r="H4123" s="1">
        <v>-2.5170690000000002E-6</v>
      </c>
      <c r="I4123">
        <v>140.90950000000001</v>
      </c>
      <c r="J4123">
        <v>-234.7518</v>
      </c>
      <c r="K4123">
        <v>1.1201099999999999</v>
      </c>
      <c r="L4123">
        <v>141.44810000000001</v>
      </c>
      <c r="M4123">
        <v>-0.99988750000000004</v>
      </c>
      <c r="N4123">
        <v>-6.1327680000000002E-3</v>
      </c>
      <c r="O4123">
        <v>-1.369543E-2</v>
      </c>
      <c r="P4123">
        <v>-0.98519460000000003</v>
      </c>
      <c r="Q4123">
        <v>0.17107459999999999</v>
      </c>
      <c r="R4123">
        <v>1.1192809999999999E-2</v>
      </c>
      <c r="S4123">
        <v>-3.0761259999999999</v>
      </c>
      <c r="T4123">
        <v>-0.16865379999999899</v>
      </c>
      <c r="U4123">
        <v>-8.1619259999999999E-2</v>
      </c>
      <c r="V4123">
        <v>2.4850730000000001E-2</v>
      </c>
      <c r="W4123">
        <v>0.17708859999999901</v>
      </c>
      <c r="X4123">
        <v>0.98388109999999995</v>
      </c>
      <c r="Y4123">
        <v>-1.282525E-2</v>
      </c>
      <c r="Z4123">
        <v>2.755767E-4</v>
      </c>
      <c r="AA4123">
        <v>0.99991770000000002</v>
      </c>
      <c r="AB4123">
        <v>29</v>
      </c>
      <c r="AC4123">
        <v>-20.1417999999999</v>
      </c>
      <c r="AD4123">
        <v>-1.1201125170689901</v>
      </c>
      <c r="AE4123">
        <v>-0.53860000000000197</v>
      </c>
      <c r="AF4123">
        <v>-0.26188438040426498</v>
      </c>
      <c r="AG4123">
        <v>-1.1201125170689901</v>
      </c>
      <c r="AH4123">
        <v>20.0852158090578</v>
      </c>
      <c r="AI4123">
        <v>93.191694535749505</v>
      </c>
      <c r="AJ4123">
        <v>90.747018087192501</v>
      </c>
      <c r="AK4123">
        <v>20.1181293756656</v>
      </c>
      <c r="AL4123">
        <v>79.799775047466099</v>
      </c>
      <c r="AM4123">
        <v>88.553138912622302</v>
      </c>
      <c r="AN4123">
        <v>0.999999974984351</v>
      </c>
    </row>
    <row r="4124" spans="1:40" x14ac:dyDescent="0.25">
      <c r="A4124" t="str">
        <f>"20190303162902586"</f>
        <v>20190303162902586</v>
      </c>
      <c r="B4124" t="str">
        <f>"1551601742576210"</f>
        <v>1551601742576210</v>
      </c>
      <c r="C4124" t="s">
        <v>40</v>
      </c>
      <c r="D4124">
        <v>5.1896389999999997</v>
      </c>
      <c r="E4124">
        <v>0.48736259999999998</v>
      </c>
      <c r="F4124" t="s">
        <v>41</v>
      </c>
      <c r="G4124">
        <v>-254.54949999999999</v>
      </c>
      <c r="H4124" s="1">
        <v>-2.6697620000000001E-6</v>
      </c>
      <c r="I4124">
        <v>140.92850000000001</v>
      </c>
      <c r="J4124">
        <v>-235.0421</v>
      </c>
      <c r="K4124">
        <v>1.1201099999999999</v>
      </c>
      <c r="L4124">
        <v>141.44460000000001</v>
      </c>
      <c r="M4124">
        <v>-0.99989320000000004</v>
      </c>
      <c r="N4124">
        <v>-6.1953379999999999E-3</v>
      </c>
      <c r="O4124">
        <v>-1.32315E-2</v>
      </c>
      <c r="P4124">
        <v>-0.98529730000000004</v>
      </c>
      <c r="Q4124">
        <v>0.1704155</v>
      </c>
      <c r="R4124">
        <v>1.216535E-2</v>
      </c>
      <c r="S4124">
        <v>-3.0762179999999999</v>
      </c>
      <c r="T4124">
        <v>-0.1740466</v>
      </c>
      <c r="U4124">
        <v>-8.0718990000000004E-2</v>
      </c>
      <c r="V4124">
        <v>2.5367600000000001E-2</v>
      </c>
      <c r="W4124">
        <v>0.17649110000000001</v>
      </c>
      <c r="X4124">
        <v>0.9839753</v>
      </c>
      <c r="Y4124">
        <v>-1.299488E-2</v>
      </c>
      <c r="Z4124">
        <v>2.5837789999999999E-4</v>
      </c>
      <c r="AA4124">
        <v>0.99991549999999996</v>
      </c>
      <c r="AB4124">
        <v>29</v>
      </c>
      <c r="AC4124">
        <v>-19.507399999999901</v>
      </c>
      <c r="AD4124">
        <v>-1.1201126697620001</v>
      </c>
      <c r="AE4124">
        <v>-0.51609999999999401</v>
      </c>
      <c r="AF4124">
        <v>-0.25709063877605998</v>
      </c>
      <c r="AG4124">
        <v>-1.1201126697620001</v>
      </c>
      <c r="AH4124">
        <v>19.448443654487001</v>
      </c>
      <c r="AI4124">
        <v>93.295961465790995</v>
      </c>
      <c r="AJ4124">
        <v>90.757353693670396</v>
      </c>
      <c r="AK4124">
        <v>19.482369172440499</v>
      </c>
      <c r="AL4124">
        <v>79.8345574747174</v>
      </c>
      <c r="AM4124">
        <v>88.523200192709993</v>
      </c>
      <c r="AN4124">
        <v>1.0000000072595201</v>
      </c>
    </row>
    <row r="4125" spans="1:40" x14ac:dyDescent="0.25">
      <c r="A4125" t="str">
        <f>"20190303162902608"</f>
        <v>20190303162902608</v>
      </c>
      <c r="B4125" t="str">
        <f>"1551601742595729"</f>
        <v>1551601742595729</v>
      </c>
      <c r="C4125" t="s">
        <v>40</v>
      </c>
      <c r="D4125">
        <v>5.4601089999999903</v>
      </c>
      <c r="E4125">
        <v>0.4874173</v>
      </c>
      <c r="F4125" t="s">
        <v>41</v>
      </c>
      <c r="G4125">
        <v>-254.3501</v>
      </c>
      <c r="H4125" s="1">
        <v>-2.763104E-6</v>
      </c>
      <c r="I4125">
        <v>140.9579</v>
      </c>
      <c r="J4125">
        <v>-235.32579999999999</v>
      </c>
      <c r="K4125">
        <v>1.120106</v>
      </c>
      <c r="L4125">
        <v>141.44130000000001</v>
      </c>
      <c r="M4125">
        <v>-0.99989870000000003</v>
      </c>
      <c r="N4125">
        <v>-6.2512219999999999E-3</v>
      </c>
      <c r="O4125">
        <v>-1.2778650000000001E-2</v>
      </c>
      <c r="P4125">
        <v>-0.98532609999999998</v>
      </c>
      <c r="Q4125">
        <v>0.17012920000000001</v>
      </c>
      <c r="R4125">
        <v>1.3736129999999999E-2</v>
      </c>
      <c r="S4125">
        <v>-3.076584</v>
      </c>
      <c r="T4125">
        <v>-0.17848220000000001</v>
      </c>
      <c r="U4125">
        <v>-7.7545169999999997E-2</v>
      </c>
      <c r="V4125">
        <v>2.6492580000000002E-2</v>
      </c>
      <c r="W4125">
        <v>0.17625879999999999</v>
      </c>
      <c r="X4125">
        <v>0.98398730000000001</v>
      </c>
      <c r="Y4125">
        <v>-1.2414039999999999E-2</v>
      </c>
      <c r="Z4125">
        <v>2.6215599999999999E-4</v>
      </c>
      <c r="AA4125">
        <v>0.99992289999999995</v>
      </c>
      <c r="AB4125">
        <v>29</v>
      </c>
      <c r="AC4125">
        <v>-19.0243</v>
      </c>
      <c r="AD4125">
        <v>-1.1201087631039901</v>
      </c>
      <c r="AE4125">
        <v>-0.48340000000001698</v>
      </c>
      <c r="AF4125">
        <v>-0.23942143939289101</v>
      </c>
      <c r="AG4125">
        <v>-1.1201087631039901</v>
      </c>
      <c r="AH4125">
        <v>18.963228516590402</v>
      </c>
      <c r="AI4125">
        <v>93.380116748365396</v>
      </c>
      <c r="AJ4125">
        <v>90.723353049468898</v>
      </c>
      <c r="AK4125">
        <v>18.997789398749799</v>
      </c>
      <c r="AL4125">
        <v>79.848079333399895</v>
      </c>
      <c r="AM4125">
        <v>88.457758132944605</v>
      </c>
      <c r="AN4125">
        <v>1.0000000139668901</v>
      </c>
    </row>
    <row r="4126" spans="1:40" x14ac:dyDescent="0.25">
      <c r="A4126" t="str">
        <f>"20190303162902630"</f>
        <v>20190303162902630</v>
      </c>
      <c r="B4126" t="str">
        <f>"1551601742625986"</f>
        <v>1551601742625986</v>
      </c>
      <c r="C4126" t="s">
        <v>40</v>
      </c>
      <c r="D4126">
        <v>5.5095369999999999</v>
      </c>
      <c r="E4126">
        <v>0.48763040000000002</v>
      </c>
      <c r="F4126" t="s">
        <v>41</v>
      </c>
      <c r="G4126">
        <v>-254.4562</v>
      </c>
      <c r="H4126" s="1">
        <v>-2.722883E-6</v>
      </c>
      <c r="I4126">
        <v>140.97790000000001</v>
      </c>
      <c r="J4126">
        <v>-235.62479999999999</v>
      </c>
      <c r="K4126">
        <v>1.120106</v>
      </c>
      <c r="L4126">
        <v>141.43799999999999</v>
      </c>
      <c r="M4126">
        <v>-0.99990460000000003</v>
      </c>
      <c r="N4126">
        <v>-6.304703E-3</v>
      </c>
      <c r="O4126">
        <v>-1.230171E-2</v>
      </c>
      <c r="P4126">
        <v>-0.98551569999999999</v>
      </c>
      <c r="Q4126">
        <v>0.1689088</v>
      </c>
      <c r="R4126">
        <v>1.513224E-2</v>
      </c>
      <c r="S4126">
        <v>-3.0768279999999999</v>
      </c>
      <c r="T4126">
        <v>-0.18015239999999999</v>
      </c>
      <c r="U4126">
        <v>-7.4523930000000002E-2</v>
      </c>
      <c r="V4126">
        <v>2.7420679999999999E-2</v>
      </c>
      <c r="W4126">
        <v>0.17509179999999999</v>
      </c>
      <c r="X4126">
        <v>0.9841702</v>
      </c>
      <c r="Y4126">
        <v>-1.1907930000000001E-2</v>
      </c>
      <c r="Z4126">
        <v>2.5618359999999998E-4</v>
      </c>
      <c r="AA4126">
        <v>0.99992910000000002</v>
      </c>
      <c r="AB4126">
        <v>30</v>
      </c>
      <c r="AC4126">
        <v>-18.831399999999999</v>
      </c>
      <c r="AD4126">
        <v>-1.120108722883</v>
      </c>
      <c r="AE4126">
        <v>-0.46009999999998202</v>
      </c>
      <c r="AF4126">
        <v>-0.227597436701931</v>
      </c>
      <c r="AG4126">
        <v>-1.120108722883</v>
      </c>
      <c r="AH4126">
        <v>18.769269473433599</v>
      </c>
      <c r="AI4126">
        <v>93.414985099734395</v>
      </c>
      <c r="AJ4126">
        <v>90.694738464227797</v>
      </c>
      <c r="AK4126">
        <v>18.804040010344501</v>
      </c>
      <c r="AL4126">
        <v>79.915999731828094</v>
      </c>
      <c r="AM4126">
        <v>88.404053595813096</v>
      </c>
      <c r="AN4126">
        <v>1.0000000073434701</v>
      </c>
    </row>
    <row r="4127" spans="1:40" x14ac:dyDescent="0.25">
      <c r="A4127" t="str">
        <f>"20190303162902654"</f>
        <v>20190303162902654</v>
      </c>
      <c r="B4127" t="str">
        <f>"1551601742645505"</f>
        <v>1551601742645505</v>
      </c>
      <c r="C4127" t="s">
        <v>40</v>
      </c>
      <c r="D4127">
        <v>5.5190720000000004</v>
      </c>
      <c r="E4127">
        <v>0.48756959999999999</v>
      </c>
      <c r="F4127" t="s">
        <v>41</v>
      </c>
      <c r="G4127">
        <v>-253.9864</v>
      </c>
      <c r="H4127" s="1">
        <v>-2.9376059999999998E-6</v>
      </c>
      <c r="I4127">
        <v>141.0274</v>
      </c>
      <c r="J4127">
        <v>-235.9384</v>
      </c>
      <c r="K4127">
        <v>1.1200939999999999</v>
      </c>
      <c r="L4127">
        <v>141.43469999999999</v>
      </c>
      <c r="M4127">
        <v>-0.99991030000000003</v>
      </c>
      <c r="N4127">
        <v>-6.3553969999999996E-3</v>
      </c>
      <c r="O4127">
        <v>-1.180175E-2</v>
      </c>
      <c r="P4127">
        <v>-0.98588220000000004</v>
      </c>
      <c r="Q4127">
        <v>0.1666262</v>
      </c>
      <c r="R4127">
        <v>1.6493730000000002E-2</v>
      </c>
      <c r="S4127">
        <v>-3.0773009999999998</v>
      </c>
      <c r="T4127">
        <v>-0.1877248</v>
      </c>
      <c r="U4127">
        <v>-6.8801879999999996E-2</v>
      </c>
      <c r="V4127">
        <v>2.8292250000000001E-2</v>
      </c>
      <c r="W4127">
        <v>0.1728604</v>
      </c>
      <c r="X4127">
        <v>0.98453990000000002</v>
      </c>
      <c r="Y4127">
        <v>-1.0547630000000001E-2</v>
      </c>
      <c r="Z4127">
        <v>2.8927500000000002E-4</v>
      </c>
      <c r="AA4127">
        <v>0.99994430000000001</v>
      </c>
      <c r="AB4127">
        <v>30</v>
      </c>
      <c r="AC4127">
        <v>-18.047999999999998</v>
      </c>
      <c r="AD4127">
        <v>-1.1200969376059999</v>
      </c>
      <c r="AE4127">
        <v>-0.407299999999992</v>
      </c>
      <c r="AF4127">
        <v>-0.19352435799824599</v>
      </c>
      <c r="AG4127">
        <v>-1.1200969376059999</v>
      </c>
      <c r="AH4127">
        <v>17.982322629753401</v>
      </c>
      <c r="AI4127">
        <v>93.564073434207401</v>
      </c>
      <c r="AJ4127">
        <v>90.616588920820703</v>
      </c>
      <c r="AK4127">
        <v>18.018212896603099</v>
      </c>
      <c r="AL4127">
        <v>80.045829328757407</v>
      </c>
      <c r="AM4127">
        <v>88.353971706943497</v>
      </c>
      <c r="AN4127">
        <v>0.99999999199511602</v>
      </c>
    </row>
    <row r="4128" spans="1:40" x14ac:dyDescent="0.25">
      <c r="A4128" t="str">
        <f>"20190303162902676"</f>
        <v>20190303162902676</v>
      </c>
      <c r="B4128" t="str">
        <f>"1551601742666002"</f>
        <v>1551601742666002</v>
      </c>
      <c r="C4128" t="s">
        <v>40</v>
      </c>
      <c r="D4128">
        <v>5.3997449999999896</v>
      </c>
      <c r="E4128">
        <v>0.48749009999999998</v>
      </c>
      <c r="F4128" t="s">
        <v>41</v>
      </c>
      <c r="G4128">
        <v>-253.5367</v>
      </c>
      <c r="H4128" s="1">
        <v>-3.1403420000000001E-6</v>
      </c>
      <c r="I4128">
        <v>141.0642</v>
      </c>
      <c r="J4128">
        <v>-236.23689999999999</v>
      </c>
      <c r="K4128">
        <v>1.1200859999999999</v>
      </c>
      <c r="L4128">
        <v>141.4316</v>
      </c>
      <c r="M4128">
        <v>-0.99991549999999996</v>
      </c>
      <c r="N4128">
        <v>-6.3990419999999998E-3</v>
      </c>
      <c r="O4128">
        <v>-1.132586E-2</v>
      </c>
      <c r="P4128">
        <v>-0.98601810000000001</v>
      </c>
      <c r="Q4128">
        <v>0.1656676</v>
      </c>
      <c r="R4128">
        <v>1.796099E-2</v>
      </c>
      <c r="S4128">
        <v>-3.0771480000000002</v>
      </c>
      <c r="T4128">
        <v>-0.1958548</v>
      </c>
      <c r="U4128">
        <v>-6.4758300000000005E-2</v>
      </c>
      <c r="V4128">
        <v>2.9291830000000001E-2</v>
      </c>
      <c r="W4128">
        <v>0.17194400000000001</v>
      </c>
      <c r="X4128">
        <v>0.98467110000000002</v>
      </c>
      <c r="Y4128">
        <v>-9.7122240000000002E-3</v>
      </c>
      <c r="Z4128">
        <v>3.0777510000000002E-4</v>
      </c>
      <c r="AA4128">
        <v>0.99995279999999998</v>
      </c>
      <c r="AB4128">
        <v>30</v>
      </c>
      <c r="AC4128">
        <v>-17.299800000000001</v>
      </c>
      <c r="AD4128">
        <v>-1.1200891403419999</v>
      </c>
      <c r="AE4128">
        <v>-0.367400000000003</v>
      </c>
      <c r="AF4128">
        <v>-0.170721985394031</v>
      </c>
      <c r="AG4128">
        <v>-1.1200891403419999</v>
      </c>
      <c r="AH4128">
        <v>17.230652935541201</v>
      </c>
      <c r="AI4128">
        <v>93.719132132482102</v>
      </c>
      <c r="AJ4128">
        <v>90.5676702561951</v>
      </c>
      <c r="AK4128">
        <v>17.267864554243101</v>
      </c>
      <c r="AL4128">
        <v>80.099133031619701</v>
      </c>
      <c r="AM4128">
        <v>88.296077304248797</v>
      </c>
      <c r="AN4128">
        <v>0.99999996280797798</v>
      </c>
    </row>
    <row r="4129" spans="1:40" x14ac:dyDescent="0.25">
      <c r="A4129" t="str">
        <f>"20190303162902698"</f>
        <v>20190303162902698</v>
      </c>
      <c r="B4129" t="str">
        <f>"1551601742685521"</f>
        <v>1551601742685521</v>
      </c>
      <c r="C4129" t="s">
        <v>40</v>
      </c>
      <c r="D4129">
        <v>5.4633019999999997</v>
      </c>
      <c r="E4129">
        <v>0.48746840000000002</v>
      </c>
      <c r="F4129" t="s">
        <v>41</v>
      </c>
      <c r="G4129">
        <v>-253.55009999999999</v>
      </c>
      <c r="H4129" s="1">
        <v>-3.1413869999999898E-6</v>
      </c>
      <c r="I4129">
        <v>141.0899</v>
      </c>
      <c r="J4129">
        <v>-236.5318</v>
      </c>
      <c r="K4129">
        <v>1.120085</v>
      </c>
      <c r="L4129">
        <v>141.4288</v>
      </c>
      <c r="M4129">
        <v>-0.99992040000000004</v>
      </c>
      <c r="N4129">
        <v>-6.438076E-3</v>
      </c>
      <c r="O4129">
        <v>-1.0856029999999999E-2</v>
      </c>
      <c r="P4129">
        <v>-0.98591969999999995</v>
      </c>
      <c r="Q4129">
        <v>0.1660517</v>
      </c>
      <c r="R4129">
        <v>1.973107E-2</v>
      </c>
      <c r="S4129">
        <v>-3.0770870000000001</v>
      </c>
      <c r="T4129">
        <v>-0.199075</v>
      </c>
      <c r="U4129">
        <v>-6.0729980000000003E-2</v>
      </c>
      <c r="V4129">
        <v>3.0598960000000001E-2</v>
      </c>
      <c r="W4129">
        <v>0.1723644</v>
      </c>
      <c r="X4129">
        <v>0.98455789999999999</v>
      </c>
      <c r="Y4129">
        <v>-8.8750400000000007E-3</v>
      </c>
      <c r="Z4129">
        <v>3.1632060000000002E-4</v>
      </c>
      <c r="AA4129">
        <v>0.99996050000000003</v>
      </c>
      <c r="AB4129">
        <v>30</v>
      </c>
      <c r="AC4129">
        <v>-17.018299999999901</v>
      </c>
      <c r="AD4129">
        <v>-1.1200881413869901</v>
      </c>
      <c r="AE4129">
        <v>-0.33889999999999498</v>
      </c>
      <c r="AF4129">
        <v>-0.15346053162607801</v>
      </c>
      <c r="AG4129">
        <v>-1.1200881413869901</v>
      </c>
      <c r="AH4129">
        <v>16.9475911904361</v>
      </c>
      <c r="AI4129">
        <v>93.781098164119101</v>
      </c>
      <c r="AJ4129">
        <v>90.518799420224397</v>
      </c>
      <c r="AK4129">
        <v>16.9852581592801</v>
      </c>
      <c r="AL4129">
        <v>80.074681392878105</v>
      </c>
      <c r="AM4129">
        <v>88.219884147991394</v>
      </c>
      <c r="AN4129">
        <v>1.0000000205964199</v>
      </c>
    </row>
    <row r="4130" spans="1:40" x14ac:dyDescent="0.25">
      <c r="A4130" t="str">
        <f>"20190303162902722"</f>
        <v>20190303162902722</v>
      </c>
      <c r="B4130" t="str">
        <f>"1551601742715777"</f>
        <v>1551601742715777</v>
      </c>
      <c r="C4130" t="s">
        <v>40</v>
      </c>
      <c r="D4130">
        <v>5.4526779999999997</v>
      </c>
      <c r="E4130">
        <v>0.4875041</v>
      </c>
      <c r="F4130" t="s">
        <v>41</v>
      </c>
      <c r="G4130">
        <v>-253.9725</v>
      </c>
      <c r="H4130" s="1">
        <v>-2.9669739999999998E-6</v>
      </c>
      <c r="I4130">
        <v>141.11539999999999</v>
      </c>
      <c r="J4130">
        <v>-236.845</v>
      </c>
      <c r="K4130">
        <v>1.120077</v>
      </c>
      <c r="L4130">
        <v>141.42590000000001</v>
      </c>
      <c r="M4130">
        <v>-0.99992539999999996</v>
      </c>
      <c r="N4130">
        <v>-6.4756279999999998E-3</v>
      </c>
      <c r="O4130">
        <v>-1.035723E-2</v>
      </c>
      <c r="P4130">
        <v>-0.98597559999999995</v>
      </c>
      <c r="Q4130">
        <v>0.16570660000000001</v>
      </c>
      <c r="R4130">
        <v>1.9837770000000001E-2</v>
      </c>
      <c r="S4130">
        <v>-3.0772550000000001</v>
      </c>
      <c r="T4130">
        <v>-0.19763030000000001</v>
      </c>
      <c r="U4130">
        <v>-5.528259E-2</v>
      </c>
      <c r="V4130">
        <v>3.021515E-2</v>
      </c>
      <c r="W4130">
        <v>0.17205719999999999</v>
      </c>
      <c r="X4130">
        <v>0.98462340000000004</v>
      </c>
      <c r="Y4130">
        <v>-7.6052580000000002E-3</v>
      </c>
      <c r="Z4130">
        <v>3.2880460000000002E-4</v>
      </c>
      <c r="AA4130">
        <v>0.99997100000000005</v>
      </c>
      <c r="AB4130">
        <v>30</v>
      </c>
      <c r="AC4130">
        <v>-17.127499999999898</v>
      </c>
      <c r="AD4130">
        <v>-1.120079966974</v>
      </c>
      <c r="AE4130">
        <v>-0.31050000000001798</v>
      </c>
      <c r="AF4130">
        <v>-0.132519607411204</v>
      </c>
      <c r="AG4130">
        <v>-1.120079966974</v>
      </c>
      <c r="AH4130">
        <v>17.056873883766801</v>
      </c>
      <c r="AI4130">
        <v>93.756955599658696</v>
      </c>
      <c r="AJ4130">
        <v>90.445137924625598</v>
      </c>
      <c r="AK4130">
        <v>17.094124349187702</v>
      </c>
      <c r="AL4130">
        <v>80.092548774357198</v>
      </c>
      <c r="AM4130">
        <v>88.242315326304393</v>
      </c>
      <c r="AN4130">
        <v>0.99999993759445904</v>
      </c>
    </row>
    <row r="4131" spans="1:40" x14ac:dyDescent="0.25">
      <c r="A4131" t="str">
        <f>"20190303162902746"</f>
        <v>20190303162902746</v>
      </c>
      <c r="B4131" t="str">
        <f>"1551601742736273"</f>
        <v>1551601742736273</v>
      </c>
      <c r="C4131" t="s">
        <v>40</v>
      </c>
      <c r="D4131">
        <v>5.1497149999999996</v>
      </c>
      <c r="E4131">
        <v>0.4874636</v>
      </c>
      <c r="F4131" t="s">
        <v>41</v>
      </c>
      <c r="G4131">
        <v>-254.2611</v>
      </c>
      <c r="H4131" s="1">
        <v>-2.8454089999999999E-6</v>
      </c>
      <c r="I4131">
        <v>141.12379999999999</v>
      </c>
      <c r="J4131">
        <v>-237.15860000000001</v>
      </c>
      <c r="K4131">
        <v>1.1200730000000001</v>
      </c>
      <c r="L4131">
        <v>141.42310000000001</v>
      </c>
      <c r="M4131">
        <v>-0.9999304</v>
      </c>
      <c r="N4131">
        <v>-6.5096219999999996E-3</v>
      </c>
      <c r="O4131">
        <v>-9.8595019999999992E-3</v>
      </c>
      <c r="P4131">
        <v>-0.98613300000000004</v>
      </c>
      <c r="Q4131">
        <v>0.16491210000000001</v>
      </c>
      <c r="R4131">
        <v>1.860585E-2</v>
      </c>
      <c r="S4131">
        <v>-3.076981</v>
      </c>
      <c r="T4131">
        <v>-0.19788919999999999</v>
      </c>
      <c r="U4131">
        <v>-5.334473E-2</v>
      </c>
      <c r="V4131">
        <v>2.8494200000000001E-2</v>
      </c>
      <c r="W4131">
        <v>0.17129910000000001</v>
      </c>
      <c r="X4131">
        <v>0.98480699999999999</v>
      </c>
      <c r="Y4131">
        <v>-7.4744819999999898E-3</v>
      </c>
      <c r="Z4131">
        <v>3.0480479999999999E-4</v>
      </c>
      <c r="AA4131">
        <v>0.99997199999999997</v>
      </c>
      <c r="AB4131">
        <v>30</v>
      </c>
      <c r="AC4131">
        <v>-17.1024999999999</v>
      </c>
      <c r="AD4131">
        <v>-1.1200758454089901</v>
      </c>
      <c r="AE4131">
        <v>-0.299300000000016</v>
      </c>
      <c r="AF4131">
        <v>-0.130101917214858</v>
      </c>
      <c r="AG4131">
        <v>-1.1200758454089901</v>
      </c>
      <c r="AH4131">
        <v>17.031590266210699</v>
      </c>
      <c r="AI4131">
        <v>93.762506805021303</v>
      </c>
      <c r="AJ4131">
        <v>90.437665870314802</v>
      </c>
      <c r="AK4131">
        <v>17.068877039934801</v>
      </c>
      <c r="AL4131">
        <v>80.136640577998904</v>
      </c>
      <c r="AM4131">
        <v>88.342678265654499</v>
      </c>
      <c r="AN4131">
        <v>1.0000000641717199</v>
      </c>
    </row>
    <row r="4132" spans="1:40" x14ac:dyDescent="0.25">
      <c r="A4132" t="str">
        <f>"20190303162902767"</f>
        <v>20190303162902767</v>
      </c>
      <c r="B4132" t="str">
        <f>"1551601742755794"</f>
        <v>1551601742755794</v>
      </c>
      <c r="C4132" t="s">
        <v>40</v>
      </c>
      <c r="D4132">
        <v>5.2824549999999997</v>
      </c>
      <c r="E4132">
        <v>0.48739719999999997</v>
      </c>
      <c r="F4132" t="s">
        <v>41</v>
      </c>
      <c r="G4132">
        <v>-254.41640000000001</v>
      </c>
      <c r="H4132" s="1">
        <v>-2.7749919999999999E-6</v>
      </c>
      <c r="I4132">
        <v>141.10939999999999</v>
      </c>
      <c r="J4132">
        <v>-237.45849999999999</v>
      </c>
      <c r="K4132">
        <v>1.120079</v>
      </c>
      <c r="L4132">
        <v>141.42060000000001</v>
      </c>
      <c r="M4132">
        <v>-0.99993469999999995</v>
      </c>
      <c r="N4132">
        <v>-6.5390240000000001E-3</v>
      </c>
      <c r="O4132">
        <v>-9.3921809999999994E-3</v>
      </c>
      <c r="P4132">
        <v>-0.98620540000000001</v>
      </c>
      <c r="Q4132">
        <v>0.16464529999999999</v>
      </c>
      <c r="R4132">
        <v>1.7064920000000001E-2</v>
      </c>
      <c r="S4132">
        <v>-3.07666</v>
      </c>
      <c r="T4132">
        <v>-0.1996841</v>
      </c>
      <c r="U4132">
        <v>-5.5908199999999998E-2</v>
      </c>
      <c r="V4132">
        <v>2.6492060000000001E-2</v>
      </c>
      <c r="W4132">
        <v>0.17106370000000001</v>
      </c>
      <c r="X4132">
        <v>0.9849038</v>
      </c>
      <c r="Y4132">
        <v>-8.7727489999999998E-3</v>
      </c>
      <c r="Z4132">
        <v>2.3442990000000001E-4</v>
      </c>
      <c r="AA4132">
        <v>0.99996149999999995</v>
      </c>
      <c r="AB4132">
        <v>30</v>
      </c>
      <c r="AC4132">
        <v>-16.957899999999999</v>
      </c>
      <c r="AD4132">
        <v>-1.120081774992</v>
      </c>
      <c r="AE4132">
        <v>-0.31120000000001302</v>
      </c>
      <c r="AF4132">
        <v>-0.15125158858214299</v>
      </c>
      <c r="AG4132">
        <v>-1.120081774992</v>
      </c>
      <c r="AH4132">
        <v>16.886429287745099</v>
      </c>
      <c r="AI4132">
        <v>93.794735026932898</v>
      </c>
      <c r="AJ4132">
        <v>90.513184035582</v>
      </c>
      <c r="AK4132">
        <v>16.924212073704702</v>
      </c>
      <c r="AL4132">
        <v>80.1503299953865</v>
      </c>
      <c r="AM4132">
        <v>88.459222799087101</v>
      </c>
      <c r="AN4132">
        <v>1.00000005697758</v>
      </c>
    </row>
    <row r="4133" spans="1:40" x14ac:dyDescent="0.25">
      <c r="A4133" t="str">
        <f>"20190303162902789"</f>
        <v>20190303162902789</v>
      </c>
      <c r="B4133" t="str">
        <f>"1551601742776289"</f>
        <v>1551601742776289</v>
      </c>
      <c r="C4133" t="s">
        <v>40</v>
      </c>
      <c r="D4133">
        <v>4.654299</v>
      </c>
      <c r="E4133">
        <v>0.48728280000000002</v>
      </c>
      <c r="F4133" t="s">
        <v>41</v>
      </c>
      <c r="G4133">
        <v>-254.75389999999999</v>
      </c>
      <c r="H4133" s="1">
        <v>-2.6228320000000001E-6</v>
      </c>
      <c r="I4133">
        <v>141.08179999999999</v>
      </c>
      <c r="J4133">
        <v>-237.75450000000001</v>
      </c>
      <c r="K4133">
        <v>1.120088</v>
      </c>
      <c r="L4133">
        <v>141.41829999999999</v>
      </c>
      <c r="M4133">
        <v>-0.99993849999999995</v>
      </c>
      <c r="N4133">
        <v>-6.5657240000000002E-3</v>
      </c>
      <c r="O4133">
        <v>-8.9418050000000006E-3</v>
      </c>
      <c r="P4133">
        <v>-0.98621709999999996</v>
      </c>
      <c r="Q4133">
        <v>0.16474539999999999</v>
      </c>
      <c r="R4133">
        <v>1.532968E-2</v>
      </c>
      <c r="S4133">
        <v>-3.0762480000000001</v>
      </c>
      <c r="T4133">
        <v>-0.19922419999999999</v>
      </c>
      <c r="U4133">
        <v>-6.0256959999999998E-2</v>
      </c>
      <c r="V4133">
        <v>2.4310869999999998E-2</v>
      </c>
      <c r="W4133">
        <v>0.17119289999999901</v>
      </c>
      <c r="X4133">
        <v>0.98493750000000002</v>
      </c>
      <c r="Y4133">
        <v>-1.063358E-2</v>
      </c>
      <c r="Z4133">
        <v>1.408735E-4</v>
      </c>
      <c r="AA4133">
        <v>0.99994340000000004</v>
      </c>
      <c r="AB4133">
        <v>30</v>
      </c>
      <c r="AC4133">
        <v>-16.999399999999898</v>
      </c>
      <c r="AD4133">
        <v>-1.120090622832</v>
      </c>
      <c r="AE4133">
        <v>-0.33650000000000002</v>
      </c>
      <c r="AF4133">
        <v>-0.183680818672142</v>
      </c>
      <c r="AG4133">
        <v>-1.120090622832</v>
      </c>
      <c r="AH4133">
        <v>16.928264178757299</v>
      </c>
      <c r="AI4133">
        <v>93.785343421218897</v>
      </c>
      <c r="AJ4133">
        <v>90.621665788556598</v>
      </c>
      <c r="AK4133">
        <v>16.966274480636599</v>
      </c>
      <c r="AL4133">
        <v>80.142815514806102</v>
      </c>
      <c r="AM4133">
        <v>88.586075277335695</v>
      </c>
      <c r="AN4133">
        <v>0.99999995315840695</v>
      </c>
    </row>
    <row r="4134" spans="1:40" x14ac:dyDescent="0.25">
      <c r="A4134" t="str">
        <f>"20190303162902811"</f>
        <v>20190303162902811</v>
      </c>
      <c r="B4134" t="str">
        <f>"1551601742795811"</f>
        <v>1551601742795811</v>
      </c>
      <c r="C4134" t="s">
        <v>40</v>
      </c>
      <c r="D4134">
        <v>5.278213</v>
      </c>
      <c r="E4134">
        <v>0.48724230000000002</v>
      </c>
      <c r="F4134" t="s">
        <v>41</v>
      </c>
      <c r="G4134">
        <v>-255.18440000000001</v>
      </c>
      <c r="H4134" s="1">
        <v>-2.4273579999999999E-6</v>
      </c>
      <c r="I4134">
        <v>141.0412</v>
      </c>
      <c r="J4134">
        <v>-238.04679999999999</v>
      </c>
      <c r="K4134">
        <v>1.120099</v>
      </c>
      <c r="L4134">
        <v>141.4161</v>
      </c>
      <c r="M4134">
        <v>-0.99994209999999994</v>
      </c>
      <c r="N4134">
        <v>-6.5900430000000003E-3</v>
      </c>
      <c r="O4134">
        <v>-8.5188839999999991E-3</v>
      </c>
      <c r="P4134">
        <v>-0.98627039999999999</v>
      </c>
      <c r="Q4134">
        <v>0.1646232</v>
      </c>
      <c r="R4134">
        <v>1.304487E-2</v>
      </c>
      <c r="S4134">
        <v>-3.0759889999999999</v>
      </c>
      <c r="T4134">
        <v>-0.19767219999999999</v>
      </c>
      <c r="U4134">
        <v>-6.6528320000000002E-2</v>
      </c>
      <c r="V4134">
        <v>2.1604539999999998E-2</v>
      </c>
      <c r="W4134">
        <v>0.17109849999999999</v>
      </c>
      <c r="X4134">
        <v>0.98501709999999998</v>
      </c>
      <c r="Y4134">
        <v>-1.3089740000000001E-2</v>
      </c>
      <c r="Z4134" s="1">
        <v>2.7423779999999999E-5</v>
      </c>
      <c r="AA4134">
        <v>0.99991430000000003</v>
      </c>
      <c r="AB4134">
        <v>30</v>
      </c>
      <c r="AC4134">
        <v>-17.137599999999999</v>
      </c>
      <c r="AD4134">
        <v>-1.1201014273579999</v>
      </c>
      <c r="AE4134">
        <v>-0.37489999999999601</v>
      </c>
      <c r="AF4134">
        <v>-0.22791685581690799</v>
      </c>
      <c r="AG4134">
        <v>-1.1201014273579999</v>
      </c>
      <c r="AH4134">
        <v>17.067298065400699</v>
      </c>
      <c r="AI4134">
        <v>93.754518461712095</v>
      </c>
      <c r="AJ4134">
        <v>90.765082891387195</v>
      </c>
      <c r="AK4134">
        <v>17.105532337637602</v>
      </c>
      <c r="AL4134">
        <v>80.148306396723996</v>
      </c>
      <c r="AM4134">
        <v>88.743523820147104</v>
      </c>
      <c r="AN4134">
        <v>1.0000000700716301</v>
      </c>
    </row>
    <row r="4135" spans="1:40" x14ac:dyDescent="0.25">
      <c r="A4135" t="str">
        <f>"20190303162902833"</f>
        <v>20190303162902833</v>
      </c>
      <c r="B4135" t="str">
        <f>"1551601742826066"</f>
        <v>1551601742826066</v>
      </c>
      <c r="C4135" t="s">
        <v>40</v>
      </c>
      <c r="D4135">
        <v>5.2170990000000002</v>
      </c>
      <c r="E4135">
        <v>0.48723100000000003</v>
      </c>
      <c r="F4135" t="s">
        <v>41</v>
      </c>
      <c r="G4135">
        <v>-255.56479999999999</v>
      </c>
      <c r="H4135" s="1">
        <v>-2.2520129999999999E-6</v>
      </c>
      <c r="I4135">
        <v>140.9956</v>
      </c>
      <c r="J4135">
        <v>-238.3631</v>
      </c>
      <c r="K4135">
        <v>1.1201159999999999</v>
      </c>
      <c r="L4135">
        <v>141.41380000000001</v>
      </c>
      <c r="M4135">
        <v>-0.99994530000000004</v>
      </c>
      <c r="N4135">
        <v>-6.6143759999999999E-3</v>
      </c>
      <c r="O4135">
        <v>-8.1011729999999997E-3</v>
      </c>
      <c r="P4135">
        <v>-0.98633930000000003</v>
      </c>
      <c r="Q4135">
        <v>0.16430939999999999</v>
      </c>
      <c r="R4135">
        <v>1.1720909999999999E-2</v>
      </c>
      <c r="S4135">
        <v>-3.0755620000000001</v>
      </c>
      <c r="T4135">
        <v>-0.19665189999999999</v>
      </c>
      <c r="U4135">
        <v>-7.3806759999999999E-2</v>
      </c>
      <c r="V4135">
        <v>1.985922E-2</v>
      </c>
      <c r="W4135">
        <v>0.17081189999999999</v>
      </c>
      <c r="X4135">
        <v>0.98510350000000002</v>
      </c>
      <c r="Y4135">
        <v>-1.5868650000000002E-2</v>
      </c>
      <c r="Z4135" s="1">
        <v>-9.5438499999999998E-5</v>
      </c>
      <c r="AA4135">
        <v>0.99987409999999999</v>
      </c>
      <c r="AB4135">
        <v>30</v>
      </c>
      <c r="AC4135">
        <v>-17.201699999999899</v>
      </c>
      <c r="AD4135">
        <v>-1.120118252013</v>
      </c>
      <c r="AE4135">
        <v>-0.41820000000001201</v>
      </c>
      <c r="AF4135">
        <v>-0.27765267500539798</v>
      </c>
      <c r="AG4135">
        <v>-1.120118252013</v>
      </c>
      <c r="AH4135">
        <v>17.131923835020199</v>
      </c>
      <c r="AI4135">
        <v>93.740294584140599</v>
      </c>
      <c r="AJ4135">
        <v>90.928496647658093</v>
      </c>
      <c r="AK4135">
        <v>17.170747514169602</v>
      </c>
      <c r="AL4135">
        <v>80.164972015727798</v>
      </c>
      <c r="AM4135">
        <v>88.845100657084998</v>
      </c>
      <c r="AN4135">
        <v>0.99999999975643405</v>
      </c>
    </row>
    <row r="4136" spans="1:40" x14ac:dyDescent="0.25">
      <c r="A4136" t="str">
        <f>"20190303162902855"</f>
        <v>20190303162902855</v>
      </c>
      <c r="B4136" t="str">
        <f>"1551601742846562"</f>
        <v>1551601742846562</v>
      </c>
      <c r="C4136" t="s">
        <v>40</v>
      </c>
      <c r="D4136">
        <v>5.2185990000000002</v>
      </c>
      <c r="E4136">
        <v>0.48723260000000002</v>
      </c>
      <c r="F4136" t="s">
        <v>41</v>
      </c>
      <c r="G4136">
        <v>-256.01339999999999</v>
      </c>
      <c r="H4136" s="1">
        <v>-2.0528890000000002E-6</v>
      </c>
      <c r="I4136">
        <v>140.97049999999999</v>
      </c>
      <c r="J4136">
        <v>-238.6651</v>
      </c>
      <c r="K4136">
        <v>1.120158</v>
      </c>
      <c r="L4136">
        <v>141.4117</v>
      </c>
      <c r="M4136">
        <v>-0.99994799999999995</v>
      </c>
      <c r="N4136">
        <v>-6.6359610000000001E-3</v>
      </c>
      <c r="O4136">
        <v>-7.7552990000000002E-3</v>
      </c>
      <c r="P4136">
        <v>-0.98635759999999995</v>
      </c>
      <c r="Q4136">
        <v>0.164299</v>
      </c>
      <c r="R4136">
        <v>1.024022E-2</v>
      </c>
      <c r="S4136">
        <v>-3.0749819999999999</v>
      </c>
      <c r="T4136">
        <v>-0.1951444</v>
      </c>
      <c r="U4136">
        <v>-7.7224730000000005E-2</v>
      </c>
      <c r="V4136">
        <v>1.8023259999999999E-2</v>
      </c>
      <c r="W4136">
        <v>0.17082600000000001</v>
      </c>
      <c r="X4136">
        <v>0.98513640000000002</v>
      </c>
      <c r="Y4136">
        <v>-1.7326210000000002E-2</v>
      </c>
      <c r="Z4136">
        <v>-1.6653300000000001E-4</v>
      </c>
      <c r="AA4136">
        <v>0.99984989999999996</v>
      </c>
      <c r="AB4136">
        <v>31</v>
      </c>
      <c r="AC4136">
        <v>-17.348299999999899</v>
      </c>
      <c r="AD4136">
        <v>-1.1201600528889999</v>
      </c>
      <c r="AE4136">
        <v>-0.44120000000000897</v>
      </c>
      <c r="AF4136">
        <v>-0.30537021976253098</v>
      </c>
      <c r="AG4136">
        <v>-1.1201600528889999</v>
      </c>
      <c r="AH4136">
        <v>17.279207135681901</v>
      </c>
      <c r="AI4136">
        <v>93.708548867381296</v>
      </c>
      <c r="AJ4136">
        <v>91.012465645319693</v>
      </c>
      <c r="AK4136">
        <v>17.318169901955802</v>
      </c>
      <c r="AL4136">
        <v>80.164152527837501</v>
      </c>
      <c r="AM4136">
        <v>88.951879618610306</v>
      </c>
      <c r="AN4136">
        <v>1.0000000433909899</v>
      </c>
    </row>
    <row r="4137" spans="1:40" x14ac:dyDescent="0.25">
      <c r="A4137" t="str">
        <f>"20190303162902876"</f>
        <v>20190303162902876</v>
      </c>
      <c r="B4137" t="str">
        <f>"1551601742866082"</f>
        <v>1551601742866082</v>
      </c>
      <c r="C4137" t="s">
        <v>40</v>
      </c>
      <c r="D4137">
        <v>5.1638659999999996</v>
      </c>
      <c r="E4137">
        <v>0.48732910000000002</v>
      </c>
      <c r="F4137" t="s">
        <v>41</v>
      </c>
      <c r="G4137">
        <v>-256.4871</v>
      </c>
      <c r="H4137" s="1">
        <v>-1.8400759999999999E-6</v>
      </c>
      <c r="I4137">
        <v>140.93440000000001</v>
      </c>
      <c r="J4137">
        <v>-238.95670000000001</v>
      </c>
      <c r="K4137">
        <v>1.120201</v>
      </c>
      <c r="L4137">
        <v>141.40969999999999</v>
      </c>
      <c r="M4137">
        <v>-0.99994989999999995</v>
      </c>
      <c r="N4137">
        <v>-6.6553100000000002E-3</v>
      </c>
      <c r="O4137">
        <v>-7.4822059999999999E-3</v>
      </c>
      <c r="P4137">
        <v>-0.98627200000000004</v>
      </c>
      <c r="Q4137">
        <v>0.16483220000000001</v>
      </c>
      <c r="R4137">
        <v>9.9076070000000006E-3</v>
      </c>
      <c r="S4137">
        <v>-3.074554</v>
      </c>
      <c r="T4137">
        <v>-0.19324430000000001</v>
      </c>
      <c r="U4137">
        <v>-8.2321169999999999E-2</v>
      </c>
      <c r="V4137">
        <v>1.7402879999999999E-2</v>
      </c>
      <c r="W4137">
        <v>0.17138030000000001</v>
      </c>
      <c r="X4137">
        <v>0.98505120000000002</v>
      </c>
      <c r="Y4137">
        <v>-1.9254759999999999E-2</v>
      </c>
      <c r="Z4137">
        <v>-2.4858909999999999E-4</v>
      </c>
      <c r="AA4137">
        <v>0.9998146</v>
      </c>
      <c r="AB4137">
        <v>31</v>
      </c>
      <c r="AC4137">
        <v>-17.530399999999901</v>
      </c>
      <c r="AD4137">
        <v>-1.120202840076</v>
      </c>
      <c r="AE4137">
        <v>-0.47529999999997502</v>
      </c>
      <c r="AF4137">
        <v>-0.342719338174724</v>
      </c>
      <c r="AG4137">
        <v>-1.120202840076</v>
      </c>
      <c r="AH4137">
        <v>17.462214815115999</v>
      </c>
      <c r="AI4137">
        <v>93.669795761464201</v>
      </c>
      <c r="AJ4137">
        <v>91.124362010202802</v>
      </c>
      <c r="AK4137">
        <v>17.501464430067799</v>
      </c>
      <c r="AL4137">
        <v>80.131917360349405</v>
      </c>
      <c r="AM4137">
        <v>88.987861895320094</v>
      </c>
      <c r="AN4137">
        <v>0.99999996704091099</v>
      </c>
    </row>
    <row r="4138" spans="1:40" x14ac:dyDescent="0.25">
      <c r="A4138" t="str">
        <f>"20190303162902898"</f>
        <v>20190303162902898</v>
      </c>
      <c r="B4138" t="str">
        <f>"1551601742885602"</f>
        <v>1551601742885602</v>
      </c>
      <c r="C4138" t="s">
        <v>40</v>
      </c>
      <c r="D4138">
        <v>5.2191660000000004</v>
      </c>
      <c r="E4138">
        <v>0.48742489999999999</v>
      </c>
      <c r="F4138" t="s">
        <v>41</v>
      </c>
      <c r="G4138">
        <v>-257.12349999999998</v>
      </c>
      <c r="H4138" s="1">
        <v>-1.5617560000000001E-6</v>
      </c>
      <c r="I4138">
        <v>140.9145</v>
      </c>
      <c r="J4138">
        <v>-239.2559</v>
      </c>
      <c r="K4138">
        <v>1.1202490000000001</v>
      </c>
      <c r="L4138">
        <v>141.40770000000001</v>
      </c>
      <c r="M4138">
        <v>-0.99995140000000005</v>
      </c>
      <c r="N4138">
        <v>-6.6740829999999999E-3</v>
      </c>
      <c r="O4138">
        <v>-7.2679449999999996E-3</v>
      </c>
      <c r="P4138">
        <v>-0.98633890000000002</v>
      </c>
      <c r="Q4138">
        <v>0.16443379999999999</v>
      </c>
      <c r="R4138">
        <v>9.8853020000000003E-3</v>
      </c>
      <c r="S4138">
        <v>-3.0742950000000002</v>
      </c>
      <c r="T4138">
        <v>-0.1895676</v>
      </c>
      <c r="U4138">
        <v>-8.3786009999999994E-2</v>
      </c>
      <c r="V4138">
        <v>1.714835E-2</v>
      </c>
      <c r="W4138">
        <v>0.17100309999999999</v>
      </c>
      <c r="X4138">
        <v>0.98512129999999998</v>
      </c>
      <c r="Y4138">
        <v>-1.9946490000000001E-2</v>
      </c>
      <c r="Z4138">
        <v>-2.8174379999999999E-4</v>
      </c>
      <c r="AA4138">
        <v>0.99980100000000005</v>
      </c>
      <c r="AB4138">
        <v>31</v>
      </c>
      <c r="AC4138">
        <v>-17.8675999999999</v>
      </c>
      <c r="AD4138">
        <v>-1.1202505617559999</v>
      </c>
      <c r="AE4138">
        <v>-0.49320000000000103</v>
      </c>
      <c r="AF4138">
        <v>-0.36190182155777201</v>
      </c>
      <c r="AG4138">
        <v>-1.1202505617559999</v>
      </c>
      <c r="AH4138">
        <v>17.800791883315998</v>
      </c>
      <c r="AI4138">
        <v>93.600282821660798</v>
      </c>
      <c r="AJ4138">
        <v>91.164700476111506</v>
      </c>
      <c r="AK4138">
        <v>17.8396784142172</v>
      </c>
      <c r="AL4138">
        <v>80.153853985202105</v>
      </c>
      <c r="AM4138">
        <v>89.002733106933306</v>
      </c>
      <c r="AN4138">
        <v>1.00000005091551</v>
      </c>
    </row>
    <row r="4139" spans="1:40" x14ac:dyDescent="0.25">
      <c r="A4139" t="str">
        <f>"20190303162902922"</f>
        <v>20190303162902922</v>
      </c>
      <c r="B4139" t="str">
        <f>"1551601742915858"</f>
        <v>1551601742915858</v>
      </c>
      <c r="C4139" t="s">
        <v>40</v>
      </c>
      <c r="D4139">
        <v>5.167897</v>
      </c>
      <c r="E4139">
        <v>0.48753439999999998</v>
      </c>
      <c r="F4139" t="s">
        <v>41</v>
      </c>
      <c r="G4139">
        <v>-257.45549999999997</v>
      </c>
      <c r="H4139" s="1">
        <v>-1.420369E-6</v>
      </c>
      <c r="I4139">
        <v>140.91839999999999</v>
      </c>
      <c r="J4139">
        <v>-239.58359999999999</v>
      </c>
      <c r="K4139">
        <v>1.1203000000000001</v>
      </c>
      <c r="L4139">
        <v>141.40549999999999</v>
      </c>
      <c r="M4139">
        <v>-0.99995239999999996</v>
      </c>
      <c r="N4139">
        <v>-6.693737E-3</v>
      </c>
      <c r="O4139">
        <v>-7.1012849999999997E-3</v>
      </c>
      <c r="P4139">
        <v>-0.986375</v>
      </c>
      <c r="Q4139">
        <v>0.16425580000000001</v>
      </c>
      <c r="R4139">
        <v>9.1822989999999997E-3</v>
      </c>
      <c r="S4139">
        <v>-3.0739290000000001</v>
      </c>
      <c r="T4139">
        <v>-0.18921170000000001</v>
      </c>
      <c r="U4139">
        <v>-8.2626340000000006E-2</v>
      </c>
      <c r="V4139">
        <v>1.62583E-2</v>
      </c>
      <c r="W4139">
        <v>0.17084759999999999</v>
      </c>
      <c r="X4139">
        <v>0.98516329999999996</v>
      </c>
      <c r="Y4139">
        <v>-1.973973E-2</v>
      </c>
      <c r="Z4139">
        <v>-2.8387330000000002E-4</v>
      </c>
      <c r="AA4139">
        <v>0.9998051</v>
      </c>
      <c r="AB4139">
        <v>31</v>
      </c>
      <c r="AC4139">
        <v>-17.871899999999901</v>
      </c>
      <c r="AD4139">
        <v>-1.120301420369</v>
      </c>
      <c r="AE4139">
        <v>-0.48709999999999798</v>
      </c>
      <c r="AF4139">
        <v>-0.35876273844895401</v>
      </c>
      <c r="AG4139">
        <v>-1.120301420369</v>
      </c>
      <c r="AH4139">
        <v>17.8049971052376</v>
      </c>
      <c r="AI4139">
        <v>93.599610871831601</v>
      </c>
      <c r="AJ4139">
        <v>91.154328160136103</v>
      </c>
      <c r="AK4139">
        <v>17.8438142753308</v>
      </c>
      <c r="AL4139">
        <v>80.162895856432499</v>
      </c>
      <c r="AM4139">
        <v>89.054524851825505</v>
      </c>
      <c r="AN4139">
        <v>0.99999998120576905</v>
      </c>
    </row>
    <row r="4140" spans="1:40" x14ac:dyDescent="0.25">
      <c r="A4140" t="str">
        <f>"20190303162902946"</f>
        <v>20190303162902946</v>
      </c>
      <c r="B4140" t="str">
        <f>"1551601742935378"</f>
        <v>1551601742935378</v>
      </c>
      <c r="C4140" t="s">
        <v>40</v>
      </c>
      <c r="D4140">
        <v>5.1603760000000003</v>
      </c>
      <c r="E4140">
        <v>0.4876298</v>
      </c>
      <c r="F4140" t="s">
        <v>41</v>
      </c>
      <c r="G4140">
        <v>-257.93119999999999</v>
      </c>
      <c r="H4140" s="1">
        <v>-1.21437E-6</v>
      </c>
      <c r="I4140">
        <v>140.9111</v>
      </c>
      <c r="J4140">
        <v>-239.90880000000001</v>
      </c>
      <c r="K4140">
        <v>1.1203449999999999</v>
      </c>
      <c r="L4140">
        <v>141.4033</v>
      </c>
      <c r="M4140">
        <v>-0.99995319999999999</v>
      </c>
      <c r="N4140">
        <v>-6.7121969999999996E-3</v>
      </c>
      <c r="O4140">
        <v>-6.9971290000000004E-3</v>
      </c>
      <c r="P4140">
        <v>-0.98614849999999998</v>
      </c>
      <c r="Q4140">
        <v>0.16567519999999999</v>
      </c>
      <c r="R4140">
        <v>7.9571769999999993E-3</v>
      </c>
      <c r="S4140">
        <v>-3.0734560000000002</v>
      </c>
      <c r="T4140">
        <v>-0.18766550000000001</v>
      </c>
      <c r="U4140">
        <v>-8.2809450000000007E-2</v>
      </c>
      <c r="V4140">
        <v>1.491164E-2</v>
      </c>
      <c r="W4140">
        <v>0.17228550000000001</v>
      </c>
      <c r="X4140">
        <v>0.98493419999999998</v>
      </c>
      <c r="Y4140">
        <v>-1.9907439999999998E-2</v>
      </c>
      <c r="Z4140">
        <v>-2.9415540000000002E-4</v>
      </c>
      <c r="AA4140">
        <v>0.99980179999999996</v>
      </c>
      <c r="AB4140">
        <v>31</v>
      </c>
      <c r="AC4140">
        <v>-18.022399999999902</v>
      </c>
      <c r="AD4140">
        <v>-1.12034621437</v>
      </c>
      <c r="AE4140">
        <v>-0.49219999999999597</v>
      </c>
      <c r="AF4140">
        <v>-0.364671899351387</v>
      </c>
      <c r="AG4140">
        <v>-1.12034621437</v>
      </c>
      <c r="AH4140">
        <v>17.956065598663098</v>
      </c>
      <c r="AI4140">
        <v>93.569536009030998</v>
      </c>
      <c r="AJ4140">
        <v>91.163466944618307</v>
      </c>
      <c r="AK4140">
        <v>17.994678463860399</v>
      </c>
      <c r="AL4140">
        <v>80.079270623015702</v>
      </c>
      <c r="AM4140">
        <v>89.132623510133399</v>
      </c>
      <c r="AN4140">
        <v>1.00000001442368</v>
      </c>
    </row>
    <row r="4141" spans="1:40" x14ac:dyDescent="0.25">
      <c r="A4141" t="str">
        <f>"20190303162902966"</f>
        <v>20190303162902966</v>
      </c>
      <c r="B4141" t="str">
        <f>"1551601742955874"</f>
        <v>1551601742955874</v>
      </c>
      <c r="C4141" t="s">
        <v>40</v>
      </c>
      <c r="D4141">
        <v>5.2201829999999996</v>
      </c>
      <c r="E4141">
        <v>0.48771639999999999</v>
      </c>
      <c r="F4141" t="s">
        <v>41</v>
      </c>
      <c r="G4141">
        <v>-258.78449999999998</v>
      </c>
      <c r="H4141" s="1">
        <v>-8.4063849999999995E-7</v>
      </c>
      <c r="I4141">
        <v>140.88220000000001</v>
      </c>
      <c r="J4141">
        <v>-240.20259999999999</v>
      </c>
      <c r="K4141">
        <v>1.1203780000000001</v>
      </c>
      <c r="L4141">
        <v>141.40119999999999</v>
      </c>
      <c r="M4141">
        <v>-0.99995339999999999</v>
      </c>
      <c r="N4141">
        <v>-6.7280350000000003E-3</v>
      </c>
      <c r="O4141">
        <v>-6.9379059999999998E-3</v>
      </c>
      <c r="P4141">
        <v>-0.98594059999999994</v>
      </c>
      <c r="Q4141">
        <v>0.16695860000000001</v>
      </c>
      <c r="R4141">
        <v>6.7934220000000003E-3</v>
      </c>
      <c r="S4141">
        <v>-3.0734710000000001</v>
      </c>
      <c r="T4141">
        <v>-0.18242340000000001</v>
      </c>
      <c r="U4141">
        <v>-8.4823609999999994E-2</v>
      </c>
      <c r="V4141">
        <v>1.367703E-2</v>
      </c>
      <c r="W4141">
        <v>0.17358409999999999</v>
      </c>
      <c r="X4141">
        <v>0.98472400000000004</v>
      </c>
      <c r="Y4141">
        <v>-2.0621250000000001E-2</v>
      </c>
      <c r="Z4141">
        <v>-3.1607070000000002E-4</v>
      </c>
      <c r="AA4141">
        <v>0.99978730000000005</v>
      </c>
      <c r="AB4141">
        <v>31</v>
      </c>
      <c r="AC4141">
        <v>-18.581899999999901</v>
      </c>
      <c r="AD4141">
        <v>-1.1203788406385</v>
      </c>
      <c r="AE4141">
        <v>-0.51899999999997704</v>
      </c>
      <c r="AF4141">
        <v>-0.38865332765566701</v>
      </c>
      <c r="AG4141">
        <v>-1.1203788406385</v>
      </c>
      <c r="AH4141">
        <v>18.5177869356109</v>
      </c>
      <c r="AI4141">
        <v>93.461576718624102</v>
      </c>
      <c r="AJ4141">
        <v>91.202353531287301</v>
      </c>
      <c r="AK4141">
        <v>18.555719688234401</v>
      </c>
      <c r="AL4141">
        <v>80.003727273867995</v>
      </c>
      <c r="AM4141">
        <v>89.204258542785396</v>
      </c>
      <c r="AN4141">
        <v>0.99999992854921205</v>
      </c>
    </row>
    <row r="4142" spans="1:40" x14ac:dyDescent="0.25">
      <c r="A4142" t="str">
        <f>"20190303162902989"</f>
        <v>20190303162902989</v>
      </c>
      <c r="B4142" t="str">
        <f>"1551601742975394"</f>
        <v>1551601742975394</v>
      </c>
      <c r="C4142" t="s">
        <v>40</v>
      </c>
      <c r="D4142">
        <v>5.2152570000000003</v>
      </c>
      <c r="E4142">
        <v>0.487846</v>
      </c>
      <c r="F4142" t="s">
        <v>41</v>
      </c>
      <c r="G4142">
        <v>-259.61309999999997</v>
      </c>
      <c r="H4142" s="1">
        <v>-4.7798599999999995E-7</v>
      </c>
      <c r="I4142">
        <v>140.8552</v>
      </c>
      <c r="J4142">
        <v>-240.51159999999999</v>
      </c>
      <c r="K4142">
        <v>1.1203970000000001</v>
      </c>
      <c r="L4142">
        <v>141.39920000000001</v>
      </c>
      <c r="M4142">
        <v>-0.99995350000000005</v>
      </c>
      <c r="N4142">
        <v>-6.7439600000000002E-3</v>
      </c>
      <c r="O4142">
        <v>-6.8980450000000002E-3</v>
      </c>
      <c r="P4142">
        <v>-0.98575749999999995</v>
      </c>
      <c r="Q4142">
        <v>0.16809260000000001</v>
      </c>
      <c r="R4142">
        <v>5.214008E-3</v>
      </c>
      <c r="S4142">
        <v>-3.07341</v>
      </c>
      <c r="T4142">
        <v>-0.17739839999999901</v>
      </c>
      <c r="U4142">
        <v>-8.6441039999999997E-2</v>
      </c>
      <c r="V4142">
        <v>1.204991E-2</v>
      </c>
      <c r="W4142">
        <v>0.174734</v>
      </c>
      <c r="X4142">
        <v>0.98454200000000003</v>
      </c>
      <c r="Y4142">
        <v>-2.1187770000000002E-2</v>
      </c>
      <c r="Z4142">
        <v>-3.3112279999999999E-4</v>
      </c>
      <c r="AA4142">
        <v>0.99977550000000004</v>
      </c>
      <c r="AB4142">
        <v>31</v>
      </c>
      <c r="AC4142">
        <v>-19.101499999999898</v>
      </c>
      <c r="AD4142">
        <v>-1.12039747798599</v>
      </c>
      <c r="AE4142">
        <v>-0.54400000000001103</v>
      </c>
      <c r="AF4142">
        <v>-0.41080885545740498</v>
      </c>
      <c r="AG4142">
        <v>-1.12039747798599</v>
      </c>
      <c r="AH4142">
        <v>19.039348199190901</v>
      </c>
      <c r="AI4142">
        <v>93.366985793449601</v>
      </c>
      <c r="AJ4142">
        <v>91.236069725504095</v>
      </c>
      <c r="AK4142">
        <v>19.076709209778201</v>
      </c>
      <c r="AL4142">
        <v>79.936821686227006</v>
      </c>
      <c r="AM4142">
        <v>89.298786119640596</v>
      </c>
      <c r="AN4142">
        <v>1.0000000604254999</v>
      </c>
    </row>
    <row r="4143" spans="1:40" x14ac:dyDescent="0.25">
      <c r="A4143" t="str">
        <f>"20190303162903012"</f>
        <v>20190303162903012</v>
      </c>
      <c r="B4143" t="str">
        <f>"1551601743005650"</f>
        <v>1551601743005650</v>
      </c>
      <c r="C4143" t="s">
        <v>40</v>
      </c>
      <c r="D4143">
        <v>5.1615070000000003</v>
      </c>
      <c r="E4143">
        <v>0.4880468</v>
      </c>
      <c r="F4143" t="s">
        <v>41</v>
      </c>
      <c r="G4143">
        <v>-260.4085</v>
      </c>
      <c r="H4143" s="1">
        <v>-4.3502780000000003E-6</v>
      </c>
      <c r="I4143">
        <v>140.8185</v>
      </c>
      <c r="J4143">
        <v>-240.834</v>
      </c>
      <c r="K4143">
        <v>1.120412</v>
      </c>
      <c r="L4143">
        <v>141.39699999999999</v>
      </c>
      <c r="M4143">
        <v>-0.99995369999999995</v>
      </c>
      <c r="N4143">
        <v>-6.7600189999999999E-3</v>
      </c>
      <c r="O4143">
        <v>-6.868379E-3</v>
      </c>
      <c r="P4143">
        <v>-0.98563290000000003</v>
      </c>
      <c r="Q4143">
        <v>0.1688616</v>
      </c>
      <c r="R4143">
        <v>3.7253149999999999E-3</v>
      </c>
      <c r="S4143">
        <v>-3.0733640000000002</v>
      </c>
      <c r="T4143">
        <v>-0.17306240000000001</v>
      </c>
      <c r="U4143">
        <v>-8.9675899999999906E-2</v>
      </c>
      <c r="V4143">
        <v>1.0526799999999999E-2</v>
      </c>
      <c r="W4143">
        <v>0.17551849999999999</v>
      </c>
      <c r="X4143">
        <v>0.98441979999999996</v>
      </c>
      <c r="Y4143">
        <v>-2.2268630000000001E-2</v>
      </c>
      <c r="Z4143">
        <v>-3.6172960000000002E-4</v>
      </c>
      <c r="AA4143">
        <v>0.99975199999999997</v>
      </c>
      <c r="AB4143">
        <v>31</v>
      </c>
      <c r="AC4143">
        <v>-19.5745</v>
      </c>
      <c r="AD4143">
        <v>-1.120416350278</v>
      </c>
      <c r="AE4143">
        <v>-0.578500000000019</v>
      </c>
      <c r="AF4143">
        <v>-0.44258944574738102</v>
      </c>
      <c r="AG4143">
        <v>-1.120416350278</v>
      </c>
      <c r="AH4143">
        <v>19.514134249322399</v>
      </c>
      <c r="AI4143">
        <v>93.285222655859798</v>
      </c>
      <c r="AJ4143">
        <v>91.299271602393802</v>
      </c>
      <c r="AK4143">
        <v>19.551282661657599</v>
      </c>
      <c r="AL4143">
        <v>79.891166481878699</v>
      </c>
      <c r="AM4143">
        <v>89.387336354022594</v>
      </c>
      <c r="AN4143">
        <v>0.99999994999626296</v>
      </c>
    </row>
    <row r="4144" spans="1:40" x14ac:dyDescent="0.25">
      <c r="A4144" t="str">
        <f>"20190303162903033"</f>
        <v>20190303162903033</v>
      </c>
      <c r="B4144" t="str">
        <f>"1551601743026146"</f>
        <v>1551601743026146</v>
      </c>
      <c r="C4144" t="s">
        <v>40</v>
      </c>
      <c r="D4144">
        <v>5.2328060000000001</v>
      </c>
      <c r="E4144">
        <v>0.48814570000000002</v>
      </c>
      <c r="F4144" t="s">
        <v>41</v>
      </c>
      <c r="G4144">
        <v>-261.1078</v>
      </c>
      <c r="H4144" s="1">
        <v>-4.107422E-6</v>
      </c>
      <c r="I4144">
        <v>140.79089999999999</v>
      </c>
      <c r="J4144">
        <v>-241.13759999999999</v>
      </c>
      <c r="K4144">
        <v>1.1204229999999999</v>
      </c>
      <c r="L4144">
        <v>141.39490000000001</v>
      </c>
      <c r="M4144">
        <v>-0.9999536</v>
      </c>
      <c r="N4144">
        <v>-6.774675E-3</v>
      </c>
      <c r="O4144">
        <v>-6.8390150000000004E-3</v>
      </c>
      <c r="P4144">
        <v>-0.98541140000000005</v>
      </c>
      <c r="Q4144">
        <v>0.17015820000000001</v>
      </c>
      <c r="R4144">
        <v>3.238487E-3</v>
      </c>
      <c r="S4144">
        <v>-3.0731959999999998</v>
      </c>
      <c r="T4144">
        <v>-0.16983809999999999</v>
      </c>
      <c r="U4144">
        <v>-9.1857910000000001E-2</v>
      </c>
      <c r="V4144">
        <v>1.0008019999999999E-2</v>
      </c>
      <c r="W4144">
        <v>0.17682809999999999</v>
      </c>
      <c r="X4144">
        <v>0.98419089999999998</v>
      </c>
      <c r="Y4144">
        <v>-2.3008500000000001E-2</v>
      </c>
      <c r="Z4144">
        <v>-3.8189419999999999E-4</v>
      </c>
      <c r="AA4144">
        <v>0.99973520000000005</v>
      </c>
      <c r="AB4144">
        <v>31</v>
      </c>
      <c r="AC4144">
        <v>-19.970199999999998</v>
      </c>
      <c r="AD4144">
        <v>-1.120427107422</v>
      </c>
      <c r="AE4144">
        <v>-0.60400000000001297</v>
      </c>
      <c r="AF4144">
        <v>-0.46594090121290399</v>
      </c>
      <c r="AG4144">
        <v>-1.120427107422</v>
      </c>
      <c r="AH4144">
        <v>19.911245157321201</v>
      </c>
      <c r="AI4144">
        <v>93.219818803910499</v>
      </c>
      <c r="AJ4144">
        <v>91.340527703038106</v>
      </c>
      <c r="AK4144">
        <v>19.948186422364699</v>
      </c>
      <c r="AL4144">
        <v>79.814940517739501</v>
      </c>
      <c r="AM4144">
        <v>89.417391947083303</v>
      </c>
      <c r="AN4144">
        <v>1.00000003252836</v>
      </c>
    </row>
    <row r="4145" spans="1:40" x14ac:dyDescent="0.25">
      <c r="A4145" t="str">
        <f>"20190303162903056"</f>
        <v>20190303162903056</v>
      </c>
      <c r="B4145" t="str">
        <f>"1551601743045666"</f>
        <v>1551601743045666</v>
      </c>
      <c r="C4145" t="s">
        <v>40</v>
      </c>
      <c r="D4145">
        <v>5.2929899999999996</v>
      </c>
      <c r="E4145">
        <v>0.48818</v>
      </c>
      <c r="F4145" t="s">
        <v>41</v>
      </c>
      <c r="G4145">
        <v>-262.04689999999999</v>
      </c>
      <c r="H4145" s="1">
        <v>-3.699044E-6</v>
      </c>
      <c r="I4145">
        <v>140.7621</v>
      </c>
      <c r="J4145">
        <v>-241.45519999999999</v>
      </c>
      <c r="K4145">
        <v>1.1204270000000001</v>
      </c>
      <c r="L4145">
        <v>141.39279999999999</v>
      </c>
      <c r="M4145">
        <v>-0.99995400000000001</v>
      </c>
      <c r="N4145">
        <v>-6.7894829999999998E-3</v>
      </c>
      <c r="O4145">
        <v>-6.796135E-3</v>
      </c>
      <c r="P4145">
        <v>-0.98523839999999996</v>
      </c>
      <c r="Q4145">
        <v>0.17114550000000001</v>
      </c>
      <c r="R4145">
        <v>3.8552539999999998E-3</v>
      </c>
      <c r="S4145">
        <v>-3.0731809999999999</v>
      </c>
      <c r="T4145">
        <v>-0.16467689999999999</v>
      </c>
      <c r="U4145">
        <v>-9.3002319999999999E-2</v>
      </c>
      <c r="V4145">
        <v>1.058215E-2</v>
      </c>
      <c r="W4145">
        <v>0.1778286</v>
      </c>
      <c r="X4145">
        <v>0.98400460000000001</v>
      </c>
      <c r="Y4145">
        <v>-2.3424420000000001E-2</v>
      </c>
      <c r="Z4145">
        <v>-3.8889920000000002E-4</v>
      </c>
      <c r="AA4145">
        <v>0.99972550000000004</v>
      </c>
      <c r="AB4145">
        <v>31</v>
      </c>
      <c r="AC4145">
        <v>-20.591699999999999</v>
      </c>
      <c r="AD4145">
        <v>-1.1204306990440001</v>
      </c>
      <c r="AE4145">
        <v>-0.63069999999999005</v>
      </c>
      <c r="AF4145">
        <v>-0.48929099854876001</v>
      </c>
      <c r="AG4145">
        <v>-1.1204306990440001</v>
      </c>
      <c r="AH4145">
        <v>20.534771769508701</v>
      </c>
      <c r="AI4145">
        <v>93.122225919864704</v>
      </c>
      <c r="AJ4145">
        <v>91.364953349795798</v>
      </c>
      <c r="AK4145">
        <v>20.571135657965801</v>
      </c>
      <c r="AL4145">
        <v>79.756692867276797</v>
      </c>
      <c r="AM4145">
        <v>89.383855358988001</v>
      </c>
      <c r="AN4145">
        <v>1.0000000228488699</v>
      </c>
    </row>
    <row r="4146" spans="1:40" x14ac:dyDescent="0.25">
      <c r="A4146" t="str">
        <f>"20190303162903077"</f>
        <v>20190303162903077</v>
      </c>
      <c r="B4146" t="str">
        <f>"1551601743066163"</f>
        <v>1551601743066163</v>
      </c>
      <c r="C4146" t="s">
        <v>40</v>
      </c>
      <c r="D4146">
        <v>5.2471519999999998</v>
      </c>
      <c r="E4146">
        <v>0.4881992</v>
      </c>
      <c r="F4146" t="s">
        <v>41</v>
      </c>
      <c r="G4146">
        <v>-262.98750000000001</v>
      </c>
      <c r="H4146" s="1">
        <v>-3.2913959999999998E-6</v>
      </c>
      <c r="I4146">
        <v>140.7465</v>
      </c>
      <c r="J4146">
        <v>-241.75819999999999</v>
      </c>
      <c r="K4146">
        <v>1.120422</v>
      </c>
      <c r="L4146">
        <v>141.39080000000001</v>
      </c>
      <c r="M4146">
        <v>-0.99995420000000002</v>
      </c>
      <c r="N4146">
        <v>-6.803201E-3</v>
      </c>
      <c r="O4146">
        <v>-6.7346069999999897E-3</v>
      </c>
      <c r="P4146">
        <v>-0.98528890000000002</v>
      </c>
      <c r="Q4146">
        <v>0.17083400000000001</v>
      </c>
      <c r="R4146">
        <v>4.665265E-3</v>
      </c>
      <c r="S4146">
        <v>-3.0730900000000001</v>
      </c>
      <c r="T4146">
        <v>-0.15990760000000001</v>
      </c>
      <c r="U4146">
        <v>-9.2224120000000007E-2</v>
      </c>
      <c r="V4146">
        <v>1.133516E-2</v>
      </c>
      <c r="W4146">
        <v>0.17753060000000001</v>
      </c>
      <c r="X4146">
        <v>0.98404999999999998</v>
      </c>
      <c r="Y4146">
        <v>-2.323567E-2</v>
      </c>
      <c r="Z4146">
        <v>-3.7877880000000003E-4</v>
      </c>
      <c r="AA4146">
        <v>0.99972989999999995</v>
      </c>
      <c r="AB4146">
        <v>31</v>
      </c>
      <c r="AC4146">
        <v>-21.229299999999999</v>
      </c>
      <c r="AD4146">
        <v>-1.120425291396</v>
      </c>
      <c r="AE4146">
        <v>-0.64430000000001497</v>
      </c>
      <c r="AF4146">
        <v>-0.49991987241506097</v>
      </c>
      <c r="AG4146">
        <v>-1.120425291396</v>
      </c>
      <c r="AH4146">
        <v>21.174232386866102</v>
      </c>
      <c r="AI4146">
        <v>93.028114085358993</v>
      </c>
      <c r="AJ4146">
        <v>91.352491929280504</v>
      </c>
      <c r="AK4146">
        <v>21.2097475205492</v>
      </c>
      <c r="AL4146">
        <v>79.774042854702699</v>
      </c>
      <c r="AM4146">
        <v>89.340045621609406</v>
      </c>
      <c r="AN4146">
        <v>1.00000000114429</v>
      </c>
    </row>
    <row r="4147" spans="1:40" x14ac:dyDescent="0.25">
      <c r="A4147" t="str">
        <f>"20190303162903100"</f>
        <v>20190303162903100</v>
      </c>
      <c r="B4147" t="str">
        <f>"1551601743095443"</f>
        <v>1551601743095443</v>
      </c>
      <c r="C4147" t="s">
        <v>40</v>
      </c>
      <c r="D4147">
        <v>5.1784039999999996</v>
      </c>
      <c r="E4147">
        <v>0.42429230000000001</v>
      </c>
      <c r="F4147" t="s">
        <v>41</v>
      </c>
      <c r="G4147">
        <v>-263.25569999999999</v>
      </c>
      <c r="H4147" s="1">
        <v>-3.1804230000000001E-6</v>
      </c>
      <c r="I4147">
        <v>140.7619</v>
      </c>
      <c r="J4147">
        <v>-242.071</v>
      </c>
      <c r="K4147">
        <v>1.120414</v>
      </c>
      <c r="L4147">
        <v>141.3887</v>
      </c>
      <c r="M4147">
        <v>-0.99995480000000003</v>
      </c>
      <c r="N4147">
        <v>-6.8171339999999999E-3</v>
      </c>
      <c r="O4147">
        <v>-6.6429840000000002E-3</v>
      </c>
      <c r="P4147">
        <v>-0.98545400000000005</v>
      </c>
      <c r="Q4147">
        <v>0.1698865</v>
      </c>
      <c r="R4147">
        <v>4.4181089999999999E-3</v>
      </c>
      <c r="S4147">
        <v>-3.0729980000000001</v>
      </c>
      <c r="T4147">
        <v>-0.16016140000000001</v>
      </c>
      <c r="U4147">
        <v>-8.9889529999999995E-2</v>
      </c>
      <c r="V4147">
        <v>1.1004949999999999E-2</v>
      </c>
      <c r="W4147">
        <v>0.17659810000000001</v>
      </c>
      <c r="X4147">
        <v>0.98422149999999997</v>
      </c>
      <c r="Y4147">
        <v>-2.2570150000000001E-2</v>
      </c>
      <c r="Z4147">
        <v>-3.6399529999999998E-4</v>
      </c>
      <c r="AA4147">
        <v>0.9997452</v>
      </c>
      <c r="AB4147">
        <v>32</v>
      </c>
      <c r="AC4147">
        <v>-21.1846999999999</v>
      </c>
      <c r="AD4147">
        <v>-1.1204171804230001</v>
      </c>
      <c r="AE4147">
        <v>-0.62680000000000202</v>
      </c>
      <c r="AF4147">
        <v>-0.48469870372908602</v>
      </c>
      <c r="AG4147">
        <v>-1.1204171804230001</v>
      </c>
      <c r="AH4147">
        <v>21.129346320737501</v>
      </c>
      <c r="AI4147">
        <v>93.0345601368697</v>
      </c>
      <c r="AJ4147">
        <v>91.3141116566335</v>
      </c>
      <c r="AK4147">
        <v>21.164582288182501</v>
      </c>
      <c r="AL4147">
        <v>79.828328707537096</v>
      </c>
      <c r="AM4147">
        <v>89.359381080911007</v>
      </c>
      <c r="AN4147">
        <v>0.99999997945518104</v>
      </c>
    </row>
    <row r="4148" spans="1:40" x14ac:dyDescent="0.25">
      <c r="A4148" t="str">
        <f>"20190303162903123"</f>
        <v>20190303162903123</v>
      </c>
      <c r="B4148" t="str">
        <f>"1551601743115938"</f>
        <v>1551601743115938</v>
      </c>
      <c r="C4148" t="s">
        <v>40</v>
      </c>
      <c r="D4148">
        <v>5.2716729999999998</v>
      </c>
      <c r="E4148">
        <v>0.4097344</v>
      </c>
      <c r="F4148" t="s">
        <v>41</v>
      </c>
      <c r="G4148">
        <v>-257.74169999999998</v>
      </c>
      <c r="H4148" s="1">
        <v>-1.1777040000000001E-6</v>
      </c>
      <c r="I4148">
        <v>138.33879999999999</v>
      </c>
      <c r="J4148">
        <v>-242.4067</v>
      </c>
      <c r="K4148">
        <v>1.120393</v>
      </c>
      <c r="L4148">
        <v>141.38669999999999</v>
      </c>
      <c r="M4148">
        <v>-0.9999555</v>
      </c>
      <c r="N4148">
        <v>-6.8317019999999899E-3</v>
      </c>
      <c r="O4148">
        <v>-6.5050380000000003E-3</v>
      </c>
      <c r="P4148">
        <v>-0.98542050000000003</v>
      </c>
      <c r="Q4148">
        <v>0.17008860000000001</v>
      </c>
      <c r="R4148">
        <v>4.0485900000000003E-3</v>
      </c>
      <c r="S4148">
        <v>-3.084991</v>
      </c>
      <c r="T4148">
        <v>-0.2205694</v>
      </c>
      <c r="U4148">
        <v>-0.60040280000000001</v>
      </c>
      <c r="V4148">
        <v>1.050944E-2</v>
      </c>
      <c r="W4148">
        <v>0.17681359999999999</v>
      </c>
      <c r="X4148">
        <v>0.98418830000000002</v>
      </c>
      <c r="Y4148">
        <v>-0.1841624</v>
      </c>
      <c r="Z4148">
        <v>-6.733943E-3</v>
      </c>
      <c r="AA4148">
        <v>0.98287279999999999</v>
      </c>
      <c r="AB4148">
        <v>32</v>
      </c>
      <c r="AC4148">
        <v>-15.3349999999999</v>
      </c>
      <c r="AD4148">
        <v>-1.1203941777040001</v>
      </c>
      <c r="AE4148">
        <v>-3.0478999999999901</v>
      </c>
      <c r="AF4148">
        <v>-2.93301711044721</v>
      </c>
      <c r="AG4148">
        <v>-1.1203941777040001</v>
      </c>
      <c r="AH4148">
        <v>15.2760587272248</v>
      </c>
      <c r="AI4148">
        <v>94.1197592131672</v>
      </c>
      <c r="AJ4148">
        <v>100.868575385429</v>
      </c>
      <c r="AK4148">
        <v>15.595378889954301</v>
      </c>
      <c r="AL4148">
        <v>79.815784824342003</v>
      </c>
      <c r="AM4148">
        <v>89.388202773916603</v>
      </c>
      <c r="AN4148">
        <v>1.0000000536654801</v>
      </c>
    </row>
    <row r="4149" spans="1:40" x14ac:dyDescent="0.25">
      <c r="A4149" t="str">
        <f>"20190303162903147"</f>
        <v>20190303162903147</v>
      </c>
      <c r="B4149" t="str">
        <f>"1551601743135458"</f>
        <v>1551601743135458</v>
      </c>
      <c r="C4149" t="s">
        <v>40</v>
      </c>
      <c r="D4149">
        <v>5.2035339999999897</v>
      </c>
      <c r="E4149">
        <v>0.4052925</v>
      </c>
      <c r="F4149" t="s">
        <v>41</v>
      </c>
      <c r="G4149">
        <v>-257.20729999999998</v>
      </c>
      <c r="H4149" s="1">
        <v>-1.476093E-6</v>
      </c>
      <c r="I4149">
        <v>137.94909999999999</v>
      </c>
      <c r="J4149">
        <v>-242.744</v>
      </c>
      <c r="K4149">
        <v>1.1203639999999999</v>
      </c>
      <c r="L4149">
        <v>141.38460000000001</v>
      </c>
      <c r="M4149">
        <v>-0.99995670000000003</v>
      </c>
      <c r="N4149">
        <v>-6.8461340000000002E-3</v>
      </c>
      <c r="O4149">
        <v>-6.3074009999999998E-3</v>
      </c>
      <c r="P4149">
        <v>-0.98512540000000004</v>
      </c>
      <c r="Q4149">
        <v>0.17177690000000001</v>
      </c>
      <c r="R4149">
        <v>4.5189660000000001E-3</v>
      </c>
      <c r="S4149">
        <v>-3.0876769999999998</v>
      </c>
      <c r="T4149">
        <v>-0.23373650000000001</v>
      </c>
      <c r="U4149">
        <v>-0.71711729999999996</v>
      </c>
      <c r="V4149">
        <v>1.079869E-2</v>
      </c>
      <c r="W4149">
        <v>0.1785127</v>
      </c>
      <c r="X4149">
        <v>0.98387840000000004</v>
      </c>
      <c r="Y4149">
        <v>-0.2194439</v>
      </c>
      <c r="Z4149">
        <v>-8.5198530000000008E-3</v>
      </c>
      <c r="AA4149">
        <v>0.97558789999999995</v>
      </c>
      <c r="AB4149">
        <v>32</v>
      </c>
      <c r="AC4149">
        <v>-14.463299999999901</v>
      </c>
      <c r="AD4149">
        <v>-1.120365476093</v>
      </c>
      <c r="AE4149">
        <v>-3.43550000000001</v>
      </c>
      <c r="AF4149">
        <v>-3.3253159366833098</v>
      </c>
      <c r="AG4149">
        <v>-1.120365476093</v>
      </c>
      <c r="AH4149">
        <v>14.4028737236859</v>
      </c>
      <c r="AI4149">
        <v>94.334375851069098</v>
      </c>
      <c r="AJ4149">
        <v>103.000568528597</v>
      </c>
      <c r="AK4149">
        <v>14.8241598878055</v>
      </c>
      <c r="AL4149">
        <v>79.716859765836901</v>
      </c>
      <c r="AM4149">
        <v>89.371167698690499</v>
      </c>
      <c r="AN4149">
        <v>1.0000000508767799</v>
      </c>
    </row>
    <row r="4150" spans="1:40" x14ac:dyDescent="0.25">
      <c r="A4150" t="str">
        <f>"20190303162903169"</f>
        <v>20190303162903169</v>
      </c>
      <c r="B4150" t="str">
        <f>"1551601743155954"</f>
        <v>1551601743155954</v>
      </c>
      <c r="C4150" t="s">
        <v>40</v>
      </c>
      <c r="D4150">
        <v>5.2003069999999996</v>
      </c>
      <c r="E4150">
        <v>0.40406989999999998</v>
      </c>
      <c r="F4150" t="s">
        <v>41</v>
      </c>
      <c r="G4150">
        <v>-257.65199999999999</v>
      </c>
      <c r="H4150" s="1">
        <v>-1.318707E-6</v>
      </c>
      <c r="I4150">
        <v>137.76070000000001</v>
      </c>
      <c r="J4150">
        <v>-243.05850000000001</v>
      </c>
      <c r="K4150">
        <v>1.1203259999999999</v>
      </c>
      <c r="L4150">
        <v>141.3828</v>
      </c>
      <c r="M4150">
        <v>-0.99995820000000002</v>
      </c>
      <c r="N4150">
        <v>-6.859464E-3</v>
      </c>
      <c r="O4150">
        <v>-6.0669239999999996E-3</v>
      </c>
      <c r="P4150">
        <v>-0.98492219999999997</v>
      </c>
      <c r="Q4150">
        <v>0.17292829999999901</v>
      </c>
      <c r="R4150">
        <v>4.928343E-3</v>
      </c>
      <c r="S4150">
        <v>-3.0892179999999998</v>
      </c>
      <c r="T4150">
        <v>-0.23216029999999999</v>
      </c>
      <c r="U4150">
        <v>-0.75091549999999996</v>
      </c>
      <c r="V4150">
        <v>1.098817E-2</v>
      </c>
      <c r="W4150">
        <v>0.17967520000000001</v>
      </c>
      <c r="X4150">
        <v>0.9836646</v>
      </c>
      <c r="Y4150">
        <v>-0.22964219999999999</v>
      </c>
      <c r="Z4150">
        <v>-8.8860520000000002E-3</v>
      </c>
      <c r="AA4150">
        <v>0.9732345</v>
      </c>
      <c r="AB4150">
        <v>32</v>
      </c>
      <c r="AC4150">
        <v>-14.593499999999899</v>
      </c>
      <c r="AD4150">
        <v>-1.120327318707</v>
      </c>
      <c r="AE4150">
        <v>-3.6220999999999801</v>
      </c>
      <c r="AF4150">
        <v>-3.5139857870083699</v>
      </c>
      <c r="AG4150">
        <v>-1.120327318707</v>
      </c>
      <c r="AH4150">
        <v>14.534518837178201</v>
      </c>
      <c r="AI4150">
        <v>94.284702744585204</v>
      </c>
      <c r="AJ4150">
        <v>103.591492458376</v>
      </c>
      <c r="AK4150">
        <v>14.995181467412401</v>
      </c>
      <c r="AL4150">
        <v>79.649158103298106</v>
      </c>
      <c r="AM4150">
        <v>89.359995692968795</v>
      </c>
      <c r="AN4150">
        <v>0.99999998133407397</v>
      </c>
    </row>
    <row r="4151" spans="1:40" x14ac:dyDescent="0.25">
      <c r="A4151" t="str">
        <f>"20190303162903189"</f>
        <v>20190303162903189</v>
      </c>
      <c r="B4151" t="str">
        <f>"1551601743175474"</f>
        <v>1551601743175474</v>
      </c>
      <c r="C4151" t="s">
        <v>40</v>
      </c>
      <c r="D4151">
        <v>5.2178940000000003</v>
      </c>
      <c r="E4151">
        <v>0.40364129999999998</v>
      </c>
      <c r="F4151" t="s">
        <v>41</v>
      </c>
      <c r="G4151">
        <v>-258.05369999999999</v>
      </c>
      <c r="H4151" s="1">
        <v>-1.158155E-6</v>
      </c>
      <c r="I4151">
        <v>137.7004</v>
      </c>
      <c r="J4151">
        <v>-243.34800000000001</v>
      </c>
      <c r="K4151">
        <v>1.120282</v>
      </c>
      <c r="L4151">
        <v>141.38130000000001</v>
      </c>
      <c r="M4151">
        <v>-0.99995959999999995</v>
      </c>
      <c r="N4151">
        <v>-6.8715520000000004E-3</v>
      </c>
      <c r="O4151">
        <v>-5.8015430000000002E-3</v>
      </c>
      <c r="P4151">
        <v>-0.9848884</v>
      </c>
      <c r="Q4151">
        <v>0.17313589999999901</v>
      </c>
      <c r="R4151">
        <v>4.369571E-3</v>
      </c>
      <c r="S4151">
        <v>-3.0902400000000001</v>
      </c>
      <c r="T4151">
        <v>-0.23088</v>
      </c>
      <c r="U4151">
        <v>-0.75888059999999902</v>
      </c>
      <c r="V4151">
        <v>1.018495E-2</v>
      </c>
      <c r="W4151">
        <v>0.17989330000000001</v>
      </c>
      <c r="X4151">
        <v>0.98363339999999999</v>
      </c>
      <c r="Y4151">
        <v>-0.2321927</v>
      </c>
      <c r="Z4151">
        <v>-8.9588910000000001E-3</v>
      </c>
      <c r="AA4151">
        <v>0.97262850000000001</v>
      </c>
      <c r="AB4151">
        <v>32</v>
      </c>
      <c r="AC4151">
        <v>-14.7057</v>
      </c>
      <c r="AD4151">
        <v>-1.1202831581549999</v>
      </c>
      <c r="AE4151">
        <v>-3.6808999999999998</v>
      </c>
      <c r="AF4151">
        <v>-3.5759908644379399</v>
      </c>
      <c r="AG4151">
        <v>-1.1202831581549999</v>
      </c>
      <c r="AH4151">
        <v>14.6468177920119</v>
      </c>
      <c r="AI4151">
        <v>94.249493279491702</v>
      </c>
      <c r="AJ4151">
        <v>103.720238378836</v>
      </c>
      <c r="AK4151">
        <v>15.1185983625925</v>
      </c>
      <c r="AL4151">
        <v>79.636455094578196</v>
      </c>
      <c r="AM4151">
        <v>89.406756830513999</v>
      </c>
      <c r="AN4151">
        <v>0.99999999909347603</v>
      </c>
    </row>
    <row r="4152" spans="1:40" x14ac:dyDescent="0.25">
      <c r="A4152" t="str">
        <f>"20190303162903212"</f>
        <v>20190303162903212</v>
      </c>
      <c r="B4152" t="str">
        <f>"1551601743205730"</f>
        <v>1551601743205730</v>
      </c>
      <c r="C4152" t="s">
        <v>40</v>
      </c>
      <c r="D4152">
        <v>5.2299429999999996</v>
      </c>
      <c r="E4152">
        <v>0.40297149999999998</v>
      </c>
      <c r="F4152" t="s">
        <v>41</v>
      </c>
      <c r="G4152">
        <v>-258.2124</v>
      </c>
      <c r="H4152" s="1">
        <v>-1.101976E-6</v>
      </c>
      <c r="I4152">
        <v>137.70849999999999</v>
      </c>
      <c r="J4152">
        <v>-243.6823</v>
      </c>
      <c r="K4152">
        <v>1.120233</v>
      </c>
      <c r="L4152">
        <v>141.37970000000001</v>
      </c>
      <c r="M4152">
        <v>-0.99996160000000001</v>
      </c>
      <c r="N4152">
        <v>-6.8853810000000003E-3</v>
      </c>
      <c r="O4152">
        <v>-5.4308350000000002E-3</v>
      </c>
      <c r="P4152">
        <v>-0.98477599999999998</v>
      </c>
      <c r="Q4152">
        <v>0.17379240000000001</v>
      </c>
      <c r="R4152">
        <v>3.5237810000000001E-3</v>
      </c>
      <c r="S4152">
        <v>-3.0903930000000002</v>
      </c>
      <c r="T4152">
        <v>-0.23291329999999999</v>
      </c>
      <c r="U4152">
        <v>-0.76358029999999999</v>
      </c>
      <c r="V4152">
        <v>8.9954049999999997E-3</v>
      </c>
      <c r="W4152">
        <v>0.18056259999999999</v>
      </c>
      <c r="X4152">
        <v>0.98352240000000002</v>
      </c>
      <c r="Y4152">
        <v>-0.2339195</v>
      </c>
      <c r="Z4152">
        <v>-9.1251509999999997E-3</v>
      </c>
      <c r="AA4152">
        <v>0.97221310000000005</v>
      </c>
      <c r="AB4152">
        <v>32</v>
      </c>
      <c r="AC4152">
        <v>-14.530099999999999</v>
      </c>
      <c r="AD4152">
        <v>-1.120234101976</v>
      </c>
      <c r="AE4152">
        <v>-3.6712000000000198</v>
      </c>
      <c r="AF4152">
        <v>-3.5722739162066799</v>
      </c>
      <c r="AG4152">
        <v>-1.120234101976</v>
      </c>
      <c r="AH4152">
        <v>14.468980788930301</v>
      </c>
      <c r="AI4152">
        <v>94.298619042927399</v>
      </c>
      <c r="AJ4152">
        <v>103.86851472310499</v>
      </c>
      <c r="AK4152">
        <v>14.9454832791073</v>
      </c>
      <c r="AL4152">
        <v>79.597469056153201</v>
      </c>
      <c r="AM4152">
        <v>89.475981054456796</v>
      </c>
      <c r="AN4152">
        <v>1.00000004056581</v>
      </c>
    </row>
    <row r="4153" spans="1:40" x14ac:dyDescent="0.25">
      <c r="A4153" t="str">
        <f>"20190303162903235"</f>
        <v>20190303162903235</v>
      </c>
      <c r="B4153" t="str">
        <f>"1551601743226226"</f>
        <v>1551601743226226</v>
      </c>
      <c r="C4153" t="s">
        <v>40</v>
      </c>
      <c r="D4153">
        <v>5.2560129999999896</v>
      </c>
      <c r="E4153">
        <v>0.40269690000000002</v>
      </c>
      <c r="F4153" t="s">
        <v>41</v>
      </c>
      <c r="G4153">
        <v>-258.15910000000002</v>
      </c>
      <c r="H4153" s="1">
        <v>-1.1040079999999999E-6</v>
      </c>
      <c r="I4153">
        <v>137.76900000000001</v>
      </c>
      <c r="J4153">
        <v>-244.00919999999999</v>
      </c>
      <c r="K4153">
        <v>1.1201779999999999</v>
      </c>
      <c r="L4153">
        <v>141.3783</v>
      </c>
      <c r="M4153">
        <v>-0.99996390000000002</v>
      </c>
      <c r="N4153">
        <v>-6.898848E-3</v>
      </c>
      <c r="O4153">
        <v>-4.9959669999999996E-3</v>
      </c>
      <c r="P4153">
        <v>-0.98470219999999997</v>
      </c>
      <c r="Q4153">
        <v>0.17422460000000001</v>
      </c>
      <c r="R4153">
        <v>2.7520650000000002E-3</v>
      </c>
      <c r="S4153">
        <v>-3.0913539999999999</v>
      </c>
      <c r="T4153">
        <v>-0.2392126</v>
      </c>
      <c r="U4153">
        <v>-0.77101140000000001</v>
      </c>
      <c r="V4153">
        <v>7.8186269999999999E-3</v>
      </c>
      <c r="W4153">
        <v>0.18100720000000001</v>
      </c>
      <c r="X4153">
        <v>0.98345070000000001</v>
      </c>
      <c r="Y4153">
        <v>-0.23642929999999901</v>
      </c>
      <c r="Z4153">
        <v>-9.4796020000000002E-3</v>
      </c>
      <c r="AA4153">
        <v>0.97160239999999998</v>
      </c>
      <c r="AB4153">
        <v>32</v>
      </c>
      <c r="AC4153">
        <v>-14.149900000000001</v>
      </c>
      <c r="AD4153">
        <v>-1.120179104008</v>
      </c>
      <c r="AE4153">
        <v>-3.60929999999999</v>
      </c>
      <c r="AF4153">
        <v>-3.5178608085591301</v>
      </c>
      <c r="AG4153">
        <v>-1.120179104008</v>
      </c>
      <c r="AH4153">
        <v>14.0848765571351</v>
      </c>
      <c r="AI4153">
        <v>94.412221083817201</v>
      </c>
      <c r="AJ4153">
        <v>104.02338502238899</v>
      </c>
      <c r="AK4153">
        <v>14.5606968762895</v>
      </c>
      <c r="AL4153">
        <v>79.571568242798193</v>
      </c>
      <c r="AM4153">
        <v>89.544496850856305</v>
      </c>
      <c r="AN4153">
        <v>1.0000000083552401</v>
      </c>
    </row>
    <row r="4154" spans="1:40" x14ac:dyDescent="0.25">
      <c r="A4154" t="str">
        <f>"20190303162903256"</f>
        <v>20190303162903256</v>
      </c>
      <c r="B4154" t="str">
        <f>"1551601743245746"</f>
        <v>1551601743245746</v>
      </c>
      <c r="C4154" t="s">
        <v>40</v>
      </c>
      <c r="D4154">
        <v>5.2809670000000004</v>
      </c>
      <c r="E4154">
        <v>0.40245950000000003</v>
      </c>
      <c r="F4154" t="s">
        <v>41</v>
      </c>
      <c r="G4154">
        <v>-258.334</v>
      </c>
      <c r="H4154" s="1">
        <v>-1.0394519999999999E-6</v>
      </c>
      <c r="I4154">
        <v>137.78799999999899</v>
      </c>
      <c r="J4154">
        <v>-244.32339999999999</v>
      </c>
      <c r="K4154">
        <v>1.120125</v>
      </c>
      <c r="L4154">
        <v>141.37719999999999</v>
      </c>
      <c r="M4154">
        <v>-0.99996600000000002</v>
      </c>
      <c r="N4154">
        <v>-6.9117939999999998E-3</v>
      </c>
      <c r="O4154">
        <v>-4.5062449999999999E-3</v>
      </c>
      <c r="P4154">
        <v>-0.98461379999999998</v>
      </c>
      <c r="Q4154">
        <v>0.17471619999999999</v>
      </c>
      <c r="R4154">
        <v>3.1262009999999999E-3</v>
      </c>
      <c r="S4154">
        <v>-3.0915530000000002</v>
      </c>
      <c r="T4154">
        <v>-0.24175679999999999</v>
      </c>
      <c r="U4154">
        <v>-0.77484129999999996</v>
      </c>
      <c r="V4154">
        <v>7.7353439999999999E-3</v>
      </c>
      <c r="W4154">
        <v>0.18151039999999999</v>
      </c>
      <c r="X4154">
        <v>0.98335859999999997</v>
      </c>
      <c r="Y4154">
        <v>-0.2380024</v>
      </c>
      <c r="Z4154">
        <v>-9.6712410000000006E-3</v>
      </c>
      <c r="AA4154">
        <v>0.97121639999999998</v>
      </c>
      <c r="AB4154">
        <v>32</v>
      </c>
      <c r="AC4154">
        <v>-14.0106</v>
      </c>
      <c r="AD4154">
        <v>-1.1201260394520001</v>
      </c>
      <c r="AE4154">
        <v>-3.5891999999999999</v>
      </c>
      <c r="AF4154">
        <v>-3.5050034237765799</v>
      </c>
      <c r="AG4154">
        <v>-1.1201260394520001</v>
      </c>
      <c r="AH4154">
        <v>13.9430001541782</v>
      </c>
      <c r="AI4154">
        <v>94.455032870936805</v>
      </c>
      <c r="AJ4154">
        <v>104.110682931412</v>
      </c>
      <c r="AK4154">
        <v>14.4203670079633</v>
      </c>
      <c r="AL4154">
        <v>79.542251281383798</v>
      </c>
      <c r="AM4154">
        <v>89.549306404456203</v>
      </c>
      <c r="AN4154">
        <v>0.99999999852445898</v>
      </c>
    </row>
    <row r="4155" spans="1:40" x14ac:dyDescent="0.25">
      <c r="A4155" t="str">
        <f>"20190303162903277"</f>
        <v>20190303162903277</v>
      </c>
      <c r="B4155" t="str">
        <f>"1551601743266242"</f>
        <v>1551601743266242</v>
      </c>
      <c r="C4155" t="s">
        <v>40</v>
      </c>
      <c r="D4155">
        <v>5.2683600000000004</v>
      </c>
      <c r="E4155">
        <v>0.40216869999999999</v>
      </c>
      <c r="F4155" t="s">
        <v>41</v>
      </c>
      <c r="G4155">
        <v>-258.59629999999999</v>
      </c>
      <c r="H4155" s="1">
        <v>-9.4749449999999999E-7</v>
      </c>
      <c r="I4155">
        <v>137.79810000000001</v>
      </c>
      <c r="J4155">
        <v>-244.6318</v>
      </c>
      <c r="K4155">
        <v>1.1200680000000001</v>
      </c>
      <c r="L4155">
        <v>141.37629999999999</v>
      </c>
      <c r="M4155">
        <v>-0.99996830000000003</v>
      </c>
      <c r="N4155">
        <v>-6.927351E-3</v>
      </c>
      <c r="O4155">
        <v>-3.9560790000000004E-3</v>
      </c>
      <c r="P4155">
        <v>-0.98454280000000005</v>
      </c>
      <c r="Q4155">
        <v>0.17507619999999999</v>
      </c>
      <c r="R4155">
        <v>4.8956670000000002E-3</v>
      </c>
      <c r="S4155">
        <v>-3.0923919999999998</v>
      </c>
      <c r="T4155">
        <v>-0.24268870000000001</v>
      </c>
      <c r="U4155">
        <v>-0.77543640000000003</v>
      </c>
      <c r="V4155">
        <v>8.9896530000000002E-3</v>
      </c>
      <c r="W4155">
        <v>0.18188270000000001</v>
      </c>
      <c r="X4155">
        <v>0.98327920000000002</v>
      </c>
      <c r="Y4155">
        <v>-0.23864179999999999</v>
      </c>
      <c r="Z4155">
        <v>-9.7701449999999992E-3</v>
      </c>
      <c r="AA4155">
        <v>0.97105850000000005</v>
      </c>
      <c r="AB4155">
        <v>32</v>
      </c>
      <c r="AC4155">
        <v>-13.9644999999999</v>
      </c>
      <c r="AD4155">
        <v>-1.1200689474945</v>
      </c>
      <c r="AE4155">
        <v>-3.5781999999999798</v>
      </c>
      <c r="AF4155">
        <v>-3.5017857201710698</v>
      </c>
      <c r="AG4155">
        <v>-1.1200689474945</v>
      </c>
      <c r="AH4155">
        <v>13.8946645549615</v>
      </c>
      <c r="AI4155">
        <v>94.469563550949701</v>
      </c>
      <c r="AJ4155">
        <v>104.145323988226</v>
      </c>
      <c r="AK4155">
        <v>14.3728480396906</v>
      </c>
      <c r="AL4155">
        <v>79.520559614667604</v>
      </c>
      <c r="AM4155">
        <v>89.476186594717504</v>
      </c>
      <c r="AN4155">
        <v>1.00000005778649</v>
      </c>
    </row>
    <row r="4156" spans="1:40" x14ac:dyDescent="0.25">
      <c r="A4156" t="str">
        <f>"20190303162903301"</f>
        <v>20190303162903301</v>
      </c>
      <c r="B4156" t="str">
        <f>"1551601743295522"</f>
        <v>1551601743295522</v>
      </c>
      <c r="C4156" t="s">
        <v>40</v>
      </c>
      <c r="D4156">
        <v>5.6898679999999997</v>
      </c>
      <c r="E4156">
        <v>0.40240100000000001</v>
      </c>
      <c r="F4156" t="s">
        <v>41</v>
      </c>
      <c r="G4156">
        <v>-258.8322</v>
      </c>
      <c r="H4156" s="1">
        <v>-8.5765499999999999E-7</v>
      </c>
      <c r="I4156">
        <v>137.834</v>
      </c>
      <c r="J4156">
        <v>-244.9753</v>
      </c>
      <c r="K4156">
        <v>1.120012</v>
      </c>
      <c r="L4156">
        <v>141.37549999999999</v>
      </c>
      <c r="M4156">
        <v>-0.99997060000000004</v>
      </c>
      <c r="N4156">
        <v>-6.9490180000000004E-3</v>
      </c>
      <c r="O4156">
        <v>-3.2686759999999999E-3</v>
      </c>
      <c r="P4156">
        <v>-0.98450820000000006</v>
      </c>
      <c r="Q4156">
        <v>0.17517530000000001</v>
      </c>
      <c r="R4156">
        <v>7.5959699999999996E-3</v>
      </c>
      <c r="S4156">
        <v>-3.09436</v>
      </c>
      <c r="T4156">
        <v>-0.2440705</v>
      </c>
      <c r="U4156">
        <v>-0.77186580000000005</v>
      </c>
      <c r="V4156">
        <v>1.104277E-2</v>
      </c>
      <c r="W4156">
        <v>0.18199850000000001</v>
      </c>
      <c r="X4156">
        <v>0.98323680000000002</v>
      </c>
      <c r="Y4156">
        <v>-0.23810129999999999</v>
      </c>
      <c r="Z4156">
        <v>-9.8447459999999997E-3</v>
      </c>
      <c r="AA4156">
        <v>0.97119049999999996</v>
      </c>
      <c r="AB4156">
        <v>32</v>
      </c>
      <c r="AC4156">
        <v>-13.8568999999999</v>
      </c>
      <c r="AD4156">
        <v>-1.1200128576549999</v>
      </c>
      <c r="AE4156">
        <v>-3.5414999999999801</v>
      </c>
      <c r="AF4156">
        <v>-3.4748767661914601</v>
      </c>
      <c r="AG4156">
        <v>-1.1200128576549999</v>
      </c>
      <c r="AH4156">
        <v>13.7838733532117</v>
      </c>
      <c r="AI4156">
        <v>94.505038590138298</v>
      </c>
      <c r="AJ4156">
        <v>104.14928344745699</v>
      </c>
      <c r="AK4156">
        <v>14.2591851786457</v>
      </c>
      <c r="AL4156">
        <v>79.513811541219297</v>
      </c>
      <c r="AM4156">
        <v>89.356535968908503</v>
      </c>
      <c r="AN4156">
        <v>1.00000000082288</v>
      </c>
    </row>
    <row r="4157" spans="1:40" x14ac:dyDescent="0.25">
      <c r="A4157" t="str">
        <f>"20190303162903323"</f>
        <v>20190303162903323</v>
      </c>
      <c r="B4157" t="str">
        <f>"1551601743316018"</f>
        <v>1551601743316018</v>
      </c>
      <c r="C4157" t="s">
        <v>40</v>
      </c>
      <c r="D4157">
        <v>5.2959820000000004</v>
      </c>
      <c r="E4157">
        <v>0.4733349</v>
      </c>
      <c r="F4157" t="s">
        <v>41</v>
      </c>
      <c r="G4157">
        <v>-259.286</v>
      </c>
      <c r="H4157" s="1">
        <v>-6.9680689999999998E-7</v>
      </c>
      <c r="I4157">
        <v>137.85810000000001</v>
      </c>
      <c r="J4157">
        <v>-245.30549999999999</v>
      </c>
      <c r="K4157">
        <v>1.1199539999999999</v>
      </c>
      <c r="L4157">
        <v>141.3751</v>
      </c>
      <c r="M4157">
        <v>-0.99997250000000004</v>
      </c>
      <c r="N4157">
        <v>-6.9757119999999898E-3</v>
      </c>
      <c r="O4157">
        <v>-2.5375879999999999E-3</v>
      </c>
      <c r="P4157">
        <v>-0.98460270000000005</v>
      </c>
      <c r="Q4157">
        <v>0.17448810000000001</v>
      </c>
      <c r="R4157">
        <v>1.056634E-2</v>
      </c>
      <c r="S4157">
        <v>-3.0961910000000001</v>
      </c>
      <c r="T4157">
        <v>-0.24232029999999999</v>
      </c>
      <c r="U4157">
        <v>-0.76100159999999994</v>
      </c>
      <c r="V4157">
        <v>1.331973E-2</v>
      </c>
      <c r="W4157">
        <v>0.18133360000000001</v>
      </c>
      <c r="X4157">
        <v>0.98333139999999997</v>
      </c>
      <c r="Y4157">
        <v>-0.235481</v>
      </c>
      <c r="Z4157">
        <v>-9.7231639999999994E-3</v>
      </c>
      <c r="AA4157">
        <v>0.97183030000000004</v>
      </c>
      <c r="AB4157">
        <v>33</v>
      </c>
      <c r="AC4157">
        <v>-13.980499999999999</v>
      </c>
      <c r="AD4157">
        <v>-1.1199546968068901</v>
      </c>
      <c r="AE4157">
        <v>-3.5169999999999901</v>
      </c>
      <c r="AF4157">
        <v>-3.4606248178666701</v>
      </c>
      <c r="AG4157">
        <v>-1.1199546968068901</v>
      </c>
      <c r="AH4157">
        <v>13.9054549461109</v>
      </c>
      <c r="AI4157">
        <v>94.468964306357407</v>
      </c>
      <c r="AJ4157">
        <v>103.975191608738</v>
      </c>
      <c r="AK4157">
        <v>14.373305114386699</v>
      </c>
      <c r="AL4157">
        <v>79.552551770048296</v>
      </c>
      <c r="AM4157">
        <v>89.2239466338456</v>
      </c>
      <c r="AN4157">
        <v>0.99999996596109497</v>
      </c>
    </row>
    <row r="4158" spans="1:40" x14ac:dyDescent="0.25">
      <c r="A4158" t="str">
        <f>"20190303162903348"</f>
        <v>20190303162903348</v>
      </c>
      <c r="B4158" t="str">
        <f>"1551601743335538"</f>
        <v>1551601743335538</v>
      </c>
      <c r="C4158" t="s">
        <v>40</v>
      </c>
      <c r="D4158">
        <v>5.1973779999999996</v>
      </c>
      <c r="E4158">
        <v>0.54173090000000002</v>
      </c>
      <c r="F4158" t="s">
        <v>56</v>
      </c>
      <c r="G4158">
        <v>-312.7038</v>
      </c>
      <c r="H4158" s="1">
        <v>-7.7423959999999997E-6</v>
      </c>
      <c r="I4158">
        <v>137.3047</v>
      </c>
      <c r="J4158">
        <v>-245.65819999999999</v>
      </c>
      <c r="K4158">
        <v>1.119896</v>
      </c>
      <c r="L4158">
        <v>141.3751</v>
      </c>
      <c r="M4158">
        <v>-0.99997409999999998</v>
      </c>
      <c r="N4158">
        <v>-7.0136369999999996E-3</v>
      </c>
      <c r="O4158">
        <v>-1.6896249999999999E-3</v>
      </c>
      <c r="P4158">
        <v>-0.98471500000000001</v>
      </c>
      <c r="Q4158">
        <v>0.1736019</v>
      </c>
      <c r="R4158">
        <v>1.410845E-2</v>
      </c>
      <c r="S4158">
        <v>-3.0579070000000002</v>
      </c>
      <c r="T4158">
        <v>-5.0813440000000001E-2</v>
      </c>
      <c r="U4158">
        <v>-0.18467710000000001</v>
      </c>
      <c r="V4158">
        <v>1.6050709999999999E-2</v>
      </c>
      <c r="W4158">
        <v>0.18047920000000001</v>
      </c>
      <c r="X4158">
        <v>0.98344779999999998</v>
      </c>
      <c r="Y4158">
        <v>-5.8585400000000003E-2</v>
      </c>
      <c r="Z4158">
        <v>-6.7573079999999998E-4</v>
      </c>
      <c r="AA4158">
        <v>0.99828220000000001</v>
      </c>
      <c r="AB4158">
        <v>33</v>
      </c>
      <c r="AC4158">
        <v>-67.045599999999993</v>
      </c>
      <c r="AD4158">
        <v>-1.1199037423960001</v>
      </c>
      <c r="AE4158">
        <v>-4.0704000000000002</v>
      </c>
      <c r="AF4158">
        <v>-3.9560097796590599</v>
      </c>
      <c r="AG4158">
        <v>-1.1199037423960001</v>
      </c>
      <c r="AH4158">
        <v>67.033747462816194</v>
      </c>
      <c r="AI4158">
        <v>90.955464606991001</v>
      </c>
      <c r="AJ4158">
        <v>93.377404388440596</v>
      </c>
      <c r="AK4158">
        <v>67.159716323683298</v>
      </c>
      <c r="AL4158">
        <v>79.602326609928099</v>
      </c>
      <c r="AM4158">
        <v>89.064966844729</v>
      </c>
      <c r="AN4158">
        <v>0.99999997112449102</v>
      </c>
    </row>
    <row r="4159" spans="1:40" x14ac:dyDescent="0.25">
      <c r="A4159" t="str">
        <f>"20190303162903373"</f>
        <v>20190303162903373</v>
      </c>
      <c r="B4159" t="str">
        <f>"1551601743365794"</f>
        <v>1551601743365794</v>
      </c>
      <c r="C4159" t="s">
        <v>40</v>
      </c>
      <c r="D4159">
        <v>5.0594380000000001</v>
      </c>
      <c r="E4159">
        <v>0.55423330000000004</v>
      </c>
      <c r="F4159" t="s">
        <v>41</v>
      </c>
      <c r="G4159">
        <v>-275.2482</v>
      </c>
      <c r="H4159" s="1">
        <v>-3.438317E-6</v>
      </c>
      <c r="I4159">
        <v>144.96209999999999</v>
      </c>
      <c r="J4159">
        <v>-246.02170000000001</v>
      </c>
      <c r="K4159">
        <v>1.11985</v>
      </c>
      <c r="L4159">
        <v>141.37530000000001</v>
      </c>
      <c r="M4159">
        <v>-0.99997480000000005</v>
      </c>
      <c r="N4159">
        <v>-7.0621099999999999E-3</v>
      </c>
      <c r="O4159">
        <v>-7.6904509999999905E-4</v>
      </c>
      <c r="P4159">
        <v>-0.98492939999999995</v>
      </c>
      <c r="Q4159">
        <v>0.17193259999999999</v>
      </c>
      <c r="R4159">
        <v>1.8793810000000001E-2</v>
      </c>
      <c r="S4159">
        <v>-3.0616759999999998</v>
      </c>
      <c r="T4159">
        <v>-0.1158761</v>
      </c>
      <c r="U4159">
        <v>0.37115480000000001</v>
      </c>
      <c r="V4159">
        <v>1.9847529999999999E-2</v>
      </c>
      <c r="W4159">
        <v>0.1788515</v>
      </c>
      <c r="X4159">
        <v>0.98367590000000005</v>
      </c>
      <c r="Y4159">
        <v>0.1210065</v>
      </c>
      <c r="Z4159">
        <v>2.7333290000000001E-3</v>
      </c>
      <c r="AA4159">
        <v>0.99264790000000003</v>
      </c>
      <c r="AB4159">
        <v>33</v>
      </c>
      <c r="AC4159">
        <v>-29.226499999999898</v>
      </c>
      <c r="AD4159">
        <v>-1.119853438317</v>
      </c>
      <c r="AE4159">
        <v>3.5867999999999798</v>
      </c>
      <c r="AF4159">
        <v>3.60406322147578</v>
      </c>
      <c r="AG4159">
        <v>-1.119853438317</v>
      </c>
      <c r="AH4159">
        <v>29.181525874822899</v>
      </c>
      <c r="AI4159">
        <v>92.181115802974006</v>
      </c>
      <c r="AJ4159">
        <v>82.959340687510405</v>
      </c>
      <c r="AK4159">
        <v>29.424561098012401</v>
      </c>
      <c r="AL4159">
        <v>79.697130231197804</v>
      </c>
      <c r="AM4159">
        <v>88.844105642522607</v>
      </c>
      <c r="AN4159">
        <v>1.00000002987008</v>
      </c>
    </row>
    <row r="4160" spans="1:40" x14ac:dyDescent="0.25">
      <c r="A4160" t="str">
        <f>"20190303162903401"</f>
        <v>20190303162903401</v>
      </c>
      <c r="B4160" t="str">
        <f>"1551601743396050"</f>
        <v>1551601743396050</v>
      </c>
      <c r="C4160" t="s">
        <v>40</v>
      </c>
      <c r="D4160">
        <v>5.0199439999999997</v>
      </c>
      <c r="E4160">
        <v>0.55506480000000002</v>
      </c>
      <c r="F4160" t="s">
        <v>41</v>
      </c>
      <c r="G4160">
        <v>-268.67129999999997</v>
      </c>
      <c r="H4160" s="1">
        <v>-1.9762729999999999E-6</v>
      </c>
      <c r="I4160">
        <v>144.96780000000001</v>
      </c>
      <c r="J4160">
        <v>-246.44309999999999</v>
      </c>
      <c r="K4160">
        <v>1.1198140000000001</v>
      </c>
      <c r="L4160">
        <v>141.37610000000001</v>
      </c>
      <c r="M4160">
        <v>-0.99997449999999999</v>
      </c>
      <c r="N4160">
        <v>-7.1439169999999996E-3</v>
      </c>
      <c r="O4160">
        <v>3.373111E-4</v>
      </c>
      <c r="P4160">
        <v>-0.98515520000000001</v>
      </c>
      <c r="Q4160">
        <v>0.17017929999999901</v>
      </c>
      <c r="R4160">
        <v>2.254631E-2</v>
      </c>
      <c r="S4160">
        <v>-3.0630489999999999</v>
      </c>
      <c r="T4160">
        <v>-0.1514452</v>
      </c>
      <c r="U4160">
        <v>0.48583979999999999</v>
      </c>
      <c r="V4160">
        <v>2.2525070000000001E-2</v>
      </c>
      <c r="W4160">
        <v>0.17717349999999901</v>
      </c>
      <c r="X4160">
        <v>0.98392179999999996</v>
      </c>
      <c r="Y4160">
        <v>0.15610850000000001</v>
      </c>
      <c r="Z4160">
        <v>4.3802299999999997E-3</v>
      </c>
      <c r="AA4160">
        <v>0.9877302</v>
      </c>
      <c r="AB4160">
        <v>33</v>
      </c>
      <c r="AC4160">
        <v>-22.228199999999902</v>
      </c>
      <c r="AD4160">
        <v>-1.11981597627299</v>
      </c>
      <c r="AE4160">
        <v>3.5916999999999999</v>
      </c>
      <c r="AF4160">
        <v>3.57535855875649</v>
      </c>
      <c r="AG4160">
        <v>-1.11981597627299</v>
      </c>
      <c r="AH4160">
        <v>22.174564118524501</v>
      </c>
      <c r="AI4160">
        <v>92.854181822977097</v>
      </c>
      <c r="AJ4160">
        <v>80.8406347947261</v>
      </c>
      <c r="AK4160">
        <v>22.488852138136</v>
      </c>
      <c r="AL4160">
        <v>79.794832410200598</v>
      </c>
      <c r="AM4160">
        <v>88.688548164746805</v>
      </c>
      <c r="AN4160">
        <v>0.99999996819799697</v>
      </c>
    </row>
    <row r="4161" spans="1:40" x14ac:dyDescent="0.25">
      <c r="A4161" t="str">
        <f>"20190303162903424"</f>
        <v>20190303162903424</v>
      </c>
      <c r="B4161" t="str">
        <f>"1551601743415570"</f>
        <v>1551601743415570</v>
      </c>
      <c r="C4161" t="s">
        <v>40</v>
      </c>
      <c r="D4161">
        <v>4.9735569999999996</v>
      </c>
      <c r="E4161">
        <v>0.55494759999999999</v>
      </c>
      <c r="F4161" t="s">
        <v>41</v>
      </c>
      <c r="G4161">
        <v>-268.0206</v>
      </c>
      <c r="H4161" s="1">
        <v>-2.2460959999999999E-6</v>
      </c>
      <c r="I4161">
        <v>144.93279999999999</v>
      </c>
      <c r="J4161">
        <v>-246.7825</v>
      </c>
      <c r="K4161">
        <v>1.1198049999999999</v>
      </c>
      <c r="L4161">
        <v>141.37710000000001</v>
      </c>
      <c r="M4161">
        <v>-0.999973</v>
      </c>
      <c r="N4161">
        <v>-7.2297669999999998E-3</v>
      </c>
      <c r="O4161">
        <v>1.2479240000000001E-3</v>
      </c>
      <c r="P4161">
        <v>-0.98523340000000004</v>
      </c>
      <c r="Q4161">
        <v>0.1695371</v>
      </c>
      <c r="R4161">
        <v>2.3924500000000001E-2</v>
      </c>
      <c r="S4161">
        <v>-3.0611109999999999</v>
      </c>
      <c r="T4161">
        <v>-0.1588638</v>
      </c>
      <c r="U4161">
        <v>0.50459290000000001</v>
      </c>
      <c r="V4161">
        <v>2.3015359999999999E-2</v>
      </c>
      <c r="W4161">
        <v>0.17661399999999999</v>
      </c>
      <c r="X4161">
        <v>0.98401110000000003</v>
      </c>
      <c r="Y4161">
        <v>0.16117329999999999</v>
      </c>
      <c r="Z4161">
        <v>4.6831149999999998E-3</v>
      </c>
      <c r="AA4161">
        <v>0.98691499999999999</v>
      </c>
      <c r="AB4161">
        <v>33</v>
      </c>
      <c r="AC4161">
        <v>-21.238099999999999</v>
      </c>
      <c r="AD4161">
        <v>-1.119807246096</v>
      </c>
      <c r="AE4161">
        <v>3.5556999999999701</v>
      </c>
      <c r="AF4161">
        <v>3.5196748613270001</v>
      </c>
      <c r="AG4161">
        <v>-1.119807246096</v>
      </c>
      <c r="AH4161">
        <v>21.1852303048735</v>
      </c>
      <c r="AI4161">
        <v>92.984881749135795</v>
      </c>
      <c r="AJ4161">
        <v>80.567143949303897</v>
      </c>
      <c r="AK4161">
        <v>21.504791616483899</v>
      </c>
      <c r="AL4161">
        <v>79.827403659216003</v>
      </c>
      <c r="AM4161">
        <v>88.660134418902203</v>
      </c>
      <c r="AN4161">
        <v>1.0000000283575601</v>
      </c>
    </row>
    <row r="4162" spans="1:40" x14ac:dyDescent="0.25">
      <c r="A4162" t="str">
        <f>"20190303162903445"</f>
        <v>20190303162903445</v>
      </c>
      <c r="B4162" t="str">
        <f>"1551601743436067"</f>
        <v>1551601743436067</v>
      </c>
      <c r="C4162" t="s">
        <v>40</v>
      </c>
      <c r="D4162">
        <v>4.9652589999999996</v>
      </c>
      <c r="E4162">
        <v>0.55476809999999999</v>
      </c>
      <c r="F4162" t="s">
        <v>41</v>
      </c>
      <c r="G4162">
        <v>-268.1601</v>
      </c>
      <c r="H4162" s="1">
        <v>-2.1838300000000001E-6</v>
      </c>
      <c r="I4162">
        <v>144.92359999999999</v>
      </c>
      <c r="J4162">
        <v>-247.10759999999999</v>
      </c>
      <c r="K4162">
        <v>1.119791</v>
      </c>
      <c r="L4162">
        <v>141.3783</v>
      </c>
      <c r="M4162">
        <v>-0.99997100000000005</v>
      </c>
      <c r="N4162">
        <v>-7.3209959999999998E-3</v>
      </c>
      <c r="O4162">
        <v>2.126888E-3</v>
      </c>
      <c r="P4162">
        <v>-0.98538919999999997</v>
      </c>
      <c r="Q4162">
        <v>0.168521799999999</v>
      </c>
      <c r="R4162">
        <v>2.4668410000000002E-2</v>
      </c>
      <c r="S4162">
        <v>-3.0602109999999998</v>
      </c>
      <c r="T4162">
        <v>-0.160301</v>
      </c>
      <c r="U4162">
        <v>0.50770569999999904</v>
      </c>
      <c r="V4162">
        <v>2.289834E-2</v>
      </c>
      <c r="W4162">
        <v>0.1756894</v>
      </c>
      <c r="X4162">
        <v>0.98417929999999998</v>
      </c>
      <c r="Y4162">
        <v>0.16132569999999999</v>
      </c>
      <c r="Z4162">
        <v>4.6936909999999998E-3</v>
      </c>
      <c r="AA4162">
        <v>0.98689009999999999</v>
      </c>
      <c r="AB4162">
        <v>33</v>
      </c>
      <c r="AC4162">
        <v>-21.052499999999998</v>
      </c>
      <c r="AD4162">
        <v>-1.1197931838299999</v>
      </c>
      <c r="AE4162">
        <v>3.5452999999999899</v>
      </c>
      <c r="AF4162">
        <v>3.4909102559123202</v>
      </c>
      <c r="AG4162">
        <v>-1.1197931838299999</v>
      </c>
      <c r="AH4162">
        <v>21.002211599292501</v>
      </c>
      <c r="AI4162">
        <v>93.010769398531593</v>
      </c>
      <c r="AJ4162">
        <v>80.562785390350697</v>
      </c>
      <c r="AK4162">
        <v>21.3197861914899</v>
      </c>
      <c r="AL4162">
        <v>79.881220553948097</v>
      </c>
      <c r="AM4162">
        <v>88.667172150054498</v>
      </c>
      <c r="AN4162">
        <v>0.99999999689780195</v>
      </c>
    </row>
    <row r="4163" spans="1:40" x14ac:dyDescent="0.25">
      <c r="A4163" t="str">
        <f>"20190303162903467"</f>
        <v>20190303162903467</v>
      </c>
      <c r="B4163" t="str">
        <f>"1551601743455586"</f>
        <v>1551601743455586</v>
      </c>
      <c r="C4163" t="s">
        <v>40</v>
      </c>
      <c r="D4163">
        <v>4.9379860000000004</v>
      </c>
      <c r="E4163">
        <v>0.55462719999999999</v>
      </c>
      <c r="F4163" t="s">
        <v>41</v>
      </c>
      <c r="G4163">
        <v>-268.58940000000001</v>
      </c>
      <c r="H4163" s="1">
        <v>-2.0050400000000001E-6</v>
      </c>
      <c r="I4163">
        <v>144.94380000000001</v>
      </c>
      <c r="J4163">
        <v>-247.4238</v>
      </c>
      <c r="K4163">
        <v>1.119772</v>
      </c>
      <c r="L4163">
        <v>141.37979999999999</v>
      </c>
      <c r="M4163">
        <v>-0.99996819999999997</v>
      </c>
      <c r="N4163">
        <v>-7.4102329999999996E-3</v>
      </c>
      <c r="O4163">
        <v>2.9830619999999999E-3</v>
      </c>
      <c r="P4163">
        <v>-0.98561609999999999</v>
      </c>
      <c r="Q4163">
        <v>0.16730400000000001</v>
      </c>
      <c r="R4163">
        <v>2.388761E-2</v>
      </c>
      <c r="S4163">
        <v>-3.0590359999999999</v>
      </c>
      <c r="T4163">
        <v>-0.15946050000000001</v>
      </c>
      <c r="U4163">
        <v>0.50775150000000002</v>
      </c>
      <c r="V4163">
        <v>2.12771E-2</v>
      </c>
      <c r="W4163">
        <v>0.17456360000000001</v>
      </c>
      <c r="X4163">
        <v>0.98441599999999996</v>
      </c>
      <c r="Y4163">
        <v>0.16056010000000001</v>
      </c>
      <c r="Z4163">
        <v>4.6206270000000004E-3</v>
      </c>
      <c r="AA4163">
        <v>0.98701519999999998</v>
      </c>
      <c r="AB4163">
        <v>33</v>
      </c>
      <c r="AC4163">
        <v>-21.165600000000001</v>
      </c>
      <c r="AD4163">
        <v>-1.11977400504</v>
      </c>
      <c r="AE4163">
        <v>3.56400000000002</v>
      </c>
      <c r="AF4163">
        <v>3.4913413684512999</v>
      </c>
      <c r="AG4163">
        <v>-1.11977400504</v>
      </c>
      <c r="AH4163">
        <v>21.118656886647099</v>
      </c>
      <c r="AI4163">
        <v>92.994579648721597</v>
      </c>
      <c r="AJ4163">
        <v>80.612753867502704</v>
      </c>
      <c r="AK4163">
        <v>21.434575504762201</v>
      </c>
      <c r="AL4163">
        <v>79.946736802033698</v>
      </c>
      <c r="AM4163">
        <v>88.7618057343077</v>
      </c>
      <c r="AN4163">
        <v>1.0000000132426801</v>
      </c>
    </row>
    <row r="4164" spans="1:40" x14ac:dyDescent="0.25">
      <c r="A4164" t="str">
        <f>"20190303162903490"</f>
        <v>20190303162903490</v>
      </c>
      <c r="B4164" t="str">
        <f>"1551601743485843"</f>
        <v>1551601743485843</v>
      </c>
      <c r="C4164" t="s">
        <v>40</v>
      </c>
      <c r="D4164">
        <v>4.8507579999999999</v>
      </c>
      <c r="E4164">
        <v>0.55406759999999999</v>
      </c>
      <c r="F4164" t="s">
        <v>41</v>
      </c>
      <c r="G4164">
        <v>-268.85309999999998</v>
      </c>
      <c r="H4164" s="1">
        <v>-1.882883E-6</v>
      </c>
      <c r="I4164">
        <v>144.90989999999999</v>
      </c>
      <c r="J4164">
        <v>-247.76560000000001</v>
      </c>
      <c r="K4164">
        <v>1.1197629999999901</v>
      </c>
      <c r="L4164">
        <v>141.3817</v>
      </c>
      <c r="M4164">
        <v>-0.99996439999999998</v>
      </c>
      <c r="N4164">
        <v>-7.5024840000000002E-3</v>
      </c>
      <c r="O4164">
        <v>3.9076400000000004E-3</v>
      </c>
      <c r="P4164">
        <v>-0.98571120000000001</v>
      </c>
      <c r="Q4164">
        <v>0.16677910000000001</v>
      </c>
      <c r="R4164">
        <v>2.362937E-2</v>
      </c>
      <c r="S4164">
        <v>-3.0587010000000001</v>
      </c>
      <c r="T4164">
        <v>-0.1598308</v>
      </c>
      <c r="U4164">
        <v>0.50389099999999998</v>
      </c>
      <c r="V4164">
        <v>2.0111199999999999E-2</v>
      </c>
      <c r="W4164">
        <v>0.1741326</v>
      </c>
      <c r="X4164">
        <v>0.98451679999999997</v>
      </c>
      <c r="Y4164">
        <v>0.1584547</v>
      </c>
      <c r="Z4164">
        <v>4.5347989999999999E-3</v>
      </c>
      <c r="AA4164">
        <v>0.98735580000000001</v>
      </c>
      <c r="AB4164">
        <v>33</v>
      </c>
      <c r="AC4164">
        <v>-21.087499999999899</v>
      </c>
      <c r="AD4164">
        <v>-1.11976488288299</v>
      </c>
      <c r="AE4164">
        <v>3.5281999999999898</v>
      </c>
      <c r="AF4164">
        <v>3.4363427846247498</v>
      </c>
      <c r="AG4164">
        <v>-1.11976488288299</v>
      </c>
      <c r="AH4164">
        <v>21.043405931277999</v>
      </c>
      <c r="AI4164">
        <v>93.006214952202896</v>
      </c>
      <c r="AJ4164">
        <v>80.725582443580095</v>
      </c>
      <c r="AK4164">
        <v>21.351516534310299</v>
      </c>
      <c r="AL4164">
        <v>79.971815008240199</v>
      </c>
      <c r="AM4164">
        <v>88.829754205466301</v>
      </c>
      <c r="AN4164">
        <v>0.99999997611521896</v>
      </c>
    </row>
    <row r="4165" spans="1:40" x14ac:dyDescent="0.25">
      <c r="A4165" t="str">
        <f>"20190303162903513"</f>
        <v>20190303162903513</v>
      </c>
      <c r="B4165" t="str">
        <f>"1551601743505362"</f>
        <v>1551601743505362</v>
      </c>
      <c r="C4165" t="s">
        <v>40</v>
      </c>
      <c r="D4165">
        <v>4.8186939999999998</v>
      </c>
      <c r="E4165">
        <v>0.55364369999999996</v>
      </c>
      <c r="F4165" t="s">
        <v>41</v>
      </c>
      <c r="G4165">
        <v>-269.72070000000002</v>
      </c>
      <c r="H4165" s="1">
        <v>-1.52486E-6</v>
      </c>
      <c r="I4165">
        <v>144.9632</v>
      </c>
      <c r="J4165">
        <v>-248.11150000000001</v>
      </c>
      <c r="K4165">
        <v>1.1197619999999999</v>
      </c>
      <c r="L4165">
        <v>141.38390000000001</v>
      </c>
      <c r="M4165">
        <v>-0.99995959999999995</v>
      </c>
      <c r="N4165">
        <v>-7.5897480000000003E-3</v>
      </c>
      <c r="O4165">
        <v>4.8417520000000004E-3</v>
      </c>
      <c r="P4165">
        <v>-0.98559920000000001</v>
      </c>
      <c r="Q4165">
        <v>0.1674272</v>
      </c>
      <c r="R4165">
        <v>2.3715719999999999E-2</v>
      </c>
      <c r="S4165">
        <v>-3.057938</v>
      </c>
      <c r="T4165">
        <v>-0.15596289999999999</v>
      </c>
      <c r="U4165">
        <v>0.49885560000000001</v>
      </c>
      <c r="V4165">
        <v>1.9282830000000001E-2</v>
      </c>
      <c r="W4165">
        <v>0.17486650000000001</v>
      </c>
      <c r="X4165">
        <v>0.98440329999999998</v>
      </c>
      <c r="Y4165">
        <v>0.15600259999999999</v>
      </c>
      <c r="Z4165">
        <v>4.3373229999999997E-3</v>
      </c>
      <c r="AA4165">
        <v>0.98774709999999999</v>
      </c>
      <c r="AB4165">
        <v>33</v>
      </c>
      <c r="AC4165">
        <v>-21.609200000000001</v>
      </c>
      <c r="AD4165">
        <v>-1.11976352486</v>
      </c>
      <c r="AE4165">
        <v>3.5792999999999799</v>
      </c>
      <c r="AF4165">
        <v>3.4655714257259498</v>
      </c>
      <c r="AG4165">
        <v>-1.11976352486</v>
      </c>
      <c r="AH4165">
        <v>21.5699045871783</v>
      </c>
      <c r="AI4165">
        <v>92.934178637220995</v>
      </c>
      <c r="AJ4165">
        <v>80.872465718423101</v>
      </c>
      <c r="AK4165">
        <v>21.875210617463601</v>
      </c>
      <c r="AL4165">
        <v>79.929110556101406</v>
      </c>
      <c r="AM4165">
        <v>88.877814102895002</v>
      </c>
      <c r="AN4165">
        <v>0.99999998870297402</v>
      </c>
    </row>
    <row r="4166" spans="1:40" x14ac:dyDescent="0.25">
      <c r="A4166" t="str">
        <f>"20190303162903535"</f>
        <v>20190303162903535</v>
      </c>
      <c r="B4166" t="str">
        <f>"1551601743525858"</f>
        <v>1551601743525858</v>
      </c>
      <c r="C4166" t="s">
        <v>40</v>
      </c>
      <c r="D4166">
        <v>4.8009360000000001</v>
      </c>
      <c r="E4166">
        <v>0.55341470000000004</v>
      </c>
      <c r="F4166" t="s">
        <v>41</v>
      </c>
      <c r="G4166">
        <v>-270.59809999999999</v>
      </c>
      <c r="H4166" s="1">
        <v>-5.0325090000000001E-6</v>
      </c>
      <c r="I4166">
        <v>145.0284</v>
      </c>
      <c r="J4166">
        <v>-248.4453</v>
      </c>
      <c r="K4166">
        <v>1.1197680000000001</v>
      </c>
      <c r="L4166">
        <v>141.38640000000001</v>
      </c>
      <c r="M4166">
        <v>-0.99995429999999996</v>
      </c>
      <c r="N4166">
        <v>-7.6674040000000001E-3</v>
      </c>
      <c r="O4166">
        <v>5.7413029999999997E-3</v>
      </c>
      <c r="P4166">
        <v>-0.98544430000000005</v>
      </c>
      <c r="Q4166">
        <v>0.1681986</v>
      </c>
      <c r="R4166">
        <v>2.4681450000000001E-2</v>
      </c>
      <c r="S4166">
        <v>-3.0577549999999998</v>
      </c>
      <c r="T4166">
        <v>-0.1522675</v>
      </c>
      <c r="U4166">
        <v>0.49559019999999998</v>
      </c>
      <c r="V4166">
        <v>1.9367880000000001E-2</v>
      </c>
      <c r="W4166">
        <v>0.17571289999999901</v>
      </c>
      <c r="X4166">
        <v>0.98425090000000004</v>
      </c>
      <c r="Y4166">
        <v>0.154108299999999</v>
      </c>
      <c r="Z4166">
        <v>4.1648229999999998E-3</v>
      </c>
      <c r="AA4166">
        <v>0.98804519999999996</v>
      </c>
      <c r="AB4166">
        <v>33</v>
      </c>
      <c r="AC4166">
        <v>-22.1527999999999</v>
      </c>
      <c r="AD4166">
        <v>-1.1197730325090001</v>
      </c>
      <c r="AE4166">
        <v>3.6419999999999901</v>
      </c>
      <c r="AF4166">
        <v>3.5060279255989801</v>
      </c>
      <c r="AG4166">
        <v>-1.1197730325090001</v>
      </c>
      <c r="AH4166">
        <v>22.118318746857501</v>
      </c>
      <c r="AI4166">
        <v>92.862531725070497</v>
      </c>
      <c r="AJ4166">
        <v>80.992847661504001</v>
      </c>
      <c r="AK4166">
        <v>22.422447405379302</v>
      </c>
      <c r="AL4166">
        <v>79.879852715470903</v>
      </c>
      <c r="AM4166">
        <v>88.872691318114903</v>
      </c>
      <c r="AN4166">
        <v>0.99999998607645701</v>
      </c>
    </row>
    <row r="4167" spans="1:40" x14ac:dyDescent="0.25">
      <c r="A4167" t="str">
        <f>"20190303162903558"</f>
        <v>20190303162903558</v>
      </c>
      <c r="B4167" t="str">
        <f>"1551601743555784"</f>
        <v>1551601743555784</v>
      </c>
      <c r="C4167" t="s">
        <v>40</v>
      </c>
      <c r="D4167">
        <v>4.7231329999999998</v>
      </c>
      <c r="E4167">
        <v>0.55347000000000002</v>
      </c>
      <c r="F4167" t="s">
        <v>41</v>
      </c>
      <c r="G4167">
        <v>-271.6422</v>
      </c>
      <c r="H4167" s="1">
        <v>-4.69953E-6</v>
      </c>
      <c r="I4167">
        <v>145.1541</v>
      </c>
      <c r="J4167">
        <v>-248.78809999999999</v>
      </c>
      <c r="K4167">
        <v>1.1197760000000001</v>
      </c>
      <c r="L4167">
        <v>141.38919999999999</v>
      </c>
      <c r="M4167">
        <v>-0.99994780000000005</v>
      </c>
      <c r="N4167">
        <v>-7.7402549999999997E-3</v>
      </c>
      <c r="O4167">
        <v>6.6642799999999999E-3</v>
      </c>
      <c r="P4167">
        <v>-0.98532299999999995</v>
      </c>
      <c r="Q4167">
        <v>0.16871910000000001</v>
      </c>
      <c r="R4167">
        <v>2.5935630000000001E-2</v>
      </c>
      <c r="S4167">
        <v>-3.057083</v>
      </c>
      <c r="T4167">
        <v>-0.1475735</v>
      </c>
      <c r="U4167">
        <v>0.49655149999999998</v>
      </c>
      <c r="V4167">
        <v>1.971674E-2</v>
      </c>
      <c r="W4167">
        <v>0.1763034</v>
      </c>
      <c r="X4167">
        <v>0.98413839999999997</v>
      </c>
      <c r="Y4167">
        <v>0.15354619999999999</v>
      </c>
      <c r="Z4167">
        <v>4.0101770000000002E-3</v>
      </c>
      <c r="AA4167">
        <v>0.98813329999999999</v>
      </c>
      <c r="AB4167">
        <v>33</v>
      </c>
      <c r="AC4167">
        <v>-22.854099999999999</v>
      </c>
      <c r="AD4167">
        <v>-1.1197806995299999</v>
      </c>
      <c r="AE4167">
        <v>3.7649000000000101</v>
      </c>
      <c r="AF4167">
        <v>3.6040819869124201</v>
      </c>
      <c r="AG4167">
        <v>-1.1197806995299999</v>
      </c>
      <c r="AH4167">
        <v>22.825334588397201</v>
      </c>
      <c r="AI4167">
        <v>92.774286856333205</v>
      </c>
      <c r="AJ4167">
        <v>81.027173074352504</v>
      </c>
      <c r="AK4167">
        <v>23.135237514573099</v>
      </c>
      <c r="AL4167">
        <v>79.845483292930297</v>
      </c>
      <c r="AM4167">
        <v>88.852260130333605</v>
      </c>
      <c r="AN4167">
        <v>1.00000001452117</v>
      </c>
    </row>
    <row r="4168" spans="1:40" x14ac:dyDescent="0.25">
      <c r="A4168" t="str">
        <f>"20190303162903581"</f>
        <v>20190303162903581</v>
      </c>
      <c r="B4168" t="str">
        <f>"1551601743576279"</f>
        <v>1551601743576279</v>
      </c>
      <c r="C4168" t="s">
        <v>40</v>
      </c>
      <c r="D4168">
        <v>4.6583129999999997</v>
      </c>
      <c r="E4168">
        <v>0.5537512</v>
      </c>
      <c r="F4168" t="s">
        <v>41</v>
      </c>
      <c r="G4168">
        <v>-272.91230000000002</v>
      </c>
      <c r="H4168" s="1">
        <v>-4.3006790000000002E-6</v>
      </c>
      <c r="I4168">
        <v>145.34219999999999</v>
      </c>
      <c r="J4168">
        <v>-249.1191</v>
      </c>
      <c r="K4168">
        <v>1.1197859999999999</v>
      </c>
      <c r="L4168">
        <v>141.39230000000001</v>
      </c>
      <c r="M4168">
        <v>-0.99994119999999997</v>
      </c>
      <c r="N4168">
        <v>-7.8039769999999897E-3</v>
      </c>
      <c r="O4168">
        <v>7.5509050000000001E-3</v>
      </c>
      <c r="P4168">
        <v>-0.98505209999999999</v>
      </c>
      <c r="Q4168">
        <v>0.1699842</v>
      </c>
      <c r="R4168">
        <v>2.7891570000000001E-2</v>
      </c>
      <c r="S4168">
        <v>-3.0557859999999999</v>
      </c>
      <c r="T4168">
        <v>-0.1418421</v>
      </c>
      <c r="U4168">
        <v>0.50073239999999997</v>
      </c>
      <c r="V4168">
        <v>2.0805279999999999E-2</v>
      </c>
      <c r="W4168">
        <v>0.177626799999999</v>
      </c>
      <c r="X4168">
        <v>0.98387800000000003</v>
      </c>
      <c r="Y4168">
        <v>0.15406689999999901</v>
      </c>
      <c r="Z4168">
        <v>3.8662620000000001E-3</v>
      </c>
      <c r="AA4168">
        <v>0.98805279999999995</v>
      </c>
      <c r="AB4168">
        <v>33</v>
      </c>
      <c r="AC4168">
        <v>-23.793199999999999</v>
      </c>
      <c r="AD4168">
        <v>-1.119790300679</v>
      </c>
      <c r="AE4168">
        <v>3.94989999999998</v>
      </c>
      <c r="AF4168">
        <v>3.7620124952188299</v>
      </c>
      <c r="AG4168">
        <v>-1.119790300679</v>
      </c>
      <c r="AH4168">
        <v>23.771107738972301</v>
      </c>
      <c r="AI4168">
        <v>92.663944012778401</v>
      </c>
      <c r="AJ4168">
        <v>81.006962648713397</v>
      </c>
      <c r="AK4168">
        <v>24.092991335023299</v>
      </c>
      <c r="AL4168">
        <v>79.768442275227002</v>
      </c>
      <c r="AM4168">
        <v>88.788592586861995</v>
      </c>
      <c r="AN4168">
        <v>1.0000000293190501</v>
      </c>
    </row>
    <row r="4169" spans="1:40" x14ac:dyDescent="0.25">
      <c r="A4169" t="str">
        <f>"20190303162903602"</f>
        <v>20190303162903602</v>
      </c>
      <c r="B4169" t="str">
        <f>"1551601743595800"</f>
        <v>1551601743595800</v>
      </c>
      <c r="C4169" t="s">
        <v>40</v>
      </c>
      <c r="D4169">
        <v>4.6476419999999896</v>
      </c>
      <c r="E4169">
        <v>0.55399419999999899</v>
      </c>
      <c r="F4169" t="s">
        <v>41</v>
      </c>
      <c r="G4169">
        <v>-274.70269999999999</v>
      </c>
      <c r="H4169" s="1">
        <v>-3.746537E-6</v>
      </c>
      <c r="I4169">
        <v>145.65299999999999</v>
      </c>
      <c r="J4169">
        <v>-249.4545</v>
      </c>
      <c r="K4169">
        <v>1.1197950000000001</v>
      </c>
      <c r="L4169">
        <v>141.39570000000001</v>
      </c>
      <c r="M4169">
        <v>-0.99993350000000003</v>
      </c>
      <c r="N4169">
        <v>-7.8626119999999997E-3</v>
      </c>
      <c r="O4169">
        <v>8.4433640000000001E-3</v>
      </c>
      <c r="P4169">
        <v>-0.98475190000000001</v>
      </c>
      <c r="Q4169">
        <v>0.1714109</v>
      </c>
      <c r="R4169">
        <v>2.969863E-2</v>
      </c>
      <c r="S4169">
        <v>-3.054214</v>
      </c>
      <c r="T4169">
        <v>-0.13368279999999999</v>
      </c>
      <c r="U4169">
        <v>0.50866699999999998</v>
      </c>
      <c r="V4169">
        <v>2.1738560000000001E-2</v>
      </c>
      <c r="W4169">
        <v>0.17910760000000001</v>
      </c>
      <c r="X4169">
        <v>0.9835893</v>
      </c>
      <c r="Y4169">
        <v>0.1557819</v>
      </c>
      <c r="Z4169">
        <v>3.7004630000000002E-3</v>
      </c>
      <c r="AA4169">
        <v>0.98778460000000001</v>
      </c>
      <c r="AB4169">
        <v>33</v>
      </c>
      <c r="AC4169">
        <v>-25.248200000000001</v>
      </c>
      <c r="AD4169">
        <v>-1.1197987465369901</v>
      </c>
      <c r="AE4169">
        <v>4.2572999999999803</v>
      </c>
      <c r="AF4169">
        <v>4.0362418547347696</v>
      </c>
      <c r="AG4169">
        <v>-1.1197987465369901</v>
      </c>
      <c r="AH4169">
        <v>25.234980417657798</v>
      </c>
      <c r="AI4169">
        <v>92.5089762479857</v>
      </c>
      <c r="AJ4169">
        <v>80.912722852621897</v>
      </c>
      <c r="AK4169">
        <v>25.580254772426201</v>
      </c>
      <c r="AL4169">
        <v>79.682215691109704</v>
      </c>
      <c r="AM4169">
        <v>88.733897368576393</v>
      </c>
      <c r="AN4169">
        <v>1.00000000422156</v>
      </c>
    </row>
    <row r="4170" spans="1:40" x14ac:dyDescent="0.25">
      <c r="A4170" t="str">
        <f>"20190303162903627"</f>
        <v>20190303162903627</v>
      </c>
      <c r="B4170" t="str">
        <f>"1551601743616296"</f>
        <v>1551601743616296</v>
      </c>
      <c r="C4170" t="s">
        <v>40</v>
      </c>
      <c r="D4170">
        <v>4.6579660000000001</v>
      </c>
      <c r="E4170">
        <v>0.5541933</v>
      </c>
      <c r="F4170" t="s">
        <v>41</v>
      </c>
      <c r="G4170">
        <v>-276.70440000000002</v>
      </c>
      <c r="H4170" s="1">
        <v>-3.0947849999999998E-6</v>
      </c>
      <c r="I4170">
        <v>146.00030000000001</v>
      </c>
      <c r="J4170">
        <v>-249.80240000000001</v>
      </c>
      <c r="K4170">
        <v>1.1197969999999999</v>
      </c>
      <c r="L4170">
        <v>141.39949999999999</v>
      </c>
      <c r="M4170">
        <v>-0.99992510000000001</v>
      </c>
      <c r="N4170">
        <v>-7.9167170000000002E-3</v>
      </c>
      <c r="O4170">
        <v>9.3537929999999991E-3</v>
      </c>
      <c r="P4170">
        <v>-0.98471799999999998</v>
      </c>
      <c r="Q4170">
        <v>0.17127500000000001</v>
      </c>
      <c r="R4170">
        <v>3.1555270000000003E-2</v>
      </c>
      <c r="S4170">
        <v>-3.052765</v>
      </c>
      <c r="T4170">
        <v>-0.1254497</v>
      </c>
      <c r="U4170">
        <v>0.51585389999999998</v>
      </c>
      <c r="V4170">
        <v>2.2696330000000001E-2</v>
      </c>
      <c r="W4170">
        <v>0.17902270000000001</v>
      </c>
      <c r="X4170">
        <v>0.98358310000000004</v>
      </c>
      <c r="Y4170">
        <v>0.15723709999999999</v>
      </c>
      <c r="Z4170">
        <v>3.5258490000000002E-3</v>
      </c>
      <c r="AA4170">
        <v>0.98755459999999995</v>
      </c>
      <c r="AB4170">
        <v>34</v>
      </c>
      <c r="AC4170">
        <v>-26.902000000000001</v>
      </c>
      <c r="AD4170">
        <v>-1.119800094785</v>
      </c>
      <c r="AE4170">
        <v>4.60080000000002</v>
      </c>
      <c r="AF4170">
        <v>4.3416463322734797</v>
      </c>
      <c r="AG4170">
        <v>-1.119800094785</v>
      </c>
      <c r="AH4170">
        <v>26.89857776633</v>
      </c>
      <c r="AI4170">
        <v>92.353448343949495</v>
      </c>
      <c r="AJ4170">
        <v>80.831080173313893</v>
      </c>
      <c r="AK4170">
        <v>27.269714537892099</v>
      </c>
      <c r="AL4170">
        <v>79.687159790972899</v>
      </c>
      <c r="AM4170">
        <v>88.678125734739993</v>
      </c>
      <c r="AN4170">
        <v>0.99999998255818401</v>
      </c>
    </row>
    <row r="4171" spans="1:40" x14ac:dyDescent="0.25">
      <c r="A4171" t="str">
        <f>"20190303162903646"</f>
        <v>20190303162903646</v>
      </c>
      <c r="B4171" t="str">
        <f>"1551601743635816"</f>
        <v>1551601743635816</v>
      </c>
      <c r="C4171" t="s">
        <v>40</v>
      </c>
      <c r="D4171">
        <v>4.6470659999999997</v>
      </c>
      <c r="E4171">
        <v>0.55434159999999999</v>
      </c>
      <c r="F4171" t="s">
        <v>41</v>
      </c>
      <c r="G4171">
        <v>-277.79840000000002</v>
      </c>
      <c r="H4171" s="1">
        <v>-2.6793319999999999E-6</v>
      </c>
      <c r="I4171">
        <v>146.20269999999999</v>
      </c>
      <c r="J4171">
        <v>-250.10749999999999</v>
      </c>
      <c r="K4171">
        <v>1.1198060000000001</v>
      </c>
      <c r="L4171">
        <v>141.40309999999999</v>
      </c>
      <c r="M4171">
        <v>-0.99991699999999994</v>
      </c>
      <c r="N4171">
        <v>-7.9594619999999901E-3</v>
      </c>
      <c r="O4171">
        <v>1.0134880000000001E-2</v>
      </c>
      <c r="P4171">
        <v>-0.98490610000000001</v>
      </c>
      <c r="Q4171">
        <v>0.1699908</v>
      </c>
      <c r="R4171">
        <v>3.260975E-2</v>
      </c>
      <c r="S4171">
        <v>-3.0510250000000001</v>
      </c>
      <c r="T4171">
        <v>-0.1220369</v>
      </c>
      <c r="U4171">
        <v>0.52346800000000004</v>
      </c>
      <c r="V4171">
        <v>2.2973219999999999E-2</v>
      </c>
      <c r="W4171">
        <v>0.17778260000000001</v>
      </c>
      <c r="X4171">
        <v>0.98380160000000005</v>
      </c>
      <c r="Y4171">
        <v>0.15895889999999999</v>
      </c>
      <c r="Z4171">
        <v>3.4701739999999999E-3</v>
      </c>
      <c r="AA4171">
        <v>0.98727909999999997</v>
      </c>
      <c r="AB4171">
        <v>34</v>
      </c>
      <c r="AC4171">
        <v>-27.690899999999999</v>
      </c>
      <c r="AD4171">
        <v>-1.1198086793319999</v>
      </c>
      <c r="AE4171">
        <v>4.7995999999999901</v>
      </c>
      <c r="AF4171">
        <v>4.511537849932</v>
      </c>
      <c r="AG4171">
        <v>-1.1198086793319999</v>
      </c>
      <c r="AH4171">
        <v>27.6941536479581</v>
      </c>
      <c r="AI4171">
        <v>92.285390287987596</v>
      </c>
      <c r="AJ4171">
        <v>80.747463568967902</v>
      </c>
      <c r="AK4171">
        <v>28.081561415391199</v>
      </c>
      <c r="AL4171">
        <v>79.759370964344299</v>
      </c>
      <c r="AM4171">
        <v>88.662302057575999</v>
      </c>
      <c r="AN4171">
        <v>1.0000000049312401</v>
      </c>
    </row>
    <row r="4172" spans="1:40" x14ac:dyDescent="0.25">
      <c r="A4172" t="str">
        <f>"20190303162903668"</f>
        <v>20190303162903668</v>
      </c>
      <c r="B4172" t="str">
        <f>"1551601743665724"</f>
        <v>1551601743665724</v>
      </c>
      <c r="C4172" t="s">
        <v>40</v>
      </c>
      <c r="D4172">
        <v>4.5902779999999996</v>
      </c>
      <c r="E4172">
        <v>0.55450699999999997</v>
      </c>
      <c r="F4172" t="s">
        <v>41</v>
      </c>
      <c r="G4172">
        <v>-278.13170000000002</v>
      </c>
      <c r="H4172" s="1">
        <v>-2.5498979999999999E-6</v>
      </c>
      <c r="I4172">
        <v>146.25360000000001</v>
      </c>
      <c r="J4172">
        <v>-250.44210000000001</v>
      </c>
      <c r="K4172">
        <v>1.119815</v>
      </c>
      <c r="L4172">
        <v>141.40729999999999</v>
      </c>
      <c r="M4172">
        <v>-0.99990800000000002</v>
      </c>
      <c r="N4172">
        <v>-8.0007940000000003E-3</v>
      </c>
      <c r="O4172">
        <v>1.097162E-2</v>
      </c>
      <c r="P4172">
        <v>-0.98493710000000001</v>
      </c>
      <c r="Q4172">
        <v>0.16970859999999999</v>
      </c>
      <c r="R4172">
        <v>3.3139750000000003E-2</v>
      </c>
      <c r="S4172">
        <v>-3.0495299999999999</v>
      </c>
      <c r="T4172">
        <v>-0.12185509999999999</v>
      </c>
      <c r="U4172">
        <v>0.52783199999999997</v>
      </c>
      <c r="V4172">
        <v>2.26722E-2</v>
      </c>
      <c r="W4172">
        <v>0.1775428</v>
      </c>
      <c r="X4172">
        <v>0.9838519</v>
      </c>
      <c r="Y4172">
        <v>0.15958549999999999</v>
      </c>
      <c r="Z4172">
        <v>3.4593060000000001E-3</v>
      </c>
      <c r="AA4172">
        <v>0.987178</v>
      </c>
      <c r="AB4172">
        <v>34</v>
      </c>
      <c r="AC4172">
        <v>-27.689599999999999</v>
      </c>
      <c r="AD4172">
        <v>-1.1198175498980001</v>
      </c>
      <c r="AE4172">
        <v>4.84630000000001</v>
      </c>
      <c r="AF4172">
        <v>4.5350021282744004</v>
      </c>
      <c r="AG4172">
        <v>-1.1198175498980001</v>
      </c>
      <c r="AH4172">
        <v>27.697153323602301</v>
      </c>
      <c r="AI4172">
        <v>92.284859910083199</v>
      </c>
      <c r="AJ4172">
        <v>80.701169835921604</v>
      </c>
      <c r="AK4172">
        <v>28.0882989495564</v>
      </c>
      <c r="AL4172">
        <v>79.773332734880697</v>
      </c>
      <c r="AM4172">
        <v>88.679891250832597</v>
      </c>
      <c r="AN4172">
        <v>1.0000000178091399</v>
      </c>
    </row>
    <row r="4173" spans="1:40" x14ac:dyDescent="0.25">
      <c r="A4173" t="str">
        <f>"20190303162903692"</f>
        <v>20190303162903692</v>
      </c>
      <c r="B4173" t="str">
        <f>"1551601743686220"</f>
        <v>1551601743686220</v>
      </c>
      <c r="C4173" t="s">
        <v>40</v>
      </c>
      <c r="D4173">
        <v>4.6226159999999998</v>
      </c>
      <c r="E4173">
        <v>0.54149309999999995</v>
      </c>
      <c r="F4173" t="s">
        <v>41</v>
      </c>
      <c r="G4173">
        <v>-279.41449999999998</v>
      </c>
      <c r="H4173" s="1">
        <v>-2.0503480000000001E-6</v>
      </c>
      <c r="I4173">
        <v>146.44450000000001</v>
      </c>
      <c r="J4173">
        <v>-250.79830000000001</v>
      </c>
      <c r="K4173">
        <v>1.119823</v>
      </c>
      <c r="L4173">
        <v>141.41210000000001</v>
      </c>
      <c r="M4173">
        <v>-0.99989779999999995</v>
      </c>
      <c r="N4173">
        <v>-8.0335500000000004E-3</v>
      </c>
      <c r="O4173">
        <v>1.182972E-2</v>
      </c>
      <c r="P4173">
        <v>-0.98493310000000001</v>
      </c>
      <c r="Q4173">
        <v>0.1695565</v>
      </c>
      <c r="R4173">
        <v>3.4025109999999997E-2</v>
      </c>
      <c r="S4173">
        <v>-3.0483549999999999</v>
      </c>
      <c r="T4173">
        <v>-0.11782280000000001</v>
      </c>
      <c r="U4173">
        <v>0.52999879999999999</v>
      </c>
      <c r="V4173">
        <v>2.2703629999999999E-2</v>
      </c>
      <c r="W4173">
        <v>0.1774241</v>
      </c>
      <c r="X4173">
        <v>0.98387259999999999</v>
      </c>
      <c r="Y4173">
        <v>0.1594921</v>
      </c>
      <c r="Z4173">
        <v>3.3447149999999998E-3</v>
      </c>
      <c r="AA4173">
        <v>0.98719349999999995</v>
      </c>
      <c r="AB4173">
        <v>34</v>
      </c>
      <c r="AC4173">
        <v>-28.6161999999999</v>
      </c>
      <c r="AD4173">
        <v>-1.1198250503479901</v>
      </c>
      <c r="AE4173">
        <v>5.0323999999999902</v>
      </c>
      <c r="AF4173">
        <v>4.6865538056069598</v>
      </c>
      <c r="AG4173">
        <v>-1.1198250503479901</v>
      </c>
      <c r="AH4173">
        <v>28.631201973970001</v>
      </c>
      <c r="AI4173">
        <v>92.210426896343407</v>
      </c>
      <c r="AJ4173">
        <v>80.703869248266301</v>
      </c>
      <c r="AK4173">
        <v>29.033834076651001</v>
      </c>
      <c r="AL4173">
        <v>79.780243581254993</v>
      </c>
      <c r="AM4173">
        <v>88.678089663218699</v>
      </c>
      <c r="AN4173">
        <v>1.00000002955337</v>
      </c>
    </row>
    <row r="4174" spans="1:40" x14ac:dyDescent="0.25">
      <c r="A4174" t="str">
        <f>"20190303162903714"</f>
        <v>20190303162903714</v>
      </c>
      <c r="B4174" t="str">
        <f>"1551601743706716"</f>
        <v>1551601743706716</v>
      </c>
      <c r="C4174" t="s">
        <v>40</v>
      </c>
      <c r="D4174">
        <v>4.6329409999999998</v>
      </c>
      <c r="E4174">
        <v>0.52589490000000005</v>
      </c>
      <c r="F4174" t="s">
        <v>41</v>
      </c>
      <c r="G4174">
        <v>-266.01150000000001</v>
      </c>
      <c r="H4174" s="1">
        <v>-2.7344E-6</v>
      </c>
      <c r="I4174">
        <v>143.52869999999999</v>
      </c>
      <c r="J4174">
        <v>-251.1474</v>
      </c>
      <c r="K4174">
        <v>1.119847</v>
      </c>
      <c r="L4174">
        <v>141.417</v>
      </c>
      <c r="M4174">
        <v>-0.99988779999999999</v>
      </c>
      <c r="N4174">
        <v>-8.0539970000000002E-3</v>
      </c>
      <c r="O4174">
        <v>1.2627019999999999E-2</v>
      </c>
      <c r="P4174">
        <v>-0.98502049999999997</v>
      </c>
      <c r="Q4174">
        <v>0.16887189999999999</v>
      </c>
      <c r="R4174">
        <v>3.4885279999999998E-2</v>
      </c>
      <c r="S4174">
        <v>-3.0700229999999999</v>
      </c>
      <c r="T4174">
        <v>-0.22598119999999999</v>
      </c>
      <c r="U4174">
        <v>0.42715449999999999</v>
      </c>
      <c r="V4174">
        <v>2.2764300000000001E-2</v>
      </c>
      <c r="W4174">
        <v>0.17676149999999999</v>
      </c>
      <c r="X4174">
        <v>0.98399040000000004</v>
      </c>
      <c r="Y4174">
        <v>0.1249499</v>
      </c>
      <c r="Z4174">
        <v>4.2544779999999999E-3</v>
      </c>
      <c r="AA4174">
        <v>0.99215390000000003</v>
      </c>
      <c r="AB4174">
        <v>34</v>
      </c>
      <c r="AC4174">
        <v>-14.864100000000001</v>
      </c>
      <c r="AD4174">
        <v>-1.1198497344</v>
      </c>
      <c r="AE4174">
        <v>2.1116999999999799</v>
      </c>
      <c r="AF4174">
        <v>1.9131918164791799</v>
      </c>
      <c r="AG4174">
        <v>-1.1198497344</v>
      </c>
      <c r="AH4174">
        <v>14.807197352413899</v>
      </c>
      <c r="AI4174">
        <v>94.2894524876139</v>
      </c>
      <c r="AJ4174">
        <v>82.637779437169698</v>
      </c>
      <c r="AK4174">
        <v>14.972222940752999</v>
      </c>
      <c r="AL4174">
        <v>79.818816888075503</v>
      </c>
      <c r="AM4174">
        <v>88.674717054481405</v>
      </c>
      <c r="AN4174">
        <v>0.99999997426444898</v>
      </c>
    </row>
    <row r="4175" spans="1:40" x14ac:dyDescent="0.25">
      <c r="A4175" t="str">
        <f>"20190303162903737"</f>
        <v>20190303162903737</v>
      </c>
      <c r="B4175" t="str">
        <f>"1551601743726239"</f>
        <v>1551601743726239</v>
      </c>
      <c r="C4175" t="s">
        <v>40</v>
      </c>
      <c r="D4175">
        <v>4.6513350000000004</v>
      </c>
      <c r="E4175">
        <v>0.52158509999999902</v>
      </c>
      <c r="F4175" t="s">
        <v>44</v>
      </c>
      <c r="G4175">
        <v>-251.96729999999999</v>
      </c>
      <c r="H4175">
        <v>0.96782290000000004</v>
      </c>
      <c r="I4175">
        <v>141.49610000000001</v>
      </c>
      <c r="J4175">
        <v>-251.4932</v>
      </c>
      <c r="K4175">
        <v>1.1198779999999999</v>
      </c>
      <c r="L4175">
        <v>141.4221</v>
      </c>
      <c r="M4175">
        <v>-0.9998783</v>
      </c>
      <c r="N4175">
        <v>-8.0676359999999996E-3</v>
      </c>
      <c r="O4175">
        <v>1.3360779999999999E-2</v>
      </c>
      <c r="P4175">
        <v>-0.98497749999999995</v>
      </c>
      <c r="Q4175">
        <v>0.1689715</v>
      </c>
      <c r="R4175">
        <v>3.5613140000000001E-2</v>
      </c>
      <c r="S4175">
        <v>-3.1345670000000001</v>
      </c>
      <c r="T4175">
        <v>-0.58121959999999995</v>
      </c>
      <c r="U4175">
        <v>0.30215449999999999</v>
      </c>
      <c r="V4175">
        <v>2.275431E-2</v>
      </c>
      <c r="W4175">
        <v>0.1768769</v>
      </c>
      <c r="X4175">
        <v>0.98396989999999995</v>
      </c>
      <c r="Y4175">
        <v>8.141197E-2</v>
      </c>
      <c r="Z4175">
        <v>5.4554180000000001E-3</v>
      </c>
      <c r="AA4175">
        <v>0.99666560000000004</v>
      </c>
      <c r="AB4175">
        <v>34</v>
      </c>
      <c r="AC4175">
        <v>-0.47409999999999197</v>
      </c>
      <c r="AD4175">
        <v>-0.1520551</v>
      </c>
      <c r="AE4175">
        <v>7.4000000000012195E-2</v>
      </c>
      <c r="AF4175">
        <v>6.1484716448086403E-2</v>
      </c>
      <c r="AG4175">
        <v>-0.1520551</v>
      </c>
      <c r="AH4175">
        <v>0.43169661834461498</v>
      </c>
      <c r="AI4175">
        <v>109.224058248795</v>
      </c>
      <c r="AJ4175">
        <v>81.8941215224649</v>
      </c>
      <c r="AK4175">
        <v>0.46180417287296999</v>
      </c>
      <c r="AL4175">
        <v>79.812099166725403</v>
      </c>
      <c r="AM4175">
        <v>88.675270852076395</v>
      </c>
      <c r="AN4175">
        <v>0.99999998024159698</v>
      </c>
    </row>
    <row r="4176" spans="1:40" x14ac:dyDescent="0.25">
      <c r="A4176" t="str">
        <f>"20190303162903760"</f>
        <v>20190303162903760</v>
      </c>
      <c r="B4176" t="str">
        <f>"1551601743745756"</f>
        <v>1551601743745756</v>
      </c>
      <c r="C4176" t="s">
        <v>40</v>
      </c>
      <c r="D4176">
        <v>4.7041700000000004</v>
      </c>
      <c r="E4176">
        <v>0.52061069999999998</v>
      </c>
      <c r="F4176" t="s">
        <v>44</v>
      </c>
      <c r="G4176">
        <v>-252.25739999999999</v>
      </c>
      <c r="H4176">
        <v>0.93678930000000005</v>
      </c>
      <c r="I4176">
        <v>141.4873</v>
      </c>
      <c r="J4176">
        <v>-251.83109999999999</v>
      </c>
      <c r="K4176">
        <v>1.1199250000000001</v>
      </c>
      <c r="L4176">
        <v>141.4272</v>
      </c>
      <c r="M4176">
        <v>-0.99986920000000001</v>
      </c>
      <c r="N4176">
        <v>-8.0780980000000006E-3</v>
      </c>
      <c r="O4176">
        <v>1.401753E-2</v>
      </c>
      <c r="P4176">
        <v>-0.9847108</v>
      </c>
      <c r="Q4176">
        <v>0.17031399999999999</v>
      </c>
      <c r="R4176">
        <v>3.6582249999999997E-2</v>
      </c>
      <c r="S4176">
        <v>-3.1661380000000001</v>
      </c>
      <c r="T4176">
        <v>-0.75853909999999902</v>
      </c>
      <c r="U4176">
        <v>0.26956180000000002</v>
      </c>
      <c r="V4176">
        <v>2.3063119999999999E-2</v>
      </c>
      <c r="W4176">
        <v>0.17822929999999901</v>
      </c>
      <c r="X4176">
        <v>0.98371869999999995</v>
      </c>
      <c r="Y4176">
        <v>6.9211969999999998E-2</v>
      </c>
      <c r="Z4176">
        <v>5.2514839999999998E-3</v>
      </c>
      <c r="AA4176">
        <v>0.99758820000000004</v>
      </c>
      <c r="AB4176">
        <v>34</v>
      </c>
      <c r="AC4176">
        <v>-0.42629999999999701</v>
      </c>
      <c r="AD4176">
        <v>-0.18313570000000001</v>
      </c>
      <c r="AE4176">
        <v>6.0100000000005503E-2</v>
      </c>
      <c r="AF4176">
        <v>4.5825855245325599E-2</v>
      </c>
      <c r="AG4176">
        <v>-0.18313570000000001</v>
      </c>
      <c r="AH4176">
        <v>0.36165726411563098</v>
      </c>
      <c r="AI4176">
        <v>116.673230872123</v>
      </c>
      <c r="AJ4176">
        <v>82.778494521837501</v>
      </c>
      <c r="AK4176">
        <v>0.40796405517037698</v>
      </c>
      <c r="AL4176">
        <v>79.733361874339806</v>
      </c>
      <c r="AM4176">
        <v>88.656956091535207</v>
      </c>
      <c r="AN4176">
        <v>1.00000003580615</v>
      </c>
    </row>
    <row r="4177" spans="1:40" x14ac:dyDescent="0.25">
      <c r="A4177" t="str">
        <f>"20190303162903783"</f>
        <v>20190303162903783</v>
      </c>
      <c r="B4177" t="str">
        <f>"1551601743776012"</f>
        <v>1551601743776012</v>
      </c>
      <c r="C4177" t="s">
        <v>40</v>
      </c>
      <c r="D4177">
        <v>4.6107740000000002</v>
      </c>
      <c r="E4177">
        <v>0.52008209999999999</v>
      </c>
      <c r="F4177" t="s">
        <v>44</v>
      </c>
      <c r="G4177">
        <v>-252.56020000000001</v>
      </c>
      <c r="H4177">
        <v>0.93072220000000006</v>
      </c>
      <c r="I4177">
        <v>141.4879</v>
      </c>
      <c r="J4177">
        <v>-252.18819999999999</v>
      </c>
      <c r="K4177">
        <v>1.1199699999999999</v>
      </c>
      <c r="L4177">
        <v>141.43279999999999</v>
      </c>
      <c r="M4177">
        <v>-0.99985999999999997</v>
      </c>
      <c r="N4177">
        <v>-8.0874239999999993E-3</v>
      </c>
      <c r="O4177">
        <v>1.464998E-2</v>
      </c>
      <c r="P4177">
        <v>-0.98454410000000003</v>
      </c>
      <c r="Q4177">
        <v>0.17100570000000001</v>
      </c>
      <c r="R4177">
        <v>3.7817539999999997E-2</v>
      </c>
      <c r="S4177">
        <v>-3.179459</v>
      </c>
      <c r="T4177">
        <v>-0.82511849999999998</v>
      </c>
      <c r="U4177">
        <v>0.26473999999999998</v>
      </c>
      <c r="V4177">
        <v>2.365722E-2</v>
      </c>
      <c r="W4177">
        <v>0.17893120000000001</v>
      </c>
      <c r="X4177">
        <v>0.98357709999999998</v>
      </c>
      <c r="Y4177">
        <v>6.6561830000000002E-2</v>
      </c>
      <c r="Z4177">
        <v>5.1396389999999997E-3</v>
      </c>
      <c r="AA4177">
        <v>0.99776909999999996</v>
      </c>
      <c r="AB4177">
        <v>34</v>
      </c>
      <c r="AC4177">
        <v>-0.37200000000001399</v>
      </c>
      <c r="AD4177">
        <v>-0.18924779999999999</v>
      </c>
      <c r="AE4177">
        <v>5.5100000000010099E-2</v>
      </c>
      <c r="AF4177">
        <v>3.9612275564124999E-2</v>
      </c>
      <c r="AG4177">
        <v>-0.18924779999999999</v>
      </c>
      <c r="AH4177">
        <v>0.29744031894276102</v>
      </c>
      <c r="AI4177">
        <v>122.239068488759</v>
      </c>
      <c r="AJ4177">
        <v>82.414145062029405</v>
      </c>
      <c r="AK4177">
        <v>0.35475992658836097</v>
      </c>
      <c r="AL4177">
        <v>79.692488315860999</v>
      </c>
      <c r="AM4177">
        <v>88.622174540565595</v>
      </c>
      <c r="AN4177">
        <v>0.99999997501798799</v>
      </c>
    </row>
    <row r="4178" spans="1:40" x14ac:dyDescent="0.25">
      <c r="A4178" t="str">
        <f>"20190303162903805"</f>
        <v>20190303162903805</v>
      </c>
      <c r="B4178" t="str">
        <f>"1551601743795532"</f>
        <v>1551601743795532</v>
      </c>
      <c r="C4178" t="s">
        <v>40</v>
      </c>
      <c r="D4178">
        <v>4.6507180000000004</v>
      </c>
      <c r="E4178">
        <v>0.52025650000000001</v>
      </c>
      <c r="F4178" t="s">
        <v>44</v>
      </c>
      <c r="G4178">
        <v>-252.8699</v>
      </c>
      <c r="H4178">
        <v>0.93822479999999997</v>
      </c>
      <c r="I4178">
        <v>141.4897</v>
      </c>
      <c r="J4178">
        <v>-252.51830000000001</v>
      </c>
      <c r="K4178">
        <v>1.1200139999999901</v>
      </c>
      <c r="L4178">
        <v>141.43809999999999</v>
      </c>
      <c r="M4178">
        <v>-0.99985199999999996</v>
      </c>
      <c r="N4178">
        <v>-8.0948369999999902E-3</v>
      </c>
      <c r="O4178">
        <v>1.518134E-2</v>
      </c>
      <c r="P4178">
        <v>-0.98441670000000003</v>
      </c>
      <c r="Q4178">
        <v>0.17168079999999999</v>
      </c>
      <c r="R4178">
        <v>3.8073089999999997E-2</v>
      </c>
      <c r="S4178">
        <v>-3.1843720000000002</v>
      </c>
      <c r="T4178">
        <v>-0.84896280000000002</v>
      </c>
      <c r="U4178">
        <v>0.26512150000000001</v>
      </c>
      <c r="V4178">
        <v>2.3374059999999999E-2</v>
      </c>
      <c r="W4178">
        <v>0.1796152</v>
      </c>
      <c r="X4178">
        <v>0.98345919999999998</v>
      </c>
      <c r="Y4178">
        <v>6.5965839999999998E-2</v>
      </c>
      <c r="Z4178">
        <v>5.0503950000000001E-3</v>
      </c>
      <c r="AA4178">
        <v>0.9978091</v>
      </c>
      <c r="AB4178">
        <v>34</v>
      </c>
      <c r="AC4178">
        <v>-0.35159999999998998</v>
      </c>
      <c r="AD4178">
        <v>-0.18178919999999901</v>
      </c>
      <c r="AE4178">
        <v>5.1600000000007598E-2</v>
      </c>
      <c r="AF4178">
        <v>3.6662087126111097E-2</v>
      </c>
      <c r="AG4178">
        <v>-0.18178919999999901</v>
      </c>
      <c r="AH4178">
        <v>0.27926304477859698</v>
      </c>
      <c r="AI4178">
        <v>122.839101771777</v>
      </c>
      <c r="AJ4178">
        <v>82.520892278589599</v>
      </c>
      <c r="AK4178">
        <v>0.33523017472789501</v>
      </c>
      <c r="AL4178">
        <v>79.652652713364603</v>
      </c>
      <c r="AM4178">
        <v>88.638496742073997</v>
      </c>
      <c r="AN4178">
        <v>0.99999998240828103</v>
      </c>
    </row>
    <row r="4179" spans="1:40" x14ac:dyDescent="0.25">
      <c r="A4179" t="str">
        <f>"20190303162903827"</f>
        <v>20190303162903827</v>
      </c>
      <c r="B4179" t="str">
        <f>"1551601743816028"</f>
        <v>1551601743816028</v>
      </c>
      <c r="C4179" t="s">
        <v>40</v>
      </c>
      <c r="D4179">
        <v>4.6525359999999996</v>
      </c>
      <c r="E4179">
        <v>0.52033220000000002</v>
      </c>
      <c r="F4179" t="s">
        <v>44</v>
      </c>
      <c r="G4179">
        <v>-253.45339999999999</v>
      </c>
      <c r="H4179">
        <v>0.86945609999999995</v>
      </c>
      <c r="I4179">
        <v>141.51750000000001</v>
      </c>
      <c r="J4179">
        <v>-252.87190000000001</v>
      </c>
      <c r="K4179">
        <v>1.1200619999999999</v>
      </c>
      <c r="L4179">
        <v>141.44399999999999</v>
      </c>
      <c r="M4179">
        <v>-0.99984390000000001</v>
      </c>
      <c r="N4179">
        <v>-8.1022630000000002E-3</v>
      </c>
      <c r="O4179">
        <v>1.570978E-2</v>
      </c>
      <c r="P4179">
        <v>-0.98417270000000001</v>
      </c>
      <c r="Q4179">
        <v>0.17326269999999999</v>
      </c>
      <c r="R4179">
        <v>3.7206219999999998E-2</v>
      </c>
      <c r="S4179">
        <v>-3.1859440000000001</v>
      </c>
      <c r="T4179">
        <v>-0.85367380000000004</v>
      </c>
      <c r="U4179">
        <v>0.26947019999999999</v>
      </c>
      <c r="V4179">
        <v>2.1977630000000001E-2</v>
      </c>
      <c r="W4179">
        <v>0.18120649999999999</v>
      </c>
      <c r="X4179">
        <v>0.9831995</v>
      </c>
      <c r="Y4179">
        <v>6.6722480000000001E-2</v>
      </c>
      <c r="Z4179">
        <v>5.0412199999999999E-3</v>
      </c>
      <c r="AA4179">
        <v>0.9977589</v>
      </c>
      <c r="AB4179">
        <v>34</v>
      </c>
      <c r="AC4179">
        <v>-0.58149999999997704</v>
      </c>
      <c r="AD4179">
        <v>-0.25060589999999999</v>
      </c>
      <c r="AE4179">
        <v>7.3500000000024102E-2</v>
      </c>
      <c r="AF4179">
        <v>5.4408909059791899E-2</v>
      </c>
      <c r="AG4179">
        <v>-0.25060589999999999</v>
      </c>
      <c r="AH4179">
        <v>0.49254150460425999</v>
      </c>
      <c r="AI4179">
        <v>116.82688036856401</v>
      </c>
      <c r="AJ4179">
        <v>83.696342997579407</v>
      </c>
      <c r="AK4179">
        <v>0.55530242234093896</v>
      </c>
      <c r="AL4179">
        <v>79.559957461159897</v>
      </c>
      <c r="AM4179">
        <v>88.719470691850105</v>
      </c>
      <c r="AN4179">
        <v>1.0000000343314499</v>
      </c>
    </row>
    <row r="4180" spans="1:40" x14ac:dyDescent="0.25">
      <c r="A4180" t="str">
        <f>"20190303162903847"</f>
        <v>20190303162903847</v>
      </c>
      <c r="B4180" t="str">
        <f>"1551601743835548"</f>
        <v>1551601743835548</v>
      </c>
      <c r="C4180" t="s">
        <v>40</v>
      </c>
      <c r="D4180">
        <v>4.6691500000000001</v>
      </c>
      <c r="E4180">
        <v>0.52037040000000001</v>
      </c>
      <c r="F4180" t="s">
        <v>44</v>
      </c>
      <c r="G4180">
        <v>-253.7655</v>
      </c>
      <c r="H4180">
        <v>0.88018609999999897</v>
      </c>
      <c r="I4180">
        <v>141.5198</v>
      </c>
      <c r="J4180">
        <v>-253.17080000000001</v>
      </c>
      <c r="K4180">
        <v>1.120093</v>
      </c>
      <c r="L4180">
        <v>141.44909999999999</v>
      </c>
      <c r="M4180">
        <v>-0.99983699999999998</v>
      </c>
      <c r="N4180">
        <v>-8.1083519999999992E-3</v>
      </c>
      <c r="O4180">
        <v>1.6134740000000002E-2</v>
      </c>
      <c r="P4180">
        <v>-0.98394789999999999</v>
      </c>
      <c r="Q4180">
        <v>0.17472170000000001</v>
      </c>
      <c r="R4180">
        <v>3.6315819999999999E-2</v>
      </c>
      <c r="S4180">
        <v>-3.1887509999999999</v>
      </c>
      <c r="T4180">
        <v>-0.8560179</v>
      </c>
      <c r="U4180">
        <v>0.26989750000000001</v>
      </c>
      <c r="V4180">
        <v>2.0665099999999999E-2</v>
      </c>
      <c r="W4180">
        <v>0.1826718</v>
      </c>
      <c r="X4180">
        <v>0.98295679999999996</v>
      </c>
      <c r="Y4180">
        <v>6.6377160000000004E-2</v>
      </c>
      <c r="Z4180">
        <v>4.8945029999999997E-3</v>
      </c>
      <c r="AA4180">
        <v>0.99778259999999996</v>
      </c>
      <c r="AB4180">
        <v>34</v>
      </c>
      <c r="AC4180">
        <v>-0.59469999999998802</v>
      </c>
      <c r="AD4180">
        <v>-0.23990690000000001</v>
      </c>
      <c r="AE4180">
        <v>7.0700000000016403E-2</v>
      </c>
      <c r="AF4180">
        <v>5.2646890850644203E-2</v>
      </c>
      <c r="AG4180">
        <v>-0.23990690000000001</v>
      </c>
      <c r="AH4180">
        <v>0.51338096546416701</v>
      </c>
      <c r="AI4180">
        <v>114.932291982176</v>
      </c>
      <c r="AJ4180">
        <v>84.144822154133195</v>
      </c>
      <c r="AK4180">
        <v>0.56911073745341501</v>
      </c>
      <c r="AL4180">
        <v>79.474577116626705</v>
      </c>
      <c r="AM4180">
        <v>88.795624975711604</v>
      </c>
      <c r="AN4180">
        <v>1.0000000517697401</v>
      </c>
    </row>
    <row r="4181" spans="1:40" x14ac:dyDescent="0.25">
      <c r="A4181" t="str">
        <f>"20190303162903869"</f>
        <v>20190303162903869</v>
      </c>
      <c r="B4181" t="str">
        <f>"1551601743865804"</f>
        <v>1551601743865804</v>
      </c>
      <c r="C4181" t="s">
        <v>40</v>
      </c>
      <c r="D4181">
        <v>4.749028</v>
      </c>
      <c r="E4181">
        <v>0.52126070000000002</v>
      </c>
      <c r="F4181" t="s">
        <v>44</v>
      </c>
      <c r="G4181">
        <v>-254.07339999999999</v>
      </c>
      <c r="H4181">
        <v>0.87887109999999902</v>
      </c>
      <c r="I4181">
        <v>141.52529999999999</v>
      </c>
      <c r="J4181">
        <v>-253.51949999999999</v>
      </c>
      <c r="K4181">
        <v>1.120115</v>
      </c>
      <c r="L4181">
        <v>141.45519999999999</v>
      </c>
      <c r="M4181">
        <v>-0.99982919999999997</v>
      </c>
      <c r="N4181">
        <v>-8.11545199999999E-3</v>
      </c>
      <c r="O4181">
        <v>1.661176E-2</v>
      </c>
      <c r="P4181">
        <v>-0.98388030000000004</v>
      </c>
      <c r="Q4181">
        <v>0.17507439999999999</v>
      </c>
      <c r="R4181">
        <v>3.6452680000000001E-2</v>
      </c>
      <c r="S4181">
        <v>-3.1904300000000001</v>
      </c>
      <c r="T4181">
        <v>-0.85265579999999996</v>
      </c>
      <c r="U4181">
        <v>0.26863100000000001</v>
      </c>
      <c r="V4181">
        <v>2.032687E-2</v>
      </c>
      <c r="W4181">
        <v>0.18303269999999999</v>
      </c>
      <c r="X4181">
        <v>0.98289669999999896</v>
      </c>
      <c r="Y4181">
        <v>6.5525719999999996E-2</v>
      </c>
      <c r="Z4181">
        <v>4.6392170000000002E-3</v>
      </c>
      <c r="AA4181">
        <v>0.99784010000000001</v>
      </c>
      <c r="AB4181">
        <v>34</v>
      </c>
      <c r="AC4181">
        <v>-0.55389999999999795</v>
      </c>
      <c r="AD4181">
        <v>-0.24124390000000001</v>
      </c>
      <c r="AE4181">
        <v>7.0099999999996498E-2</v>
      </c>
      <c r="AF4181">
        <v>5.1309231787599503E-2</v>
      </c>
      <c r="AG4181">
        <v>-0.24124390000000001</v>
      </c>
      <c r="AH4181">
        <v>0.46767264365258499</v>
      </c>
      <c r="AI4181">
        <v>117.14704926516001</v>
      </c>
      <c r="AJ4181">
        <v>83.739014315807097</v>
      </c>
      <c r="AK4181">
        <v>0.52872389597486702</v>
      </c>
      <c r="AL4181">
        <v>79.453544310139804</v>
      </c>
      <c r="AM4181">
        <v>88.815259151589601</v>
      </c>
      <c r="AN4181">
        <v>1.0000000368920801</v>
      </c>
    </row>
    <row r="4182" spans="1:40" x14ac:dyDescent="0.25">
      <c r="A4182" t="str">
        <f>"20190303162903893"</f>
        <v>20190303162903893</v>
      </c>
      <c r="B4182" t="str">
        <f>"1551601743886300"</f>
        <v>1551601743886300</v>
      </c>
      <c r="C4182" t="s">
        <v>40</v>
      </c>
      <c r="D4182">
        <v>4.7267869999999998</v>
      </c>
      <c r="E4182">
        <v>0.52201489999999995</v>
      </c>
      <c r="F4182" t="s">
        <v>44</v>
      </c>
      <c r="G4182">
        <v>-254.3852</v>
      </c>
      <c r="H4182">
        <v>0.88597630000000005</v>
      </c>
      <c r="I4182">
        <v>141.52950000000001</v>
      </c>
      <c r="J4182">
        <v>-253.89070000000001</v>
      </c>
      <c r="K4182">
        <v>1.120128</v>
      </c>
      <c r="L4182">
        <v>141.46190000000001</v>
      </c>
      <c r="M4182">
        <v>-0.99982059999999995</v>
      </c>
      <c r="N4182">
        <v>-8.1231840000000003E-3</v>
      </c>
      <c r="O4182">
        <v>1.710975E-2</v>
      </c>
      <c r="P4182">
        <v>-0.98413980000000001</v>
      </c>
      <c r="Q4182">
        <v>0.1735005</v>
      </c>
      <c r="R4182">
        <v>3.696663E-2</v>
      </c>
      <c r="S4182">
        <v>-3.1926420000000002</v>
      </c>
      <c r="T4182">
        <v>-0.86346819999999902</v>
      </c>
      <c r="U4182">
        <v>0.27386470000000002</v>
      </c>
      <c r="V4182">
        <v>2.0338930000000002E-2</v>
      </c>
      <c r="W4182">
        <v>0.18146870000000001</v>
      </c>
      <c r="X4182">
        <v>0.98318640000000002</v>
      </c>
      <c r="Y4182">
        <v>6.6533190000000006E-2</v>
      </c>
      <c r="Z4182">
        <v>4.6981369999999998E-3</v>
      </c>
      <c r="AA4182">
        <v>0.99777320000000003</v>
      </c>
      <c r="AB4182">
        <v>34</v>
      </c>
      <c r="AC4182">
        <v>-0.494499999999988</v>
      </c>
      <c r="AD4182">
        <v>-0.23415169999999999</v>
      </c>
      <c r="AE4182">
        <v>6.7599999999998703E-2</v>
      </c>
      <c r="AF4182">
        <v>4.8462447742866802E-2</v>
      </c>
      <c r="AG4182">
        <v>-0.23415169999999999</v>
      </c>
      <c r="AH4182">
        <v>0.406183175845716</v>
      </c>
      <c r="AI4182">
        <v>119.787185729567</v>
      </c>
      <c r="AJ4182">
        <v>83.196100691600805</v>
      </c>
      <c r="AK4182">
        <v>0.471338943642716</v>
      </c>
      <c r="AL4182">
        <v>79.544681187568301</v>
      </c>
      <c r="AM4182">
        <v>88.814905637690998</v>
      </c>
      <c r="AN4182">
        <v>1.00000002914909</v>
      </c>
    </row>
    <row r="4183" spans="1:40" x14ac:dyDescent="0.25">
      <c r="A4183" t="str">
        <f>"20190303162903915"</f>
        <v>20190303162903915</v>
      </c>
      <c r="B4183" t="str">
        <f>"1551601743905820"</f>
        <v>1551601743905820</v>
      </c>
      <c r="C4183" t="s">
        <v>40</v>
      </c>
      <c r="D4183">
        <v>4.7418199999999997</v>
      </c>
      <c r="E4183">
        <v>0.52256599999999997</v>
      </c>
      <c r="F4183" t="s">
        <v>44</v>
      </c>
      <c r="G4183">
        <v>-254.69909999999999</v>
      </c>
      <c r="H4183">
        <v>0.89635229999999999</v>
      </c>
      <c r="I4183">
        <v>141.53319999999999</v>
      </c>
      <c r="J4183">
        <v>-254.227</v>
      </c>
      <c r="K4183">
        <v>1.1201380000000001</v>
      </c>
      <c r="L4183">
        <v>141.46799999999999</v>
      </c>
      <c r="M4183">
        <v>-0.99981279999999995</v>
      </c>
      <c r="N4183">
        <v>-8.1303319999999901E-3</v>
      </c>
      <c r="O4183">
        <v>1.7557880000000001E-2</v>
      </c>
      <c r="P4183">
        <v>-0.98432059999999999</v>
      </c>
      <c r="Q4183">
        <v>0.17261560000000001</v>
      </c>
      <c r="R4183">
        <v>3.6290610000000001E-2</v>
      </c>
      <c r="S4183">
        <v>-3.1936490000000002</v>
      </c>
      <c r="T4183">
        <v>-0.88402610000000004</v>
      </c>
      <c r="U4183">
        <v>0.28031919999999999</v>
      </c>
      <c r="V4183">
        <v>1.9214430000000001E-2</v>
      </c>
      <c r="W4183">
        <v>0.18059410000000001</v>
      </c>
      <c r="X4183">
        <v>0.98336999999999997</v>
      </c>
      <c r="Y4183">
        <v>6.7937819999999996E-2</v>
      </c>
      <c r="Z4183">
        <v>4.8737529999999998E-3</v>
      </c>
      <c r="AA4183">
        <v>0.99767760000000005</v>
      </c>
      <c r="AB4183">
        <v>35</v>
      </c>
      <c r="AC4183">
        <v>-0.47209999999998298</v>
      </c>
      <c r="AD4183">
        <v>-0.223785699999999</v>
      </c>
      <c r="AE4183">
        <v>6.5200000000004296E-2</v>
      </c>
      <c r="AF4183">
        <v>4.66210659487519E-2</v>
      </c>
      <c r="AG4183">
        <v>-0.223785699999999</v>
      </c>
      <c r="AH4183">
        <v>0.38768984259280698</v>
      </c>
      <c r="AI4183">
        <v>119.817013021373</v>
      </c>
      <c r="AJ4183">
        <v>83.142907924613695</v>
      </c>
      <c r="AK4183">
        <v>0.45006330372995701</v>
      </c>
      <c r="AL4183">
        <v>79.595633542115294</v>
      </c>
      <c r="AM4183">
        <v>88.880619021312199</v>
      </c>
      <c r="AN4183">
        <v>0.99999999008751705</v>
      </c>
    </row>
    <row r="4184" spans="1:40" x14ac:dyDescent="0.25">
      <c r="A4184" t="str">
        <f>"20190303162903936"</f>
        <v>20190303162903936</v>
      </c>
      <c r="B4184" t="str">
        <f>"1551601743926315"</f>
        <v>1551601743926315</v>
      </c>
      <c r="C4184" t="s">
        <v>40</v>
      </c>
      <c r="D4184">
        <v>4.7948969999999997</v>
      </c>
      <c r="E4184">
        <v>0.52287240000000001</v>
      </c>
      <c r="F4184" t="s">
        <v>44</v>
      </c>
      <c r="G4184">
        <v>-255.01089999999999</v>
      </c>
      <c r="H4184">
        <v>0.89985369999999998</v>
      </c>
      <c r="I4184">
        <v>141.5376</v>
      </c>
      <c r="J4184">
        <v>-254.5565</v>
      </c>
      <c r="K4184">
        <v>1.120147</v>
      </c>
      <c r="L4184">
        <v>141.4742</v>
      </c>
      <c r="M4184">
        <v>-0.9998049</v>
      </c>
      <c r="N4184">
        <v>-8.1375600000000003E-3</v>
      </c>
      <c r="O4184">
        <v>1.7997860000000001E-2</v>
      </c>
      <c r="P4184">
        <v>-0.98433919999999997</v>
      </c>
      <c r="Q4184">
        <v>0.17271</v>
      </c>
      <c r="R4184">
        <v>3.5319929999999999E-2</v>
      </c>
      <c r="S4184">
        <v>-3.1948089999999998</v>
      </c>
      <c r="T4184">
        <v>-0.89775479999999996</v>
      </c>
      <c r="U4184">
        <v>0.2828369</v>
      </c>
      <c r="V4184">
        <v>1.7807509999999999E-2</v>
      </c>
      <c r="W4184">
        <v>0.18069769999999999</v>
      </c>
      <c r="X4184">
        <v>0.98337750000000002</v>
      </c>
      <c r="Y4184">
        <v>6.8195130000000007E-2</v>
      </c>
      <c r="Z4184">
        <v>4.8580619999999998E-3</v>
      </c>
      <c r="AA4184">
        <v>0.9976602</v>
      </c>
      <c r="AB4184">
        <v>35</v>
      </c>
      <c r="AC4184">
        <v>-0.45439999999999198</v>
      </c>
      <c r="AD4184">
        <v>-0.2202933</v>
      </c>
      <c r="AE4184">
        <v>6.34000000000014E-2</v>
      </c>
      <c r="AF4184">
        <v>4.4867358107224802E-2</v>
      </c>
      <c r="AG4184">
        <v>-0.2202933</v>
      </c>
      <c r="AH4184">
        <v>0.37013525380450302</v>
      </c>
      <c r="AI4184">
        <v>120.57648917775499</v>
      </c>
      <c r="AJ4184">
        <v>83.088394717902602</v>
      </c>
      <c r="AK4184">
        <v>0.43306157063093897</v>
      </c>
      <c r="AL4184">
        <v>79.589598902772593</v>
      </c>
      <c r="AM4184">
        <v>88.962571683777398</v>
      </c>
      <c r="AN4184">
        <v>1.0000000368519599</v>
      </c>
    </row>
    <row r="4185" spans="1:40" x14ac:dyDescent="0.25">
      <c r="A4185" t="str">
        <f>"20190303162903960"</f>
        <v>20190303162903960</v>
      </c>
      <c r="B4185" t="str">
        <f>"1551601743955595"</f>
        <v>1551601743955595</v>
      </c>
      <c r="C4185" t="s">
        <v>40</v>
      </c>
      <c r="D4185">
        <v>4.799588</v>
      </c>
      <c r="E4185">
        <v>0.52321059999999997</v>
      </c>
      <c r="F4185" t="s">
        <v>44</v>
      </c>
      <c r="G4185">
        <v>-255.3228</v>
      </c>
      <c r="H4185">
        <v>0.90234840000000005</v>
      </c>
      <c r="I4185">
        <v>141.54259999999999</v>
      </c>
      <c r="J4185">
        <v>-254.92009999999999</v>
      </c>
      <c r="K4185">
        <v>1.120155</v>
      </c>
      <c r="L4185">
        <v>141.4813</v>
      </c>
      <c r="M4185">
        <v>-0.99979609999999997</v>
      </c>
      <c r="N4185">
        <v>-8.1457909999999994E-3</v>
      </c>
      <c r="O4185">
        <v>1.8485399999999999E-2</v>
      </c>
      <c r="P4185">
        <v>-0.98429549999999999</v>
      </c>
      <c r="Q4185">
        <v>0.173112299999999</v>
      </c>
      <c r="R4185">
        <v>3.4565980000000003E-2</v>
      </c>
      <c r="S4185">
        <v>-3.1969910000000001</v>
      </c>
      <c r="T4185">
        <v>-0.90859129999999999</v>
      </c>
      <c r="U4185">
        <v>0.2838135</v>
      </c>
      <c r="V4185">
        <v>1.6572420000000001E-2</v>
      </c>
      <c r="W4185">
        <v>0.1811094</v>
      </c>
      <c r="X4185">
        <v>0.98332330000000001</v>
      </c>
      <c r="Y4185">
        <v>6.7935140000000005E-2</v>
      </c>
      <c r="Z4185">
        <v>4.7381339999999997E-3</v>
      </c>
      <c r="AA4185">
        <v>0.99767850000000002</v>
      </c>
      <c r="AB4185">
        <v>35</v>
      </c>
      <c r="AC4185">
        <v>-0.40270000000000999</v>
      </c>
      <c r="AD4185">
        <v>-0.21780659999999999</v>
      </c>
      <c r="AE4185">
        <v>6.1299999999988503E-2</v>
      </c>
      <c r="AF4185">
        <v>4.1873212227953399E-2</v>
      </c>
      <c r="AG4185">
        <v>-0.21780659999999999</v>
      </c>
      <c r="AH4185">
        <v>0.31399101177794198</v>
      </c>
      <c r="AI4185">
        <v>124.511801581523</v>
      </c>
      <c r="AJ4185">
        <v>82.403968227325095</v>
      </c>
      <c r="AK4185">
        <v>0.38442611303497998</v>
      </c>
      <c r="AL4185">
        <v>79.565613973221403</v>
      </c>
      <c r="AM4185">
        <v>89.034458111361005</v>
      </c>
      <c r="AN4185">
        <v>0.99999998609795304</v>
      </c>
    </row>
    <row r="4186" spans="1:40" x14ac:dyDescent="0.25">
      <c r="A4186" t="str">
        <f>"20190303162903982"</f>
        <v>20190303162903982</v>
      </c>
      <c r="B4186" t="str">
        <f>"1551601743976092"</f>
        <v>1551601743976092</v>
      </c>
      <c r="C4186" t="s">
        <v>40</v>
      </c>
      <c r="D4186">
        <v>4.7865469999999997</v>
      </c>
      <c r="E4186">
        <v>0.52348890000000003</v>
      </c>
      <c r="F4186" t="s">
        <v>44</v>
      </c>
      <c r="G4186">
        <v>-255.63929999999999</v>
      </c>
      <c r="H4186">
        <v>0.91326280000000004</v>
      </c>
      <c r="I4186">
        <v>141.54519999999999</v>
      </c>
      <c r="J4186">
        <v>-255.27889999999999</v>
      </c>
      <c r="K4186">
        <v>1.1201570000000001</v>
      </c>
      <c r="L4186">
        <v>141.48840000000001</v>
      </c>
      <c r="M4186">
        <v>-0.99978690000000003</v>
      </c>
      <c r="N4186">
        <v>-8.1541069999999903E-3</v>
      </c>
      <c r="O4186">
        <v>1.8968780000000001E-2</v>
      </c>
      <c r="P4186">
        <v>-0.98425229999999997</v>
      </c>
      <c r="Q4186">
        <v>0.17341479999999901</v>
      </c>
      <c r="R4186">
        <v>3.4275920000000001E-2</v>
      </c>
      <c r="S4186">
        <v>-3.199738</v>
      </c>
      <c r="T4186">
        <v>-0.920431</v>
      </c>
      <c r="U4186">
        <v>0.28445429999999999</v>
      </c>
      <c r="V4186">
        <v>1.5805550000000002E-2</v>
      </c>
      <c r="W4186">
        <v>0.18142079999999999</v>
      </c>
      <c r="X4186">
        <v>0.98327850000000006</v>
      </c>
      <c r="Y4186">
        <v>6.7561309999999999E-2</v>
      </c>
      <c r="Z4186">
        <v>4.602727E-3</v>
      </c>
      <c r="AA4186">
        <v>0.99770449999999999</v>
      </c>
      <c r="AB4186">
        <v>35</v>
      </c>
      <c r="AC4186">
        <v>-0.360399999999998</v>
      </c>
      <c r="AD4186">
        <v>-0.2068942</v>
      </c>
      <c r="AE4186">
        <v>5.6799999999981303E-2</v>
      </c>
      <c r="AF4186">
        <v>3.7798462924802101E-2</v>
      </c>
      <c r="AG4186">
        <v>-0.2068942</v>
      </c>
      <c r="AH4186">
        <v>0.273472771050212</v>
      </c>
      <c r="AI4186">
        <v>126.84860656388901</v>
      </c>
      <c r="AJ4186">
        <v>82.130633902292601</v>
      </c>
      <c r="AK4186">
        <v>0.34499462357984501</v>
      </c>
      <c r="AL4186">
        <v>79.547471304637995</v>
      </c>
      <c r="AM4186">
        <v>89.079087640876196</v>
      </c>
      <c r="AN4186">
        <v>0.99999996532284496</v>
      </c>
    </row>
    <row r="4187" spans="1:40" x14ac:dyDescent="0.25">
      <c r="A4187" t="str">
        <f>"20190303162904005"</f>
        <v>20190303162904005</v>
      </c>
      <c r="B4187" t="str">
        <f>"1551601743995612"</f>
        <v>1551601743995612</v>
      </c>
      <c r="C4187" t="s">
        <v>40</v>
      </c>
      <c r="D4187">
        <v>4.8317839999999999</v>
      </c>
      <c r="E4187">
        <v>0.52364429999999995</v>
      </c>
      <c r="F4187" t="s">
        <v>44</v>
      </c>
      <c r="G4187">
        <v>-255.9562</v>
      </c>
      <c r="H4187">
        <v>0.92408360000000001</v>
      </c>
      <c r="I4187">
        <v>141.54910000000001</v>
      </c>
      <c r="J4187">
        <v>-255.62790000000001</v>
      </c>
      <c r="K4187">
        <v>1.120163</v>
      </c>
      <c r="L4187">
        <v>141.49539999999999</v>
      </c>
      <c r="M4187">
        <v>-0.99977769999999999</v>
      </c>
      <c r="N4187">
        <v>-8.1625009999999904E-3</v>
      </c>
      <c r="O4187">
        <v>1.9440010000000001E-2</v>
      </c>
      <c r="P4187">
        <v>-0.98435130000000004</v>
      </c>
      <c r="Q4187">
        <v>0.17280879999999901</v>
      </c>
      <c r="R4187">
        <v>3.4492950000000001E-2</v>
      </c>
      <c r="S4187">
        <v>-3.2013090000000002</v>
      </c>
      <c r="T4187">
        <v>-0.926566</v>
      </c>
      <c r="U4187">
        <v>0.28553770000000001</v>
      </c>
      <c r="V4187">
        <v>1.5554439999999999E-2</v>
      </c>
      <c r="W4187">
        <v>0.18082429999999999</v>
      </c>
      <c r="X4187">
        <v>0.98339240000000006</v>
      </c>
      <c r="Y4187">
        <v>6.7383890000000002E-2</v>
      </c>
      <c r="Z4187">
        <v>4.4724710000000004E-3</v>
      </c>
      <c r="AA4187">
        <v>0.99771710000000002</v>
      </c>
      <c r="AB4187">
        <v>35</v>
      </c>
      <c r="AC4187">
        <v>-0.32829999999998399</v>
      </c>
      <c r="AD4187">
        <v>-0.19607939999999999</v>
      </c>
      <c r="AE4187">
        <v>5.3700000000020502E-2</v>
      </c>
      <c r="AF4187">
        <v>3.5109668762809999E-2</v>
      </c>
      <c r="AG4187">
        <v>-0.19607939999999999</v>
      </c>
      <c r="AH4187">
        <v>0.244379498896166</v>
      </c>
      <c r="AI4187">
        <v>128.45665932792701</v>
      </c>
      <c r="AJ4187">
        <v>81.824337719080305</v>
      </c>
      <c r="AK4187">
        <v>0.31527949414089002</v>
      </c>
      <c r="AL4187">
        <v>79.582223275963003</v>
      </c>
      <c r="AM4187">
        <v>89.093821088136096</v>
      </c>
      <c r="AN4187">
        <v>0.99999999022598096</v>
      </c>
    </row>
    <row r="4188" spans="1:40" x14ac:dyDescent="0.25">
      <c r="A4188" t="str">
        <f>"20190303162904026"</f>
        <v>20190303162904026</v>
      </c>
      <c r="B4188" t="str">
        <f>"1551601744016108"</f>
        <v>1551601744016108</v>
      </c>
      <c r="C4188" t="s">
        <v>40</v>
      </c>
      <c r="D4188">
        <v>4.7979269999999996</v>
      </c>
      <c r="E4188">
        <v>0.53226370000000001</v>
      </c>
      <c r="F4188" t="s">
        <v>44</v>
      </c>
      <c r="G4188">
        <v>-256.55099999999999</v>
      </c>
      <c r="H4188">
        <v>0.85125839999999997</v>
      </c>
      <c r="I4188">
        <v>141.578</v>
      </c>
      <c r="J4188">
        <v>-255.9631</v>
      </c>
      <c r="K4188">
        <v>1.1201620000000001</v>
      </c>
      <c r="L4188">
        <v>141.50239999999999</v>
      </c>
      <c r="M4188">
        <v>-0.99976880000000001</v>
      </c>
      <c r="N4188">
        <v>-8.1706529999999999E-3</v>
      </c>
      <c r="O4188">
        <v>1.989266E-2</v>
      </c>
      <c r="P4188">
        <v>-0.98456730000000003</v>
      </c>
      <c r="Q4188">
        <v>0.17146330000000001</v>
      </c>
      <c r="R4188">
        <v>3.5041660000000002E-2</v>
      </c>
      <c r="S4188">
        <v>-3.2014010000000002</v>
      </c>
      <c r="T4188">
        <v>-0.93249070000000001</v>
      </c>
      <c r="U4188">
        <v>0.28532410000000002</v>
      </c>
      <c r="V4188">
        <v>1.5650689999999998E-2</v>
      </c>
      <c r="W4188">
        <v>0.17948900000000001</v>
      </c>
      <c r="X4188">
        <v>0.9836355</v>
      </c>
      <c r="Y4188">
        <v>6.6877409999999998E-2</v>
      </c>
      <c r="Z4188">
        <v>4.2981520000000004E-3</v>
      </c>
      <c r="AA4188">
        <v>0.99775199999999997</v>
      </c>
      <c r="AB4188">
        <v>35</v>
      </c>
      <c r="AC4188">
        <v>-0.58789999999998999</v>
      </c>
      <c r="AD4188">
        <v>-0.26890359999999902</v>
      </c>
      <c r="AE4188">
        <v>7.5600000000008494E-2</v>
      </c>
      <c r="AF4188">
        <v>5.2984990081355002E-2</v>
      </c>
      <c r="AG4188">
        <v>-0.26890359999999902</v>
      </c>
      <c r="AH4188">
        <v>0.488707420850582</v>
      </c>
      <c r="AI4188">
        <v>118.679923719187</v>
      </c>
      <c r="AJ4188">
        <v>83.812239309119605</v>
      </c>
      <c r="AK4188">
        <v>0.56031375001985195</v>
      </c>
      <c r="AL4188">
        <v>79.660003296405804</v>
      </c>
      <c r="AM4188">
        <v>89.088439952334198</v>
      </c>
      <c r="AN4188">
        <v>1.00000002103936</v>
      </c>
    </row>
    <row r="4189" spans="1:40" x14ac:dyDescent="0.25">
      <c r="A4189" t="str">
        <f>"20190303162904048"</f>
        <v>20190303162904048</v>
      </c>
      <c r="B4189" t="str">
        <f>"1551601744035628"</f>
        <v>1551601744035628</v>
      </c>
      <c r="C4189" t="s">
        <v>40</v>
      </c>
      <c r="D4189">
        <v>4.8124349999999998</v>
      </c>
      <c r="E4189">
        <v>0.53266199999999997</v>
      </c>
      <c r="F4189" t="s">
        <v>44</v>
      </c>
      <c r="G4189">
        <v>-256.85599999999999</v>
      </c>
      <c r="H4189">
        <v>0.82972839999999903</v>
      </c>
      <c r="I4189">
        <v>141.60069999999999</v>
      </c>
      <c r="J4189">
        <v>-256.29410000000001</v>
      </c>
      <c r="K4189">
        <v>1.1201540000000001</v>
      </c>
      <c r="L4189">
        <v>141.5094</v>
      </c>
      <c r="M4189">
        <v>-0.99975979999999998</v>
      </c>
      <c r="N4189">
        <v>-8.1788799999999995E-3</v>
      </c>
      <c r="O4189">
        <v>2.033923E-2</v>
      </c>
      <c r="P4189">
        <v>-0.98484709999999998</v>
      </c>
      <c r="Q4189">
        <v>0.169684</v>
      </c>
      <c r="R4189">
        <v>3.5828279999999997E-2</v>
      </c>
      <c r="S4189">
        <v>-3.2166290000000002</v>
      </c>
      <c r="T4189">
        <v>-1.0463359999999999</v>
      </c>
      <c r="U4189">
        <v>0.3544312</v>
      </c>
      <c r="V4189">
        <v>1.5989159999999999E-2</v>
      </c>
      <c r="W4189">
        <v>0.17771970000000001</v>
      </c>
      <c r="X4189">
        <v>0.98395120000000003</v>
      </c>
      <c r="Y4189">
        <v>8.5781919999999998E-2</v>
      </c>
      <c r="Z4189">
        <v>7.6561869999999897E-3</v>
      </c>
      <c r="AA4189">
        <v>0.99628450000000002</v>
      </c>
      <c r="AB4189">
        <v>35</v>
      </c>
      <c r="AC4189">
        <v>-0.56189999999997997</v>
      </c>
      <c r="AD4189">
        <v>-0.29042560000000001</v>
      </c>
      <c r="AE4189">
        <v>9.1299999999989695E-2</v>
      </c>
      <c r="AF4189">
        <v>6.3360803922728595E-2</v>
      </c>
      <c r="AG4189">
        <v>-0.29042560000000001</v>
      </c>
      <c r="AH4189">
        <v>0.44723589674296199</v>
      </c>
      <c r="AI4189">
        <v>122.73934171362799</v>
      </c>
      <c r="AJ4189">
        <v>81.936454274248604</v>
      </c>
      <c r="AK4189">
        <v>0.53701170186931302</v>
      </c>
      <c r="AL4189">
        <v>79.763032666158395</v>
      </c>
      <c r="AM4189">
        <v>89.069028258394098</v>
      </c>
      <c r="AN4189">
        <v>0.99999995449351597</v>
      </c>
    </row>
    <row r="4190" spans="1:40" x14ac:dyDescent="0.25">
      <c r="A4190" t="str">
        <f>"20190303162904071"</f>
        <v>20190303162904071</v>
      </c>
      <c r="B4190" t="str">
        <f>"1551601744065884"</f>
        <v>1551601744065884</v>
      </c>
      <c r="C4190" t="s">
        <v>40</v>
      </c>
      <c r="D4190">
        <v>4.8266790000000004</v>
      </c>
      <c r="E4190">
        <v>0.53294379999999997</v>
      </c>
      <c r="F4190" t="s">
        <v>44</v>
      </c>
      <c r="G4190">
        <v>-257.17039999999997</v>
      </c>
      <c r="H4190">
        <v>0.83016309999999904</v>
      </c>
      <c r="I4190">
        <v>141.60839999999999</v>
      </c>
      <c r="J4190">
        <v>-256.66410000000002</v>
      </c>
      <c r="K4190">
        <v>1.1201509999999999</v>
      </c>
      <c r="L4190">
        <v>141.51740000000001</v>
      </c>
      <c r="M4190">
        <v>-0.99974940000000001</v>
      </c>
      <c r="N4190">
        <v>-8.1884599999999998E-3</v>
      </c>
      <c r="O4190">
        <v>2.083784E-2</v>
      </c>
      <c r="P4190">
        <v>-0.98476339999999996</v>
      </c>
      <c r="Q4190">
        <v>0.16985989999999901</v>
      </c>
      <c r="R4190">
        <v>3.7265720000000002E-2</v>
      </c>
      <c r="S4190">
        <v>-3.2163390000000001</v>
      </c>
      <c r="T4190">
        <v>-1.06433</v>
      </c>
      <c r="U4190">
        <v>0.36279299999999998</v>
      </c>
      <c r="V4190">
        <v>1.6936949999999999E-2</v>
      </c>
      <c r="W4190">
        <v>0.1779037</v>
      </c>
      <c r="X4190">
        <v>0.98390219999999995</v>
      </c>
      <c r="Y4190">
        <v>8.7661320000000001E-2</v>
      </c>
      <c r="Z4190">
        <v>7.9270139999999996E-3</v>
      </c>
      <c r="AA4190">
        <v>0.99611879999999997</v>
      </c>
      <c r="AB4190">
        <v>35</v>
      </c>
      <c r="AC4190">
        <v>-0.50629999999995301</v>
      </c>
      <c r="AD4190">
        <v>-0.28998790000000002</v>
      </c>
      <c r="AE4190">
        <v>9.0999999999979694E-2</v>
      </c>
      <c r="AF4190">
        <v>6.1033912098376997E-2</v>
      </c>
      <c r="AG4190">
        <v>-0.28998790000000002</v>
      </c>
      <c r="AH4190">
        <v>0.38556034784509902</v>
      </c>
      <c r="AI4190">
        <v>126.607570714228</v>
      </c>
      <c r="AJ4190">
        <v>81.004761921275502</v>
      </c>
      <c r="AK4190">
        <v>0.48628685197409599</v>
      </c>
      <c r="AL4190">
        <v>79.752320646752906</v>
      </c>
      <c r="AM4190">
        <v>89.013804504724305</v>
      </c>
      <c r="AN4190">
        <v>1.0000000629569099</v>
      </c>
    </row>
    <row r="4191" spans="1:40" x14ac:dyDescent="0.25">
      <c r="A4191" t="str">
        <f>"20190303162904094"</f>
        <v>20190303162904094</v>
      </c>
      <c r="B4191" t="str">
        <f>"1551601744086380"</f>
        <v>1551601744086380</v>
      </c>
      <c r="C4191" t="s">
        <v>40</v>
      </c>
      <c r="D4191">
        <v>4.8107860000000002</v>
      </c>
      <c r="E4191">
        <v>0.53310999999999997</v>
      </c>
      <c r="F4191" t="s">
        <v>44</v>
      </c>
      <c r="G4191">
        <v>-257.49119999999999</v>
      </c>
      <c r="H4191">
        <v>0.845111099999999</v>
      </c>
      <c r="I4191">
        <v>141.6131</v>
      </c>
      <c r="J4191">
        <v>-257.03300000000002</v>
      </c>
      <c r="K4191">
        <v>1.1201460000000001</v>
      </c>
      <c r="L4191">
        <v>141.5256</v>
      </c>
      <c r="M4191">
        <v>-0.99973880000000004</v>
      </c>
      <c r="N4191">
        <v>-8.1980809999999994E-3</v>
      </c>
      <c r="O4191">
        <v>2.1334550000000001E-2</v>
      </c>
      <c r="P4191">
        <v>-0.98443519999999896</v>
      </c>
      <c r="Q4191">
        <v>0.17116990000000001</v>
      </c>
      <c r="R4191">
        <v>3.985143E-2</v>
      </c>
      <c r="S4191">
        <v>-3.2168580000000002</v>
      </c>
      <c r="T4191">
        <v>-1.0697490000000001</v>
      </c>
      <c r="U4191">
        <v>0.3716583</v>
      </c>
      <c r="V4191">
        <v>1.904117E-2</v>
      </c>
      <c r="W4191">
        <v>0.17921879999999901</v>
      </c>
      <c r="X4191">
        <v>0.98362499999999997</v>
      </c>
      <c r="Y4191">
        <v>8.9736780000000002E-2</v>
      </c>
      <c r="Z4191">
        <v>8.1487939999999991E-3</v>
      </c>
      <c r="AA4191">
        <v>0.99593220000000005</v>
      </c>
      <c r="AB4191">
        <v>35</v>
      </c>
      <c r="AC4191">
        <v>-0.45819999999997602</v>
      </c>
      <c r="AD4191">
        <v>-0.27503490000000003</v>
      </c>
      <c r="AE4191">
        <v>8.7500000000005601E-2</v>
      </c>
      <c r="AF4191">
        <v>5.76601958122556E-2</v>
      </c>
      <c r="AG4191">
        <v>-0.27503490000000003</v>
      </c>
      <c r="AH4191">
        <v>0.34131370333400401</v>
      </c>
      <c r="AI4191">
        <v>128.469050930495</v>
      </c>
      <c r="AJ4191">
        <v>80.411211533120806</v>
      </c>
      <c r="AK4191">
        <v>0.44211303812790897</v>
      </c>
      <c r="AL4191">
        <v>79.675740013227198</v>
      </c>
      <c r="AM4191">
        <v>88.890997655163901</v>
      </c>
      <c r="AN4191">
        <v>1.0000000425266999</v>
      </c>
    </row>
    <row r="4192" spans="1:40" x14ac:dyDescent="0.25">
      <c r="A4192" t="str">
        <f>"20190303162904115"</f>
        <v>20190303162904115</v>
      </c>
      <c r="B4192" t="str">
        <f>"1551601744105900"</f>
        <v>1551601744105900</v>
      </c>
      <c r="C4192" t="s">
        <v>40</v>
      </c>
      <c r="D4192">
        <v>4.8358140000000001</v>
      </c>
      <c r="E4192">
        <v>0.53313369999999904</v>
      </c>
      <c r="F4192" t="s">
        <v>44</v>
      </c>
      <c r="G4192">
        <v>-257.8134</v>
      </c>
      <c r="H4192">
        <v>0.86218329999999999</v>
      </c>
      <c r="I4192">
        <v>141.61799999999999</v>
      </c>
      <c r="J4192">
        <v>-257.36529999999999</v>
      </c>
      <c r="K4192">
        <v>1.1201350000000001</v>
      </c>
      <c r="L4192">
        <v>141.53309999999999</v>
      </c>
      <c r="M4192">
        <v>-0.99972919999999998</v>
      </c>
      <c r="N4192">
        <v>-8.2068909999999991E-3</v>
      </c>
      <c r="O4192">
        <v>2.1781439999999999E-2</v>
      </c>
      <c r="P4192">
        <v>-0.98429109999999997</v>
      </c>
      <c r="Q4192">
        <v>0.1712166</v>
      </c>
      <c r="R4192">
        <v>4.3081840000000003E-2</v>
      </c>
      <c r="S4192">
        <v>-3.2169189999999999</v>
      </c>
      <c r="T4192">
        <v>-1.0633250000000001</v>
      </c>
      <c r="U4192">
        <v>0.38006590000000001</v>
      </c>
      <c r="V4192">
        <v>2.183411E-2</v>
      </c>
      <c r="W4192">
        <v>0.17926989999999901</v>
      </c>
      <c r="X4192">
        <v>0.98355760000000003</v>
      </c>
      <c r="Y4192">
        <v>9.1812660000000004E-2</v>
      </c>
      <c r="Z4192">
        <v>8.3070039999999998E-3</v>
      </c>
      <c r="AA4192">
        <v>0.99574169999999995</v>
      </c>
      <c r="AB4192">
        <v>35</v>
      </c>
      <c r="AC4192">
        <v>-0.44810000000000999</v>
      </c>
      <c r="AD4192">
        <v>-0.25795170000000001</v>
      </c>
      <c r="AE4192">
        <v>8.4900000000004597E-2</v>
      </c>
      <c r="AF4192">
        <v>5.6912978788757999E-2</v>
      </c>
      <c r="AG4192">
        <v>-0.25795170000000001</v>
      </c>
      <c r="AH4192">
        <v>0.340816756417263</v>
      </c>
      <c r="AI4192">
        <v>126.74230328493201</v>
      </c>
      <c r="AJ4192">
        <v>80.519655653914896</v>
      </c>
      <c r="AK4192">
        <v>0.43120091389314502</v>
      </c>
      <c r="AL4192">
        <v>79.672763442027403</v>
      </c>
      <c r="AM4192">
        <v>88.728293172813494</v>
      </c>
      <c r="AN4192">
        <v>0.999999988961631</v>
      </c>
    </row>
    <row r="4193" spans="1:40" x14ac:dyDescent="0.25">
      <c r="A4193" t="str">
        <f>"20190303162904137"</f>
        <v>20190303162904137</v>
      </c>
      <c r="B4193" t="str">
        <f>"1551601744125420"</f>
        <v>1551601744125420</v>
      </c>
      <c r="C4193" t="s">
        <v>40</v>
      </c>
      <c r="D4193">
        <v>4.8351829999999998</v>
      </c>
      <c r="E4193">
        <v>0.53306290000000001</v>
      </c>
      <c r="F4193" t="s">
        <v>44</v>
      </c>
      <c r="G4193">
        <v>-258.13130000000001</v>
      </c>
      <c r="H4193">
        <v>0.86698889999999995</v>
      </c>
      <c r="I4193">
        <v>141.626</v>
      </c>
      <c r="J4193">
        <v>-257.70370000000003</v>
      </c>
      <c r="K4193">
        <v>1.120128</v>
      </c>
      <c r="L4193">
        <v>141.54089999999999</v>
      </c>
      <c r="M4193">
        <v>-0.99971909999999997</v>
      </c>
      <c r="N4193">
        <v>-8.2159940000000008E-3</v>
      </c>
      <c r="O4193">
        <v>2.2236369999999998E-2</v>
      </c>
      <c r="P4193">
        <v>-0.98435240000000002</v>
      </c>
      <c r="Q4193">
        <v>0.1701725</v>
      </c>
      <c r="R4193">
        <v>4.5740530000000001E-2</v>
      </c>
      <c r="S4193">
        <v>-3.215668</v>
      </c>
      <c r="T4193">
        <v>-1.0626799999999901</v>
      </c>
      <c r="U4193">
        <v>0.38948060000000001</v>
      </c>
      <c r="V4193">
        <v>2.4042040000000001E-2</v>
      </c>
      <c r="W4193">
        <v>0.17823349999999999</v>
      </c>
      <c r="X4193">
        <v>0.98369439999999997</v>
      </c>
      <c r="Y4193">
        <v>9.4177250000000004E-2</v>
      </c>
      <c r="Z4193">
        <v>8.5519629999999992E-3</v>
      </c>
      <c r="AA4193">
        <v>0.99551869999999998</v>
      </c>
      <c r="AB4193">
        <v>35</v>
      </c>
      <c r="AC4193">
        <v>-0.42759999999998399</v>
      </c>
      <c r="AD4193">
        <v>-0.25313909999999901</v>
      </c>
      <c r="AE4193">
        <v>8.5100000000011194E-2</v>
      </c>
      <c r="AF4193">
        <v>5.6517628834748403E-2</v>
      </c>
      <c r="AG4193">
        <v>-0.25313909999999901</v>
      </c>
      <c r="AH4193">
        <v>0.32113004719633198</v>
      </c>
      <c r="AI4193">
        <v>127.823769104824</v>
      </c>
      <c r="AJ4193">
        <v>80.018388674814005</v>
      </c>
      <c r="AK4193">
        <v>0.41279311226113102</v>
      </c>
      <c r="AL4193">
        <v>79.733116284707407</v>
      </c>
      <c r="AM4193">
        <v>88.599937906883994</v>
      </c>
      <c r="AN4193">
        <v>0.99999993640048301</v>
      </c>
    </row>
    <row r="4194" spans="1:40" x14ac:dyDescent="0.25">
      <c r="A4194" t="str">
        <f>"20190303162904161"</f>
        <v>20190303162904161</v>
      </c>
      <c r="B4194" t="str">
        <f>"1551601744155676"</f>
        <v>1551601744155676</v>
      </c>
      <c r="C4194" t="s">
        <v>40</v>
      </c>
      <c r="D4194">
        <v>4.893777</v>
      </c>
      <c r="E4194">
        <v>0.53288579999999997</v>
      </c>
      <c r="F4194" t="s">
        <v>44</v>
      </c>
      <c r="G4194">
        <v>-258.45010000000002</v>
      </c>
      <c r="H4194">
        <v>0.872424599999999</v>
      </c>
      <c r="I4194">
        <v>141.63329999999999</v>
      </c>
      <c r="J4194">
        <v>-258.08589999999998</v>
      </c>
      <c r="K4194">
        <v>1.1201179999999999</v>
      </c>
      <c r="L4194">
        <v>141.5498</v>
      </c>
      <c r="M4194">
        <v>-0.99970729999999997</v>
      </c>
      <c r="N4194">
        <v>-8.2263749999999993E-3</v>
      </c>
      <c r="O4194">
        <v>2.2750360000000001E-2</v>
      </c>
      <c r="P4194">
        <v>-0.98426309999999995</v>
      </c>
      <c r="Q4194">
        <v>0.170242899999999</v>
      </c>
      <c r="R4194">
        <v>4.7365350000000001E-2</v>
      </c>
      <c r="S4194">
        <v>-3.2136230000000001</v>
      </c>
      <c r="T4194">
        <v>-1.0664439999999999</v>
      </c>
      <c r="U4194">
        <v>0.39714050000000001</v>
      </c>
      <c r="V4194">
        <v>2.516258E-2</v>
      </c>
      <c r="W4194">
        <v>0.17831240000000001</v>
      </c>
      <c r="X4194">
        <v>0.98365219999999998</v>
      </c>
      <c r="Y4194">
        <v>9.5976829999999999E-2</v>
      </c>
      <c r="Z4194">
        <v>8.7194960000000002E-3</v>
      </c>
      <c r="AA4194">
        <v>0.99534540000000005</v>
      </c>
      <c r="AB4194">
        <v>35</v>
      </c>
      <c r="AC4194">
        <v>-0.36420000000003899</v>
      </c>
      <c r="AD4194">
        <v>-0.24769340000000001</v>
      </c>
      <c r="AE4194">
        <v>8.3499999999986502E-2</v>
      </c>
      <c r="AF4194">
        <v>5.2237252290714797E-2</v>
      </c>
      <c r="AG4194">
        <v>-0.24769340000000001</v>
      </c>
      <c r="AH4194">
        <v>0.25426921656205498</v>
      </c>
      <c r="AI4194">
        <v>133.657716657545</v>
      </c>
      <c r="AJ4194">
        <v>78.390642578124201</v>
      </c>
      <c r="AK4194">
        <v>0.35879462847362298</v>
      </c>
      <c r="AL4194">
        <v>79.728523325643394</v>
      </c>
      <c r="AM4194">
        <v>88.534649456592206</v>
      </c>
      <c r="AN4194">
        <v>1.0000000589954201</v>
      </c>
    </row>
    <row r="4195" spans="1:40" x14ac:dyDescent="0.25">
      <c r="A4195" t="str">
        <f>"20190303162904184"</f>
        <v>20190303162904184</v>
      </c>
      <c r="B4195" t="str">
        <f>"1551601744176172"</f>
        <v>1551601744176172</v>
      </c>
      <c r="C4195" t="s">
        <v>40</v>
      </c>
      <c r="D4195">
        <v>4.9073310000000001</v>
      </c>
      <c r="E4195">
        <v>0.53279080000000001</v>
      </c>
      <c r="F4195" t="s">
        <v>44</v>
      </c>
      <c r="G4195">
        <v>-258.77499999999998</v>
      </c>
      <c r="H4195">
        <v>0.89164900000000002</v>
      </c>
      <c r="I4195">
        <v>141.63570000000001</v>
      </c>
      <c r="J4195">
        <v>-258.44729999999998</v>
      </c>
      <c r="K4195">
        <v>1.120112</v>
      </c>
      <c r="L4195">
        <v>141.55850000000001</v>
      </c>
      <c r="M4195">
        <v>-0.99969620000000003</v>
      </c>
      <c r="N4195">
        <v>-8.2362700000000004E-3</v>
      </c>
      <c r="O4195">
        <v>2.3236110000000001E-2</v>
      </c>
      <c r="P4195">
        <v>-0.9840584</v>
      </c>
      <c r="Q4195">
        <v>0.17117669999999999</v>
      </c>
      <c r="R4195">
        <v>4.8248449999999998E-2</v>
      </c>
      <c r="S4195">
        <v>-3.212952</v>
      </c>
      <c r="T4195">
        <v>-1.0651930000000001</v>
      </c>
      <c r="U4195">
        <v>0.4001923</v>
      </c>
      <c r="V4195">
        <v>2.5573220000000001E-2</v>
      </c>
      <c r="W4195">
        <v>0.179254</v>
      </c>
      <c r="X4195">
        <v>0.98347039999999997</v>
      </c>
      <c r="Y4195">
        <v>9.6456070000000005E-2</v>
      </c>
      <c r="Z4195">
        <v>8.6392090000000001E-3</v>
      </c>
      <c r="AA4195">
        <v>0.99529979999999996</v>
      </c>
      <c r="AB4195">
        <v>35</v>
      </c>
      <c r="AC4195">
        <v>-0.327699999999993</v>
      </c>
      <c r="AD4195">
        <v>-0.228463</v>
      </c>
      <c r="AE4195">
        <v>7.7200000000004806E-2</v>
      </c>
      <c r="AF4195">
        <v>4.7630845077324298E-2</v>
      </c>
      <c r="AG4195">
        <v>-0.228463</v>
      </c>
      <c r="AH4195">
        <v>0.22554427713685599</v>
      </c>
      <c r="AI4195">
        <v>134.74337103535601</v>
      </c>
      <c r="AJ4195">
        <v>78.075384474524895</v>
      </c>
      <c r="AK4195">
        <v>0.32455240057803703</v>
      </c>
      <c r="AL4195">
        <v>79.673689632031696</v>
      </c>
      <c r="AM4195">
        <v>88.510471220691997</v>
      </c>
      <c r="AN4195">
        <v>1.0000000068866599</v>
      </c>
    </row>
    <row r="4196" spans="1:40" x14ac:dyDescent="0.25">
      <c r="A4196" t="str">
        <f>"20190303162904205"</f>
        <v>20190303162904205</v>
      </c>
      <c r="B4196" t="str">
        <f>"1551601744195692"</f>
        <v>1551601744195692</v>
      </c>
      <c r="C4196" t="s">
        <v>40</v>
      </c>
      <c r="D4196">
        <v>4.9653090000000004</v>
      </c>
      <c r="E4196">
        <v>0.53266729999999995</v>
      </c>
      <c r="F4196" t="s">
        <v>44</v>
      </c>
      <c r="G4196">
        <v>-259.37920000000003</v>
      </c>
      <c r="H4196">
        <v>0.81192330000000001</v>
      </c>
      <c r="I4196">
        <v>141.67509999999999</v>
      </c>
      <c r="J4196">
        <v>-258.78820000000002</v>
      </c>
      <c r="K4196">
        <v>1.120107</v>
      </c>
      <c r="L4196">
        <v>141.5668</v>
      </c>
      <c r="M4196">
        <v>-0.99968539999999995</v>
      </c>
      <c r="N4196">
        <v>-8.2456709999999996E-3</v>
      </c>
      <c r="O4196">
        <v>2.3692890000000001E-2</v>
      </c>
      <c r="P4196">
        <v>-0.98400049999999994</v>
      </c>
      <c r="Q4196">
        <v>0.17191429999999999</v>
      </c>
      <c r="R4196">
        <v>4.6785350000000003E-2</v>
      </c>
      <c r="S4196">
        <v>-3.2137760000000002</v>
      </c>
      <c r="T4196">
        <v>-1.0628869999999999</v>
      </c>
      <c r="U4196">
        <v>0.401474</v>
      </c>
      <c r="V4196">
        <v>2.366329E-2</v>
      </c>
      <c r="W4196">
        <v>0.1800021</v>
      </c>
      <c r="X4196">
        <v>0.98338159999999997</v>
      </c>
      <c r="Y4196">
        <v>9.6405249999999998E-2</v>
      </c>
      <c r="Z4196">
        <v>8.4700160000000004E-3</v>
      </c>
      <c r="AA4196">
        <v>0.99530609999999997</v>
      </c>
      <c r="AB4196">
        <v>36</v>
      </c>
      <c r="AC4196">
        <v>-0.59100000000000796</v>
      </c>
      <c r="AD4196">
        <v>-0.30818369999999901</v>
      </c>
      <c r="AE4196">
        <v>0.10829999999998501</v>
      </c>
      <c r="AF4196">
        <v>7.4631902655632396E-2</v>
      </c>
      <c r="AG4196">
        <v>-0.30818369999999901</v>
      </c>
      <c r="AH4196">
        <v>0.46980126712665699</v>
      </c>
      <c r="AI4196">
        <v>122.9377316644</v>
      </c>
      <c r="AJ4196">
        <v>80.973507625696001</v>
      </c>
      <c r="AK4196">
        <v>0.56679832783230999</v>
      </c>
      <c r="AL4196">
        <v>79.630118287085494</v>
      </c>
      <c r="AM4196">
        <v>88.621547271170996</v>
      </c>
      <c r="AN4196">
        <v>1.00000003925829</v>
      </c>
    </row>
    <row r="4197" spans="1:40" x14ac:dyDescent="0.25">
      <c r="A4197" t="str">
        <f>"20190303162904338"</f>
        <v>20190303162904338</v>
      </c>
      <c r="B4197" t="str">
        <f>"1551601744336236"</f>
        <v>1551601744336236</v>
      </c>
      <c r="C4197" t="s">
        <v>40</v>
      </c>
      <c r="D4197">
        <v>5.2443119999999999</v>
      </c>
      <c r="E4197">
        <v>0.49625520000000001</v>
      </c>
      <c r="F4197" t="s">
        <v>44</v>
      </c>
      <c r="G4197">
        <v>-261.31049999999999</v>
      </c>
      <c r="H4197">
        <v>0.83091469999999901</v>
      </c>
      <c r="I4197">
        <v>141.65880000000001</v>
      </c>
      <c r="J4197">
        <v>-260.91660000000002</v>
      </c>
      <c r="K4197">
        <v>1.12017099999999</v>
      </c>
      <c r="L4197">
        <v>141.62219999999999</v>
      </c>
      <c r="M4197">
        <v>-0.99961359999999999</v>
      </c>
      <c r="N4197">
        <v>-8.3063540000000002E-3</v>
      </c>
      <c r="O4197">
        <v>2.6528059999999999E-2</v>
      </c>
      <c r="P4197">
        <v>-0.980653</v>
      </c>
      <c r="Q4197">
        <v>0.1938657</v>
      </c>
      <c r="R4197">
        <v>2.7123040000000001E-2</v>
      </c>
      <c r="S4197">
        <v>-3.3052670000000002</v>
      </c>
      <c r="T4197">
        <v>-1.2887500000000001</v>
      </c>
      <c r="U4197">
        <v>0.20524600000000001</v>
      </c>
      <c r="V4197">
        <v>1.3313310000000001E-3</v>
      </c>
      <c r="W4197">
        <v>0.20200599999999999</v>
      </c>
      <c r="X4197">
        <v>0.97938340000000002</v>
      </c>
      <c r="Y4197">
        <v>3.4737700000000003E-2</v>
      </c>
      <c r="Z4197">
        <v>-3.0768660000000001E-3</v>
      </c>
      <c r="AA4197">
        <v>0.99939169999999999</v>
      </c>
      <c r="AB4197">
        <v>36</v>
      </c>
      <c r="AC4197">
        <v>-0.39389999999997299</v>
      </c>
      <c r="AD4197">
        <v>-0.28925629999999902</v>
      </c>
      <c r="AE4197">
        <v>3.6600000000021199E-2</v>
      </c>
      <c r="AF4197">
        <v>1.7031603592993199E-2</v>
      </c>
      <c r="AG4197">
        <v>-0.28925629999999902</v>
      </c>
      <c r="AH4197">
        <v>0.25721517541461097</v>
      </c>
      <c r="AI4197">
        <v>138.29332303140399</v>
      </c>
      <c r="AJ4197">
        <v>86.211667677872498</v>
      </c>
      <c r="AK4197">
        <v>0.38745184097408503</v>
      </c>
      <c r="AL4197">
        <v>78.345711219559007</v>
      </c>
      <c r="AM4197">
        <v>89.922114668830801</v>
      </c>
      <c r="AN4197">
        <v>1.0000000203368899</v>
      </c>
    </row>
    <row r="4198" spans="1:40" x14ac:dyDescent="0.25">
      <c r="A4198" t="str">
        <f>"20190303162904362"</f>
        <v>20190303162904362</v>
      </c>
      <c r="B4198" t="str">
        <f>"1551601744355756"</f>
        <v>1551601744355756</v>
      </c>
      <c r="C4198" t="s">
        <v>40</v>
      </c>
      <c r="D4198">
        <v>4.6575129999999998</v>
      </c>
      <c r="E4198">
        <v>0.49801050000000002</v>
      </c>
      <c r="F4198" t="s">
        <v>41</v>
      </c>
      <c r="G4198">
        <v>-273.08609999999999</v>
      </c>
      <c r="H4198" s="1">
        <v>-3.53311E-6</v>
      </c>
      <c r="I4198">
        <v>141.81379999999999</v>
      </c>
      <c r="J4198">
        <v>-261.30650000000003</v>
      </c>
      <c r="K4198">
        <v>1.120163</v>
      </c>
      <c r="L4198">
        <v>141.63299999999899</v>
      </c>
      <c r="M4198">
        <v>-0.99959960000000003</v>
      </c>
      <c r="N4198">
        <v>-8.3177719999999993E-3</v>
      </c>
      <c r="O4198">
        <v>2.7045099999999999E-2</v>
      </c>
      <c r="P4198">
        <v>-0.98104959999999997</v>
      </c>
      <c r="Q4198">
        <v>0.191772</v>
      </c>
      <c r="R4198">
        <v>2.7669639999999999E-2</v>
      </c>
      <c r="S4198">
        <v>-3.1145019999999999</v>
      </c>
      <c r="T4198">
        <v>-0.28668449999999901</v>
      </c>
      <c r="U4198">
        <v>4.9057009999999998E-2</v>
      </c>
      <c r="V4198">
        <v>1.358241E-3</v>
      </c>
      <c r="W4198">
        <v>0.19992740000000001</v>
      </c>
      <c r="X4198">
        <v>0.97980979999999995</v>
      </c>
      <c r="Y4198">
        <v>-1.115328E-2</v>
      </c>
      <c r="Z4198">
        <v>-2.8178470000000001E-3</v>
      </c>
      <c r="AA4198">
        <v>0.99993379999999998</v>
      </c>
      <c r="AB4198">
        <v>36</v>
      </c>
      <c r="AC4198">
        <v>-11.779599999999901</v>
      </c>
      <c r="AD4198">
        <v>-1.1201665331099999</v>
      </c>
      <c r="AE4198">
        <v>0.18080000000000401</v>
      </c>
      <c r="AF4198">
        <v>-0.13662246044338699</v>
      </c>
      <c r="AG4198">
        <v>-1.1201665331099999</v>
      </c>
      <c r="AH4198">
        <v>11.674634015452</v>
      </c>
      <c r="AI4198">
        <v>95.480307837825094</v>
      </c>
      <c r="AJ4198">
        <v>90.670473528292902</v>
      </c>
      <c r="AK4198">
        <v>11.7290459182896</v>
      </c>
      <c r="AL4198">
        <v>78.467286701374604</v>
      </c>
      <c r="AM4198">
        <v>89.920574965658005</v>
      </c>
      <c r="AN4198">
        <v>1.0000000271327001</v>
      </c>
    </row>
    <row r="4199" spans="1:40" x14ac:dyDescent="0.25">
      <c r="A4199" t="str">
        <f>"20190303162904386"</f>
        <v>20190303162904386</v>
      </c>
      <c r="B4199" t="str">
        <f>"1551601744377229"</f>
        <v>1551601744377229</v>
      </c>
      <c r="C4199" t="s">
        <v>40</v>
      </c>
      <c r="D4199">
        <v>5.0790870000000004</v>
      </c>
      <c r="E4199">
        <v>0.4972955</v>
      </c>
      <c r="F4199" t="s">
        <v>56</v>
      </c>
      <c r="G4199">
        <v>-286.83589999999998</v>
      </c>
      <c r="H4199" s="1">
        <v>-7.810914E-6</v>
      </c>
      <c r="I4199">
        <v>142.16759999999999</v>
      </c>
      <c r="J4199">
        <v>-261.69290000000001</v>
      </c>
      <c r="K4199">
        <v>1.1201589999999999</v>
      </c>
      <c r="L4199">
        <v>141.64400000000001</v>
      </c>
      <c r="M4199">
        <v>-0.99958559999999996</v>
      </c>
      <c r="N4199">
        <v>-8.3290380000000004E-3</v>
      </c>
      <c r="O4199">
        <v>2.7557180000000001E-2</v>
      </c>
      <c r="P4199">
        <v>-0.98126049999999998</v>
      </c>
      <c r="Q4199">
        <v>0.19046289999999999</v>
      </c>
      <c r="R4199">
        <v>2.9187569999999999E-2</v>
      </c>
      <c r="S4199">
        <v>-3.0825499999999999</v>
      </c>
      <c r="T4199">
        <v>-0.13525509999999999</v>
      </c>
      <c r="U4199">
        <v>6.4544679999999993E-2</v>
      </c>
      <c r="V4199">
        <v>2.3660999999999999E-3</v>
      </c>
      <c r="W4199">
        <v>0.19863069999999999</v>
      </c>
      <c r="X4199">
        <v>0.98007149999999998</v>
      </c>
      <c r="Y4199">
        <v>-6.6009679999999996E-3</v>
      </c>
      <c r="Z4199">
        <v>-1.151018E-3</v>
      </c>
      <c r="AA4199">
        <v>0.99997749999999996</v>
      </c>
      <c r="AB4199">
        <v>36</v>
      </c>
      <c r="AC4199">
        <v>-25.142999999999901</v>
      </c>
      <c r="AD4199">
        <v>-1.1201668109139999</v>
      </c>
      <c r="AE4199">
        <v>0.52359999999998696</v>
      </c>
      <c r="AF4199">
        <v>-0.16915741442195001</v>
      </c>
      <c r="AG4199">
        <v>-1.1201668109139999</v>
      </c>
      <c r="AH4199">
        <v>25.098085446647801</v>
      </c>
      <c r="AI4199">
        <v>92.555446361225407</v>
      </c>
      <c r="AJ4199">
        <v>90.386159302437207</v>
      </c>
      <c r="AK4199">
        <v>25.123639883630702</v>
      </c>
      <c r="AL4199">
        <v>78.543101898327393</v>
      </c>
      <c r="AM4199">
        <v>89.8616761322766</v>
      </c>
      <c r="AN4199">
        <v>0.999999949261973</v>
      </c>
    </row>
    <row r="4200" spans="1:40" x14ac:dyDescent="0.25">
      <c r="A4200" t="str">
        <f>"20190303162904406"</f>
        <v>20190303162904406</v>
      </c>
      <c r="B4200" t="str">
        <f>"1551601744395772"</f>
        <v>1551601744395772</v>
      </c>
      <c r="C4200" t="s">
        <v>40</v>
      </c>
      <c r="D4200">
        <v>5.0839949999999998</v>
      </c>
      <c r="E4200">
        <v>0.49716510000000003</v>
      </c>
      <c r="F4200" t="s">
        <v>56</v>
      </c>
      <c r="G4200">
        <v>-305.0478</v>
      </c>
      <c r="H4200" s="1">
        <v>-9.653146E-6</v>
      </c>
      <c r="I4200">
        <v>142.54679999999999</v>
      </c>
      <c r="J4200">
        <v>-262.02420000000001</v>
      </c>
      <c r="K4200">
        <v>1.1201540000000001</v>
      </c>
      <c r="L4200">
        <v>141.65350000000001</v>
      </c>
      <c r="M4200">
        <v>-0.9995733</v>
      </c>
      <c r="N4200">
        <v>-8.3385779999999993E-3</v>
      </c>
      <c r="O4200">
        <v>2.7996320000000002E-2</v>
      </c>
      <c r="P4200">
        <v>-0.98152669999999997</v>
      </c>
      <c r="Q4200">
        <v>0.1886477</v>
      </c>
      <c r="R4200">
        <v>3.1900599999999897E-2</v>
      </c>
      <c r="S4200">
        <v>-3.0708310000000001</v>
      </c>
      <c r="T4200">
        <v>-7.9341529999999993E-2</v>
      </c>
      <c r="U4200">
        <v>6.3949580000000006E-2</v>
      </c>
      <c r="V4200">
        <v>4.6378299999999999E-3</v>
      </c>
      <c r="W4200">
        <v>0.19682459999999999</v>
      </c>
      <c r="X4200">
        <v>0.98042770000000001</v>
      </c>
      <c r="Y4200">
        <v>-7.1716080000000003E-3</v>
      </c>
      <c r="Z4200">
        <v>-6.1211309999999999E-4</v>
      </c>
      <c r="AA4200">
        <v>0.99997409999999998</v>
      </c>
      <c r="AB4200">
        <v>36</v>
      </c>
      <c r="AC4200">
        <v>-43.023599999999902</v>
      </c>
      <c r="AD4200">
        <v>-1.120163653146</v>
      </c>
      <c r="AE4200">
        <v>0.893299999999982</v>
      </c>
      <c r="AF4200">
        <v>-0.31138347247886999</v>
      </c>
      <c r="AG4200">
        <v>-1.120163653146</v>
      </c>
      <c r="AH4200">
        <v>43.002606866156903</v>
      </c>
      <c r="AI4200">
        <v>91.4921062370247</v>
      </c>
      <c r="AJ4200">
        <v>90.414873615277401</v>
      </c>
      <c r="AK4200">
        <v>43.018320789658901</v>
      </c>
      <c r="AL4200">
        <v>78.648668072018097</v>
      </c>
      <c r="AM4200">
        <v>89.728969200813793</v>
      </c>
      <c r="AN4200">
        <v>0.99999995377977802</v>
      </c>
    </row>
    <row r="4201" spans="1:40" x14ac:dyDescent="0.25">
      <c r="A4201" t="str">
        <f>"20190303162904439"</f>
        <v>20190303162904439</v>
      </c>
      <c r="B4201" t="str">
        <f>"1551601744435789"</f>
        <v>1551601744435789</v>
      </c>
      <c r="C4201" t="s">
        <v>40</v>
      </c>
      <c r="D4201">
        <v>5.1288140000000002</v>
      </c>
      <c r="E4201">
        <v>0.49488789999999999</v>
      </c>
      <c r="F4201" t="s">
        <v>56</v>
      </c>
      <c r="G4201">
        <v>-301.44569999999999</v>
      </c>
      <c r="H4201" s="1">
        <v>-9.0943289999999996E-6</v>
      </c>
      <c r="I4201">
        <v>142.57409999999999</v>
      </c>
      <c r="J4201">
        <v>-262.55419999999998</v>
      </c>
      <c r="K4201">
        <v>1.1201270000000001</v>
      </c>
      <c r="L4201">
        <v>141.66899999999899</v>
      </c>
      <c r="M4201">
        <v>-0.99955329999999998</v>
      </c>
      <c r="N4201">
        <v>-8.3539909999999998E-3</v>
      </c>
      <c r="O4201">
        <v>2.869853E-2</v>
      </c>
      <c r="P4201">
        <v>-0.98237949999999996</v>
      </c>
      <c r="Q4201">
        <v>0.1834546</v>
      </c>
      <c r="R4201">
        <v>3.570918E-2</v>
      </c>
      <c r="S4201">
        <v>-3.0708920000000002</v>
      </c>
      <c r="T4201">
        <v>-8.7259409999999996E-2</v>
      </c>
      <c r="U4201">
        <v>7.1716310000000005E-2</v>
      </c>
      <c r="V4201">
        <v>7.7254759999999898E-3</v>
      </c>
      <c r="W4201">
        <v>0.19165119999999999</v>
      </c>
      <c r="X4201">
        <v>0.98143270000000005</v>
      </c>
      <c r="Y4201">
        <v>-5.3455619999999999E-3</v>
      </c>
      <c r="Z4201">
        <v>-6.7357069999999998E-4</v>
      </c>
      <c r="AA4201">
        <v>0.99998549999999997</v>
      </c>
      <c r="AB4201">
        <v>36</v>
      </c>
      <c r="AC4201">
        <v>-38.891500000000001</v>
      </c>
      <c r="AD4201">
        <v>-1.120136094329</v>
      </c>
      <c r="AE4201">
        <v>0.90510000000000401</v>
      </c>
      <c r="AF4201">
        <v>-0.21126538922524499</v>
      </c>
      <c r="AG4201">
        <v>-1.120136094329</v>
      </c>
      <c r="AH4201">
        <v>38.869230154016698</v>
      </c>
      <c r="AI4201">
        <v>91.650672410713796</v>
      </c>
      <c r="AJ4201">
        <v>90.3114158915525</v>
      </c>
      <c r="AK4201">
        <v>38.885940784561498</v>
      </c>
      <c r="AL4201">
        <v>78.950838010302505</v>
      </c>
      <c r="AM4201">
        <v>89.548998084578997</v>
      </c>
      <c r="AN4201">
        <v>1.0000000050350699</v>
      </c>
    </row>
    <row r="4202" spans="1:40" x14ac:dyDescent="0.25">
      <c r="A4202" t="str">
        <f>"20190303162904462"</f>
        <v>20190303162904462</v>
      </c>
      <c r="B4202" t="str">
        <f>"1551601744456285"</f>
        <v>1551601744456285</v>
      </c>
      <c r="C4202" t="s">
        <v>40</v>
      </c>
      <c r="D4202">
        <v>5.3387229999999999</v>
      </c>
      <c r="E4202">
        <v>0.49383290000000002</v>
      </c>
      <c r="F4202" t="s">
        <v>56</v>
      </c>
      <c r="G4202">
        <v>-303.73110000000003</v>
      </c>
      <c r="H4202" s="1">
        <v>-9.4726460000000006E-6</v>
      </c>
      <c r="I4202">
        <v>142.57570000000001</v>
      </c>
      <c r="J4202">
        <v>-262.92660000000001</v>
      </c>
      <c r="K4202">
        <v>1.1201190000000001</v>
      </c>
      <c r="L4202">
        <v>141.68010000000001</v>
      </c>
      <c r="M4202">
        <v>-0.99953890000000001</v>
      </c>
      <c r="N4202">
        <v>-8.3646720000000001E-3</v>
      </c>
      <c r="O4202">
        <v>2.91919E-2</v>
      </c>
      <c r="P4202">
        <v>-0.98273900000000003</v>
      </c>
      <c r="Q4202">
        <v>0.1813573</v>
      </c>
      <c r="R4202">
        <v>3.6520690000000001E-2</v>
      </c>
      <c r="S4202">
        <v>-3.0668950000000001</v>
      </c>
      <c r="T4202">
        <v>-8.3428859999999994E-2</v>
      </c>
      <c r="U4202">
        <v>6.7535399999999995E-2</v>
      </c>
      <c r="V4202">
        <v>8.03906699999999E-3</v>
      </c>
      <c r="W4202">
        <v>0.18956719999999999</v>
      </c>
      <c r="X4202">
        <v>0.98183480000000001</v>
      </c>
      <c r="Y4202">
        <v>-7.1711489999999999E-3</v>
      </c>
      <c r="Z4202">
        <v>-6.7705960000000003E-4</v>
      </c>
      <c r="AA4202">
        <v>0.99997409999999998</v>
      </c>
      <c r="AB4202">
        <v>36</v>
      </c>
      <c r="AC4202">
        <v>-40.804499999999997</v>
      </c>
      <c r="AD4202">
        <v>-1.1201284726459999</v>
      </c>
      <c r="AE4202">
        <v>0.89560000000000095</v>
      </c>
      <c r="AF4202">
        <v>-0.295761410218989</v>
      </c>
      <c r="AG4202">
        <v>-1.1201284726459999</v>
      </c>
      <c r="AH4202">
        <v>40.782536721693504</v>
      </c>
      <c r="AI4202">
        <v>91.573242418046902</v>
      </c>
      <c r="AJ4202">
        <v>90.415510775865897</v>
      </c>
      <c r="AK4202">
        <v>40.798988517649299</v>
      </c>
      <c r="AL4202">
        <v>79.072472011969097</v>
      </c>
      <c r="AM4202">
        <v>89.530884098069606</v>
      </c>
      <c r="AN4202">
        <v>0.99999996220255405</v>
      </c>
    </row>
    <row r="4203" spans="1:40" x14ac:dyDescent="0.25">
      <c r="A4203" t="str">
        <f>"20190303162904484"</f>
        <v>20190303162904484</v>
      </c>
      <c r="B4203" t="str">
        <f>"1551601744475804"</f>
        <v>1551601744475804</v>
      </c>
      <c r="C4203" t="s">
        <v>40</v>
      </c>
      <c r="D4203">
        <v>5.2795120000000004</v>
      </c>
      <c r="E4203">
        <v>0.49314269999999999</v>
      </c>
      <c r="F4203" t="s">
        <v>56</v>
      </c>
      <c r="G4203">
        <v>-305.42790000000002</v>
      </c>
      <c r="H4203" s="1">
        <v>-9.7111489999999999E-6</v>
      </c>
      <c r="I4203">
        <v>142.5583</v>
      </c>
      <c r="J4203">
        <v>-263.29520000000002</v>
      </c>
      <c r="K4203">
        <v>1.120109</v>
      </c>
      <c r="L4203">
        <v>141.69130000000001</v>
      </c>
      <c r="M4203">
        <v>-0.99952439999999998</v>
      </c>
      <c r="N4203">
        <v>-8.3754580000000006E-3</v>
      </c>
      <c r="O4203">
        <v>2.9679850000000001E-2</v>
      </c>
      <c r="P4203">
        <v>-0.98286680000000004</v>
      </c>
      <c r="Q4203">
        <v>0.1807676</v>
      </c>
      <c r="R4203">
        <v>3.6003420000000001E-2</v>
      </c>
      <c r="S4203">
        <v>-3.0652469999999998</v>
      </c>
      <c r="T4203">
        <v>-8.0785040000000002E-2</v>
      </c>
      <c r="U4203">
        <v>6.3339229999999996E-2</v>
      </c>
      <c r="V4203">
        <v>7.0382830000000002E-3</v>
      </c>
      <c r="W4203">
        <v>0.1889904</v>
      </c>
      <c r="X4203">
        <v>0.98195370000000004</v>
      </c>
      <c r="Y4203">
        <v>-9.0154880000000003E-3</v>
      </c>
      <c r="Z4203">
        <v>-6.8981119999999999E-4</v>
      </c>
      <c r="AA4203">
        <v>0.99995909999999999</v>
      </c>
      <c r="AB4203">
        <v>36</v>
      </c>
      <c r="AC4203">
        <v>-42.1327</v>
      </c>
      <c r="AD4203">
        <v>-1.1201187111489901</v>
      </c>
      <c r="AE4203">
        <v>0.86699999999999</v>
      </c>
      <c r="AF4203">
        <v>-0.38364697155229699</v>
      </c>
      <c r="AG4203">
        <v>-1.1201187111489901</v>
      </c>
      <c r="AH4203">
        <v>42.1101203769229</v>
      </c>
      <c r="AI4203">
        <v>91.523630965751394</v>
      </c>
      <c r="AJ4203">
        <v>90.521982458331195</v>
      </c>
      <c r="AK4203">
        <v>42.126762148125998</v>
      </c>
      <c r="AL4203">
        <v>79.106128910514798</v>
      </c>
      <c r="AM4203">
        <v>89.589331956034599</v>
      </c>
      <c r="AN4203">
        <v>0.99999998883171903</v>
      </c>
    </row>
    <row r="4204" spans="1:40" x14ac:dyDescent="0.25">
      <c r="A4204" t="str">
        <f>"20190303162904506"</f>
        <v>20190303162904506</v>
      </c>
      <c r="B4204" t="str">
        <f>"1551601744496301"</f>
        <v>1551601744496301</v>
      </c>
      <c r="C4204" t="s">
        <v>40</v>
      </c>
      <c r="D4204">
        <v>5.3466779999999998</v>
      </c>
      <c r="E4204">
        <v>0.492483</v>
      </c>
      <c r="F4204" t="s">
        <v>56</v>
      </c>
      <c r="G4204">
        <v>-309.53680000000003</v>
      </c>
      <c r="H4204" s="1">
        <v>-1.03041E-5</v>
      </c>
      <c r="I4204">
        <v>142.56799999999899</v>
      </c>
      <c r="J4204">
        <v>-263.64429999999999</v>
      </c>
      <c r="K4204">
        <v>1.1201019999999999</v>
      </c>
      <c r="L4204">
        <v>141.702</v>
      </c>
      <c r="M4204">
        <v>-0.99951049999999997</v>
      </c>
      <c r="N4204">
        <v>-8.3896330000000005E-3</v>
      </c>
      <c r="O4204">
        <v>3.0141560000000001E-2</v>
      </c>
      <c r="P4204">
        <v>-0.98297760000000001</v>
      </c>
      <c r="Q4204">
        <v>0.18024029999999999</v>
      </c>
      <c r="R4204">
        <v>3.5621100000000003E-2</v>
      </c>
      <c r="S4204">
        <v>-3.0637819999999998</v>
      </c>
      <c r="T4204">
        <v>-7.4214580000000002E-2</v>
      </c>
      <c r="U4204">
        <v>5.8090210000000003E-2</v>
      </c>
      <c r="V4204">
        <v>6.1985819999999898E-3</v>
      </c>
      <c r="W4204">
        <v>0.18847849999999999</v>
      </c>
      <c r="X4204">
        <v>0.98205779999999998</v>
      </c>
      <c r="Y4204">
        <v>-1.118074E-2</v>
      </c>
      <c r="Z4204">
        <v>-6.592363E-4</v>
      </c>
      <c r="AA4204">
        <v>0.99993730000000003</v>
      </c>
      <c r="AB4204">
        <v>36</v>
      </c>
      <c r="AC4204">
        <v>-45.892499999999998</v>
      </c>
      <c r="AD4204">
        <v>-1.1201123041000001</v>
      </c>
      <c r="AE4204">
        <v>0.865999999999985</v>
      </c>
      <c r="AF4204">
        <v>-0.51740551613005203</v>
      </c>
      <c r="AG4204">
        <v>-1.1201123041000001</v>
      </c>
      <c r="AH4204">
        <v>45.8704342720673</v>
      </c>
      <c r="AI4204">
        <v>91.398741413854395</v>
      </c>
      <c r="AJ4204">
        <v>90.646252769711296</v>
      </c>
      <c r="AK4204">
        <v>45.887025403156898</v>
      </c>
      <c r="AL4204">
        <v>79.135995993294202</v>
      </c>
      <c r="AM4204">
        <v>89.6383635755992</v>
      </c>
      <c r="AN4204">
        <v>1.0000000449609401</v>
      </c>
    </row>
    <row r="4205" spans="1:40" x14ac:dyDescent="0.25">
      <c r="A4205" t="str">
        <f>"20190303162904528"</f>
        <v>20190303162904528</v>
      </c>
      <c r="B4205" t="str">
        <f>"1551601744515820"</f>
        <v>1551601744515820</v>
      </c>
      <c r="C4205" t="s">
        <v>40</v>
      </c>
      <c r="D4205">
        <v>5.2790999999999997</v>
      </c>
      <c r="E4205">
        <v>0.49190279999999997</v>
      </c>
      <c r="F4205" t="s">
        <v>56</v>
      </c>
      <c r="G4205">
        <v>-313.33260000000001</v>
      </c>
      <c r="H4205" s="1">
        <v>-8.989468E-6</v>
      </c>
      <c r="I4205">
        <v>142.5462</v>
      </c>
      <c r="J4205">
        <v>-264.00810000000001</v>
      </c>
      <c r="K4205">
        <v>1.12009</v>
      </c>
      <c r="L4205">
        <v>141.71340000000001</v>
      </c>
      <c r="M4205">
        <v>-0.99949569999999999</v>
      </c>
      <c r="N4205">
        <v>-8.4078699999999996E-3</v>
      </c>
      <c r="O4205">
        <v>3.062227E-2</v>
      </c>
      <c r="P4205">
        <v>-0.98341290000000003</v>
      </c>
      <c r="Q4205">
        <v>0.17786179999999999</v>
      </c>
      <c r="R4205">
        <v>3.5561219999999998E-2</v>
      </c>
      <c r="S4205">
        <v>-3.0627439999999999</v>
      </c>
      <c r="T4205">
        <v>-6.9042679999999995E-2</v>
      </c>
      <c r="U4205">
        <v>5.2032469999999997E-2</v>
      </c>
      <c r="V4205">
        <v>5.6503909999999899E-3</v>
      </c>
      <c r="W4205">
        <v>0.1861225</v>
      </c>
      <c r="X4205">
        <v>0.98251029999999995</v>
      </c>
      <c r="Y4205">
        <v>-1.3632699999999999E-2</v>
      </c>
      <c r="Z4205">
        <v>-6.4352140000000001E-4</v>
      </c>
      <c r="AA4205">
        <v>0.99990679999999998</v>
      </c>
      <c r="AB4205">
        <v>37</v>
      </c>
      <c r="AC4205">
        <v>-49.3245</v>
      </c>
      <c r="AD4205">
        <v>-1.120098989468</v>
      </c>
      <c r="AE4205">
        <v>0.83279999999999099</v>
      </c>
      <c r="AF4205">
        <v>-0.677722687391626</v>
      </c>
      <c r="AG4205">
        <v>-1.120098989468</v>
      </c>
      <c r="AH4205">
        <v>49.301452753974502</v>
      </c>
      <c r="AI4205">
        <v>91.301378414312694</v>
      </c>
      <c r="AJ4205">
        <v>90.787567138085606</v>
      </c>
      <c r="AK4205">
        <v>49.318831833687902</v>
      </c>
      <c r="AL4205">
        <v>79.273416383108</v>
      </c>
      <c r="AM4205">
        <v>89.6704971053869</v>
      </c>
      <c r="AN4205">
        <v>1.00000000076539</v>
      </c>
    </row>
    <row r="4206" spans="1:40" x14ac:dyDescent="0.25">
      <c r="A4206" t="str">
        <f>"20190303162904550"</f>
        <v>20190303162904550</v>
      </c>
      <c r="B4206" t="str">
        <f>"1551601744536317"</f>
        <v>1551601744536317</v>
      </c>
      <c r="C4206" t="s">
        <v>40</v>
      </c>
      <c r="D4206">
        <v>5.4659110000000002</v>
      </c>
      <c r="E4206">
        <v>0.49170849999999999</v>
      </c>
      <c r="F4206" t="s">
        <v>56</v>
      </c>
      <c r="G4206">
        <v>-313.3571</v>
      </c>
      <c r="H4206" s="1">
        <v>-8.9602499999999995E-6</v>
      </c>
      <c r="I4206">
        <v>142.47049999999999</v>
      </c>
      <c r="J4206">
        <v>-264.37349999999998</v>
      </c>
      <c r="K4206">
        <v>1.12008</v>
      </c>
      <c r="L4206">
        <v>141.7251</v>
      </c>
      <c r="M4206">
        <v>-0.99948079999999995</v>
      </c>
      <c r="N4206">
        <v>-8.4283069999999995E-3</v>
      </c>
      <c r="O4206">
        <v>3.110512E-2</v>
      </c>
      <c r="P4206">
        <v>-0.98385180000000005</v>
      </c>
      <c r="Q4206">
        <v>0.17547979999999899</v>
      </c>
      <c r="R4206">
        <v>3.5251669999999999E-2</v>
      </c>
      <c r="S4206">
        <v>-3.0614620000000001</v>
      </c>
      <c r="T4206">
        <v>-6.9487450000000006E-2</v>
      </c>
      <c r="U4206">
        <v>4.6966550000000003E-2</v>
      </c>
      <c r="V4206">
        <v>4.8496659999999999E-3</v>
      </c>
      <c r="W4206">
        <v>0.18376590000000001</v>
      </c>
      <c r="X4206">
        <v>0.98295809999999995</v>
      </c>
      <c r="Y4206">
        <v>-1.5761839999999999E-2</v>
      </c>
      <c r="Z4206">
        <v>-6.8885179999999895E-4</v>
      </c>
      <c r="AA4206">
        <v>0.99987550000000003</v>
      </c>
      <c r="AB4206">
        <v>37</v>
      </c>
      <c r="AC4206">
        <v>-48.983600000000003</v>
      </c>
      <c r="AD4206">
        <v>-1.1200889602499999</v>
      </c>
      <c r="AE4206">
        <v>0.74539999999998896</v>
      </c>
      <c r="AF4206">
        <v>-0.778248417659127</v>
      </c>
      <c r="AG4206">
        <v>-1.1200889602499999</v>
      </c>
      <c r="AH4206">
        <v>48.9574895920776</v>
      </c>
      <c r="AI4206">
        <v>91.310464933690696</v>
      </c>
      <c r="AJ4206">
        <v>90.910720601739698</v>
      </c>
      <c r="AK4206">
        <v>48.976484735399801</v>
      </c>
      <c r="AL4206">
        <v>79.410810092084404</v>
      </c>
      <c r="AM4206">
        <v>89.717319446988796</v>
      </c>
      <c r="AN4206">
        <v>1.00000002580936</v>
      </c>
    </row>
    <row r="4207" spans="1:40" x14ac:dyDescent="0.25">
      <c r="A4207" t="str">
        <f>"20190303162904575"</f>
        <v>20190303162904575</v>
      </c>
      <c r="B4207" t="str">
        <f>"1551601744565598"</f>
        <v>1551601744565598</v>
      </c>
      <c r="C4207" t="s">
        <v>40</v>
      </c>
      <c r="D4207">
        <v>5.2290359999999998</v>
      </c>
      <c r="E4207">
        <v>0.52848989999999996</v>
      </c>
      <c r="F4207" t="s">
        <v>56</v>
      </c>
      <c r="G4207">
        <v>-308.72660000000002</v>
      </c>
      <c r="H4207" s="1">
        <v>-1.012776E-5</v>
      </c>
      <c r="I4207">
        <v>142.3664</v>
      </c>
      <c r="J4207">
        <v>-264.78160000000003</v>
      </c>
      <c r="K4207">
        <v>1.1200829999999999</v>
      </c>
      <c r="L4207">
        <v>141.73830000000001</v>
      </c>
      <c r="M4207">
        <v>-0.9994634</v>
      </c>
      <c r="N4207">
        <v>-8.4622329999999996E-3</v>
      </c>
      <c r="O4207">
        <v>3.1643940000000002E-2</v>
      </c>
      <c r="P4207">
        <v>-0.98399720000000002</v>
      </c>
      <c r="Q4207">
        <v>0.17469609999999999</v>
      </c>
      <c r="R4207">
        <v>3.5085730000000002E-2</v>
      </c>
      <c r="S4207">
        <v>-3.061401</v>
      </c>
      <c r="T4207">
        <v>-7.7312469999999994E-2</v>
      </c>
      <c r="U4207">
        <v>4.426575E-2</v>
      </c>
      <c r="V4207">
        <v>4.1485929999999999E-3</v>
      </c>
      <c r="W4207">
        <v>0.18301680000000001</v>
      </c>
      <c r="X4207">
        <v>0.983101</v>
      </c>
      <c r="Y4207">
        <v>-1.7179449999999999E-2</v>
      </c>
      <c r="Z4207">
        <v>-8.2061739999999997E-4</v>
      </c>
      <c r="AA4207">
        <v>0.99985210000000002</v>
      </c>
      <c r="AB4207">
        <v>37</v>
      </c>
      <c r="AC4207">
        <v>-43.944999999999901</v>
      </c>
      <c r="AD4207">
        <v>-1.1200931277599999</v>
      </c>
      <c r="AE4207">
        <v>0.628099999999989</v>
      </c>
      <c r="AF4207">
        <v>-0.76236210363165302</v>
      </c>
      <c r="AG4207">
        <v>-1.1200931277599999</v>
      </c>
      <c r="AH4207">
        <v>43.914343488356998</v>
      </c>
      <c r="AI4207">
        <v>91.460867448865798</v>
      </c>
      <c r="AJ4207">
        <v>90.994566701068706</v>
      </c>
      <c r="AK4207">
        <v>43.935240623050099</v>
      </c>
      <c r="AL4207">
        <v>79.454470231534501</v>
      </c>
      <c r="AM4207">
        <v>89.758218678553106</v>
      </c>
      <c r="AN4207">
        <v>0.99999996805355895</v>
      </c>
    </row>
    <row r="4208" spans="1:40" x14ac:dyDescent="0.25">
      <c r="A4208" t="str">
        <f>"20190303162904598"</f>
        <v>20190303162904598</v>
      </c>
      <c r="B4208" t="str">
        <f>"1551601744586093"</f>
        <v>1551601744586093</v>
      </c>
      <c r="C4208" t="s">
        <v>40</v>
      </c>
      <c r="D4208">
        <v>5.2421879999999996</v>
      </c>
      <c r="E4208">
        <v>0.53120970000000001</v>
      </c>
      <c r="F4208" t="s">
        <v>44</v>
      </c>
      <c r="G4208">
        <v>-265.5976</v>
      </c>
      <c r="H4208">
        <v>0.95782199999999995</v>
      </c>
      <c r="I4208">
        <v>141.82689999999999</v>
      </c>
      <c r="J4208">
        <v>-265.15350000000001</v>
      </c>
      <c r="K4208">
        <v>1.120101</v>
      </c>
      <c r="L4208">
        <v>141.75049999999999</v>
      </c>
      <c r="M4208">
        <v>-0.99944730000000004</v>
      </c>
      <c r="N4208">
        <v>-8.5190890000000005E-3</v>
      </c>
      <c r="O4208">
        <v>3.2134219999999998E-2</v>
      </c>
      <c r="P4208">
        <v>-0.98392679999999999</v>
      </c>
      <c r="Q4208">
        <v>0.17490899999999901</v>
      </c>
      <c r="R4208">
        <v>3.5986360000000002E-2</v>
      </c>
      <c r="S4208">
        <v>-3.1477970000000002</v>
      </c>
      <c r="T4208">
        <v>-0.62599189999999905</v>
      </c>
      <c r="U4208">
        <v>0.34124759999999998</v>
      </c>
      <c r="V4208">
        <v>4.5691789999999996E-3</v>
      </c>
      <c r="W4208">
        <v>0.1832849</v>
      </c>
      <c r="X4208">
        <v>0.98304919999999996</v>
      </c>
      <c r="Y4208">
        <v>7.4831149999999999E-2</v>
      </c>
      <c r="Z4208">
        <v>1.6341610000000001E-3</v>
      </c>
      <c r="AA4208">
        <v>0.9971949</v>
      </c>
      <c r="AB4208">
        <v>37</v>
      </c>
      <c r="AC4208">
        <v>-0.444099999999991</v>
      </c>
      <c r="AD4208">
        <v>-0.16227900000000001</v>
      </c>
      <c r="AE4208">
        <v>7.6400000000006602E-2</v>
      </c>
      <c r="AF4208">
        <v>5.4961433042892603E-2</v>
      </c>
      <c r="AG4208">
        <v>-0.16227900000000001</v>
      </c>
      <c r="AH4208">
        <v>0.39508799594442401</v>
      </c>
      <c r="AI4208">
        <v>112.137662781182</v>
      </c>
      <c r="AJ4208">
        <v>82.080303142863102</v>
      </c>
      <c r="AK4208">
        <v>0.43063877844721499</v>
      </c>
      <c r="AL4208">
        <v>79.438845063766607</v>
      </c>
      <c r="AM4208">
        <v>89.733693097629498</v>
      </c>
      <c r="AN4208">
        <v>0.99999998079269103</v>
      </c>
    </row>
    <row r="4209" spans="1:40" x14ac:dyDescent="0.25">
      <c r="A4209" t="str">
        <f>"20190303162904617"</f>
        <v>20190303162904617</v>
      </c>
      <c r="B4209" t="str">
        <f>"1551601744605613"</f>
        <v>1551601744605613</v>
      </c>
      <c r="C4209" t="s">
        <v>40</v>
      </c>
      <c r="D4209">
        <v>5.2466569999999999</v>
      </c>
      <c r="E4209">
        <v>0.53178999999999998</v>
      </c>
      <c r="F4209" t="s">
        <v>44</v>
      </c>
      <c r="G4209">
        <v>-265.91410000000002</v>
      </c>
      <c r="H4209">
        <v>0.93171820000000005</v>
      </c>
      <c r="I4209">
        <v>141.83840000000001</v>
      </c>
      <c r="J4209">
        <v>-265.47000000000003</v>
      </c>
      <c r="K4209">
        <v>1.1201270000000001</v>
      </c>
      <c r="L4209">
        <v>141.761</v>
      </c>
      <c r="M4209">
        <v>-0.99943300000000002</v>
      </c>
      <c r="N4209">
        <v>-8.6069259999999904E-3</v>
      </c>
      <c r="O4209">
        <v>3.255065E-2</v>
      </c>
      <c r="P4209">
        <v>-0.98370729999999995</v>
      </c>
      <c r="Q4209">
        <v>0.17588970000000001</v>
      </c>
      <c r="R4209">
        <v>3.7185219999999998E-2</v>
      </c>
      <c r="S4209">
        <v>-3.175354</v>
      </c>
      <c r="T4209">
        <v>-0.78643599999999902</v>
      </c>
      <c r="U4209">
        <v>0.3670197</v>
      </c>
      <c r="V4209">
        <v>5.3662379999999997E-3</v>
      </c>
      <c r="W4209">
        <v>0.1843494</v>
      </c>
      <c r="X4209">
        <v>0.98284609999999994</v>
      </c>
      <c r="Y4209">
        <v>8.0829929999999994E-2</v>
      </c>
      <c r="Z4209">
        <v>2.5471199999999999E-3</v>
      </c>
      <c r="AA4209">
        <v>0.99672470000000002</v>
      </c>
      <c r="AB4209">
        <v>37</v>
      </c>
      <c r="AC4209">
        <v>-0.444099999999991</v>
      </c>
      <c r="AD4209">
        <v>-0.18840879999999999</v>
      </c>
      <c r="AE4209">
        <v>7.7400000000011404E-2</v>
      </c>
      <c r="AF4209">
        <v>5.3548757714730999E-2</v>
      </c>
      <c r="AG4209">
        <v>-0.18840879999999999</v>
      </c>
      <c r="AH4209">
        <v>0.38000461836225602</v>
      </c>
      <c r="AI4209">
        <v>116.149008210639</v>
      </c>
      <c r="AJ4209">
        <v>81.978918071122706</v>
      </c>
      <c r="AK4209">
        <v>0.427514742841548</v>
      </c>
      <c r="AL4209">
        <v>79.376796380960002</v>
      </c>
      <c r="AM4209">
        <v>89.687174081360297</v>
      </c>
      <c r="AN4209">
        <v>0.99999997703792098</v>
      </c>
    </row>
    <row r="4210" spans="1:40" x14ac:dyDescent="0.25">
      <c r="A4210" t="str">
        <f>"20190303162904640"</f>
        <v>20190303162904640</v>
      </c>
      <c r="B4210" t="str">
        <f>"1551601744635869"</f>
        <v>1551601744635869</v>
      </c>
      <c r="C4210" t="s">
        <v>40</v>
      </c>
      <c r="D4210">
        <v>5.2572950000000001</v>
      </c>
      <c r="E4210">
        <v>0.53200349999999996</v>
      </c>
      <c r="F4210" t="s">
        <v>44</v>
      </c>
      <c r="G4210">
        <v>-266.23599999999999</v>
      </c>
      <c r="H4210">
        <v>0.91548569999999996</v>
      </c>
      <c r="I4210">
        <v>141.8509</v>
      </c>
      <c r="J4210">
        <v>-265.85180000000003</v>
      </c>
      <c r="K4210">
        <v>1.1201650000000001</v>
      </c>
      <c r="L4210">
        <v>141.7739</v>
      </c>
      <c r="M4210">
        <v>-0.9994151</v>
      </c>
      <c r="N4210">
        <v>-8.7841710000000003E-3</v>
      </c>
      <c r="O4210">
        <v>3.3052680000000001E-2</v>
      </c>
      <c r="P4210">
        <v>-0.98350599999999999</v>
      </c>
      <c r="Q4210">
        <v>0.176612299999999</v>
      </c>
      <c r="R4210">
        <v>3.904407E-2</v>
      </c>
      <c r="S4210">
        <v>-3.1877749999999998</v>
      </c>
      <c r="T4210">
        <v>-0.8515779</v>
      </c>
      <c r="U4210">
        <v>0.3740387</v>
      </c>
      <c r="V4210">
        <v>6.7387499999999999E-3</v>
      </c>
      <c r="W4210">
        <v>0.18524350000000001</v>
      </c>
      <c r="X4210">
        <v>0.98266949999999997</v>
      </c>
      <c r="Y4210">
        <v>8.1787410000000005E-2</v>
      </c>
      <c r="Z4210">
        <v>2.7086940000000002E-3</v>
      </c>
      <c r="AA4210">
        <v>0.99664609999999998</v>
      </c>
      <c r="AB4210">
        <v>37</v>
      </c>
      <c r="AC4210">
        <v>-0.38419999999996401</v>
      </c>
      <c r="AD4210">
        <v>-0.20467929999999901</v>
      </c>
      <c r="AE4210">
        <v>7.6999999999998098E-2</v>
      </c>
      <c r="AF4210">
        <v>5.0483874572264199E-2</v>
      </c>
      <c r="AG4210">
        <v>-0.20467929999999901</v>
      </c>
      <c r="AH4210">
        <v>0.30367602848916597</v>
      </c>
      <c r="AI4210">
        <v>123.619160780253</v>
      </c>
      <c r="AJ4210">
        <v>80.561323262502498</v>
      </c>
      <c r="AK4210">
        <v>0.369677383294232</v>
      </c>
      <c r="AL4210">
        <v>79.324670215681095</v>
      </c>
      <c r="AM4210">
        <v>89.6070948757352</v>
      </c>
      <c r="AN4210">
        <v>0.99999995563703004</v>
      </c>
    </row>
    <row r="4211" spans="1:40" x14ac:dyDescent="0.25">
      <c r="A4211" t="str">
        <f>"20190303162904664"</f>
        <v>20190303162904664</v>
      </c>
      <c r="B4211" t="str">
        <f>"1551601744656365"</f>
        <v>1551601744656365</v>
      </c>
      <c r="C4211" t="s">
        <v>40</v>
      </c>
      <c r="D4211">
        <v>5.2639269999999998</v>
      </c>
      <c r="E4211">
        <v>0.53177019999999997</v>
      </c>
      <c r="F4211" t="s">
        <v>44</v>
      </c>
      <c r="G4211">
        <v>-266.56880000000001</v>
      </c>
      <c r="H4211">
        <v>0.92169299999999998</v>
      </c>
      <c r="I4211">
        <v>141.8595</v>
      </c>
      <c r="J4211">
        <v>-266.23399999999998</v>
      </c>
      <c r="K4211">
        <v>1.1202160000000001</v>
      </c>
      <c r="L4211">
        <v>141.78700000000001</v>
      </c>
      <c r="M4211">
        <v>-0.9993959</v>
      </c>
      <c r="N4211">
        <v>-9.0532489999999993E-3</v>
      </c>
      <c r="O4211">
        <v>3.3556679999999998E-2</v>
      </c>
      <c r="P4211">
        <v>-0.98328610000000005</v>
      </c>
      <c r="Q4211">
        <v>0.17743339999999999</v>
      </c>
      <c r="R4211">
        <v>4.08168E-2</v>
      </c>
      <c r="S4211">
        <v>-3.1939700000000002</v>
      </c>
      <c r="T4211">
        <v>-0.88420469999999896</v>
      </c>
      <c r="U4211">
        <v>0.38082890000000003</v>
      </c>
      <c r="V4211">
        <v>8.0252819999999999E-3</v>
      </c>
      <c r="W4211">
        <v>0.18632589999999999</v>
      </c>
      <c r="X4211">
        <v>0.98245530000000003</v>
      </c>
      <c r="Y4211">
        <v>8.2988610000000004E-2</v>
      </c>
      <c r="Z4211">
        <v>2.8370380000000001E-3</v>
      </c>
      <c r="AA4211">
        <v>0.99654640000000005</v>
      </c>
      <c r="AB4211">
        <v>37</v>
      </c>
      <c r="AC4211">
        <v>-0.33479999999997201</v>
      </c>
      <c r="AD4211">
        <v>-0.19852299999999901</v>
      </c>
      <c r="AE4211">
        <v>7.2499999999990905E-2</v>
      </c>
      <c r="AF4211">
        <v>4.5831354582180302E-2</v>
      </c>
      <c r="AG4211">
        <v>-0.19852299999999901</v>
      </c>
      <c r="AH4211">
        <v>0.25230658895285502</v>
      </c>
      <c r="AI4211">
        <v>127.745736300141</v>
      </c>
      <c r="AJ4211">
        <v>79.704511743636402</v>
      </c>
      <c r="AK4211">
        <v>0.32430002994274099</v>
      </c>
      <c r="AL4211">
        <v>79.261555807871503</v>
      </c>
      <c r="AM4211">
        <v>89.531984242730104</v>
      </c>
      <c r="AN4211">
        <v>1.00000008133003</v>
      </c>
    </row>
    <row r="4212" spans="1:40" x14ac:dyDescent="0.25">
      <c r="A4212" t="str">
        <f>"20190303162904686"</f>
        <v>20190303162904686</v>
      </c>
      <c r="B4212" t="str">
        <f>"1551601744675885"</f>
        <v>1551601744675885</v>
      </c>
      <c r="C4212" t="s">
        <v>40</v>
      </c>
      <c r="D4212">
        <v>5.2572700000000001</v>
      </c>
      <c r="E4212">
        <v>0.53160069999999904</v>
      </c>
      <c r="F4212" t="s">
        <v>44</v>
      </c>
      <c r="G4212">
        <v>-267.19810000000001</v>
      </c>
      <c r="H4212">
        <v>0.85062780000000004</v>
      </c>
      <c r="I4212">
        <v>141.90280000000001</v>
      </c>
      <c r="J4212">
        <v>-266.6123</v>
      </c>
      <c r="K4212">
        <v>1.1202719999999999</v>
      </c>
      <c r="L4212">
        <v>141.80019999999999</v>
      </c>
      <c r="M4212">
        <v>-0.99937609999999999</v>
      </c>
      <c r="N4212">
        <v>-9.4076130000000004E-3</v>
      </c>
      <c r="O4212">
        <v>3.4043959999999998E-2</v>
      </c>
      <c r="P4212">
        <v>-0.98315600000000003</v>
      </c>
      <c r="Q4212">
        <v>0.1776489</v>
      </c>
      <c r="R4212">
        <v>4.295475E-2</v>
      </c>
      <c r="S4212">
        <v>-3.1963499999999998</v>
      </c>
      <c r="T4212">
        <v>-0.89387629999999996</v>
      </c>
      <c r="U4212">
        <v>0.38395689999999999</v>
      </c>
      <c r="V4212">
        <v>9.6900909999999996E-3</v>
      </c>
      <c r="W4212">
        <v>0.18688660000000001</v>
      </c>
      <c r="X4212">
        <v>0.98233369999999998</v>
      </c>
      <c r="Y4212">
        <v>8.3334829999999999E-2</v>
      </c>
      <c r="Z4212">
        <v>2.805283E-3</v>
      </c>
      <c r="AA4212">
        <v>0.99651769999999995</v>
      </c>
      <c r="AB4212">
        <v>37</v>
      </c>
      <c r="AC4212">
        <v>-0.58580000000000598</v>
      </c>
      <c r="AD4212">
        <v>-0.269644199999999</v>
      </c>
      <c r="AE4212">
        <v>0.10260000000002301</v>
      </c>
      <c r="AF4212">
        <v>6.8512517242449805E-2</v>
      </c>
      <c r="AG4212">
        <v>-0.269644199999999</v>
      </c>
      <c r="AH4212">
        <v>0.48852666749377099</v>
      </c>
      <c r="AI4212">
        <v>118.66122466044401</v>
      </c>
      <c r="AJ4212">
        <v>82.016726569679705</v>
      </c>
      <c r="AK4212">
        <v>0.56219237318297599</v>
      </c>
      <c r="AL4212">
        <v>79.2288547804731</v>
      </c>
      <c r="AM4212">
        <v>89.434832266884499</v>
      </c>
      <c r="AN4212">
        <v>0.99999999863941902</v>
      </c>
    </row>
    <row r="4213" spans="1:40" x14ac:dyDescent="0.25">
      <c r="A4213" t="str">
        <f>"20190303162904707"</f>
        <v>20190303162904707</v>
      </c>
      <c r="B4213" t="str">
        <f>"1551601744696380"</f>
        <v>1551601744696380</v>
      </c>
      <c r="C4213" t="s">
        <v>40</v>
      </c>
      <c r="D4213">
        <v>5.2420589999999896</v>
      </c>
      <c r="E4213">
        <v>0.53159749999999995</v>
      </c>
      <c r="F4213" t="s">
        <v>44</v>
      </c>
      <c r="G4213">
        <v>-267.5317</v>
      </c>
      <c r="H4213">
        <v>0.86112639999999996</v>
      </c>
      <c r="I4213">
        <v>141.91210000000001</v>
      </c>
      <c r="J4213">
        <v>-266.95</v>
      </c>
      <c r="K4213">
        <v>1.1203270000000001</v>
      </c>
      <c r="L4213">
        <v>141.81209999999999</v>
      </c>
      <c r="M4213">
        <v>-0.99935810000000003</v>
      </c>
      <c r="N4213">
        <v>-9.7516289999999995E-3</v>
      </c>
      <c r="O4213">
        <v>3.4469729999999997E-2</v>
      </c>
      <c r="P4213">
        <v>-0.98322180000000003</v>
      </c>
      <c r="Q4213">
        <v>0.1768815</v>
      </c>
      <c r="R4213">
        <v>4.4584899999999997E-2</v>
      </c>
      <c r="S4213">
        <v>-3.1972960000000001</v>
      </c>
      <c r="T4213">
        <v>-0.90115789999999996</v>
      </c>
      <c r="U4213">
        <v>0.38789370000000001</v>
      </c>
      <c r="V4213">
        <v>1.089816E-2</v>
      </c>
      <c r="W4213">
        <v>0.18645700000000001</v>
      </c>
      <c r="X4213">
        <v>0.98240269999999996</v>
      </c>
      <c r="Y4213">
        <v>8.4034880000000006E-2</v>
      </c>
      <c r="Z4213">
        <v>2.8340259999999999E-3</v>
      </c>
      <c r="AA4213">
        <v>0.99645879999999998</v>
      </c>
      <c r="AB4213">
        <v>37</v>
      </c>
      <c r="AC4213">
        <v>-0.58170000000001199</v>
      </c>
      <c r="AD4213">
        <v>-0.2592006</v>
      </c>
      <c r="AE4213">
        <v>0.100000000000022</v>
      </c>
      <c r="AF4213">
        <v>6.6972718942821502E-2</v>
      </c>
      <c r="AG4213">
        <v>-0.2592006</v>
      </c>
      <c r="AH4213">
        <v>0.490254619931909</v>
      </c>
      <c r="AI4213">
        <v>117.647380765577</v>
      </c>
      <c r="AJ4213">
        <v>82.221087207535206</v>
      </c>
      <c r="AK4213">
        <v>0.55858740451923405</v>
      </c>
      <c r="AL4213">
        <v>79.253909724441698</v>
      </c>
      <c r="AM4213">
        <v>89.364422593617704</v>
      </c>
      <c r="AN4213">
        <v>1.00000002385383</v>
      </c>
    </row>
    <row r="4214" spans="1:40" x14ac:dyDescent="0.25">
      <c r="A4214" t="str">
        <f>"20190303162904730"</f>
        <v>20190303162904730</v>
      </c>
      <c r="B4214" t="str">
        <f>"1551601744725661"</f>
        <v>1551601744725661</v>
      </c>
      <c r="C4214" t="s">
        <v>40</v>
      </c>
      <c r="D4214">
        <v>5.2568599999999996</v>
      </c>
      <c r="E4214">
        <v>0.53161979999999998</v>
      </c>
      <c r="F4214" t="s">
        <v>44</v>
      </c>
      <c r="G4214">
        <v>-267.86079999999998</v>
      </c>
      <c r="H4214">
        <v>0.86091209999999996</v>
      </c>
      <c r="I4214">
        <v>141.9237</v>
      </c>
      <c r="J4214">
        <v>-267.32960000000003</v>
      </c>
      <c r="K4214">
        <v>1.120404</v>
      </c>
      <c r="L4214">
        <v>141.82570000000001</v>
      </c>
      <c r="M4214">
        <v>-0.9993379</v>
      </c>
      <c r="N4214">
        <v>-1.015405E-2</v>
      </c>
      <c r="O4214">
        <v>3.4938860000000002E-2</v>
      </c>
      <c r="P4214">
        <v>-0.98325189999999996</v>
      </c>
      <c r="Q4214">
        <v>0.17632829999999999</v>
      </c>
      <c r="R4214">
        <v>4.608893E-2</v>
      </c>
      <c r="S4214">
        <v>-3.197235</v>
      </c>
      <c r="T4214">
        <v>-0.91059970000000001</v>
      </c>
      <c r="U4214">
        <v>0.39167790000000002</v>
      </c>
      <c r="V4214">
        <v>1.1933930000000001E-2</v>
      </c>
      <c r="W4214">
        <v>0.1862992</v>
      </c>
      <c r="X4214">
        <v>0.98242059999999998</v>
      </c>
      <c r="Y4214">
        <v>8.4672810000000001E-2</v>
      </c>
      <c r="Z4214">
        <v>2.8523329999999999E-3</v>
      </c>
      <c r="AA4214">
        <v>0.99640470000000003</v>
      </c>
      <c r="AB4214">
        <v>37</v>
      </c>
      <c r="AC4214">
        <v>-0.53119999999995504</v>
      </c>
      <c r="AD4214">
        <v>-0.2594919</v>
      </c>
      <c r="AE4214">
        <v>9.7999999999984697E-2</v>
      </c>
      <c r="AF4214">
        <v>6.4495489937789696E-2</v>
      </c>
      <c r="AG4214">
        <v>-0.2594919</v>
      </c>
      <c r="AH4214">
        <v>0.434115236563201</v>
      </c>
      <c r="AI4214">
        <v>120.594095395967</v>
      </c>
      <c r="AJ4214">
        <v>81.549511711646602</v>
      </c>
      <c r="AK4214">
        <v>0.50985463909260398</v>
      </c>
      <c r="AL4214">
        <v>79.263112234159905</v>
      </c>
      <c r="AM4214">
        <v>89.304035163090902</v>
      </c>
      <c r="AN4214">
        <v>1.00000002295512</v>
      </c>
    </row>
    <row r="4215" spans="1:40" x14ac:dyDescent="0.25">
      <c r="A4215" t="str">
        <f>"20190303162904753"</f>
        <v>20190303162904753</v>
      </c>
      <c r="B4215" t="str">
        <f>"1551601744746157"</f>
        <v>1551601744746157</v>
      </c>
      <c r="C4215" t="s">
        <v>40</v>
      </c>
      <c r="D4215">
        <v>5.2688259999999998</v>
      </c>
      <c r="E4215">
        <v>0.53159269999999903</v>
      </c>
      <c r="F4215" t="s">
        <v>44</v>
      </c>
      <c r="G4215">
        <v>-268.19400000000002</v>
      </c>
      <c r="H4215">
        <v>0.8710966</v>
      </c>
      <c r="I4215">
        <v>141.93299999999999</v>
      </c>
      <c r="J4215">
        <v>-267.71640000000002</v>
      </c>
      <c r="K4215">
        <v>1.120479</v>
      </c>
      <c r="L4215">
        <v>141.8398</v>
      </c>
      <c r="M4215">
        <v>-0.99931749999999997</v>
      </c>
      <c r="N4215">
        <v>-1.056035E-2</v>
      </c>
      <c r="O4215">
        <v>3.5402570000000001E-2</v>
      </c>
      <c r="P4215">
        <v>-0.98333599999999999</v>
      </c>
      <c r="Q4215">
        <v>0.17557790000000001</v>
      </c>
      <c r="R4215">
        <v>4.7148059999999999E-2</v>
      </c>
      <c r="S4215">
        <v>-3.1979679999999999</v>
      </c>
      <c r="T4215">
        <v>-0.92233560000000003</v>
      </c>
      <c r="U4215">
        <v>0.3960419</v>
      </c>
      <c r="V4215">
        <v>1.252344E-2</v>
      </c>
      <c r="W4215">
        <v>0.18594910000000001</v>
      </c>
      <c r="X4215">
        <v>0.98247960000000001</v>
      </c>
      <c r="Y4215">
        <v>8.544736E-2</v>
      </c>
      <c r="Z4215">
        <v>2.8965900000000001E-3</v>
      </c>
      <c r="AA4215">
        <v>0.99633850000000002</v>
      </c>
      <c r="AB4215">
        <v>37</v>
      </c>
      <c r="AC4215">
        <v>-0.47759999999999497</v>
      </c>
      <c r="AD4215">
        <v>-0.2493824</v>
      </c>
      <c r="AE4215">
        <v>9.3199999999995897E-2</v>
      </c>
      <c r="AF4215">
        <v>6.0375054461549303E-2</v>
      </c>
      <c r="AG4215">
        <v>-0.2493824</v>
      </c>
      <c r="AH4215">
        <v>0.38062926581697099</v>
      </c>
      <c r="AI4215">
        <v>122.906688995216</v>
      </c>
      <c r="AJ4215">
        <v>80.986887002744297</v>
      </c>
      <c r="AK4215">
        <v>0.45903743488670001</v>
      </c>
      <c r="AL4215">
        <v>79.283528354411402</v>
      </c>
      <c r="AM4215">
        <v>89.269703514691102</v>
      </c>
      <c r="AN4215">
        <v>1.0000000343782001</v>
      </c>
    </row>
    <row r="4216" spans="1:40" x14ac:dyDescent="0.25">
      <c r="A4216" t="str">
        <f>"20190303162904777"</f>
        <v>20190303162904777</v>
      </c>
      <c r="B4216" t="str">
        <f>"1551601744765677"</f>
        <v>1551601744765677</v>
      </c>
      <c r="C4216" t="s">
        <v>40</v>
      </c>
      <c r="D4216">
        <v>5.2399269999999998</v>
      </c>
      <c r="E4216">
        <v>0.53128209999999998</v>
      </c>
      <c r="F4216" t="s">
        <v>44</v>
      </c>
      <c r="G4216">
        <v>-268.51280000000003</v>
      </c>
      <c r="H4216">
        <v>0.84551659999999995</v>
      </c>
      <c r="I4216">
        <v>141.93860000000001</v>
      </c>
      <c r="J4216">
        <v>-268.09629999999999</v>
      </c>
      <c r="K4216">
        <v>1.1205459999999901</v>
      </c>
      <c r="L4216">
        <v>141.8537</v>
      </c>
      <c r="M4216">
        <v>-0.99929800000000002</v>
      </c>
      <c r="N4216">
        <v>-1.09368E-2</v>
      </c>
      <c r="O4216">
        <v>3.5832790000000003E-2</v>
      </c>
      <c r="P4216">
        <v>-0.98342399999999996</v>
      </c>
      <c r="Q4216">
        <v>0.1749656</v>
      </c>
      <c r="R4216">
        <v>4.758921E-2</v>
      </c>
      <c r="S4216">
        <v>-3.230804</v>
      </c>
      <c r="T4216">
        <v>-1.115494</v>
      </c>
      <c r="U4216">
        <v>0.40048220000000001</v>
      </c>
      <c r="V4216">
        <v>1.2524789999999999E-2</v>
      </c>
      <c r="W4216">
        <v>0.18570880000000001</v>
      </c>
      <c r="X4216">
        <v>0.98252499999999998</v>
      </c>
      <c r="Y4216">
        <v>8.4318699999999996E-2</v>
      </c>
      <c r="Z4216">
        <v>2.9800909999999998E-3</v>
      </c>
      <c r="AA4216">
        <v>0.99643440000000005</v>
      </c>
      <c r="AB4216">
        <v>37</v>
      </c>
      <c r="AC4216">
        <v>-0.416500000000041</v>
      </c>
      <c r="AD4216">
        <v>-0.27502939999999898</v>
      </c>
      <c r="AE4216">
        <v>8.4900000000004597E-2</v>
      </c>
      <c r="AF4216">
        <v>4.92865687705622E-2</v>
      </c>
      <c r="AG4216">
        <v>-0.27502939999999898</v>
      </c>
      <c r="AH4216">
        <v>0.295545688700382</v>
      </c>
      <c r="AI4216">
        <v>132.548994018374</v>
      </c>
      <c r="AJ4216">
        <v>80.532216438861397</v>
      </c>
      <c r="AK4216">
        <v>0.40671561420102598</v>
      </c>
      <c r="AL4216">
        <v>79.2975402449065</v>
      </c>
      <c r="AM4216">
        <v>89.269658543961</v>
      </c>
      <c r="AN4216">
        <v>1.0000000021934901</v>
      </c>
    </row>
    <row r="4217" spans="1:40" x14ac:dyDescent="0.25">
      <c r="A4217" t="str">
        <f>"20190303162904798"</f>
        <v>20190303162904798</v>
      </c>
      <c r="B4217" t="str">
        <f>"1551601744786173"</f>
        <v>1551601744786173</v>
      </c>
      <c r="C4217" t="s">
        <v>40</v>
      </c>
      <c r="D4217">
        <v>5.2576599999999996</v>
      </c>
      <c r="E4217">
        <v>0.53119340000000004</v>
      </c>
      <c r="F4217" t="s">
        <v>44</v>
      </c>
      <c r="G4217">
        <v>-268.84589999999997</v>
      </c>
      <c r="H4217">
        <v>0.85691240000000002</v>
      </c>
      <c r="I4217">
        <v>141.94640000000001</v>
      </c>
      <c r="J4217">
        <v>-268.45530000000002</v>
      </c>
      <c r="K4217">
        <v>1.1206</v>
      </c>
      <c r="L4217">
        <v>141.86689999999999</v>
      </c>
      <c r="M4217">
        <v>-0.99928099999999997</v>
      </c>
      <c r="N4217">
        <v>-1.12633E-2</v>
      </c>
      <c r="O4217">
        <v>3.6202449999999997E-2</v>
      </c>
      <c r="P4217">
        <v>-0.98352850000000003</v>
      </c>
      <c r="Q4217">
        <v>0.17429539999999999</v>
      </c>
      <c r="R4217">
        <v>4.7888559999999997E-2</v>
      </c>
      <c r="S4217">
        <v>-3.2335210000000001</v>
      </c>
      <c r="T4217">
        <v>-1.1371230000000001</v>
      </c>
      <c r="U4217">
        <v>0.39936830000000001</v>
      </c>
      <c r="V4217">
        <v>1.2441499999999999E-2</v>
      </c>
      <c r="W4217">
        <v>0.18536159999999999</v>
      </c>
      <c r="X4217">
        <v>0.98259160000000001</v>
      </c>
      <c r="Y4217">
        <v>8.3467280000000005E-2</v>
      </c>
      <c r="Z4217">
        <v>2.771632E-3</v>
      </c>
      <c r="AA4217">
        <v>0.99650669999999997</v>
      </c>
      <c r="AB4217">
        <v>37</v>
      </c>
      <c r="AC4217">
        <v>-0.39059999999994899</v>
      </c>
      <c r="AD4217">
        <v>-0.26368759999999902</v>
      </c>
      <c r="AE4217">
        <v>7.9500000000024301E-2</v>
      </c>
      <c r="AF4217">
        <v>4.5427015786812998E-2</v>
      </c>
      <c r="AG4217">
        <v>-0.26368759999999902</v>
      </c>
      <c r="AH4217">
        <v>0.273525058656097</v>
      </c>
      <c r="AI4217">
        <v>133.56154495016699</v>
      </c>
      <c r="AJ4217">
        <v>80.570391241337404</v>
      </c>
      <c r="AK4217">
        <v>0.38263654016556797</v>
      </c>
      <c r="AL4217">
        <v>79.317784626823297</v>
      </c>
      <c r="AM4217">
        <v>89.274563970432396</v>
      </c>
      <c r="AN4217">
        <v>0.99999998303368498</v>
      </c>
    </row>
    <row r="4218" spans="1:40" x14ac:dyDescent="0.25">
      <c r="A4218" t="str">
        <f>"20190303162904822"</f>
        <v>20190303162904822</v>
      </c>
      <c r="B4218" t="str">
        <f>"1551601744816429"</f>
        <v>1551601744816429</v>
      </c>
      <c r="C4218" t="s">
        <v>40</v>
      </c>
      <c r="D4218">
        <v>5.2437329999999998</v>
      </c>
      <c r="E4218">
        <v>0.5310066</v>
      </c>
      <c r="F4218" t="s">
        <v>44</v>
      </c>
      <c r="G4218">
        <v>-269.1782</v>
      </c>
      <c r="H4218">
        <v>0.86682009999999898</v>
      </c>
      <c r="I4218">
        <v>141.9563</v>
      </c>
      <c r="J4218">
        <v>-268.8313</v>
      </c>
      <c r="K4218">
        <v>1.1206659999999999</v>
      </c>
      <c r="L4218">
        <v>141.8809</v>
      </c>
      <c r="M4218">
        <v>-0.99926510000000002</v>
      </c>
      <c r="N4218">
        <v>-1.1572900000000001E-2</v>
      </c>
      <c r="O4218">
        <v>3.65435E-2</v>
      </c>
      <c r="P4218">
        <v>-0.98356679999999996</v>
      </c>
      <c r="Q4218">
        <v>0.1740806</v>
      </c>
      <c r="R4218">
        <v>4.7879709999999999E-2</v>
      </c>
      <c r="S4218">
        <v>-3.2318730000000002</v>
      </c>
      <c r="T4218">
        <v>-1.134574</v>
      </c>
      <c r="U4218">
        <v>0.39932250000000002</v>
      </c>
      <c r="V4218">
        <v>1.207854E-2</v>
      </c>
      <c r="W4218">
        <v>0.18545300000000001</v>
      </c>
      <c r="X4218">
        <v>0.98257890000000003</v>
      </c>
      <c r="Y4218">
        <v>8.3211110000000005E-2</v>
      </c>
      <c r="Z4218">
        <v>2.6358979999999998E-3</v>
      </c>
      <c r="AA4218">
        <v>0.99652839999999998</v>
      </c>
      <c r="AB4218">
        <v>37</v>
      </c>
      <c r="AC4218">
        <v>-0.34690000000000498</v>
      </c>
      <c r="AD4218">
        <v>-0.25384590000000001</v>
      </c>
      <c r="AE4218">
        <v>7.5400000000001896E-2</v>
      </c>
      <c r="AF4218">
        <v>4.1468551850742302E-2</v>
      </c>
      <c r="AG4218">
        <v>-0.25384590000000001</v>
      </c>
      <c r="AH4218">
        <v>0.231205905490174</v>
      </c>
      <c r="AI4218">
        <v>137.220489161898</v>
      </c>
      <c r="AJ4218">
        <v>79.831678231015502</v>
      </c>
      <c r="AK4218">
        <v>0.34585192275443399</v>
      </c>
      <c r="AL4218">
        <v>79.312455582148601</v>
      </c>
      <c r="AM4218">
        <v>89.295716090332704</v>
      </c>
      <c r="AN4218">
        <v>1.0000000005313701</v>
      </c>
    </row>
    <row r="4219" spans="1:40" x14ac:dyDescent="0.25">
      <c r="A4219" t="str">
        <f>"20190303162904842"</f>
        <v>20190303162904842</v>
      </c>
      <c r="B4219" t="str">
        <f>"1551601744835949"</f>
        <v>1551601744835949</v>
      </c>
      <c r="C4219" t="s">
        <v>40</v>
      </c>
      <c r="D4219">
        <v>5.1672129999999896</v>
      </c>
      <c r="E4219">
        <v>0.53091359999999999</v>
      </c>
      <c r="F4219" t="s">
        <v>44</v>
      </c>
      <c r="G4219">
        <v>-269.51249999999999</v>
      </c>
      <c r="H4219">
        <v>0.88244460000000002</v>
      </c>
      <c r="I4219">
        <v>141.96530000000001</v>
      </c>
      <c r="J4219">
        <v>-269.18869999999998</v>
      </c>
      <c r="K4219">
        <v>1.1207240000000001</v>
      </c>
      <c r="L4219">
        <v>141.89429999999999</v>
      </c>
      <c r="M4219">
        <v>-0.99925200000000003</v>
      </c>
      <c r="N4219">
        <v>-1.1832499999999999E-2</v>
      </c>
      <c r="O4219">
        <v>3.6818339999999998E-2</v>
      </c>
      <c r="P4219">
        <v>-0.98354160000000002</v>
      </c>
      <c r="Q4219">
        <v>0.17428250000000001</v>
      </c>
      <c r="R4219">
        <v>4.7662669999999997E-2</v>
      </c>
      <c r="S4219">
        <v>-3.2306210000000002</v>
      </c>
      <c r="T4219">
        <v>-1.1296980000000001</v>
      </c>
      <c r="U4219">
        <v>0.39920040000000001</v>
      </c>
      <c r="V4219">
        <v>1.157504E-2</v>
      </c>
      <c r="W4219">
        <v>0.1859112</v>
      </c>
      <c r="X4219">
        <v>0.98249830000000005</v>
      </c>
      <c r="Y4219">
        <v>8.2990389999999997E-2</v>
      </c>
      <c r="Z4219">
        <v>2.5214690000000001E-3</v>
      </c>
      <c r="AA4219">
        <v>0.99654719999999997</v>
      </c>
      <c r="AB4219">
        <v>37</v>
      </c>
      <c r="AC4219">
        <v>-0.32380000000000497</v>
      </c>
      <c r="AD4219">
        <v>-0.2382794</v>
      </c>
      <c r="AE4219">
        <v>7.1000000000026306E-2</v>
      </c>
      <c r="AF4219">
        <v>3.89199363061963E-2</v>
      </c>
      <c r="AG4219">
        <v>-0.2382794</v>
      </c>
      <c r="AH4219">
        <v>0.21507098941920499</v>
      </c>
      <c r="AI4219">
        <v>137.47108570693899</v>
      </c>
      <c r="AJ4219">
        <v>79.742579454503897</v>
      </c>
      <c r="AK4219">
        <v>0.32333784869110899</v>
      </c>
      <c r="AL4219">
        <v>79.285737298424806</v>
      </c>
      <c r="AM4219">
        <v>89.325016380461705</v>
      </c>
      <c r="AN4219">
        <v>0.99999993266966303</v>
      </c>
    </row>
    <row r="4220" spans="1:40" x14ac:dyDescent="0.25">
      <c r="A4220" t="str">
        <f>"20190303162904866"</f>
        <v>20190303162904866</v>
      </c>
      <c r="B4220" t="str">
        <f>"1551601744856445"</f>
        <v>1551601744856445</v>
      </c>
      <c r="C4220" t="s">
        <v>40</v>
      </c>
      <c r="D4220">
        <v>5.1426780000000001</v>
      </c>
      <c r="E4220">
        <v>0.5308619</v>
      </c>
      <c r="F4220" t="s">
        <v>44</v>
      </c>
      <c r="G4220">
        <v>-269.84449999999998</v>
      </c>
      <c r="H4220">
        <v>0.89225900000000002</v>
      </c>
      <c r="I4220">
        <v>141.97540000000001</v>
      </c>
      <c r="J4220">
        <v>-269.55680000000001</v>
      </c>
      <c r="K4220">
        <v>1.1207849999999999</v>
      </c>
      <c r="L4220">
        <v>141.90809999999999</v>
      </c>
      <c r="M4220">
        <v>-0.99924060000000003</v>
      </c>
      <c r="N4220">
        <v>-1.205825E-2</v>
      </c>
      <c r="O4220">
        <v>3.705145E-2</v>
      </c>
      <c r="P4220">
        <v>-0.98343179999999997</v>
      </c>
      <c r="Q4220">
        <v>0.17480090000000001</v>
      </c>
      <c r="R4220">
        <v>4.8027159999999999E-2</v>
      </c>
      <c r="S4220">
        <v>-3.2302249999999999</v>
      </c>
      <c r="T4220">
        <v>-1.1253390000000001</v>
      </c>
      <c r="U4220">
        <v>0.39932250000000002</v>
      </c>
      <c r="V4220">
        <v>1.169619E-2</v>
      </c>
      <c r="W4220">
        <v>0.1866514</v>
      </c>
      <c r="X4220">
        <v>0.98235649999999997</v>
      </c>
      <c r="Y4220">
        <v>8.2845929999999998E-2</v>
      </c>
      <c r="Z4220">
        <v>2.4325810000000001E-3</v>
      </c>
      <c r="AA4220">
        <v>0.99655939999999998</v>
      </c>
      <c r="AB4220">
        <v>37</v>
      </c>
      <c r="AC4220">
        <v>-0.28769999999997198</v>
      </c>
      <c r="AD4220">
        <v>-0.22852600000000001</v>
      </c>
      <c r="AE4220">
        <v>6.7300000000017193E-2</v>
      </c>
      <c r="AF4220">
        <v>3.5410417713813598E-2</v>
      </c>
      <c r="AG4220">
        <v>-0.22852600000000001</v>
      </c>
      <c r="AH4220">
        <v>0.18145053470231301</v>
      </c>
      <c r="AI4220">
        <v>141.027759375144</v>
      </c>
      <c r="AJ4220">
        <v>78.957406486565006</v>
      </c>
      <c r="AK4220">
        <v>0.293942727248731</v>
      </c>
      <c r="AL4220">
        <v>79.242571259046002</v>
      </c>
      <c r="AM4220">
        <v>89.317853895357402</v>
      </c>
      <c r="AN4220">
        <v>0.99999991953735901</v>
      </c>
    </row>
    <row r="4221" spans="1:40" x14ac:dyDescent="0.25">
      <c r="A4221" t="str">
        <f>"20190303162904886"</f>
        <v>20190303162904886</v>
      </c>
      <c r="B4221" t="str">
        <f>"1551601744875965"</f>
        <v>1551601744875965</v>
      </c>
      <c r="C4221" t="s">
        <v>40</v>
      </c>
      <c r="D4221">
        <v>5.1364519999999896</v>
      </c>
      <c r="E4221">
        <v>0.53084119999999901</v>
      </c>
      <c r="F4221" t="s">
        <v>44</v>
      </c>
      <c r="G4221">
        <v>-270.46460000000002</v>
      </c>
      <c r="H4221">
        <v>0.80640440000000002</v>
      </c>
      <c r="I4221">
        <v>142.0206</v>
      </c>
      <c r="J4221">
        <v>-269.90190000000001</v>
      </c>
      <c r="K4221">
        <v>1.1208340000000001</v>
      </c>
      <c r="L4221">
        <v>141.9211</v>
      </c>
      <c r="M4221">
        <v>-0.9992318</v>
      </c>
      <c r="N4221">
        <v>-1.223609E-2</v>
      </c>
      <c r="O4221">
        <v>3.7234860000000002E-2</v>
      </c>
      <c r="P4221">
        <v>-0.98323479999999996</v>
      </c>
      <c r="Q4221">
        <v>0.17573849999999999</v>
      </c>
      <c r="R4221">
        <v>4.8638250000000001E-2</v>
      </c>
      <c r="S4221">
        <v>-3.229797</v>
      </c>
      <c r="T4221">
        <v>-1.1184270000000001</v>
      </c>
      <c r="U4221">
        <v>0.39984130000000001</v>
      </c>
      <c r="V4221">
        <v>1.2118520000000001E-2</v>
      </c>
      <c r="W4221">
        <v>0.18776200000000001</v>
      </c>
      <c r="X4221">
        <v>0.98213980000000001</v>
      </c>
      <c r="Y4221">
        <v>8.2873199999999994E-2</v>
      </c>
      <c r="Z4221">
        <v>2.3836730000000002E-3</v>
      </c>
      <c r="AA4221">
        <v>0.99655720000000003</v>
      </c>
      <c r="AB4221">
        <v>37</v>
      </c>
      <c r="AC4221">
        <v>-0.56270000000000597</v>
      </c>
      <c r="AD4221">
        <v>-0.31442959999999998</v>
      </c>
      <c r="AE4221">
        <v>9.9500000000006097E-2</v>
      </c>
      <c r="AF4221">
        <v>6.0238566603990802E-2</v>
      </c>
      <c r="AG4221">
        <v>-0.31442959999999998</v>
      </c>
      <c r="AH4221">
        <v>0.43446824219667601</v>
      </c>
      <c r="AI4221">
        <v>125.63499494693799</v>
      </c>
      <c r="AJ4221">
        <v>82.106324920151806</v>
      </c>
      <c r="AK4221">
        <v>0.53968260277697799</v>
      </c>
      <c r="AL4221">
        <v>79.177794276008299</v>
      </c>
      <c r="AM4221">
        <v>89.293069259802195</v>
      </c>
      <c r="AN4221">
        <v>1.0000000069575099</v>
      </c>
    </row>
    <row r="4222" spans="1:40" x14ac:dyDescent="0.25">
      <c r="A4222" t="str">
        <f>"20190303162904908"</f>
        <v>20190303162904908</v>
      </c>
      <c r="B4222" t="str">
        <f>"1551601744895484"</f>
        <v>1551601744895484</v>
      </c>
      <c r="C4222" t="s">
        <v>40</v>
      </c>
      <c r="D4222">
        <v>5.1347649999999998</v>
      </c>
      <c r="E4222">
        <v>0.53087930000000005</v>
      </c>
      <c r="F4222" t="s">
        <v>44</v>
      </c>
      <c r="G4222">
        <v>-270.7946</v>
      </c>
      <c r="H4222">
        <v>0.81309949999999998</v>
      </c>
      <c r="I4222">
        <v>142.03270000000001</v>
      </c>
      <c r="J4222">
        <v>-270.25380000000001</v>
      </c>
      <c r="K4222">
        <v>1.120873</v>
      </c>
      <c r="L4222">
        <v>141.93440000000001</v>
      </c>
      <c r="M4222">
        <v>-0.9992238</v>
      </c>
      <c r="N4222">
        <v>-1.2388679999999999E-2</v>
      </c>
      <c r="O4222">
        <v>3.7394730000000001E-2</v>
      </c>
      <c r="P4222">
        <v>-0.98304590000000003</v>
      </c>
      <c r="Q4222">
        <v>0.176778399999999</v>
      </c>
      <c r="R4222">
        <v>4.8686340000000002E-2</v>
      </c>
      <c r="S4222">
        <v>-3.2302249999999999</v>
      </c>
      <c r="T4222">
        <v>-1.1135550000000001</v>
      </c>
      <c r="U4222">
        <v>0.40351870000000001</v>
      </c>
      <c r="V4222">
        <v>1.200297E-2</v>
      </c>
      <c r="W4222">
        <v>0.1889506</v>
      </c>
      <c r="X4222">
        <v>0.98191329999999999</v>
      </c>
      <c r="Y4222">
        <v>8.3789920000000004E-2</v>
      </c>
      <c r="Z4222">
        <v>2.4972010000000001E-3</v>
      </c>
      <c r="AA4222">
        <v>0.99648029999999999</v>
      </c>
      <c r="AB4222">
        <v>37</v>
      </c>
      <c r="AC4222">
        <v>-0.54079999999998996</v>
      </c>
      <c r="AD4222">
        <v>-0.30777349999999998</v>
      </c>
      <c r="AE4222">
        <v>9.8299999999994697E-2</v>
      </c>
      <c r="AF4222">
        <v>5.9387233143091002E-2</v>
      </c>
      <c r="AG4222">
        <v>-0.30777349999999998</v>
      </c>
      <c r="AH4222">
        <v>0.41422727735991999</v>
      </c>
      <c r="AI4222">
        <v>126.333961169277</v>
      </c>
      <c r="AJ4222">
        <v>81.841174908346403</v>
      </c>
      <c r="AK4222">
        <v>0.51945703197825099</v>
      </c>
      <c r="AL4222">
        <v>79.108451957977806</v>
      </c>
      <c r="AM4222">
        <v>89.299647666543095</v>
      </c>
      <c r="AN4222">
        <v>1.00000006462303</v>
      </c>
    </row>
    <row r="4223" spans="1:40" x14ac:dyDescent="0.25">
      <c r="A4223" t="str">
        <f>"20190303162904931"</f>
        <v>20190303162904931</v>
      </c>
      <c r="B4223" t="str">
        <f>"1551601744925741"</f>
        <v>1551601744925741</v>
      </c>
      <c r="C4223" t="s">
        <v>40</v>
      </c>
      <c r="D4223">
        <v>5.1397250000000003</v>
      </c>
      <c r="E4223">
        <v>0.53087779999999996</v>
      </c>
      <c r="F4223" t="s">
        <v>44</v>
      </c>
      <c r="G4223">
        <v>-271.12520000000001</v>
      </c>
      <c r="H4223">
        <v>0.82197980000000004</v>
      </c>
      <c r="I4223">
        <v>142.04419999999999</v>
      </c>
      <c r="J4223">
        <v>-270.62139999999999</v>
      </c>
      <c r="K4223">
        <v>1.1209009999999999</v>
      </c>
      <c r="L4223">
        <v>141.94839999999999</v>
      </c>
      <c r="M4223">
        <v>-0.99921660000000001</v>
      </c>
      <c r="N4223">
        <v>-1.251877E-2</v>
      </c>
      <c r="O4223">
        <v>3.7542100000000002E-2</v>
      </c>
      <c r="P4223">
        <v>-0.98298410000000003</v>
      </c>
      <c r="Q4223">
        <v>0.17714530000000001</v>
      </c>
      <c r="R4223">
        <v>4.8600850000000001E-2</v>
      </c>
      <c r="S4223">
        <v>-3.2308349999999999</v>
      </c>
      <c r="T4223">
        <v>-1.108168</v>
      </c>
      <c r="U4223">
        <v>0.40693659999999998</v>
      </c>
      <c r="V4223">
        <v>1.1763849999999999E-2</v>
      </c>
      <c r="W4223">
        <v>0.18944459999999999</v>
      </c>
      <c r="X4223">
        <v>0.9818209</v>
      </c>
      <c r="Y4223">
        <v>8.4640069999999998E-2</v>
      </c>
      <c r="Z4223">
        <v>2.5999579999999999E-3</v>
      </c>
      <c r="AA4223">
        <v>0.99640819999999997</v>
      </c>
      <c r="AB4223">
        <v>37</v>
      </c>
      <c r="AC4223">
        <v>-0.50380000000001202</v>
      </c>
      <c r="AD4223">
        <v>-0.298921199999999</v>
      </c>
      <c r="AE4223">
        <v>9.5799999999996999E-2</v>
      </c>
      <c r="AF4223">
        <v>5.7336633938183099E-2</v>
      </c>
      <c r="AG4223">
        <v>-0.298921199999999</v>
      </c>
      <c r="AH4223">
        <v>0.378457368020927</v>
      </c>
      <c r="AI4223">
        <v>127.98733917701</v>
      </c>
      <c r="AJ4223">
        <v>81.385149737866101</v>
      </c>
      <c r="AK4223">
        <v>0.485665885985549</v>
      </c>
      <c r="AL4223">
        <v>79.079626109554397</v>
      </c>
      <c r="AM4223">
        <v>89.313533960748003</v>
      </c>
      <c r="AN4223">
        <v>0.99999996215639497</v>
      </c>
    </row>
    <row r="4224" spans="1:40" x14ac:dyDescent="0.25">
      <c r="A4224" t="str">
        <f>"20190303162904953"</f>
        <v>20190303162904953</v>
      </c>
      <c r="B4224" t="str">
        <f>"1551601744946237"</f>
        <v>1551601744946237</v>
      </c>
      <c r="C4224" t="s">
        <v>40</v>
      </c>
      <c r="D4224">
        <v>5.1289360000000004</v>
      </c>
      <c r="E4224">
        <v>0.53082289999999999</v>
      </c>
      <c r="F4224" t="s">
        <v>44</v>
      </c>
      <c r="G4224">
        <v>-271.45710000000003</v>
      </c>
      <c r="H4224">
        <v>0.83423400000000003</v>
      </c>
      <c r="I4224">
        <v>142.054</v>
      </c>
      <c r="J4224">
        <v>-270.9948</v>
      </c>
      <c r="K4224">
        <v>1.120914</v>
      </c>
      <c r="L4224">
        <v>141.96260000000001</v>
      </c>
      <c r="M4224">
        <v>-0.99921020000000005</v>
      </c>
      <c r="N4224">
        <v>-1.262305E-2</v>
      </c>
      <c r="O4224">
        <v>3.76791E-2</v>
      </c>
      <c r="P4224">
        <v>-0.98292400000000002</v>
      </c>
      <c r="Q4224">
        <v>0.17752279999999901</v>
      </c>
      <c r="R4224">
        <v>4.8437130000000002E-2</v>
      </c>
      <c r="S4224">
        <v>-3.231506</v>
      </c>
      <c r="T4224">
        <v>-1.1084400000000001</v>
      </c>
      <c r="U4224">
        <v>0.40795900000000002</v>
      </c>
      <c r="V4224">
        <v>1.145911E-2</v>
      </c>
      <c r="W4224">
        <v>0.18992490000000001</v>
      </c>
      <c r="X4224">
        <v>0.98173180000000004</v>
      </c>
      <c r="Y4224">
        <v>8.4783960000000005E-2</v>
      </c>
      <c r="Z4224">
        <v>2.5894580000000002E-3</v>
      </c>
      <c r="AA4224">
        <v>0.99639599999999995</v>
      </c>
      <c r="AB4224">
        <v>37</v>
      </c>
      <c r="AC4224">
        <v>-0.46230000000002702</v>
      </c>
      <c r="AD4224">
        <v>-0.28667999999999899</v>
      </c>
      <c r="AE4224">
        <v>9.1399999999993001E-2</v>
      </c>
      <c r="AF4224">
        <v>5.3949182298156997E-2</v>
      </c>
      <c r="AG4224">
        <v>-0.28667999999999899</v>
      </c>
      <c r="AH4224">
        <v>0.339699939287194</v>
      </c>
      <c r="AI4224">
        <v>129.81038696534</v>
      </c>
      <c r="AJ4224">
        <v>80.975979409512902</v>
      </c>
      <c r="AK4224">
        <v>0.44776331406487802</v>
      </c>
      <c r="AL4224">
        <v>79.051599104755695</v>
      </c>
      <c r="AM4224">
        <v>89.331254396452593</v>
      </c>
      <c r="AN4224">
        <v>1.00000005298661</v>
      </c>
    </row>
    <row r="4225" spans="1:40" x14ac:dyDescent="0.25">
      <c r="A4225" t="str">
        <f>"20190303162904977"</f>
        <v>20190303162904977</v>
      </c>
      <c r="B4225" t="str">
        <f>"1551601744965909"</f>
        <v>1551601744965909</v>
      </c>
      <c r="C4225" t="s">
        <v>40</v>
      </c>
      <c r="D4225">
        <v>5.1364869999999998</v>
      </c>
      <c r="E4225">
        <v>0.5307731</v>
      </c>
      <c r="F4225" t="s">
        <v>44</v>
      </c>
      <c r="G4225">
        <v>-271.78969999999998</v>
      </c>
      <c r="H4225">
        <v>0.84850859999999995</v>
      </c>
      <c r="I4225">
        <v>142.06290000000001</v>
      </c>
      <c r="J4225">
        <v>-271.3741</v>
      </c>
      <c r="K4225">
        <v>1.120932</v>
      </c>
      <c r="L4225">
        <v>141.97710000000001</v>
      </c>
      <c r="M4225">
        <v>-0.99920419999999999</v>
      </c>
      <c r="N4225">
        <v>-1.270773E-2</v>
      </c>
      <c r="O4225">
        <v>3.7811810000000001E-2</v>
      </c>
      <c r="P4225">
        <v>-0.98282820000000004</v>
      </c>
      <c r="Q4225">
        <v>0.1781586</v>
      </c>
      <c r="R4225">
        <v>4.8045959999999999E-2</v>
      </c>
      <c r="S4225">
        <v>-3.2321170000000001</v>
      </c>
      <c r="T4225">
        <v>-1.10758</v>
      </c>
      <c r="U4225">
        <v>0.40740969999999999</v>
      </c>
      <c r="V4225">
        <v>1.093507E-2</v>
      </c>
      <c r="W4225">
        <v>0.19064300000000001</v>
      </c>
      <c r="X4225">
        <v>0.98159859999999999</v>
      </c>
      <c r="Y4225">
        <v>8.4488640000000004E-2</v>
      </c>
      <c r="Z4225">
        <v>2.5015319999999999E-3</v>
      </c>
      <c r="AA4225">
        <v>0.99642129999999995</v>
      </c>
      <c r="AB4225">
        <v>37</v>
      </c>
      <c r="AC4225">
        <v>-0.41559999999998298</v>
      </c>
      <c r="AD4225">
        <v>-0.27242339999999998</v>
      </c>
      <c r="AE4225">
        <v>8.5800000000006094E-2</v>
      </c>
      <c r="AF4225">
        <v>4.9587401558561298E-2</v>
      </c>
      <c r="AG4225">
        <v>-0.27242339999999998</v>
      </c>
      <c r="AH4225">
        <v>0.29639885676206201</v>
      </c>
      <c r="AI4225">
        <v>132.19268858183199</v>
      </c>
      <c r="AJ4225">
        <v>80.502398748597798</v>
      </c>
      <c r="AK4225">
        <v>0.40561767904117202</v>
      </c>
      <c r="AL4225">
        <v>79.009689469639198</v>
      </c>
      <c r="AM4225">
        <v>89.361747822577598</v>
      </c>
      <c r="AN4225">
        <v>1.00000007036343</v>
      </c>
    </row>
    <row r="4226" spans="1:40" x14ac:dyDescent="0.25">
      <c r="A4226" t="str">
        <f>"20190303162904998"</f>
        <v>20190303162904998</v>
      </c>
      <c r="B4226" t="str">
        <f>"1551601744986406"</f>
        <v>1551601744986406</v>
      </c>
      <c r="C4226" t="s">
        <v>40</v>
      </c>
      <c r="D4226">
        <v>5.1384230000000004</v>
      </c>
      <c r="E4226">
        <v>0.53077919999999901</v>
      </c>
      <c r="F4226" t="s">
        <v>44</v>
      </c>
      <c r="G4226">
        <v>-272.12290000000002</v>
      </c>
      <c r="H4226">
        <v>0.86444370000000004</v>
      </c>
      <c r="I4226">
        <v>142.0711</v>
      </c>
      <c r="J4226">
        <v>-271.71300000000002</v>
      </c>
      <c r="K4226">
        <v>1.120949</v>
      </c>
      <c r="L4226">
        <v>141.99010000000001</v>
      </c>
      <c r="M4226">
        <v>-0.9991989</v>
      </c>
      <c r="N4226">
        <v>-1.276971E-2</v>
      </c>
      <c r="O4226">
        <v>3.7929810000000001E-2</v>
      </c>
      <c r="P4226">
        <v>-0.98274799999999995</v>
      </c>
      <c r="Q4226">
        <v>0.17853640000000001</v>
      </c>
      <c r="R4226">
        <v>4.8282190000000003E-2</v>
      </c>
      <c r="S4226">
        <v>-3.2333980000000002</v>
      </c>
      <c r="T4226">
        <v>-1.1075349999999999</v>
      </c>
      <c r="U4226">
        <v>0.40492250000000002</v>
      </c>
      <c r="V4226">
        <v>1.1053250000000001E-2</v>
      </c>
      <c r="W4226">
        <v>0.1910811</v>
      </c>
      <c r="X4226">
        <v>0.98151200000000005</v>
      </c>
      <c r="Y4226">
        <v>8.3624290000000004E-2</v>
      </c>
      <c r="Z4226">
        <v>2.3191840000000002E-3</v>
      </c>
      <c r="AA4226">
        <v>0.99649469999999996</v>
      </c>
      <c r="AB4226">
        <v>37</v>
      </c>
      <c r="AC4226">
        <v>-0.40990000000005</v>
      </c>
      <c r="AD4226">
        <v>-0.25650529999999899</v>
      </c>
      <c r="AE4226">
        <v>8.0999999999988803E-2</v>
      </c>
      <c r="AF4226">
        <v>4.7493687227154101E-2</v>
      </c>
      <c r="AG4226">
        <v>-0.25650529999999899</v>
      </c>
      <c r="AH4226">
        <v>0.29971979225172601</v>
      </c>
      <c r="AI4226">
        <v>130.20685371330899</v>
      </c>
      <c r="AJ4226">
        <v>80.995760156104197</v>
      </c>
      <c r="AK4226">
        <v>0.39734440114582997</v>
      </c>
      <c r="AL4226">
        <v>78.984117141146996</v>
      </c>
      <c r="AM4226">
        <v>89.354793619454099</v>
      </c>
      <c r="AN4226">
        <v>0.99999998362838605</v>
      </c>
    </row>
    <row r="4227" spans="1:40" x14ac:dyDescent="0.25">
      <c r="A4227" t="str">
        <f>"20190303162905019"</f>
        <v>20190303162905019</v>
      </c>
      <c r="B4227" t="str">
        <f>"1551601745015685"</f>
        <v>1551601745015685</v>
      </c>
      <c r="C4227" t="s">
        <v>40</v>
      </c>
      <c r="D4227">
        <v>5.3070519999999997</v>
      </c>
      <c r="E4227">
        <v>0.53069840000000001</v>
      </c>
      <c r="F4227" t="s">
        <v>44</v>
      </c>
      <c r="G4227">
        <v>-272.45100000000002</v>
      </c>
      <c r="H4227">
        <v>0.86835969999999996</v>
      </c>
      <c r="I4227">
        <v>142.0823</v>
      </c>
      <c r="J4227">
        <v>-272.06990000000002</v>
      </c>
      <c r="K4227">
        <v>1.1209639999999901</v>
      </c>
      <c r="L4227">
        <v>142.00380000000001</v>
      </c>
      <c r="M4227">
        <v>-0.99919329999999995</v>
      </c>
      <c r="N4227">
        <v>-1.2824520000000001E-2</v>
      </c>
      <c r="O4227">
        <v>3.805716E-2</v>
      </c>
      <c r="P4227">
        <v>-0.98256429999999995</v>
      </c>
      <c r="Q4227">
        <v>0.17945820000000001</v>
      </c>
      <c r="R4227">
        <v>4.8602970000000002E-2</v>
      </c>
      <c r="S4227">
        <v>-3.2338870000000002</v>
      </c>
      <c r="T4227">
        <v>-1.1066819999999999</v>
      </c>
      <c r="U4227">
        <v>0.40390009999999998</v>
      </c>
      <c r="V4227">
        <v>1.1251550000000001E-2</v>
      </c>
      <c r="W4227">
        <v>0.19205410000000001</v>
      </c>
      <c r="X4227">
        <v>0.98131979999999996</v>
      </c>
      <c r="Y4227">
        <v>8.3203009999999994E-2</v>
      </c>
      <c r="Z4227">
        <v>2.209248E-3</v>
      </c>
      <c r="AA4227">
        <v>0.99653020000000003</v>
      </c>
      <c r="AB4227">
        <v>37</v>
      </c>
      <c r="AC4227">
        <v>-0.38109999999994598</v>
      </c>
      <c r="AD4227">
        <v>-0.252604299999999</v>
      </c>
      <c r="AE4227">
        <v>7.8499999999991105E-2</v>
      </c>
      <c r="AF4227">
        <v>4.49807324343715E-2</v>
      </c>
      <c r="AG4227">
        <v>-0.252604299999999</v>
      </c>
      <c r="AH4227">
        <v>0.27001209870653098</v>
      </c>
      <c r="AI4227">
        <v>132.70120765520099</v>
      </c>
      <c r="AJ4227">
        <v>80.542072189349497</v>
      </c>
      <c r="AK4227">
        <v>0.37247648532052002</v>
      </c>
      <c r="AL4227">
        <v>78.927316121593705</v>
      </c>
      <c r="AM4227">
        <v>89.343090723042295</v>
      </c>
      <c r="AN4227">
        <v>0.99999996228812504</v>
      </c>
    </row>
    <row r="4228" spans="1:40" x14ac:dyDescent="0.25">
      <c r="A4228" t="str">
        <f>"20190303162905043"</f>
        <v>20190303162905043</v>
      </c>
      <c r="B4228" t="str">
        <f>"1551601745036182"</f>
        <v>1551601745036182</v>
      </c>
      <c r="C4228" t="s">
        <v>40</v>
      </c>
      <c r="D4228">
        <v>5.080743</v>
      </c>
      <c r="E4228">
        <v>0.52007820000000005</v>
      </c>
      <c r="F4228" t="s">
        <v>44</v>
      </c>
      <c r="G4228">
        <v>-272.78129999999999</v>
      </c>
      <c r="H4228">
        <v>0.87795769999999995</v>
      </c>
      <c r="I4228">
        <v>142.0926</v>
      </c>
      <c r="J4228">
        <v>-272.4529</v>
      </c>
      <c r="K4228">
        <v>1.1209750000000001</v>
      </c>
      <c r="L4228">
        <v>142.01859999999999</v>
      </c>
      <c r="M4228">
        <v>-0.99918739999999995</v>
      </c>
      <c r="N4228">
        <v>-1.287363E-2</v>
      </c>
      <c r="O4228">
        <v>3.8196899999999999E-2</v>
      </c>
      <c r="P4228">
        <v>-0.98246990000000001</v>
      </c>
      <c r="Q4228">
        <v>0.179924</v>
      </c>
      <c r="R4228">
        <v>4.8792919999999997E-2</v>
      </c>
      <c r="S4228">
        <v>-3.2351070000000002</v>
      </c>
      <c r="T4228">
        <v>-1.104975</v>
      </c>
      <c r="U4228">
        <v>0.4032135</v>
      </c>
      <c r="V4228">
        <v>1.130372E-2</v>
      </c>
      <c r="W4228">
        <v>0.19256699999999999</v>
      </c>
      <c r="X4228">
        <v>0.98121879999999995</v>
      </c>
      <c r="Y4228">
        <v>8.2845790000000002E-2</v>
      </c>
      <c r="Z4228">
        <v>2.1051099999999999E-3</v>
      </c>
      <c r="AA4228">
        <v>0.99656020000000001</v>
      </c>
      <c r="AB4228">
        <v>37</v>
      </c>
      <c r="AC4228">
        <v>-0.32839999999998698</v>
      </c>
      <c r="AD4228">
        <v>-0.24301729999999999</v>
      </c>
      <c r="AE4228">
        <v>7.4000000000012195E-2</v>
      </c>
      <c r="AF4228">
        <v>4.03650641406628E-2</v>
      </c>
      <c r="AG4228">
        <v>-0.24301729999999999</v>
      </c>
      <c r="AH4228">
        <v>0.21759086595734201</v>
      </c>
      <c r="AI4228">
        <v>137.677500145881</v>
      </c>
      <c r="AJ4228">
        <v>79.490585918051295</v>
      </c>
      <c r="AK4228">
        <v>0.328683025802118</v>
      </c>
      <c r="AL4228">
        <v>78.897371453667702</v>
      </c>
      <c r="AM4228">
        <v>89.339977178921103</v>
      </c>
      <c r="AN4228">
        <v>1.0000000785241301</v>
      </c>
    </row>
    <row r="4229" spans="1:40" x14ac:dyDescent="0.25">
      <c r="A4229" t="str">
        <f>"20190303162905066"</f>
        <v>20190303162905066</v>
      </c>
      <c r="B4229" t="str">
        <f>"1551601745055701"</f>
        <v>1551601745055701</v>
      </c>
      <c r="C4229" t="s">
        <v>40</v>
      </c>
      <c r="D4229">
        <v>5.4558549999999997</v>
      </c>
      <c r="E4229">
        <v>0.47760399999999997</v>
      </c>
      <c r="F4229" t="s">
        <v>44</v>
      </c>
      <c r="G4229">
        <v>-273.13310000000001</v>
      </c>
      <c r="H4229">
        <v>0.93266190000000004</v>
      </c>
      <c r="I4229">
        <v>142.08619999999999</v>
      </c>
      <c r="J4229">
        <v>-272.83030000000002</v>
      </c>
      <c r="K4229">
        <v>1.1209849999999999</v>
      </c>
      <c r="L4229">
        <v>142.03319999999999</v>
      </c>
      <c r="M4229">
        <v>-0.9991814</v>
      </c>
      <c r="N4229">
        <v>-1.2913020000000001E-2</v>
      </c>
      <c r="O4229">
        <v>3.8336750000000003E-2</v>
      </c>
      <c r="P4229">
        <v>-0.98234630000000001</v>
      </c>
      <c r="Q4229">
        <v>0.1804675</v>
      </c>
      <c r="R4229">
        <v>4.9268989999999999E-2</v>
      </c>
      <c r="S4229">
        <v>-3.1999819999999999</v>
      </c>
      <c r="T4229">
        <v>-0.88582000000000005</v>
      </c>
      <c r="U4229">
        <v>0.31758120000000001</v>
      </c>
      <c r="V4229">
        <v>1.1644099999999999E-2</v>
      </c>
      <c r="W4229">
        <v>0.19314809999999999</v>
      </c>
      <c r="X4229">
        <v>0.98110050000000004</v>
      </c>
      <c r="Y4229">
        <v>5.9507789999999998E-2</v>
      </c>
      <c r="Z4229">
        <v>-1.4417879999999901E-3</v>
      </c>
      <c r="AA4229">
        <v>0.99822679999999997</v>
      </c>
      <c r="AB4229">
        <v>37</v>
      </c>
      <c r="AC4229">
        <v>-0.30279999999999002</v>
      </c>
      <c r="AD4229">
        <v>-0.18832309999999999</v>
      </c>
      <c r="AE4229">
        <v>5.2999999999997202E-2</v>
      </c>
      <c r="AF4229">
        <v>3.0067186099866802E-2</v>
      </c>
      <c r="AG4229">
        <v>-0.18832309999999999</v>
      </c>
      <c r="AH4229">
        <v>0.22148419580028</v>
      </c>
      <c r="AI4229">
        <v>130.115800635017</v>
      </c>
      <c r="AJ4229">
        <v>82.269174280717905</v>
      </c>
      <c r="AK4229">
        <v>0.2922753404974</v>
      </c>
      <c r="AL4229">
        <v>78.863438788091102</v>
      </c>
      <c r="AM4229">
        <v>89.320022297616404</v>
      </c>
      <c r="AN4229">
        <v>0.99999998234933496</v>
      </c>
    </row>
    <row r="4230" spans="1:40" x14ac:dyDescent="0.25">
      <c r="A4230" t="str">
        <f>"20190303162905086"</f>
        <v>20190303162905086</v>
      </c>
      <c r="B4230" t="str">
        <f>"1551601745076198"</f>
        <v>1551601745076198</v>
      </c>
      <c r="C4230" t="s">
        <v>40</v>
      </c>
      <c r="D4230">
        <v>5.383947</v>
      </c>
      <c r="E4230">
        <v>0.47484520000000002</v>
      </c>
      <c r="F4230" t="s">
        <v>56</v>
      </c>
      <c r="G4230">
        <v>-285.30020000000002</v>
      </c>
      <c r="H4230" s="1">
        <v>-6.7797910000000003E-6</v>
      </c>
      <c r="I4230">
        <v>141.93559999999999</v>
      </c>
      <c r="J4230">
        <v>-273.17500000000001</v>
      </c>
      <c r="K4230">
        <v>1.1209929999999999</v>
      </c>
      <c r="L4230">
        <v>142.04650000000001</v>
      </c>
      <c r="M4230">
        <v>-0.99917610000000001</v>
      </c>
      <c r="N4230">
        <v>-1.294324E-2</v>
      </c>
      <c r="O4230">
        <v>3.8464110000000003E-2</v>
      </c>
      <c r="P4230">
        <v>-0.98234730000000003</v>
      </c>
      <c r="Q4230">
        <v>0.1801652</v>
      </c>
      <c r="R4230">
        <v>5.034421E-2</v>
      </c>
      <c r="S4230">
        <v>-3.1064449999999999</v>
      </c>
      <c r="T4230">
        <v>-0.27925630000000001</v>
      </c>
      <c r="U4230">
        <v>-2.4291989999999999E-2</v>
      </c>
      <c r="V4230">
        <v>1.2591710000000001E-2</v>
      </c>
      <c r="W4230">
        <v>0.19287579999999999</v>
      </c>
      <c r="X4230">
        <v>0.98114239999999997</v>
      </c>
      <c r="Y4230">
        <v>-4.5954290000000002E-2</v>
      </c>
      <c r="Z4230">
        <v>-5.3126229999999998E-3</v>
      </c>
      <c r="AA4230">
        <v>0.99892939999999997</v>
      </c>
      <c r="AB4230">
        <v>36</v>
      </c>
      <c r="AC4230">
        <v>-12.1252</v>
      </c>
      <c r="AD4230">
        <v>-1.1209997797910001</v>
      </c>
      <c r="AE4230">
        <v>-0.110900000000015</v>
      </c>
      <c r="AF4230">
        <v>-0.57235035139803203</v>
      </c>
      <c r="AG4230">
        <v>-1.1209997797910001</v>
      </c>
      <c r="AH4230">
        <v>12.009319918305399</v>
      </c>
      <c r="AI4230">
        <v>95.326762128786598</v>
      </c>
      <c r="AJ4230">
        <v>92.728586218613898</v>
      </c>
      <c r="AK4230">
        <v>12.075097942925501</v>
      </c>
      <c r="AL4230">
        <v>78.879339811051693</v>
      </c>
      <c r="AM4230">
        <v>89.264722190183704</v>
      </c>
      <c r="AN4230">
        <v>1.00000001723206</v>
      </c>
    </row>
    <row r="4231" spans="1:40" x14ac:dyDescent="0.25">
      <c r="A4231" t="str">
        <f>"20190303162905109"</f>
        <v>20190303162905109</v>
      </c>
      <c r="B4231" t="str">
        <f>"1551601745095717"</f>
        <v>1551601745095717</v>
      </c>
      <c r="C4231" t="s">
        <v>40</v>
      </c>
      <c r="D4231">
        <v>5.3679160000000001</v>
      </c>
      <c r="E4231">
        <v>0.47513680000000003</v>
      </c>
      <c r="F4231" t="s">
        <v>56</v>
      </c>
      <c r="G4231">
        <v>-288.55900000000003</v>
      </c>
      <c r="H4231" s="1">
        <v>-8.7732070000000001E-6</v>
      </c>
      <c r="I4231">
        <v>141.82650000000001</v>
      </c>
      <c r="J4231">
        <v>-273.53050000000002</v>
      </c>
      <c r="K4231">
        <v>1.1209979999999999</v>
      </c>
      <c r="L4231">
        <v>142.06039999999999</v>
      </c>
      <c r="M4231">
        <v>-0.99917080000000003</v>
      </c>
      <c r="N4231">
        <v>-1.296952E-2</v>
      </c>
      <c r="O4231">
        <v>3.8594200000000002E-2</v>
      </c>
      <c r="P4231">
        <v>-0.98238270000000005</v>
      </c>
      <c r="Q4231">
        <v>0.1796219</v>
      </c>
      <c r="R4231">
        <v>5.1578470000000001E-2</v>
      </c>
      <c r="S4231">
        <v>-3.0975950000000001</v>
      </c>
      <c r="T4231">
        <v>-0.22571530000000001</v>
      </c>
      <c r="U4231">
        <v>-4.4296259999999997E-2</v>
      </c>
      <c r="V4231">
        <v>1.369457E-2</v>
      </c>
      <c r="W4231">
        <v>0.19235920000000001</v>
      </c>
      <c r="X4231">
        <v>0.98122900000000002</v>
      </c>
      <c r="Y4231">
        <v>-5.2648019999999997E-2</v>
      </c>
      <c r="Z4231">
        <v>-4.5655369999999997E-3</v>
      </c>
      <c r="AA4231">
        <v>0.99860269999999995</v>
      </c>
      <c r="AB4231">
        <v>36</v>
      </c>
      <c r="AC4231">
        <v>-15.028499999999999</v>
      </c>
      <c r="AD4231">
        <v>-1.1210067732069999</v>
      </c>
      <c r="AE4231">
        <v>-0.23389999999997699</v>
      </c>
      <c r="AF4231">
        <v>-0.80928567216690905</v>
      </c>
      <c r="AG4231">
        <v>-1.1210067732069999</v>
      </c>
      <c r="AH4231">
        <v>14.925249822316101</v>
      </c>
      <c r="AI4231">
        <v>94.289033965471603</v>
      </c>
      <c r="AJ4231">
        <v>93.103686124225305</v>
      </c>
      <c r="AK4231">
        <v>14.989152135571199</v>
      </c>
      <c r="AL4231">
        <v>78.909503206802697</v>
      </c>
      <c r="AM4231">
        <v>89.200400595885498</v>
      </c>
      <c r="AN4231">
        <v>0.99999997675656205</v>
      </c>
    </row>
    <row r="4232" spans="1:40" x14ac:dyDescent="0.25">
      <c r="A4232" t="str">
        <f>"20190303162905131"</f>
        <v>20190303162905131</v>
      </c>
      <c r="B4232" t="str">
        <f>"1551601745125974"</f>
        <v>1551601745125974</v>
      </c>
      <c r="C4232" t="s">
        <v>40</v>
      </c>
      <c r="D4232">
        <v>5.4090470000000002</v>
      </c>
      <c r="E4232">
        <v>0.47527809999999998</v>
      </c>
      <c r="F4232" t="s">
        <v>56</v>
      </c>
      <c r="G4232">
        <v>-288.68950000000001</v>
      </c>
      <c r="H4232" s="1">
        <v>-8.8694390000000002E-6</v>
      </c>
      <c r="I4232">
        <v>141.87270000000001</v>
      </c>
      <c r="J4232">
        <v>-273.8974</v>
      </c>
      <c r="K4232">
        <v>1.1210089999999999</v>
      </c>
      <c r="L4232">
        <v>142.07470000000001</v>
      </c>
      <c r="M4232">
        <v>-0.99916539999999998</v>
      </c>
      <c r="N4232">
        <v>-1.299229E-2</v>
      </c>
      <c r="O4232">
        <v>3.8725259999999997E-2</v>
      </c>
      <c r="P4232">
        <v>-0.98249520000000001</v>
      </c>
      <c r="Q4232">
        <v>0.17882590000000001</v>
      </c>
      <c r="R4232">
        <v>5.2194339999999999E-2</v>
      </c>
      <c r="S4232">
        <v>-3.0976870000000001</v>
      </c>
      <c r="T4232">
        <v>-0.22907359999999999</v>
      </c>
      <c r="U4232">
        <v>-3.8345339999999999E-2</v>
      </c>
      <c r="V4232">
        <v>1.4175109999999999E-2</v>
      </c>
      <c r="W4232">
        <v>0.19158710000000001</v>
      </c>
      <c r="X4232">
        <v>0.9813733</v>
      </c>
      <c r="Y4232">
        <v>-5.0858899999999999E-2</v>
      </c>
      <c r="Z4232">
        <v>-4.5655330000000001E-3</v>
      </c>
      <c r="AA4232">
        <v>0.99869540000000001</v>
      </c>
      <c r="AB4232">
        <v>36</v>
      </c>
      <c r="AC4232">
        <v>-14.7921</v>
      </c>
      <c r="AD4232">
        <v>-1.1210178694389901</v>
      </c>
      <c r="AE4232">
        <v>-0.20199999999999799</v>
      </c>
      <c r="AF4232">
        <v>-0.77030145392018901</v>
      </c>
      <c r="AG4232">
        <v>-1.1210178694389901</v>
      </c>
      <c r="AH4232">
        <v>14.688831949161701</v>
      </c>
      <c r="AI4232">
        <v>94.358256686862006</v>
      </c>
      <c r="AJ4232">
        <v>93.001915374524899</v>
      </c>
      <c r="AK4232">
        <v>14.751672089096401</v>
      </c>
      <c r="AL4232">
        <v>78.954580539962507</v>
      </c>
      <c r="AM4232">
        <v>89.172468313613393</v>
      </c>
      <c r="AN4232">
        <v>1.0000000522914001</v>
      </c>
    </row>
    <row r="4233" spans="1:40" x14ac:dyDescent="0.25">
      <c r="A4233" t="str">
        <f>"20190303162905155"</f>
        <v>20190303162905155</v>
      </c>
      <c r="B4233" t="str">
        <f>"1551601745146469"</f>
        <v>1551601745146469</v>
      </c>
      <c r="C4233" t="s">
        <v>40</v>
      </c>
      <c r="D4233">
        <v>5.4077780000000004</v>
      </c>
      <c r="E4233">
        <v>0.47558329999999999</v>
      </c>
      <c r="F4233" t="s">
        <v>56</v>
      </c>
      <c r="G4233">
        <v>-288.54020000000003</v>
      </c>
      <c r="H4233" s="1">
        <v>-8.7877610000000008E-6</v>
      </c>
      <c r="I4233">
        <v>141.90770000000001</v>
      </c>
      <c r="J4233">
        <v>-274.2792</v>
      </c>
      <c r="K4233">
        <v>1.1210070000000001</v>
      </c>
      <c r="L4233">
        <v>142.08969999999999</v>
      </c>
      <c r="M4233">
        <v>-0.99916020000000005</v>
      </c>
      <c r="N4233">
        <v>-1.3012030000000001E-2</v>
      </c>
      <c r="O4233">
        <v>3.8852600000000001E-2</v>
      </c>
      <c r="P4233">
        <v>-0.98252949999999994</v>
      </c>
      <c r="Q4233">
        <v>0.17844879999999999</v>
      </c>
      <c r="R4233">
        <v>5.2840239999999997E-2</v>
      </c>
      <c r="S4233">
        <v>-3.098541</v>
      </c>
      <c r="T4233">
        <v>-0.23721809999999999</v>
      </c>
      <c r="U4233">
        <v>-3.533936E-2</v>
      </c>
      <c r="V4233">
        <v>1.469138E-2</v>
      </c>
      <c r="W4233">
        <v>0.19123039999999999</v>
      </c>
      <c r="X4233">
        <v>0.98143519999999895</v>
      </c>
      <c r="Y4233">
        <v>-4.9999639999999998E-2</v>
      </c>
      <c r="Z4233">
        <v>-4.7015850000000003E-3</v>
      </c>
      <c r="AA4233">
        <v>0.99873820000000002</v>
      </c>
      <c r="AB4233">
        <v>36</v>
      </c>
      <c r="AC4233">
        <v>-14.260999999999999</v>
      </c>
      <c r="AD4233">
        <v>-1.1210157877610001</v>
      </c>
      <c r="AE4233">
        <v>-0.18199999999998701</v>
      </c>
      <c r="AF4233">
        <v>-0.73146735874837898</v>
      </c>
      <c r="AG4233">
        <v>-1.1210157877610001</v>
      </c>
      <c r="AH4233">
        <v>14.155703755742</v>
      </c>
      <c r="AI4233">
        <v>94.521898993390394</v>
      </c>
      <c r="AJ4233">
        <v>92.958012659265094</v>
      </c>
      <c r="AK4233">
        <v>14.218849099475401</v>
      </c>
      <c r="AL4233">
        <v>78.975402102516696</v>
      </c>
      <c r="AM4233">
        <v>89.142387388971599</v>
      </c>
      <c r="AN4233">
        <v>0.99999997716475097</v>
      </c>
    </row>
    <row r="4234" spans="1:40" x14ac:dyDescent="0.25">
      <c r="A4234" t="str">
        <f>"20190303162905177"</f>
        <v>20190303162905177</v>
      </c>
      <c r="B4234" t="str">
        <f>"1551601745165990"</f>
        <v>1551601745165990</v>
      </c>
      <c r="C4234" t="s">
        <v>40</v>
      </c>
      <c r="D4234">
        <v>5.4080899999999996</v>
      </c>
      <c r="E4234">
        <v>0.47579539999999998</v>
      </c>
      <c r="F4234" t="s">
        <v>56</v>
      </c>
      <c r="G4234">
        <v>-288.85019999999997</v>
      </c>
      <c r="H4234" s="1">
        <v>-8.9867849999999906E-6</v>
      </c>
      <c r="I4234">
        <v>141.9436</v>
      </c>
      <c r="J4234">
        <v>-274.63819999999998</v>
      </c>
      <c r="K4234">
        <v>1.12101299999999</v>
      </c>
      <c r="L4234">
        <v>142.10380000000001</v>
      </c>
      <c r="M4234">
        <v>-0.99915600000000004</v>
      </c>
      <c r="N4234">
        <v>-1.3027540000000001E-2</v>
      </c>
      <c r="O4234">
        <v>3.8959269999999997E-2</v>
      </c>
      <c r="P4234">
        <v>-0.98260069999999999</v>
      </c>
      <c r="Q4234">
        <v>0.17783360000000001</v>
      </c>
      <c r="R4234">
        <v>5.3585389999999997E-2</v>
      </c>
      <c r="S4234">
        <v>-3.0982669999999999</v>
      </c>
      <c r="T4234">
        <v>-0.2383641</v>
      </c>
      <c r="U4234">
        <v>-3.106689E-2</v>
      </c>
      <c r="V4234">
        <v>1.532318E-2</v>
      </c>
      <c r="W4234">
        <v>0.19063179999999999</v>
      </c>
      <c r="X4234">
        <v>0.98154200000000003</v>
      </c>
      <c r="Y4234">
        <v>-4.8731829999999997E-2</v>
      </c>
      <c r="Z4234">
        <v>-4.6751639999999999E-3</v>
      </c>
      <c r="AA4234">
        <v>0.99880089999999999</v>
      </c>
      <c r="AB4234">
        <v>36</v>
      </c>
      <c r="AC4234">
        <v>-14.2119999999999</v>
      </c>
      <c r="AD4234">
        <v>-1.12102198678499</v>
      </c>
      <c r="AE4234">
        <v>-0.16020000000000301</v>
      </c>
      <c r="AF4234">
        <v>-0.70940121137724899</v>
      </c>
      <c r="AG4234">
        <v>-1.12102198678499</v>
      </c>
      <c r="AH4234">
        <v>14.1072051830321</v>
      </c>
      <c r="AI4234">
        <v>94.537723394223306</v>
      </c>
      <c r="AJ4234">
        <v>92.878776209497403</v>
      </c>
      <c r="AK4234">
        <v>14.1694452414245</v>
      </c>
      <c r="AL4234">
        <v>79.010342281045396</v>
      </c>
      <c r="AM4234">
        <v>89.105609102788904</v>
      </c>
      <c r="AN4234">
        <v>0.99999999039027598</v>
      </c>
    </row>
    <row r="4235" spans="1:40" x14ac:dyDescent="0.25">
      <c r="A4235" t="str">
        <f>"20190303162905200"</f>
        <v>20190303162905200</v>
      </c>
      <c r="B4235" t="str">
        <f>"1551601745185509"</f>
        <v>1551601745185509</v>
      </c>
      <c r="C4235" t="s">
        <v>40</v>
      </c>
      <c r="D4235">
        <v>5.4058619999999999</v>
      </c>
      <c r="E4235">
        <v>0.47610720000000001</v>
      </c>
      <c r="F4235" t="s">
        <v>56</v>
      </c>
      <c r="G4235">
        <v>-289.0591</v>
      </c>
      <c r="H4235" s="1">
        <v>-9.105028E-6</v>
      </c>
      <c r="I4235">
        <v>141.97649999999999</v>
      </c>
      <c r="J4235">
        <v>-275.00389999999999</v>
      </c>
      <c r="K4235">
        <v>1.121032</v>
      </c>
      <c r="L4235">
        <v>142.1182</v>
      </c>
      <c r="M4235">
        <v>-0.99915240000000005</v>
      </c>
      <c r="N4235">
        <v>-1.304077E-2</v>
      </c>
      <c r="O4235">
        <v>3.9046909999999997E-2</v>
      </c>
      <c r="P4235">
        <v>-0.98272680000000001</v>
      </c>
      <c r="Q4235">
        <v>0.1769329</v>
      </c>
      <c r="R4235">
        <v>5.425369E-2</v>
      </c>
      <c r="S4235">
        <v>-3.0982669999999999</v>
      </c>
      <c r="T4235">
        <v>-0.24084649999999999</v>
      </c>
      <c r="U4235">
        <v>-2.734375E-2</v>
      </c>
      <c r="V4235">
        <v>1.5892170000000001E-2</v>
      </c>
      <c r="W4235">
        <v>0.18974650000000001</v>
      </c>
      <c r="X4235">
        <v>0.98170449999999998</v>
      </c>
      <c r="Y4235">
        <v>-4.7617760000000002E-2</v>
      </c>
      <c r="Z4235">
        <v>-4.6806490000000003E-3</v>
      </c>
      <c r="AA4235">
        <v>0.99885460000000004</v>
      </c>
      <c r="AB4235">
        <v>36</v>
      </c>
      <c r="AC4235">
        <v>-14.055199999999999</v>
      </c>
      <c r="AD4235">
        <v>-1.121041105028</v>
      </c>
      <c r="AE4235">
        <v>-0.14170000000001401</v>
      </c>
      <c r="AF4235">
        <v>-0.68608646254531203</v>
      </c>
      <c r="AG4235">
        <v>-1.121041105028</v>
      </c>
      <c r="AH4235">
        <v>13.950208793845199</v>
      </c>
      <c r="AI4235">
        <v>94.588902787580196</v>
      </c>
      <c r="AJ4235">
        <v>92.815600197956698</v>
      </c>
      <c r="AK4235">
        <v>14.0119867679471</v>
      </c>
      <c r="AL4235">
        <v>79.062009511647304</v>
      </c>
      <c r="AM4235">
        <v>89.072557230707702</v>
      </c>
      <c r="AN4235">
        <v>1.0000000103249</v>
      </c>
    </row>
    <row r="4236" spans="1:40" x14ac:dyDescent="0.25">
      <c r="A4236" t="str">
        <f>"20190303162905221"</f>
        <v>20190303162905221</v>
      </c>
      <c r="B4236" t="str">
        <f>"1551601745215766"</f>
        <v>1551601745215766</v>
      </c>
      <c r="C4236" t="s">
        <v>40</v>
      </c>
      <c r="D4236">
        <v>5.4033720000000001</v>
      </c>
      <c r="E4236">
        <v>0.47625339999999999</v>
      </c>
      <c r="F4236" t="s">
        <v>56</v>
      </c>
      <c r="G4236">
        <v>-289.21859999999998</v>
      </c>
      <c r="H4236" s="1">
        <v>-9.1979470000000007E-6</v>
      </c>
      <c r="I4236">
        <v>142.0111</v>
      </c>
      <c r="J4236">
        <v>-275.35840000000002</v>
      </c>
      <c r="K4236">
        <v>1.1210560000000001</v>
      </c>
      <c r="L4236">
        <v>142.13210000000001</v>
      </c>
      <c r="M4236">
        <v>-0.99914979999999998</v>
      </c>
      <c r="N4236">
        <v>-1.3051480000000001E-2</v>
      </c>
      <c r="O4236">
        <v>3.9106000000000002E-2</v>
      </c>
      <c r="P4236">
        <v>-0.98281949999999996</v>
      </c>
      <c r="Q4236">
        <v>0.17615790000000001</v>
      </c>
      <c r="R4236">
        <v>5.5085130000000003E-2</v>
      </c>
      <c r="S4236">
        <v>-3.0980219999999998</v>
      </c>
      <c r="T4236">
        <v>-0.2443254</v>
      </c>
      <c r="U4236">
        <v>-2.3330690000000001E-2</v>
      </c>
      <c r="V4236">
        <v>1.6651429999999998E-2</v>
      </c>
      <c r="W4236">
        <v>0.18898429999999999</v>
      </c>
      <c r="X4236">
        <v>0.98183889999999996</v>
      </c>
      <c r="Y4236">
        <v>-4.6380650000000002E-2</v>
      </c>
      <c r="Z4236">
        <v>-4.6982439999999999E-3</v>
      </c>
      <c r="AA4236">
        <v>0.99891280000000005</v>
      </c>
      <c r="AB4236">
        <v>36</v>
      </c>
      <c r="AC4236">
        <v>-13.860199999999899</v>
      </c>
      <c r="AD4236">
        <v>-1.1210651979469901</v>
      </c>
      <c r="AE4236">
        <v>-0.121000000000009</v>
      </c>
      <c r="AF4236">
        <v>-0.65866183535171496</v>
      </c>
      <c r="AG4236">
        <v>-1.1210651979469901</v>
      </c>
      <c r="AH4236">
        <v>13.754883729231301</v>
      </c>
      <c r="AI4236">
        <v>94.654173086821302</v>
      </c>
      <c r="AJ4236">
        <v>92.741552626501303</v>
      </c>
      <c r="AK4236">
        <v>13.8162024086241</v>
      </c>
      <c r="AL4236">
        <v>79.106484738484696</v>
      </c>
      <c r="AM4236">
        <v>89.028389272103993</v>
      </c>
      <c r="AN4236">
        <v>0.99999998066037199</v>
      </c>
    </row>
    <row r="4237" spans="1:40" x14ac:dyDescent="0.25">
      <c r="A4237" t="str">
        <f>"20190303162905245"</f>
        <v>20190303162905245</v>
      </c>
      <c r="B4237" t="str">
        <f>"1551601745236262"</f>
        <v>1551601745236262</v>
      </c>
      <c r="C4237" t="s">
        <v>40</v>
      </c>
      <c r="D4237">
        <v>5.4754430000000003</v>
      </c>
      <c r="E4237">
        <v>0.4761784</v>
      </c>
      <c r="F4237" t="s">
        <v>56</v>
      </c>
      <c r="G4237">
        <v>-289.3655</v>
      </c>
      <c r="H4237" s="1">
        <v>-9.2835069999999993E-6</v>
      </c>
      <c r="I4237">
        <v>142.04310000000001</v>
      </c>
      <c r="J4237">
        <v>-275.73230000000001</v>
      </c>
      <c r="K4237">
        <v>1.1210800000000001</v>
      </c>
      <c r="L4237">
        <v>142.14680000000001</v>
      </c>
      <c r="M4237">
        <v>-0.99914820000000004</v>
      </c>
      <c r="N4237">
        <v>-1.306094E-2</v>
      </c>
      <c r="O4237">
        <v>3.9142240000000002E-2</v>
      </c>
      <c r="P4237">
        <v>-0.98275829999999997</v>
      </c>
      <c r="Q4237">
        <v>0.17620429999999901</v>
      </c>
      <c r="R4237">
        <v>5.6019600000000003E-2</v>
      </c>
      <c r="S4237">
        <v>-3.0979920000000001</v>
      </c>
      <c r="T4237">
        <v>-0.24794949999999999</v>
      </c>
      <c r="U4237">
        <v>-1.9683840000000001E-2</v>
      </c>
      <c r="V4237">
        <v>1.754145E-2</v>
      </c>
      <c r="W4237">
        <v>0.1890405</v>
      </c>
      <c r="X4237">
        <v>0.98181260000000004</v>
      </c>
      <c r="Y4237">
        <v>-4.5237600000000003E-2</v>
      </c>
      <c r="Z4237">
        <v>-4.7199720000000002E-3</v>
      </c>
      <c r="AA4237">
        <v>0.99896510000000005</v>
      </c>
      <c r="AB4237">
        <v>36</v>
      </c>
      <c r="AC4237">
        <v>-13.633199999999899</v>
      </c>
      <c r="AD4237">
        <v>-1.1210892835070001</v>
      </c>
      <c r="AE4237">
        <v>-0.103700000000003</v>
      </c>
      <c r="AF4237">
        <v>-0.633019742837864</v>
      </c>
      <c r="AG4237">
        <v>-1.1210892835070001</v>
      </c>
      <c r="AH4237">
        <v>13.5272231818366</v>
      </c>
      <c r="AI4237">
        <v>94.732492801659006</v>
      </c>
      <c r="AJ4237">
        <v>92.679257883592001</v>
      </c>
      <c r="AK4237">
        <v>13.588352445665899</v>
      </c>
      <c r="AL4237">
        <v>79.103205791994199</v>
      </c>
      <c r="AM4237">
        <v>88.976439972452695</v>
      </c>
      <c r="AN4237">
        <v>0.99999999731355604</v>
      </c>
    </row>
    <row r="4238" spans="1:40" x14ac:dyDescent="0.25">
      <c r="A4238" t="str">
        <f>"20190303162905265"</f>
        <v>20190303162905265</v>
      </c>
      <c r="B4238" t="str">
        <f>"1551601745255781"</f>
        <v>1551601745255781</v>
      </c>
      <c r="C4238" t="s">
        <v>40</v>
      </c>
      <c r="D4238">
        <v>5.4770349999999999</v>
      </c>
      <c r="E4238">
        <v>0.47614600000000001</v>
      </c>
      <c r="F4238" t="s">
        <v>56</v>
      </c>
      <c r="G4238">
        <v>-289.77699999999999</v>
      </c>
      <c r="H4238" s="1">
        <v>-9.5059860000000002E-6</v>
      </c>
      <c r="I4238">
        <v>142.06970000000001</v>
      </c>
      <c r="J4238">
        <v>-276.08010000000002</v>
      </c>
      <c r="K4238">
        <v>1.121102</v>
      </c>
      <c r="L4238">
        <v>142.16050000000001</v>
      </c>
      <c r="M4238">
        <v>-0.99914809999999998</v>
      </c>
      <c r="N4238">
        <v>-1.306824E-2</v>
      </c>
      <c r="O4238">
        <v>3.9145949999999999E-2</v>
      </c>
      <c r="P4238">
        <v>-0.98272470000000001</v>
      </c>
      <c r="Q4238">
        <v>0.17610339999999999</v>
      </c>
      <c r="R4238">
        <v>5.6921619999999999E-2</v>
      </c>
      <c r="S4238">
        <v>-3.097931</v>
      </c>
      <c r="T4238">
        <v>-0.24728520000000001</v>
      </c>
      <c r="U4238">
        <v>-1.7013549999999999E-2</v>
      </c>
      <c r="V4238">
        <v>1.8429930000000001E-2</v>
      </c>
      <c r="W4238">
        <v>0.1889477</v>
      </c>
      <c r="X4238">
        <v>0.98181419999999997</v>
      </c>
      <c r="Y4238">
        <v>-4.4384920000000001E-2</v>
      </c>
      <c r="Z4238">
        <v>-4.6674459999999996E-3</v>
      </c>
      <c r="AA4238">
        <v>0.99900359999999999</v>
      </c>
      <c r="AB4238">
        <v>36</v>
      </c>
      <c r="AC4238">
        <v>-13.6968999999999</v>
      </c>
      <c r="AD4238">
        <v>-1.121111505986</v>
      </c>
      <c r="AE4238">
        <v>-9.0800000000001505E-2</v>
      </c>
      <c r="AF4238">
        <v>-0.62278206562223903</v>
      </c>
      <c r="AG4238">
        <v>-1.121111505986</v>
      </c>
      <c r="AH4238">
        <v>13.591788406769499</v>
      </c>
      <c r="AI4238">
        <v>94.710417694876895</v>
      </c>
      <c r="AJ4238">
        <v>92.623484274459898</v>
      </c>
      <c r="AK4238">
        <v>13.6521595582717</v>
      </c>
      <c r="AL4238">
        <v>79.108620555819101</v>
      </c>
      <c r="AM4238">
        <v>88.924609966297098</v>
      </c>
      <c r="AN4238">
        <v>1.0000000094883601</v>
      </c>
    </row>
    <row r="4239" spans="1:40" x14ac:dyDescent="0.25">
      <c r="A4239" t="str">
        <f>"20190303162905288"</f>
        <v>20190303162905288</v>
      </c>
      <c r="B4239" t="str">
        <f>"1551601745276278"</f>
        <v>1551601745276278</v>
      </c>
      <c r="C4239" t="s">
        <v>40</v>
      </c>
      <c r="D4239">
        <v>5.4724190000000004</v>
      </c>
      <c r="E4239">
        <v>0.47611019999999998</v>
      </c>
      <c r="F4239" t="s">
        <v>56</v>
      </c>
      <c r="G4239">
        <v>-290.6386</v>
      </c>
      <c r="H4239" s="1">
        <v>-9.5395780000000008E-6</v>
      </c>
      <c r="I4239">
        <v>142.0907</v>
      </c>
      <c r="J4239">
        <v>-276.44839999999999</v>
      </c>
      <c r="K4239">
        <v>1.1211279999999999</v>
      </c>
      <c r="L4239">
        <v>142.17490000000001</v>
      </c>
      <c r="M4239">
        <v>-0.99914899999999995</v>
      </c>
      <c r="N4239">
        <v>-1.3073660000000001E-2</v>
      </c>
      <c r="O4239">
        <v>3.9120879999999997E-2</v>
      </c>
      <c r="P4239">
        <v>-0.98269870000000004</v>
      </c>
      <c r="Q4239">
        <v>0.17591370000000001</v>
      </c>
      <c r="R4239">
        <v>5.7945829999999997E-2</v>
      </c>
      <c r="S4239">
        <v>-3.0963129999999999</v>
      </c>
      <c r="T4239">
        <v>-0.23843880000000001</v>
      </c>
      <c r="U4239">
        <v>-1.48468E-2</v>
      </c>
      <c r="V4239">
        <v>1.9466959999999998E-2</v>
      </c>
      <c r="W4239">
        <v>0.18876470000000001</v>
      </c>
      <c r="X4239">
        <v>0.98182939999999996</v>
      </c>
      <c r="Y4239">
        <v>-4.3683899999999998E-2</v>
      </c>
      <c r="Z4239">
        <v>-4.4622439999999998E-3</v>
      </c>
      <c r="AA4239">
        <v>0.99903540000000002</v>
      </c>
      <c r="AB4239">
        <v>36</v>
      </c>
      <c r="AC4239">
        <v>-14.190200000000001</v>
      </c>
      <c r="AD4239">
        <v>-1.1211375395780001</v>
      </c>
      <c r="AE4239">
        <v>-8.4200000000009795E-2</v>
      </c>
      <c r="AF4239">
        <v>-0.63535019604769305</v>
      </c>
      <c r="AG4239">
        <v>-1.1211375395780001</v>
      </c>
      <c r="AH4239">
        <v>14.088102795945201</v>
      </c>
      <c r="AI4239">
        <v>94.545434151516005</v>
      </c>
      <c r="AJ4239">
        <v>92.582195479025103</v>
      </c>
      <c r="AK4239">
        <v>14.146916966017301</v>
      </c>
      <c r="AL4239">
        <v>79.119297967862906</v>
      </c>
      <c r="AM4239">
        <v>88.864132074233595</v>
      </c>
      <c r="AN4239">
        <v>1.0000000226010399</v>
      </c>
    </row>
    <row r="4240" spans="1:40" x14ac:dyDescent="0.25">
      <c r="A4240" t="str">
        <f>"20190303162905309"</f>
        <v>20190303162905309</v>
      </c>
      <c r="B4240" t="str">
        <f>"1551601745295798"</f>
        <v>1551601745295798</v>
      </c>
      <c r="C4240" t="s">
        <v>40</v>
      </c>
      <c r="D4240">
        <v>5.41533</v>
      </c>
      <c r="E4240">
        <v>0.47607440000000001</v>
      </c>
      <c r="F4240" t="s">
        <v>56</v>
      </c>
      <c r="G4240">
        <v>-291.64139999999998</v>
      </c>
      <c r="H4240" s="1">
        <v>-9.4476900000000003E-6</v>
      </c>
      <c r="I4240">
        <v>142.11369999999999</v>
      </c>
      <c r="J4240">
        <v>-276.79289999999997</v>
      </c>
      <c r="K4240">
        <v>1.121159</v>
      </c>
      <c r="L4240">
        <v>142.1884</v>
      </c>
      <c r="M4240">
        <v>-0.99915149999999997</v>
      </c>
      <c r="N4240">
        <v>-1.307346E-2</v>
      </c>
      <c r="O4240">
        <v>3.9056760000000003E-2</v>
      </c>
      <c r="P4240">
        <v>-0.98257209999999995</v>
      </c>
      <c r="Q4240">
        <v>0.176029399999999</v>
      </c>
      <c r="R4240">
        <v>5.9715160000000003E-2</v>
      </c>
      <c r="S4240">
        <v>-3.094452</v>
      </c>
      <c r="T4240">
        <v>-0.22834889999999999</v>
      </c>
      <c r="U4240">
        <v>-1.248169E-2</v>
      </c>
      <c r="V4240">
        <v>2.1287859999999999E-2</v>
      </c>
      <c r="W4240">
        <v>0.18888079999999999</v>
      </c>
      <c r="X4240">
        <v>0.98176929999999996</v>
      </c>
      <c r="Y4240">
        <v>-4.2881080000000002E-2</v>
      </c>
      <c r="Z4240">
        <v>-4.2283240000000003E-3</v>
      </c>
      <c r="AA4240">
        <v>0.99907120000000005</v>
      </c>
      <c r="AB4240">
        <v>36</v>
      </c>
      <c r="AC4240">
        <v>-14.8485</v>
      </c>
      <c r="AD4240">
        <v>-1.1211684476899999</v>
      </c>
      <c r="AE4240">
        <v>-7.4700000000007094E-2</v>
      </c>
      <c r="AF4240">
        <v>-0.65091584620832499</v>
      </c>
      <c r="AG4240">
        <v>-1.1211684476899999</v>
      </c>
      <c r="AH4240">
        <v>14.75015731311</v>
      </c>
      <c r="AI4240">
        <v>94.342518666976403</v>
      </c>
      <c r="AJ4240">
        <v>92.526789982088502</v>
      </c>
      <c r="AK4240">
        <v>14.807020324441799</v>
      </c>
      <c r="AL4240">
        <v>79.112524309595301</v>
      </c>
      <c r="AM4240">
        <v>88.757841139539195</v>
      </c>
      <c r="AN4240">
        <v>1.0000000440072501</v>
      </c>
    </row>
    <row r="4241" spans="1:40" x14ac:dyDescent="0.25">
      <c r="A4241" t="str">
        <f>"20190303162905333"</f>
        <v>20190303162905333</v>
      </c>
      <c r="B4241" t="str">
        <f>"1551601745326054"</f>
        <v>1551601745326054</v>
      </c>
      <c r="C4241" t="s">
        <v>40</v>
      </c>
      <c r="D4241">
        <v>5.3478640000000004</v>
      </c>
      <c r="E4241">
        <v>0.47596280000000002</v>
      </c>
      <c r="F4241" t="s">
        <v>56</v>
      </c>
      <c r="G4241">
        <v>-292.66910000000001</v>
      </c>
      <c r="H4241" s="1">
        <v>-9.358874E-6</v>
      </c>
      <c r="I4241">
        <v>142.15029999999999</v>
      </c>
      <c r="J4241">
        <v>-277.17899999999997</v>
      </c>
      <c r="K4241">
        <v>1.121213</v>
      </c>
      <c r="L4241">
        <v>142.20339999999999</v>
      </c>
      <c r="M4241">
        <v>-0.99915690000000001</v>
      </c>
      <c r="N4241">
        <v>-1.306891E-2</v>
      </c>
      <c r="O4241">
        <v>3.8922930000000001E-2</v>
      </c>
      <c r="P4241">
        <v>-0.98270080000000004</v>
      </c>
      <c r="Q4241">
        <v>0.17450829999999901</v>
      </c>
      <c r="R4241">
        <v>6.2018320000000002E-2</v>
      </c>
      <c r="S4241">
        <v>-3.0928040000000001</v>
      </c>
      <c r="T4241">
        <v>-0.218412</v>
      </c>
      <c r="U4241">
        <v>-7.4310299999999999E-3</v>
      </c>
      <c r="V4241">
        <v>2.369251E-2</v>
      </c>
      <c r="W4241">
        <v>0.1873611</v>
      </c>
      <c r="X4241">
        <v>0.98200540000000003</v>
      </c>
      <c r="Y4241">
        <v>-4.1141190000000001E-2</v>
      </c>
      <c r="Z4241">
        <v>-3.9566459999999899E-3</v>
      </c>
      <c r="AA4241">
        <v>0.99914550000000002</v>
      </c>
      <c r="AB4241">
        <v>36</v>
      </c>
      <c r="AC4241">
        <v>-15.490099999999901</v>
      </c>
      <c r="AD4241">
        <v>-1.121222358874</v>
      </c>
      <c r="AE4241">
        <v>-5.3100000000000501E-2</v>
      </c>
      <c r="AF4241">
        <v>-0.65261203255884903</v>
      </c>
      <c r="AG4241">
        <v>-1.121222358874</v>
      </c>
      <c r="AH4241">
        <v>15.395631143525</v>
      </c>
      <c r="AI4241">
        <v>94.161619544039098</v>
      </c>
      <c r="AJ4241">
        <v>92.427282313522696</v>
      </c>
      <c r="AK4241">
        <v>15.4501941848819</v>
      </c>
      <c r="AL4241">
        <v>79.2011797622676</v>
      </c>
      <c r="AM4241">
        <v>88.617912359300604</v>
      </c>
      <c r="AN4241">
        <v>1.0000000612262301</v>
      </c>
    </row>
    <row r="4242" spans="1:40" x14ac:dyDescent="0.25">
      <c r="A4242" t="str">
        <f>"20190303162905355"</f>
        <v>20190303162905355</v>
      </c>
      <c r="B4242" t="str">
        <f>"1551601745345573"</f>
        <v>1551601745345573</v>
      </c>
      <c r="C4242" t="s">
        <v>40</v>
      </c>
      <c r="D4242">
        <v>5.2886119999999996</v>
      </c>
      <c r="E4242">
        <v>0.47595159999999997</v>
      </c>
      <c r="F4242" t="s">
        <v>56</v>
      </c>
      <c r="G4242">
        <v>-293.56819999999999</v>
      </c>
      <c r="H4242" s="1">
        <v>-9.2907989999999998E-6</v>
      </c>
      <c r="I4242">
        <v>142.19159999999999</v>
      </c>
      <c r="J4242">
        <v>-277.53919999999999</v>
      </c>
      <c r="K4242">
        <v>1.1212679999999999</v>
      </c>
      <c r="L4242">
        <v>142.21729999999999</v>
      </c>
      <c r="M4242">
        <v>-0.99916430000000001</v>
      </c>
      <c r="N4242">
        <v>-1.30609E-2</v>
      </c>
      <c r="O4242">
        <v>3.8731979999999999E-2</v>
      </c>
      <c r="P4242">
        <v>-0.98295619999999995</v>
      </c>
      <c r="Q4242">
        <v>0.17233219999999999</v>
      </c>
      <c r="R4242">
        <v>6.4021480000000006E-2</v>
      </c>
      <c r="S4242">
        <v>-3.0905149999999999</v>
      </c>
      <c r="T4242">
        <v>-0.21142900000000001</v>
      </c>
      <c r="U4242">
        <v>-2.2277830000000001E-3</v>
      </c>
      <c r="V4242">
        <v>2.5846669999999999E-2</v>
      </c>
      <c r="W4242">
        <v>0.18518589999999999</v>
      </c>
      <c r="X4242">
        <v>0.98236349999999995</v>
      </c>
      <c r="Y4242">
        <v>-3.9286960000000003E-2</v>
      </c>
      <c r="Z4242">
        <v>-3.739862E-3</v>
      </c>
      <c r="AA4242">
        <v>0.99922100000000003</v>
      </c>
      <c r="AB4242">
        <v>36</v>
      </c>
      <c r="AC4242">
        <v>-16.0289999999999</v>
      </c>
      <c r="AD4242">
        <v>-1.1212772907989901</v>
      </c>
      <c r="AE4242">
        <v>-2.57000000000005E-2</v>
      </c>
      <c r="AF4242">
        <v>-0.64342004217075799</v>
      </c>
      <c r="AG4242">
        <v>-1.1212772907989901</v>
      </c>
      <c r="AH4242">
        <v>15.9379836820519</v>
      </c>
      <c r="AI4242">
        <v>94.0210072398515</v>
      </c>
      <c r="AJ4242">
        <v>92.311788369975403</v>
      </c>
      <c r="AK4242">
        <v>15.990327575221301</v>
      </c>
      <c r="AL4242">
        <v>79.328028573453196</v>
      </c>
      <c r="AM4242">
        <v>88.492855722891605</v>
      </c>
      <c r="AN4242">
        <v>0.99999995702057298</v>
      </c>
    </row>
    <row r="4243" spans="1:40" x14ac:dyDescent="0.25">
      <c r="A4243" t="str">
        <f>"20190303162905369"</f>
        <v>20190303162905369</v>
      </c>
      <c r="B4243" t="str">
        <f>"1551601745356311"</f>
        <v>1551601745356311</v>
      </c>
      <c r="C4243" t="s">
        <v>40</v>
      </c>
      <c r="D4243">
        <v>5.2835460000000003</v>
      </c>
      <c r="E4243">
        <v>0.47595169999999998</v>
      </c>
      <c r="F4243" t="s">
        <v>56</v>
      </c>
      <c r="G4243">
        <v>-293.88420000000002</v>
      </c>
      <c r="H4243" s="1">
        <v>-9.2747070000000003E-6</v>
      </c>
      <c r="I4243">
        <v>142.23589999999999</v>
      </c>
      <c r="J4243">
        <v>-277.76839999999999</v>
      </c>
      <c r="K4243">
        <v>1.1213059999999999</v>
      </c>
      <c r="L4243">
        <v>142.226</v>
      </c>
      <c r="M4243">
        <v>-0.99917049999999996</v>
      </c>
      <c r="N4243">
        <v>-1.305337E-2</v>
      </c>
      <c r="O4243">
        <v>3.857621E-2</v>
      </c>
      <c r="P4243">
        <v>-0.98309360000000001</v>
      </c>
      <c r="Q4243">
        <v>0.171390299999999</v>
      </c>
      <c r="R4243">
        <v>6.4441230000000002E-2</v>
      </c>
      <c r="S4243">
        <v>-3.0889280000000001</v>
      </c>
      <c r="T4243">
        <v>-0.21190239999999999</v>
      </c>
      <c r="U4243">
        <v>3.5095209999999998E-3</v>
      </c>
      <c r="V4243">
        <v>2.6397449999999999E-2</v>
      </c>
      <c r="W4243">
        <v>0.18424109999999999</v>
      </c>
      <c r="X4243">
        <v>0.98252649999999997</v>
      </c>
      <c r="Y4243">
        <v>-3.7280430000000003E-2</v>
      </c>
      <c r="Z4243">
        <v>-3.6604459999999999E-3</v>
      </c>
      <c r="AA4243">
        <v>0.99929820000000003</v>
      </c>
      <c r="AB4243">
        <v>36</v>
      </c>
      <c r="AC4243">
        <v>-16.1158</v>
      </c>
      <c r="AD4243">
        <v>-1.1213152747070001</v>
      </c>
      <c r="AE4243">
        <v>9.8999999999875802E-3</v>
      </c>
      <c r="AF4243">
        <v>-0.60889897199749399</v>
      </c>
      <c r="AG4243">
        <v>-1.1213152747070001</v>
      </c>
      <c r="AH4243">
        <v>16.026596575505</v>
      </c>
      <c r="AI4243">
        <v>93.9993526936601</v>
      </c>
      <c r="AJ4243">
        <v>92.175793801466</v>
      </c>
      <c r="AK4243">
        <v>16.0773102133839</v>
      </c>
      <c r="AL4243">
        <v>79.383109533306694</v>
      </c>
      <c r="AM4243">
        <v>88.461009735167593</v>
      </c>
      <c r="AN4243">
        <v>0.99999996574897998</v>
      </c>
    </row>
    <row r="4244" spans="1:40" x14ac:dyDescent="0.25">
      <c r="A4244" t="str">
        <f>"20190303162905389"</f>
        <v>20190303162905389</v>
      </c>
      <c r="B4244" t="str">
        <f>"1551601745375830"</f>
        <v>1551601745375830</v>
      </c>
      <c r="C4244" t="s">
        <v>40</v>
      </c>
      <c r="D4244">
        <v>5.1677099999999996</v>
      </c>
      <c r="E4244">
        <v>0.47594639999999999</v>
      </c>
      <c r="F4244" t="s">
        <v>56</v>
      </c>
      <c r="G4244">
        <v>-294.09910000000002</v>
      </c>
      <c r="H4244" s="1">
        <v>-9.2602190000000002E-6</v>
      </c>
      <c r="I4244">
        <v>142.2525</v>
      </c>
      <c r="J4244">
        <v>-278.08109999999999</v>
      </c>
      <c r="K4244">
        <v>1.121354</v>
      </c>
      <c r="L4244">
        <v>142.2379</v>
      </c>
      <c r="M4244">
        <v>-0.99918030000000002</v>
      </c>
      <c r="N4244">
        <v>-1.3040950000000001E-2</v>
      </c>
      <c r="O4244">
        <v>3.8322580000000002E-2</v>
      </c>
      <c r="P4244">
        <v>-0.98306009999999999</v>
      </c>
      <c r="Q4244">
        <v>0.1715766</v>
      </c>
      <c r="R4244">
        <v>6.4455020000000002E-2</v>
      </c>
      <c r="S4244">
        <v>-3.0882260000000001</v>
      </c>
      <c r="T4244">
        <v>-0.2120467</v>
      </c>
      <c r="U4244">
        <v>5.0048829999999999E-3</v>
      </c>
      <c r="V4244">
        <v>2.6639739999999999E-2</v>
      </c>
      <c r="W4244">
        <v>0.18441779999999999</v>
      </c>
      <c r="X4244">
        <v>0.98248679999999999</v>
      </c>
      <c r="Y4244">
        <v>-3.6544760000000003E-2</v>
      </c>
      <c r="Z4244">
        <v>-3.620131E-3</v>
      </c>
      <c r="AA4244">
        <v>0.99932549999999998</v>
      </c>
      <c r="AB4244">
        <v>36</v>
      </c>
      <c r="AC4244">
        <v>-16.018000000000001</v>
      </c>
      <c r="AD4244">
        <v>-1.121363260219</v>
      </c>
      <c r="AE4244">
        <v>1.4600000000001501E-2</v>
      </c>
      <c r="AF4244">
        <v>-0.59639117765274996</v>
      </c>
      <c r="AG4244">
        <v>-1.121363260219</v>
      </c>
      <c r="AH4244">
        <v>15.9287259852155</v>
      </c>
      <c r="AI4244">
        <v>94.024100357677696</v>
      </c>
      <c r="AJ4244">
        <v>92.144223179800406</v>
      </c>
      <c r="AK4244">
        <v>15.9792818834337</v>
      </c>
      <c r="AL4244">
        <v>79.372808761595905</v>
      </c>
      <c r="AM4244">
        <v>88.446828214722501</v>
      </c>
      <c r="AN4244">
        <v>0.99999995643917206</v>
      </c>
    </row>
    <row r="4245" spans="1:40" x14ac:dyDescent="0.25">
      <c r="A4245" t="str">
        <f>"20190303162905412"</f>
        <v>20190303162905412</v>
      </c>
      <c r="B4245" t="str">
        <f>"1551601745406086"</f>
        <v>1551601745406086</v>
      </c>
      <c r="C4245" t="s">
        <v>40</v>
      </c>
      <c r="D4245">
        <v>5.1089630000000001</v>
      </c>
      <c r="E4245">
        <v>0.47522310000000001</v>
      </c>
      <c r="F4245" t="s">
        <v>56</v>
      </c>
      <c r="G4245">
        <v>-294.6893</v>
      </c>
      <c r="H4245" s="1">
        <v>-9.212835E-6</v>
      </c>
      <c r="I4245">
        <v>142.26939999999999</v>
      </c>
      <c r="J4245">
        <v>-278.46699999999998</v>
      </c>
      <c r="K4245">
        <v>1.1214090000000001</v>
      </c>
      <c r="L4245">
        <v>142.25229999999999</v>
      </c>
      <c r="M4245">
        <v>-0.99919469999999999</v>
      </c>
      <c r="N4245">
        <v>-1.302473E-2</v>
      </c>
      <c r="O4245">
        <v>3.7953099999999997E-2</v>
      </c>
      <c r="P4245">
        <v>-0.98305620000000005</v>
      </c>
      <c r="Q4245">
        <v>0.17193599999999901</v>
      </c>
      <c r="R4245">
        <v>6.3550239999999994E-2</v>
      </c>
      <c r="S4245">
        <v>-3.0877080000000001</v>
      </c>
      <c r="T4245">
        <v>-0.2084782</v>
      </c>
      <c r="U4245">
        <v>5.859375E-3</v>
      </c>
      <c r="V4245">
        <v>2.6075500000000001E-2</v>
      </c>
      <c r="W4245">
        <v>0.18476409999999999</v>
      </c>
      <c r="X4245">
        <v>0.98243689999999995</v>
      </c>
      <c r="Y4245">
        <v>-3.5906170000000001E-2</v>
      </c>
      <c r="Z4245">
        <v>-3.510109E-3</v>
      </c>
      <c r="AA4245">
        <v>0.99934900000000004</v>
      </c>
      <c r="AB4245">
        <v>36</v>
      </c>
      <c r="AC4245">
        <v>-16.222300000000001</v>
      </c>
      <c r="AD4245">
        <v>-1.1214182128350001</v>
      </c>
      <c r="AE4245">
        <v>1.7099999999999199E-2</v>
      </c>
      <c r="AF4245">
        <v>-0.59580391782715103</v>
      </c>
      <c r="AG4245">
        <v>-1.1214182128350001</v>
      </c>
      <c r="AH4245">
        <v>16.134158929589599</v>
      </c>
      <c r="AI4245">
        <v>93.973296993916605</v>
      </c>
      <c r="AJ4245">
        <v>92.114863585276396</v>
      </c>
      <c r="AK4245">
        <v>16.184055285429299</v>
      </c>
      <c r="AL4245">
        <v>79.352620592848297</v>
      </c>
      <c r="AM4245">
        <v>88.479632206046801</v>
      </c>
      <c r="AN4245">
        <v>0.99999998341533403</v>
      </c>
    </row>
    <row r="4246" spans="1:40" x14ac:dyDescent="0.25">
      <c r="A4246" t="str">
        <f>"20190303162905435"</f>
        <v>20190303162905435</v>
      </c>
      <c r="B4246" t="str">
        <f>"1551601745426582"</f>
        <v>1551601745426582</v>
      </c>
      <c r="C4246" t="s">
        <v>40</v>
      </c>
      <c r="D4246">
        <v>5.1082780000000003</v>
      </c>
      <c r="E4246">
        <v>0.47578860000000001</v>
      </c>
      <c r="F4246" t="s">
        <v>56</v>
      </c>
      <c r="G4246">
        <v>-314.29969999999997</v>
      </c>
      <c r="H4246" s="1">
        <v>-8.538006E-6</v>
      </c>
      <c r="I4246">
        <v>142.21510000000001</v>
      </c>
      <c r="J4246">
        <v>-278.8261</v>
      </c>
      <c r="K4246">
        <v>1.1214489999999999</v>
      </c>
      <c r="L4246">
        <v>142.26560000000001</v>
      </c>
      <c r="M4246">
        <v>-0.99920940000000003</v>
      </c>
      <c r="N4246">
        <v>-1.301009E-2</v>
      </c>
      <c r="O4246">
        <v>3.7570859999999998E-2</v>
      </c>
      <c r="P4246">
        <v>-0.98309029999999997</v>
      </c>
      <c r="Q4246">
        <v>0.17225679999999999</v>
      </c>
      <c r="R4246">
        <v>6.2140460000000002E-2</v>
      </c>
      <c r="S4246">
        <v>-3.0687259999999998</v>
      </c>
      <c r="T4246">
        <v>-9.6038579999999998E-2</v>
      </c>
      <c r="U4246">
        <v>-3.1890870000000002E-3</v>
      </c>
      <c r="V4246">
        <v>2.5024100000000001E-2</v>
      </c>
      <c r="W4246">
        <v>0.1850715</v>
      </c>
      <c r="X4246">
        <v>0.98240640000000001</v>
      </c>
      <c r="Y4246">
        <v>-3.8579490000000001E-2</v>
      </c>
      <c r="Z4246">
        <v>-1.5410910000000001E-3</v>
      </c>
      <c r="AA4246">
        <v>0.99925430000000004</v>
      </c>
      <c r="AB4246">
        <v>36</v>
      </c>
      <c r="AC4246">
        <v>-35.473599999999898</v>
      </c>
      <c r="AD4246">
        <v>-1.1214575380059999</v>
      </c>
      <c r="AE4246">
        <v>-5.0499999999999497E-2</v>
      </c>
      <c r="AF4246">
        <v>-1.3819694481224001</v>
      </c>
      <c r="AG4246">
        <v>-1.1214575380059999</v>
      </c>
      <c r="AH4246">
        <v>35.4112614782835</v>
      </c>
      <c r="AI4246">
        <v>91.812544529275399</v>
      </c>
      <c r="AJ4246">
        <v>92.234906391607495</v>
      </c>
      <c r="AK4246">
        <v>35.455957835721499</v>
      </c>
      <c r="AL4246">
        <v>79.334698971681206</v>
      </c>
      <c r="AM4246">
        <v>88.540863188565694</v>
      </c>
      <c r="AN4246">
        <v>1.00000000022701</v>
      </c>
    </row>
    <row r="4247" spans="1:40" x14ac:dyDescent="0.25">
      <c r="A4247" t="str">
        <f>"20190303162905466"</f>
        <v>20190303162905466</v>
      </c>
      <c r="B4247" t="str">
        <f>"1551601745455862"</f>
        <v>1551601745455862</v>
      </c>
      <c r="C4247" t="s">
        <v>40</v>
      </c>
      <c r="D4247">
        <v>4.9888279999999998</v>
      </c>
      <c r="E4247">
        <v>0.47654099999999999</v>
      </c>
      <c r="F4247" t="s">
        <v>56</v>
      </c>
      <c r="G4247">
        <v>-314.6266</v>
      </c>
      <c r="H4247" s="1">
        <v>-8.4178189999999996E-6</v>
      </c>
      <c r="I4247">
        <v>142.2261</v>
      </c>
      <c r="J4247">
        <v>-279.33139999999997</v>
      </c>
      <c r="K4247">
        <v>1.12148799999999</v>
      </c>
      <c r="L4247">
        <v>142.28399999999999</v>
      </c>
      <c r="M4247">
        <v>-0.99923099999999998</v>
      </c>
      <c r="N4247">
        <v>-1.2990979999999999E-2</v>
      </c>
      <c r="O4247">
        <v>3.6997080000000002E-2</v>
      </c>
      <c r="P4247">
        <v>-0.9832687</v>
      </c>
      <c r="Q4247">
        <v>0.172560299999999</v>
      </c>
      <c r="R4247">
        <v>5.8358970000000003E-2</v>
      </c>
      <c r="S4247">
        <v>-3.0686650000000002</v>
      </c>
      <c r="T4247">
        <v>-9.6126439999999994E-2</v>
      </c>
      <c r="U4247">
        <v>-3.3874510000000001E-3</v>
      </c>
      <c r="V4247">
        <v>2.1786059999999999E-2</v>
      </c>
      <c r="W4247">
        <v>0.18535650000000001</v>
      </c>
      <c r="X4247">
        <v>0.98242980000000002</v>
      </c>
      <c r="Y4247">
        <v>-3.8070670000000001E-2</v>
      </c>
      <c r="Z4247">
        <v>-1.5213259999999999E-3</v>
      </c>
      <c r="AA4247">
        <v>0.99927390000000005</v>
      </c>
      <c r="AB4247">
        <v>36</v>
      </c>
      <c r="AC4247">
        <v>-35.295200000000001</v>
      </c>
      <c r="AD4247">
        <v>-1.1214964178189999</v>
      </c>
      <c r="AE4247">
        <v>-5.7899999999989397E-2</v>
      </c>
      <c r="AF4247">
        <v>-1.3624142643855901</v>
      </c>
      <c r="AG4247">
        <v>-1.1214964178189999</v>
      </c>
      <c r="AH4247">
        <v>35.233316887265403</v>
      </c>
      <c r="AI4247">
        <v>91.821780955942799</v>
      </c>
      <c r="AJ4247">
        <v>92.214430050446794</v>
      </c>
      <c r="AK4247">
        <v>35.277479299426197</v>
      </c>
      <c r="AL4247">
        <v>79.318082044322495</v>
      </c>
      <c r="AM4247">
        <v>88.729634690426195</v>
      </c>
      <c r="AN4247">
        <v>0.999999988215306</v>
      </c>
    </row>
    <row r="4248" spans="1:40" x14ac:dyDescent="0.25">
      <c r="A4248" t="str">
        <f>"20190303162905488"</f>
        <v>20190303162905488</v>
      </c>
      <c r="B4248" t="str">
        <f>"1551601745476358"</f>
        <v>1551601745476358</v>
      </c>
      <c r="C4248" t="s">
        <v>40</v>
      </c>
      <c r="D4248">
        <v>4.9904570000000001</v>
      </c>
      <c r="E4248">
        <v>0.47685889999999997</v>
      </c>
      <c r="F4248" t="s">
        <v>56</v>
      </c>
      <c r="G4248">
        <v>-316.07029999999997</v>
      </c>
      <c r="H4248" s="1">
        <v>-7.7872269999999994E-6</v>
      </c>
      <c r="I4248">
        <v>142.17830000000001</v>
      </c>
      <c r="J4248">
        <v>-279.68009999999998</v>
      </c>
      <c r="K4248">
        <v>1.1215120000000001</v>
      </c>
      <c r="L4248">
        <v>142.29650000000001</v>
      </c>
      <c r="M4248">
        <v>-0.99924599999999997</v>
      </c>
      <c r="N4248">
        <v>-1.297924E-2</v>
      </c>
      <c r="O4248">
        <v>3.6589839999999998E-2</v>
      </c>
      <c r="P4248">
        <v>-0.98319040000000002</v>
      </c>
      <c r="Q4248">
        <v>0.1735112</v>
      </c>
      <c r="R4248">
        <v>5.6837609999999997E-2</v>
      </c>
      <c r="S4248">
        <v>-3.067993</v>
      </c>
      <c r="T4248">
        <v>-9.3654039999999994E-2</v>
      </c>
      <c r="U4248">
        <v>-8.8195800000000005E-3</v>
      </c>
      <c r="V4248">
        <v>2.0661079999999998E-2</v>
      </c>
      <c r="W4248">
        <v>0.18629399999999999</v>
      </c>
      <c r="X4248">
        <v>0.98227679999999995</v>
      </c>
      <c r="Y4248">
        <v>-3.9433740000000002E-2</v>
      </c>
      <c r="Z4248">
        <v>-1.4993199999999999E-3</v>
      </c>
      <c r="AA4248">
        <v>0.99922109999999997</v>
      </c>
      <c r="AB4248">
        <v>36</v>
      </c>
      <c r="AC4248">
        <v>-36.390199999999901</v>
      </c>
      <c r="AD4248">
        <v>-1.121519787227</v>
      </c>
      <c r="AE4248">
        <v>-0.118200000000001</v>
      </c>
      <c r="AF4248">
        <v>-1.4483690153204001</v>
      </c>
      <c r="AG4248">
        <v>-1.121519787227</v>
      </c>
      <c r="AH4248">
        <v>36.326998509894899</v>
      </c>
      <c r="AI4248">
        <v>91.7669222493722</v>
      </c>
      <c r="AJ4248">
        <v>92.283191693925104</v>
      </c>
      <c r="AK4248">
        <v>36.373154938437601</v>
      </c>
      <c r="AL4248">
        <v>79.263415484081804</v>
      </c>
      <c r="AM4248">
        <v>88.795025850916204</v>
      </c>
      <c r="AN4248">
        <v>1.0000000232405</v>
      </c>
    </row>
    <row r="4249" spans="1:40" x14ac:dyDescent="0.25">
      <c r="A4249" t="str">
        <f>"20190303162905511"</f>
        <v>20190303162905511</v>
      </c>
      <c r="B4249" t="str">
        <f>"1551601745505638"</f>
        <v>1551601745505638</v>
      </c>
      <c r="C4249" t="s">
        <v>40</v>
      </c>
      <c r="D4249">
        <v>4.8460710000000002</v>
      </c>
      <c r="E4249">
        <v>0.47742849999999998</v>
      </c>
      <c r="F4249" t="s">
        <v>56</v>
      </c>
      <c r="G4249">
        <v>-317.58640000000003</v>
      </c>
      <c r="H4249" s="1">
        <v>-7.1092020000000001E-6</v>
      </c>
      <c r="I4249">
        <v>142.1568</v>
      </c>
      <c r="J4249">
        <v>-280.05410000000001</v>
      </c>
      <c r="K4249">
        <v>1.1215219999999999</v>
      </c>
      <c r="L4249">
        <v>142.30969999999999</v>
      </c>
      <c r="M4249">
        <v>-0.9992624</v>
      </c>
      <c r="N4249">
        <v>-1.2967869999999999E-2</v>
      </c>
      <c r="O4249">
        <v>3.614937E-2</v>
      </c>
      <c r="P4249">
        <v>-0.98315109999999994</v>
      </c>
      <c r="Q4249">
        <v>0.1739269</v>
      </c>
      <c r="R4249">
        <v>5.6247739999999997E-2</v>
      </c>
      <c r="S4249">
        <v>-3.067993</v>
      </c>
      <c r="T4249">
        <v>-9.0771439999999995E-2</v>
      </c>
      <c r="U4249">
        <v>-1.1306760000000001E-2</v>
      </c>
      <c r="V4249">
        <v>2.0500930000000001E-2</v>
      </c>
      <c r="W4249">
        <v>0.18669830000000001</v>
      </c>
      <c r="X4249">
        <v>0.98220339999999995</v>
      </c>
      <c r="Y4249">
        <v>-3.980508E-2</v>
      </c>
      <c r="Z4249">
        <v>-1.447236E-3</v>
      </c>
      <c r="AA4249">
        <v>0.99920640000000005</v>
      </c>
      <c r="AB4249">
        <v>36</v>
      </c>
      <c r="AC4249">
        <v>-37.532299999999999</v>
      </c>
      <c r="AD4249">
        <v>-1.1215291092020001</v>
      </c>
      <c r="AE4249">
        <v>-0.15289999999998799</v>
      </c>
      <c r="AF4249">
        <v>-1.50833615240015</v>
      </c>
      <c r="AG4249">
        <v>-1.1215291092020001</v>
      </c>
      <c r="AH4249">
        <v>37.468781058463698</v>
      </c>
      <c r="AI4249">
        <v>91.713099417539794</v>
      </c>
      <c r="AJ4249">
        <v>92.305243345045199</v>
      </c>
      <c r="AK4249">
        <v>37.515896090837501</v>
      </c>
      <c r="AL4249">
        <v>79.239837221234097</v>
      </c>
      <c r="AM4249">
        <v>88.804273907861898</v>
      </c>
      <c r="AN4249">
        <v>1.00000003116265</v>
      </c>
    </row>
    <row r="4250" spans="1:40" x14ac:dyDescent="0.25">
      <c r="A4250" t="str">
        <f>"20190303162905534"</f>
        <v>20190303162905534</v>
      </c>
      <c r="B4250" t="str">
        <f>"1551601745526134"</f>
        <v>1551601745526134</v>
      </c>
      <c r="C4250" t="s">
        <v>40</v>
      </c>
      <c r="D4250">
        <v>4.8235449999999904</v>
      </c>
      <c r="E4250">
        <v>0.47867159999999898</v>
      </c>
      <c r="F4250" t="s">
        <v>56</v>
      </c>
      <c r="G4250">
        <v>-303.29480000000001</v>
      </c>
      <c r="H4250" s="1">
        <v>-9.310843E-6</v>
      </c>
      <c r="I4250">
        <v>142.2424</v>
      </c>
      <c r="J4250">
        <v>-280.43430000000001</v>
      </c>
      <c r="K4250">
        <v>1.121537</v>
      </c>
      <c r="L4250">
        <v>142.32299999999901</v>
      </c>
      <c r="M4250">
        <v>-0.99927840000000001</v>
      </c>
      <c r="N4250">
        <v>-1.2957400000000001E-2</v>
      </c>
      <c r="O4250">
        <v>3.5702230000000001E-2</v>
      </c>
      <c r="P4250">
        <v>-0.98308470000000003</v>
      </c>
      <c r="Q4250">
        <v>0.17415510000000001</v>
      </c>
      <c r="R4250">
        <v>5.6696539999999997E-2</v>
      </c>
      <c r="S4250">
        <v>-3.078217</v>
      </c>
      <c r="T4250">
        <v>-0.14854589999999901</v>
      </c>
      <c r="U4250">
        <v>-8.9111329999999999E-3</v>
      </c>
      <c r="V4250">
        <v>2.138835E-2</v>
      </c>
      <c r="W4250">
        <v>0.18691659999999999</v>
      </c>
      <c r="X4250">
        <v>0.98214290000000004</v>
      </c>
      <c r="Y4250">
        <v>-3.8519039999999997E-2</v>
      </c>
      <c r="Z4250">
        <v>-2.4377460000000002E-3</v>
      </c>
      <c r="AA4250">
        <v>0.99925489999999995</v>
      </c>
      <c r="AB4250">
        <v>36</v>
      </c>
      <c r="AC4250">
        <v>-22.860499999999998</v>
      </c>
      <c r="AD4250">
        <v>-1.1215463108429999</v>
      </c>
      <c r="AE4250">
        <v>-8.0599999999975497E-2</v>
      </c>
      <c r="AF4250">
        <v>-0.89463472083130302</v>
      </c>
      <c r="AG4250">
        <v>-1.1215463108429999</v>
      </c>
      <c r="AH4250">
        <v>22.788196652543402</v>
      </c>
      <c r="AI4250">
        <v>92.815436383244105</v>
      </c>
      <c r="AJ4250">
        <v>92.248202642028204</v>
      </c>
      <c r="AK4250">
        <v>22.833312157592701</v>
      </c>
      <c r="AL4250">
        <v>79.227104832945997</v>
      </c>
      <c r="AM4250">
        <v>88.752453928384199</v>
      </c>
      <c r="AN4250">
        <v>0.99999997644584504</v>
      </c>
    </row>
    <row r="4251" spans="1:40" x14ac:dyDescent="0.25">
      <c r="A4251" t="str">
        <f>"20190303162905555"</f>
        <v>20190303162905555</v>
      </c>
      <c r="B4251" t="str">
        <f>"1551601745545654"</f>
        <v>1551601745545654</v>
      </c>
      <c r="C4251" t="s">
        <v>40</v>
      </c>
      <c r="D4251">
        <v>4.860271</v>
      </c>
      <c r="E4251">
        <v>0.47523969999999999</v>
      </c>
      <c r="F4251" t="s">
        <v>41</v>
      </c>
      <c r="G4251">
        <v>-320.56209999999999</v>
      </c>
      <c r="H4251" s="1">
        <v>-4.5685959999999997E-6</v>
      </c>
      <c r="I4251">
        <v>142.3441</v>
      </c>
      <c r="J4251">
        <v>-280.77510000000001</v>
      </c>
      <c r="K4251">
        <v>1.1215379999999999</v>
      </c>
      <c r="L4251">
        <v>142.3347</v>
      </c>
      <c r="M4251">
        <v>-0.99929290000000004</v>
      </c>
      <c r="N4251">
        <v>-1.294909E-2</v>
      </c>
      <c r="O4251">
        <v>3.5302100000000003E-2</v>
      </c>
      <c r="P4251">
        <v>-0.9829253</v>
      </c>
      <c r="Q4251">
        <v>0.17491399999999999</v>
      </c>
      <c r="R4251">
        <v>5.7126349999999999E-2</v>
      </c>
      <c r="S4251">
        <v>-3.0667420000000001</v>
      </c>
      <c r="T4251">
        <v>-8.571339E-2</v>
      </c>
      <c r="U4251">
        <v>1.617432E-3</v>
      </c>
      <c r="V4251">
        <v>2.2214830000000001E-2</v>
      </c>
      <c r="W4251">
        <v>0.18766650000000001</v>
      </c>
      <c r="X4251">
        <v>0.98198160000000001</v>
      </c>
      <c r="Y4251">
        <v>-3.4754140000000003E-2</v>
      </c>
      <c r="Z4251">
        <v>-1.2398209999999999E-3</v>
      </c>
      <c r="AA4251">
        <v>0.99939509999999998</v>
      </c>
      <c r="AB4251">
        <v>36</v>
      </c>
      <c r="AC4251">
        <v>-39.7869999999999</v>
      </c>
      <c r="AD4251">
        <v>-1.1215425685960001</v>
      </c>
      <c r="AE4251">
        <v>9.3999999999994002E-3</v>
      </c>
      <c r="AF4251">
        <v>-1.39418031593905</v>
      </c>
      <c r="AG4251">
        <v>-1.1215425685960001</v>
      </c>
      <c r="AH4251">
        <v>39.730957683546002</v>
      </c>
      <c r="AI4251">
        <v>91.615946464733</v>
      </c>
      <c r="AJ4251">
        <v>92.009714589235202</v>
      </c>
      <c r="AK4251">
        <v>39.771228230194801</v>
      </c>
      <c r="AL4251">
        <v>79.183365394066996</v>
      </c>
      <c r="AM4251">
        <v>88.704050120352093</v>
      </c>
      <c r="AN4251">
        <v>1.0000000383163601</v>
      </c>
    </row>
    <row r="4252" spans="1:40" x14ac:dyDescent="0.25">
      <c r="A4252" t="str">
        <f>"20190303162905576"</f>
        <v>20190303162905576</v>
      </c>
      <c r="B4252" t="str">
        <f>"1551601745566150"</f>
        <v>1551601745566150</v>
      </c>
      <c r="C4252" t="s">
        <v>40</v>
      </c>
      <c r="D4252">
        <v>4.9819279999999999</v>
      </c>
      <c r="E4252">
        <v>0.474665</v>
      </c>
      <c r="F4252" t="s">
        <v>41</v>
      </c>
      <c r="G4252">
        <v>-360.20769999999999</v>
      </c>
      <c r="H4252" s="1">
        <v>-4.5762060000000001E-6</v>
      </c>
      <c r="I4252">
        <v>141.7071</v>
      </c>
      <c r="J4252">
        <v>-281.12020000000001</v>
      </c>
      <c r="K4252">
        <v>1.121542</v>
      </c>
      <c r="L4252">
        <v>142.34649999999999</v>
      </c>
      <c r="M4252">
        <v>-0.9993071</v>
      </c>
      <c r="N4252">
        <v>-1.2938969999999999E-2</v>
      </c>
      <c r="O4252">
        <v>3.4898070000000003E-2</v>
      </c>
      <c r="P4252">
        <v>-0.98294429999999999</v>
      </c>
      <c r="Q4252">
        <v>0.17448169999999999</v>
      </c>
      <c r="R4252">
        <v>5.8109870000000001E-2</v>
      </c>
      <c r="S4252">
        <v>-3.0612180000000002</v>
      </c>
      <c r="T4252">
        <v>-4.3222669999999998E-2</v>
      </c>
      <c r="U4252">
        <v>-2.4185180000000001E-2</v>
      </c>
      <c r="V4252">
        <v>2.3593860000000001E-2</v>
      </c>
      <c r="W4252">
        <v>0.18722620000000001</v>
      </c>
      <c r="X4252">
        <v>0.98203339999999995</v>
      </c>
      <c r="Y4252">
        <v>-4.2787150000000003E-2</v>
      </c>
      <c r="Z4252">
        <v>-6.1994090000000001E-4</v>
      </c>
      <c r="AA4252">
        <v>0.99908399999999997</v>
      </c>
      <c r="AB4252">
        <v>36</v>
      </c>
      <c r="AC4252">
        <v>-79.087499999999906</v>
      </c>
      <c r="AD4252">
        <v>-1.121546576206</v>
      </c>
      <c r="AE4252">
        <v>-0.63939999999999397</v>
      </c>
      <c r="AF4252">
        <v>-3.3985592587978002</v>
      </c>
      <c r="AG4252">
        <v>-1.121546576206</v>
      </c>
      <c r="AH4252">
        <v>79.001115870342005</v>
      </c>
      <c r="AI4252">
        <v>90.812598674511804</v>
      </c>
      <c r="AJ4252">
        <v>92.463295763220501</v>
      </c>
      <c r="AK4252">
        <v>79.082136924322995</v>
      </c>
      <c r="AL4252">
        <v>79.209047091228499</v>
      </c>
      <c r="AM4252">
        <v>88.623704054084996</v>
      </c>
      <c r="AN4252">
        <v>0.99999995945584896</v>
      </c>
    </row>
    <row r="4253" spans="1:40" x14ac:dyDescent="0.25">
      <c r="A4253" t="str">
        <f>"20190303162905601"</f>
        <v>20190303162905601</v>
      </c>
      <c r="B4253" t="str">
        <f>"1551601745596406"</f>
        <v>1551601745596406</v>
      </c>
      <c r="C4253" t="s">
        <v>40</v>
      </c>
      <c r="D4253">
        <v>4.7688389999999998</v>
      </c>
      <c r="E4253">
        <v>0.47413359999999899</v>
      </c>
      <c r="F4253" t="s">
        <v>41</v>
      </c>
      <c r="G4253">
        <v>-376.30610000000001</v>
      </c>
      <c r="H4253" s="1">
        <v>-2.083921E-6</v>
      </c>
      <c r="I4253">
        <v>141.559</v>
      </c>
      <c r="J4253">
        <v>-281.50630000000001</v>
      </c>
      <c r="K4253">
        <v>1.121545</v>
      </c>
      <c r="L4253">
        <v>142.3595</v>
      </c>
      <c r="M4253">
        <v>-0.99932299999999996</v>
      </c>
      <c r="N4253">
        <v>-1.292365E-2</v>
      </c>
      <c r="O4253">
        <v>3.4446560000000001E-2</v>
      </c>
      <c r="P4253">
        <v>-0.98294340000000002</v>
      </c>
      <c r="Q4253">
        <v>0.17429900000000001</v>
      </c>
      <c r="R4253">
        <v>5.867062E-2</v>
      </c>
      <c r="S4253">
        <v>-3.0599980000000002</v>
      </c>
      <c r="T4253">
        <v>-3.6054969999999999E-2</v>
      </c>
      <c r="U4253">
        <v>-2.5314329999999999E-2</v>
      </c>
      <c r="V4253">
        <v>2.459745E-2</v>
      </c>
      <c r="W4253">
        <v>0.18702949999999999</v>
      </c>
      <c r="X4253">
        <v>0.98204630000000004</v>
      </c>
      <c r="Y4253">
        <v>-4.2709490000000003E-2</v>
      </c>
      <c r="Z4253">
        <v>-4.8818869999999999E-4</v>
      </c>
      <c r="AA4253">
        <v>0.99908739999999996</v>
      </c>
      <c r="AB4253">
        <v>36</v>
      </c>
      <c r="AC4253">
        <v>-94.799800000000005</v>
      </c>
      <c r="AD4253">
        <v>-1.121547083921</v>
      </c>
      <c r="AE4253">
        <v>-0.80049999999999899</v>
      </c>
      <c r="AF4253">
        <v>-4.0652555683885501</v>
      </c>
      <c r="AG4253">
        <v>-1.121547083921</v>
      </c>
      <c r="AH4253">
        <v>94.702699907488906</v>
      </c>
      <c r="AI4253">
        <v>90.677887696476205</v>
      </c>
      <c r="AJ4253">
        <v>92.457998321706796</v>
      </c>
      <c r="AK4253">
        <v>94.796548146362696</v>
      </c>
      <c r="AL4253">
        <v>79.220520293772594</v>
      </c>
      <c r="AM4253">
        <v>88.565204650778895</v>
      </c>
      <c r="AN4253">
        <v>1.00000000188022</v>
      </c>
    </row>
    <row r="4254" spans="1:40" x14ac:dyDescent="0.25">
      <c r="A4254" t="str">
        <f>"20190303162905625"</f>
        <v>20190303162905625</v>
      </c>
      <c r="B4254" t="str">
        <f>"1551601745616902"</f>
        <v>1551601745616902</v>
      </c>
      <c r="C4254" t="s">
        <v>40</v>
      </c>
      <c r="D4254">
        <v>4.7465349999999997</v>
      </c>
      <c r="E4254">
        <v>0.47397519999999999</v>
      </c>
      <c r="F4254" t="s">
        <v>41</v>
      </c>
      <c r="G4254">
        <v>-382.9316</v>
      </c>
      <c r="H4254" s="1">
        <v>-3.502302E-6</v>
      </c>
      <c r="I4254">
        <v>141.44899999999899</v>
      </c>
      <c r="J4254">
        <v>-281.8954</v>
      </c>
      <c r="K4254">
        <v>1.1215580000000001</v>
      </c>
      <c r="L4254">
        <v>142.3724</v>
      </c>
      <c r="M4254">
        <v>-0.99933899999999998</v>
      </c>
      <c r="N4254">
        <v>-1.290679E-2</v>
      </c>
      <c r="O4254">
        <v>3.3989419999999999E-2</v>
      </c>
      <c r="P4254">
        <v>-0.98285699999999998</v>
      </c>
      <c r="Q4254">
        <v>0.1746818</v>
      </c>
      <c r="R4254">
        <v>5.8980570000000003E-2</v>
      </c>
      <c r="S4254">
        <v>-3.0596920000000001</v>
      </c>
      <c r="T4254">
        <v>-3.3833740000000001E-2</v>
      </c>
      <c r="U4254">
        <v>-2.7465819999999998E-2</v>
      </c>
      <c r="V4254">
        <v>2.5358559999999999E-2</v>
      </c>
      <c r="W4254">
        <v>0.1873958</v>
      </c>
      <c r="X4254">
        <v>0.98195710000000003</v>
      </c>
      <c r="Y4254">
        <v>-4.295624E-2</v>
      </c>
      <c r="Z4254">
        <v>-4.517794E-4</v>
      </c>
      <c r="AA4254">
        <v>0.99907679999999999</v>
      </c>
      <c r="AB4254">
        <v>36</v>
      </c>
      <c r="AC4254">
        <v>-101.03619999999999</v>
      </c>
      <c r="AD4254">
        <v>-1.121561502302</v>
      </c>
      <c r="AE4254">
        <v>-0.92340000000001499</v>
      </c>
      <c r="AF4254">
        <v>-4.3567769461910997</v>
      </c>
      <c r="AG4254">
        <v>-1.121561502302</v>
      </c>
      <c r="AH4254">
        <v>100.933986036053</v>
      </c>
      <c r="AI4254">
        <v>90.636042670501297</v>
      </c>
      <c r="AJ4254">
        <v>92.471616169767302</v>
      </c>
      <c r="AK4254">
        <v>101.03419689733001</v>
      </c>
      <c r="AL4254">
        <v>79.199155017913199</v>
      </c>
      <c r="AM4254">
        <v>88.520693418338396</v>
      </c>
      <c r="AN4254">
        <v>0.99999999433166098</v>
      </c>
    </row>
    <row r="4255" spans="1:40" x14ac:dyDescent="0.25">
      <c r="A4255" t="str">
        <f>"20190303162905645"</f>
        <v>20190303162905645</v>
      </c>
      <c r="B4255" t="str">
        <f>"1551601745636421"</f>
        <v>1551601745636421</v>
      </c>
      <c r="C4255" t="s">
        <v>40</v>
      </c>
      <c r="D4255">
        <v>4.7542429999999998</v>
      </c>
      <c r="E4255">
        <v>0.47398370000000001</v>
      </c>
      <c r="F4255" t="s">
        <v>41</v>
      </c>
      <c r="G4255">
        <v>-382.4427</v>
      </c>
      <c r="H4255" s="1">
        <v>-3.7126670000000002E-6</v>
      </c>
      <c r="I4255">
        <v>141.4513</v>
      </c>
      <c r="J4255">
        <v>-282.22190000000001</v>
      </c>
      <c r="K4255">
        <v>1.1215710000000001</v>
      </c>
      <c r="L4255">
        <v>142.38310000000001</v>
      </c>
      <c r="M4255">
        <v>-0.99935220000000002</v>
      </c>
      <c r="N4255">
        <v>-1.2893480000000001E-2</v>
      </c>
      <c r="O4255">
        <v>3.360084E-2</v>
      </c>
      <c r="P4255">
        <v>-0.98268250000000001</v>
      </c>
      <c r="Q4255">
        <v>0.175753399999999</v>
      </c>
      <c r="R4255">
        <v>5.8703230000000002E-2</v>
      </c>
      <c r="S4255">
        <v>-3.0600589999999999</v>
      </c>
      <c r="T4255">
        <v>-3.4133669999999998E-2</v>
      </c>
      <c r="U4255">
        <v>-2.80304E-2</v>
      </c>
      <c r="V4255">
        <v>2.5467010000000002E-2</v>
      </c>
      <c r="W4255">
        <v>0.18845190000000001</v>
      </c>
      <c r="X4255">
        <v>0.98175219999999996</v>
      </c>
      <c r="Y4255">
        <v>-4.2750969999999999E-2</v>
      </c>
      <c r="Z4255">
        <v>-4.5552020000000002E-4</v>
      </c>
      <c r="AA4255">
        <v>0.99908569999999997</v>
      </c>
      <c r="AB4255">
        <v>36</v>
      </c>
      <c r="AC4255">
        <v>-100.2208</v>
      </c>
      <c r="AD4255">
        <v>-1.1215747126669999</v>
      </c>
      <c r="AE4255">
        <v>-0.93180000000000895</v>
      </c>
      <c r="AF4255">
        <v>-4.2985183373274998</v>
      </c>
      <c r="AG4255">
        <v>-1.1215747126669999</v>
      </c>
      <c r="AH4255">
        <v>100.120349364245</v>
      </c>
      <c r="AI4255">
        <v>90.641225015392294</v>
      </c>
      <c r="AJ4255">
        <v>92.4583993342046</v>
      </c>
      <c r="AK4255">
        <v>100.21885823811201</v>
      </c>
      <c r="AL4255">
        <v>79.137547758085503</v>
      </c>
      <c r="AM4255">
        <v>88.514059828096293</v>
      </c>
      <c r="AN4255">
        <v>1.0000000347083899</v>
      </c>
    </row>
    <row r="4256" spans="1:40" x14ac:dyDescent="0.25">
      <c r="A4256" t="str">
        <f>"20190303162905667"</f>
        <v>20190303162905667</v>
      </c>
      <c r="B4256" t="str">
        <f>"1551601745655942"</f>
        <v>1551601745655942</v>
      </c>
      <c r="C4256" t="s">
        <v>40</v>
      </c>
      <c r="D4256">
        <v>4.7822230000000001</v>
      </c>
      <c r="E4256">
        <v>0.47406320000000002</v>
      </c>
      <c r="F4256" t="s">
        <v>41</v>
      </c>
      <c r="G4256">
        <v>-391.27800000000002</v>
      </c>
      <c r="H4256" s="1">
        <v>-4.1491130000000004E-6</v>
      </c>
      <c r="I4256">
        <v>141.3526</v>
      </c>
      <c r="J4256">
        <v>-282.57150000000001</v>
      </c>
      <c r="K4256">
        <v>1.1215809999999999</v>
      </c>
      <c r="L4256">
        <v>142.39439999999999</v>
      </c>
      <c r="M4256">
        <v>-0.99936659999999999</v>
      </c>
      <c r="N4256">
        <v>-1.288007E-2</v>
      </c>
      <c r="O4256">
        <v>3.3178909999999999E-2</v>
      </c>
      <c r="P4256">
        <v>-0.98267040000000005</v>
      </c>
      <c r="Q4256">
        <v>0.17614659999999999</v>
      </c>
      <c r="R4256">
        <v>5.772161E-2</v>
      </c>
      <c r="S4256">
        <v>-3.0602420000000001</v>
      </c>
      <c r="T4256">
        <v>-3.1472680000000003E-2</v>
      </c>
      <c r="U4256">
        <v>-2.8915409999999999E-2</v>
      </c>
      <c r="V4256">
        <v>2.489887E-2</v>
      </c>
      <c r="W4256">
        <v>0.18883069999999999</v>
      </c>
      <c r="X4256">
        <v>0.98169390000000001</v>
      </c>
      <c r="Y4256">
        <v>-4.2618099999999999E-2</v>
      </c>
      <c r="Z4256">
        <v>-4.0740999999999998E-4</v>
      </c>
      <c r="AA4256">
        <v>0.99909130000000002</v>
      </c>
      <c r="AB4256">
        <v>36</v>
      </c>
      <c r="AC4256">
        <v>-108.70650000000001</v>
      </c>
      <c r="AD4256">
        <v>-1.121585149113</v>
      </c>
      <c r="AE4256">
        <v>-1.0417999999999901</v>
      </c>
      <c r="AF4256">
        <v>-4.6477933810097696</v>
      </c>
      <c r="AG4256">
        <v>-1.121585149113</v>
      </c>
      <c r="AH4256">
        <v>108.60051105462</v>
      </c>
      <c r="AI4256">
        <v>90.591167077030804</v>
      </c>
      <c r="AJ4256">
        <v>92.450601166909806</v>
      </c>
      <c r="AK4256">
        <v>108.705707936078</v>
      </c>
      <c r="AL4256">
        <v>79.115446395903007</v>
      </c>
      <c r="AM4256">
        <v>88.547108851766694</v>
      </c>
      <c r="AN4256">
        <v>0.99999995014348697</v>
      </c>
    </row>
    <row r="4257" spans="1:40" x14ac:dyDescent="0.25">
      <c r="A4257" t="str">
        <f>"20190303162905689"</f>
        <v>20190303162905689</v>
      </c>
      <c r="B4257" t="str">
        <f>"1551601745675968"</f>
        <v>1551601745675968</v>
      </c>
      <c r="C4257" t="s">
        <v>40</v>
      </c>
      <c r="D4257">
        <v>4.7825930000000003</v>
      </c>
      <c r="E4257">
        <v>0.4740104</v>
      </c>
      <c r="F4257" t="s">
        <v>41</v>
      </c>
      <c r="G4257">
        <v>-391.97160000000002</v>
      </c>
      <c r="H4257" s="1">
        <v>-3.8681640000000004E-6</v>
      </c>
      <c r="I4257">
        <v>141.27610000000001</v>
      </c>
      <c r="J4257">
        <v>-282.93669999999997</v>
      </c>
      <c r="K4257">
        <v>1.121586</v>
      </c>
      <c r="L4257">
        <v>142.40610000000001</v>
      </c>
      <c r="M4257">
        <v>-0.99938170000000004</v>
      </c>
      <c r="N4257">
        <v>-1.286728E-2</v>
      </c>
      <c r="O4257">
        <v>3.272576E-2</v>
      </c>
      <c r="P4257">
        <v>-0.98274229999999996</v>
      </c>
      <c r="Q4257">
        <v>0.176115299999999</v>
      </c>
      <c r="R4257">
        <v>5.6582E-2</v>
      </c>
      <c r="S4257">
        <v>-3.0603639999999999</v>
      </c>
      <c r="T4257">
        <v>-3.137529E-2</v>
      </c>
      <c r="U4257">
        <v>-3.1280519999999999E-2</v>
      </c>
      <c r="V4257">
        <v>2.4199709999999999E-2</v>
      </c>
      <c r="W4257">
        <v>0.18878710000000001</v>
      </c>
      <c r="X4257">
        <v>0.98171980000000003</v>
      </c>
      <c r="Y4257">
        <v>-4.2936719999999998E-2</v>
      </c>
      <c r="Z4257">
        <v>-4.1068069999999999E-4</v>
      </c>
      <c r="AA4257">
        <v>0.99907769999999996</v>
      </c>
      <c r="AB4257">
        <v>36</v>
      </c>
      <c r="AC4257">
        <v>-109.03489999999999</v>
      </c>
      <c r="AD4257">
        <v>-1.121589868164</v>
      </c>
      <c r="AE4257">
        <v>-1.1299999999999899</v>
      </c>
      <c r="AF4257">
        <v>-4.6974424604204996</v>
      </c>
      <c r="AG4257">
        <v>-1.121589868164</v>
      </c>
      <c r="AH4257">
        <v>108.92797998632901</v>
      </c>
      <c r="AI4257">
        <v>90.589384196051896</v>
      </c>
      <c r="AJ4257">
        <v>92.469310188858998</v>
      </c>
      <c r="AK4257">
        <v>109.034988666039</v>
      </c>
      <c r="AL4257">
        <v>79.1179905793758</v>
      </c>
      <c r="AM4257">
        <v>88.587926501829401</v>
      </c>
      <c r="AN4257">
        <v>0.99999998040126603</v>
      </c>
    </row>
    <row r="4258" spans="1:40" x14ac:dyDescent="0.25">
      <c r="A4258" t="str">
        <f>"20190303162905714"</f>
        <v>20190303162905714</v>
      </c>
      <c r="B4258" t="str">
        <f>"1551601745706225"</f>
        <v>1551601745706225</v>
      </c>
      <c r="C4258" t="s">
        <v>40</v>
      </c>
      <c r="D4258">
        <v>4.7786720000000003</v>
      </c>
      <c r="E4258">
        <v>0.47401130000000002</v>
      </c>
      <c r="F4258" t="s">
        <v>41</v>
      </c>
      <c r="G4258">
        <v>-392.26139999999998</v>
      </c>
      <c r="H4258" s="1">
        <v>-3.7036009999999998E-6</v>
      </c>
      <c r="I4258">
        <v>141.125</v>
      </c>
      <c r="J4258">
        <v>-283.32589999999999</v>
      </c>
      <c r="K4258">
        <v>1.1216060000000001</v>
      </c>
      <c r="L4258">
        <v>142.41829999999999</v>
      </c>
      <c r="M4258">
        <v>-0.99939809999999996</v>
      </c>
      <c r="N4258">
        <v>-1.2854849999999999E-2</v>
      </c>
      <c r="O4258">
        <v>3.2221E-2</v>
      </c>
      <c r="P4258">
        <v>-0.98286989999999996</v>
      </c>
      <c r="Q4258">
        <v>0.17601059999999999</v>
      </c>
      <c r="R4258">
        <v>5.4654559999999998E-2</v>
      </c>
      <c r="S4258">
        <v>-3.060333</v>
      </c>
      <c r="T4258">
        <v>-3.1396750000000001E-2</v>
      </c>
      <c r="U4258">
        <v>-3.5858149999999998E-2</v>
      </c>
      <c r="V4258">
        <v>2.2759379999999999E-2</v>
      </c>
      <c r="W4258">
        <v>0.18867059999999999</v>
      </c>
      <c r="X4258">
        <v>0.98177669999999995</v>
      </c>
      <c r="Y4258">
        <v>-4.3926319999999998E-2</v>
      </c>
      <c r="Z4258">
        <v>-4.2396349999999997E-4</v>
      </c>
      <c r="AA4258">
        <v>0.99903470000000005</v>
      </c>
      <c r="AB4258">
        <v>36</v>
      </c>
      <c r="AC4258">
        <v>-108.9355</v>
      </c>
      <c r="AD4258">
        <v>-1.121609703601</v>
      </c>
      <c r="AE4258">
        <v>-1.2932999999999799</v>
      </c>
      <c r="AF4258">
        <v>-4.8024201240857396</v>
      </c>
      <c r="AG4258">
        <v>-1.121609703601</v>
      </c>
      <c r="AH4258">
        <v>108.82571814330799</v>
      </c>
      <c r="AI4258">
        <v>90.589922605553895</v>
      </c>
      <c r="AJ4258">
        <v>92.526792400975793</v>
      </c>
      <c r="AK4258">
        <v>108.937404856101</v>
      </c>
      <c r="AL4258">
        <v>79.124788306463401</v>
      </c>
      <c r="AM4258">
        <v>88.672016862870194</v>
      </c>
      <c r="AN4258">
        <v>1.0000000366726101</v>
      </c>
    </row>
    <row r="4259" spans="1:40" x14ac:dyDescent="0.25">
      <c r="A4259" t="str">
        <f>"20190303162905736"</f>
        <v>20190303162905736</v>
      </c>
      <c r="B4259" t="str">
        <f>"1551601745725743"</f>
        <v>1551601745725743</v>
      </c>
      <c r="C4259" t="s">
        <v>40</v>
      </c>
      <c r="D4259">
        <v>4.8347319999999998</v>
      </c>
      <c r="E4259">
        <v>0.47399720000000001</v>
      </c>
      <c r="F4259" t="s">
        <v>41</v>
      </c>
      <c r="G4259">
        <v>-391.05419999999998</v>
      </c>
      <c r="H4259" s="1">
        <v>-4.1505630000000002E-6</v>
      </c>
      <c r="I4259">
        <v>140.9314</v>
      </c>
      <c r="J4259">
        <v>-283.68869999999998</v>
      </c>
      <c r="K4259">
        <v>1.1216360000000001</v>
      </c>
      <c r="L4259">
        <v>142.42949999999999</v>
      </c>
      <c r="M4259">
        <v>-0.99941440000000004</v>
      </c>
      <c r="N4259">
        <v>-1.284452E-2</v>
      </c>
      <c r="O4259">
        <v>3.172001E-2</v>
      </c>
      <c r="P4259">
        <v>-0.98264929999999995</v>
      </c>
      <c r="Q4259">
        <v>0.1773759</v>
      </c>
      <c r="R4259">
        <v>5.420606E-2</v>
      </c>
      <c r="S4259">
        <v>-3.0603030000000002</v>
      </c>
      <c r="T4259">
        <v>-3.1862260000000003E-2</v>
      </c>
      <c r="U4259">
        <v>-4.2236330000000002E-2</v>
      </c>
      <c r="V4259">
        <v>2.280051E-2</v>
      </c>
      <c r="W4259">
        <v>0.19002369999999999</v>
      </c>
      <c r="X4259">
        <v>0.98151469999999996</v>
      </c>
      <c r="Y4259">
        <v>-4.5507100000000002E-2</v>
      </c>
      <c r="Z4259">
        <v>-4.51929E-4</v>
      </c>
      <c r="AA4259">
        <v>0.99896390000000002</v>
      </c>
      <c r="AB4259">
        <v>36</v>
      </c>
      <c r="AC4259">
        <v>-107.3655</v>
      </c>
      <c r="AD4259">
        <v>-1.121640150563</v>
      </c>
      <c r="AE4259">
        <v>-1.49809999999999</v>
      </c>
      <c r="AF4259">
        <v>-4.9027262701185998</v>
      </c>
      <c r="AG4259">
        <v>-1.121640150563</v>
      </c>
      <c r="AH4259">
        <v>107.25223740089901</v>
      </c>
      <c r="AI4259">
        <v>90.598550423965904</v>
      </c>
      <c r="AJ4259">
        <v>92.617289068624302</v>
      </c>
      <c r="AK4259">
        <v>107.370094667956</v>
      </c>
      <c r="AL4259">
        <v>79.045832561065097</v>
      </c>
      <c r="AM4259">
        <v>88.6692628402878</v>
      </c>
      <c r="AN4259">
        <v>0.99999998806701995</v>
      </c>
    </row>
    <row r="4260" spans="1:40" x14ac:dyDescent="0.25">
      <c r="A4260" t="str">
        <f>"20190303162905756"</f>
        <v>20190303162905756</v>
      </c>
      <c r="B4260" t="str">
        <f>"1551601745746240"</f>
        <v>1551601745746240</v>
      </c>
      <c r="C4260" t="s">
        <v>40</v>
      </c>
      <c r="D4260">
        <v>4.9171769999999997</v>
      </c>
      <c r="E4260">
        <v>0.47397499999999998</v>
      </c>
      <c r="F4260" t="s">
        <v>56</v>
      </c>
      <c r="G4260">
        <v>-411.90969999999999</v>
      </c>
      <c r="H4260" s="1">
        <v>-1.08405399999999E-5</v>
      </c>
      <c r="I4260">
        <v>140.56960000000001</v>
      </c>
      <c r="J4260">
        <v>-284.01940000000002</v>
      </c>
      <c r="K4260">
        <v>1.1216569999999999</v>
      </c>
      <c r="L4260">
        <v>142.43940000000001</v>
      </c>
      <c r="M4260">
        <v>-0.99942989999999998</v>
      </c>
      <c r="N4260">
        <v>-1.283605E-2</v>
      </c>
      <c r="O4260">
        <v>3.1228280000000001E-2</v>
      </c>
      <c r="P4260">
        <v>-0.98255150000000002</v>
      </c>
      <c r="Q4260">
        <v>0.17790929999999999</v>
      </c>
      <c r="R4260">
        <v>5.423331E-2</v>
      </c>
      <c r="S4260">
        <v>-3.0602109999999998</v>
      </c>
      <c r="T4260">
        <v>-2.6769999999999999E-2</v>
      </c>
      <c r="U4260">
        <v>-4.4387820000000001E-2</v>
      </c>
      <c r="V4260">
        <v>2.3302590000000001E-2</v>
      </c>
      <c r="W4260">
        <v>0.19054940000000001</v>
      </c>
      <c r="X4260">
        <v>0.98140099999999997</v>
      </c>
      <c r="Y4260">
        <v>-4.5719210000000003E-2</v>
      </c>
      <c r="Z4260">
        <v>-3.6569160000000001E-4</v>
      </c>
      <c r="AA4260">
        <v>0.99895420000000001</v>
      </c>
      <c r="AB4260">
        <v>36</v>
      </c>
      <c r="AC4260">
        <v>-127.890299999999</v>
      </c>
      <c r="AD4260">
        <v>-1.12166784053999</v>
      </c>
      <c r="AE4260">
        <v>-1.8697999999999899</v>
      </c>
      <c r="AF4260">
        <v>-5.8625600078256497</v>
      </c>
      <c r="AG4260">
        <v>-1.12166784053999</v>
      </c>
      <c r="AH4260">
        <v>127.759693914165</v>
      </c>
      <c r="AI4260">
        <v>90.502487366665306</v>
      </c>
      <c r="AJ4260">
        <v>92.6273112416864</v>
      </c>
      <c r="AK4260">
        <v>127.89905057361101</v>
      </c>
      <c r="AL4260">
        <v>79.015151757906295</v>
      </c>
      <c r="AM4260">
        <v>88.639812643522106</v>
      </c>
      <c r="AN4260">
        <v>1.0000000036710299</v>
      </c>
    </row>
    <row r="4261" spans="1:40" x14ac:dyDescent="0.25">
      <c r="A4261" t="str">
        <f>"20190303162905779"</f>
        <v>20190303162905779</v>
      </c>
      <c r="B4261" t="str">
        <f>"1551601745765761"</f>
        <v>1551601745765761</v>
      </c>
      <c r="C4261" t="s">
        <v>40</v>
      </c>
      <c r="D4261">
        <v>4.8123370000000003</v>
      </c>
      <c r="E4261">
        <v>0.47388819999999998</v>
      </c>
      <c r="F4261" t="s">
        <v>56</v>
      </c>
      <c r="G4261">
        <v>-422.03129999999999</v>
      </c>
      <c r="H4261" s="1">
        <v>-1.040002E-5</v>
      </c>
      <c r="I4261">
        <v>140.40459999999999</v>
      </c>
      <c r="J4261">
        <v>-284.37939999999998</v>
      </c>
      <c r="K4261">
        <v>1.121704</v>
      </c>
      <c r="L4261">
        <v>142.45009999999999</v>
      </c>
      <c r="M4261">
        <v>-0.99944789999999994</v>
      </c>
      <c r="N4261">
        <v>-1.2827659999999999E-2</v>
      </c>
      <c r="O4261">
        <v>3.0649909999999999E-2</v>
      </c>
      <c r="P4261">
        <v>-0.9826532</v>
      </c>
      <c r="Q4261">
        <v>0.17729429999999999</v>
      </c>
      <c r="R4261">
        <v>5.4403300000000002E-2</v>
      </c>
      <c r="S4261">
        <v>-3.0602719999999999</v>
      </c>
      <c r="T4261">
        <v>-2.4871830000000001E-2</v>
      </c>
      <c r="U4261">
        <v>-4.5120239999999999E-2</v>
      </c>
      <c r="V4261">
        <v>2.402344E-2</v>
      </c>
      <c r="W4261">
        <v>0.18993009999999999</v>
      </c>
      <c r="X4261">
        <v>0.98150369999999998</v>
      </c>
      <c r="Y4261">
        <v>-4.5380240000000002E-2</v>
      </c>
      <c r="Z4261">
        <v>-3.3137800000000001E-4</v>
      </c>
      <c r="AA4261">
        <v>0.99896969999999996</v>
      </c>
      <c r="AB4261">
        <v>36</v>
      </c>
      <c r="AC4261">
        <v>-137.65190000000001</v>
      </c>
      <c r="AD4261">
        <v>-1.1217144000199999</v>
      </c>
      <c r="AE4261">
        <v>-2.0455000000000001</v>
      </c>
      <c r="AF4261">
        <v>-6.2634883502790304</v>
      </c>
      <c r="AG4261">
        <v>-1.1217144000199999</v>
      </c>
      <c r="AH4261">
        <v>137.515388672462</v>
      </c>
      <c r="AI4261">
        <v>90.466867876292696</v>
      </c>
      <c r="AJ4261">
        <v>92.607879673500193</v>
      </c>
      <c r="AK4261">
        <v>137.66252813038</v>
      </c>
      <c r="AL4261">
        <v>79.051295508453506</v>
      </c>
      <c r="AM4261">
        <v>88.597899373338507</v>
      </c>
      <c r="AN4261">
        <v>1.00000004083456</v>
      </c>
    </row>
    <row r="4262" spans="1:40" x14ac:dyDescent="0.25">
      <c r="A4262" t="str">
        <f>"20190303162905803"</f>
        <v>20190303162905803</v>
      </c>
      <c r="B4262" t="str">
        <f>"1551601745796016"</f>
        <v>1551601745796016</v>
      </c>
      <c r="C4262" t="s">
        <v>40</v>
      </c>
      <c r="D4262">
        <v>4.848789</v>
      </c>
      <c r="E4262">
        <v>0.47387210000000002</v>
      </c>
      <c r="F4262" t="s">
        <v>56</v>
      </c>
      <c r="G4262">
        <v>-411.18200000000002</v>
      </c>
      <c r="H4262" s="1">
        <v>-1.0906320000000001E-5</v>
      </c>
      <c r="I4262">
        <v>140.57490000000001</v>
      </c>
      <c r="J4262">
        <v>-284.75959999999998</v>
      </c>
      <c r="K4262">
        <v>1.1217549999999901</v>
      </c>
      <c r="L4262">
        <v>142.46109999999999</v>
      </c>
      <c r="M4262">
        <v>-0.99946809999999997</v>
      </c>
      <c r="N4262">
        <v>-1.282005E-2</v>
      </c>
      <c r="O4262">
        <v>2.9989419999999999E-2</v>
      </c>
      <c r="P4262">
        <v>-0.98272040000000005</v>
      </c>
      <c r="Q4262">
        <v>0.1769126</v>
      </c>
      <c r="R4262">
        <v>5.4430350000000002E-2</v>
      </c>
      <c r="S4262">
        <v>-3.0603639999999999</v>
      </c>
      <c r="T4262">
        <v>-2.7072430000000001E-2</v>
      </c>
      <c r="U4262">
        <v>-4.5257569999999997E-2</v>
      </c>
      <c r="V4262">
        <v>2.468037E-2</v>
      </c>
      <c r="W4262">
        <v>0.18954480000000001</v>
      </c>
      <c r="X4262">
        <v>0.98156180000000004</v>
      </c>
      <c r="Y4262">
        <v>-4.4764110000000003E-2</v>
      </c>
      <c r="Z4262">
        <v>-3.6573060000000003E-4</v>
      </c>
      <c r="AA4262">
        <v>0.99899749999999998</v>
      </c>
      <c r="AB4262">
        <v>36</v>
      </c>
      <c r="AC4262">
        <v>-126.422399999999</v>
      </c>
      <c r="AD4262">
        <v>-1.1217659063199901</v>
      </c>
      <c r="AE4262">
        <v>-1.8861999999999699</v>
      </c>
      <c r="AF4262">
        <v>-5.6765503129463299</v>
      </c>
      <c r="AG4262">
        <v>-1.1217659063199901</v>
      </c>
      <c r="AH4262">
        <v>126.299015547916</v>
      </c>
      <c r="AI4262">
        <v>90.508364591989604</v>
      </c>
      <c r="AJ4262">
        <v>92.573445512057503</v>
      </c>
      <c r="AK4262">
        <v>126.431494931353</v>
      </c>
      <c r="AL4262">
        <v>79.073779106354195</v>
      </c>
      <c r="AM4262">
        <v>88.559659567529906</v>
      </c>
      <c r="AN4262">
        <v>0.99999995954480703</v>
      </c>
    </row>
    <row r="4263" spans="1:40" x14ac:dyDescent="0.25">
      <c r="A4263" t="str">
        <f>"20190303162905827"</f>
        <v>20190303162905827</v>
      </c>
      <c r="B4263" t="str">
        <f>"1551601745815536"</f>
        <v>1551601745815536</v>
      </c>
      <c r="C4263" t="s">
        <v>40</v>
      </c>
      <c r="D4263">
        <v>4.890326</v>
      </c>
      <c r="E4263">
        <v>0.4738754</v>
      </c>
      <c r="F4263" t="s">
        <v>56</v>
      </c>
      <c r="G4263">
        <v>-405.762</v>
      </c>
      <c r="H4263" s="1">
        <v>-8.4970080000000004E-6</v>
      </c>
      <c r="I4263">
        <v>140.66679999999999</v>
      </c>
      <c r="J4263">
        <v>-285.1404</v>
      </c>
      <c r="K4263">
        <v>1.12181</v>
      </c>
      <c r="L4263">
        <v>142.4718</v>
      </c>
      <c r="M4263">
        <v>-0.99948930000000002</v>
      </c>
      <c r="N4263">
        <v>-1.2813339999999999E-2</v>
      </c>
      <c r="O4263">
        <v>2.927486E-2</v>
      </c>
      <c r="P4263">
        <v>-0.98266160000000002</v>
      </c>
      <c r="Q4263">
        <v>0.1773477</v>
      </c>
      <c r="R4263">
        <v>5.4075520000000002E-2</v>
      </c>
      <c r="S4263">
        <v>-3.060333</v>
      </c>
      <c r="T4263">
        <v>-2.83711E-2</v>
      </c>
      <c r="U4263">
        <v>-4.5379639999999999E-2</v>
      </c>
      <c r="V4263">
        <v>2.5011780000000001E-2</v>
      </c>
      <c r="W4263">
        <v>0.189975</v>
      </c>
      <c r="X4263">
        <v>0.98147030000000002</v>
      </c>
      <c r="Y4263">
        <v>-4.4089700000000002E-2</v>
      </c>
      <c r="Z4263">
        <v>-3.8309660000000002E-4</v>
      </c>
      <c r="AA4263">
        <v>0.99902749999999996</v>
      </c>
      <c r="AB4263">
        <v>36</v>
      </c>
      <c r="AC4263">
        <v>-120.62159999999901</v>
      </c>
      <c r="AD4263">
        <v>-1.1218184970080001</v>
      </c>
      <c r="AE4263">
        <v>-1.8049999999999999</v>
      </c>
      <c r="AF4263">
        <v>-5.3352351372651103</v>
      </c>
      <c r="AG4263">
        <v>-1.1218184970080001</v>
      </c>
      <c r="AH4263">
        <v>120.506626583593</v>
      </c>
      <c r="AI4263">
        <v>90.532839679959295</v>
      </c>
      <c r="AJ4263">
        <v>92.535022103966895</v>
      </c>
      <c r="AK4263">
        <v>120.629889584911</v>
      </c>
      <c r="AL4263">
        <v>79.048674987701304</v>
      </c>
      <c r="AM4263">
        <v>88.540190849344299</v>
      </c>
      <c r="AN4263">
        <v>1.00000001977292</v>
      </c>
    </row>
    <row r="4264" spans="1:40" x14ac:dyDescent="0.25">
      <c r="A4264" t="str">
        <f>"20190303162905847"</f>
        <v>20190303162905847</v>
      </c>
      <c r="B4264" t="str">
        <f>"1551601745836033"</f>
        <v>1551601745836033</v>
      </c>
      <c r="C4264" t="s">
        <v>40</v>
      </c>
      <c r="D4264">
        <v>5.074897</v>
      </c>
      <c r="E4264">
        <v>0.47383370000000002</v>
      </c>
      <c r="F4264" t="s">
        <v>56</v>
      </c>
      <c r="G4264">
        <v>-410.67939999999999</v>
      </c>
      <c r="H4264" s="1">
        <v>-1.09636E-5</v>
      </c>
      <c r="I4264">
        <v>140.6046</v>
      </c>
      <c r="J4264">
        <v>-285.47579999999999</v>
      </c>
      <c r="K4264">
        <v>1.121858</v>
      </c>
      <c r="L4264">
        <v>142.48089999999999</v>
      </c>
      <c r="M4264">
        <v>-0.99950850000000002</v>
      </c>
      <c r="N4264">
        <v>-1.280802E-2</v>
      </c>
      <c r="O4264">
        <v>2.8613900000000001E-2</v>
      </c>
      <c r="P4264">
        <v>-0.98230139999999999</v>
      </c>
      <c r="Q4264">
        <v>0.1795687</v>
      </c>
      <c r="R4264">
        <v>5.3288009999999997E-2</v>
      </c>
      <c r="S4264">
        <v>-3.0603940000000001</v>
      </c>
      <c r="T4264">
        <v>-2.7347799999999998E-2</v>
      </c>
      <c r="U4264">
        <v>-4.5516969999999997E-2</v>
      </c>
      <c r="V4264">
        <v>2.4867799999999999E-2</v>
      </c>
      <c r="W4264">
        <v>0.192187</v>
      </c>
      <c r="X4264">
        <v>0.9810432</v>
      </c>
      <c r="Y4264">
        <v>-4.3473829999999998E-2</v>
      </c>
      <c r="Z4264">
        <v>-3.6183420000000002E-4</v>
      </c>
      <c r="AA4264">
        <v>0.99905449999999996</v>
      </c>
      <c r="AB4264">
        <v>36</v>
      </c>
      <c r="AC4264">
        <v>-125.20359999999999</v>
      </c>
      <c r="AD4264">
        <v>-1.1218689636000001</v>
      </c>
      <c r="AE4264">
        <v>-1.8762999999999801</v>
      </c>
      <c r="AF4264">
        <v>-5.4579505938851796</v>
      </c>
      <c r="AG4264">
        <v>-1.1218689636000001</v>
      </c>
      <c r="AH4264">
        <v>125.088592018098</v>
      </c>
      <c r="AI4264">
        <v>90.513360472165402</v>
      </c>
      <c r="AJ4264">
        <v>92.498383773325102</v>
      </c>
      <c r="AK4264">
        <v>125.212633818345</v>
      </c>
      <c r="AL4264">
        <v>78.919557452787103</v>
      </c>
      <c r="AM4264">
        <v>88.547959012793001</v>
      </c>
      <c r="AN4264">
        <v>1.0000000053560301</v>
      </c>
    </row>
    <row r="4265" spans="1:40" x14ac:dyDescent="0.25">
      <c r="A4265" t="str">
        <f>"20190303162905867"</f>
        <v>20190303162905867</v>
      </c>
      <c r="B4265" t="str">
        <f>"1551601745855552"</f>
        <v>1551601745855552</v>
      </c>
      <c r="C4265" t="s">
        <v>40</v>
      </c>
      <c r="D4265">
        <v>5.0642899999999997</v>
      </c>
      <c r="E4265">
        <v>0.47375030000000001</v>
      </c>
      <c r="F4265" t="s">
        <v>41</v>
      </c>
      <c r="G4265">
        <v>-455.02629999999999</v>
      </c>
      <c r="H4265" s="1">
        <v>-1.1720820000000001E-6</v>
      </c>
      <c r="I4265">
        <v>139.87700000000001</v>
      </c>
      <c r="J4265">
        <v>-285.80549999999999</v>
      </c>
      <c r="K4265">
        <v>1.1218889999999999</v>
      </c>
      <c r="L4265">
        <v>142.4897</v>
      </c>
      <c r="M4265">
        <v>-0.99952759999999996</v>
      </c>
      <c r="N4265">
        <v>-1.280325E-2</v>
      </c>
      <c r="O4265">
        <v>2.7942140000000001E-2</v>
      </c>
      <c r="P4265">
        <v>-0.98208450000000003</v>
      </c>
      <c r="Q4265">
        <v>0.1810291</v>
      </c>
      <c r="R4265">
        <v>5.2333350000000001E-2</v>
      </c>
      <c r="S4265">
        <v>-3.0603030000000002</v>
      </c>
      <c r="T4265">
        <v>-2.0249010000000001E-2</v>
      </c>
      <c r="U4265">
        <v>-4.6997070000000002E-2</v>
      </c>
      <c r="V4265">
        <v>2.4566459999999998E-2</v>
      </c>
      <c r="W4265">
        <v>0.1936407</v>
      </c>
      <c r="X4265">
        <v>0.98076490000000005</v>
      </c>
      <c r="Y4265">
        <v>-4.3287020000000002E-2</v>
      </c>
      <c r="Z4265">
        <v>-2.4744140000000002E-4</v>
      </c>
      <c r="AA4265">
        <v>0.99906269999999997</v>
      </c>
      <c r="AB4265">
        <v>36</v>
      </c>
      <c r="AC4265">
        <v>-169.2208</v>
      </c>
      <c r="AD4265">
        <v>-1.12189017208199</v>
      </c>
      <c r="AE4265">
        <v>-2.6126999999999798</v>
      </c>
      <c r="AF4265">
        <v>-7.3401357557204001</v>
      </c>
      <c r="AG4265">
        <v>-1.12189017208199</v>
      </c>
      <c r="AH4265">
        <v>169.07427554721701</v>
      </c>
      <c r="AI4265">
        <v>90.379822070106002</v>
      </c>
      <c r="AJ4265">
        <v>92.485859431920304</v>
      </c>
      <c r="AK4265">
        <v>169.23725027985699</v>
      </c>
      <c r="AL4265">
        <v>78.834672113805496</v>
      </c>
      <c r="AM4265">
        <v>88.565140114155696</v>
      </c>
      <c r="AN4265">
        <v>1.00000001036271</v>
      </c>
    </row>
    <row r="4266" spans="1:40" x14ac:dyDescent="0.25">
      <c r="A4266" t="str">
        <f>"20190303162905891"</f>
        <v>20190303162905891</v>
      </c>
      <c r="B4266" t="str">
        <f>"1551601745885808"</f>
        <v>1551601745885808</v>
      </c>
      <c r="C4266" t="s">
        <v>40</v>
      </c>
      <c r="D4266">
        <v>4.917929</v>
      </c>
      <c r="E4266">
        <v>0.47357870000000002</v>
      </c>
      <c r="F4266" t="s">
        <v>57</v>
      </c>
      <c r="G4266">
        <v>-499.95780000000002</v>
      </c>
      <c r="H4266">
        <v>2.3024220000000001E-2</v>
      </c>
      <c r="I4266">
        <v>138.99160000000001</v>
      </c>
      <c r="J4266">
        <v>-286.18729999999999</v>
      </c>
      <c r="K4266">
        <v>1.1218999999999999</v>
      </c>
      <c r="L4266">
        <v>142.49950000000001</v>
      </c>
      <c r="M4266">
        <v>-0.99954960000000004</v>
      </c>
      <c r="N4266">
        <v>-1.279829E-2</v>
      </c>
      <c r="O4266">
        <v>2.714534E-2</v>
      </c>
      <c r="P4266">
        <v>-0.9821067</v>
      </c>
      <c r="Q4266">
        <v>0.1814441</v>
      </c>
      <c r="R4266">
        <v>5.044477E-2</v>
      </c>
      <c r="S4266">
        <v>-3.0602719999999999</v>
      </c>
      <c r="T4266">
        <v>-1.5702959999999998E-2</v>
      </c>
      <c r="U4266">
        <v>-4.9987789999999997E-2</v>
      </c>
      <c r="V4266">
        <v>2.3451E-2</v>
      </c>
      <c r="W4266">
        <v>0.19404959999999999</v>
      </c>
      <c r="X4266">
        <v>0.98071140000000001</v>
      </c>
      <c r="Y4266">
        <v>-4.346738E-2</v>
      </c>
      <c r="Z4266">
        <v>-1.8155520000000001E-4</v>
      </c>
      <c r="AA4266">
        <v>0.99905480000000002</v>
      </c>
      <c r="AB4266">
        <v>36</v>
      </c>
      <c r="AC4266">
        <v>-213.7705</v>
      </c>
      <c r="AD4266">
        <v>-1.09887578</v>
      </c>
      <c r="AE4266">
        <v>-3.5078999999999998</v>
      </c>
      <c r="AF4266">
        <v>-9.3097091907898193</v>
      </c>
      <c r="AG4266">
        <v>-1.09887578</v>
      </c>
      <c r="AH4266">
        <v>213.59083872483299</v>
      </c>
      <c r="AI4266">
        <v>90.294491418602206</v>
      </c>
      <c r="AJ4266">
        <v>92.495751431191806</v>
      </c>
      <c r="AK4266">
        <v>213.79645600517901</v>
      </c>
      <c r="AL4266">
        <v>78.810791041450898</v>
      </c>
      <c r="AM4266">
        <v>88.630190984781606</v>
      </c>
      <c r="AN4266">
        <v>1.0000000233755499</v>
      </c>
    </row>
    <row r="4267" spans="1:40" x14ac:dyDescent="0.25">
      <c r="A4267" t="str">
        <f>"20190303162905914"</f>
        <v>20190303162905914</v>
      </c>
      <c r="B4267" t="str">
        <f>"1551601745906305"</f>
        <v>1551601745906305</v>
      </c>
      <c r="C4267" t="s">
        <v>40</v>
      </c>
      <c r="D4267">
        <v>4.8878729999999999</v>
      </c>
      <c r="E4267">
        <v>0.47353899999999999</v>
      </c>
      <c r="F4267" t="s">
        <v>42</v>
      </c>
      <c r="G4267">
        <v>-544.95809999999994</v>
      </c>
      <c r="H4267">
        <v>-0.05</v>
      </c>
      <c r="I4267">
        <v>137.6738</v>
      </c>
      <c r="J4267">
        <v>-286.5609</v>
      </c>
      <c r="K4267">
        <v>1.121896</v>
      </c>
      <c r="L4267">
        <v>142.50890000000001</v>
      </c>
      <c r="M4267">
        <v>-0.99957079999999998</v>
      </c>
      <c r="N4267">
        <v>-1.279401E-2</v>
      </c>
      <c r="O4267">
        <v>2.6353649999999999E-2</v>
      </c>
      <c r="P4267">
        <v>-0.98243349999999996</v>
      </c>
      <c r="Q4267">
        <v>0.180427</v>
      </c>
      <c r="R4267">
        <v>4.7652399999999998E-2</v>
      </c>
      <c r="S4267">
        <v>-3.0601500000000001</v>
      </c>
      <c r="T4267">
        <v>-1.3858560000000001E-2</v>
      </c>
      <c r="U4267">
        <v>-5.706787E-2</v>
      </c>
      <c r="V4267">
        <v>2.1424209999999999E-2</v>
      </c>
      <c r="W4267">
        <v>0.19302920000000001</v>
      </c>
      <c r="X4267">
        <v>0.98095909999999997</v>
      </c>
      <c r="Y4267">
        <v>-4.4987569999999998E-2</v>
      </c>
      <c r="Z4267">
        <v>-1.7185590000000001E-4</v>
      </c>
      <c r="AA4267">
        <v>0.99898759999999998</v>
      </c>
      <c r="AB4267">
        <v>36</v>
      </c>
      <c r="AC4267">
        <v>-258.39719999999897</v>
      </c>
      <c r="AD4267">
        <v>-1.1718959999999901</v>
      </c>
      <c r="AE4267">
        <v>-4.8351000000000104</v>
      </c>
      <c r="AF4267">
        <v>-11.64344782063</v>
      </c>
      <c r="AG4267">
        <v>-1.1718959999999901</v>
      </c>
      <c r="AH4267">
        <v>258.17469799912402</v>
      </c>
      <c r="AI4267">
        <v>90.259808787673506</v>
      </c>
      <c r="AJ4267">
        <v>92.582238629541294</v>
      </c>
      <c r="AK4267">
        <v>258.439776165213</v>
      </c>
      <c r="AL4267">
        <v>78.870382255116198</v>
      </c>
      <c r="AM4267">
        <v>88.748855382649694</v>
      </c>
      <c r="AN4267">
        <v>1.0000000123497801</v>
      </c>
    </row>
    <row r="4268" spans="1:40" x14ac:dyDescent="0.25">
      <c r="A4268" t="str">
        <f>"20190303162905935"</f>
        <v>20190303162905935</v>
      </c>
      <c r="B4268" t="str">
        <f>"1551601745925824"</f>
        <v>1551601745925824</v>
      </c>
      <c r="C4268" t="s">
        <v>40</v>
      </c>
      <c r="D4268">
        <v>5.047123</v>
      </c>
      <c r="E4268">
        <v>0.4735029</v>
      </c>
      <c r="F4268" t="s">
        <v>57</v>
      </c>
      <c r="G4268">
        <v>-493.63510000000002</v>
      </c>
      <c r="H4268" s="1">
        <v>-9.7669350000000004E-6</v>
      </c>
      <c r="I4268">
        <v>138.0479</v>
      </c>
      <c r="J4268">
        <v>-286.89350000000002</v>
      </c>
      <c r="K4268">
        <v>1.1218840000000001</v>
      </c>
      <c r="L4268">
        <v>142.51689999999999</v>
      </c>
      <c r="M4268">
        <v>-0.99958930000000001</v>
      </c>
      <c r="N4268">
        <v>-1.279046E-2</v>
      </c>
      <c r="O4268">
        <v>2.5644469999999999E-2</v>
      </c>
      <c r="P4268">
        <v>-0.98302880000000004</v>
      </c>
      <c r="Q4268">
        <v>0.17788509999999999</v>
      </c>
      <c r="R4268">
        <v>4.4847339999999999E-2</v>
      </c>
      <c r="S4268">
        <v>-3.0598749999999999</v>
      </c>
      <c r="T4268">
        <v>-1.6578079999999999E-2</v>
      </c>
      <c r="U4268">
        <v>-6.5917970000000006E-2</v>
      </c>
      <c r="V4268">
        <v>1.9301949999999998E-2</v>
      </c>
      <c r="W4268">
        <v>0.19048760000000001</v>
      </c>
      <c r="X4268">
        <v>0.98149989999999998</v>
      </c>
      <c r="Y4268">
        <v>-4.7168229999999998E-2</v>
      </c>
      <c r="Z4268">
        <v>-2.4039919999999999E-4</v>
      </c>
      <c r="AA4268">
        <v>0.99888690000000002</v>
      </c>
      <c r="AB4268">
        <v>36</v>
      </c>
      <c r="AC4268">
        <v>-206.74160000000001</v>
      </c>
      <c r="AD4268">
        <v>-1.121893766935</v>
      </c>
      <c r="AE4268">
        <v>-4.4689999999999896</v>
      </c>
      <c r="AF4268">
        <v>-9.7694549503653594</v>
      </c>
      <c r="AG4268">
        <v>-1.121893766935</v>
      </c>
      <c r="AH4268">
        <v>206.55290291211</v>
      </c>
      <c r="AI4268">
        <v>90.310851934262899</v>
      </c>
      <c r="AJ4268">
        <v>92.707934339491004</v>
      </c>
      <c r="AK4268">
        <v>206.78685305664601</v>
      </c>
      <c r="AL4268">
        <v>79.018759467008095</v>
      </c>
      <c r="AM4268">
        <v>88.873379675666698</v>
      </c>
      <c r="AN4268">
        <v>1.0000000723637801</v>
      </c>
    </row>
    <row r="4269" spans="1:40" x14ac:dyDescent="0.25">
      <c r="A4269" t="str">
        <f>"20190303162905958"</f>
        <v>20190303162905958</v>
      </c>
      <c r="B4269" t="str">
        <f>"1551601745946320"</f>
        <v>1551601745946320</v>
      </c>
      <c r="C4269" t="s">
        <v>40</v>
      </c>
      <c r="D4269">
        <v>5.0613659999999996</v>
      </c>
      <c r="E4269">
        <v>0.47344380000000003</v>
      </c>
      <c r="F4269" t="s">
        <v>56</v>
      </c>
      <c r="G4269">
        <v>-428.9298</v>
      </c>
      <c r="H4269" s="1">
        <v>-1.085696E-5</v>
      </c>
      <c r="I4269">
        <v>139.05090000000001</v>
      </c>
      <c r="J4269">
        <v>-287.2475</v>
      </c>
      <c r="K4269">
        <v>1.1218840000000001</v>
      </c>
      <c r="L4269">
        <v>142.52520000000001</v>
      </c>
      <c r="M4269">
        <v>-0.99960850000000001</v>
      </c>
      <c r="N4269">
        <v>-1.278698E-2</v>
      </c>
      <c r="O4269">
        <v>2.488806E-2</v>
      </c>
      <c r="P4269">
        <v>-0.98332200000000003</v>
      </c>
      <c r="Q4269">
        <v>0.17663690000000001</v>
      </c>
      <c r="R4269">
        <v>4.3328869999999998E-2</v>
      </c>
      <c r="S4269">
        <v>-3.0595699999999999</v>
      </c>
      <c r="T4269">
        <v>-2.4166460000000001E-2</v>
      </c>
      <c r="U4269">
        <v>-7.4661249999999998E-2</v>
      </c>
      <c r="V4269">
        <v>1.851943E-2</v>
      </c>
      <c r="W4269">
        <v>0.18923760000000001</v>
      </c>
      <c r="X4269">
        <v>0.98175670000000004</v>
      </c>
      <c r="Y4269">
        <v>-4.9266079999999997E-2</v>
      </c>
      <c r="Z4269">
        <v>-3.879275E-4</v>
      </c>
      <c r="AA4269">
        <v>0.99878560000000005</v>
      </c>
      <c r="AB4269">
        <v>36</v>
      </c>
      <c r="AC4269">
        <v>-141.6823</v>
      </c>
      <c r="AD4269">
        <v>-1.12189485696</v>
      </c>
      <c r="AE4269">
        <v>-3.4742999999999902</v>
      </c>
      <c r="AF4269">
        <v>-6.9992708075242902</v>
      </c>
      <c r="AG4269">
        <v>-1.12189485696</v>
      </c>
      <c r="AH4269">
        <v>141.543060735577</v>
      </c>
      <c r="AI4269">
        <v>90.453572585303107</v>
      </c>
      <c r="AJ4269">
        <v>92.830956727427505</v>
      </c>
      <c r="AK4269">
        <v>141.72045188434299</v>
      </c>
      <c r="AL4269">
        <v>79.0917055537453</v>
      </c>
      <c r="AM4269">
        <v>88.919325584320404</v>
      </c>
      <c r="AN4269">
        <v>1.0000000282680801</v>
      </c>
    </row>
    <row r="4270" spans="1:40" x14ac:dyDescent="0.25">
      <c r="A4270" t="str">
        <f>"20190303162905980"</f>
        <v>20190303162905980</v>
      </c>
      <c r="B4270" t="str">
        <f>"1551601745965840"</f>
        <v>1551601745965840</v>
      </c>
      <c r="C4270" t="s">
        <v>40</v>
      </c>
      <c r="D4270">
        <v>4.91594</v>
      </c>
      <c r="E4270">
        <v>0.47345470000000001</v>
      </c>
      <c r="F4270" t="s">
        <v>56</v>
      </c>
      <c r="G4270">
        <v>-409.95659999999998</v>
      </c>
      <c r="H4270" s="1">
        <v>-1.0547360000000001E-5</v>
      </c>
      <c r="I4270">
        <v>139.32069999999999</v>
      </c>
      <c r="J4270">
        <v>-287.61110000000002</v>
      </c>
      <c r="K4270">
        <v>1.1218840000000001</v>
      </c>
      <c r="L4270">
        <v>142.5335</v>
      </c>
      <c r="M4270">
        <v>-0.9996275</v>
      </c>
      <c r="N4270">
        <v>-1.278377E-2</v>
      </c>
      <c r="O4270">
        <v>2.4111759999999999E-2</v>
      </c>
      <c r="P4270">
        <v>-0.98358939999999995</v>
      </c>
      <c r="Q4270">
        <v>0.17549020000000001</v>
      </c>
      <c r="R4270">
        <v>4.1897320000000002E-2</v>
      </c>
      <c r="S4270">
        <v>-3.059418</v>
      </c>
      <c r="T4270">
        <v>-2.7971389999999999E-2</v>
      </c>
      <c r="U4270">
        <v>-7.9895019999999997E-2</v>
      </c>
      <c r="V4270">
        <v>1.7844909999999999E-2</v>
      </c>
      <c r="W4270">
        <v>0.1880898</v>
      </c>
      <c r="X4270">
        <v>0.98198969999999997</v>
      </c>
      <c r="Y4270">
        <v>-5.019829E-2</v>
      </c>
      <c r="Z4270">
        <v>-4.6258220000000002E-4</v>
      </c>
      <c r="AA4270">
        <v>0.99873920000000005</v>
      </c>
      <c r="AB4270">
        <v>36</v>
      </c>
      <c r="AC4270">
        <v>-122.34549999999901</v>
      </c>
      <c r="AD4270">
        <v>-1.1218945473599999</v>
      </c>
      <c r="AE4270">
        <v>-3.2128000000000099</v>
      </c>
      <c r="AF4270">
        <v>-6.1615545379574703</v>
      </c>
      <c r="AG4270">
        <v>-1.1218945473599999</v>
      </c>
      <c r="AH4270">
        <v>122.22218179310801</v>
      </c>
      <c r="AI4270">
        <v>90.525244246826603</v>
      </c>
      <c r="AJ4270">
        <v>92.8859937758412</v>
      </c>
      <c r="AK4270">
        <v>122.382536025232</v>
      </c>
      <c r="AL4270">
        <v>79.158671861401999</v>
      </c>
      <c r="AM4270">
        <v>88.958924411379499</v>
      </c>
      <c r="AN4270">
        <v>0.99999999229151904</v>
      </c>
    </row>
    <row r="4271" spans="1:40" x14ac:dyDescent="0.25">
      <c r="A4271" t="str">
        <f>"20190303162905994"</f>
        <v>20190303162905994</v>
      </c>
      <c r="B4271" t="str">
        <f>"1551601745986337"</f>
        <v>1551601745986337</v>
      </c>
      <c r="C4271" t="s">
        <v>40</v>
      </c>
      <c r="D4271">
        <v>5.136971</v>
      </c>
      <c r="E4271">
        <v>0.47344960000000003</v>
      </c>
      <c r="F4271" t="s">
        <v>41</v>
      </c>
      <c r="G4271">
        <v>-396.53050000000002</v>
      </c>
      <c r="H4271" s="1">
        <v>-1.488546E-6</v>
      </c>
      <c r="I4271">
        <v>139.51570000000001</v>
      </c>
      <c r="J4271">
        <v>-287.83120000000002</v>
      </c>
      <c r="K4271">
        <v>1.121885</v>
      </c>
      <c r="L4271">
        <v>142.5384</v>
      </c>
      <c r="M4271">
        <v>-0.9996389</v>
      </c>
      <c r="N4271">
        <v>-1.278193E-2</v>
      </c>
      <c r="O4271">
        <v>2.3642529999999998E-2</v>
      </c>
      <c r="P4271">
        <v>-0.98364969999999996</v>
      </c>
      <c r="Q4271">
        <v>0.17525260000000001</v>
      </c>
      <c r="R4271">
        <v>4.1473749999999997E-2</v>
      </c>
      <c r="S4271">
        <v>-3.0592959999999998</v>
      </c>
      <c r="T4271">
        <v>-3.1511190000000001E-2</v>
      </c>
      <c r="U4271">
        <v>-8.4762569999999995E-2</v>
      </c>
      <c r="V4271">
        <v>1.7880750000000001E-2</v>
      </c>
      <c r="W4271">
        <v>0.1878514</v>
      </c>
      <c r="X4271">
        <v>0.98203470000000004</v>
      </c>
      <c r="Y4271">
        <v>-5.1317410000000001E-2</v>
      </c>
      <c r="Z4271">
        <v>-5.3361550000000004E-4</v>
      </c>
      <c r="AA4271">
        <v>0.99868230000000002</v>
      </c>
      <c r="AB4271">
        <v>36</v>
      </c>
      <c r="AC4271">
        <v>-108.69929999999999</v>
      </c>
      <c r="AD4271">
        <v>-1.121886488546</v>
      </c>
      <c r="AE4271">
        <v>-3.02269999999998</v>
      </c>
      <c r="AF4271">
        <v>-5.5913958574439997</v>
      </c>
      <c r="AG4271">
        <v>-1.121886488546</v>
      </c>
      <c r="AH4271">
        <v>108.585882928725</v>
      </c>
      <c r="AI4271">
        <v>90.591163708388393</v>
      </c>
      <c r="AJ4271">
        <v>92.9477191323722</v>
      </c>
      <c r="AK4271">
        <v>108.735533788816</v>
      </c>
      <c r="AL4271">
        <v>79.172579279686502</v>
      </c>
      <c r="AM4271">
        <v>88.956881750919393</v>
      </c>
      <c r="AN4271">
        <v>1.0000000108533</v>
      </c>
    </row>
    <row r="4272" spans="1:40" x14ac:dyDescent="0.25">
      <c r="A4272" t="str">
        <f>"20190303162906015"</f>
        <v>20190303162906015</v>
      </c>
      <c r="B4272" t="str">
        <f>"1551601746005857"</f>
        <v>1551601746005857</v>
      </c>
      <c r="C4272" t="s">
        <v>40</v>
      </c>
      <c r="D4272">
        <v>5.0828089999999904</v>
      </c>
      <c r="E4272">
        <v>0.4734409</v>
      </c>
      <c r="F4272" t="s">
        <v>41</v>
      </c>
      <c r="G4272">
        <v>-395.6542</v>
      </c>
      <c r="H4272" s="1">
        <v>-1.866934E-6</v>
      </c>
      <c r="I4272">
        <v>139.5018</v>
      </c>
      <c r="J4272">
        <v>-288.17790000000002</v>
      </c>
      <c r="K4272">
        <v>1.12188</v>
      </c>
      <c r="L4272">
        <v>142.54580000000001</v>
      </c>
      <c r="M4272">
        <v>-0.99965599999999999</v>
      </c>
      <c r="N4272">
        <v>-1.2779240000000001E-2</v>
      </c>
      <c r="O4272">
        <v>2.290476E-2</v>
      </c>
      <c r="P4272">
        <v>-0.98368449999999996</v>
      </c>
      <c r="Q4272">
        <v>0.17512420000000001</v>
      </c>
      <c r="R4272">
        <v>4.1191150000000003E-2</v>
      </c>
      <c r="S4272">
        <v>-3.0591430000000002</v>
      </c>
      <c r="T4272">
        <v>-3.1830070000000002E-2</v>
      </c>
      <c r="U4272">
        <v>-8.6151119999999998E-2</v>
      </c>
      <c r="V4272">
        <v>1.8322120000000001E-2</v>
      </c>
      <c r="W4272">
        <v>0.18772130000000001</v>
      </c>
      <c r="X4272">
        <v>0.98205140000000002</v>
      </c>
      <c r="Y4272">
        <v>-5.1034639999999999E-2</v>
      </c>
      <c r="Z4272">
        <v>-5.3724969999999997E-4</v>
      </c>
      <c r="AA4272">
        <v>0.99869669999999999</v>
      </c>
      <c r="AB4272">
        <v>36</v>
      </c>
      <c r="AC4272">
        <v>-107.476299999999</v>
      </c>
      <c r="AD4272">
        <v>-1.121881866934</v>
      </c>
      <c r="AE4272">
        <v>-3.0440000000000098</v>
      </c>
      <c r="AF4272">
        <v>-5.5045218106625198</v>
      </c>
      <c r="AG4272">
        <v>-1.121881866934</v>
      </c>
      <c r="AH4272">
        <v>107.366682031758</v>
      </c>
      <c r="AI4272">
        <v>90.597880587509593</v>
      </c>
      <c r="AJ4272">
        <v>92.934895364239196</v>
      </c>
      <c r="AK4272">
        <v>107.513547005929</v>
      </c>
      <c r="AL4272">
        <v>79.180168019092093</v>
      </c>
      <c r="AM4272">
        <v>88.931157402179807</v>
      </c>
      <c r="AN4272">
        <v>0.99999996939847102</v>
      </c>
    </row>
    <row r="4273" spans="1:40" x14ac:dyDescent="0.25">
      <c r="A4273" t="str">
        <f>"20190303162906037"</f>
        <v>20190303162906037</v>
      </c>
      <c r="B4273" t="str">
        <f>"1551601746026352"</f>
        <v>1551601746026352</v>
      </c>
      <c r="C4273" t="s">
        <v>40</v>
      </c>
      <c r="D4273">
        <v>5.2033129999999996</v>
      </c>
      <c r="E4273">
        <v>0.47347850000000002</v>
      </c>
      <c r="F4273" t="s">
        <v>41</v>
      </c>
      <c r="G4273">
        <v>-396.3947</v>
      </c>
      <c r="H4273" s="1">
        <v>-1.555755E-6</v>
      </c>
      <c r="I4273">
        <v>139.46510000000001</v>
      </c>
      <c r="J4273">
        <v>-288.52550000000002</v>
      </c>
      <c r="K4273">
        <v>1.1218779999999999</v>
      </c>
      <c r="L4273">
        <v>142.553</v>
      </c>
      <c r="M4273">
        <v>-0.99967269999999997</v>
      </c>
      <c r="N4273">
        <v>-1.2776839999999999E-2</v>
      </c>
      <c r="O4273">
        <v>2.2165710000000002E-2</v>
      </c>
      <c r="P4273">
        <v>-0.98370749999999996</v>
      </c>
      <c r="Q4273">
        <v>0.1749713</v>
      </c>
      <c r="R4273">
        <v>4.1285330000000002E-2</v>
      </c>
      <c r="S4273">
        <v>-3.0590519999999999</v>
      </c>
      <c r="T4273">
        <v>-3.1713129999999999E-2</v>
      </c>
      <c r="U4273">
        <v>-8.7081909999999998E-2</v>
      </c>
      <c r="V4273">
        <v>1.9141930000000001E-2</v>
      </c>
      <c r="W4273">
        <v>0.18756809999999999</v>
      </c>
      <c r="X4273">
        <v>0.98206510000000002</v>
      </c>
      <c r="Y4273">
        <v>-5.0600859999999998E-2</v>
      </c>
      <c r="Z4273">
        <v>-5.3217049999999995E-4</v>
      </c>
      <c r="AA4273">
        <v>0.99871880000000002</v>
      </c>
      <c r="AB4273">
        <v>36</v>
      </c>
      <c r="AC4273">
        <v>-107.869199999999</v>
      </c>
      <c r="AD4273">
        <v>-1.1218795557549901</v>
      </c>
      <c r="AE4273">
        <v>-3.0878999999999901</v>
      </c>
      <c r="AF4273">
        <v>-5.4777416854769498</v>
      </c>
      <c r="AG4273">
        <v>-1.1218795557549901</v>
      </c>
      <c r="AH4273">
        <v>107.76259537350001</v>
      </c>
      <c r="AI4273">
        <v>90.595696191059304</v>
      </c>
      <c r="AJ4273">
        <v>92.909929759792703</v>
      </c>
      <c r="AK4273">
        <v>107.907558722006</v>
      </c>
      <c r="AL4273">
        <v>79.189105168552004</v>
      </c>
      <c r="AM4273">
        <v>88.883360237378</v>
      </c>
      <c r="AN4273">
        <v>1.00000003312987</v>
      </c>
    </row>
    <row r="4274" spans="1:40" x14ac:dyDescent="0.25">
      <c r="A4274" t="str">
        <f>"20190303162906057"</f>
        <v>20190303162906057</v>
      </c>
      <c r="B4274" t="str">
        <f>"1551601746045873"</f>
        <v>1551601746045873</v>
      </c>
      <c r="C4274" t="s">
        <v>40</v>
      </c>
      <c r="D4274">
        <v>5.1559210000000002</v>
      </c>
      <c r="E4274">
        <v>0.47353250000000002</v>
      </c>
      <c r="F4274" t="s">
        <v>41</v>
      </c>
      <c r="G4274">
        <v>-395.29860000000002</v>
      </c>
      <c r="H4274" s="1">
        <v>-2.0122200000000001E-6</v>
      </c>
      <c r="I4274">
        <v>139.5427</v>
      </c>
      <c r="J4274">
        <v>-288.8612</v>
      </c>
      <c r="K4274">
        <v>1.1218790000000001</v>
      </c>
      <c r="L4274">
        <v>142.5598</v>
      </c>
      <c r="M4274">
        <v>-0.99968840000000003</v>
      </c>
      <c r="N4274">
        <v>-1.277471E-2</v>
      </c>
      <c r="O4274">
        <v>2.1452059999999998E-2</v>
      </c>
      <c r="P4274">
        <v>-0.98371189999999997</v>
      </c>
      <c r="Q4274">
        <v>0.17481650000000001</v>
      </c>
      <c r="R4274">
        <v>4.1837779999999998E-2</v>
      </c>
      <c r="S4274">
        <v>-3.059021</v>
      </c>
      <c r="T4274">
        <v>-3.2141570000000001E-2</v>
      </c>
      <c r="U4274">
        <v>-8.6242680000000002E-2</v>
      </c>
      <c r="V4274">
        <v>2.0396060000000001E-2</v>
      </c>
      <c r="W4274">
        <v>0.18741350000000001</v>
      </c>
      <c r="X4274">
        <v>0.98206930000000003</v>
      </c>
      <c r="Y4274">
        <v>-4.961438E-2</v>
      </c>
      <c r="Z4274">
        <v>-5.2894930000000001E-4</v>
      </c>
      <c r="AA4274">
        <v>0.99876830000000005</v>
      </c>
      <c r="AB4274">
        <v>36</v>
      </c>
      <c r="AC4274">
        <v>-106.4374</v>
      </c>
      <c r="AD4274">
        <v>-1.12188101222</v>
      </c>
      <c r="AE4274">
        <v>-3.0170999999999899</v>
      </c>
      <c r="AF4274">
        <v>-5.2993048205158297</v>
      </c>
      <c r="AG4274">
        <v>-1.12188101222</v>
      </c>
      <c r="AH4274">
        <v>106.336369905445</v>
      </c>
      <c r="AI4274">
        <v>90.6037162945875</v>
      </c>
      <c r="AJ4274">
        <v>92.852992026578093</v>
      </c>
      <c r="AK4274">
        <v>106.47424483533</v>
      </c>
      <c r="AL4274">
        <v>79.198122266138895</v>
      </c>
      <c r="AM4274">
        <v>88.8102263433845</v>
      </c>
      <c r="AN4274">
        <v>0.99999996462413099</v>
      </c>
    </row>
    <row r="4275" spans="1:40" x14ac:dyDescent="0.25">
      <c r="A4275" t="str">
        <f>"20190303162906080"</f>
        <v>20190303162906080</v>
      </c>
      <c r="B4275" t="str">
        <f>"1551601746076128"</f>
        <v>1551601746076128</v>
      </c>
      <c r="C4275" t="s">
        <v>40</v>
      </c>
      <c r="D4275">
        <v>5.2225419999999998</v>
      </c>
      <c r="E4275">
        <v>0.47398030000000002</v>
      </c>
      <c r="F4275" t="s">
        <v>41</v>
      </c>
      <c r="G4275">
        <v>-394.25799999999998</v>
      </c>
      <c r="H4275" s="1">
        <v>-2.4608300000000002E-6</v>
      </c>
      <c r="I4275">
        <v>139.67339999999999</v>
      </c>
      <c r="J4275">
        <v>-289.22140000000002</v>
      </c>
      <c r="K4275">
        <v>1.121882</v>
      </c>
      <c r="L4275">
        <v>142.5667</v>
      </c>
      <c r="M4275">
        <v>-0.9997045</v>
      </c>
      <c r="N4275">
        <v>-1.277243E-2</v>
      </c>
      <c r="O4275">
        <v>2.0686510000000002E-2</v>
      </c>
      <c r="P4275">
        <v>-0.98379260000000002</v>
      </c>
      <c r="Q4275">
        <v>0.17436699999999999</v>
      </c>
      <c r="R4275">
        <v>4.1815869999999998E-2</v>
      </c>
      <c r="S4275">
        <v>-3.0590519999999999</v>
      </c>
      <c r="T4275">
        <v>-3.2561659999999999E-2</v>
      </c>
      <c r="U4275">
        <v>-8.3770750000000005E-2</v>
      </c>
      <c r="V4275">
        <v>2.1126180000000001E-2</v>
      </c>
      <c r="W4275">
        <v>0.1869643</v>
      </c>
      <c r="X4275">
        <v>0.98213950000000005</v>
      </c>
      <c r="Y4275">
        <v>-4.8042849999999998E-2</v>
      </c>
      <c r="Z4275">
        <v>-5.1851459999999996E-4</v>
      </c>
      <c r="AA4275">
        <v>0.99884519999999999</v>
      </c>
      <c r="AB4275">
        <v>36</v>
      </c>
      <c r="AC4275">
        <v>-105.03660000000001</v>
      </c>
      <c r="AD4275">
        <v>-1.12188446082999</v>
      </c>
      <c r="AE4275">
        <v>-2.8933</v>
      </c>
      <c r="AF4275">
        <v>-5.0651211310505202</v>
      </c>
      <c r="AG4275">
        <v>-1.12188446082999</v>
      </c>
      <c r="AH4275">
        <v>104.942299637734</v>
      </c>
      <c r="AI4275">
        <v>90.611784413566099</v>
      </c>
      <c r="AJ4275">
        <v>92.7632806093158</v>
      </c>
      <c r="AK4275">
        <v>105.07045412518001</v>
      </c>
      <c r="AL4275">
        <v>79.224322832004901</v>
      </c>
      <c r="AM4275">
        <v>88.767736849622594</v>
      </c>
      <c r="AN4275">
        <v>0.99999998120806599</v>
      </c>
    </row>
    <row r="4276" spans="1:40" x14ac:dyDescent="0.25">
      <c r="A4276" t="str">
        <f>"20190303162906104"</f>
        <v>20190303162906104</v>
      </c>
      <c r="B4276" t="str">
        <f>"1551601746095648"</f>
        <v>1551601746095648</v>
      </c>
      <c r="C4276" t="s">
        <v>40</v>
      </c>
      <c r="D4276">
        <v>5.1081729999999999</v>
      </c>
      <c r="E4276">
        <v>0.52435900000000002</v>
      </c>
      <c r="F4276" t="s">
        <v>41</v>
      </c>
      <c r="G4276">
        <v>-383.12279999999998</v>
      </c>
      <c r="H4276" s="1">
        <v>-3.0631599999999999E-6</v>
      </c>
      <c r="I4276">
        <v>140.10679999999999</v>
      </c>
      <c r="J4276">
        <v>-289.60809999999998</v>
      </c>
      <c r="K4276">
        <v>1.1218859999999999</v>
      </c>
      <c r="L4276">
        <v>142.57390000000001</v>
      </c>
      <c r="M4276">
        <v>-0.99972119999999998</v>
      </c>
      <c r="N4276">
        <v>-1.277026E-2</v>
      </c>
      <c r="O4276">
        <v>1.9864340000000001E-2</v>
      </c>
      <c r="P4276">
        <v>-0.98385180000000005</v>
      </c>
      <c r="Q4276">
        <v>0.17418829999999999</v>
      </c>
      <c r="R4276">
        <v>4.1162329999999997E-2</v>
      </c>
      <c r="S4276">
        <v>-3.0592649999999999</v>
      </c>
      <c r="T4276">
        <v>-3.6550520000000003E-2</v>
      </c>
      <c r="U4276">
        <v>-8.0139160000000001E-2</v>
      </c>
      <c r="V4276">
        <v>2.1280739999999999E-2</v>
      </c>
      <c r="W4276">
        <v>0.18678349999999999</v>
      </c>
      <c r="X4276">
        <v>0.9821706</v>
      </c>
      <c r="Y4276">
        <v>-4.6033749999999998E-2</v>
      </c>
      <c r="Z4276">
        <v>-5.5259969999999999E-4</v>
      </c>
      <c r="AA4276">
        <v>0.99893980000000004</v>
      </c>
      <c r="AB4276">
        <v>36</v>
      </c>
      <c r="AC4276">
        <v>-93.514700000000005</v>
      </c>
      <c r="AD4276">
        <v>-1.12188906316</v>
      </c>
      <c r="AE4276">
        <v>-2.4671000000000101</v>
      </c>
      <c r="AF4276">
        <v>-4.32375039980686</v>
      </c>
      <c r="AG4276">
        <v>-1.12188906316</v>
      </c>
      <c r="AH4276">
        <v>93.433795565683397</v>
      </c>
      <c r="AI4276">
        <v>90.687200095244805</v>
      </c>
      <c r="AJ4276">
        <v>92.649534219303504</v>
      </c>
      <c r="AK4276">
        <v>93.540513182255907</v>
      </c>
      <c r="AL4276">
        <v>79.234868053879893</v>
      </c>
      <c r="AM4276">
        <v>88.758763664331099</v>
      </c>
      <c r="AN4276">
        <v>1.0000000166357701</v>
      </c>
    </row>
    <row r="4277" spans="1:40" x14ac:dyDescent="0.25">
      <c r="A4277" t="str">
        <f>"20190303162906117"</f>
        <v>20190303162906117</v>
      </c>
      <c r="B4277" t="str">
        <f>"1551601746106384"</f>
        <v>1551601746106384</v>
      </c>
      <c r="C4277" t="s">
        <v>40</v>
      </c>
      <c r="D4277">
        <v>5.1150399999999996</v>
      </c>
      <c r="E4277">
        <v>0.5283175</v>
      </c>
      <c r="F4277" t="s">
        <v>44</v>
      </c>
      <c r="G4277">
        <v>-290.61160000000001</v>
      </c>
      <c r="H4277">
        <v>0.97591499999999998</v>
      </c>
      <c r="I4277">
        <v>142.6773</v>
      </c>
      <c r="J4277">
        <v>-289.82089999999999</v>
      </c>
      <c r="K4277">
        <v>1.121891</v>
      </c>
      <c r="L4277">
        <v>142.57759999999999</v>
      </c>
      <c r="M4277">
        <v>-0.99973020000000001</v>
      </c>
      <c r="N4277">
        <v>-1.276916E-2</v>
      </c>
      <c r="O4277">
        <v>1.941155E-2</v>
      </c>
      <c r="P4277">
        <v>-0.98382769999999997</v>
      </c>
      <c r="Q4277">
        <v>0.17445920000000001</v>
      </c>
      <c r="R4277">
        <v>4.0588579999999999E-2</v>
      </c>
      <c r="S4277">
        <v>-3.1160580000000002</v>
      </c>
      <c r="T4277">
        <v>-0.45331280000000002</v>
      </c>
      <c r="U4277">
        <v>0.32064819999999999</v>
      </c>
      <c r="V4277">
        <v>2.115293E-2</v>
      </c>
      <c r="W4277">
        <v>0.18705289999999999</v>
      </c>
      <c r="X4277">
        <v>0.9821221</v>
      </c>
      <c r="Y4277">
        <v>8.226588E-2</v>
      </c>
      <c r="Z4277">
        <v>3.9118130000000001E-3</v>
      </c>
      <c r="AA4277">
        <v>0.99660269999999995</v>
      </c>
      <c r="AB4277">
        <v>36</v>
      </c>
      <c r="AC4277">
        <v>-0.79070000000001495</v>
      </c>
      <c r="AD4277">
        <v>-0.14597599999999999</v>
      </c>
      <c r="AE4277">
        <v>9.9700000000012695E-2</v>
      </c>
      <c r="AF4277">
        <v>8.1593800284941995E-2</v>
      </c>
      <c r="AG4277">
        <v>-0.14597599999999999</v>
      </c>
      <c r="AH4277">
        <v>0.76676183160987099</v>
      </c>
      <c r="AI4277">
        <v>100.719861015858</v>
      </c>
      <c r="AJ4277">
        <v>83.925815157857301</v>
      </c>
      <c r="AK4277">
        <v>0.78478675271354004</v>
      </c>
      <c r="AL4277">
        <v>79.219155755953295</v>
      </c>
      <c r="AM4277">
        <v>88.766155185674293</v>
      </c>
      <c r="AN4277">
        <v>1.0000000265772</v>
      </c>
    </row>
    <row r="4278" spans="1:40" x14ac:dyDescent="0.25">
      <c r="A4278" t="str">
        <f>"20190303162906131"</f>
        <v>20190303162906131</v>
      </c>
      <c r="B4278" t="str">
        <f>"1551601746125905"</f>
        <v>1551601746125905</v>
      </c>
      <c r="C4278" t="s">
        <v>40</v>
      </c>
      <c r="D4278">
        <v>5.08514</v>
      </c>
      <c r="E4278">
        <v>0.53088489999999999</v>
      </c>
      <c r="F4278" t="s">
        <v>44</v>
      </c>
      <c r="G4278">
        <v>-290.6182</v>
      </c>
      <c r="H4278">
        <v>0.98903810000000003</v>
      </c>
      <c r="I4278">
        <v>142.66739999999999</v>
      </c>
      <c r="J4278">
        <v>-290.05770000000001</v>
      </c>
      <c r="K4278">
        <v>1.1218950000000001</v>
      </c>
      <c r="L4278">
        <v>142.58170000000001</v>
      </c>
      <c r="M4278">
        <v>-0.99973970000000001</v>
      </c>
      <c r="N4278">
        <v>-1.276796E-2</v>
      </c>
      <c r="O4278">
        <v>1.890785E-2</v>
      </c>
      <c r="P4278">
        <v>-0.98376490000000005</v>
      </c>
      <c r="Q4278">
        <v>0.17492959999999999</v>
      </c>
      <c r="R4278">
        <v>4.0080820000000003E-2</v>
      </c>
      <c r="S4278">
        <v>-3.1272579999999999</v>
      </c>
      <c r="T4278">
        <v>-0.52111819999999998</v>
      </c>
      <c r="U4278">
        <v>0.35150150000000002</v>
      </c>
      <c r="V4278">
        <v>2.1141420000000001E-2</v>
      </c>
      <c r="W4278">
        <v>0.18752079999999999</v>
      </c>
      <c r="X4278">
        <v>0.98203309999999999</v>
      </c>
      <c r="Y4278">
        <v>9.1757329999999998E-2</v>
      </c>
      <c r="Z4278">
        <v>5.2819529999999998E-3</v>
      </c>
      <c r="AA4278">
        <v>0.99576739999999997</v>
      </c>
      <c r="AB4278">
        <v>36</v>
      </c>
      <c r="AC4278">
        <v>-0.56049999999999001</v>
      </c>
      <c r="AD4278">
        <v>-0.1328569</v>
      </c>
      <c r="AE4278">
        <v>8.5699999999974297E-2</v>
      </c>
      <c r="AF4278">
        <v>7.1178203196406206E-2</v>
      </c>
      <c r="AG4278">
        <v>-0.1328569</v>
      </c>
      <c r="AH4278">
        <v>0.53277063748767794</v>
      </c>
      <c r="AI4278">
        <v>103.88372988932601</v>
      </c>
      <c r="AJ4278">
        <v>82.390340298343801</v>
      </c>
      <c r="AK4278">
        <v>0.553680272952637</v>
      </c>
      <c r="AL4278">
        <v>79.191863959665994</v>
      </c>
      <c r="AM4278">
        <v>88.766714627629398</v>
      </c>
      <c r="AN4278">
        <v>1.0000000097839301</v>
      </c>
    </row>
    <row r="4279" spans="1:40" x14ac:dyDescent="0.25">
      <c r="A4279" t="str">
        <f>"20190303162906147"</f>
        <v>20190303162906147</v>
      </c>
      <c r="B4279" t="str">
        <f>"1551601746135664"</f>
        <v>1551601746135664</v>
      </c>
      <c r="C4279" t="s">
        <v>40</v>
      </c>
      <c r="D4279">
        <v>5.1002890000000001</v>
      </c>
      <c r="E4279">
        <v>0.53122630000000004</v>
      </c>
      <c r="F4279" t="s">
        <v>44</v>
      </c>
      <c r="G4279">
        <v>-290.91969999999998</v>
      </c>
      <c r="H4279">
        <v>0.94940869999999999</v>
      </c>
      <c r="I4279">
        <v>142.68360000000001</v>
      </c>
      <c r="J4279">
        <v>-290.29320000000001</v>
      </c>
      <c r="K4279">
        <v>1.121899</v>
      </c>
      <c r="L4279">
        <v>142.5857</v>
      </c>
      <c r="M4279">
        <v>-0.999749</v>
      </c>
      <c r="N4279">
        <v>-1.276681E-2</v>
      </c>
      <c r="O4279">
        <v>1.8406840000000001E-2</v>
      </c>
      <c r="P4279">
        <v>-0.98361659999999995</v>
      </c>
      <c r="Q4279">
        <v>0.1760765</v>
      </c>
      <c r="R4279">
        <v>3.8669820000000001E-2</v>
      </c>
      <c r="S4279">
        <v>-3.1463619999999999</v>
      </c>
      <c r="T4279">
        <v>-0.62967099999999998</v>
      </c>
      <c r="U4279">
        <v>0.37124629999999997</v>
      </c>
      <c r="V4279">
        <v>2.0224389999999998E-2</v>
      </c>
      <c r="W4279">
        <v>0.1886631</v>
      </c>
      <c r="X4279">
        <v>0.98183359999999997</v>
      </c>
      <c r="Y4279">
        <v>9.7168820000000003E-2</v>
      </c>
      <c r="Z4279">
        <v>6.8220800000000003E-3</v>
      </c>
      <c r="AA4279">
        <v>0.99524449999999998</v>
      </c>
      <c r="AB4279">
        <v>36</v>
      </c>
      <c r="AC4279">
        <v>-0.62649999999996397</v>
      </c>
      <c r="AD4279">
        <v>-0.17249030000000001</v>
      </c>
      <c r="AE4279">
        <v>9.7900000000009799E-2</v>
      </c>
      <c r="AF4279">
        <v>8.0401198227046305E-2</v>
      </c>
      <c r="AG4279">
        <v>-0.17249030000000001</v>
      </c>
      <c r="AH4279">
        <v>0.58491453727684495</v>
      </c>
      <c r="AI4279">
        <v>106.285784233778</v>
      </c>
      <c r="AJ4279">
        <v>82.173283758489106</v>
      </c>
      <c r="AK4279">
        <v>0.61509533585308596</v>
      </c>
      <c r="AL4279">
        <v>79.125225530914506</v>
      </c>
      <c r="AM4279">
        <v>88.819954478895397</v>
      </c>
      <c r="AN4279">
        <v>1.00000000467072</v>
      </c>
    </row>
    <row r="4280" spans="1:40" x14ac:dyDescent="0.25">
      <c r="A4280" t="str">
        <f>"20190303162906161"</f>
        <v>20190303162906161</v>
      </c>
      <c r="B4280" t="str">
        <f>"1551601746156160"</f>
        <v>1551601746156160</v>
      </c>
      <c r="C4280" t="s">
        <v>40</v>
      </c>
      <c r="D4280">
        <v>5.1098439999999998</v>
      </c>
      <c r="E4280">
        <v>0.53129510000000002</v>
      </c>
      <c r="F4280" t="s">
        <v>44</v>
      </c>
      <c r="G4280">
        <v>-291.2303</v>
      </c>
      <c r="H4280">
        <v>0.92759219999999998</v>
      </c>
      <c r="I4280">
        <v>142.6953</v>
      </c>
      <c r="J4280">
        <v>-290.52330000000001</v>
      </c>
      <c r="K4280">
        <v>1.121902</v>
      </c>
      <c r="L4280">
        <v>142.58949999999999</v>
      </c>
      <c r="M4280">
        <v>-0.99975809999999998</v>
      </c>
      <c r="N4280">
        <v>-1.2765749999999999E-2</v>
      </c>
      <c r="O4280">
        <v>1.7916729999999999E-2</v>
      </c>
      <c r="P4280">
        <v>-0.98349770000000003</v>
      </c>
      <c r="Q4280">
        <v>0.17688400000000001</v>
      </c>
      <c r="R4280">
        <v>3.8008350000000003E-2</v>
      </c>
      <c r="S4280">
        <v>-3.1524960000000002</v>
      </c>
      <c r="T4280">
        <v>-0.65363909999999903</v>
      </c>
      <c r="U4280">
        <v>0.36868289999999998</v>
      </c>
      <c r="V4280">
        <v>2.0046189999999998E-2</v>
      </c>
      <c r="W4280">
        <v>0.18946660000000001</v>
      </c>
      <c r="X4280">
        <v>0.98168250000000001</v>
      </c>
      <c r="Y4280">
        <v>9.6520060000000005E-2</v>
      </c>
      <c r="Z4280">
        <v>7.0565799999999998E-3</v>
      </c>
      <c r="AA4280">
        <v>0.99530600000000002</v>
      </c>
      <c r="AB4280">
        <v>36</v>
      </c>
      <c r="AC4280">
        <v>-0.70699999999999297</v>
      </c>
      <c r="AD4280">
        <v>-0.1943098</v>
      </c>
      <c r="AE4280">
        <v>0.10580000000001601</v>
      </c>
      <c r="AF4280">
        <v>8.6708734817658006E-2</v>
      </c>
      <c r="AG4280">
        <v>-0.1943098</v>
      </c>
      <c r="AH4280">
        <v>0.66001940193622399</v>
      </c>
      <c r="AI4280">
        <v>106.272104857632</v>
      </c>
      <c r="AJ4280">
        <v>82.515741262866797</v>
      </c>
      <c r="AK4280">
        <v>0.69346976430264695</v>
      </c>
      <c r="AL4280">
        <v>79.0783426220504</v>
      </c>
      <c r="AM4280">
        <v>88.830169145893393</v>
      </c>
      <c r="AN4280">
        <v>0.99999998652766298</v>
      </c>
    </row>
    <row r="4281" spans="1:40" x14ac:dyDescent="0.25">
      <c r="A4281" t="str">
        <f>"20190303162906181"</f>
        <v>20190303162906181</v>
      </c>
      <c r="B4281" t="str">
        <f>"1551601746175680"</f>
        <v>1551601746175680</v>
      </c>
      <c r="C4281" t="s">
        <v>40</v>
      </c>
      <c r="D4281">
        <v>5.1267899999999997</v>
      </c>
      <c r="E4281">
        <v>0.53119369999999999</v>
      </c>
      <c r="F4281" t="s">
        <v>44</v>
      </c>
      <c r="G4281">
        <v>-291.24829999999997</v>
      </c>
      <c r="H4281">
        <v>0.96465179999999995</v>
      </c>
      <c r="I4281">
        <v>142.6737</v>
      </c>
      <c r="J4281">
        <v>-290.85419999999999</v>
      </c>
      <c r="K4281">
        <v>1.1219030000000001</v>
      </c>
      <c r="L4281">
        <v>142.59469999999999</v>
      </c>
      <c r="M4281">
        <v>-0.99977050000000001</v>
      </c>
      <c r="N4281">
        <v>-1.276416E-2</v>
      </c>
      <c r="O4281">
        <v>1.721284E-2</v>
      </c>
      <c r="P4281">
        <v>-0.98339869999999996</v>
      </c>
      <c r="Q4281">
        <v>0.1777253</v>
      </c>
      <c r="R4281">
        <v>3.6618089999999999E-2</v>
      </c>
      <c r="S4281">
        <v>-3.1593930000000001</v>
      </c>
      <c r="T4281">
        <v>-0.68524629999999997</v>
      </c>
      <c r="U4281">
        <v>0.36689759999999999</v>
      </c>
      <c r="V4281">
        <v>1.9349069999999999E-2</v>
      </c>
      <c r="W4281">
        <v>0.19030359999999999</v>
      </c>
      <c r="X4281">
        <v>0.98153460000000003</v>
      </c>
      <c r="Y4281">
        <v>9.624547E-2</v>
      </c>
      <c r="Z4281">
        <v>7.4470769999999999E-3</v>
      </c>
      <c r="AA4281">
        <v>0.99532980000000004</v>
      </c>
      <c r="AB4281">
        <v>36</v>
      </c>
      <c r="AC4281">
        <v>-0.39409999999998002</v>
      </c>
      <c r="AD4281">
        <v>-0.15725120000000001</v>
      </c>
      <c r="AE4281">
        <v>7.9000000000007703E-2</v>
      </c>
      <c r="AF4281">
        <v>6.2619535480825494E-2</v>
      </c>
      <c r="AG4281">
        <v>-0.15725120000000001</v>
      </c>
      <c r="AH4281">
        <v>0.34291458216401</v>
      </c>
      <c r="AI4281">
        <v>114.280741016254</v>
      </c>
      <c r="AJ4281">
        <v>79.6512591720779</v>
      </c>
      <c r="AK4281">
        <v>0.38241280939057398</v>
      </c>
      <c r="AL4281">
        <v>79.029497625347801</v>
      </c>
      <c r="AM4281">
        <v>88.870669993001201</v>
      </c>
      <c r="AN4281">
        <v>1.0000000088399901</v>
      </c>
    </row>
    <row r="4282" spans="1:40" x14ac:dyDescent="0.25">
      <c r="A4282" t="str">
        <f>"20190303162906205"</f>
        <v>20190303162906205</v>
      </c>
      <c r="B4282" t="str">
        <f>"1551601746196177"</f>
        <v>1551601746196177</v>
      </c>
      <c r="C4282" t="s">
        <v>40</v>
      </c>
      <c r="D4282">
        <v>5.126741</v>
      </c>
      <c r="E4282">
        <v>0.53118710000000002</v>
      </c>
      <c r="F4282" t="s">
        <v>44</v>
      </c>
      <c r="G4282">
        <v>-291.56880000000001</v>
      </c>
      <c r="H4282">
        <v>0.96370940000000005</v>
      </c>
      <c r="I4282">
        <v>142.67689999999999</v>
      </c>
      <c r="J4282">
        <v>-291.22590000000002</v>
      </c>
      <c r="K4282">
        <v>1.121909</v>
      </c>
      <c r="L4282">
        <v>142.6003</v>
      </c>
      <c r="M4282">
        <v>-0.99978370000000005</v>
      </c>
      <c r="N4282">
        <v>-1.2762580000000001E-2</v>
      </c>
      <c r="O4282">
        <v>1.6422050000000001E-2</v>
      </c>
      <c r="P4282">
        <v>-0.98334809999999995</v>
      </c>
      <c r="Q4282">
        <v>0.17832979999999901</v>
      </c>
      <c r="R4282">
        <v>3.5001200000000003E-2</v>
      </c>
      <c r="S4282">
        <v>-3.1636660000000001</v>
      </c>
      <c r="T4282">
        <v>-0.70043580000000005</v>
      </c>
      <c r="U4282">
        <v>0.3625641</v>
      </c>
      <c r="V4282">
        <v>1.851038E-2</v>
      </c>
      <c r="W4282">
        <v>0.19090370000000001</v>
      </c>
      <c r="X4282">
        <v>0.98143420000000003</v>
      </c>
      <c r="Y4282">
        <v>9.5456750000000007E-2</v>
      </c>
      <c r="Z4282">
        <v>7.6531109999999998E-3</v>
      </c>
      <c r="AA4282">
        <v>0.99540419999999996</v>
      </c>
      <c r="AB4282">
        <v>36</v>
      </c>
      <c r="AC4282">
        <v>-0.34289999999998599</v>
      </c>
      <c r="AD4282">
        <v>-0.1581996</v>
      </c>
      <c r="AE4282">
        <v>7.6599999999984902E-2</v>
      </c>
      <c r="AF4282">
        <v>5.8997320354559901E-2</v>
      </c>
      <c r="AG4282">
        <v>-0.1581996</v>
      </c>
      <c r="AH4282">
        <v>0.28610794585073102</v>
      </c>
      <c r="AI4282">
        <v>118.43745470859299</v>
      </c>
      <c r="AJ4282">
        <v>78.348549678151699</v>
      </c>
      <c r="AK4282">
        <v>0.33221311522590902</v>
      </c>
      <c r="AL4282">
        <v>78.994471910734106</v>
      </c>
      <c r="AM4282">
        <v>88.919498705984793</v>
      </c>
      <c r="AN4282">
        <v>0.99999997288553599</v>
      </c>
    </row>
    <row r="4283" spans="1:40" x14ac:dyDescent="0.25">
      <c r="A4283" t="str">
        <f>"20190303162906227"</f>
        <v>20190303162906227</v>
      </c>
      <c r="B4283" t="str">
        <f>"1551601746215696"</f>
        <v>1551601746215696</v>
      </c>
      <c r="C4283" t="s">
        <v>40</v>
      </c>
      <c r="D4283">
        <v>5.1669229999999997</v>
      </c>
      <c r="E4283">
        <v>0.53071499999999905</v>
      </c>
      <c r="F4283" t="s">
        <v>44</v>
      </c>
      <c r="G4283">
        <v>-292.18400000000003</v>
      </c>
      <c r="H4283">
        <v>0.90860209999999997</v>
      </c>
      <c r="I4283">
        <v>142.709</v>
      </c>
      <c r="J4283">
        <v>-291.57889999999998</v>
      </c>
      <c r="K4283">
        <v>1.1219140000000001</v>
      </c>
      <c r="L4283">
        <v>142.6053</v>
      </c>
      <c r="M4283">
        <v>-0.99979589999999996</v>
      </c>
      <c r="N4283">
        <v>-1.276121E-2</v>
      </c>
      <c r="O4283">
        <v>1.567089E-2</v>
      </c>
      <c r="P4283">
        <v>-0.9831934</v>
      </c>
      <c r="Q4283">
        <v>0.17946300000000001</v>
      </c>
      <c r="R4283">
        <v>3.3526309999999997E-2</v>
      </c>
      <c r="S4283">
        <v>-3.1658629999999999</v>
      </c>
      <c r="T4283">
        <v>-0.70491619999999899</v>
      </c>
      <c r="U4283">
        <v>0.3587341</v>
      </c>
      <c r="V4283">
        <v>1.777511E-2</v>
      </c>
      <c r="W4283">
        <v>0.1920316</v>
      </c>
      <c r="X4283">
        <v>0.98122779999999998</v>
      </c>
      <c r="Y4283">
        <v>9.49126E-2</v>
      </c>
      <c r="Z4283">
        <v>7.783496E-3</v>
      </c>
      <c r="AA4283">
        <v>0.99545519999999998</v>
      </c>
      <c r="AB4283">
        <v>36</v>
      </c>
      <c r="AC4283">
        <v>-0.60510000000004904</v>
      </c>
      <c r="AD4283">
        <v>-0.213311899999999</v>
      </c>
      <c r="AE4283">
        <v>0.103700000000003</v>
      </c>
      <c r="AF4283">
        <v>8.4056186992755799E-2</v>
      </c>
      <c r="AG4283">
        <v>-0.213311899999999</v>
      </c>
      <c r="AH4283">
        <v>0.54130122000439995</v>
      </c>
      <c r="AI4283">
        <v>111.276209478832</v>
      </c>
      <c r="AJ4283">
        <v>81.173298045955804</v>
      </c>
      <c r="AK4283">
        <v>0.58785578166045405</v>
      </c>
      <c r="AL4283">
        <v>78.928630629099899</v>
      </c>
      <c r="AM4283">
        <v>88.962190633127307</v>
      </c>
      <c r="AN4283">
        <v>1.0000000427134501</v>
      </c>
    </row>
    <row r="4284" spans="1:40" x14ac:dyDescent="0.25">
      <c r="A4284" t="str">
        <f>"20190303162906248"</f>
        <v>20190303162906248</v>
      </c>
      <c r="B4284" t="str">
        <f>"1551601746236193"</f>
        <v>1551601746236193</v>
      </c>
      <c r="C4284" t="s">
        <v>40</v>
      </c>
      <c r="D4284">
        <v>5.1644629999999996</v>
      </c>
      <c r="E4284">
        <v>0.52971069999999998</v>
      </c>
      <c r="F4284" t="s">
        <v>44</v>
      </c>
      <c r="G4284">
        <v>-292.50709999999998</v>
      </c>
      <c r="H4284">
        <v>0.91393590000000002</v>
      </c>
      <c r="I4284">
        <v>142.708</v>
      </c>
      <c r="J4284">
        <v>-291.9212</v>
      </c>
      <c r="K4284">
        <v>1.121915</v>
      </c>
      <c r="L4284">
        <v>142.60990000000001</v>
      </c>
      <c r="M4284">
        <v>-0.999807</v>
      </c>
      <c r="N4284">
        <v>-1.2759950000000001E-2</v>
      </c>
      <c r="O4284">
        <v>1.494208E-2</v>
      </c>
      <c r="P4284">
        <v>-0.98302750000000005</v>
      </c>
      <c r="Q4284">
        <v>0.18042920000000001</v>
      </c>
      <c r="R4284">
        <v>3.3201050000000003E-2</v>
      </c>
      <c r="S4284">
        <v>-3.1689150000000001</v>
      </c>
      <c r="T4284">
        <v>-0.7100455</v>
      </c>
      <c r="U4284">
        <v>0.35050959999999998</v>
      </c>
      <c r="V4284">
        <v>1.816781E-2</v>
      </c>
      <c r="W4284">
        <v>0.1929951</v>
      </c>
      <c r="X4284">
        <v>0.98103149999999995</v>
      </c>
      <c r="Y4284">
        <v>9.2987249999999994E-2</v>
      </c>
      <c r="Z4284">
        <v>7.753991E-3</v>
      </c>
      <c r="AA4284">
        <v>0.99563710000000005</v>
      </c>
      <c r="AB4284">
        <v>36</v>
      </c>
      <c r="AC4284">
        <v>-0.58589999999997999</v>
      </c>
      <c r="AD4284">
        <v>-0.2079791</v>
      </c>
      <c r="AE4284">
        <v>9.8099999999988002E-2</v>
      </c>
      <c r="AF4284">
        <v>7.9579675894977206E-2</v>
      </c>
      <c r="AG4284">
        <v>-0.2079791</v>
      </c>
      <c r="AH4284">
        <v>0.52317488768458698</v>
      </c>
      <c r="AI4284">
        <v>111.455424935457</v>
      </c>
      <c r="AJ4284">
        <v>81.351086149178101</v>
      </c>
      <c r="AK4284">
        <v>0.56859492959059998</v>
      </c>
      <c r="AL4284">
        <v>78.872373242537805</v>
      </c>
      <c r="AM4284">
        <v>88.939055614927597</v>
      </c>
      <c r="AN4284">
        <v>0.999999990968228</v>
      </c>
    </row>
    <row r="4285" spans="1:40" x14ac:dyDescent="0.25">
      <c r="A4285" t="str">
        <f>"20190303162906271"</f>
        <v>20190303162906271</v>
      </c>
      <c r="B4285" t="str">
        <f>"1551601746266449"</f>
        <v>1551601746266449</v>
      </c>
      <c r="C4285" t="s">
        <v>40</v>
      </c>
      <c r="D4285">
        <v>5.3097219999999998</v>
      </c>
      <c r="E4285">
        <v>0.48880479999999998</v>
      </c>
      <c r="F4285" t="s">
        <v>44</v>
      </c>
      <c r="G4285">
        <v>-292.8306</v>
      </c>
      <c r="H4285">
        <v>0.9199889</v>
      </c>
      <c r="I4285">
        <v>142.70779999999999</v>
      </c>
      <c r="J4285">
        <v>-292.28629999999998</v>
      </c>
      <c r="K4285">
        <v>1.1219129999999999</v>
      </c>
      <c r="L4285">
        <v>142.6146</v>
      </c>
      <c r="M4285">
        <v>-0.9998184</v>
      </c>
      <c r="N4285">
        <v>-1.27586E-2</v>
      </c>
      <c r="O4285">
        <v>1.416477E-2</v>
      </c>
      <c r="P4285">
        <v>-0.98305260000000005</v>
      </c>
      <c r="Q4285">
        <v>0.1804084</v>
      </c>
      <c r="R4285">
        <v>3.2564219999999998E-2</v>
      </c>
      <c r="S4285">
        <v>-3.1695250000000001</v>
      </c>
      <c r="T4285">
        <v>-0.70383260000000003</v>
      </c>
      <c r="U4285">
        <v>0.34022520000000001</v>
      </c>
      <c r="V4285">
        <v>1.8295289999999999E-2</v>
      </c>
      <c r="W4285">
        <v>0.19297310000000001</v>
      </c>
      <c r="X4285">
        <v>0.98103340000000006</v>
      </c>
      <c r="Y4285">
        <v>9.0625230000000001E-2</v>
      </c>
      <c r="Z4285">
        <v>7.5806340000000002E-3</v>
      </c>
      <c r="AA4285">
        <v>0.99585619999999997</v>
      </c>
      <c r="AB4285">
        <v>36</v>
      </c>
      <c r="AC4285">
        <v>-0.54430000000002099</v>
      </c>
      <c r="AD4285">
        <v>-0.201924099999999</v>
      </c>
      <c r="AE4285">
        <v>9.3199999999995897E-2</v>
      </c>
      <c r="AF4285">
        <v>7.5398886532545104E-2</v>
      </c>
      <c r="AG4285">
        <v>-0.201924099999999</v>
      </c>
      <c r="AH4285">
        <v>0.48122340124353202</v>
      </c>
      <c r="AI4285">
        <v>112.516362863501</v>
      </c>
      <c r="AJ4285">
        <v>81.095198966030907</v>
      </c>
      <c r="AK4285">
        <v>0.52728957523883502</v>
      </c>
      <c r="AL4285">
        <v>78.873657250542607</v>
      </c>
      <c r="AM4285">
        <v>88.9316149621188</v>
      </c>
      <c r="AN4285">
        <v>0.99999993343767402</v>
      </c>
    </row>
    <row r="4286" spans="1:40" x14ac:dyDescent="0.25">
      <c r="A4286" t="str">
        <f>"20190303162906293"</f>
        <v>20190303162906293</v>
      </c>
      <c r="B4286" t="str">
        <f>"1551601746285969"</f>
        <v>1551601746285969</v>
      </c>
      <c r="C4286" t="s">
        <v>40</v>
      </c>
      <c r="D4286">
        <v>5.3685890000000001</v>
      </c>
      <c r="E4286">
        <v>0.48495840000000001</v>
      </c>
      <c r="F4286" t="s">
        <v>44</v>
      </c>
      <c r="G4286">
        <v>-293.20699999999999</v>
      </c>
      <c r="H4286">
        <v>1.0290549999999901</v>
      </c>
      <c r="I4286">
        <v>142.61799999999999</v>
      </c>
      <c r="J4286">
        <v>-292.649</v>
      </c>
      <c r="K4286">
        <v>1.121909</v>
      </c>
      <c r="L4286">
        <v>142.619</v>
      </c>
      <c r="M4286">
        <v>-0.99982910000000003</v>
      </c>
      <c r="N4286">
        <v>-1.2757269999999999E-2</v>
      </c>
      <c r="O4286">
        <v>1.339269E-2</v>
      </c>
      <c r="P4286">
        <v>-0.9831088</v>
      </c>
      <c r="Q4286">
        <v>0.18014830000000001</v>
      </c>
      <c r="R4286">
        <v>3.2316610000000003E-2</v>
      </c>
      <c r="S4286">
        <v>-3.1089169999999999</v>
      </c>
      <c r="T4286">
        <v>-0.31364370000000003</v>
      </c>
      <c r="U4286">
        <v>1.0925290000000001E-2</v>
      </c>
      <c r="V4286">
        <v>1.88071E-2</v>
      </c>
      <c r="W4286">
        <v>0.19271340000000001</v>
      </c>
      <c r="X4286">
        <v>0.98107480000000002</v>
      </c>
      <c r="Y4286">
        <v>-9.772078E-3</v>
      </c>
      <c r="Z4286">
        <v>-1.731366E-3</v>
      </c>
      <c r="AA4286">
        <v>0.99995080000000003</v>
      </c>
      <c r="AB4286">
        <v>36</v>
      </c>
      <c r="AC4286">
        <v>-0.55799999999999195</v>
      </c>
      <c r="AD4286">
        <v>-9.28540000000002E-2</v>
      </c>
      <c r="AE4286">
        <v>-1.0000000000047701E-3</v>
      </c>
      <c r="AF4286">
        <v>-8.2453208402840997E-3</v>
      </c>
      <c r="AG4286">
        <v>-9.28540000000002E-2</v>
      </c>
      <c r="AH4286">
        <v>0.542903268019584</v>
      </c>
      <c r="AI4286">
        <v>99.704423303663802</v>
      </c>
      <c r="AJ4286">
        <v>90.870110376832699</v>
      </c>
      <c r="AK4286">
        <v>0.55084826318878699</v>
      </c>
      <c r="AL4286">
        <v>78.888821932549902</v>
      </c>
      <c r="AM4286">
        <v>88.901780488695294</v>
      </c>
      <c r="AN4286">
        <v>0.99999996237250399</v>
      </c>
    </row>
    <row r="4287" spans="1:40" x14ac:dyDescent="0.25">
      <c r="A4287" t="str">
        <f>"20190303162906307"</f>
        <v>20190303162906307</v>
      </c>
      <c r="B4287" t="str">
        <f>"1551601746295728"</f>
        <v>1551601746295728</v>
      </c>
      <c r="C4287" t="s">
        <v>40</v>
      </c>
      <c r="D4287">
        <v>5.1096919999999999</v>
      </c>
      <c r="E4287">
        <v>0.4841838</v>
      </c>
      <c r="F4287" t="s">
        <v>56</v>
      </c>
      <c r="G4287">
        <v>-305.78960000000001</v>
      </c>
      <c r="H4287" s="1">
        <v>-9.7545469999999998E-6</v>
      </c>
      <c r="I4287">
        <v>142.52959999999999</v>
      </c>
      <c r="J4287">
        <v>-292.86669999999998</v>
      </c>
      <c r="K4287">
        <v>1.121909</v>
      </c>
      <c r="L4287">
        <v>142.62139999999999</v>
      </c>
      <c r="M4287">
        <v>-0.99983509999999998</v>
      </c>
      <c r="N4287">
        <v>-1.275655E-2</v>
      </c>
      <c r="O4287">
        <v>1.292947E-2</v>
      </c>
      <c r="P4287">
        <v>-0.98314760000000001</v>
      </c>
      <c r="Q4287">
        <v>0.1799287</v>
      </c>
      <c r="R4287">
        <v>3.2352680000000002E-2</v>
      </c>
      <c r="S4287">
        <v>-3.1007690000000001</v>
      </c>
      <c r="T4287">
        <v>-0.26473799999999997</v>
      </c>
      <c r="U4287">
        <v>-2.1087649999999999E-2</v>
      </c>
      <c r="V4287">
        <v>1.9298719999999998E-2</v>
      </c>
      <c r="W4287">
        <v>0.19249440000000001</v>
      </c>
      <c r="X4287">
        <v>0.98110819999999999</v>
      </c>
      <c r="Y4287">
        <v>-1.961419E-2</v>
      </c>
      <c r="Z4287">
        <v>-1.898334E-3</v>
      </c>
      <c r="AA4287">
        <v>0.99980579999999997</v>
      </c>
      <c r="AB4287">
        <v>36</v>
      </c>
      <c r="AC4287">
        <v>-12.9229</v>
      </c>
      <c r="AD4287">
        <v>-1.121918754547</v>
      </c>
      <c r="AE4287">
        <v>-9.1800000000006293E-2</v>
      </c>
      <c r="AF4287">
        <v>-0.25695556335993702</v>
      </c>
      <c r="AG4287">
        <v>-1.121918754547</v>
      </c>
      <c r="AH4287">
        <v>12.823982148334601</v>
      </c>
      <c r="AI4287">
        <v>94.998849598176093</v>
      </c>
      <c r="AJ4287">
        <v>91.147888332926698</v>
      </c>
      <c r="AK4287">
        <v>12.8755289597807</v>
      </c>
      <c r="AL4287">
        <v>78.901608622913599</v>
      </c>
      <c r="AM4287">
        <v>88.873118552994896</v>
      </c>
      <c r="AN4287">
        <v>0.99999991736611504</v>
      </c>
    </row>
    <row r="4288" spans="1:40" x14ac:dyDescent="0.25">
      <c r="A4288" t="str">
        <f>"20190303162906321"</f>
        <v>20190303162906321</v>
      </c>
      <c r="B4288" t="str">
        <f>"1551601746316226"</f>
        <v>1551601746316226</v>
      </c>
      <c r="C4288" t="s">
        <v>40</v>
      </c>
      <c r="D4288">
        <v>5.3364479999999999</v>
      </c>
      <c r="E4288">
        <v>0.48373440000000001</v>
      </c>
      <c r="F4288" t="s">
        <v>56</v>
      </c>
      <c r="G4288">
        <v>-306.71550000000002</v>
      </c>
      <c r="H4288" s="1">
        <v>-9.877982E-6</v>
      </c>
      <c r="I4288">
        <v>142.49760000000001</v>
      </c>
      <c r="J4288">
        <v>-293.0994</v>
      </c>
      <c r="K4288">
        <v>1.1219129999999999</v>
      </c>
      <c r="L4288">
        <v>142.624</v>
      </c>
      <c r="M4288">
        <v>-0.99984139999999999</v>
      </c>
      <c r="N4288">
        <v>-1.2755809999999999E-2</v>
      </c>
      <c r="O4288">
        <v>1.243383E-2</v>
      </c>
      <c r="P4288">
        <v>-0.98310439999999999</v>
      </c>
      <c r="Q4288">
        <v>0.1801325</v>
      </c>
      <c r="R4288">
        <v>3.2533520000000003E-2</v>
      </c>
      <c r="S4288">
        <v>-3.098236</v>
      </c>
      <c r="T4288">
        <v>-0.25099369999999999</v>
      </c>
      <c r="U4288">
        <v>-2.7709959999999999E-2</v>
      </c>
      <c r="V4288">
        <v>1.9967410000000001E-2</v>
      </c>
      <c r="W4288">
        <v>0.19269800000000001</v>
      </c>
      <c r="X4288">
        <v>0.98105500000000001</v>
      </c>
      <c r="Y4288">
        <v>-2.126749E-2</v>
      </c>
      <c r="Z4288">
        <v>-1.8431649999999999E-3</v>
      </c>
      <c r="AA4288">
        <v>0.99977210000000005</v>
      </c>
      <c r="AB4288">
        <v>36</v>
      </c>
      <c r="AC4288">
        <v>-13.616099999999999</v>
      </c>
      <c r="AD4288">
        <v>-1.1219228779820001</v>
      </c>
      <c r="AE4288">
        <v>-0.12639999999998899</v>
      </c>
      <c r="AF4288">
        <v>-0.29371036810180201</v>
      </c>
      <c r="AG4288">
        <v>-1.1219228779820001</v>
      </c>
      <c r="AH4288">
        <v>13.5216815983309</v>
      </c>
      <c r="AI4288">
        <v>94.741975581352804</v>
      </c>
      <c r="AJ4288">
        <v>91.244351041714793</v>
      </c>
      <c r="AK4288">
        <v>13.5713245474091</v>
      </c>
      <c r="AL4288">
        <v>78.8897222948208</v>
      </c>
      <c r="AM4288">
        <v>88.834020123084301</v>
      </c>
      <c r="AN4288">
        <v>1.00000006484555</v>
      </c>
    </row>
    <row r="4289" spans="1:40" x14ac:dyDescent="0.25">
      <c r="A4289" t="str">
        <f>"20190303162906336"</f>
        <v>20190303162906336</v>
      </c>
      <c r="B4289" t="str">
        <f>"1551601746325987"</f>
        <v>1551601746325987</v>
      </c>
      <c r="C4289" t="s">
        <v>40</v>
      </c>
      <c r="D4289">
        <v>5.2776189999999996</v>
      </c>
      <c r="E4289">
        <v>0.48353400000000002</v>
      </c>
      <c r="F4289" t="s">
        <v>56</v>
      </c>
      <c r="G4289">
        <v>-307.96769999999998</v>
      </c>
      <c r="H4289" s="1">
        <v>-1.0050979999999999E-5</v>
      </c>
      <c r="I4289">
        <v>142.47460000000001</v>
      </c>
      <c r="J4289">
        <v>-293.33940000000001</v>
      </c>
      <c r="K4289">
        <v>1.1219170000000001</v>
      </c>
      <c r="L4289">
        <v>142.62649999999999</v>
      </c>
      <c r="M4289">
        <v>-0.9998475</v>
      </c>
      <c r="N4289">
        <v>-1.275513E-2</v>
      </c>
      <c r="O4289">
        <v>1.192269E-2</v>
      </c>
      <c r="P4289">
        <v>-0.98304429999999998</v>
      </c>
      <c r="Q4289">
        <v>0.18029480000000001</v>
      </c>
      <c r="R4289">
        <v>3.3430939999999999E-2</v>
      </c>
      <c r="S4289">
        <v>-3.0953979999999999</v>
      </c>
      <c r="T4289">
        <v>-0.23357140000000001</v>
      </c>
      <c r="U4289">
        <v>-3.1097409999999999E-2</v>
      </c>
      <c r="V4289">
        <v>2.136795E-2</v>
      </c>
      <c r="W4289">
        <v>0.19286130000000001</v>
      </c>
      <c r="X4289">
        <v>0.98099329999999996</v>
      </c>
      <c r="Y4289">
        <v>-2.1872059999999999E-2</v>
      </c>
      <c r="Z4289">
        <v>-1.710203E-3</v>
      </c>
      <c r="AA4289">
        <v>0.99975930000000002</v>
      </c>
      <c r="AB4289">
        <v>36</v>
      </c>
      <c r="AC4289">
        <v>-14.6282999999999</v>
      </c>
      <c r="AD4289">
        <v>-1.1219270509799999</v>
      </c>
      <c r="AE4289">
        <v>-0.15189999999998299</v>
      </c>
      <c r="AF4289">
        <v>-0.32440407698659601</v>
      </c>
      <c r="AG4289">
        <v>-1.1219270509799999</v>
      </c>
      <c r="AH4289">
        <v>14.5399309766771</v>
      </c>
      <c r="AI4289">
        <v>94.411208248498895</v>
      </c>
      <c r="AJ4289">
        <v>91.278128573516099</v>
      </c>
      <c r="AK4289">
        <v>14.5867594454499</v>
      </c>
      <c r="AL4289">
        <v>78.8801858801599</v>
      </c>
      <c r="AM4289">
        <v>88.752183339545795</v>
      </c>
      <c r="AN4289">
        <v>0.99999996248488998</v>
      </c>
    </row>
    <row r="4290" spans="1:40" x14ac:dyDescent="0.25">
      <c r="A4290" t="str">
        <f>"20190303162906359"</f>
        <v>20190303162906359</v>
      </c>
      <c r="B4290" t="str">
        <f>"1551601746345504"</f>
        <v>1551601746345504</v>
      </c>
      <c r="C4290" t="s">
        <v>40</v>
      </c>
      <c r="D4290">
        <v>5.2121760000000004</v>
      </c>
      <c r="E4290">
        <v>0.48335060000000002</v>
      </c>
      <c r="F4290" t="s">
        <v>56</v>
      </c>
      <c r="G4290">
        <v>-308.72030000000001</v>
      </c>
      <c r="H4290" s="1">
        <v>-1.01582E-5</v>
      </c>
      <c r="I4290">
        <v>142.4717</v>
      </c>
      <c r="J4290">
        <v>-293.69690000000003</v>
      </c>
      <c r="K4290">
        <v>1.1219170000000001</v>
      </c>
      <c r="L4290">
        <v>142.62989999999999</v>
      </c>
      <c r="M4290">
        <v>-0.99985650000000004</v>
      </c>
      <c r="N4290">
        <v>-1.2754069999999999E-2</v>
      </c>
      <c r="O4290">
        <v>1.1161280000000001E-2</v>
      </c>
      <c r="P4290">
        <v>-0.98306910000000003</v>
      </c>
      <c r="Q4290">
        <v>0.1800165</v>
      </c>
      <c r="R4290">
        <v>3.4197159999999997E-2</v>
      </c>
      <c r="S4290">
        <v>-3.0942080000000001</v>
      </c>
      <c r="T4290">
        <v>-0.22570100000000001</v>
      </c>
      <c r="U4290">
        <v>-3.1127930000000002E-2</v>
      </c>
      <c r="V4290">
        <v>2.288333E-2</v>
      </c>
      <c r="W4290">
        <v>0.1925847</v>
      </c>
      <c r="X4290">
        <v>0.98101349999999998</v>
      </c>
      <c r="Y4290">
        <v>-2.113437E-2</v>
      </c>
      <c r="Z4290">
        <v>-1.575592E-3</v>
      </c>
      <c r="AA4290">
        <v>0.99977539999999998</v>
      </c>
      <c r="AB4290">
        <v>36</v>
      </c>
      <c r="AC4290">
        <v>-15.023399999999899</v>
      </c>
      <c r="AD4290">
        <v>-1.1219271581999899</v>
      </c>
      <c r="AE4290">
        <v>-0.15819999999999301</v>
      </c>
      <c r="AF4290">
        <v>-0.32407699136981599</v>
      </c>
      <c r="AG4290">
        <v>-1.1219271581999899</v>
      </c>
      <c r="AH4290">
        <v>14.9374030297425</v>
      </c>
      <c r="AI4290">
        <v>94.294332986525006</v>
      </c>
      <c r="AJ4290">
        <v>91.242875435406305</v>
      </c>
      <c r="AK4290">
        <v>14.9829822037404</v>
      </c>
      <c r="AL4290">
        <v>78.8963370945295</v>
      </c>
      <c r="AM4290">
        <v>88.663748756439205</v>
      </c>
      <c r="AN4290">
        <v>1.0000000003241101</v>
      </c>
    </row>
    <row r="4291" spans="1:40" x14ac:dyDescent="0.25">
      <c r="A4291" t="str">
        <f>"20190303162906382"</f>
        <v>20190303162906382</v>
      </c>
      <c r="B4291" t="str">
        <f>"1551601746375761"</f>
        <v>1551601746375761</v>
      </c>
      <c r="C4291" t="s">
        <v>40</v>
      </c>
      <c r="D4291">
        <v>5.1513839999999904</v>
      </c>
      <c r="E4291">
        <v>0.48319269999999998</v>
      </c>
      <c r="F4291" t="s">
        <v>56</v>
      </c>
      <c r="G4291">
        <v>-309.58600000000001</v>
      </c>
      <c r="H4291" s="1">
        <v>-1.0282609999999999E-5</v>
      </c>
      <c r="I4291">
        <v>142.47210000000001</v>
      </c>
      <c r="J4291">
        <v>-294.06330000000003</v>
      </c>
      <c r="K4291">
        <v>1.12192</v>
      </c>
      <c r="L4291">
        <v>142.63329999999999</v>
      </c>
      <c r="M4291">
        <v>-0.99986489999999995</v>
      </c>
      <c r="N4291">
        <v>-1.2752970000000001E-2</v>
      </c>
      <c r="O4291">
        <v>1.038098E-2</v>
      </c>
      <c r="P4291">
        <v>-0.98317770000000004</v>
      </c>
      <c r="Q4291">
        <v>0.17930570000000001</v>
      </c>
      <c r="R4291">
        <v>3.4801989999999998E-2</v>
      </c>
      <c r="S4291">
        <v>-3.0927120000000001</v>
      </c>
      <c r="T4291">
        <v>-0.21837699999999999</v>
      </c>
      <c r="U4291">
        <v>-3.07312E-2</v>
      </c>
      <c r="V4291">
        <v>2.4255829999999999E-2</v>
      </c>
      <c r="W4291">
        <v>0.19187679999999999</v>
      </c>
      <c r="X4291">
        <v>0.98111919999999997</v>
      </c>
      <c r="Y4291">
        <v>-2.0240069999999999E-2</v>
      </c>
      <c r="Z4291">
        <v>-1.4427470000000001E-3</v>
      </c>
      <c r="AA4291">
        <v>0.99979410000000002</v>
      </c>
      <c r="AB4291">
        <v>36</v>
      </c>
      <c r="AC4291">
        <v>-15.522699999999899</v>
      </c>
      <c r="AD4291">
        <v>-1.1219302826099999</v>
      </c>
      <c r="AE4291">
        <v>-0.161199999999979</v>
      </c>
      <c r="AF4291">
        <v>-0.32067026053012399</v>
      </c>
      <c r="AG4291">
        <v>-1.1219302826099999</v>
      </c>
      <c r="AH4291">
        <v>15.4395435197323</v>
      </c>
      <c r="AI4291">
        <v>94.155258618638399</v>
      </c>
      <c r="AJ4291">
        <v>91.189828659869306</v>
      </c>
      <c r="AK4291">
        <v>15.483573911495199</v>
      </c>
      <c r="AL4291">
        <v>78.937667241418595</v>
      </c>
      <c r="AM4291">
        <v>88.583787119746901</v>
      </c>
      <c r="AN4291">
        <v>0.99999996813793302</v>
      </c>
    </row>
    <row r="4292" spans="1:40" x14ac:dyDescent="0.25">
      <c r="A4292" t="str">
        <f>"20190303162906406"</f>
        <v>20190303162906406</v>
      </c>
      <c r="B4292" t="str">
        <f>"1551601746396258"</f>
        <v>1551601746396258</v>
      </c>
      <c r="C4292" t="s">
        <v>40</v>
      </c>
      <c r="D4292">
        <v>4.947775</v>
      </c>
      <c r="E4292">
        <v>0.48336479999999998</v>
      </c>
      <c r="F4292" t="s">
        <v>56</v>
      </c>
      <c r="G4292">
        <v>-310.23469999999998</v>
      </c>
      <c r="H4292" s="1">
        <v>-1.0213370000000001E-5</v>
      </c>
      <c r="I4292">
        <v>142.4727</v>
      </c>
      <c r="J4292">
        <v>-294.44170000000003</v>
      </c>
      <c r="K4292">
        <v>1.121923</v>
      </c>
      <c r="L4292">
        <v>142.63640000000001</v>
      </c>
      <c r="M4292">
        <v>-0.99987289999999995</v>
      </c>
      <c r="N4292">
        <v>-1.275196E-2</v>
      </c>
      <c r="O4292">
        <v>9.5751689999999997E-3</v>
      </c>
      <c r="P4292">
        <v>-0.98319179999999995</v>
      </c>
      <c r="Q4292">
        <v>0.17906159999999999</v>
      </c>
      <c r="R4292">
        <v>3.565202E-2</v>
      </c>
      <c r="S4292">
        <v>-3.0915219999999999</v>
      </c>
      <c r="T4292">
        <v>-0.214481</v>
      </c>
      <c r="U4292">
        <v>-3.0685420000000001E-2</v>
      </c>
      <c r="V4292">
        <v>2.589874E-2</v>
      </c>
      <c r="W4292">
        <v>0.1916339</v>
      </c>
      <c r="X4292">
        <v>0.98112469999999996</v>
      </c>
      <c r="Y4292">
        <v>-1.942957E-2</v>
      </c>
      <c r="Z4292">
        <v>-1.338725E-3</v>
      </c>
      <c r="AA4292">
        <v>0.99981030000000004</v>
      </c>
      <c r="AB4292">
        <v>36</v>
      </c>
      <c r="AC4292">
        <v>-15.7929999999999</v>
      </c>
      <c r="AD4292">
        <v>-1.12193321337</v>
      </c>
      <c r="AE4292">
        <v>-0.16370000000000501</v>
      </c>
      <c r="AF4292">
        <v>-0.31334425193365201</v>
      </c>
      <c r="AG4292">
        <v>-1.12193321337</v>
      </c>
      <c r="AH4292">
        <v>15.711426465768399</v>
      </c>
      <c r="AI4292">
        <v>94.083677139177695</v>
      </c>
      <c r="AJ4292">
        <v>91.142539377791493</v>
      </c>
      <c r="AK4292">
        <v>15.754549829961199</v>
      </c>
      <c r="AL4292">
        <v>78.9518477410614</v>
      </c>
      <c r="AM4292">
        <v>88.487914958892503</v>
      </c>
      <c r="AN4292">
        <v>0.99999998665644296</v>
      </c>
    </row>
    <row r="4293" spans="1:40" x14ac:dyDescent="0.25">
      <c r="A4293" t="str">
        <f>"20190303162906428"</f>
        <v>20190303162906428</v>
      </c>
      <c r="B4293" t="str">
        <f>"1551601746415776"</f>
        <v>1551601746415776</v>
      </c>
      <c r="C4293" t="s">
        <v>40</v>
      </c>
      <c r="D4293">
        <v>4.9811649999999998</v>
      </c>
      <c r="E4293">
        <v>0.48344009999999998</v>
      </c>
      <c r="F4293" t="s">
        <v>56</v>
      </c>
      <c r="G4293">
        <v>-310.83699999999999</v>
      </c>
      <c r="H4293" s="1">
        <v>-9.9513069999999999E-6</v>
      </c>
      <c r="I4293">
        <v>142.48949999999999</v>
      </c>
      <c r="J4293">
        <v>-294.8032</v>
      </c>
      <c r="K4293">
        <v>1.1219159999999999</v>
      </c>
      <c r="L4293">
        <v>142.63900000000001</v>
      </c>
      <c r="M4293">
        <v>-0.99988010000000005</v>
      </c>
      <c r="N4293">
        <v>-1.275075E-2</v>
      </c>
      <c r="O4293">
        <v>8.8053579999999992E-3</v>
      </c>
      <c r="P4293">
        <v>-0.98322710000000002</v>
      </c>
      <c r="Q4293">
        <v>0.17884920000000001</v>
      </c>
      <c r="R4293">
        <v>3.574418E-2</v>
      </c>
      <c r="S4293">
        <v>-3.0908199999999999</v>
      </c>
      <c r="T4293">
        <v>-0.21150579999999999</v>
      </c>
      <c r="U4293">
        <v>-2.767944E-2</v>
      </c>
      <c r="V4293">
        <v>2.674837E-2</v>
      </c>
      <c r="W4293">
        <v>0.19142229999999999</v>
      </c>
      <c r="X4293">
        <v>0.98114319999999999</v>
      </c>
      <c r="Y4293">
        <v>-1.7697640000000001E-2</v>
      </c>
      <c r="Z4293">
        <v>-1.207467E-3</v>
      </c>
      <c r="AA4293">
        <v>0.99984260000000003</v>
      </c>
      <c r="AB4293">
        <v>36</v>
      </c>
      <c r="AC4293">
        <v>-16.0337999999999</v>
      </c>
      <c r="AD4293">
        <v>-1.1219259513069999</v>
      </c>
      <c r="AE4293">
        <v>-0.14950000000001701</v>
      </c>
      <c r="AF4293">
        <v>-0.28927280497595997</v>
      </c>
      <c r="AG4293">
        <v>-1.1219259513069999</v>
      </c>
      <c r="AH4293">
        <v>15.953756465170599</v>
      </c>
      <c r="AI4293">
        <v>94.021965406786904</v>
      </c>
      <c r="AJ4293">
        <v>91.038770705988696</v>
      </c>
      <c r="AK4293">
        <v>15.995772627350201</v>
      </c>
      <c r="AL4293">
        <v>78.964200083931104</v>
      </c>
      <c r="AM4293">
        <v>88.438363340213698</v>
      </c>
      <c r="AN4293">
        <v>0.99999997557059295</v>
      </c>
    </row>
    <row r="4294" spans="1:40" x14ac:dyDescent="0.25">
      <c r="A4294" t="str">
        <f>"20190303162906449"</f>
        <v>20190303162906449</v>
      </c>
      <c r="B4294" t="str">
        <f>"1551601746436273"</f>
        <v>1551601746436273</v>
      </c>
      <c r="C4294" t="s">
        <v>40</v>
      </c>
      <c r="D4294">
        <v>5.1474869999999999</v>
      </c>
      <c r="E4294">
        <v>0.48350300000000002</v>
      </c>
      <c r="F4294" t="s">
        <v>56</v>
      </c>
      <c r="G4294">
        <v>-311.34500000000003</v>
      </c>
      <c r="H4294" s="1">
        <v>-9.7271640000000005E-6</v>
      </c>
      <c r="I4294">
        <v>142.49340000000001</v>
      </c>
      <c r="J4294">
        <v>-295.13670000000002</v>
      </c>
      <c r="K4294">
        <v>1.1219159999999999</v>
      </c>
      <c r="L4294">
        <v>142.6413</v>
      </c>
      <c r="M4294">
        <v>-0.99988600000000005</v>
      </c>
      <c r="N4294">
        <v>-1.274978E-2</v>
      </c>
      <c r="O4294">
        <v>8.0949690000000005E-3</v>
      </c>
      <c r="P4294">
        <v>-0.98342220000000002</v>
      </c>
      <c r="Q4294">
        <v>0.17771289999999901</v>
      </c>
      <c r="R4294">
        <v>3.6044809999999997E-2</v>
      </c>
      <c r="S4294">
        <v>-3.090271</v>
      </c>
      <c r="T4294">
        <v>-0.2095928</v>
      </c>
      <c r="U4294">
        <v>-2.7206419999999999E-2</v>
      </c>
      <c r="V4294">
        <v>2.7748209999999999E-2</v>
      </c>
      <c r="W4294">
        <v>0.19028909999999999</v>
      </c>
      <c r="X4294">
        <v>0.98133590000000004</v>
      </c>
      <c r="Y4294">
        <v>-1.6840339999999999E-2</v>
      </c>
      <c r="Z4294">
        <v>-1.1232E-3</v>
      </c>
      <c r="AA4294">
        <v>0.99985749999999995</v>
      </c>
      <c r="AB4294">
        <v>36</v>
      </c>
      <c r="AC4294">
        <v>-16.208300000000001</v>
      </c>
      <c r="AD4294">
        <v>-1.121925727164</v>
      </c>
      <c r="AE4294">
        <v>-0.14789999999999201</v>
      </c>
      <c r="AF4294">
        <v>-0.27778067887733598</v>
      </c>
      <c r="AG4294">
        <v>-1.121925727164</v>
      </c>
      <c r="AH4294">
        <v>16.129297654000599</v>
      </c>
      <c r="AI4294">
        <v>93.978397142987006</v>
      </c>
      <c r="AJ4294">
        <v>90.986657176010596</v>
      </c>
      <c r="AK4294">
        <v>16.170656209757801</v>
      </c>
      <c r="AL4294">
        <v>79.030344076135293</v>
      </c>
      <c r="AM4294">
        <v>88.380338665858503</v>
      </c>
      <c r="AN4294">
        <v>1.0000000266829101</v>
      </c>
    </row>
    <row r="4295" spans="1:40" x14ac:dyDescent="0.25">
      <c r="A4295" t="str">
        <f>"20190303162906482"</f>
        <v>20190303162906482</v>
      </c>
      <c r="B4295" t="str">
        <f>"1551601746475825"</f>
        <v>1551601746475825</v>
      </c>
      <c r="C4295" t="s">
        <v>40</v>
      </c>
      <c r="D4295">
        <v>5.0871639999999996</v>
      </c>
      <c r="E4295">
        <v>0.4834775</v>
      </c>
      <c r="F4295" t="s">
        <v>56</v>
      </c>
      <c r="G4295">
        <v>-311.49770000000001</v>
      </c>
      <c r="H4295" s="1">
        <v>-9.668451E-6</v>
      </c>
      <c r="I4295">
        <v>142.5016</v>
      </c>
      <c r="J4295">
        <v>-295.67869999999999</v>
      </c>
      <c r="K4295">
        <v>1.1219110000000001</v>
      </c>
      <c r="L4295">
        <v>142.64439999999999</v>
      </c>
      <c r="M4295">
        <v>-0.99989470000000003</v>
      </c>
      <c r="N4295">
        <v>-1.274815E-2</v>
      </c>
      <c r="O4295">
        <v>6.9403729999999997E-3</v>
      </c>
      <c r="P4295">
        <v>-0.98350689999999996</v>
      </c>
      <c r="Q4295">
        <v>0.17733090000000001</v>
      </c>
      <c r="R4295">
        <v>3.5611089999999998E-2</v>
      </c>
      <c r="S4295">
        <v>-3.0898129999999999</v>
      </c>
      <c r="T4295">
        <v>-0.2118797</v>
      </c>
      <c r="U4295">
        <v>-2.6367189999999999E-2</v>
      </c>
      <c r="V4295">
        <v>2.8450590000000001E-2</v>
      </c>
      <c r="W4295">
        <v>0.18990760000000001</v>
      </c>
      <c r="X4295">
        <v>0.98138959999999997</v>
      </c>
      <c r="Y4295">
        <v>-1.541999E-2</v>
      </c>
      <c r="Z4295">
        <v>-1.01347E-3</v>
      </c>
      <c r="AA4295">
        <v>0.99988060000000001</v>
      </c>
      <c r="AB4295">
        <v>36</v>
      </c>
      <c r="AC4295">
        <v>-15.819000000000001</v>
      </c>
      <c r="AD4295">
        <v>-1.1219206684509999</v>
      </c>
      <c r="AE4295">
        <v>-0.14279999999999399</v>
      </c>
      <c r="AF4295">
        <v>-0.25133115014361801</v>
      </c>
      <c r="AG4295">
        <v>-1.1219206684509999</v>
      </c>
      <c r="AH4295">
        <v>15.7384700400674</v>
      </c>
      <c r="AI4295">
        <v>94.076928239777004</v>
      </c>
      <c r="AJ4295">
        <v>90.914891359736998</v>
      </c>
      <c r="AK4295">
        <v>15.7804091371368</v>
      </c>
      <c r="AL4295">
        <v>79.052607441533794</v>
      </c>
      <c r="AM4295">
        <v>88.339454277391496</v>
      </c>
      <c r="AN4295">
        <v>0.999999939798632</v>
      </c>
    </row>
    <row r="4296" spans="1:40" x14ac:dyDescent="0.25">
      <c r="A4296" t="str">
        <f>"20190303162906506"</f>
        <v>20190303162906506</v>
      </c>
      <c r="B4296" t="str">
        <f>"1551601746496321"</f>
        <v>1551601746496321</v>
      </c>
      <c r="C4296" t="s">
        <v>40</v>
      </c>
      <c r="D4296">
        <v>5.0314579999999998</v>
      </c>
      <c r="E4296">
        <v>0.48363859999999997</v>
      </c>
      <c r="F4296" t="s">
        <v>56</v>
      </c>
      <c r="G4296">
        <v>-312.17320000000001</v>
      </c>
      <c r="H4296" s="1">
        <v>-9.4114480000000007E-6</v>
      </c>
      <c r="I4296">
        <v>142.4914</v>
      </c>
      <c r="J4296">
        <v>-296.0401</v>
      </c>
      <c r="K4296">
        <v>1.12191</v>
      </c>
      <c r="L4296">
        <v>142.64609999999999</v>
      </c>
      <c r="M4296">
        <v>-0.99989969999999995</v>
      </c>
      <c r="N4296">
        <v>-1.2747069999999999E-2</v>
      </c>
      <c r="O4296">
        <v>6.1703249999999999E-3</v>
      </c>
      <c r="P4296">
        <v>-0.98351889999999997</v>
      </c>
      <c r="Q4296">
        <v>0.177308299999999</v>
      </c>
      <c r="R4296">
        <v>3.53884E-2</v>
      </c>
      <c r="S4296">
        <v>-3.089264</v>
      </c>
      <c r="T4296">
        <v>-0.2101257</v>
      </c>
      <c r="U4296">
        <v>-2.8656009999999999E-2</v>
      </c>
      <c r="V4296">
        <v>2.898558E-2</v>
      </c>
      <c r="W4296">
        <v>0.18988459999999999</v>
      </c>
      <c r="X4296">
        <v>0.98137839999999998</v>
      </c>
      <c r="Y4296">
        <v>-1.539432E-2</v>
      </c>
      <c r="Z4296">
        <v>-9.6180720000000003E-4</v>
      </c>
      <c r="AA4296">
        <v>0.99988100000000002</v>
      </c>
      <c r="AB4296">
        <v>36</v>
      </c>
      <c r="AC4296">
        <v>-16.133099999999999</v>
      </c>
      <c r="AD4296">
        <v>-1.121919411448</v>
      </c>
      <c r="AE4296">
        <v>-0.15469999999999101</v>
      </c>
      <c r="AF4296">
        <v>-0.253028079614385</v>
      </c>
      <c r="AG4296">
        <v>-1.121919411448</v>
      </c>
      <c r="AH4296">
        <v>16.054206949698699</v>
      </c>
      <c r="AI4296">
        <v>93.997018772312899</v>
      </c>
      <c r="AJ4296">
        <v>90.902955896476499</v>
      </c>
      <c r="AK4296">
        <v>16.0953498613299</v>
      </c>
      <c r="AL4296">
        <v>79.053949720366802</v>
      </c>
      <c r="AM4296">
        <v>88.308227759794605</v>
      </c>
      <c r="AN4296">
        <v>0.99999994457582597</v>
      </c>
    </row>
    <row r="4297" spans="1:40" x14ac:dyDescent="0.25">
      <c r="A4297" t="str">
        <f>"20190303162906526"</f>
        <v>20190303162906526</v>
      </c>
      <c r="B4297" t="str">
        <f>"1551601746515841"</f>
        <v>1551601746515841</v>
      </c>
      <c r="C4297" t="s">
        <v>40</v>
      </c>
      <c r="D4297">
        <v>4.7732010000000002</v>
      </c>
      <c r="E4297">
        <v>0.48852139999999999</v>
      </c>
      <c r="F4297" t="s">
        <v>56</v>
      </c>
      <c r="G4297">
        <v>-312.73840000000001</v>
      </c>
      <c r="H4297" s="1">
        <v>-9.1986709999999995E-6</v>
      </c>
      <c r="I4297">
        <v>142.4913</v>
      </c>
      <c r="J4297">
        <v>-296.36709999999999</v>
      </c>
      <c r="K4297">
        <v>1.1218969999999999</v>
      </c>
      <c r="L4297">
        <v>142.6474</v>
      </c>
      <c r="M4297">
        <v>-0.99990369999999995</v>
      </c>
      <c r="N4297">
        <v>-1.274611E-2</v>
      </c>
      <c r="O4297">
        <v>5.4736469999999999E-3</v>
      </c>
      <c r="P4297">
        <v>-0.98361670000000001</v>
      </c>
      <c r="Q4297">
        <v>0.17680179999999901</v>
      </c>
      <c r="R4297">
        <v>3.5204930000000002E-2</v>
      </c>
      <c r="S4297">
        <v>-3.0887449999999999</v>
      </c>
      <c r="T4297">
        <v>-0.20752570000000001</v>
      </c>
      <c r="U4297">
        <v>-2.862549E-2</v>
      </c>
      <c r="V4297">
        <v>2.9488199999999999E-2</v>
      </c>
      <c r="W4297">
        <v>0.18937899999999999</v>
      </c>
      <c r="X4297">
        <v>0.98146120000000003</v>
      </c>
      <c r="Y4297">
        <v>-1.469347E-2</v>
      </c>
      <c r="Z4297">
        <v>-8.8445319999999996E-4</v>
      </c>
      <c r="AA4297">
        <v>0.99989159999999999</v>
      </c>
      <c r="AB4297">
        <v>36</v>
      </c>
      <c r="AC4297">
        <v>-16.371300000000002</v>
      </c>
      <c r="AD4297">
        <v>-1.1219061986709999</v>
      </c>
      <c r="AE4297">
        <v>-0.15610000000000901</v>
      </c>
      <c r="AF4297">
        <v>-0.24456723317437601</v>
      </c>
      <c r="AG4297">
        <v>-1.1219061986709999</v>
      </c>
      <c r="AH4297">
        <v>16.293688707766101</v>
      </c>
      <c r="AI4297">
        <v>93.93845666112</v>
      </c>
      <c r="AJ4297">
        <v>90.859941436130001</v>
      </c>
      <c r="AK4297">
        <v>16.334098639219199</v>
      </c>
      <c r="AL4297">
        <v>79.083454682572906</v>
      </c>
      <c r="AM4297">
        <v>88.279054447360394</v>
      </c>
      <c r="AN4297">
        <v>1.0000000233428299</v>
      </c>
    </row>
    <row r="4298" spans="1:40" x14ac:dyDescent="0.25">
      <c r="A4298" t="str">
        <f>"20190303162906549"</f>
        <v>20190303162906549</v>
      </c>
      <c r="B4298" t="str">
        <f>"1551601746536337"</f>
        <v>1551601746536337</v>
      </c>
      <c r="C4298" t="s">
        <v>40</v>
      </c>
      <c r="D4298">
        <v>4.7753259999999997</v>
      </c>
      <c r="E4298">
        <v>0.48786449999999998</v>
      </c>
      <c r="F4298" t="s">
        <v>41</v>
      </c>
      <c r="G4298">
        <v>-323.98439999999999</v>
      </c>
      <c r="H4298" s="1">
        <v>-3.3941069999999998E-6</v>
      </c>
      <c r="I4298">
        <v>142.74010000000001</v>
      </c>
      <c r="J4298">
        <v>-296.73590000000002</v>
      </c>
      <c r="K4298">
        <v>1.121896</v>
      </c>
      <c r="L4298">
        <v>142.64859999999999</v>
      </c>
      <c r="M4298">
        <v>-0.99990789999999996</v>
      </c>
      <c r="N4298">
        <v>-1.274513E-2</v>
      </c>
      <c r="O4298">
        <v>4.6879219999999997E-3</v>
      </c>
      <c r="P4298">
        <v>-0.98374629999999996</v>
      </c>
      <c r="Q4298">
        <v>0.17615999999999901</v>
      </c>
      <c r="R4298">
        <v>3.480507E-2</v>
      </c>
      <c r="S4298">
        <v>-3.0720209999999999</v>
      </c>
      <c r="T4298">
        <v>-0.12479510000000001</v>
      </c>
      <c r="U4298">
        <v>1.031494E-2</v>
      </c>
      <c r="V4298">
        <v>2.9862030000000001E-2</v>
      </c>
      <c r="W4298">
        <v>0.18873799999999999</v>
      </c>
      <c r="X4298">
        <v>0.98157329999999998</v>
      </c>
      <c r="Y4298">
        <v>-1.32736799999999E-3</v>
      </c>
      <c r="Z4298">
        <v>-1.660376E-4</v>
      </c>
      <c r="AA4298">
        <v>0.99999910000000003</v>
      </c>
      <c r="AB4298">
        <v>36</v>
      </c>
      <c r="AC4298">
        <v>-27.2484999999999</v>
      </c>
      <c r="AD4298">
        <v>-1.1218993941069999</v>
      </c>
      <c r="AE4298">
        <v>9.15000000000247E-2</v>
      </c>
      <c r="AF4298">
        <v>-3.6188863141542002E-2</v>
      </c>
      <c r="AG4298">
        <v>-1.1218993941069999</v>
      </c>
      <c r="AH4298">
        <v>27.202516150404001</v>
      </c>
      <c r="AI4298">
        <v>92.361679880689906</v>
      </c>
      <c r="AJ4298">
        <v>90.076223386421006</v>
      </c>
      <c r="AK4298">
        <v>27.225665332500199</v>
      </c>
      <c r="AL4298">
        <v>79.1208550594814</v>
      </c>
      <c r="AM4298">
        <v>88.257449825150005</v>
      </c>
      <c r="AN4298">
        <v>0.99999995837630395</v>
      </c>
    </row>
    <row r="4299" spans="1:40" x14ac:dyDescent="0.25">
      <c r="A4299" t="str">
        <f>"20190303162906571"</f>
        <v>20190303162906571</v>
      </c>
      <c r="B4299" t="str">
        <f>"1551601746565617"</f>
        <v>1551601746565617</v>
      </c>
      <c r="C4299" t="s">
        <v>40</v>
      </c>
      <c r="D4299">
        <v>4.8404280000000002</v>
      </c>
      <c r="E4299">
        <v>0.488207</v>
      </c>
      <c r="F4299" t="s">
        <v>41</v>
      </c>
      <c r="G4299">
        <v>-325.20249999999999</v>
      </c>
      <c r="H4299" s="1">
        <v>-2.8581819999999999E-6</v>
      </c>
      <c r="I4299">
        <v>142.68969999999999</v>
      </c>
      <c r="J4299">
        <v>-297.09890000000001</v>
      </c>
      <c r="K4299">
        <v>1.1218919999999999</v>
      </c>
      <c r="L4299">
        <v>142.64949999999999</v>
      </c>
      <c r="M4299">
        <v>-0.99991110000000005</v>
      </c>
      <c r="N4299">
        <v>-1.274423E-2</v>
      </c>
      <c r="O4299">
        <v>3.9142990000000004E-3</v>
      </c>
      <c r="P4299">
        <v>-0.98374379999999995</v>
      </c>
      <c r="Q4299">
        <v>0.17620250000000001</v>
      </c>
      <c r="R4299">
        <v>3.465795E-2</v>
      </c>
      <c r="S4299">
        <v>-3.071075</v>
      </c>
      <c r="T4299">
        <v>-0.121035</v>
      </c>
      <c r="U4299">
        <v>4.4403079999999996E-3</v>
      </c>
      <c r="V4299">
        <v>3.047627E-2</v>
      </c>
      <c r="W4299">
        <v>0.18878059999999999</v>
      </c>
      <c r="X4299">
        <v>0.98154629999999998</v>
      </c>
      <c r="Y4299">
        <v>-2.4648539999999998E-3</v>
      </c>
      <c r="Z4299">
        <v>-1.686011E-4</v>
      </c>
      <c r="AA4299">
        <v>0.99999700000000002</v>
      </c>
      <c r="AB4299">
        <v>36</v>
      </c>
      <c r="AC4299">
        <v>-28.103599999999901</v>
      </c>
      <c r="AD4299">
        <v>-1.1218948581820001</v>
      </c>
      <c r="AE4299">
        <v>4.0199999999998598E-2</v>
      </c>
      <c r="AF4299">
        <v>-6.9704058394948698E-2</v>
      </c>
      <c r="AG4299">
        <v>-1.1218948581820001</v>
      </c>
      <c r="AH4299">
        <v>28.058827466338698</v>
      </c>
      <c r="AI4299">
        <v>92.289668757809395</v>
      </c>
      <c r="AJ4299">
        <v>90.142334534478906</v>
      </c>
      <c r="AK4299">
        <v>28.0813337559728</v>
      </c>
      <c r="AL4299">
        <v>79.1183703510751</v>
      </c>
      <c r="AM4299">
        <v>88.221580746217299</v>
      </c>
      <c r="AN4299">
        <v>1.00000002850658</v>
      </c>
    </row>
    <row r="4300" spans="1:40" x14ac:dyDescent="0.25">
      <c r="A4300" t="str">
        <f>"20190303162906594"</f>
        <v>20190303162906594</v>
      </c>
      <c r="B4300" t="str">
        <f>"1551601746586113"</f>
        <v>1551601746586113</v>
      </c>
      <c r="C4300" t="s">
        <v>40</v>
      </c>
      <c r="D4300">
        <v>4.6866680000000001</v>
      </c>
      <c r="E4300">
        <v>0.48831439999999998</v>
      </c>
      <c r="F4300" t="s">
        <v>41</v>
      </c>
      <c r="G4300">
        <v>-324.33190000000002</v>
      </c>
      <c r="H4300" s="1">
        <v>-3.237633E-6</v>
      </c>
      <c r="I4300">
        <v>142.7122</v>
      </c>
      <c r="J4300">
        <v>-297.46370000000002</v>
      </c>
      <c r="K4300">
        <v>1.1218889999999999</v>
      </c>
      <c r="L4300">
        <v>142.65010000000001</v>
      </c>
      <c r="M4300">
        <v>-0.99991390000000002</v>
      </c>
      <c r="N4300">
        <v>-1.274319E-2</v>
      </c>
      <c r="O4300">
        <v>3.1368609999999999E-3</v>
      </c>
      <c r="P4300">
        <v>-0.98374030000000001</v>
      </c>
      <c r="Q4300">
        <v>0.1762503</v>
      </c>
      <c r="R4300">
        <v>3.451253E-2</v>
      </c>
      <c r="S4300">
        <v>-3.0719599999999998</v>
      </c>
      <c r="T4300">
        <v>-0.12655339999999901</v>
      </c>
      <c r="U4300">
        <v>7.0800780000000001E-3</v>
      </c>
      <c r="V4300">
        <v>3.109584E-2</v>
      </c>
      <c r="W4300">
        <v>0.1888283</v>
      </c>
      <c r="X4300">
        <v>0.98151770000000005</v>
      </c>
      <c r="Y4300">
        <v>-8.3019069999999999E-4</v>
      </c>
      <c r="Z4300">
        <v>-1.115942E-4</v>
      </c>
      <c r="AA4300">
        <v>0.99999959999999999</v>
      </c>
      <c r="AB4300">
        <v>36</v>
      </c>
      <c r="AC4300">
        <v>-26.868200000000002</v>
      </c>
      <c r="AD4300">
        <v>-1.1218922376329901</v>
      </c>
      <c r="AE4300">
        <v>6.2099999999986701E-2</v>
      </c>
      <c r="AF4300">
        <v>-2.2150337630738901E-2</v>
      </c>
      <c r="AG4300">
        <v>-1.1218922376329901</v>
      </c>
      <c r="AH4300">
        <v>26.821499225382102</v>
      </c>
      <c r="AI4300">
        <v>92.395176327570795</v>
      </c>
      <c r="AJ4300">
        <v>90.047317286846805</v>
      </c>
      <c r="AK4300">
        <v>26.844961417880398</v>
      </c>
      <c r="AL4300">
        <v>79.1155873794131</v>
      </c>
      <c r="AM4300">
        <v>88.185397307727101</v>
      </c>
      <c r="AN4300">
        <v>1.0000000367797399</v>
      </c>
    </row>
    <row r="4301" spans="1:40" x14ac:dyDescent="0.25">
      <c r="A4301" t="str">
        <f>"20190303162906639"</f>
        <v>20190303162906639</v>
      </c>
      <c r="B4301" t="str">
        <f>"1551601746626130"</f>
        <v>1551601746626130</v>
      </c>
      <c r="C4301" t="s">
        <v>40</v>
      </c>
      <c r="D4301">
        <v>4.7448680000000003</v>
      </c>
      <c r="E4301">
        <v>0.4886973</v>
      </c>
      <c r="F4301" t="s">
        <v>41</v>
      </c>
      <c r="G4301">
        <v>-324.27370000000002</v>
      </c>
      <c r="H4301" s="1">
        <v>-3.2626540000000001E-6</v>
      </c>
      <c r="I4301">
        <v>142.7124</v>
      </c>
      <c r="J4301">
        <v>-298.18130000000002</v>
      </c>
      <c r="K4301">
        <v>1.1218969999999999</v>
      </c>
      <c r="L4301">
        <v>142.6506</v>
      </c>
      <c r="M4301">
        <v>-0.99991750000000001</v>
      </c>
      <c r="N4301">
        <v>-1.2741189999999999E-2</v>
      </c>
      <c r="O4301">
        <v>1.6073750000000001E-3</v>
      </c>
      <c r="P4301">
        <v>-0.98352039999999996</v>
      </c>
      <c r="Q4301">
        <v>0.1776539</v>
      </c>
      <c r="R4301">
        <v>3.3574229999999997E-2</v>
      </c>
      <c r="S4301">
        <v>-3.0723569999999998</v>
      </c>
      <c r="T4301">
        <v>-0.12856629999999999</v>
      </c>
      <c r="U4301">
        <v>7.1411130000000001E-3</v>
      </c>
      <c r="V4301">
        <v>3.1660769999999998E-2</v>
      </c>
      <c r="W4301">
        <v>0.19022729999999999</v>
      </c>
      <c r="X4301">
        <v>0.98122940000000003</v>
      </c>
      <c r="Y4301">
        <v>7.1666280000000002E-4</v>
      </c>
      <c r="Z4301" s="1">
        <v>-2.720184E-5</v>
      </c>
      <c r="AA4301">
        <v>0.99999979999999999</v>
      </c>
      <c r="AB4301">
        <v>36</v>
      </c>
      <c r="AC4301">
        <v>-26.092400000000001</v>
      </c>
      <c r="AD4301">
        <v>-1.121900262654</v>
      </c>
      <c r="AE4301">
        <v>6.1800000000005101E-2</v>
      </c>
      <c r="AF4301">
        <v>1.9819601064740199E-2</v>
      </c>
      <c r="AG4301">
        <v>-1.121900262654</v>
      </c>
      <c r="AH4301">
        <v>26.044316221738001</v>
      </c>
      <c r="AI4301">
        <v>92.466581034990298</v>
      </c>
      <c r="AJ4301">
        <v>89.956398192075198</v>
      </c>
      <c r="AK4301">
        <v>26.068476374230499</v>
      </c>
      <c r="AL4301">
        <v>79.033950347936894</v>
      </c>
      <c r="AM4301">
        <v>88.151910910816397</v>
      </c>
      <c r="AN4301">
        <v>0.99999998272332102</v>
      </c>
    </row>
    <row r="4302" spans="1:40" x14ac:dyDescent="0.25">
      <c r="A4302" t="str">
        <f>"20190303162906662"</f>
        <v>20190303162906662</v>
      </c>
      <c r="B4302" t="str">
        <f>"1551601746656385"</f>
        <v>1551601746656385</v>
      </c>
      <c r="C4302" t="s">
        <v>40</v>
      </c>
      <c r="D4302">
        <v>4.705756</v>
      </c>
      <c r="E4302">
        <v>0.48897950000000001</v>
      </c>
      <c r="F4302" t="s">
        <v>41</v>
      </c>
      <c r="G4302">
        <v>-323.42160000000001</v>
      </c>
      <c r="H4302" s="1">
        <v>-3.6277239999999998E-6</v>
      </c>
      <c r="I4302">
        <v>142.7106</v>
      </c>
      <c r="J4302">
        <v>-298.54160000000002</v>
      </c>
      <c r="K4302">
        <v>1.121899</v>
      </c>
      <c r="L4302">
        <v>142.65039999999999</v>
      </c>
      <c r="M4302">
        <v>-0.99991859999999999</v>
      </c>
      <c r="N4302">
        <v>-1.274023E-2</v>
      </c>
      <c r="O4302">
        <v>8.389952E-4</v>
      </c>
      <c r="P4302">
        <v>-0.98368299999999997</v>
      </c>
      <c r="Q4302">
        <v>0.17700469999999999</v>
      </c>
      <c r="R4302">
        <v>3.2206779999999997E-2</v>
      </c>
      <c r="S4302">
        <v>-3.0747070000000001</v>
      </c>
      <c r="T4302">
        <v>-0.1366675</v>
      </c>
      <c r="U4302">
        <v>7.3242189999999999E-3</v>
      </c>
      <c r="V4302">
        <v>3.105012E-2</v>
      </c>
      <c r="W4302">
        <v>0.18957750000000001</v>
      </c>
      <c r="X4302">
        <v>0.98137470000000004</v>
      </c>
      <c r="Y4302">
        <v>1.5414809999999999E-3</v>
      </c>
      <c r="Z4302" s="1">
        <v>1.747939E-5</v>
      </c>
      <c r="AA4302">
        <v>0.99999879999999997</v>
      </c>
      <c r="AB4302">
        <v>36</v>
      </c>
      <c r="AC4302">
        <v>-24.8799999999999</v>
      </c>
      <c r="AD4302">
        <v>-1.1219026277240001</v>
      </c>
      <c r="AE4302">
        <v>6.0200000000008899E-2</v>
      </c>
      <c r="AF4302">
        <v>3.9244289844233601E-2</v>
      </c>
      <c r="AG4302">
        <v>-1.1219026277240001</v>
      </c>
      <c r="AH4302">
        <v>24.829555170868499</v>
      </c>
      <c r="AI4302">
        <v>92.587098861616397</v>
      </c>
      <c r="AJ4302">
        <v>89.909441377817004</v>
      </c>
      <c r="AK4302">
        <v>24.8549193441375</v>
      </c>
      <c r="AL4302">
        <v>79.071871607331502</v>
      </c>
      <c r="AM4302">
        <v>88.187799677405295</v>
      </c>
      <c r="AN4302">
        <v>1.0000000201291701</v>
      </c>
    </row>
    <row r="4303" spans="1:40" x14ac:dyDescent="0.25">
      <c r="A4303" t="str">
        <f>"20190303162906684"</f>
        <v>20190303162906684</v>
      </c>
      <c r="B4303" t="str">
        <f>"1551601746675904"</f>
        <v>1551601746675904</v>
      </c>
      <c r="C4303" t="s">
        <v>40</v>
      </c>
      <c r="D4303">
        <v>4.7756759999999998</v>
      </c>
      <c r="E4303">
        <v>0.48921520000000002</v>
      </c>
      <c r="F4303" t="s">
        <v>41</v>
      </c>
      <c r="G4303">
        <v>-321.43239999999997</v>
      </c>
      <c r="H4303" s="1">
        <v>-4.3341919999999997E-6</v>
      </c>
      <c r="I4303">
        <v>142.69229999999999</v>
      </c>
      <c r="J4303">
        <v>-298.9008</v>
      </c>
      <c r="K4303">
        <v>1.121899</v>
      </c>
      <c r="L4303">
        <v>142.6499</v>
      </c>
      <c r="M4303">
        <v>-0.9999188</v>
      </c>
      <c r="N4303">
        <v>-1.27393E-2</v>
      </c>
      <c r="O4303" s="1">
        <v>7.3654799999999998E-5</v>
      </c>
      <c r="P4303">
        <v>-0.98366489999999995</v>
      </c>
      <c r="Q4303">
        <v>0.1772039</v>
      </c>
      <c r="R4303">
        <v>3.1657459999999998E-2</v>
      </c>
      <c r="S4303">
        <v>-3.076721</v>
      </c>
      <c r="T4303">
        <v>-0.15079409999999999</v>
      </c>
      <c r="U4303">
        <v>5.6457520000000004E-3</v>
      </c>
      <c r="V4303">
        <v>3.1253490000000002E-2</v>
      </c>
      <c r="W4303">
        <v>0.189776</v>
      </c>
      <c r="X4303">
        <v>0.98132989999999998</v>
      </c>
      <c r="Y4303">
        <v>1.758714E-3</v>
      </c>
      <c r="Z4303" s="1">
        <v>5.1614070000000002E-5</v>
      </c>
      <c r="AA4303">
        <v>0.99999850000000001</v>
      </c>
      <c r="AB4303">
        <v>36</v>
      </c>
      <c r="AC4303">
        <v>-22.531599999999901</v>
      </c>
      <c r="AD4303">
        <v>-1.1219033341919999</v>
      </c>
      <c r="AE4303">
        <v>4.23999999999864E-2</v>
      </c>
      <c r="AF4303">
        <v>4.0639547882514698E-2</v>
      </c>
      <c r="AG4303">
        <v>-1.1219033341919999</v>
      </c>
      <c r="AH4303">
        <v>22.4758791034062</v>
      </c>
      <c r="AI4303">
        <v>92.857592967784996</v>
      </c>
      <c r="AJ4303">
        <v>89.896401291948095</v>
      </c>
      <c r="AK4303">
        <v>22.503898776324402</v>
      </c>
      <c r="AL4303">
        <v>79.060288354611799</v>
      </c>
      <c r="AM4303">
        <v>88.175855024753702</v>
      </c>
      <c r="AN4303">
        <v>1.0000000417235899</v>
      </c>
    </row>
    <row r="4304" spans="1:40" x14ac:dyDescent="0.25">
      <c r="A4304" t="str">
        <f>"20190303162906706"</f>
        <v>20190303162906706</v>
      </c>
      <c r="B4304" t="str">
        <f>"1551601746696400"</f>
        <v>1551601746696400</v>
      </c>
      <c r="C4304" t="s">
        <v>40</v>
      </c>
      <c r="D4304">
        <v>4.7656429999999999</v>
      </c>
      <c r="E4304">
        <v>0.48940329999999899</v>
      </c>
      <c r="F4304" t="s">
        <v>41</v>
      </c>
      <c r="G4304">
        <v>-321.0675</v>
      </c>
      <c r="H4304" s="1">
        <v>-4.4569819999999998E-6</v>
      </c>
      <c r="I4304">
        <v>142.68440000000001</v>
      </c>
      <c r="J4304">
        <v>-299.23739999999998</v>
      </c>
      <c r="K4304">
        <v>1.121902</v>
      </c>
      <c r="L4304">
        <v>142.64920000000001</v>
      </c>
      <c r="M4304">
        <v>-0.9999188</v>
      </c>
      <c r="N4304">
        <v>-1.273846E-2</v>
      </c>
      <c r="O4304">
        <v>-6.4370970000000003E-4</v>
      </c>
      <c r="P4304">
        <v>-0.9837053</v>
      </c>
      <c r="Q4304">
        <v>0.17712259999999999</v>
      </c>
      <c r="R4304">
        <v>3.0848420000000001E-2</v>
      </c>
      <c r="S4304">
        <v>-3.077728</v>
      </c>
      <c r="T4304">
        <v>-0.1557711</v>
      </c>
      <c r="U4304">
        <v>4.8065190000000004E-3</v>
      </c>
      <c r="V4304">
        <v>3.115041E-2</v>
      </c>
      <c r="W4304">
        <v>0.18969359999999999</v>
      </c>
      <c r="X4304">
        <v>0.98134909999999997</v>
      </c>
      <c r="Y4304">
        <v>2.2014790000000001E-3</v>
      </c>
      <c r="Z4304" s="1">
        <v>9.4071469999999993E-5</v>
      </c>
      <c r="AA4304">
        <v>0.99999760000000004</v>
      </c>
      <c r="AB4304">
        <v>36</v>
      </c>
      <c r="AC4304">
        <v>-21.830100000000002</v>
      </c>
      <c r="AD4304">
        <v>-1.1219064569820001</v>
      </c>
      <c r="AE4304">
        <v>3.5200000000003201E-2</v>
      </c>
      <c r="AF4304">
        <v>4.9123632883071901E-2</v>
      </c>
      <c r="AG4304">
        <v>-1.1219064569820001</v>
      </c>
      <c r="AH4304">
        <v>21.772567187475499</v>
      </c>
      <c r="AI4304">
        <v>92.949745871384295</v>
      </c>
      <c r="AJ4304">
        <v>89.870728516373404</v>
      </c>
      <c r="AK4304">
        <v>21.801508414847401</v>
      </c>
      <c r="AL4304">
        <v>79.065096774947605</v>
      </c>
      <c r="AM4304">
        <v>88.181902907571995</v>
      </c>
      <c r="AN4304">
        <v>1.0000000329974601</v>
      </c>
    </row>
    <row r="4305" spans="1:40" x14ac:dyDescent="0.25">
      <c r="A4305" t="str">
        <f>"20190303162906728"</f>
        <v>20190303162906728</v>
      </c>
      <c r="B4305" t="str">
        <f>"1551601746715922"</f>
        <v>1551601746715922</v>
      </c>
      <c r="C4305" t="s">
        <v>40</v>
      </c>
      <c r="D4305">
        <v>4.7577160000000003</v>
      </c>
      <c r="E4305">
        <v>0.4895159</v>
      </c>
      <c r="F4305" t="s">
        <v>41</v>
      </c>
      <c r="G4305">
        <v>-321.09010000000001</v>
      </c>
      <c r="H4305" s="1">
        <v>-4.446717E-6</v>
      </c>
      <c r="I4305">
        <v>142.66999999999999</v>
      </c>
      <c r="J4305">
        <v>-299.58949999999999</v>
      </c>
      <c r="K4305">
        <v>1.121904</v>
      </c>
      <c r="L4305">
        <v>142.6482</v>
      </c>
      <c r="M4305">
        <v>-0.99991790000000003</v>
      </c>
      <c r="N4305">
        <v>-1.273759E-2</v>
      </c>
      <c r="O4305">
        <v>-1.3945660000000001E-3</v>
      </c>
      <c r="P4305">
        <v>-0.98368429999999996</v>
      </c>
      <c r="Q4305">
        <v>0.1774097</v>
      </c>
      <c r="R4305">
        <v>2.9858889999999999E-2</v>
      </c>
      <c r="S4305">
        <v>-3.0780639999999999</v>
      </c>
      <c r="T4305">
        <v>-0.15802659999999999</v>
      </c>
      <c r="U4305">
        <v>2.9449459999999999E-3</v>
      </c>
      <c r="V4305">
        <v>3.0899289999999999E-2</v>
      </c>
      <c r="W4305">
        <v>0.1899787</v>
      </c>
      <c r="X4305">
        <v>0.9813018</v>
      </c>
      <c r="Y4305">
        <v>2.3465339999999999E-3</v>
      </c>
      <c r="Z4305">
        <v>1.2894680000000001E-4</v>
      </c>
      <c r="AA4305">
        <v>0.99999729999999998</v>
      </c>
      <c r="AB4305">
        <v>36</v>
      </c>
      <c r="AC4305">
        <v>-21.500599999999999</v>
      </c>
      <c r="AD4305">
        <v>-1.121908446717</v>
      </c>
      <c r="AE4305">
        <v>2.17999999999847E-2</v>
      </c>
      <c r="AF4305">
        <v>5.1645796900417797E-2</v>
      </c>
      <c r="AG4305">
        <v>-1.121908446717</v>
      </c>
      <c r="AH4305">
        <v>21.442166292565499</v>
      </c>
      <c r="AI4305">
        <v>92.995120414283903</v>
      </c>
      <c r="AJ4305">
        <v>89.861997130823895</v>
      </c>
      <c r="AK4305">
        <v>21.471558890056901</v>
      </c>
      <c r="AL4305">
        <v>79.048458261143395</v>
      </c>
      <c r="AM4305">
        <v>88.196462964630598</v>
      </c>
      <c r="AN4305">
        <v>0.999999947629715</v>
      </c>
    </row>
    <row r="4306" spans="1:40" x14ac:dyDescent="0.25">
      <c r="A4306" t="str">
        <f>"20190303162906751"</f>
        <v>20190303162906751</v>
      </c>
      <c r="B4306" t="str">
        <f>"1551601746736417"</f>
        <v>1551601746736417</v>
      </c>
      <c r="C4306" t="s">
        <v>40</v>
      </c>
      <c r="D4306">
        <v>4.7217500000000001</v>
      </c>
      <c r="E4306">
        <v>0.48974889999999999</v>
      </c>
      <c r="F4306" t="s">
        <v>41</v>
      </c>
      <c r="G4306">
        <v>-320.90600000000001</v>
      </c>
      <c r="H4306" s="1">
        <v>-4.5067289999999997E-6</v>
      </c>
      <c r="I4306">
        <v>142.6551</v>
      </c>
      <c r="J4306">
        <v>-299.95280000000002</v>
      </c>
      <c r="K4306">
        <v>1.1219049999999999</v>
      </c>
      <c r="L4306">
        <v>142.64689999999999</v>
      </c>
      <c r="M4306">
        <v>-0.99991660000000004</v>
      </c>
      <c r="N4306">
        <v>-1.273667E-2</v>
      </c>
      <c r="O4306">
        <v>-2.1689069999999999E-3</v>
      </c>
      <c r="P4306">
        <v>-0.98365000000000002</v>
      </c>
      <c r="Q4306">
        <v>0.17770939999999999</v>
      </c>
      <c r="R4306">
        <v>2.9190270000000001E-2</v>
      </c>
      <c r="S4306">
        <v>-3.0789490000000002</v>
      </c>
      <c r="T4306">
        <v>-0.1620491</v>
      </c>
      <c r="U4306">
        <v>1.00708E-3</v>
      </c>
      <c r="V4306">
        <v>3.0991830000000001E-2</v>
      </c>
      <c r="W4306">
        <v>0.1902769</v>
      </c>
      <c r="X4306">
        <v>0.98124120000000004</v>
      </c>
      <c r="Y4306">
        <v>2.4901609999999999E-3</v>
      </c>
      <c r="Z4306">
        <v>1.6781939999999999E-4</v>
      </c>
      <c r="AA4306">
        <v>0.99999689999999997</v>
      </c>
      <c r="AB4306">
        <v>36</v>
      </c>
      <c r="AC4306">
        <v>-20.953199999999899</v>
      </c>
      <c r="AD4306">
        <v>-1.1219095067289999</v>
      </c>
      <c r="AE4306">
        <v>8.2000000000164094E-3</v>
      </c>
      <c r="AF4306">
        <v>5.34958383774237E-2</v>
      </c>
      <c r="AG4306">
        <v>-1.1219095067289999</v>
      </c>
      <c r="AH4306">
        <v>20.8932337888196</v>
      </c>
      <c r="AI4306">
        <v>93.073664647725494</v>
      </c>
      <c r="AJ4306">
        <v>89.853298005781497</v>
      </c>
      <c r="AK4306">
        <v>20.923402230523699</v>
      </c>
      <c r="AL4306">
        <v>79.031056268113403</v>
      </c>
      <c r="AM4306">
        <v>88.190953508496193</v>
      </c>
      <c r="AN4306">
        <v>1.00000004238889</v>
      </c>
    </row>
    <row r="4307" spans="1:40" x14ac:dyDescent="0.25">
      <c r="A4307" t="str">
        <f>"20190303162906775"</f>
        <v>20190303162906775</v>
      </c>
      <c r="B4307" t="str">
        <f>"1551601746765697"</f>
        <v>1551601746765697</v>
      </c>
      <c r="C4307" t="s">
        <v>40</v>
      </c>
      <c r="D4307">
        <v>4.8492009999999999</v>
      </c>
      <c r="E4307">
        <v>0.48958239999999997</v>
      </c>
      <c r="F4307" t="s">
        <v>41</v>
      </c>
      <c r="G4307">
        <v>-320.93680000000001</v>
      </c>
      <c r="H4307" s="1">
        <v>-4.4964330000000001E-6</v>
      </c>
      <c r="I4307">
        <v>142.65620000000001</v>
      </c>
      <c r="J4307">
        <v>-300.34210000000002</v>
      </c>
      <c r="K4307">
        <v>1.121899</v>
      </c>
      <c r="L4307">
        <v>142.64510000000001</v>
      </c>
      <c r="M4307">
        <v>-0.99991439999999998</v>
      </c>
      <c r="N4307">
        <v>-1.2735659999999999E-2</v>
      </c>
      <c r="O4307">
        <v>-2.9987960000000002E-3</v>
      </c>
      <c r="P4307">
        <v>-0.98377110000000001</v>
      </c>
      <c r="Q4307">
        <v>0.17704489999999901</v>
      </c>
      <c r="R4307">
        <v>2.9147989999999999E-2</v>
      </c>
      <c r="S4307">
        <v>-3.0795590000000002</v>
      </c>
      <c r="T4307">
        <v>-0.1646494</v>
      </c>
      <c r="U4307">
        <v>1.373291E-3</v>
      </c>
      <c r="V4307">
        <v>3.1767469999999999E-2</v>
      </c>
      <c r="W4307">
        <v>0.189614</v>
      </c>
      <c r="X4307">
        <v>0.98134460000000001</v>
      </c>
      <c r="Y4307">
        <v>3.43641E-3</v>
      </c>
      <c r="Z4307">
        <v>2.3574570000000001E-4</v>
      </c>
      <c r="AA4307">
        <v>0.99999400000000005</v>
      </c>
      <c r="AB4307">
        <v>36</v>
      </c>
      <c r="AC4307">
        <v>-20.5946999999999</v>
      </c>
      <c r="AD4307">
        <v>-1.1219034964329999</v>
      </c>
      <c r="AE4307">
        <v>1.1099999999999E-2</v>
      </c>
      <c r="AF4307">
        <v>7.2648673837661701E-2</v>
      </c>
      <c r="AG4307">
        <v>-1.1219034964329999</v>
      </c>
      <c r="AH4307">
        <v>20.533639227146701</v>
      </c>
      <c r="AI4307">
        <v>93.127360123630396</v>
      </c>
      <c r="AJ4307">
        <v>89.797286541168106</v>
      </c>
      <c r="AK4307">
        <v>20.5643936257731</v>
      </c>
      <c r="AL4307">
        <v>79.069740710219094</v>
      </c>
      <c r="AM4307">
        <v>88.1459045301348</v>
      </c>
      <c r="AN4307">
        <v>0.99999993254767805</v>
      </c>
    </row>
    <row r="4308" spans="1:40" x14ac:dyDescent="0.25">
      <c r="A4308" t="str">
        <f>"20190303162906794"</f>
        <v>20190303162906794</v>
      </c>
      <c r="B4308" t="str">
        <f>"1551601746786193"</f>
        <v>1551601746786193</v>
      </c>
      <c r="C4308" t="s">
        <v>40</v>
      </c>
      <c r="D4308">
        <v>4.9730850000000002</v>
      </c>
      <c r="E4308">
        <v>0.46312550000000002</v>
      </c>
      <c r="F4308" t="s">
        <v>41</v>
      </c>
      <c r="G4308">
        <v>-320.6737</v>
      </c>
      <c r="H4308" s="1">
        <v>-4.5837949999999997E-6</v>
      </c>
      <c r="I4308">
        <v>142.6438</v>
      </c>
      <c r="J4308">
        <v>-300.66460000000001</v>
      </c>
      <c r="K4308">
        <v>1.121891</v>
      </c>
      <c r="L4308">
        <v>142.64349999999999</v>
      </c>
      <c r="M4308">
        <v>-0.99991220000000003</v>
      </c>
      <c r="N4308">
        <v>-1.2734830000000001E-2</v>
      </c>
      <c r="O4308">
        <v>-3.6867139999999998E-3</v>
      </c>
      <c r="P4308">
        <v>-0.98405620000000005</v>
      </c>
      <c r="Q4308">
        <v>0.1754474</v>
      </c>
      <c r="R4308">
        <v>2.918801E-2</v>
      </c>
      <c r="S4308">
        <v>-3.0800779999999999</v>
      </c>
      <c r="T4308">
        <v>-0.16996040000000001</v>
      </c>
      <c r="U4308">
        <v>-1.8310550000000001E-4</v>
      </c>
      <c r="V4308">
        <v>3.2488320000000001E-2</v>
      </c>
      <c r="W4308">
        <v>0.18802050000000001</v>
      </c>
      <c r="X4308">
        <v>0.98162760000000004</v>
      </c>
      <c r="Y4308">
        <v>3.6174710000000001E-3</v>
      </c>
      <c r="Z4308">
        <v>2.7914319999999999E-4</v>
      </c>
      <c r="AA4308">
        <v>0.99999340000000003</v>
      </c>
      <c r="AB4308">
        <v>36</v>
      </c>
      <c r="AC4308">
        <v>-20.009099999999901</v>
      </c>
      <c r="AD4308">
        <v>-1.121895583795</v>
      </c>
      <c r="AE4308">
        <v>3.0000000000995799E-4</v>
      </c>
      <c r="AF4308">
        <v>7.3841662325051696E-2</v>
      </c>
      <c r="AG4308">
        <v>-1.121895583795</v>
      </c>
      <c r="AH4308">
        <v>19.946256591949599</v>
      </c>
      <c r="AI4308">
        <v>93.219239943326301</v>
      </c>
      <c r="AJ4308">
        <v>89.787890211063498</v>
      </c>
      <c r="AK4308">
        <v>19.977919169020701</v>
      </c>
      <c r="AL4308">
        <v>79.162714367209702</v>
      </c>
      <c r="AM4308">
        <v>88.104409035482007</v>
      </c>
      <c r="AN4308">
        <v>0.99999997221921499</v>
      </c>
    </row>
    <row r="4309" spans="1:40" x14ac:dyDescent="0.25">
      <c r="A4309" t="str">
        <f>"20190303162906820"</f>
        <v>20190303162906820</v>
      </c>
      <c r="B4309" t="str">
        <f>"1551601746805713"</f>
        <v>1551601746805713</v>
      </c>
      <c r="C4309" t="s">
        <v>40</v>
      </c>
      <c r="D4309">
        <v>4.8999480000000002</v>
      </c>
      <c r="E4309">
        <v>0.46024870000000001</v>
      </c>
      <c r="F4309" t="s">
        <v>56</v>
      </c>
      <c r="G4309">
        <v>-316.96879999999999</v>
      </c>
      <c r="H4309" s="1">
        <v>-7.2171050000000002E-6</v>
      </c>
      <c r="I4309">
        <v>141.52799999999999</v>
      </c>
      <c r="J4309">
        <v>-301.053</v>
      </c>
      <c r="K4309">
        <v>1.1218859999999999</v>
      </c>
      <c r="L4309">
        <v>142.6412</v>
      </c>
      <c r="M4309">
        <v>-0.99990880000000004</v>
      </c>
      <c r="N4309">
        <v>-1.273383E-2</v>
      </c>
      <c r="O4309">
        <v>-4.5152889999999996E-3</v>
      </c>
      <c r="P4309">
        <v>-0.98432129999999995</v>
      </c>
      <c r="Q4309">
        <v>0.17409720000000001</v>
      </c>
      <c r="R4309">
        <v>2.8316480000000002E-2</v>
      </c>
      <c r="S4309">
        <v>-3.0928339999999999</v>
      </c>
      <c r="T4309">
        <v>-0.21281990000000001</v>
      </c>
      <c r="U4309">
        <v>-0.21160889999999999</v>
      </c>
      <c r="V4309">
        <v>3.2435789999999999E-2</v>
      </c>
      <c r="W4309">
        <v>0.186672</v>
      </c>
      <c r="X4309">
        <v>0.9818867</v>
      </c>
      <c r="Y4309">
        <v>-6.3583230000000004E-2</v>
      </c>
      <c r="Z4309">
        <v>-2.3357790000000001E-3</v>
      </c>
      <c r="AA4309">
        <v>0.99797380000000002</v>
      </c>
      <c r="AB4309">
        <v>36</v>
      </c>
      <c r="AC4309">
        <v>-15.9157999999999</v>
      </c>
      <c r="AD4309">
        <v>-1.121893217105</v>
      </c>
      <c r="AE4309">
        <v>-1.1132</v>
      </c>
      <c r="AF4309">
        <v>-1.0361948752519099</v>
      </c>
      <c r="AG4309">
        <v>-1.121893217105</v>
      </c>
      <c r="AH4309">
        <v>15.842331369922301</v>
      </c>
      <c r="AI4309">
        <v>94.0420971316059</v>
      </c>
      <c r="AJ4309">
        <v>93.742198453498702</v>
      </c>
      <c r="AK4309">
        <v>15.915772285519401</v>
      </c>
      <c r="AL4309">
        <v>79.241370768098705</v>
      </c>
      <c r="AM4309">
        <v>88.107970801424997</v>
      </c>
      <c r="AN4309">
        <v>1.0000000038468999</v>
      </c>
    </row>
    <row r="4310" spans="1:40" x14ac:dyDescent="0.25">
      <c r="A4310" t="str">
        <f>"20190303162906841"</f>
        <v>20190303162906841</v>
      </c>
      <c r="B4310" t="str">
        <f>"1551601746835969"</f>
        <v>1551601746835969</v>
      </c>
      <c r="C4310" t="s">
        <v>40</v>
      </c>
      <c r="D4310">
        <v>4.8729630000000004</v>
      </c>
      <c r="E4310">
        <v>0.45927889999999999</v>
      </c>
      <c r="F4310" t="s">
        <v>56</v>
      </c>
      <c r="G4310">
        <v>-318.79610000000002</v>
      </c>
      <c r="H4310" s="1">
        <v>-6.3404219999999997E-6</v>
      </c>
      <c r="I4310">
        <v>141.27680000000001</v>
      </c>
      <c r="J4310">
        <v>-301.39670000000001</v>
      </c>
      <c r="K4310">
        <v>1.1218859999999999</v>
      </c>
      <c r="L4310">
        <v>142.63890000000001</v>
      </c>
      <c r="M4310">
        <v>-0.99990520000000005</v>
      </c>
      <c r="N4310">
        <v>-1.273294E-2</v>
      </c>
      <c r="O4310">
        <v>-5.2486210000000002E-3</v>
      </c>
      <c r="P4310">
        <v>-0.98436020000000002</v>
      </c>
      <c r="Q4310">
        <v>0.1740585</v>
      </c>
      <c r="R4310">
        <v>2.7182990000000001E-2</v>
      </c>
      <c r="S4310">
        <v>-3.0891419999999998</v>
      </c>
      <c r="T4310">
        <v>-0.19532530000000001</v>
      </c>
      <c r="U4310">
        <v>-0.2375488</v>
      </c>
      <c r="V4310">
        <v>3.2024780000000003E-2</v>
      </c>
      <c r="W4310">
        <v>0.1866322</v>
      </c>
      <c r="X4310">
        <v>0.98190770000000005</v>
      </c>
      <c r="Y4310">
        <v>-7.1273459999999997E-2</v>
      </c>
      <c r="Z4310">
        <v>-2.4383830000000001E-3</v>
      </c>
      <c r="AA4310">
        <v>0.99745379999999995</v>
      </c>
      <c r="AB4310">
        <v>36</v>
      </c>
      <c r="AC4310">
        <v>-17.3994</v>
      </c>
      <c r="AD4310">
        <v>-1.121892340422</v>
      </c>
      <c r="AE4310">
        <v>-1.3620999999999901</v>
      </c>
      <c r="AF4310">
        <v>-1.26552160189658</v>
      </c>
      <c r="AG4310">
        <v>-1.121892340422</v>
      </c>
      <c r="AH4310">
        <v>17.334679816131001</v>
      </c>
      <c r="AI4310">
        <v>93.693190063122501</v>
      </c>
      <c r="AJ4310">
        <v>94.175481708749899</v>
      </c>
      <c r="AK4310">
        <v>17.4169834264187</v>
      </c>
      <c r="AL4310">
        <v>79.243691323830703</v>
      </c>
      <c r="AM4310">
        <v>88.131968471077698</v>
      </c>
      <c r="AN4310">
        <v>0.99999994796508695</v>
      </c>
    </row>
    <row r="4311" spans="1:40" x14ac:dyDescent="0.25">
      <c r="A4311" t="str">
        <f>"20190303162906863"</f>
        <v>20190303162906863</v>
      </c>
      <c r="B4311" t="str">
        <f>"1551601746856465"</f>
        <v>1551601746856465</v>
      </c>
      <c r="C4311" t="s">
        <v>40</v>
      </c>
      <c r="D4311">
        <v>4.8536580000000002</v>
      </c>
      <c r="E4311">
        <v>0.4594355</v>
      </c>
      <c r="F4311" t="s">
        <v>56</v>
      </c>
      <c r="G4311">
        <v>-319.21660000000003</v>
      </c>
      <c r="H4311" s="1">
        <v>-6.1340470000000003E-6</v>
      </c>
      <c r="I4311">
        <v>141.20140000000001</v>
      </c>
      <c r="J4311">
        <v>-301.74380000000002</v>
      </c>
      <c r="K4311">
        <v>1.121885</v>
      </c>
      <c r="L4311">
        <v>142.63630000000001</v>
      </c>
      <c r="M4311">
        <v>-0.99990109999999999</v>
      </c>
      <c r="N4311">
        <v>-1.273205E-2</v>
      </c>
      <c r="O4311">
        <v>-5.9888719999999897E-3</v>
      </c>
      <c r="P4311">
        <v>-0.98435280000000003</v>
      </c>
      <c r="Q4311">
        <v>0.17428150000000001</v>
      </c>
      <c r="R4311">
        <v>2.5997159999999998E-2</v>
      </c>
      <c r="S4311">
        <v>-3.0889280000000001</v>
      </c>
      <c r="T4311">
        <v>-0.1944697</v>
      </c>
      <c r="U4311">
        <v>-0.24917600000000001</v>
      </c>
      <c r="V4311">
        <v>3.1567079999999997E-2</v>
      </c>
      <c r="W4311">
        <v>0.1868533</v>
      </c>
      <c r="X4311">
        <v>0.98188050000000004</v>
      </c>
      <c r="Y4311">
        <v>-7.4266550000000001E-2</v>
      </c>
      <c r="Z4311">
        <v>-2.5058789999999999E-3</v>
      </c>
      <c r="AA4311">
        <v>0.99723530000000005</v>
      </c>
      <c r="AB4311">
        <v>36</v>
      </c>
      <c r="AC4311">
        <v>-17.472799999999999</v>
      </c>
      <c r="AD4311">
        <v>-1.1218911340469999</v>
      </c>
      <c r="AE4311">
        <v>-1.4348999999999901</v>
      </c>
      <c r="AF4311">
        <v>-1.3247983349760999</v>
      </c>
      <c r="AG4311">
        <v>-1.1218911340469999</v>
      </c>
      <c r="AH4311">
        <v>17.409787083835401</v>
      </c>
      <c r="AI4311">
        <v>93.6764572345392</v>
      </c>
      <c r="AJ4311">
        <v>94.351538076151996</v>
      </c>
      <c r="AK4311">
        <v>17.496125761136099</v>
      </c>
      <c r="AL4311">
        <v>79.230796697989902</v>
      </c>
      <c r="AM4311">
        <v>88.1585969990645</v>
      </c>
      <c r="AN4311">
        <v>0.99999997627043302</v>
      </c>
    </row>
    <row r="4312" spans="1:40" x14ac:dyDescent="0.25">
      <c r="A4312" t="str">
        <f>"20190303162906884"</f>
        <v>20190303162906884</v>
      </c>
      <c r="B4312" t="str">
        <f>"1551601746875985"</f>
        <v>1551601746875985</v>
      </c>
      <c r="C4312" t="s">
        <v>40</v>
      </c>
      <c r="D4312">
        <v>4.9997860000000003</v>
      </c>
      <c r="E4312">
        <v>0.45941690000000002</v>
      </c>
      <c r="F4312" t="s">
        <v>56</v>
      </c>
      <c r="G4312">
        <v>-319.08519999999999</v>
      </c>
      <c r="H4312" s="1">
        <v>-6.1975030000000002E-6</v>
      </c>
      <c r="I4312">
        <v>141.221</v>
      </c>
      <c r="J4312">
        <v>-302.09059999999999</v>
      </c>
      <c r="K4312">
        <v>1.1218840000000001</v>
      </c>
      <c r="L4312">
        <v>142.6335</v>
      </c>
      <c r="M4312">
        <v>-0.99989629999999996</v>
      </c>
      <c r="N4312">
        <v>-1.27311E-2</v>
      </c>
      <c r="O4312">
        <v>-6.728286E-3</v>
      </c>
      <c r="P4312">
        <v>-0.9843809</v>
      </c>
      <c r="Q4312">
        <v>0.17425370000000001</v>
      </c>
      <c r="R4312">
        <v>2.5094269999999998E-2</v>
      </c>
      <c r="S4312">
        <v>-3.0897519999999998</v>
      </c>
      <c r="T4312">
        <v>-0.19988890000000001</v>
      </c>
      <c r="U4312">
        <v>-0.25216670000000002</v>
      </c>
      <c r="V4312">
        <v>3.1392320000000001E-2</v>
      </c>
      <c r="W4312">
        <v>0.1868243</v>
      </c>
      <c r="X4312">
        <v>0.98189159999999998</v>
      </c>
      <c r="Y4312">
        <v>-7.4458830000000004E-2</v>
      </c>
      <c r="Z4312">
        <v>-2.5287769999999998E-3</v>
      </c>
      <c r="AA4312">
        <v>0.99722089999999997</v>
      </c>
      <c r="AB4312">
        <v>36</v>
      </c>
      <c r="AC4312">
        <v>-16.994599999999899</v>
      </c>
      <c r="AD4312">
        <v>-1.121890197503</v>
      </c>
      <c r="AE4312">
        <v>-1.4124999999999901</v>
      </c>
      <c r="AF4312">
        <v>-1.2925201736566301</v>
      </c>
      <c r="AG4312">
        <v>-1.121890197503</v>
      </c>
      <c r="AH4312">
        <v>16.9304444772885</v>
      </c>
      <c r="AI4312">
        <v>93.780175165063497</v>
      </c>
      <c r="AJ4312">
        <v>94.365660918802902</v>
      </c>
      <c r="AK4312">
        <v>17.016732830161999</v>
      </c>
      <c r="AL4312">
        <v>79.232487833075695</v>
      </c>
      <c r="AM4312">
        <v>88.168805004200294</v>
      </c>
      <c r="AN4312">
        <v>0.99999995548801501</v>
      </c>
    </row>
    <row r="4313" spans="1:40" x14ac:dyDescent="0.25">
      <c r="A4313" t="str">
        <f>"20190303162906906"</f>
        <v>20190303162906906</v>
      </c>
      <c r="B4313" t="str">
        <f>"1551601746896480"</f>
        <v>1551601746896480</v>
      </c>
      <c r="C4313" t="s">
        <v>40</v>
      </c>
      <c r="D4313">
        <v>5.0016939999999996</v>
      </c>
      <c r="E4313">
        <v>0.45938669999999998</v>
      </c>
      <c r="F4313" t="s">
        <v>41</v>
      </c>
      <c r="G4313">
        <v>-320.03230000000002</v>
      </c>
      <c r="H4313" s="1">
        <v>-4.5365739999999996E-6</v>
      </c>
      <c r="I4313">
        <v>141.1472</v>
      </c>
      <c r="J4313">
        <v>-302.43239999999997</v>
      </c>
      <c r="K4313">
        <v>1.12188</v>
      </c>
      <c r="L4313">
        <v>142.63040000000001</v>
      </c>
      <c r="M4313">
        <v>-0.99989119999999998</v>
      </c>
      <c r="N4313">
        <v>-1.2730160000000001E-2</v>
      </c>
      <c r="O4313">
        <v>-7.4572099999999997E-3</v>
      </c>
      <c r="P4313">
        <v>-0.98432719999999996</v>
      </c>
      <c r="Q4313">
        <v>0.1746818</v>
      </c>
      <c r="R4313">
        <v>2.420663E-2</v>
      </c>
      <c r="S4313">
        <v>-3.0882869999999998</v>
      </c>
      <c r="T4313">
        <v>-0.19311059999999999</v>
      </c>
      <c r="U4313">
        <v>-0.25582890000000003</v>
      </c>
      <c r="V4313">
        <v>3.122111E-2</v>
      </c>
      <c r="W4313">
        <v>0.18725049999999999</v>
      </c>
      <c r="X4313">
        <v>0.98181589999999996</v>
      </c>
      <c r="Y4313">
        <v>-7.4954960000000001E-2</v>
      </c>
      <c r="Z4313">
        <v>-2.4453729999999998E-3</v>
      </c>
      <c r="AA4313">
        <v>0.99718390000000001</v>
      </c>
      <c r="AB4313">
        <v>36</v>
      </c>
      <c r="AC4313">
        <v>-17.599900000000002</v>
      </c>
      <c r="AD4313">
        <v>-1.121884536574</v>
      </c>
      <c r="AE4313">
        <v>-1.4832000000000101</v>
      </c>
      <c r="AF4313">
        <v>-1.34646948061711</v>
      </c>
      <c r="AG4313">
        <v>-1.121884536574</v>
      </c>
      <c r="AH4313">
        <v>17.539705956317199</v>
      </c>
      <c r="AI4313">
        <v>93.649091890460596</v>
      </c>
      <c r="AJ4313">
        <v>94.389811644813804</v>
      </c>
      <c r="AK4313">
        <v>17.6270499519831</v>
      </c>
      <c r="AL4313">
        <v>79.207630010398802</v>
      </c>
      <c r="AM4313">
        <v>88.178645056197396</v>
      </c>
      <c r="AN4313">
        <v>0.99999998447634597</v>
      </c>
    </row>
    <row r="4314" spans="1:40" x14ac:dyDescent="0.25">
      <c r="A4314" t="str">
        <f>"20190303162906928"</f>
        <v>20190303162906928</v>
      </c>
      <c r="B4314" t="str">
        <f>"1551601746916001"</f>
        <v>1551601746916001</v>
      </c>
      <c r="C4314" t="s">
        <v>40</v>
      </c>
      <c r="D4314">
        <v>4.9362050000000002</v>
      </c>
      <c r="E4314">
        <v>0.45936300000000002</v>
      </c>
      <c r="F4314" t="s">
        <v>41</v>
      </c>
      <c r="G4314">
        <v>-321.03160000000003</v>
      </c>
      <c r="H4314" s="1">
        <v>-4.1829159999999998E-6</v>
      </c>
      <c r="I4314">
        <v>141.07060000000001</v>
      </c>
      <c r="J4314">
        <v>-302.79020000000003</v>
      </c>
      <c r="K4314">
        <v>1.121891</v>
      </c>
      <c r="L4314">
        <v>142.62700000000001</v>
      </c>
      <c r="M4314">
        <v>-0.99988529999999998</v>
      </c>
      <c r="N4314">
        <v>-1.272917E-2</v>
      </c>
      <c r="O4314">
        <v>-8.2204630000000008E-3</v>
      </c>
      <c r="P4314">
        <v>-0.98410949999999997</v>
      </c>
      <c r="Q4314">
        <v>0.17604249999999999</v>
      </c>
      <c r="R4314">
        <v>2.3187010000000001E-2</v>
      </c>
      <c r="S4314">
        <v>-3.087189</v>
      </c>
      <c r="T4314">
        <v>-0.18621660000000001</v>
      </c>
      <c r="U4314">
        <v>-0.25889590000000001</v>
      </c>
      <c r="V4314">
        <v>3.0948719999999999E-2</v>
      </c>
      <c r="W4314">
        <v>0.18860640000000001</v>
      </c>
      <c r="X4314">
        <v>0.98156500000000002</v>
      </c>
      <c r="Y4314">
        <v>-7.5217469999999995E-2</v>
      </c>
      <c r="Z4314">
        <v>-2.3525239999999999E-3</v>
      </c>
      <c r="AA4314">
        <v>0.99716439999999995</v>
      </c>
      <c r="AB4314">
        <v>36</v>
      </c>
      <c r="AC4314">
        <v>-18.241399999999999</v>
      </c>
      <c r="AD4314">
        <v>-1.121895182916</v>
      </c>
      <c r="AE4314">
        <v>-1.55639999999999</v>
      </c>
      <c r="AF4314">
        <v>-1.4011209658358901</v>
      </c>
      <c r="AG4314">
        <v>-1.121895182916</v>
      </c>
      <c r="AH4314">
        <v>18.185288732589498</v>
      </c>
      <c r="AI4314">
        <v>93.519837935308004</v>
      </c>
      <c r="AJ4314">
        <v>94.405760736849999</v>
      </c>
      <c r="AK4314">
        <v>18.273656313119201</v>
      </c>
      <c r="AL4314">
        <v>79.128533795218601</v>
      </c>
      <c r="AM4314">
        <v>88.194063791312601</v>
      </c>
      <c r="AN4314">
        <v>1.0000000233077899</v>
      </c>
    </row>
    <row r="4315" spans="1:40" x14ac:dyDescent="0.25">
      <c r="A4315" t="str">
        <f>"20190303162906952"</f>
        <v>20190303162906952</v>
      </c>
      <c r="B4315" t="str">
        <f>"1551601746946258"</f>
        <v>1551601746946258</v>
      </c>
      <c r="C4315" t="s">
        <v>40</v>
      </c>
      <c r="D4315">
        <v>4.9855409999999996</v>
      </c>
      <c r="E4315">
        <v>0.45944160000000001</v>
      </c>
      <c r="F4315" t="s">
        <v>41</v>
      </c>
      <c r="G4315">
        <v>-322.25650000000002</v>
      </c>
      <c r="H4315" s="1">
        <v>-3.6670199999999999E-6</v>
      </c>
      <c r="I4315">
        <v>140.97980000000001</v>
      </c>
      <c r="J4315">
        <v>-303.1551</v>
      </c>
      <c r="K4315">
        <v>1.121893</v>
      </c>
      <c r="L4315">
        <v>142.6232</v>
      </c>
      <c r="M4315">
        <v>-0.9998785</v>
      </c>
      <c r="N4315">
        <v>-1.2728150000000001E-2</v>
      </c>
      <c r="O4315">
        <v>-8.9994480000000002E-3</v>
      </c>
      <c r="P4315">
        <v>-0.98388980000000004</v>
      </c>
      <c r="Q4315">
        <v>0.1773816</v>
      </c>
      <c r="R4315">
        <v>2.2290689999999998E-2</v>
      </c>
      <c r="S4315">
        <v>-3.0864259999999999</v>
      </c>
      <c r="T4315">
        <v>-0.17787929999999999</v>
      </c>
      <c r="U4315">
        <v>-0.2611542</v>
      </c>
      <c r="V4315">
        <v>3.0814959999999999E-2</v>
      </c>
      <c r="W4315">
        <v>0.18994130000000001</v>
      </c>
      <c r="X4315">
        <v>0.98131170000000001</v>
      </c>
      <c r="Y4315">
        <v>-7.5198520000000005E-2</v>
      </c>
      <c r="Z4315">
        <v>-2.2382539999999999E-3</v>
      </c>
      <c r="AA4315">
        <v>0.99716610000000006</v>
      </c>
      <c r="AB4315">
        <v>36</v>
      </c>
      <c r="AC4315">
        <v>-19.101400000000002</v>
      </c>
      <c r="AD4315">
        <v>-1.1218966670199999</v>
      </c>
      <c r="AE4315">
        <v>-1.64339999999998</v>
      </c>
      <c r="AF4315">
        <v>-1.46639606938023</v>
      </c>
      <c r="AG4315">
        <v>-1.1218966670199999</v>
      </c>
      <c r="AH4315">
        <v>19.050183596703999</v>
      </c>
      <c r="AI4315">
        <v>93.360431920640195</v>
      </c>
      <c r="AJ4315">
        <v>94.401687295021006</v>
      </c>
      <c r="AK4315">
        <v>19.1394478664327</v>
      </c>
      <c r="AL4315">
        <v>79.050640956092494</v>
      </c>
      <c r="AM4315">
        <v>88.201400053953407</v>
      </c>
      <c r="AN4315">
        <v>0.99999995588118895</v>
      </c>
    </row>
    <row r="4316" spans="1:40" x14ac:dyDescent="0.25">
      <c r="A4316" t="str">
        <f>"20190303162906974"</f>
        <v>20190303162906974</v>
      </c>
      <c r="B4316" t="str">
        <f>"1551601746965777"</f>
        <v>1551601746965777</v>
      </c>
      <c r="C4316" t="s">
        <v>40</v>
      </c>
      <c r="D4316">
        <v>5.0306569999999997</v>
      </c>
      <c r="E4316">
        <v>0.45950210000000002</v>
      </c>
      <c r="F4316" t="s">
        <v>41</v>
      </c>
      <c r="G4316">
        <v>-322.29270000000002</v>
      </c>
      <c r="H4316" s="1">
        <v>-3.6534149999999998E-6</v>
      </c>
      <c r="I4316">
        <v>140.98699999999999</v>
      </c>
      <c r="J4316">
        <v>-303.51499999999999</v>
      </c>
      <c r="K4316">
        <v>1.1218939999999999</v>
      </c>
      <c r="L4316">
        <v>142.6191</v>
      </c>
      <c r="M4316">
        <v>-0.99987139999999997</v>
      </c>
      <c r="N4316">
        <v>-1.272715E-2</v>
      </c>
      <c r="O4316">
        <v>-9.7674690000000008E-3</v>
      </c>
      <c r="P4316">
        <v>-0.98374289999999998</v>
      </c>
      <c r="Q4316">
        <v>0.17821210000000001</v>
      </c>
      <c r="R4316">
        <v>2.2146300000000001E-2</v>
      </c>
      <c r="S4316">
        <v>-3.0877080000000001</v>
      </c>
      <c r="T4316">
        <v>-0.1810108</v>
      </c>
      <c r="U4316">
        <v>-0.26397710000000002</v>
      </c>
      <c r="V4316">
        <v>3.1423380000000001E-2</v>
      </c>
      <c r="W4316">
        <v>0.19076940000000001</v>
      </c>
      <c r="X4316">
        <v>0.9811318</v>
      </c>
      <c r="Y4316">
        <v>-7.5299140000000001E-2</v>
      </c>
      <c r="Z4316">
        <v>-2.2348160000000001E-3</v>
      </c>
      <c r="AA4316">
        <v>0.99715849999999995</v>
      </c>
      <c r="AB4316">
        <v>36</v>
      </c>
      <c r="AC4316">
        <v>-18.777699999999999</v>
      </c>
      <c r="AD4316">
        <v>-1.121897653415</v>
      </c>
      <c r="AE4316">
        <v>-1.6321000000000001</v>
      </c>
      <c r="AF4316">
        <v>-1.44348264440325</v>
      </c>
      <c r="AG4316">
        <v>-1.121897653415</v>
      </c>
      <c r="AH4316">
        <v>18.7264019937742</v>
      </c>
      <c r="AI4316">
        <v>93.418372523709706</v>
      </c>
      <c r="AJ4316">
        <v>94.407800268748403</v>
      </c>
      <c r="AK4316">
        <v>18.815430585608802</v>
      </c>
      <c r="AL4316">
        <v>79.002311110285305</v>
      </c>
      <c r="AM4316">
        <v>88.165575898090793</v>
      </c>
      <c r="AN4316">
        <v>1.0000000008791099</v>
      </c>
    </row>
    <row r="4317" spans="1:40" x14ac:dyDescent="0.25">
      <c r="A4317" t="str">
        <f>"20190303162906995"</f>
        <v>20190303162906995</v>
      </c>
      <c r="B4317" t="str">
        <f>"1551601746985907"</f>
        <v>1551601746985907</v>
      </c>
      <c r="C4317" t="s">
        <v>40</v>
      </c>
      <c r="D4317">
        <v>5.0103839999999904</v>
      </c>
      <c r="E4317">
        <v>0.45961790000000002</v>
      </c>
      <c r="F4317" t="s">
        <v>41</v>
      </c>
      <c r="G4317">
        <v>-322.45569999999998</v>
      </c>
      <c r="H4317" s="1">
        <v>-3.586725E-6</v>
      </c>
      <c r="I4317">
        <v>140.9991</v>
      </c>
      <c r="J4317">
        <v>-303.85489999999999</v>
      </c>
      <c r="K4317">
        <v>1.1218950000000001</v>
      </c>
      <c r="L4317">
        <v>142.61510000000001</v>
      </c>
      <c r="M4317">
        <v>-0.99986410000000003</v>
      </c>
      <c r="N4317">
        <v>-1.2726319999999999E-2</v>
      </c>
      <c r="O4317">
        <v>-1.0492939999999999E-2</v>
      </c>
      <c r="P4317">
        <v>-0.98362079999999996</v>
      </c>
      <c r="Q4317">
        <v>0.17891560000000001</v>
      </c>
      <c r="R4317">
        <v>2.1897E-2</v>
      </c>
      <c r="S4317">
        <v>-3.088654</v>
      </c>
      <c r="T4317">
        <v>-0.18294820000000001</v>
      </c>
      <c r="U4317">
        <v>-0.26416020000000001</v>
      </c>
      <c r="V4317">
        <v>3.1885339999999998E-2</v>
      </c>
      <c r="W4317">
        <v>0.191471</v>
      </c>
      <c r="X4317">
        <v>0.98098019999999997</v>
      </c>
      <c r="Y4317">
        <v>-7.4607950000000006E-2</v>
      </c>
      <c r="Z4317">
        <v>-2.1932380000000001E-3</v>
      </c>
      <c r="AA4317">
        <v>0.9972105</v>
      </c>
      <c r="AB4317">
        <v>36</v>
      </c>
      <c r="AC4317">
        <v>-18.6007999999999</v>
      </c>
      <c r="AD4317">
        <v>-1.121898586725</v>
      </c>
      <c r="AE4317">
        <v>-1.6160000000000101</v>
      </c>
      <c r="AF4317">
        <v>-1.4156069846294701</v>
      </c>
      <c r="AG4317">
        <v>-1.121898586725</v>
      </c>
      <c r="AH4317">
        <v>18.549758186296302</v>
      </c>
      <c r="AI4317">
        <v>93.451051019615903</v>
      </c>
      <c r="AJ4317">
        <v>94.364013753393493</v>
      </c>
      <c r="AK4317">
        <v>18.637492544435698</v>
      </c>
      <c r="AL4317">
        <v>78.961357308533593</v>
      </c>
      <c r="AM4317">
        <v>88.138339124625105</v>
      </c>
      <c r="AN4317">
        <v>0.99999998576997695</v>
      </c>
    </row>
    <row r="4318" spans="1:40" x14ac:dyDescent="0.25">
      <c r="A4318" t="str">
        <f>"20190303162907010"</f>
        <v>20190303162907010</v>
      </c>
      <c r="B4318" t="str">
        <f>"1551601747006404"</f>
        <v>1551601747006404</v>
      </c>
      <c r="C4318" t="s">
        <v>40</v>
      </c>
      <c r="D4318">
        <v>5.2230939999999997</v>
      </c>
      <c r="E4318">
        <v>0.45970179999999999</v>
      </c>
      <c r="F4318" t="s">
        <v>41</v>
      </c>
      <c r="G4318">
        <v>-322.6182</v>
      </c>
      <c r="H4318" s="1">
        <v>-3.520286E-6</v>
      </c>
      <c r="I4318">
        <v>141.01150000000001</v>
      </c>
      <c r="J4318">
        <v>-304.0795</v>
      </c>
      <c r="K4318">
        <v>1.121896</v>
      </c>
      <c r="L4318">
        <v>142.6122</v>
      </c>
      <c r="M4318">
        <v>-0.99985889999999999</v>
      </c>
      <c r="N4318">
        <v>-1.2725790000000001E-2</v>
      </c>
      <c r="O4318">
        <v>-1.0972249999999999E-2</v>
      </c>
      <c r="P4318">
        <v>-0.98356279999999996</v>
      </c>
      <c r="Q4318">
        <v>0.1792475</v>
      </c>
      <c r="R4318">
        <v>2.1790919999999998E-2</v>
      </c>
      <c r="S4318">
        <v>-3.0894469999999998</v>
      </c>
      <c r="T4318">
        <v>-0.18472559999999999</v>
      </c>
      <c r="U4318">
        <v>-0.2640228</v>
      </c>
      <c r="V4318">
        <v>3.2249510000000002E-2</v>
      </c>
      <c r="W4318">
        <v>0.19180230000000001</v>
      </c>
      <c r="X4318">
        <v>0.98090359999999999</v>
      </c>
      <c r="Y4318">
        <v>-7.4063390000000007E-2</v>
      </c>
      <c r="Z4318">
        <v>-2.1659750000000001E-3</v>
      </c>
      <c r="AA4318">
        <v>0.9972512</v>
      </c>
      <c r="AB4318">
        <v>36</v>
      </c>
      <c r="AC4318">
        <v>-18.538699999999999</v>
      </c>
      <c r="AD4318">
        <v>-1.121899520286</v>
      </c>
      <c r="AE4318">
        <v>-1.60069999999998</v>
      </c>
      <c r="AF4318">
        <v>-1.39211535612661</v>
      </c>
      <c r="AG4318">
        <v>-1.121899520286</v>
      </c>
      <c r="AH4318">
        <v>18.487941908104201</v>
      </c>
      <c r="AI4318">
        <v>93.462829189959194</v>
      </c>
      <c r="AJ4318">
        <v>94.306163348600606</v>
      </c>
      <c r="AK4318">
        <v>18.574192841031302</v>
      </c>
      <c r="AL4318">
        <v>78.942017060572496</v>
      </c>
      <c r="AM4318">
        <v>88.116944942169098</v>
      </c>
      <c r="AN4318">
        <v>1.0000000128367399</v>
      </c>
    </row>
    <row r="4319" spans="1:40" x14ac:dyDescent="0.25">
      <c r="A4319" t="str">
        <f>"20190303162907030"</f>
        <v>20190303162907030</v>
      </c>
      <c r="B4319" t="str">
        <f>"1551601747016164"</f>
        <v>1551601747016164</v>
      </c>
      <c r="C4319" t="s">
        <v>40</v>
      </c>
      <c r="D4319">
        <v>5.2231019999999999</v>
      </c>
      <c r="E4319">
        <v>0.47891420000000001</v>
      </c>
      <c r="F4319" t="s">
        <v>41</v>
      </c>
      <c r="G4319">
        <v>-323.1037</v>
      </c>
      <c r="H4319" s="1">
        <v>-3.3058959999999999E-6</v>
      </c>
      <c r="I4319">
        <v>140.98859999999999</v>
      </c>
      <c r="J4319">
        <v>-304.40339999999998</v>
      </c>
      <c r="K4319">
        <v>1.121902</v>
      </c>
      <c r="L4319">
        <v>142.608</v>
      </c>
      <c r="M4319">
        <v>-0.99985100000000005</v>
      </c>
      <c r="N4319">
        <v>-1.2724930000000001E-2</v>
      </c>
      <c r="O4319">
        <v>-1.1663150000000001E-2</v>
      </c>
      <c r="P4319">
        <v>-0.98336330000000005</v>
      </c>
      <c r="Q4319">
        <v>0.1804045</v>
      </c>
      <c r="R4319">
        <v>2.1234949999999999E-2</v>
      </c>
      <c r="S4319">
        <v>-3.0891419999999998</v>
      </c>
      <c r="T4319">
        <v>-0.18217420000000001</v>
      </c>
      <c r="U4319">
        <v>-0.26364140000000003</v>
      </c>
      <c r="V4319">
        <v>3.2368910000000001E-2</v>
      </c>
      <c r="W4319">
        <v>0.1929553</v>
      </c>
      <c r="X4319">
        <v>0.98067349999999998</v>
      </c>
      <c r="Y4319">
        <v>-7.3266330000000005E-2</v>
      </c>
      <c r="Z4319">
        <v>-2.0842769999999998E-3</v>
      </c>
      <c r="AA4319">
        <v>0.99731020000000004</v>
      </c>
      <c r="AB4319">
        <v>36</v>
      </c>
      <c r="AC4319">
        <v>-18.700299999999999</v>
      </c>
      <c r="AD4319">
        <v>-1.121905305896</v>
      </c>
      <c r="AE4319">
        <v>-1.6194000000000099</v>
      </c>
      <c r="AF4319">
        <v>-1.3961799349978199</v>
      </c>
      <c r="AG4319">
        <v>-1.121905305896</v>
      </c>
      <c r="AH4319">
        <v>18.651285231811102</v>
      </c>
      <c r="AI4319">
        <v>93.432705962020705</v>
      </c>
      <c r="AJ4319">
        <v>94.281007841299001</v>
      </c>
      <c r="AK4319">
        <v>18.7370870394696</v>
      </c>
      <c r="AL4319">
        <v>78.874697443726404</v>
      </c>
      <c r="AM4319">
        <v>88.109535057588403</v>
      </c>
      <c r="AN4319">
        <v>1.0000000038674599</v>
      </c>
    </row>
    <row r="4320" spans="1:40" x14ac:dyDescent="0.25">
      <c r="A4320" t="str">
        <f>"20190303162907054"</f>
        <v>20190303162907054</v>
      </c>
      <c r="B4320" t="str">
        <f>"1551601747046420"</f>
        <v>1551601747046420</v>
      </c>
      <c r="C4320" t="s">
        <v>40</v>
      </c>
      <c r="D4320">
        <v>5.1671189999999996</v>
      </c>
      <c r="E4320">
        <v>0.48600549999999998</v>
      </c>
      <c r="F4320" t="s">
        <v>41</v>
      </c>
      <c r="G4320">
        <v>-338.72649999999999</v>
      </c>
      <c r="H4320" s="1">
        <v>-1.047167E-6</v>
      </c>
      <c r="I4320">
        <v>141.36279999999999</v>
      </c>
      <c r="J4320">
        <v>-304.77179999999998</v>
      </c>
      <c r="K4320">
        <v>1.1219110000000001</v>
      </c>
      <c r="L4320">
        <v>142.60290000000001</v>
      </c>
      <c r="M4320">
        <v>-0.9998416</v>
      </c>
      <c r="N4320">
        <v>-1.272387E-2</v>
      </c>
      <c r="O4320">
        <v>-1.2449419999999999E-2</v>
      </c>
      <c r="P4320">
        <v>-0.98306210000000005</v>
      </c>
      <c r="Q4320">
        <v>0.1820946</v>
      </c>
      <c r="R4320">
        <v>2.0752219999999998E-2</v>
      </c>
      <c r="S4320">
        <v>-3.0715940000000002</v>
      </c>
      <c r="T4320">
        <v>-0.10039969999999999</v>
      </c>
      <c r="U4320">
        <v>-0.1114349</v>
      </c>
      <c r="V4320">
        <v>3.2652569999999999E-2</v>
      </c>
      <c r="W4320">
        <v>0.19464119999999999</v>
      </c>
      <c r="X4320">
        <v>0.98033090000000001</v>
      </c>
      <c r="Y4320">
        <v>-2.3795130000000001E-2</v>
      </c>
      <c r="Z4320">
        <v>-2.918439E-4</v>
      </c>
      <c r="AA4320">
        <v>0.99971679999999996</v>
      </c>
      <c r="AB4320">
        <v>36</v>
      </c>
      <c r="AC4320">
        <v>-33.954700000000003</v>
      </c>
      <c r="AD4320">
        <v>-1.1219120471670001</v>
      </c>
      <c r="AE4320">
        <v>-1.24010000000001</v>
      </c>
      <c r="AF4320">
        <v>-0.81636329361766102</v>
      </c>
      <c r="AG4320">
        <v>-1.1219120471670001</v>
      </c>
      <c r="AH4320">
        <v>33.930514124956197</v>
      </c>
      <c r="AI4320">
        <v>91.893246813572702</v>
      </c>
      <c r="AJ4320">
        <v>91.378262314050502</v>
      </c>
      <c r="AK4320">
        <v>33.958871071527099</v>
      </c>
      <c r="AL4320">
        <v>78.776236081673503</v>
      </c>
      <c r="AM4320">
        <v>88.092314475107997</v>
      </c>
      <c r="AN4320">
        <v>1.0000000302799199</v>
      </c>
    </row>
    <row r="4321" spans="1:40" x14ac:dyDescent="0.25">
      <c r="A4321" t="str">
        <f>"20190303162907076"</f>
        <v>20190303162907076</v>
      </c>
      <c r="B4321" t="str">
        <f>"1551601747065939"</f>
        <v>1551601747065939</v>
      </c>
      <c r="C4321" t="s">
        <v>40</v>
      </c>
      <c r="D4321">
        <v>5.003825</v>
      </c>
      <c r="E4321">
        <v>0.48742239999999998</v>
      </c>
      <c r="F4321" t="s">
        <v>41</v>
      </c>
      <c r="G4321">
        <v>-344.84519999999998</v>
      </c>
      <c r="H4321" s="1">
        <v>-2.791713E-6</v>
      </c>
      <c r="I4321">
        <v>141.8638</v>
      </c>
      <c r="J4321">
        <v>-305.12799999999999</v>
      </c>
      <c r="K4321">
        <v>1.1219159999999999</v>
      </c>
      <c r="L4321">
        <v>142.5977</v>
      </c>
      <c r="M4321">
        <v>-0.99983180000000005</v>
      </c>
      <c r="N4321">
        <v>-1.2722829999999999E-2</v>
      </c>
      <c r="O4321">
        <v>-1.3209449999999999E-2</v>
      </c>
      <c r="P4321">
        <v>-0.98291499999999998</v>
      </c>
      <c r="Q4321">
        <v>0.1829604</v>
      </c>
      <c r="R4321">
        <v>2.009493E-2</v>
      </c>
      <c r="S4321">
        <v>-3.0687869999999999</v>
      </c>
      <c r="T4321">
        <v>-8.5915450000000004E-2</v>
      </c>
      <c r="U4321">
        <v>-5.6594850000000002E-2</v>
      </c>
      <c r="V4321">
        <v>3.2739129999999998E-2</v>
      </c>
      <c r="W4321">
        <v>0.1955037</v>
      </c>
      <c r="X4321">
        <v>0.98015640000000004</v>
      </c>
      <c r="Y4321">
        <v>-5.2276329999999998E-3</v>
      </c>
      <c r="Z4321" s="1">
        <v>9.5224880000000002E-5</v>
      </c>
      <c r="AA4321">
        <v>0.99998640000000005</v>
      </c>
      <c r="AB4321">
        <v>36</v>
      </c>
      <c r="AC4321">
        <v>-39.717199999999899</v>
      </c>
      <c r="AD4321">
        <v>-1.121918791713</v>
      </c>
      <c r="AE4321">
        <v>-0.73390000000000499</v>
      </c>
      <c r="AF4321">
        <v>-0.208984421750217</v>
      </c>
      <c r="AG4321">
        <v>-1.121918791713</v>
      </c>
      <c r="AH4321">
        <v>39.691768867810197</v>
      </c>
      <c r="AI4321">
        <v>91.619056349198601</v>
      </c>
      <c r="AJ4321">
        <v>90.301669969517604</v>
      </c>
      <c r="AK4321">
        <v>39.708171603832398</v>
      </c>
      <c r="AL4321">
        <v>78.725850821539694</v>
      </c>
      <c r="AM4321">
        <v>88.0869207897493</v>
      </c>
      <c r="AN4321">
        <v>1.0000000579038999</v>
      </c>
    </row>
    <row r="4322" spans="1:40" x14ac:dyDescent="0.25">
      <c r="A4322" t="str">
        <f>"20190303162907096"</f>
        <v>20190303162907096</v>
      </c>
      <c r="B4322" t="str">
        <f>"1551601747086089"</f>
        <v>1551601747086089</v>
      </c>
      <c r="C4322" t="s">
        <v>40</v>
      </c>
      <c r="D4322">
        <v>4.9949120000000002</v>
      </c>
      <c r="E4322">
        <v>0.48772959999999899</v>
      </c>
      <c r="F4322" t="s">
        <v>41</v>
      </c>
      <c r="G4322">
        <v>-346.03680000000003</v>
      </c>
      <c r="H4322" s="1">
        <v>-2.3056040000000001E-6</v>
      </c>
      <c r="I4322">
        <v>141.9581</v>
      </c>
      <c r="J4322">
        <v>-305.45139999999998</v>
      </c>
      <c r="K4322">
        <v>1.121912</v>
      </c>
      <c r="L4322">
        <v>142.59270000000001</v>
      </c>
      <c r="M4322">
        <v>-0.99982249999999995</v>
      </c>
      <c r="N4322">
        <v>-1.2721970000000001E-2</v>
      </c>
      <c r="O4322">
        <v>-1.389952E-2</v>
      </c>
      <c r="P4322">
        <v>-0.98295350000000004</v>
      </c>
      <c r="Q4322">
        <v>0.1828128</v>
      </c>
      <c r="R4322">
        <v>1.9543379999999999E-2</v>
      </c>
      <c r="S4322">
        <v>-3.068848</v>
      </c>
      <c r="T4322">
        <v>-8.4162829999999994E-2</v>
      </c>
      <c r="U4322">
        <v>-4.7973630000000003E-2</v>
      </c>
      <c r="V4322">
        <v>3.2866520000000003E-2</v>
      </c>
      <c r="W4322">
        <v>0.1953559</v>
      </c>
      <c r="X4322">
        <v>0.98018159999999999</v>
      </c>
      <c r="Y4322">
        <v>-1.7306419999999999E-3</v>
      </c>
      <c r="Z4322">
        <v>1.6952349999999999E-4</v>
      </c>
      <c r="AA4322">
        <v>0.99999850000000001</v>
      </c>
      <c r="AB4322">
        <v>36</v>
      </c>
      <c r="AC4322">
        <v>-40.5854</v>
      </c>
      <c r="AD4322">
        <v>-1.121914305604</v>
      </c>
      <c r="AE4322">
        <v>-0.63460000000000505</v>
      </c>
      <c r="AF4322">
        <v>-7.0321748742244006E-2</v>
      </c>
      <c r="AG4322">
        <v>-1.121914305604</v>
      </c>
      <c r="AH4322">
        <v>40.5593141412362</v>
      </c>
      <c r="AI4322">
        <v>91.584456554244895</v>
      </c>
      <c r="AJ4322">
        <v>90.099339336942506</v>
      </c>
      <c r="AK4322">
        <v>40.5748887917755</v>
      </c>
      <c r="AL4322">
        <v>78.734485573474004</v>
      </c>
      <c r="AM4322">
        <v>88.079531781328001</v>
      </c>
      <c r="AN4322">
        <v>1.00000005239013</v>
      </c>
    </row>
    <row r="4323" spans="1:40" x14ac:dyDescent="0.25">
      <c r="A4323" t="str">
        <f>"20190303162907118"</f>
        <v>20190303162907118</v>
      </c>
      <c r="B4323" t="str">
        <f>"1551601747105609"</f>
        <v>1551601747105609</v>
      </c>
      <c r="C4323" t="s">
        <v>40</v>
      </c>
      <c r="D4323">
        <v>5.2160580000000003</v>
      </c>
      <c r="E4323">
        <v>0.48810340000000002</v>
      </c>
      <c r="F4323" t="s">
        <v>41</v>
      </c>
      <c r="G4323">
        <v>-345.11410000000001</v>
      </c>
      <c r="H4323" s="1">
        <v>-2.7085189999999999E-6</v>
      </c>
      <c r="I4323">
        <v>141.9847</v>
      </c>
      <c r="J4323">
        <v>-305.79790000000003</v>
      </c>
      <c r="K4323">
        <v>1.121909</v>
      </c>
      <c r="L4323">
        <v>142.58709999999999</v>
      </c>
      <c r="M4323">
        <v>-0.99981189999999998</v>
      </c>
      <c r="N4323">
        <v>-1.2721059999999999E-2</v>
      </c>
      <c r="O4323">
        <v>-1.4639050000000001E-2</v>
      </c>
      <c r="P4323">
        <v>-0.98309089999999999</v>
      </c>
      <c r="Q4323">
        <v>0.1821403</v>
      </c>
      <c r="R4323">
        <v>1.8897870000000001E-2</v>
      </c>
      <c r="S4323">
        <v>-3.0691220000000001</v>
      </c>
      <c r="T4323">
        <v>-8.6814639999999998E-2</v>
      </c>
      <c r="U4323">
        <v>-4.7042849999999997E-2</v>
      </c>
      <c r="V4323">
        <v>3.295116E-2</v>
      </c>
      <c r="W4323">
        <v>0.19468379999999999</v>
      </c>
      <c r="X4323">
        <v>0.98031239999999997</v>
      </c>
      <c r="Y4323">
        <v>-6.8720019999999997E-4</v>
      </c>
      <c r="Z4323">
        <v>2.1365730000000001E-4</v>
      </c>
      <c r="AA4323">
        <v>0.99999979999999999</v>
      </c>
      <c r="AB4323">
        <v>36</v>
      </c>
      <c r="AC4323">
        <v>-39.316199999999903</v>
      </c>
      <c r="AD4323">
        <v>-1.121911708519</v>
      </c>
      <c r="AE4323">
        <v>-0.60239999999998795</v>
      </c>
      <c r="AF4323">
        <v>-2.6715286259992602E-2</v>
      </c>
      <c r="AG4323">
        <v>-1.121911708519</v>
      </c>
      <c r="AH4323">
        <v>39.288820972981</v>
      </c>
      <c r="AI4323">
        <v>91.635664448976797</v>
      </c>
      <c r="AJ4323">
        <v>90.038959502407195</v>
      </c>
      <c r="AK4323">
        <v>39.304845159791398</v>
      </c>
      <c r="AL4323">
        <v>78.773747121651297</v>
      </c>
      <c r="AM4323">
        <v>88.074846492541496</v>
      </c>
      <c r="AN4323">
        <v>0.99999998126077205</v>
      </c>
    </row>
    <row r="4324" spans="1:40" x14ac:dyDescent="0.25">
      <c r="A4324" t="str">
        <f>"20190303162907132"</f>
        <v>20190303162907132</v>
      </c>
      <c r="B4324" t="str">
        <f>"1551601747126105"</f>
        <v>1551601747126105</v>
      </c>
      <c r="C4324" t="s">
        <v>40</v>
      </c>
      <c r="D4324">
        <v>5.2109480000000001</v>
      </c>
      <c r="E4324">
        <v>0.48841760000000001</v>
      </c>
      <c r="F4324" t="s">
        <v>41</v>
      </c>
      <c r="G4324">
        <v>-343.52870000000001</v>
      </c>
      <c r="H4324" s="1">
        <v>-3.399768E-6</v>
      </c>
      <c r="I4324">
        <v>142.0266</v>
      </c>
      <c r="J4324">
        <v>-306.0335</v>
      </c>
      <c r="K4324">
        <v>1.1219079999999999</v>
      </c>
      <c r="L4324">
        <v>142.58320000000001</v>
      </c>
      <c r="M4324">
        <v>-0.99980449999999998</v>
      </c>
      <c r="N4324">
        <v>-1.272044E-2</v>
      </c>
      <c r="O4324">
        <v>-1.5142320000000001E-2</v>
      </c>
      <c r="P4324">
        <v>-0.98311309999999996</v>
      </c>
      <c r="Q4324">
        <v>0.18203910000000001</v>
      </c>
      <c r="R4324">
        <v>1.8727980000000002E-2</v>
      </c>
      <c r="S4324">
        <v>-3.069366</v>
      </c>
      <c r="T4324">
        <v>-9.1266509999999995E-2</v>
      </c>
      <c r="U4324">
        <v>-4.5593259999999997E-2</v>
      </c>
      <c r="V4324">
        <v>3.3276880000000002E-2</v>
      </c>
      <c r="W4324">
        <v>0.19458329999999999</v>
      </c>
      <c r="X4324">
        <v>0.98032140000000001</v>
      </c>
      <c r="Y4324">
        <v>2.88554E-4</v>
      </c>
      <c r="Z4324">
        <v>2.6362580000000003E-4</v>
      </c>
      <c r="AA4324">
        <v>0.99999990000000005</v>
      </c>
      <c r="AB4324">
        <v>36</v>
      </c>
      <c r="AC4324">
        <v>-37.495199999999997</v>
      </c>
      <c r="AD4324">
        <v>-1.1219113997679999</v>
      </c>
      <c r="AE4324">
        <v>-0.55660000000000298</v>
      </c>
      <c r="AF4324">
        <v>1.1263961211565201E-2</v>
      </c>
      <c r="AG4324">
        <v>-1.1219113997679999</v>
      </c>
      <c r="AH4324">
        <v>37.465793802505402</v>
      </c>
      <c r="AI4324">
        <v>91.715206741122202</v>
      </c>
      <c r="AJ4324">
        <v>89.982774222748901</v>
      </c>
      <c r="AK4324">
        <v>37.482589522571701</v>
      </c>
      <c r="AL4324">
        <v>78.779618161223794</v>
      </c>
      <c r="AM4324">
        <v>88.055848847257806</v>
      </c>
      <c r="AN4324">
        <v>1.00000002933969</v>
      </c>
    </row>
    <row r="4325" spans="1:40" x14ac:dyDescent="0.25">
      <c r="A4325" t="str">
        <f>"20190303162907146"</f>
        <v>20190303162907146</v>
      </c>
      <c r="B4325" t="str">
        <f>"1551601747135866"</f>
        <v>1551601747135866</v>
      </c>
      <c r="C4325" t="s">
        <v>40</v>
      </c>
      <c r="D4325">
        <v>5.2174230000000001</v>
      </c>
      <c r="E4325">
        <v>0.4885063</v>
      </c>
      <c r="F4325" t="s">
        <v>41</v>
      </c>
      <c r="G4325">
        <v>-343.35230000000001</v>
      </c>
      <c r="H4325" s="1">
        <v>-3.4823999999999999E-6</v>
      </c>
      <c r="I4325">
        <v>142.05269999999999</v>
      </c>
      <c r="J4325">
        <v>-306.2407</v>
      </c>
      <c r="K4325">
        <v>1.121909</v>
      </c>
      <c r="L4325">
        <v>142.5796</v>
      </c>
      <c r="M4325">
        <v>-0.99979770000000001</v>
      </c>
      <c r="N4325">
        <v>-1.2719909999999999E-2</v>
      </c>
      <c r="O4325">
        <v>-1.558504E-2</v>
      </c>
      <c r="P4325">
        <v>-0.98304279999999999</v>
      </c>
      <c r="Q4325">
        <v>0.1824075</v>
      </c>
      <c r="R4325">
        <v>1.8825129999999999E-2</v>
      </c>
      <c r="S4325">
        <v>-3.069458</v>
      </c>
      <c r="T4325">
        <v>-9.2276929999999993E-2</v>
      </c>
      <c r="U4325">
        <v>-4.3624879999999998E-2</v>
      </c>
      <c r="V4325">
        <v>3.3807450000000003E-2</v>
      </c>
      <c r="W4325">
        <v>0.1949504</v>
      </c>
      <c r="X4325">
        <v>0.9802303</v>
      </c>
      <c r="Y4325">
        <v>1.3720959999999999E-3</v>
      </c>
      <c r="Z4325">
        <v>2.9950039999999999E-4</v>
      </c>
      <c r="AA4325">
        <v>0.99999899999999997</v>
      </c>
      <c r="AB4325">
        <v>36</v>
      </c>
      <c r="AC4325">
        <v>-37.111600000000003</v>
      </c>
      <c r="AD4325">
        <v>-1.1219124824</v>
      </c>
      <c r="AE4325">
        <v>-0.52690000000001103</v>
      </c>
      <c r="AF4325">
        <v>5.1549431671860199E-2</v>
      </c>
      <c r="AG4325">
        <v>-1.1219124824</v>
      </c>
      <c r="AH4325">
        <v>37.081422459756403</v>
      </c>
      <c r="AI4325">
        <v>91.732975185388497</v>
      </c>
      <c r="AJ4325">
        <v>89.920349253817093</v>
      </c>
      <c r="AK4325">
        <v>37.098426335910801</v>
      </c>
      <c r="AL4325">
        <v>78.758174132035194</v>
      </c>
      <c r="AM4325">
        <v>88.024692042903993</v>
      </c>
      <c r="AN4325">
        <v>1.0000000215868701</v>
      </c>
    </row>
    <row r="4326" spans="1:40" x14ac:dyDescent="0.25">
      <c r="A4326" t="str">
        <f>"20190303162907164"</f>
        <v>20190303162907164</v>
      </c>
      <c r="B4326" t="str">
        <f>"1551601747156362"</f>
        <v>1551601747156362</v>
      </c>
      <c r="C4326" t="s">
        <v>40</v>
      </c>
      <c r="D4326">
        <v>4.948016</v>
      </c>
      <c r="E4326">
        <v>0.4887399</v>
      </c>
      <c r="F4326" t="s">
        <v>41</v>
      </c>
      <c r="G4326">
        <v>-343.88119999999998</v>
      </c>
      <c r="H4326" s="1">
        <v>-3.256629E-6</v>
      </c>
      <c r="I4326">
        <v>142.05690000000001</v>
      </c>
      <c r="J4326">
        <v>-306.5367</v>
      </c>
      <c r="K4326">
        <v>1.1219159999999999</v>
      </c>
      <c r="L4326">
        <v>142.5744</v>
      </c>
      <c r="M4326">
        <v>-0.9997876</v>
      </c>
      <c r="N4326">
        <v>-1.271926E-2</v>
      </c>
      <c r="O4326">
        <v>-1.621705E-2</v>
      </c>
      <c r="P4326">
        <v>-0.98282239999999998</v>
      </c>
      <c r="Q4326">
        <v>0.18358530000000001</v>
      </c>
      <c r="R4326">
        <v>1.8897810000000001E-2</v>
      </c>
      <c r="S4326">
        <v>-3.0695800000000002</v>
      </c>
      <c r="T4326">
        <v>-9.1491820000000001E-2</v>
      </c>
      <c r="U4326">
        <v>-4.2617799999999997E-2</v>
      </c>
      <c r="V4326">
        <v>3.4495930000000001E-2</v>
      </c>
      <c r="W4326">
        <v>0.19612560000000001</v>
      </c>
      <c r="X4326">
        <v>0.97997179999999995</v>
      </c>
      <c r="Y4326">
        <v>2.3322019999999998E-3</v>
      </c>
      <c r="Z4326">
        <v>3.2653670000000001E-4</v>
      </c>
      <c r="AA4326">
        <v>0.99999720000000003</v>
      </c>
      <c r="AB4326">
        <v>36</v>
      </c>
      <c r="AC4326">
        <v>-37.344499999999897</v>
      </c>
      <c r="AD4326">
        <v>-1.1219192566289999</v>
      </c>
      <c r="AE4326">
        <v>-0.51749999999998397</v>
      </c>
      <c r="AF4326">
        <v>8.8155128644609504E-2</v>
      </c>
      <c r="AG4326">
        <v>-1.1219192566289999</v>
      </c>
      <c r="AH4326">
        <v>37.314309760506397</v>
      </c>
      <c r="AI4326">
        <v>91.722173069477805</v>
      </c>
      <c r="AJ4326">
        <v>89.864638862432898</v>
      </c>
      <c r="AK4326">
        <v>37.331276257959999</v>
      </c>
      <c r="AL4326">
        <v>78.689514196751801</v>
      </c>
      <c r="AM4326">
        <v>87.983967035435001</v>
      </c>
      <c r="AN4326">
        <v>0.99999997447858202</v>
      </c>
    </row>
    <row r="4327" spans="1:40" x14ac:dyDescent="0.25">
      <c r="A4327" t="str">
        <f>"20190303162907179"</f>
        <v>20190303162907179</v>
      </c>
      <c r="B4327" t="str">
        <f>"1551601747167097"</f>
        <v>1551601747167097</v>
      </c>
      <c r="C4327" t="s">
        <v>40</v>
      </c>
      <c r="D4327">
        <v>5.219023</v>
      </c>
      <c r="E4327">
        <v>0.48885020000000001</v>
      </c>
      <c r="F4327" t="s">
        <v>41</v>
      </c>
      <c r="G4327">
        <v>-344.98289999999997</v>
      </c>
      <c r="H4327" s="1">
        <v>-2.7839900000000001E-6</v>
      </c>
      <c r="I4327">
        <v>142.05680000000001</v>
      </c>
      <c r="J4327">
        <v>-306.76740000000001</v>
      </c>
      <c r="K4327">
        <v>1.121915</v>
      </c>
      <c r="L4327">
        <v>142.5701</v>
      </c>
      <c r="M4327">
        <v>-0.99977959999999999</v>
      </c>
      <c r="N4327">
        <v>-1.271866E-2</v>
      </c>
      <c r="O4327">
        <v>-1.671019E-2</v>
      </c>
      <c r="P4327">
        <v>-0.98270990000000003</v>
      </c>
      <c r="Q4327">
        <v>0.18421899999999999</v>
      </c>
      <c r="R4327">
        <v>1.8571919999999999E-2</v>
      </c>
      <c r="S4327">
        <v>-3.0699770000000002</v>
      </c>
      <c r="T4327">
        <v>-8.9586620000000006E-2</v>
      </c>
      <c r="U4327">
        <v>-4.1320799999999998E-2</v>
      </c>
      <c r="V4327">
        <v>3.4651630000000003E-2</v>
      </c>
      <c r="W4327">
        <v>0.19675770000000001</v>
      </c>
      <c r="X4327">
        <v>0.97983960000000003</v>
      </c>
      <c r="Y4327">
        <v>3.2492329999999998E-3</v>
      </c>
      <c r="Z4327">
        <v>3.4302189999999998E-4</v>
      </c>
      <c r="AA4327">
        <v>0.99999459999999996</v>
      </c>
      <c r="AB4327">
        <v>36</v>
      </c>
      <c r="AC4327">
        <v>-38.215499999999899</v>
      </c>
      <c r="AD4327">
        <v>-1.1219177839899901</v>
      </c>
      <c r="AE4327">
        <v>-0.51329999999998599</v>
      </c>
      <c r="AF4327">
        <v>0.12530354977916</v>
      </c>
      <c r="AG4327">
        <v>-1.1219177839899901</v>
      </c>
      <c r="AH4327">
        <v>38.185835951643199</v>
      </c>
      <c r="AI4327">
        <v>91.6828837208853</v>
      </c>
      <c r="AJ4327">
        <v>89.811989482140802</v>
      </c>
      <c r="AK4327">
        <v>38.202519129233103</v>
      </c>
      <c r="AL4327">
        <v>78.6525779664113</v>
      </c>
      <c r="AM4327">
        <v>87.974602074788507</v>
      </c>
      <c r="AN4327">
        <v>0.99999998484955299</v>
      </c>
    </row>
    <row r="4328" spans="1:40" x14ac:dyDescent="0.25">
      <c r="A4328" t="str">
        <f>"20190303162907196"</f>
        <v>20190303162907196</v>
      </c>
      <c r="B4328" t="str">
        <f>"1551601747186233"</f>
        <v>1551601747186233</v>
      </c>
      <c r="C4328" t="s">
        <v>40</v>
      </c>
      <c r="D4328">
        <v>5.2196999999999996</v>
      </c>
      <c r="E4328">
        <v>0.48901600000000001</v>
      </c>
      <c r="F4328" t="s">
        <v>41</v>
      </c>
      <c r="G4328">
        <v>-345.68490000000003</v>
      </c>
      <c r="H4328" s="1">
        <v>-2.478673E-6</v>
      </c>
      <c r="I4328">
        <v>142.0412</v>
      </c>
      <c r="J4328">
        <v>-307.04199999999997</v>
      </c>
      <c r="K4328">
        <v>1.121912</v>
      </c>
      <c r="L4328">
        <v>142.56489999999999</v>
      </c>
      <c r="M4328">
        <v>-0.99976960000000004</v>
      </c>
      <c r="N4328">
        <v>-1.2717829999999999E-2</v>
      </c>
      <c r="O4328">
        <v>-1.729667E-2</v>
      </c>
      <c r="P4328">
        <v>-0.98265950000000002</v>
      </c>
      <c r="Q4328">
        <v>0.18453559999999999</v>
      </c>
      <c r="R4328">
        <v>1.8089790000000001E-2</v>
      </c>
      <c r="S4328">
        <v>-3.0701900000000002</v>
      </c>
      <c r="T4328">
        <v>-8.8507890000000006E-2</v>
      </c>
      <c r="U4328">
        <v>-4.1717530000000003E-2</v>
      </c>
      <c r="V4328">
        <v>3.474443E-2</v>
      </c>
      <c r="W4328">
        <v>0.19707230000000001</v>
      </c>
      <c r="X4328">
        <v>0.97977309999999995</v>
      </c>
      <c r="Y4328">
        <v>3.7073639999999999E-3</v>
      </c>
      <c r="Z4328">
        <v>3.5551559999999997E-4</v>
      </c>
      <c r="AA4328">
        <v>0.99999309999999997</v>
      </c>
      <c r="AB4328">
        <v>36</v>
      </c>
      <c r="AC4328">
        <v>-38.642899999999997</v>
      </c>
      <c r="AD4328">
        <v>-1.121914478673</v>
      </c>
      <c r="AE4328">
        <v>-0.52369999999999095</v>
      </c>
      <c r="AF4328">
        <v>0.144703900354195</v>
      </c>
      <c r="AG4328">
        <v>-1.121914478673</v>
      </c>
      <c r="AH4328">
        <v>38.613635381999103</v>
      </c>
      <c r="AI4328">
        <v>91.664242016518003</v>
      </c>
      <c r="AJ4328">
        <v>89.785286107455093</v>
      </c>
      <c r="AK4328">
        <v>38.630201510349501</v>
      </c>
      <c r="AL4328">
        <v>78.6341928832977</v>
      </c>
      <c r="AM4328">
        <v>87.969044701408706</v>
      </c>
      <c r="AN4328">
        <v>0.999999997163462</v>
      </c>
    </row>
    <row r="4329" spans="1:40" x14ac:dyDescent="0.25">
      <c r="A4329" t="str">
        <f>"20190303162907213"</f>
        <v>20190303162907213</v>
      </c>
      <c r="B4329" t="str">
        <f>"1551601747206730"</f>
        <v>1551601747206730</v>
      </c>
      <c r="C4329" t="s">
        <v>40</v>
      </c>
      <c r="D4329">
        <v>4.9716050000000003</v>
      </c>
      <c r="E4329">
        <v>0.4891857</v>
      </c>
      <c r="F4329" t="s">
        <v>41</v>
      </c>
      <c r="G4329">
        <v>-345.56420000000003</v>
      </c>
      <c r="H4329" s="1">
        <v>-2.5282720000000001E-6</v>
      </c>
      <c r="I4329">
        <v>142.03309999999999</v>
      </c>
      <c r="J4329">
        <v>-307.30939999999998</v>
      </c>
      <c r="K4329">
        <v>1.1219110000000001</v>
      </c>
      <c r="L4329">
        <v>142.5598</v>
      </c>
      <c r="M4329">
        <v>-0.99975950000000002</v>
      </c>
      <c r="N4329">
        <v>-1.2717060000000001E-2</v>
      </c>
      <c r="O4329">
        <v>-1.7867640000000001E-2</v>
      </c>
      <c r="P4329">
        <v>-0.98269359999999994</v>
      </c>
      <c r="Q4329">
        <v>0.18441920000000001</v>
      </c>
      <c r="R4329">
        <v>1.7410510000000001E-2</v>
      </c>
      <c r="S4329">
        <v>-3.0705260000000001</v>
      </c>
      <c r="T4329">
        <v>-8.9425439999999995E-2</v>
      </c>
      <c r="U4329">
        <v>-4.2388919999999997E-2</v>
      </c>
      <c r="V4329">
        <v>3.462734E-2</v>
      </c>
      <c r="W4329">
        <v>0.19695550000000001</v>
      </c>
      <c r="X4329">
        <v>0.97980080000000003</v>
      </c>
      <c r="Y4329">
        <v>4.0609309999999899E-3</v>
      </c>
      <c r="Z4329">
        <v>3.7794210000000001E-4</v>
      </c>
      <c r="AA4329">
        <v>0.99999170000000004</v>
      </c>
      <c r="AB4329">
        <v>36</v>
      </c>
      <c r="AC4329">
        <v>-38.254800000000003</v>
      </c>
      <c r="AD4329">
        <v>-1.1219135282719901</v>
      </c>
      <c r="AE4329">
        <v>-0.52670000000000505</v>
      </c>
      <c r="AF4329">
        <v>0.15682749499815801</v>
      </c>
      <c r="AG4329">
        <v>-1.1219135282719901</v>
      </c>
      <c r="AH4329">
        <v>38.225232564167499</v>
      </c>
      <c r="AI4329">
        <v>91.681138794314904</v>
      </c>
      <c r="AJ4329">
        <v>89.764932675177107</v>
      </c>
      <c r="AK4329">
        <v>38.242014714353097</v>
      </c>
      <c r="AL4329">
        <v>78.641019590853602</v>
      </c>
      <c r="AM4329">
        <v>87.975940568489904</v>
      </c>
      <c r="AN4329">
        <v>1.0000000646681799</v>
      </c>
    </row>
    <row r="4330" spans="1:40" x14ac:dyDescent="0.25">
      <c r="A4330" t="str">
        <f>"20190303162907231"</f>
        <v>20190303162907231</v>
      </c>
      <c r="B4330" t="str">
        <f>"1551601747216489"</f>
        <v>1551601747216489</v>
      </c>
      <c r="C4330" t="s">
        <v>40</v>
      </c>
      <c r="D4330">
        <v>5.2170329999999998</v>
      </c>
      <c r="E4330">
        <v>0.48927949999999998</v>
      </c>
      <c r="F4330" t="s">
        <v>41</v>
      </c>
      <c r="G4330">
        <v>-345.33049999999997</v>
      </c>
      <c r="H4330" s="1">
        <v>-2.6259569999999998E-6</v>
      </c>
      <c r="I4330">
        <v>142.02330000000001</v>
      </c>
      <c r="J4330">
        <v>-307.58580000000001</v>
      </c>
      <c r="K4330">
        <v>1.1219159999999999</v>
      </c>
      <c r="L4330">
        <v>142.55420000000001</v>
      </c>
      <c r="M4330">
        <v>-0.99974879999999999</v>
      </c>
      <c r="N4330">
        <v>-1.271632E-2</v>
      </c>
      <c r="O4330">
        <v>-1.8458410000000001E-2</v>
      </c>
      <c r="P4330">
        <v>-0.98265259999999999</v>
      </c>
      <c r="Q4330">
        <v>0.18468780000000001</v>
      </c>
      <c r="R4330">
        <v>1.6862370000000002E-2</v>
      </c>
      <c r="S4330">
        <v>-3.0706479999999998</v>
      </c>
      <c r="T4330">
        <v>-9.0607759999999996E-2</v>
      </c>
      <c r="U4330">
        <v>-4.3319700000000003E-2</v>
      </c>
      <c r="V4330">
        <v>3.4658540000000002E-2</v>
      </c>
      <c r="W4330">
        <v>0.1972228</v>
      </c>
      <c r="X4330">
        <v>0.97974589999999995</v>
      </c>
      <c r="Y4330">
        <v>4.348892E-3</v>
      </c>
      <c r="Z4330">
        <v>4.0157700000000002E-4</v>
      </c>
      <c r="AA4330">
        <v>0.9999905</v>
      </c>
      <c r="AB4330">
        <v>36</v>
      </c>
      <c r="AC4330">
        <v>-37.744699999999902</v>
      </c>
      <c r="AD4330">
        <v>-1.121918625957</v>
      </c>
      <c r="AE4330">
        <v>-0.53090000000000204</v>
      </c>
      <c r="AF4330">
        <v>0.16580745828503801</v>
      </c>
      <c r="AG4330">
        <v>-1.121918625957</v>
      </c>
      <c r="AH4330">
        <v>37.7147540044542</v>
      </c>
      <c r="AI4330">
        <v>91.703885714120801</v>
      </c>
      <c r="AJ4330">
        <v>89.748109019469297</v>
      </c>
      <c r="AK4330">
        <v>37.731801747769602</v>
      </c>
      <c r="AL4330">
        <v>78.625397713270701</v>
      </c>
      <c r="AM4330">
        <v>87.974004939539299</v>
      </c>
      <c r="AN4330">
        <v>1.0000000379007901</v>
      </c>
    </row>
    <row r="4331" spans="1:40" x14ac:dyDescent="0.25">
      <c r="A4331" t="str">
        <f>"20190303162907255"</f>
        <v>20190303162907255</v>
      </c>
      <c r="B4331" t="str">
        <f>"1551601747245769"</f>
        <v>1551601747245769</v>
      </c>
      <c r="C4331" t="s">
        <v>40</v>
      </c>
      <c r="D4331">
        <v>5.1600580000000003</v>
      </c>
      <c r="E4331">
        <v>0.48947469999999998</v>
      </c>
      <c r="F4331" t="s">
        <v>41</v>
      </c>
      <c r="G4331">
        <v>-345.98660000000001</v>
      </c>
      <c r="H4331" s="1">
        <v>-2.3402469999999999E-6</v>
      </c>
      <c r="I4331">
        <v>142.00739999999999</v>
      </c>
      <c r="J4331">
        <v>-307.97129999999999</v>
      </c>
      <c r="K4331">
        <v>1.1219190000000001</v>
      </c>
      <c r="L4331">
        <v>142.5462</v>
      </c>
      <c r="M4331">
        <v>-0.99973339999999999</v>
      </c>
      <c r="N4331">
        <v>-1.27154E-2</v>
      </c>
      <c r="O4331">
        <v>-1.9281739999999999E-2</v>
      </c>
      <c r="P4331">
        <v>-0.98260860000000005</v>
      </c>
      <c r="Q4331">
        <v>0.18493970000000001</v>
      </c>
      <c r="R4331">
        <v>1.667511E-2</v>
      </c>
      <c r="S4331">
        <v>-3.070557</v>
      </c>
      <c r="T4331">
        <v>-8.9709520000000001E-2</v>
      </c>
      <c r="U4331">
        <v>-4.3716430000000001E-2</v>
      </c>
      <c r="V4331">
        <v>3.5279030000000003E-2</v>
      </c>
      <c r="W4331">
        <v>0.19747390000000001</v>
      </c>
      <c r="X4331">
        <v>0.97967309999999996</v>
      </c>
      <c r="Y4331">
        <v>5.0424290000000002E-3</v>
      </c>
      <c r="Z4331">
        <v>4.2369080000000001E-4</v>
      </c>
      <c r="AA4331">
        <v>0.99998719999999996</v>
      </c>
      <c r="AB4331">
        <v>36</v>
      </c>
      <c r="AC4331">
        <v>-38.015300000000003</v>
      </c>
      <c r="AD4331">
        <v>-1.1219213402470001</v>
      </c>
      <c r="AE4331">
        <v>-0.53880000000000805</v>
      </c>
      <c r="AF4331">
        <v>0.19419135199252399</v>
      </c>
      <c r="AG4331">
        <v>-1.1219213402470001</v>
      </c>
      <c r="AH4331">
        <v>37.985543285737897</v>
      </c>
      <c r="AI4331">
        <v>91.691744565883198</v>
      </c>
      <c r="AJ4331">
        <v>89.707092567406505</v>
      </c>
      <c r="AK4331">
        <v>38.002604075083603</v>
      </c>
      <c r="AL4331">
        <v>78.610721306735002</v>
      </c>
      <c r="AM4331">
        <v>87.937611586911999</v>
      </c>
      <c r="AN4331">
        <v>0.99999996700127902</v>
      </c>
    </row>
    <row r="4332" spans="1:40" x14ac:dyDescent="0.25">
      <c r="A4332" t="str">
        <f>"20190303162907275"</f>
        <v>20190303162907275</v>
      </c>
      <c r="B4332" t="str">
        <f>"1551601747266265"</f>
        <v>1551601747266265</v>
      </c>
      <c r="C4332" t="s">
        <v>40</v>
      </c>
      <c r="D4332">
        <v>5.0950870000000004</v>
      </c>
      <c r="E4332">
        <v>0.48964629999999998</v>
      </c>
      <c r="F4332" t="s">
        <v>41</v>
      </c>
      <c r="G4332">
        <v>-346.1807</v>
      </c>
      <c r="H4332" s="1">
        <v>-2.257709E-6</v>
      </c>
      <c r="I4332">
        <v>142.01009999999999</v>
      </c>
      <c r="J4332">
        <v>-308.29480000000001</v>
      </c>
      <c r="K4332">
        <v>1.1219220000000001</v>
      </c>
      <c r="L4332">
        <v>142.5393</v>
      </c>
      <c r="M4332">
        <v>-0.99971969999999999</v>
      </c>
      <c r="N4332">
        <v>-1.2714609999999999E-2</v>
      </c>
      <c r="O4332">
        <v>-1.9972879999999998E-2</v>
      </c>
      <c r="P4332">
        <v>-0.98259439999999998</v>
      </c>
      <c r="Q4332">
        <v>0.18502009999999999</v>
      </c>
      <c r="R4332">
        <v>1.661054E-2</v>
      </c>
      <c r="S4332">
        <v>-3.07077</v>
      </c>
      <c r="T4332">
        <v>-9.0165259999999997E-2</v>
      </c>
      <c r="U4332">
        <v>-4.3075559999999999E-2</v>
      </c>
      <c r="V4332">
        <v>3.5893250000000002E-2</v>
      </c>
      <c r="W4332">
        <v>0.1975538</v>
      </c>
      <c r="X4332">
        <v>0.97963469999999997</v>
      </c>
      <c r="Y4332">
        <v>5.9426679999999999E-3</v>
      </c>
      <c r="Z4332">
        <v>4.5732850000000002E-4</v>
      </c>
      <c r="AA4332">
        <v>0.99998220000000004</v>
      </c>
      <c r="AB4332">
        <v>35</v>
      </c>
      <c r="AC4332">
        <v>-37.8858999999999</v>
      </c>
      <c r="AD4332">
        <v>-1.1219242577089901</v>
      </c>
      <c r="AE4332">
        <v>-0.529200000000003</v>
      </c>
      <c r="AF4332">
        <v>0.22745783635491201</v>
      </c>
      <c r="AG4332">
        <v>-1.1219242577089901</v>
      </c>
      <c r="AH4332">
        <v>37.855721010906301</v>
      </c>
      <c r="AI4332">
        <v>91.697538796668795</v>
      </c>
      <c r="AJ4332">
        <v>89.655739823165405</v>
      </c>
      <c r="AK4332">
        <v>37.873025550686201</v>
      </c>
      <c r="AL4332">
        <v>78.606051611774902</v>
      </c>
      <c r="AM4332">
        <v>87.901654344512906</v>
      </c>
      <c r="AN4332">
        <v>0.99999998736704598</v>
      </c>
    </row>
    <row r="4333" spans="1:40" x14ac:dyDescent="0.25">
      <c r="A4333" t="str">
        <f>"20190303162907297"</f>
        <v>20190303162907297</v>
      </c>
      <c r="B4333" t="str">
        <f>"1551601747286386"</f>
        <v>1551601747286386</v>
      </c>
      <c r="C4333" t="s">
        <v>40</v>
      </c>
      <c r="D4333">
        <v>5.0958639999999997</v>
      </c>
      <c r="E4333">
        <v>0.48979319999999998</v>
      </c>
      <c r="F4333" t="s">
        <v>41</v>
      </c>
      <c r="G4333">
        <v>-346.41640000000001</v>
      </c>
      <c r="H4333" s="1">
        <v>-2.1565060000000002E-6</v>
      </c>
      <c r="I4333">
        <v>142.00980000000001</v>
      </c>
      <c r="J4333">
        <v>-308.63839999999999</v>
      </c>
      <c r="K4333">
        <v>1.1219250000000001</v>
      </c>
      <c r="L4333">
        <v>142.5317</v>
      </c>
      <c r="M4333">
        <v>-0.99970479999999995</v>
      </c>
      <c r="N4333">
        <v>-1.271369E-2</v>
      </c>
      <c r="O4333">
        <v>-2.0705729999999999E-2</v>
      </c>
      <c r="P4333">
        <v>-0.98257169999999905</v>
      </c>
      <c r="Q4333">
        <v>0.18514729999999999</v>
      </c>
      <c r="R4333">
        <v>1.6536349999999998E-2</v>
      </c>
      <c r="S4333">
        <v>-3.0708920000000002</v>
      </c>
      <c r="T4333">
        <v>-9.0376849999999995E-2</v>
      </c>
      <c r="U4333">
        <v>-4.2648320000000003E-2</v>
      </c>
      <c r="V4333">
        <v>3.6538630000000002E-2</v>
      </c>
      <c r="W4333">
        <v>0.197681</v>
      </c>
      <c r="X4333">
        <v>0.97958520000000004</v>
      </c>
      <c r="Y4333">
        <v>6.814685E-3</v>
      </c>
      <c r="Z4333">
        <v>4.8951110000000002E-4</v>
      </c>
      <c r="AA4333">
        <v>0.99997659999999999</v>
      </c>
      <c r="AB4333">
        <v>35</v>
      </c>
      <c r="AC4333">
        <v>-37.777999999999999</v>
      </c>
      <c r="AD4333">
        <v>-1.1219271565060001</v>
      </c>
      <c r="AE4333">
        <v>-0.52189999999998804</v>
      </c>
      <c r="AF4333">
        <v>0.26026667756307698</v>
      </c>
      <c r="AG4333">
        <v>-1.1219271565060001</v>
      </c>
      <c r="AH4333">
        <v>37.7474212321072</v>
      </c>
      <c r="AI4333">
        <v>91.702400949083795</v>
      </c>
      <c r="AJ4333">
        <v>89.604954580153105</v>
      </c>
      <c r="AK4333">
        <v>37.764987342273699</v>
      </c>
      <c r="AL4333">
        <v>78.598617194485001</v>
      </c>
      <c r="AM4333">
        <v>87.863851761335198</v>
      </c>
      <c r="AN4333">
        <v>1.0000000066511501</v>
      </c>
    </row>
    <row r="4334" spans="1:40" x14ac:dyDescent="0.25">
      <c r="A4334" t="str">
        <f>"20190303162907319"</f>
        <v>20190303162907319</v>
      </c>
      <c r="B4334" t="str">
        <f>"1551601747305907"</f>
        <v>1551601747305907</v>
      </c>
      <c r="C4334" t="s">
        <v>40</v>
      </c>
      <c r="D4334">
        <v>5.0977839999999999</v>
      </c>
      <c r="E4334">
        <v>0.48992330000000001</v>
      </c>
      <c r="F4334" t="s">
        <v>41</v>
      </c>
      <c r="G4334">
        <v>-346.74169999999998</v>
      </c>
      <c r="H4334" s="1">
        <v>-2.0165449999999999E-6</v>
      </c>
      <c r="I4334">
        <v>142.00829999999999</v>
      </c>
      <c r="J4334">
        <v>-308.98910000000001</v>
      </c>
      <c r="K4334">
        <v>1.1219239999999999</v>
      </c>
      <c r="L4334">
        <v>142.52359999999999</v>
      </c>
      <c r="M4334">
        <v>-0.9996893</v>
      </c>
      <c r="N4334">
        <v>-1.271272E-2</v>
      </c>
      <c r="O4334">
        <v>-2.1446509999999998E-2</v>
      </c>
      <c r="P4334">
        <v>-0.98242660000000004</v>
      </c>
      <c r="Q4334">
        <v>0.18587670000000001</v>
      </c>
      <c r="R4334">
        <v>1.6971599999999899E-2</v>
      </c>
      <c r="S4334">
        <v>-3.0709230000000001</v>
      </c>
      <c r="T4334">
        <v>-9.0421319999999999E-2</v>
      </c>
      <c r="U4334">
        <v>-4.2175289999999997E-2</v>
      </c>
      <c r="V4334">
        <v>3.7699049999999998E-2</v>
      </c>
      <c r="W4334">
        <v>0.19840869999999999</v>
      </c>
      <c r="X4334">
        <v>0.97939410000000005</v>
      </c>
      <c r="Y4334">
        <v>7.7091390000000003E-3</v>
      </c>
      <c r="Z4334">
        <v>5.2110549999999996E-4</v>
      </c>
      <c r="AA4334">
        <v>0.99997009999999997</v>
      </c>
      <c r="AB4334">
        <v>35</v>
      </c>
      <c r="AC4334">
        <v>-37.752599999999902</v>
      </c>
      <c r="AD4334">
        <v>-1.121926016545</v>
      </c>
      <c r="AE4334">
        <v>-0.51529999999999598</v>
      </c>
      <c r="AF4334">
        <v>0.29428553064905499</v>
      </c>
      <c r="AG4334">
        <v>-1.121926016545</v>
      </c>
      <c r="AH4334">
        <v>37.7216599750463</v>
      </c>
      <c r="AI4334">
        <v>91.703549814203498</v>
      </c>
      <c r="AJ4334">
        <v>89.553016043765695</v>
      </c>
      <c r="AK4334">
        <v>37.739487983187601</v>
      </c>
      <c r="AL4334">
        <v>78.556080647906896</v>
      </c>
      <c r="AM4334">
        <v>87.795646699094704</v>
      </c>
      <c r="AN4334">
        <v>1.0000000168606999</v>
      </c>
    </row>
    <row r="4335" spans="1:40" x14ac:dyDescent="0.25">
      <c r="A4335" t="str">
        <f>"20190303162907336"</f>
        <v>20190303162907336</v>
      </c>
      <c r="B4335" t="str">
        <f>"1551601747326403"</f>
        <v>1551601747326403</v>
      </c>
      <c r="C4335" t="s">
        <v>40</v>
      </c>
      <c r="D4335">
        <v>4.8724309999999997</v>
      </c>
      <c r="E4335">
        <v>0.48999949999999998</v>
      </c>
      <c r="F4335" t="s">
        <v>41</v>
      </c>
      <c r="G4335">
        <v>-348.05279999999999</v>
      </c>
      <c r="H4335" s="1">
        <v>-1.4519170000000001E-6</v>
      </c>
      <c r="I4335">
        <v>142.0001</v>
      </c>
      <c r="J4335">
        <v>-309.25279999999998</v>
      </c>
      <c r="K4335">
        <v>1.1219159999999999</v>
      </c>
      <c r="L4335">
        <v>142.51740000000001</v>
      </c>
      <c r="M4335">
        <v>-0.9996775</v>
      </c>
      <c r="N4335">
        <v>-1.271184E-2</v>
      </c>
      <c r="O4335">
        <v>-2.1988730000000001E-2</v>
      </c>
      <c r="P4335">
        <v>-0.98232039999999998</v>
      </c>
      <c r="Q4335">
        <v>0.18640380000000001</v>
      </c>
      <c r="R4335">
        <v>1.7343810000000001E-2</v>
      </c>
      <c r="S4335">
        <v>-3.0711059999999999</v>
      </c>
      <c r="T4335">
        <v>-8.8203550000000006E-2</v>
      </c>
      <c r="U4335">
        <v>-4.1152950000000001E-2</v>
      </c>
      <c r="V4335">
        <v>3.8604579999999999E-2</v>
      </c>
      <c r="W4335">
        <v>0.19893350000000001</v>
      </c>
      <c r="X4335">
        <v>0.97925229999999996</v>
      </c>
      <c r="Y4335">
        <v>8.5850119999999995E-3</v>
      </c>
      <c r="Z4335">
        <v>5.2963360000000004E-4</v>
      </c>
      <c r="AA4335">
        <v>0.99996300000000005</v>
      </c>
      <c r="AB4335">
        <v>35</v>
      </c>
      <c r="AC4335">
        <v>-38.799999999999997</v>
      </c>
      <c r="AD4335">
        <v>-1.1219174519170001</v>
      </c>
      <c r="AE4335">
        <v>-0.51730000000000498</v>
      </c>
      <c r="AF4335">
        <v>0.33577598024248401</v>
      </c>
      <c r="AG4335">
        <v>-1.1219174519170001</v>
      </c>
      <c r="AH4335">
        <v>38.769583559312601</v>
      </c>
      <c r="AI4335">
        <v>91.657505345402697</v>
      </c>
      <c r="AJ4335">
        <v>89.503784571309396</v>
      </c>
      <c r="AK4335">
        <v>38.787266643066602</v>
      </c>
      <c r="AL4335">
        <v>78.525399574031198</v>
      </c>
      <c r="AM4335">
        <v>87.742425809170001</v>
      </c>
      <c r="AN4335">
        <v>0.99999995903725702</v>
      </c>
    </row>
    <row r="4336" spans="1:40" x14ac:dyDescent="0.25">
      <c r="A4336" t="str">
        <f>"20190303162907354"</f>
        <v>20190303162907354</v>
      </c>
      <c r="B4336" t="str">
        <f>"1551601747345923"</f>
        <v>1551601747345923</v>
      </c>
      <c r="C4336" t="s">
        <v>40</v>
      </c>
      <c r="D4336">
        <v>4.8480160000000003</v>
      </c>
      <c r="E4336">
        <v>0.49016569999999998</v>
      </c>
      <c r="F4336" t="s">
        <v>41</v>
      </c>
      <c r="G4336">
        <v>-348.86869999999999</v>
      </c>
      <c r="H4336" s="1">
        <v>-1.1026409999999999E-6</v>
      </c>
      <c r="I4336">
        <v>142.00280000000001</v>
      </c>
      <c r="J4336">
        <v>-309.5419</v>
      </c>
      <c r="K4336">
        <v>1.1218980000000001</v>
      </c>
      <c r="L4336">
        <v>142.51050000000001</v>
      </c>
      <c r="M4336">
        <v>-0.99966480000000002</v>
      </c>
      <c r="N4336">
        <v>-1.2710910000000001E-2</v>
      </c>
      <c r="O4336">
        <v>-2.255652E-2</v>
      </c>
      <c r="P4336">
        <v>-0.98232109999999995</v>
      </c>
      <c r="Q4336">
        <v>0.18629850000000001</v>
      </c>
      <c r="R4336">
        <v>1.8396010000000001E-2</v>
      </c>
      <c r="S4336">
        <v>-3.071167</v>
      </c>
      <c r="T4336">
        <v>-8.6975220000000006E-2</v>
      </c>
      <c r="U4336">
        <v>-3.988647E-2</v>
      </c>
      <c r="V4336">
        <v>4.0223589999999997E-2</v>
      </c>
      <c r="W4336">
        <v>0.1988279</v>
      </c>
      <c r="X4336">
        <v>0.97920859999999998</v>
      </c>
      <c r="Y4336">
        <v>9.5651350000000007E-3</v>
      </c>
      <c r="Z4336">
        <v>5.4809200000000002E-4</v>
      </c>
      <c r="AA4336">
        <v>0.99995409999999996</v>
      </c>
      <c r="AB4336">
        <v>35</v>
      </c>
      <c r="AC4336">
        <v>-39.326799999999899</v>
      </c>
      <c r="AD4336">
        <v>-1.1218991026409999</v>
      </c>
      <c r="AE4336">
        <v>-0.50769999999999904</v>
      </c>
      <c r="AF4336">
        <v>0.37926797625354502</v>
      </c>
      <c r="AG4336">
        <v>-1.1218991026409999</v>
      </c>
      <c r="AH4336">
        <v>39.296270399029197</v>
      </c>
      <c r="AI4336">
        <v>91.6352604356764</v>
      </c>
      <c r="AJ4336">
        <v>89.447026920884696</v>
      </c>
      <c r="AK4336">
        <v>39.314111576734597</v>
      </c>
      <c r="AL4336">
        <v>78.531573542391001</v>
      </c>
      <c r="AM4336">
        <v>87.6477463629802</v>
      </c>
      <c r="AN4336">
        <v>0.99999997666242801</v>
      </c>
    </row>
    <row r="4337" spans="1:40" x14ac:dyDescent="0.25">
      <c r="A4337" t="str">
        <f>"20190303162907376"</f>
        <v>20190303162907376</v>
      </c>
      <c r="B4337" t="str">
        <f>"1551601747366419"</f>
        <v>1551601747366419</v>
      </c>
      <c r="C4337" t="s">
        <v>40</v>
      </c>
      <c r="D4337">
        <v>4.8779209999999997</v>
      </c>
      <c r="E4337">
        <v>0.49025819999999998</v>
      </c>
      <c r="F4337" t="s">
        <v>41</v>
      </c>
      <c r="G4337">
        <v>-348.4753</v>
      </c>
      <c r="H4337" s="1">
        <v>-1.283628E-6</v>
      </c>
      <c r="I4337">
        <v>142.0487</v>
      </c>
      <c r="J4337">
        <v>-309.88490000000002</v>
      </c>
      <c r="K4337">
        <v>1.1218589999999999</v>
      </c>
      <c r="L4337">
        <v>142.50210000000001</v>
      </c>
      <c r="M4337">
        <v>-0.99965090000000001</v>
      </c>
      <c r="N4337">
        <v>-1.270959E-2</v>
      </c>
      <c r="O4337">
        <v>-2.3166539999999999E-2</v>
      </c>
      <c r="P4337">
        <v>-0.98225830000000003</v>
      </c>
      <c r="Q4337">
        <v>0.186612</v>
      </c>
      <c r="R4337">
        <v>1.8567110000000001E-2</v>
      </c>
      <c r="S4337">
        <v>-3.071472</v>
      </c>
      <c r="T4337">
        <v>-8.8507409999999995E-2</v>
      </c>
      <c r="U4337">
        <v>-3.642273E-2</v>
      </c>
      <c r="V4337">
        <v>4.101316E-2</v>
      </c>
      <c r="W4337">
        <v>0.1991358</v>
      </c>
      <c r="X4337">
        <v>0.97911329999999996</v>
      </c>
      <c r="Y4337">
        <v>1.1302639999999999E-2</v>
      </c>
      <c r="Z4337">
        <v>6.0756359999999997E-4</v>
      </c>
      <c r="AA4337">
        <v>0.99993589999999999</v>
      </c>
      <c r="AB4337">
        <v>35</v>
      </c>
      <c r="AC4337">
        <v>-38.590399999999903</v>
      </c>
      <c r="AD4337">
        <v>-1.1218602836279901</v>
      </c>
      <c r="AE4337">
        <v>-0.45340000000001601</v>
      </c>
      <c r="AF4337">
        <v>0.44042773540637098</v>
      </c>
      <c r="AG4337">
        <v>-1.1218602836279901</v>
      </c>
      <c r="AH4337">
        <v>38.557964326976602</v>
      </c>
      <c r="AI4337">
        <v>91.666466123637207</v>
      </c>
      <c r="AJ4337">
        <v>89.345568329027302</v>
      </c>
      <c r="AK4337">
        <v>38.576795617657197</v>
      </c>
      <c r="AL4337">
        <v>78.5135724755919</v>
      </c>
      <c r="AM4337">
        <v>87.601392971776903</v>
      </c>
      <c r="AN4337">
        <v>1.00000000018585</v>
      </c>
    </row>
    <row r="4338" spans="1:40" x14ac:dyDescent="0.25">
      <c r="A4338" t="str">
        <f>"20190303162907392"</f>
        <v>20190303162907392</v>
      </c>
      <c r="B4338" t="str">
        <f>"1551601747386448"</f>
        <v>1551601747386448</v>
      </c>
      <c r="C4338" t="s">
        <v>40</v>
      </c>
      <c r="D4338">
        <v>4.8593449999999896</v>
      </c>
      <c r="E4338">
        <v>0.49028660000000002</v>
      </c>
      <c r="F4338" t="s">
        <v>41</v>
      </c>
      <c r="G4338">
        <v>-348.67700000000002</v>
      </c>
      <c r="H4338" s="1">
        <v>-1.2026689999999999E-6</v>
      </c>
      <c r="I4338">
        <v>142.06970000000001</v>
      </c>
      <c r="J4338">
        <v>-310.12939999999998</v>
      </c>
      <c r="K4338">
        <v>1.1218129999999999</v>
      </c>
      <c r="L4338">
        <v>142.49600000000001</v>
      </c>
      <c r="M4338">
        <v>-0.99964229999999998</v>
      </c>
      <c r="N4338">
        <v>-1.2708529999999999E-2</v>
      </c>
      <c r="O4338">
        <v>-2.3537579999999999E-2</v>
      </c>
      <c r="P4338">
        <v>-0.98222019999999999</v>
      </c>
      <c r="Q4338">
        <v>0.18685930000000001</v>
      </c>
      <c r="R4338">
        <v>1.8087260000000001E-2</v>
      </c>
      <c r="S4338">
        <v>-3.0716860000000001</v>
      </c>
      <c r="T4338">
        <v>-8.8832739999999993E-2</v>
      </c>
      <c r="U4338">
        <v>-3.4225459999999999E-2</v>
      </c>
      <c r="V4338">
        <v>4.0920989999999997E-2</v>
      </c>
      <c r="W4338">
        <v>0.19937650000000001</v>
      </c>
      <c r="X4338">
        <v>0.97906819999999894</v>
      </c>
      <c r="Y4338">
        <v>1.2389010000000001E-2</v>
      </c>
      <c r="Z4338">
        <v>6.3919819999999996E-4</v>
      </c>
      <c r="AA4338">
        <v>0.99992309999999995</v>
      </c>
      <c r="AB4338">
        <v>35</v>
      </c>
      <c r="AC4338">
        <v>-38.547599999999903</v>
      </c>
      <c r="AD4338">
        <v>-1.1218142026689999</v>
      </c>
      <c r="AE4338">
        <v>-0.42629999999999701</v>
      </c>
      <c r="AF4338">
        <v>0.48080135139429198</v>
      </c>
      <c r="AG4338">
        <v>-1.1218142026689999</v>
      </c>
      <c r="AH4338">
        <v>38.514338716911404</v>
      </c>
      <c r="AI4338">
        <v>91.668263045364398</v>
      </c>
      <c r="AJ4338">
        <v>89.284773977048502</v>
      </c>
      <c r="AK4338">
        <v>38.5336725974283</v>
      </c>
      <c r="AL4338">
        <v>78.499499502474507</v>
      </c>
      <c r="AM4338">
        <v>87.606667038774901</v>
      </c>
      <c r="AN4338">
        <v>1.0000000282130299</v>
      </c>
    </row>
    <row r="4339" spans="1:40" x14ac:dyDescent="0.25">
      <c r="A4339" t="str">
        <f>"20190303162907409"</f>
        <v>20190303162907409</v>
      </c>
      <c r="B4339" t="str">
        <f>"1551601747405968"</f>
        <v>1551601747405968</v>
      </c>
      <c r="C4339" t="s">
        <v>40</v>
      </c>
      <c r="D4339">
        <v>5.0602879999999999</v>
      </c>
      <c r="E4339">
        <v>0.48969590000000002</v>
      </c>
      <c r="F4339" t="s">
        <v>41</v>
      </c>
      <c r="G4339">
        <v>-348.75659999999999</v>
      </c>
      <c r="H4339" s="1">
        <v>-1.1667429999999999E-6</v>
      </c>
      <c r="I4339">
        <v>142.06299999999999</v>
      </c>
      <c r="J4339">
        <v>-310.41550000000001</v>
      </c>
      <c r="K4339">
        <v>1.121739</v>
      </c>
      <c r="L4339">
        <v>142.4888</v>
      </c>
      <c r="M4339">
        <v>-0.99963380000000002</v>
      </c>
      <c r="N4339">
        <v>-1.2707319999999999E-2</v>
      </c>
      <c r="O4339">
        <v>-2.3893709999999999E-2</v>
      </c>
      <c r="P4339">
        <v>-0.98194859999999995</v>
      </c>
      <c r="Q4339">
        <v>0.18838949999999999</v>
      </c>
      <c r="R4339">
        <v>1.6926440000000001E-2</v>
      </c>
      <c r="S4339">
        <v>-3.071869</v>
      </c>
      <c r="T4339">
        <v>-8.9213490000000006E-2</v>
      </c>
      <c r="U4339">
        <v>-3.4423830000000002E-2</v>
      </c>
      <c r="V4339">
        <v>4.0140049999999997E-2</v>
      </c>
      <c r="W4339">
        <v>0.20089299999999999</v>
      </c>
      <c r="X4339">
        <v>0.97879050000000001</v>
      </c>
      <c r="Y4339">
        <v>1.2681029999999999E-2</v>
      </c>
      <c r="Z4339">
        <v>6.5475730000000005E-4</v>
      </c>
      <c r="AA4339">
        <v>0.99991940000000001</v>
      </c>
      <c r="AB4339">
        <v>35</v>
      </c>
      <c r="AC4339">
        <v>-38.341099999999898</v>
      </c>
      <c r="AD4339">
        <v>-1.121740166743</v>
      </c>
      <c r="AE4339">
        <v>-0.425800000000009</v>
      </c>
      <c r="AF4339">
        <v>0.49008718209685698</v>
      </c>
      <c r="AG4339">
        <v>-1.121740166743</v>
      </c>
      <c r="AH4339">
        <v>38.307540961273297</v>
      </c>
      <c r="AI4339">
        <v>91.677146600978304</v>
      </c>
      <c r="AJ4339">
        <v>89.267026945758403</v>
      </c>
      <c r="AK4339">
        <v>38.327094606131702</v>
      </c>
      <c r="AL4339">
        <v>78.410816283940306</v>
      </c>
      <c r="AM4339">
        <v>87.651624684692194</v>
      </c>
      <c r="AN4339">
        <v>1.00000003197662</v>
      </c>
    </row>
    <row r="4340" spans="1:40" x14ac:dyDescent="0.25">
      <c r="A4340" t="str">
        <f>"20190303162907424"</f>
        <v>20190303162907424</v>
      </c>
      <c r="B4340" t="str">
        <f>"1551601747415727"</f>
        <v>1551601747415727</v>
      </c>
      <c r="C4340" t="s">
        <v>40</v>
      </c>
      <c r="D4340">
        <v>5.0186549999999999</v>
      </c>
      <c r="E4340">
        <v>0.48947010000000002</v>
      </c>
      <c r="F4340" t="s">
        <v>41</v>
      </c>
      <c r="G4340">
        <v>-351.24009999999998</v>
      </c>
      <c r="H4340" s="1">
        <v>-4.2677650000000001E-6</v>
      </c>
      <c r="I4340">
        <v>141.94880000000001</v>
      </c>
      <c r="J4340">
        <v>-310.6481</v>
      </c>
      <c r="K4340">
        <v>1.1216600000000001</v>
      </c>
      <c r="L4340">
        <v>142.483</v>
      </c>
      <c r="M4340">
        <v>-0.99962839999999997</v>
      </c>
      <c r="N4340">
        <v>-1.27064E-2</v>
      </c>
      <c r="O4340">
        <v>-2.412249E-2</v>
      </c>
      <c r="P4340">
        <v>-0.98175650000000003</v>
      </c>
      <c r="Q4340">
        <v>0.18945989999999999</v>
      </c>
      <c r="R4340">
        <v>1.609961E-2</v>
      </c>
      <c r="S4340">
        <v>-3.0720519999999998</v>
      </c>
      <c r="T4340">
        <v>-8.4411379999999994E-2</v>
      </c>
      <c r="U4340">
        <v>-4.0634160000000002E-2</v>
      </c>
      <c r="V4340">
        <v>3.9569460000000001E-2</v>
      </c>
      <c r="W4340">
        <v>0.20195179999999999</v>
      </c>
      <c r="X4340">
        <v>0.97859580000000002</v>
      </c>
      <c r="Y4340">
        <v>1.0891649999999999E-2</v>
      </c>
      <c r="Z4340">
        <v>5.7490009999999997E-4</v>
      </c>
      <c r="AA4340">
        <v>0.99994050000000001</v>
      </c>
      <c r="AB4340">
        <v>35</v>
      </c>
      <c r="AC4340">
        <v>-40.591999999999899</v>
      </c>
      <c r="AD4340">
        <v>-1.1216642677649999</v>
      </c>
      <c r="AE4340">
        <v>-0.53419999999999801</v>
      </c>
      <c r="AF4340">
        <v>0.44487487011016402</v>
      </c>
      <c r="AG4340">
        <v>-1.1216642677649999</v>
      </c>
      <c r="AH4340">
        <v>40.562107157883503</v>
      </c>
      <c r="AI4340">
        <v>91.583901754655002</v>
      </c>
      <c r="AJ4340">
        <v>89.371619664901601</v>
      </c>
      <c r="AK4340">
        <v>40.580051521249501</v>
      </c>
      <c r="AL4340">
        <v>78.348881828410299</v>
      </c>
      <c r="AM4340">
        <v>87.684510117047395</v>
      </c>
      <c r="AN4340">
        <v>1.00000000573278</v>
      </c>
    </row>
    <row r="4341" spans="1:40" x14ac:dyDescent="0.25">
      <c r="A4341" t="str">
        <f>"20190303162907440"</f>
        <v>20190303162907440</v>
      </c>
      <c r="B4341" t="str">
        <f>"1551601747436224"</f>
        <v>1551601747436224</v>
      </c>
      <c r="C4341" t="s">
        <v>40</v>
      </c>
      <c r="D4341">
        <v>5.118023</v>
      </c>
      <c r="E4341">
        <v>0.48904809999999999</v>
      </c>
      <c r="F4341" t="s">
        <v>41</v>
      </c>
      <c r="G4341">
        <v>-354.57510000000002</v>
      </c>
      <c r="H4341" s="1">
        <v>-2.9051549999999898E-6</v>
      </c>
      <c r="I4341">
        <v>141.85470000000001</v>
      </c>
      <c r="J4341">
        <v>-310.90140000000002</v>
      </c>
      <c r="K4341">
        <v>1.121572</v>
      </c>
      <c r="L4341">
        <v>142.47669999999999</v>
      </c>
      <c r="M4341">
        <v>-0.99962439999999997</v>
      </c>
      <c r="N4341">
        <v>-1.270568E-2</v>
      </c>
      <c r="O4341">
        <v>-2.428452E-2</v>
      </c>
      <c r="P4341">
        <v>-0.98169249999999997</v>
      </c>
      <c r="Q4341">
        <v>0.1898755</v>
      </c>
      <c r="R4341">
        <v>1.5072240000000001E-2</v>
      </c>
      <c r="S4341">
        <v>-3.0715940000000002</v>
      </c>
      <c r="T4341">
        <v>-7.843232E-2</v>
      </c>
      <c r="U4341">
        <v>-4.3930049999999998E-2</v>
      </c>
      <c r="V4341">
        <v>3.8744389999999997E-2</v>
      </c>
      <c r="W4341">
        <v>0.2023567</v>
      </c>
      <c r="X4341">
        <v>0.9785452</v>
      </c>
      <c r="Y4341">
        <v>9.9807730000000001E-3</v>
      </c>
      <c r="Z4341">
        <v>5.0216269999999905E-4</v>
      </c>
      <c r="AA4341">
        <v>0.99995009999999995</v>
      </c>
      <c r="AB4341">
        <v>35</v>
      </c>
      <c r="AC4341">
        <v>-43.673699999999997</v>
      </c>
      <c r="AD4341">
        <v>-1.1215749051549999</v>
      </c>
      <c r="AE4341">
        <v>-0.62199999999998501</v>
      </c>
      <c r="AF4341">
        <v>0.43857468219167201</v>
      </c>
      <c r="AG4341">
        <v>-1.1215749051549999</v>
      </c>
      <c r="AH4341">
        <v>43.647144620664101</v>
      </c>
      <c r="AI4341">
        <v>91.471897619594699</v>
      </c>
      <c r="AJ4341">
        <v>89.424300653510997</v>
      </c>
      <c r="AK4341">
        <v>43.6637551243236</v>
      </c>
      <c r="AL4341">
        <v>78.325194042683293</v>
      </c>
      <c r="AM4341">
        <v>87.732622780119897</v>
      </c>
      <c r="AN4341">
        <v>1.0000000351172</v>
      </c>
    </row>
    <row r="4342" spans="1:40" x14ac:dyDescent="0.25">
      <c r="A4342" t="str">
        <f>"20190303162907455"</f>
        <v>20190303162907455</v>
      </c>
      <c r="B4342" t="str">
        <f>"1551601747445983"</f>
        <v>1551601747445983</v>
      </c>
      <c r="C4342" t="s">
        <v>40</v>
      </c>
      <c r="D4342">
        <v>5.3590390000000001</v>
      </c>
      <c r="E4342">
        <v>0.48904809999999999</v>
      </c>
      <c r="F4342" t="s">
        <v>41</v>
      </c>
      <c r="G4342">
        <v>-356.18279999999999</v>
      </c>
      <c r="H4342" s="1">
        <v>-2.1846830000000002E-6</v>
      </c>
      <c r="I4342">
        <v>141.739</v>
      </c>
      <c r="J4342">
        <v>-311.13959999999997</v>
      </c>
      <c r="K4342">
        <v>1.121483</v>
      </c>
      <c r="L4342">
        <v>142.4708</v>
      </c>
      <c r="M4342">
        <v>-0.99962260000000003</v>
      </c>
      <c r="N4342">
        <v>-1.270491E-2</v>
      </c>
      <c r="O4342">
        <v>-2.4357319999999998E-2</v>
      </c>
      <c r="P4342">
        <v>-0.98166319999999996</v>
      </c>
      <c r="Q4342">
        <v>0.19024269999999999</v>
      </c>
      <c r="R4342">
        <v>1.2047550000000001E-2</v>
      </c>
      <c r="S4342">
        <v>-3.0714419999999998</v>
      </c>
      <c r="T4342">
        <v>-7.607651E-2</v>
      </c>
      <c r="U4342">
        <v>-5.0033569999999999E-2</v>
      </c>
      <c r="V4342">
        <v>3.5835180000000001E-2</v>
      </c>
      <c r="W4342">
        <v>0.20271339999999999</v>
      </c>
      <c r="X4342">
        <v>0.97858219999999996</v>
      </c>
      <c r="Y4342">
        <v>8.0675999999999994E-3</v>
      </c>
      <c r="Z4342">
        <v>4.4479200000000001E-4</v>
      </c>
      <c r="AA4342">
        <v>0.9999673</v>
      </c>
      <c r="AB4342">
        <v>35</v>
      </c>
      <c r="AC4342">
        <v>-45.043199999999999</v>
      </c>
      <c r="AD4342">
        <v>-1.1214851846830001</v>
      </c>
      <c r="AE4342">
        <v>-0.73179999999999201</v>
      </c>
      <c r="AF4342">
        <v>0.36541085968827802</v>
      </c>
      <c r="AG4342">
        <v>-1.1214851846830001</v>
      </c>
      <c r="AH4342">
        <v>45.019759559918299</v>
      </c>
      <c r="AI4342">
        <v>91.426950447770295</v>
      </c>
      <c r="AJ4342">
        <v>89.534958860230802</v>
      </c>
      <c r="AK4342">
        <v>45.035208503444302</v>
      </c>
      <c r="AL4342">
        <v>78.304323721763794</v>
      </c>
      <c r="AM4342">
        <v>87.902794945284199</v>
      </c>
      <c r="AN4342">
        <v>1.0000000024110101</v>
      </c>
    </row>
    <row r="4343" spans="1:40" x14ac:dyDescent="0.25">
      <c r="A4343" t="str">
        <f>"20190303162907476"</f>
        <v>20190303162907476</v>
      </c>
      <c r="B4343" t="str">
        <f>"1551601747466479"</f>
        <v>1551601747466479</v>
      </c>
      <c r="C4343" t="s">
        <v>40</v>
      </c>
      <c r="D4343">
        <v>4.6520519999999896</v>
      </c>
      <c r="E4343">
        <v>0.47292020000000001</v>
      </c>
      <c r="F4343" t="s">
        <v>41</v>
      </c>
      <c r="G4343">
        <v>-356.96420000000001</v>
      </c>
      <c r="H4343" s="1">
        <v>-1.8145069999999999E-6</v>
      </c>
      <c r="I4343">
        <v>141.60759999999999</v>
      </c>
      <c r="J4343">
        <v>-311.47120000000001</v>
      </c>
      <c r="K4343">
        <v>1.121348</v>
      </c>
      <c r="L4343">
        <v>142.46270000000001</v>
      </c>
      <c r="M4343">
        <v>-0.9996235</v>
      </c>
      <c r="N4343">
        <v>-1.270403E-2</v>
      </c>
      <c r="O4343">
        <v>-2.4321659999999998E-2</v>
      </c>
      <c r="P4343">
        <v>-0.98167470000000001</v>
      </c>
      <c r="Q4343">
        <v>0.19030610000000001</v>
      </c>
      <c r="R4343">
        <v>9.9190189999999994E-3</v>
      </c>
      <c r="S4343">
        <v>-3.0713200000000001</v>
      </c>
      <c r="T4343">
        <v>-7.5165750000000003E-2</v>
      </c>
      <c r="U4343">
        <v>-5.7846069999999999E-2</v>
      </c>
      <c r="V4343">
        <v>3.3738919999999999E-2</v>
      </c>
      <c r="W4343">
        <v>0.2027648</v>
      </c>
      <c r="X4343">
        <v>0.97864600000000002</v>
      </c>
      <c r="Y4343">
        <v>5.4897660000000001E-3</v>
      </c>
      <c r="Z4343">
        <v>3.880725E-4</v>
      </c>
      <c r="AA4343">
        <v>0.99998489999999995</v>
      </c>
      <c r="AB4343">
        <v>35</v>
      </c>
      <c r="AC4343">
        <v>-45.493000000000002</v>
      </c>
      <c r="AD4343">
        <v>-1.121349814507</v>
      </c>
      <c r="AE4343">
        <v>-0.85510000000002095</v>
      </c>
      <c r="AF4343">
        <v>0.25155474446521497</v>
      </c>
      <c r="AG4343">
        <v>-1.121349814507</v>
      </c>
      <c r="AH4343">
        <v>45.472721533342501</v>
      </c>
      <c r="AI4343">
        <v>91.412596573969196</v>
      </c>
      <c r="AJ4343">
        <v>89.683043423308007</v>
      </c>
      <c r="AK4343">
        <v>45.487241165461697</v>
      </c>
      <c r="AL4343">
        <v>78.301315475194102</v>
      </c>
      <c r="AM4343">
        <v>88.025504199562306</v>
      </c>
      <c r="AN4343">
        <v>0.99999993607890103</v>
      </c>
    </row>
    <row r="4344" spans="1:40" x14ac:dyDescent="0.25">
      <c r="A4344" t="str">
        <f>"20190303162907498"</f>
        <v>20190303162907498</v>
      </c>
      <c r="B4344" t="str">
        <f>"1551601747486505"</f>
        <v>1551601747486505</v>
      </c>
      <c r="C4344" t="s">
        <v>40</v>
      </c>
      <c r="D4344">
        <v>4.660177</v>
      </c>
      <c r="E4344">
        <v>0.4719121</v>
      </c>
      <c r="F4344" t="s">
        <v>44</v>
      </c>
      <c r="G4344">
        <v>-312.24209999999999</v>
      </c>
      <c r="H4344">
        <v>0.88996699999999995</v>
      </c>
      <c r="I4344">
        <v>142.41550000000001</v>
      </c>
      <c r="J4344">
        <v>-311.81180000000001</v>
      </c>
      <c r="K4344">
        <v>1.121192</v>
      </c>
      <c r="L4344">
        <v>142.4545</v>
      </c>
      <c r="M4344">
        <v>-0.99962899999999999</v>
      </c>
      <c r="N4344">
        <v>-1.27035E-2</v>
      </c>
      <c r="O4344">
        <v>-2.4096989999999999E-2</v>
      </c>
      <c r="P4344">
        <v>-0.98164430000000003</v>
      </c>
      <c r="Q4344">
        <v>0.19053800000000001</v>
      </c>
      <c r="R4344">
        <v>8.3641879999999998E-3</v>
      </c>
      <c r="S4344">
        <v>-3.246918</v>
      </c>
      <c r="T4344">
        <v>-0.97446440000000001</v>
      </c>
      <c r="U4344">
        <v>-0.1991272</v>
      </c>
      <c r="V4344">
        <v>3.203773E-2</v>
      </c>
      <c r="W4344">
        <v>0.20298379999999999</v>
      </c>
      <c r="X4344">
        <v>0.97865780000000002</v>
      </c>
      <c r="Y4344">
        <v>-3.6440989999999999E-2</v>
      </c>
      <c r="Z4344">
        <v>1.1858089999999999E-3</v>
      </c>
      <c r="AA4344">
        <v>0.99933510000000003</v>
      </c>
      <c r="AB4344">
        <v>35</v>
      </c>
      <c r="AC4344">
        <v>-0.43029999999998803</v>
      </c>
      <c r="AD4344">
        <v>-0.23122500000000001</v>
      </c>
      <c r="AE4344">
        <v>-3.8999999999987198E-2</v>
      </c>
      <c r="AF4344">
        <v>-2.2247271395486198E-2</v>
      </c>
      <c r="AG4344">
        <v>-0.23122500000000001</v>
      </c>
      <c r="AH4344">
        <v>0.33513269114537902</v>
      </c>
      <c r="AI4344">
        <v>124.544899263952</v>
      </c>
      <c r="AJ4344">
        <v>93.797920429701605</v>
      </c>
      <c r="AK4344">
        <v>0.40776692164015499</v>
      </c>
      <c r="AL4344">
        <v>78.288501559372307</v>
      </c>
      <c r="AM4344">
        <v>88.125012230242703</v>
      </c>
      <c r="AN4344">
        <v>0.99999996435341498</v>
      </c>
    </row>
    <row r="4345" spans="1:40" x14ac:dyDescent="0.25">
      <c r="A4345" t="str">
        <f>"20190303162907521"</f>
        <v>20190303162907521</v>
      </c>
      <c r="B4345" t="str">
        <f>"1551601747515785"</f>
        <v>1551601747515785</v>
      </c>
      <c r="C4345" t="s">
        <v>40</v>
      </c>
      <c r="D4345">
        <v>5.1668399999999997</v>
      </c>
      <c r="E4345">
        <v>0.47506209999999999</v>
      </c>
      <c r="F4345" t="s">
        <v>44</v>
      </c>
      <c r="G4345">
        <v>-312.56279999999998</v>
      </c>
      <c r="H4345">
        <v>0.89934709999999995</v>
      </c>
      <c r="I4345">
        <v>142.40440000000001</v>
      </c>
      <c r="J4345">
        <v>-312.18020000000001</v>
      </c>
      <c r="K4345">
        <v>1.1210150000000001</v>
      </c>
      <c r="L4345">
        <v>142.446</v>
      </c>
      <c r="M4345">
        <v>-0.99963959999999996</v>
      </c>
      <c r="N4345">
        <v>-1.2703320000000001E-2</v>
      </c>
      <c r="O4345">
        <v>-2.365157E-2</v>
      </c>
      <c r="P4345">
        <v>-0.98188450000000005</v>
      </c>
      <c r="Q4345">
        <v>0.18927930000000001</v>
      </c>
      <c r="R4345">
        <v>8.7452680000000005E-3</v>
      </c>
      <c r="S4345">
        <v>-3.2439269999999998</v>
      </c>
      <c r="T4345">
        <v>-0.95816120000000005</v>
      </c>
      <c r="U4345">
        <v>-0.2166138</v>
      </c>
      <c r="V4345">
        <v>3.2070899999999999E-2</v>
      </c>
      <c r="W4345">
        <v>0.20171449999999999</v>
      </c>
      <c r="X4345">
        <v>0.97891910000000004</v>
      </c>
      <c r="Y4345">
        <v>-4.2059409999999998E-2</v>
      </c>
      <c r="Z4345">
        <v>1.8814020000000001E-4</v>
      </c>
      <c r="AA4345">
        <v>0.99911510000000003</v>
      </c>
      <c r="AB4345">
        <v>35</v>
      </c>
      <c r="AC4345">
        <v>-0.38259999999996802</v>
      </c>
      <c r="AD4345">
        <v>-0.221667899999999</v>
      </c>
      <c r="AE4345">
        <v>-4.1599999999988299E-2</v>
      </c>
      <c r="AF4345">
        <v>-2.44329116044384E-2</v>
      </c>
      <c r="AG4345">
        <v>-0.221667899999999</v>
      </c>
      <c r="AH4345">
        <v>0.28794955167146302</v>
      </c>
      <c r="AI4345">
        <v>127.490323274856</v>
      </c>
      <c r="AJ4345">
        <v>94.850007563743901</v>
      </c>
      <c r="AK4345">
        <v>0.364209513010954</v>
      </c>
      <c r="AL4345">
        <v>78.362763071719101</v>
      </c>
      <c r="AM4345">
        <v>88.123573009454901</v>
      </c>
      <c r="AN4345">
        <v>0.999999943240933</v>
      </c>
    </row>
    <row r="4346" spans="1:40" x14ac:dyDescent="0.25">
      <c r="A4346" t="str">
        <f>"20190303162907544"</f>
        <v>20190303162907544</v>
      </c>
      <c r="B4346" t="str">
        <f>"1551601747536282"</f>
        <v>1551601747536282</v>
      </c>
      <c r="C4346" t="s">
        <v>40</v>
      </c>
      <c r="D4346">
        <v>5.101585</v>
      </c>
      <c r="E4346">
        <v>0.47697050000000002</v>
      </c>
      <c r="F4346" t="s">
        <v>41</v>
      </c>
      <c r="G4346">
        <v>-327.9622</v>
      </c>
      <c r="H4346" s="1">
        <v>-1.359161E-6</v>
      </c>
      <c r="I4346">
        <v>141.50530000000001</v>
      </c>
      <c r="J4346">
        <v>-312.536</v>
      </c>
      <c r="K4346">
        <v>1.120843</v>
      </c>
      <c r="L4346">
        <v>142.43809999999999</v>
      </c>
      <c r="M4346">
        <v>-0.99965409999999999</v>
      </c>
      <c r="N4346">
        <v>-1.270348E-2</v>
      </c>
      <c r="O4346">
        <v>-2.302966E-2</v>
      </c>
      <c r="P4346">
        <v>-0.98249549999999997</v>
      </c>
      <c r="Q4346">
        <v>0.18604499999999999</v>
      </c>
      <c r="R4346">
        <v>9.465022E-3</v>
      </c>
      <c r="S4346">
        <v>-3.0994259999999998</v>
      </c>
      <c r="T4346">
        <v>-0.22015770000000001</v>
      </c>
      <c r="U4346">
        <v>-0.1847229</v>
      </c>
      <c r="V4346">
        <v>3.227203E-2</v>
      </c>
      <c r="W4346">
        <v>0.19847600000000001</v>
      </c>
      <c r="X4346">
        <v>0.97957430000000001</v>
      </c>
      <c r="Y4346">
        <v>-3.6418100000000002E-2</v>
      </c>
      <c r="Z4346">
        <v>-1.8265649999999999E-4</v>
      </c>
      <c r="AA4346">
        <v>0.99933660000000002</v>
      </c>
      <c r="AB4346">
        <v>35</v>
      </c>
      <c r="AC4346">
        <v>-15.4261999999999</v>
      </c>
      <c r="AD4346">
        <v>-1.120844359161</v>
      </c>
      <c r="AE4346">
        <v>-0.93279999999998597</v>
      </c>
      <c r="AF4346">
        <v>-0.57424323344446704</v>
      </c>
      <c r="AG4346">
        <v>-1.120844359161</v>
      </c>
      <c r="AH4346">
        <v>15.3627832465911</v>
      </c>
      <c r="AI4346">
        <v>94.169914273432795</v>
      </c>
      <c r="AJ4346">
        <v>92.140653995023598</v>
      </c>
      <c r="AK4346">
        <v>15.414316606660201</v>
      </c>
      <c r="AL4346">
        <v>78.552146295447599</v>
      </c>
      <c r="AM4346">
        <v>88.113075667215796</v>
      </c>
      <c r="AN4346">
        <v>1.0000000078583999</v>
      </c>
    </row>
    <row r="4347" spans="1:40" x14ac:dyDescent="0.25">
      <c r="A4347" t="str">
        <f>"20190303162907565"</f>
        <v>20190303162907565</v>
      </c>
      <c r="B4347" t="str">
        <f>"1551601747555801"</f>
        <v>1551601747555801</v>
      </c>
      <c r="C4347" t="s">
        <v>40</v>
      </c>
      <c r="D4347">
        <v>4.915743</v>
      </c>
      <c r="E4347">
        <v>0.4784795</v>
      </c>
      <c r="F4347" t="s">
        <v>41</v>
      </c>
      <c r="G4347">
        <v>-345.19150000000002</v>
      </c>
      <c r="H4347" s="1">
        <v>-2.3242070000000001E-6</v>
      </c>
      <c r="I4347">
        <v>140.6651</v>
      </c>
      <c r="J4347">
        <v>-312.8852</v>
      </c>
      <c r="K4347">
        <v>1.1206879999999999</v>
      </c>
      <c r="L4347">
        <v>142.4308</v>
      </c>
      <c r="M4347">
        <v>-0.99967189999999995</v>
      </c>
      <c r="N4347">
        <v>-1.2703590000000001E-2</v>
      </c>
      <c r="O4347">
        <v>-2.2245170000000002E-2</v>
      </c>
      <c r="P4347">
        <v>-0.98273029999999995</v>
      </c>
      <c r="Q4347">
        <v>0.184784</v>
      </c>
      <c r="R4347">
        <v>9.8159730000000004E-3</v>
      </c>
      <c r="S4347">
        <v>-3.075043</v>
      </c>
      <c r="T4347">
        <v>-0.105545899999999</v>
      </c>
      <c r="U4347">
        <v>-0.16694639999999999</v>
      </c>
      <c r="V4347">
        <v>3.1929899999999997E-2</v>
      </c>
      <c r="W4347">
        <v>0.19720650000000001</v>
      </c>
      <c r="X4347">
        <v>0.97984190000000004</v>
      </c>
      <c r="Y4347">
        <v>-3.196272E-2</v>
      </c>
      <c r="Z4347">
        <v>-2.7105299999999999E-4</v>
      </c>
      <c r="AA4347">
        <v>0.99948899999999996</v>
      </c>
      <c r="AB4347">
        <v>35</v>
      </c>
      <c r="AC4347">
        <v>-32.3063</v>
      </c>
      <c r="AD4347">
        <v>-1.1206903242070001</v>
      </c>
      <c r="AE4347">
        <v>-1.7657</v>
      </c>
      <c r="AF4347">
        <v>-1.04529179704853</v>
      </c>
      <c r="AG4347">
        <v>-1.1206903242070001</v>
      </c>
      <c r="AH4347">
        <v>32.298834359621601</v>
      </c>
      <c r="AI4347">
        <v>91.986186739868302</v>
      </c>
      <c r="AJ4347">
        <v>91.853624544307806</v>
      </c>
      <c r="AK4347">
        <v>32.335170986621101</v>
      </c>
      <c r="AL4347">
        <v>78.626350316991406</v>
      </c>
      <c r="AM4347">
        <v>88.133575059883896</v>
      </c>
      <c r="AN4347">
        <v>1.00000003557593</v>
      </c>
    </row>
    <row r="4348" spans="1:40" x14ac:dyDescent="0.25">
      <c r="A4348" t="str">
        <f>"20190303162907587"</f>
        <v>20190303162907587</v>
      </c>
      <c r="B4348" t="str">
        <f>"1551601747576298"</f>
        <v>1551601747576298</v>
      </c>
      <c r="C4348" t="s">
        <v>40</v>
      </c>
      <c r="D4348">
        <v>4.9279169999999999</v>
      </c>
      <c r="E4348">
        <v>0.48021190000000002</v>
      </c>
      <c r="F4348" t="s">
        <v>41</v>
      </c>
      <c r="G4348">
        <v>-380.67340000000002</v>
      </c>
      <c r="H4348" s="1">
        <v>-4.0807959999999998E-6</v>
      </c>
      <c r="I4348">
        <v>139.06700000000001</v>
      </c>
      <c r="J4348">
        <v>-313.22190000000001</v>
      </c>
      <c r="K4348">
        <v>1.12056</v>
      </c>
      <c r="L4348">
        <v>142.42410000000001</v>
      </c>
      <c r="M4348">
        <v>-0.99969090000000005</v>
      </c>
      <c r="N4348">
        <v>-1.2703829999999999E-2</v>
      </c>
      <c r="O4348">
        <v>-2.137286E-2</v>
      </c>
      <c r="P4348">
        <v>-0.98272119999999996</v>
      </c>
      <c r="Q4348">
        <v>0.1847876</v>
      </c>
      <c r="R4348">
        <v>1.060997E-2</v>
      </c>
      <c r="S4348">
        <v>-3.0637509999999999</v>
      </c>
      <c r="T4348">
        <v>-5.0650720000000003E-2</v>
      </c>
      <c r="U4348">
        <v>-0.1520233</v>
      </c>
      <c r="V4348">
        <v>3.1928100000000001E-2</v>
      </c>
      <c r="W4348">
        <v>0.1972004</v>
      </c>
      <c r="X4348">
        <v>0.97984309999999997</v>
      </c>
      <c r="Y4348">
        <v>-2.8192729999999999E-2</v>
      </c>
      <c r="Z4348">
        <v>-3.3047749999999998E-4</v>
      </c>
      <c r="AA4348">
        <v>0.9996024</v>
      </c>
      <c r="AB4348">
        <v>35</v>
      </c>
      <c r="AC4348">
        <v>-67.451499999999996</v>
      </c>
      <c r="AD4348">
        <v>-1.120564080796</v>
      </c>
      <c r="AE4348">
        <v>-3.3571</v>
      </c>
      <c r="AF4348">
        <v>-1.9140583249396499</v>
      </c>
      <c r="AG4348">
        <v>-1.120564080796</v>
      </c>
      <c r="AH4348">
        <v>67.489266275203207</v>
      </c>
      <c r="AI4348">
        <v>90.950845949261705</v>
      </c>
      <c r="AJ4348">
        <v>91.624526100220393</v>
      </c>
      <c r="AK4348">
        <v>67.525701369891195</v>
      </c>
      <c r="AL4348">
        <v>78.626705847024994</v>
      </c>
      <c r="AM4348">
        <v>88.133682486404894</v>
      </c>
      <c r="AN4348">
        <v>0.99999995097368799</v>
      </c>
    </row>
    <row r="4349" spans="1:40" x14ac:dyDescent="0.25">
      <c r="A4349" t="str">
        <f>"20190303162907610"</f>
        <v>20190303162907610</v>
      </c>
      <c r="B4349" t="str">
        <f>"1551601747606553"</f>
        <v>1551601747606553</v>
      </c>
      <c r="C4349" t="s">
        <v>40</v>
      </c>
      <c r="D4349">
        <v>5.1296419999999996</v>
      </c>
      <c r="E4349">
        <v>0.47982599999999997</v>
      </c>
      <c r="F4349" t="s">
        <v>41</v>
      </c>
      <c r="G4349">
        <v>-367.60739999999998</v>
      </c>
      <c r="H4349" s="1">
        <v>-1.1148760000000001E-6</v>
      </c>
      <c r="I4349">
        <v>140.01519999999999</v>
      </c>
      <c r="J4349">
        <v>-313.58629999999999</v>
      </c>
      <c r="K4349">
        <v>1.120441</v>
      </c>
      <c r="L4349">
        <v>142.41730000000001</v>
      </c>
      <c r="M4349">
        <v>-0.99971290000000002</v>
      </c>
      <c r="N4349">
        <v>-1.270371E-2</v>
      </c>
      <c r="O4349">
        <v>-2.0317749999999999E-2</v>
      </c>
      <c r="P4349">
        <v>-0.9827283</v>
      </c>
      <c r="Q4349">
        <v>0.184637</v>
      </c>
      <c r="R4349">
        <v>1.2440700000000001E-2</v>
      </c>
      <c r="S4349">
        <v>-3.0661010000000002</v>
      </c>
      <c r="T4349">
        <v>-6.3174129999999995E-2</v>
      </c>
      <c r="U4349">
        <v>-0.13580320000000001</v>
      </c>
      <c r="V4349">
        <v>3.2778649999999999E-2</v>
      </c>
      <c r="W4349">
        <v>0.19703909999999999</v>
      </c>
      <c r="X4349">
        <v>0.97984749999999998</v>
      </c>
      <c r="Y4349">
        <v>-2.393226E-2</v>
      </c>
      <c r="Z4349">
        <v>-2.3824130000000001E-4</v>
      </c>
      <c r="AA4349">
        <v>0.99971350000000003</v>
      </c>
      <c r="AB4349">
        <v>35</v>
      </c>
      <c r="AC4349">
        <v>-54.021099999999898</v>
      </c>
      <c r="AD4349">
        <v>-1.120442114876</v>
      </c>
      <c r="AE4349">
        <v>-2.4021000000000101</v>
      </c>
      <c r="AF4349">
        <v>-1.3033687438718899</v>
      </c>
      <c r="AG4349">
        <v>-1.120442114876</v>
      </c>
      <c r="AH4349">
        <v>54.035556761156101</v>
      </c>
      <c r="AI4349">
        <v>91.187528202073096</v>
      </c>
      <c r="AJ4349">
        <v>91.381739269208296</v>
      </c>
      <c r="AK4349">
        <v>54.062885190335599</v>
      </c>
      <c r="AL4349">
        <v>78.636133007708906</v>
      </c>
      <c r="AM4349">
        <v>88.084009814380707</v>
      </c>
      <c r="AN4349">
        <v>0.99999998504044096</v>
      </c>
    </row>
    <row r="4350" spans="1:40" x14ac:dyDescent="0.25">
      <c r="A4350" t="str">
        <f>"20190303162907632"</f>
        <v>20190303162907632</v>
      </c>
      <c r="B4350" t="str">
        <f>"1551601747626073"</f>
        <v>1551601747626073</v>
      </c>
      <c r="C4350" t="s">
        <v>40</v>
      </c>
      <c r="D4350">
        <v>5.1642060000000001</v>
      </c>
      <c r="E4350">
        <v>0.4787729</v>
      </c>
      <c r="F4350" t="s">
        <v>41</v>
      </c>
      <c r="G4350">
        <v>-382.11720000000003</v>
      </c>
      <c r="H4350" s="1">
        <v>-3.3934369999999999E-6</v>
      </c>
      <c r="I4350">
        <v>139.4502</v>
      </c>
      <c r="J4350">
        <v>-313.95080000000002</v>
      </c>
      <c r="K4350">
        <v>1.1203350000000001</v>
      </c>
      <c r="L4350">
        <v>142.411</v>
      </c>
      <c r="M4350">
        <v>-0.9997357</v>
      </c>
      <c r="N4350">
        <v>-1.2703280000000001E-2</v>
      </c>
      <c r="O4350">
        <v>-1.9171850000000001E-2</v>
      </c>
      <c r="P4350">
        <v>-0.98271779999999997</v>
      </c>
      <c r="Q4350">
        <v>0.18459030000000001</v>
      </c>
      <c r="R4350">
        <v>1.387209E-2</v>
      </c>
      <c r="S4350">
        <v>-3.063812</v>
      </c>
      <c r="T4350">
        <v>-5.0091740000000003E-2</v>
      </c>
      <c r="U4350">
        <v>-0.1326447</v>
      </c>
      <c r="V4350">
        <v>3.3131460000000001E-2</v>
      </c>
      <c r="W4350">
        <v>0.19698299999999999</v>
      </c>
      <c r="X4350">
        <v>0.97984689999999997</v>
      </c>
      <c r="Y4350">
        <v>-2.408449E-2</v>
      </c>
      <c r="Z4350">
        <v>-2.8008960000000001E-4</v>
      </c>
      <c r="AA4350">
        <v>0.99970990000000004</v>
      </c>
      <c r="AB4350">
        <v>35</v>
      </c>
      <c r="AC4350">
        <v>-68.166399999999996</v>
      </c>
      <c r="AD4350">
        <v>-1.1203383934369999</v>
      </c>
      <c r="AE4350">
        <v>-2.9607999999999999</v>
      </c>
      <c r="AF4350">
        <v>-1.6528289116883501</v>
      </c>
      <c r="AG4350">
        <v>-1.1203383934369999</v>
      </c>
      <c r="AH4350">
        <v>68.1922523517824</v>
      </c>
      <c r="AI4350">
        <v>90.940958001472893</v>
      </c>
      <c r="AJ4350">
        <v>91.3884507355382</v>
      </c>
      <c r="AK4350">
        <v>68.221479625820805</v>
      </c>
      <c r="AL4350">
        <v>78.639411402643404</v>
      </c>
      <c r="AM4350">
        <v>88.063401663988799</v>
      </c>
      <c r="AN4350">
        <v>0.99999997168516996</v>
      </c>
    </row>
    <row r="4351" spans="1:40" x14ac:dyDescent="0.25">
      <c r="A4351" t="str">
        <f>"20190303162907656"</f>
        <v>20190303162907656</v>
      </c>
      <c r="B4351" t="str">
        <f>"1551601747646570"</f>
        <v>1551601747646570</v>
      </c>
      <c r="C4351" t="s">
        <v>40</v>
      </c>
      <c r="D4351">
        <v>5.1652930000000001</v>
      </c>
      <c r="E4351">
        <v>0.4785258</v>
      </c>
      <c r="F4351" t="s">
        <v>41</v>
      </c>
      <c r="G4351">
        <v>-385.8408</v>
      </c>
      <c r="H4351" s="1">
        <v>-1.833743E-6</v>
      </c>
      <c r="I4351">
        <v>139.23779999999999</v>
      </c>
      <c r="J4351">
        <v>-314.31459999999998</v>
      </c>
      <c r="K4351">
        <v>1.1202570000000001</v>
      </c>
      <c r="L4351">
        <v>142.4051</v>
      </c>
      <c r="M4351">
        <v>-0.99975809999999998</v>
      </c>
      <c r="N4351">
        <v>-1.270281E-2</v>
      </c>
      <c r="O4351">
        <v>-1.796505E-2</v>
      </c>
      <c r="P4351">
        <v>-0.98257530000000004</v>
      </c>
      <c r="Q4351">
        <v>0.18528459999999999</v>
      </c>
      <c r="R4351">
        <v>1.4691269999999999E-2</v>
      </c>
      <c r="S4351">
        <v>-3.0636290000000002</v>
      </c>
      <c r="T4351">
        <v>-4.7743800000000003E-2</v>
      </c>
      <c r="U4351">
        <v>-0.13522339999999999</v>
      </c>
      <c r="V4351">
        <v>3.2803260000000001E-2</v>
      </c>
      <c r="W4351">
        <v>0.1976697</v>
      </c>
      <c r="X4351">
        <v>0.97971969999999997</v>
      </c>
      <c r="Y4351">
        <v>-2.6133549999999998E-2</v>
      </c>
      <c r="Z4351">
        <v>-3.1797040000000002E-4</v>
      </c>
      <c r="AA4351">
        <v>0.99965839999999995</v>
      </c>
      <c r="AB4351">
        <v>35</v>
      </c>
      <c r="AC4351">
        <v>-71.526200000000003</v>
      </c>
      <c r="AD4351">
        <v>-1.1202588337429999</v>
      </c>
      <c r="AE4351">
        <v>-3.1673000000000102</v>
      </c>
      <c r="AF4351">
        <v>-1.88125297573093</v>
      </c>
      <c r="AG4351">
        <v>-1.1202588337429999</v>
      </c>
      <c r="AH4351">
        <v>71.554041987245697</v>
      </c>
      <c r="AI4351">
        <v>90.896646658738206</v>
      </c>
      <c r="AJ4351">
        <v>91.506036939486194</v>
      </c>
      <c r="AK4351">
        <v>71.587533951979296</v>
      </c>
      <c r="AL4351">
        <v>78.599277908921295</v>
      </c>
      <c r="AM4351">
        <v>88.082322441618899</v>
      </c>
      <c r="AN4351">
        <v>1.0000000273664</v>
      </c>
    </row>
    <row r="4352" spans="1:40" x14ac:dyDescent="0.25">
      <c r="A4352" t="str">
        <f>"20190303162907677"</f>
        <v>20190303162907677</v>
      </c>
      <c r="B4352" t="str">
        <f>"1551601747666090"</f>
        <v>1551601747666090</v>
      </c>
      <c r="C4352" t="s">
        <v>40</v>
      </c>
      <c r="D4352">
        <v>5.1654220000000004</v>
      </c>
      <c r="E4352">
        <v>0.47853960000000001</v>
      </c>
      <c r="F4352" t="s">
        <v>41</v>
      </c>
      <c r="G4352">
        <v>-391.72309999999999</v>
      </c>
      <c r="H4352" s="1">
        <v>-3.63399E-6</v>
      </c>
      <c r="I4352">
        <v>139.0472</v>
      </c>
      <c r="J4352">
        <v>-314.64429999999999</v>
      </c>
      <c r="K4352">
        <v>1.120212</v>
      </c>
      <c r="L4352">
        <v>142.40029999999999</v>
      </c>
      <c r="M4352">
        <v>-0.99977769999999999</v>
      </c>
      <c r="N4352">
        <v>-1.2702410000000001E-2</v>
      </c>
      <c r="O4352">
        <v>-1.683604E-2</v>
      </c>
      <c r="P4352">
        <v>-0.98218879999999997</v>
      </c>
      <c r="Q4352">
        <v>0.18716450000000001</v>
      </c>
      <c r="R4352">
        <v>1.6582139999999999E-2</v>
      </c>
      <c r="S4352">
        <v>-3.0635379999999999</v>
      </c>
      <c r="T4352">
        <v>-4.4335720000000002E-2</v>
      </c>
      <c r="U4352">
        <v>-0.1328888</v>
      </c>
      <c r="V4352">
        <v>3.3611130000000003E-2</v>
      </c>
      <c r="W4352">
        <v>0.19953770000000001</v>
      </c>
      <c r="X4352">
        <v>0.97931360000000001</v>
      </c>
      <c r="Y4352">
        <v>-2.6503909999999999E-2</v>
      </c>
      <c r="Z4352">
        <v>-3.3041499999999997E-4</v>
      </c>
      <c r="AA4352">
        <v>0.9996486</v>
      </c>
      <c r="AB4352">
        <v>35</v>
      </c>
      <c r="AC4352">
        <v>-77.078800000000001</v>
      </c>
      <c r="AD4352">
        <v>-1.12021563398999</v>
      </c>
      <c r="AE4352">
        <v>-3.35309999999998</v>
      </c>
      <c r="AF4352">
        <v>-2.0543852605398198</v>
      </c>
      <c r="AG4352">
        <v>-1.12021563398999</v>
      </c>
      <c r="AH4352">
        <v>77.108074917995097</v>
      </c>
      <c r="AI4352">
        <v>90.832031532192502</v>
      </c>
      <c r="AJ4352">
        <v>91.526166558885294</v>
      </c>
      <c r="AK4352">
        <v>77.143571342170205</v>
      </c>
      <c r="AL4352">
        <v>78.490074455905201</v>
      </c>
      <c r="AM4352">
        <v>88.034316812261594</v>
      </c>
      <c r="AN4352">
        <v>1.00000006446306</v>
      </c>
    </row>
    <row r="4353" spans="1:40" x14ac:dyDescent="0.25">
      <c r="A4353" t="str">
        <f>"20190303162907698"</f>
        <v>20190303162907698</v>
      </c>
      <c r="B4353" t="str">
        <f>"1551601747686116"</f>
        <v>1551601747686116</v>
      </c>
      <c r="C4353" t="s">
        <v>40</v>
      </c>
      <c r="D4353">
        <v>5.1106769999999999</v>
      </c>
      <c r="E4353">
        <v>0.47816930000000002</v>
      </c>
      <c r="F4353" t="s">
        <v>56</v>
      </c>
      <c r="G4353">
        <v>-413.32499999999999</v>
      </c>
      <c r="H4353" s="1">
        <v>-9.8293499999999993E-6</v>
      </c>
      <c r="I4353">
        <v>138.35319999999999</v>
      </c>
      <c r="J4353">
        <v>-314.99079999999998</v>
      </c>
      <c r="K4353">
        <v>1.1201719999999999</v>
      </c>
      <c r="L4353">
        <v>142.3956</v>
      </c>
      <c r="M4353">
        <v>-0.9997973</v>
      </c>
      <c r="N4353">
        <v>-1.2701769999999999E-2</v>
      </c>
      <c r="O4353">
        <v>-1.5628030000000001E-2</v>
      </c>
      <c r="P4353">
        <v>-0.98195160000000004</v>
      </c>
      <c r="Q4353">
        <v>0.1881796</v>
      </c>
      <c r="R4353">
        <v>1.896548E-2</v>
      </c>
      <c r="S4353">
        <v>-3.06311</v>
      </c>
      <c r="T4353">
        <v>-3.4772400000000002E-2</v>
      </c>
      <c r="U4353">
        <v>-0.1256256</v>
      </c>
      <c r="V4353">
        <v>3.4829659999999998E-2</v>
      </c>
      <c r="W4353">
        <v>0.2005422</v>
      </c>
      <c r="X4353">
        <v>0.97906579999999999</v>
      </c>
      <c r="Y4353">
        <v>-2.535337E-2</v>
      </c>
      <c r="Z4353">
        <v>-3.2608339999999999E-4</v>
      </c>
      <c r="AA4353">
        <v>0.99967850000000003</v>
      </c>
      <c r="AB4353">
        <v>35</v>
      </c>
      <c r="AC4353">
        <v>-98.334199999999996</v>
      </c>
      <c r="AD4353">
        <v>-1.1201818293500001</v>
      </c>
      <c r="AE4353">
        <v>-4.0424000000000104</v>
      </c>
      <c r="AF4353">
        <v>-2.5046881141253898</v>
      </c>
      <c r="AG4353">
        <v>-1.1201818293500001</v>
      </c>
      <c r="AH4353">
        <v>98.372624737692007</v>
      </c>
      <c r="AI4353">
        <v>90.6521949226629</v>
      </c>
      <c r="AJ4353">
        <v>91.458505956449997</v>
      </c>
      <c r="AK4353">
        <v>98.410881347860197</v>
      </c>
      <c r="AL4353">
        <v>78.431333507468196</v>
      </c>
      <c r="AM4353">
        <v>87.962597277190298</v>
      </c>
      <c r="AN4353">
        <v>1.00000005996309</v>
      </c>
    </row>
    <row r="4354" spans="1:40" x14ac:dyDescent="0.25">
      <c r="A4354" t="str">
        <f>"20190303162907723"</f>
        <v>20190303162907723</v>
      </c>
      <c r="B4354" t="str">
        <f>"1551601747716373"</f>
        <v>1551601747716373</v>
      </c>
      <c r="C4354" t="s">
        <v>40</v>
      </c>
      <c r="D4354">
        <v>5.1634289999999998</v>
      </c>
      <c r="E4354">
        <v>0.47763830000000002</v>
      </c>
      <c r="F4354" t="s">
        <v>56</v>
      </c>
      <c r="G4354">
        <v>-430.13040000000001</v>
      </c>
      <c r="H4354" s="1">
        <v>-1.048257E-5</v>
      </c>
      <c r="I4354">
        <v>137.8749</v>
      </c>
      <c r="J4354">
        <v>-315.37189999999998</v>
      </c>
      <c r="K4354">
        <v>1.120139</v>
      </c>
      <c r="L4354">
        <v>142.39099999999999</v>
      </c>
      <c r="M4354">
        <v>-0.99981730000000002</v>
      </c>
      <c r="N4354">
        <v>-1.270105E-2</v>
      </c>
      <c r="O4354">
        <v>-1.428628E-2</v>
      </c>
      <c r="P4354">
        <v>-0.98194219999999999</v>
      </c>
      <c r="Q4354">
        <v>0.18792439999999999</v>
      </c>
      <c r="R4354">
        <v>2.1769420000000001E-2</v>
      </c>
      <c r="S4354">
        <v>-3.063202</v>
      </c>
      <c r="T4354">
        <v>-2.9801609999999999E-2</v>
      </c>
      <c r="U4354">
        <v>-0.1202698</v>
      </c>
      <c r="V4354">
        <v>3.633347E-2</v>
      </c>
      <c r="W4354">
        <v>0.20027909999999999</v>
      </c>
      <c r="X4354">
        <v>0.97906490000000002</v>
      </c>
      <c r="Y4354">
        <v>-2.4949450000000001E-2</v>
      </c>
      <c r="Z4354">
        <v>-3.2232099999999998E-4</v>
      </c>
      <c r="AA4354">
        <v>0.99968869999999999</v>
      </c>
      <c r="AB4354">
        <v>35</v>
      </c>
      <c r="AC4354">
        <v>-114.7585</v>
      </c>
      <c r="AD4354">
        <v>-1.12014948257</v>
      </c>
      <c r="AE4354">
        <v>-4.51609999999999</v>
      </c>
      <c r="AF4354">
        <v>-2.87576119531772</v>
      </c>
      <c r="AG4354">
        <v>-1.12014948257</v>
      </c>
      <c r="AH4354">
        <v>114.80038922982</v>
      </c>
      <c r="AI4354">
        <v>90.558862877310105</v>
      </c>
      <c r="AJ4354">
        <v>91.434964888750102</v>
      </c>
      <c r="AK4354">
        <v>114.84186564417099</v>
      </c>
      <c r="AL4354">
        <v>78.446719005134099</v>
      </c>
      <c r="AM4354">
        <v>87.874707157256594</v>
      </c>
      <c r="AN4354">
        <v>0.99999995867552904</v>
      </c>
    </row>
    <row r="4355" spans="1:40" x14ac:dyDescent="0.25">
      <c r="A4355" t="str">
        <f>"20190303162907745"</f>
        <v>20190303162907745</v>
      </c>
      <c r="B4355" t="str">
        <f>"1551601747735892"</f>
        <v>1551601747735892</v>
      </c>
      <c r="C4355" t="s">
        <v>40</v>
      </c>
      <c r="D4355">
        <v>4.954669</v>
      </c>
      <c r="E4355">
        <v>0.47734710000000002</v>
      </c>
      <c r="F4355" t="s">
        <v>56</v>
      </c>
      <c r="G4355">
        <v>-427.5498</v>
      </c>
      <c r="H4355" s="1">
        <v>-1.03104E-5</v>
      </c>
      <c r="I4355">
        <v>138.19550000000001</v>
      </c>
      <c r="J4355">
        <v>-315.72489999999999</v>
      </c>
      <c r="K4355">
        <v>1.1201270000000001</v>
      </c>
      <c r="L4355">
        <v>142.38720000000001</v>
      </c>
      <c r="M4355">
        <v>-0.99983429999999995</v>
      </c>
      <c r="N4355">
        <v>-1.2700400000000001E-2</v>
      </c>
      <c r="O4355">
        <v>-1.3045340000000001E-2</v>
      </c>
      <c r="P4355">
        <v>-0.9815469</v>
      </c>
      <c r="Q4355">
        <v>0.18969739999999999</v>
      </c>
      <c r="R4355">
        <v>2.4095680000000001E-2</v>
      </c>
      <c r="S4355">
        <v>-3.063599</v>
      </c>
      <c r="T4355">
        <v>-3.0591489999999999E-2</v>
      </c>
      <c r="U4355">
        <v>-0.11457820000000001</v>
      </c>
      <c r="V4355">
        <v>3.745101E-2</v>
      </c>
      <c r="W4355">
        <v>0.20204150000000001</v>
      </c>
      <c r="X4355">
        <v>0.97866059999999999</v>
      </c>
      <c r="Y4355">
        <v>-2.4330600000000001E-2</v>
      </c>
      <c r="Z4355">
        <v>-3.114441E-4</v>
      </c>
      <c r="AA4355">
        <v>0.99970389999999998</v>
      </c>
      <c r="AB4355">
        <v>35</v>
      </c>
      <c r="AC4355">
        <v>-111.8249</v>
      </c>
      <c r="AD4355">
        <v>-1.1201373104000001</v>
      </c>
      <c r="AE4355">
        <v>-4.1916999999999902</v>
      </c>
      <c r="AF4355">
        <v>-2.7321580711549101</v>
      </c>
      <c r="AG4355">
        <v>-1.1201373104000001</v>
      </c>
      <c r="AH4355">
        <v>111.858861441953</v>
      </c>
      <c r="AI4355">
        <v>90.573560832095794</v>
      </c>
      <c r="AJ4355">
        <v>91.399173973673697</v>
      </c>
      <c r="AK4355">
        <v>111.897829641195</v>
      </c>
      <c r="AL4355">
        <v>78.343633659019005</v>
      </c>
      <c r="AM4355">
        <v>87.808496332435098</v>
      </c>
      <c r="AN4355">
        <v>0.999999957932314</v>
      </c>
    </row>
    <row r="4356" spans="1:40" x14ac:dyDescent="0.25">
      <c r="A4356" t="str">
        <f>"20190303162907767"</f>
        <v>20190303162907767</v>
      </c>
      <c r="B4356" t="str">
        <f>"1551601747756388"</f>
        <v>1551601747756388</v>
      </c>
      <c r="C4356" t="s">
        <v>40</v>
      </c>
      <c r="D4356">
        <v>5.0038090000000004</v>
      </c>
      <c r="E4356">
        <v>0.47702539999999999</v>
      </c>
      <c r="F4356" t="s">
        <v>41</v>
      </c>
      <c r="G4356">
        <v>-440.75389999999999</v>
      </c>
      <c r="H4356" s="1">
        <v>-3.23172E-6</v>
      </c>
      <c r="I4356">
        <v>137.9469</v>
      </c>
      <c r="J4356">
        <v>-316.06180000000001</v>
      </c>
      <c r="K4356">
        <v>1.120126</v>
      </c>
      <c r="L4356">
        <v>142.38390000000001</v>
      </c>
      <c r="M4356">
        <v>-0.99984879999999998</v>
      </c>
      <c r="N4356">
        <v>-1.269957E-2</v>
      </c>
      <c r="O4356">
        <v>-1.187968E-2</v>
      </c>
      <c r="P4356">
        <v>-0.98076589999999997</v>
      </c>
      <c r="Q4356">
        <v>0.1933117</v>
      </c>
      <c r="R4356">
        <v>2.700191E-2</v>
      </c>
      <c r="S4356">
        <v>-3.0643919999999998</v>
      </c>
      <c r="T4356">
        <v>-2.7453780000000001E-2</v>
      </c>
      <c r="U4356">
        <v>-0.1088257</v>
      </c>
      <c r="V4356">
        <v>3.9217080000000001E-2</v>
      </c>
      <c r="W4356">
        <v>0.20563970000000001</v>
      </c>
      <c r="X4356">
        <v>0.97784170000000004</v>
      </c>
      <c r="Y4356">
        <v>-2.3612749999999998E-2</v>
      </c>
      <c r="Z4356">
        <v>-3.0018450000000001E-4</v>
      </c>
      <c r="AA4356">
        <v>0.99972110000000003</v>
      </c>
      <c r="AB4356">
        <v>35</v>
      </c>
      <c r="AC4356">
        <v>-124.692099999999</v>
      </c>
      <c r="AD4356">
        <v>-1.12012923172</v>
      </c>
      <c r="AE4356">
        <v>-4.43700000000001</v>
      </c>
      <c r="AF4356">
        <v>-2.9550269966350502</v>
      </c>
      <c r="AG4356">
        <v>-1.12012923172</v>
      </c>
      <c r="AH4356">
        <v>124.725961656748</v>
      </c>
      <c r="AI4356">
        <v>90.514399311962094</v>
      </c>
      <c r="AJ4356">
        <v>91.357206668368406</v>
      </c>
      <c r="AK4356">
        <v>124.765990499203</v>
      </c>
      <c r="AL4356">
        <v>78.133051301870495</v>
      </c>
      <c r="AM4356">
        <v>87.703340326654398</v>
      </c>
      <c r="AN4356">
        <v>1.0000000279193499</v>
      </c>
    </row>
    <row r="4357" spans="1:40" x14ac:dyDescent="0.25">
      <c r="A4357" t="str">
        <f>"20190303162907788"</f>
        <v>20190303162907788</v>
      </c>
      <c r="B4357" t="str">
        <f>"1551601747775909"</f>
        <v>1551601747775909</v>
      </c>
      <c r="C4357" t="s">
        <v>40</v>
      </c>
      <c r="D4357">
        <v>4.9691580000000002</v>
      </c>
      <c r="E4357">
        <v>0.47678290000000001</v>
      </c>
      <c r="F4357" t="s">
        <v>42</v>
      </c>
      <c r="G4357">
        <v>-537.37490000000003</v>
      </c>
      <c r="H4357">
        <v>-0.05</v>
      </c>
      <c r="I4357">
        <v>134.8476</v>
      </c>
      <c r="J4357">
        <v>-316.41289999999998</v>
      </c>
      <c r="K4357">
        <v>1.1201319999999999</v>
      </c>
      <c r="L4357">
        <v>142.381</v>
      </c>
      <c r="M4357">
        <v>-0.99986229999999998</v>
      </c>
      <c r="N4357">
        <v>-1.2698650000000001E-2</v>
      </c>
      <c r="O4357">
        <v>-1.068946E-2</v>
      </c>
      <c r="P4357">
        <v>-0.98046920000000004</v>
      </c>
      <c r="Q4357">
        <v>0.1941505</v>
      </c>
      <c r="R4357">
        <v>3.1398769999999999E-2</v>
      </c>
      <c r="S4357">
        <v>-3.0649410000000001</v>
      </c>
      <c r="T4357">
        <v>-1.6204949999999999E-2</v>
      </c>
      <c r="U4357">
        <v>-0.10437009999999999</v>
      </c>
      <c r="V4357">
        <v>4.2443849999999998E-2</v>
      </c>
      <c r="W4357">
        <v>0.20646519999999999</v>
      </c>
      <c r="X4357">
        <v>0.97753290000000004</v>
      </c>
      <c r="Y4357">
        <v>-2.3346280000000001E-2</v>
      </c>
      <c r="Z4357">
        <v>-2.8920569999999997E-4</v>
      </c>
      <c r="AA4357">
        <v>0.99972740000000004</v>
      </c>
      <c r="AB4357">
        <v>35</v>
      </c>
      <c r="AC4357">
        <v>-220.96199999999999</v>
      </c>
      <c r="AD4357">
        <v>-1.1701319999999999</v>
      </c>
      <c r="AE4357">
        <v>-7.5334000000000003</v>
      </c>
      <c r="AF4357">
        <v>-5.1706699227252404</v>
      </c>
      <c r="AG4357">
        <v>-1.1701319999999999</v>
      </c>
      <c r="AH4357">
        <v>221.023716893391</v>
      </c>
      <c r="AI4357">
        <v>90.303246464303001</v>
      </c>
      <c r="AJ4357">
        <v>91.340143671763499</v>
      </c>
      <c r="AK4357">
        <v>221.08728698348401</v>
      </c>
      <c r="AL4357">
        <v>78.084715652910006</v>
      </c>
      <c r="AM4357">
        <v>87.513815659827699</v>
      </c>
      <c r="AN4357">
        <v>0.99999996489813503</v>
      </c>
    </row>
    <row r="4358" spans="1:40" x14ac:dyDescent="0.25">
      <c r="A4358" t="str">
        <f>"20190303162907812"</f>
        <v>20190303162907812</v>
      </c>
      <c r="B4358" t="str">
        <f>"1551601747806164"</f>
        <v>1551601747806164</v>
      </c>
      <c r="C4358" t="s">
        <v>40</v>
      </c>
      <c r="D4358">
        <v>5.1561260000000004</v>
      </c>
      <c r="E4358">
        <v>0.4763696</v>
      </c>
      <c r="F4358" t="s">
        <v>50</v>
      </c>
      <c r="G4358">
        <v>-603.90110000000004</v>
      </c>
      <c r="H4358">
        <v>-0.1</v>
      </c>
      <c r="I4358">
        <v>133.43270000000001</v>
      </c>
      <c r="J4358">
        <v>-316.76929999999999</v>
      </c>
      <c r="K4358">
        <v>1.1201350000000001</v>
      </c>
      <c r="L4358">
        <v>142.3783</v>
      </c>
      <c r="M4358">
        <v>-0.99987409999999999</v>
      </c>
      <c r="N4358">
        <v>-1.269761E-2</v>
      </c>
      <c r="O4358">
        <v>-9.5234900000000008E-3</v>
      </c>
      <c r="P4358">
        <v>-0.98071439999999999</v>
      </c>
      <c r="Q4358">
        <v>0.1924025</v>
      </c>
      <c r="R4358">
        <v>3.435962E-2</v>
      </c>
      <c r="S4358">
        <v>-3.0654300000000001</v>
      </c>
      <c r="T4358">
        <v>-1.3010030000000001E-2</v>
      </c>
      <c r="U4358">
        <v>-9.5413209999999998E-2</v>
      </c>
      <c r="V4358">
        <v>4.425026E-2</v>
      </c>
      <c r="W4358">
        <v>0.2047166</v>
      </c>
      <c r="X4358">
        <v>0.97782049999999998</v>
      </c>
      <c r="Y4358">
        <v>-2.1589000000000001E-2</v>
      </c>
      <c r="Z4358">
        <v>-2.6340860000000001E-4</v>
      </c>
      <c r="AA4358">
        <v>0.99976690000000001</v>
      </c>
      <c r="AB4358">
        <v>35</v>
      </c>
      <c r="AC4358">
        <v>-287.1318</v>
      </c>
      <c r="AD4358">
        <v>-1.220135</v>
      </c>
      <c r="AE4358">
        <v>-8.9455999999999793</v>
      </c>
      <c r="AF4358">
        <v>-6.2103651238058903</v>
      </c>
      <c r="AG4358">
        <v>-1.220135</v>
      </c>
      <c r="AH4358">
        <v>287.198795814606</v>
      </c>
      <c r="AI4358">
        <v>90.243356963786596</v>
      </c>
      <c r="AJ4358">
        <v>91.238766563743496</v>
      </c>
      <c r="AK4358">
        <v>287.26852539348698</v>
      </c>
      <c r="AL4358">
        <v>78.187089823599706</v>
      </c>
      <c r="AM4358">
        <v>87.408906308597906</v>
      </c>
      <c r="AN4358">
        <v>0.99999995102293704</v>
      </c>
    </row>
    <row r="4359" spans="1:40" x14ac:dyDescent="0.25">
      <c r="A4359" t="str">
        <f>"20190303162907834"</f>
        <v>20190303162907834</v>
      </c>
      <c r="B4359" t="str">
        <f>"1551601747825684"</f>
        <v>1551601747825684</v>
      </c>
      <c r="C4359" t="s">
        <v>40</v>
      </c>
      <c r="D4359">
        <v>4.9805000000000001</v>
      </c>
      <c r="E4359">
        <v>0.47611910000000002</v>
      </c>
      <c r="F4359" t="s">
        <v>57</v>
      </c>
      <c r="G4359">
        <v>-491.12979999999999</v>
      </c>
      <c r="H4359" s="1">
        <v>-1.0566809999999999E-5</v>
      </c>
      <c r="I4359">
        <v>137.20230000000001</v>
      </c>
      <c r="J4359">
        <v>-317.13569999999999</v>
      </c>
      <c r="K4359">
        <v>1.12016</v>
      </c>
      <c r="L4359">
        <v>142.376</v>
      </c>
      <c r="M4359">
        <v>-0.99988429999999995</v>
      </c>
      <c r="N4359">
        <v>-1.2696249999999999E-2</v>
      </c>
      <c r="O4359">
        <v>-8.391473E-3</v>
      </c>
      <c r="P4359">
        <v>-0.98121769999999997</v>
      </c>
      <c r="Q4359">
        <v>0.18968280000000001</v>
      </c>
      <c r="R4359">
        <v>3.5104639999999999E-2</v>
      </c>
      <c r="S4359">
        <v>-3.0660400000000001</v>
      </c>
      <c r="T4359">
        <v>-1.969719E-2</v>
      </c>
      <c r="U4359">
        <v>-9.1018680000000005E-2</v>
      </c>
      <c r="V4359">
        <v>4.3864599999999997E-2</v>
      </c>
      <c r="W4359">
        <v>0.20200789999999999</v>
      </c>
      <c r="X4359">
        <v>0.97840110000000002</v>
      </c>
      <c r="Y4359">
        <v>-2.128236E-2</v>
      </c>
      <c r="Z4359">
        <v>-2.5612049999999999E-4</v>
      </c>
      <c r="AA4359">
        <v>0.99977340000000003</v>
      </c>
      <c r="AB4359">
        <v>35</v>
      </c>
      <c r="AC4359">
        <v>-173.9941</v>
      </c>
      <c r="AD4359">
        <v>-1.1201705668099999</v>
      </c>
      <c r="AE4359">
        <v>-5.1736999999999904</v>
      </c>
      <c r="AF4359">
        <v>-3.7131797235017201</v>
      </c>
      <c r="AG4359">
        <v>-1.1201705668099999</v>
      </c>
      <c r="AH4359">
        <v>174.02418479774599</v>
      </c>
      <c r="AI4359">
        <v>90.368716308683304</v>
      </c>
      <c r="AJ4359">
        <v>91.222343028704003</v>
      </c>
      <c r="AK4359">
        <v>174.067398958788</v>
      </c>
      <c r="AL4359">
        <v>78.345599868709101</v>
      </c>
      <c r="AM4359">
        <v>87.432980602585801</v>
      </c>
      <c r="AN4359">
        <v>1.00000000363839</v>
      </c>
    </row>
    <row r="4360" spans="1:40" x14ac:dyDescent="0.25">
      <c r="A4360" t="str">
        <f>"20190303162907856"</f>
        <v>20190303162907856</v>
      </c>
      <c r="B4360" t="str">
        <f>"1551601747846180"</f>
        <v>1551601747846180</v>
      </c>
      <c r="C4360" t="s">
        <v>40</v>
      </c>
      <c r="D4360">
        <v>5.1609389999999999</v>
      </c>
      <c r="E4360">
        <v>0.47582580000000002</v>
      </c>
      <c r="F4360" t="s">
        <v>56</v>
      </c>
      <c r="G4360">
        <v>-428.43610000000001</v>
      </c>
      <c r="H4360" s="1">
        <v>-1.079359E-5</v>
      </c>
      <c r="I4360">
        <v>139.0693</v>
      </c>
      <c r="J4360">
        <v>-317.48430000000002</v>
      </c>
      <c r="K4360">
        <v>1.120209</v>
      </c>
      <c r="L4360">
        <v>142.3741</v>
      </c>
      <c r="M4360">
        <v>-0.99989209999999995</v>
      </c>
      <c r="N4360">
        <v>-1.2694789999999999E-2</v>
      </c>
      <c r="O4360">
        <v>-7.3913669999999898E-3</v>
      </c>
      <c r="P4360">
        <v>-0.9812322</v>
      </c>
      <c r="Q4360">
        <v>0.1893841</v>
      </c>
      <c r="R4360">
        <v>3.6292869999999998E-2</v>
      </c>
      <c r="S4360">
        <v>-3.066681</v>
      </c>
      <c r="T4360">
        <v>-3.0864240000000001E-2</v>
      </c>
      <c r="U4360">
        <v>-9.111023E-2</v>
      </c>
      <c r="V4360">
        <v>4.4046290000000002E-2</v>
      </c>
      <c r="W4360">
        <v>0.20171310000000001</v>
      </c>
      <c r="X4360">
        <v>0.97845380000000004</v>
      </c>
      <c r="Y4360">
        <v>-2.2304569999999999E-2</v>
      </c>
      <c r="Z4360">
        <v>-2.7328420000000001E-4</v>
      </c>
      <c r="AA4360">
        <v>0.99975119999999895</v>
      </c>
      <c r="AB4360">
        <v>35</v>
      </c>
      <c r="AC4360">
        <v>-110.95180000000001</v>
      </c>
      <c r="AD4360">
        <v>-1.12021979359</v>
      </c>
      <c r="AE4360">
        <v>-3.3048000000000002</v>
      </c>
      <c r="AF4360">
        <v>-2.4843051262367402</v>
      </c>
      <c r="AG4360">
        <v>-1.12021979359</v>
      </c>
      <c r="AH4360">
        <v>110.961896401065</v>
      </c>
      <c r="AI4360">
        <v>90.578267038440401</v>
      </c>
      <c r="AJ4360">
        <v>91.282570210345298</v>
      </c>
      <c r="AK4360">
        <v>110.995356286949</v>
      </c>
      <c r="AL4360">
        <v>78.362846164744198</v>
      </c>
      <c r="AM4360">
        <v>87.422500799833003</v>
      </c>
      <c r="AN4360">
        <v>1.0000000445543999</v>
      </c>
    </row>
    <row r="4361" spans="1:40" x14ac:dyDescent="0.25">
      <c r="A4361" t="str">
        <f>"20190303162907880"</f>
        <v>20190303162907880</v>
      </c>
      <c r="B4361" t="str">
        <f>"1551601747865700"</f>
        <v>1551601747865700</v>
      </c>
      <c r="C4361" t="s">
        <v>40</v>
      </c>
      <c r="D4361">
        <v>5.2229159999999997</v>
      </c>
      <c r="E4361">
        <v>0.47557290000000002</v>
      </c>
      <c r="F4361" t="s">
        <v>56</v>
      </c>
      <c r="G4361">
        <v>-421.9581</v>
      </c>
      <c r="H4361" s="1">
        <v>-9.9518369999999997E-6</v>
      </c>
      <c r="I4361">
        <v>139.2867</v>
      </c>
      <c r="J4361">
        <v>-317.84480000000002</v>
      </c>
      <c r="K4361">
        <v>1.1202719999999999</v>
      </c>
      <c r="L4361">
        <v>142.3724</v>
      </c>
      <c r="M4361">
        <v>-0.99989870000000003</v>
      </c>
      <c r="N4361">
        <v>-1.2693009999999999E-2</v>
      </c>
      <c r="O4361">
        <v>-6.4479709999999898E-3</v>
      </c>
      <c r="P4361">
        <v>-0.9811761</v>
      </c>
      <c r="Q4361">
        <v>0.18936729999999999</v>
      </c>
      <c r="R4361">
        <v>3.7863460000000002E-2</v>
      </c>
      <c r="S4361">
        <v>-3.0670470000000001</v>
      </c>
      <c r="T4361">
        <v>-3.2886390000000001E-2</v>
      </c>
      <c r="U4361">
        <v>-9.0637209999999996E-2</v>
      </c>
      <c r="V4361">
        <v>4.465798E-2</v>
      </c>
      <c r="W4361">
        <v>0.20169960000000001</v>
      </c>
      <c r="X4361">
        <v>0.97842879999999999</v>
      </c>
      <c r="Y4361">
        <v>-2.308988E-2</v>
      </c>
      <c r="Z4361">
        <v>-2.8306019999999998E-4</v>
      </c>
      <c r="AA4361">
        <v>0.99973330000000005</v>
      </c>
      <c r="AB4361">
        <v>35</v>
      </c>
      <c r="AC4361">
        <v>-104.113299999999</v>
      </c>
      <c r="AD4361">
        <v>-1.120281951837</v>
      </c>
      <c r="AE4361">
        <v>-3.0857000000000001</v>
      </c>
      <c r="AF4361">
        <v>-2.4139830003361502</v>
      </c>
      <c r="AG4361">
        <v>-1.120281951837</v>
      </c>
      <c r="AH4361">
        <v>104.118988852334</v>
      </c>
      <c r="AI4361">
        <v>90.616292080634906</v>
      </c>
      <c r="AJ4361">
        <v>91.328156033848103</v>
      </c>
      <c r="AK4361">
        <v>104.152994125037</v>
      </c>
      <c r="AL4361">
        <v>78.363635248891001</v>
      </c>
      <c r="AM4361">
        <v>87.386688549397903</v>
      </c>
      <c r="AN4361">
        <v>0.99999999024363995</v>
      </c>
    </row>
    <row r="4362" spans="1:40" x14ac:dyDescent="0.25">
      <c r="A4362" t="str">
        <f>"20190303162907900"</f>
        <v>20190303162907900</v>
      </c>
      <c r="B4362" t="str">
        <f>"1551601747886197"</f>
        <v>1551601747886197</v>
      </c>
      <c r="C4362" t="s">
        <v>40</v>
      </c>
      <c r="D4362">
        <v>5.2078389999999999</v>
      </c>
      <c r="E4362">
        <v>0.4761512</v>
      </c>
      <c r="F4362" t="s">
        <v>56</v>
      </c>
      <c r="G4362">
        <v>-420.59589999999997</v>
      </c>
      <c r="H4362" s="1">
        <v>-9.801404E-6</v>
      </c>
      <c r="I4362">
        <v>139.39760000000001</v>
      </c>
      <c r="J4362">
        <v>-318.17579999999998</v>
      </c>
      <c r="K4362">
        <v>1.120341</v>
      </c>
      <c r="L4362">
        <v>142.37110000000001</v>
      </c>
      <c r="M4362">
        <v>-0.9999034</v>
      </c>
      <c r="N4362">
        <v>-1.269148E-2</v>
      </c>
      <c r="O4362">
        <v>-5.6674510000000004E-3</v>
      </c>
      <c r="P4362">
        <v>-0.98138510000000001</v>
      </c>
      <c r="Q4362">
        <v>0.18823500000000001</v>
      </c>
      <c r="R4362">
        <v>3.809394E-2</v>
      </c>
      <c r="S4362">
        <v>-3.0674440000000001</v>
      </c>
      <c r="T4362">
        <v>-3.3443929999999997E-2</v>
      </c>
      <c r="U4362">
        <v>-8.880615E-2</v>
      </c>
      <c r="V4362">
        <v>4.4087910000000001E-2</v>
      </c>
      <c r="W4362">
        <v>0.20057759999999999</v>
      </c>
      <c r="X4362">
        <v>0.97868529999999998</v>
      </c>
      <c r="Y4362">
        <v>-2.327009E-2</v>
      </c>
      <c r="Z4362">
        <v>-2.846805E-4</v>
      </c>
      <c r="AA4362">
        <v>0.99972919999999998</v>
      </c>
      <c r="AB4362">
        <v>35</v>
      </c>
      <c r="AC4362">
        <v>-102.42010000000001</v>
      </c>
      <c r="AD4362">
        <v>-1.120350801404</v>
      </c>
      <c r="AE4362">
        <v>-2.9735</v>
      </c>
      <c r="AF4362">
        <v>-2.3926585291486702</v>
      </c>
      <c r="AG4362">
        <v>-1.120350801404</v>
      </c>
      <c r="AH4362">
        <v>102.423063075218</v>
      </c>
      <c r="AI4362">
        <v>90.626531805897201</v>
      </c>
      <c r="AJ4362">
        <v>91.338217217524601</v>
      </c>
      <c r="AK4362">
        <v>102.457131769659</v>
      </c>
      <c r="AL4362">
        <v>78.429262665971294</v>
      </c>
      <c r="AM4362">
        <v>87.420678008790603</v>
      </c>
      <c r="AN4362">
        <v>1.0000000169329999</v>
      </c>
    </row>
    <row r="4363" spans="1:40" x14ac:dyDescent="0.25">
      <c r="A4363" t="str">
        <f>"20190303162907924"</f>
        <v>20190303162907924</v>
      </c>
      <c r="B4363" t="str">
        <f>"1551601747916452"</f>
        <v>1551601747916452</v>
      </c>
      <c r="C4363" t="s">
        <v>40</v>
      </c>
      <c r="D4363">
        <v>4.9697110000000002</v>
      </c>
      <c r="E4363">
        <v>0.49929689999999999</v>
      </c>
      <c r="F4363" t="s">
        <v>56</v>
      </c>
      <c r="G4363">
        <v>-410.1121</v>
      </c>
      <c r="H4363" s="1">
        <v>-1.075522E-5</v>
      </c>
      <c r="I4363">
        <v>139.874</v>
      </c>
      <c r="J4363">
        <v>-318.54050000000001</v>
      </c>
      <c r="K4363">
        <v>1.120422</v>
      </c>
      <c r="L4363">
        <v>142.3698</v>
      </c>
      <c r="M4363">
        <v>-0.99990760000000001</v>
      </c>
      <c r="N4363">
        <v>-1.268992E-2</v>
      </c>
      <c r="O4363">
        <v>-4.8920279999999997E-3</v>
      </c>
      <c r="P4363">
        <v>-0.98129770000000005</v>
      </c>
      <c r="Q4363">
        <v>0.1887904</v>
      </c>
      <c r="R4363">
        <v>3.7593580000000001E-2</v>
      </c>
      <c r="S4363">
        <v>-3.0673520000000001</v>
      </c>
      <c r="T4363">
        <v>-3.7379259999999997E-2</v>
      </c>
      <c r="U4363">
        <v>-8.3312990000000003E-2</v>
      </c>
      <c r="V4363">
        <v>4.2790839999999997E-2</v>
      </c>
      <c r="W4363">
        <v>0.20114099999999999</v>
      </c>
      <c r="X4363">
        <v>0.97862720000000003</v>
      </c>
      <c r="Y4363">
        <v>-2.225688E-2</v>
      </c>
      <c r="Z4363">
        <v>-2.7931560000000002E-4</v>
      </c>
      <c r="AA4363">
        <v>0.99975219999999998</v>
      </c>
      <c r="AB4363">
        <v>35</v>
      </c>
      <c r="AC4363">
        <v>-91.571600000000004</v>
      </c>
      <c r="AD4363">
        <v>-1.12043275522</v>
      </c>
      <c r="AE4363">
        <v>-2.4958</v>
      </c>
      <c r="AF4363">
        <v>-2.0474569679398198</v>
      </c>
      <c r="AG4363">
        <v>-1.12043275522</v>
      </c>
      <c r="AH4363">
        <v>91.569015984331003</v>
      </c>
      <c r="AI4363">
        <v>90.700857432104002</v>
      </c>
      <c r="AJ4363">
        <v>91.280903780771396</v>
      </c>
      <c r="AK4363">
        <v>91.598756202981306</v>
      </c>
      <c r="AL4363">
        <v>78.396310198236193</v>
      </c>
      <c r="AM4363">
        <v>87.4963154237049</v>
      </c>
      <c r="AN4363">
        <v>0.99999997722437195</v>
      </c>
    </row>
    <row r="4364" spans="1:40" x14ac:dyDescent="0.25">
      <c r="A4364" t="str">
        <f>"20190303162907945"</f>
        <v>20190303162907945</v>
      </c>
      <c r="B4364" t="str">
        <f>"1551601747935973"</f>
        <v>1551601747935973</v>
      </c>
      <c r="C4364" t="s">
        <v>40</v>
      </c>
      <c r="D4364">
        <v>4.9707509999999999</v>
      </c>
      <c r="E4364">
        <v>0.49875199999999997</v>
      </c>
      <c r="F4364" t="s">
        <v>41</v>
      </c>
      <c r="G4364">
        <v>-394.613</v>
      </c>
      <c r="H4364" s="1">
        <v>-3.6386549999999998E-6</v>
      </c>
      <c r="I4364">
        <v>144.87280000000001</v>
      </c>
      <c r="J4364">
        <v>-318.88529999999997</v>
      </c>
      <c r="K4364">
        <v>1.12049</v>
      </c>
      <c r="L4364">
        <v>142.36879999999999</v>
      </c>
      <c r="M4364">
        <v>-0.99991050000000004</v>
      </c>
      <c r="N4364">
        <v>-1.2688700000000001E-2</v>
      </c>
      <c r="O4364">
        <v>-4.2333680000000004E-3</v>
      </c>
      <c r="P4364">
        <v>-0.98106800000000005</v>
      </c>
      <c r="Q4364">
        <v>0.19004869999999999</v>
      </c>
      <c r="R4364">
        <v>3.7247460000000003E-2</v>
      </c>
      <c r="S4364">
        <v>-3.0619809999999998</v>
      </c>
      <c r="T4364">
        <v>-4.5098069999999997E-2</v>
      </c>
      <c r="U4364">
        <v>0.1007538</v>
      </c>
      <c r="V4364">
        <v>4.177053E-2</v>
      </c>
      <c r="W4364">
        <v>0.2024039</v>
      </c>
      <c r="X4364">
        <v>0.97841089999999997</v>
      </c>
      <c r="Y4364">
        <v>3.7110589999999999E-2</v>
      </c>
      <c r="Z4364">
        <v>5.1736960000000004E-4</v>
      </c>
      <c r="AA4364">
        <v>0.99931099999999995</v>
      </c>
      <c r="AB4364">
        <v>35</v>
      </c>
      <c r="AC4364">
        <v>-75.727699999999999</v>
      </c>
      <c r="AD4364">
        <v>-1.120493638655</v>
      </c>
      <c r="AE4364">
        <v>2.5040000000000102</v>
      </c>
      <c r="AF4364">
        <v>2.8239690199921701</v>
      </c>
      <c r="AG4364">
        <v>-1.120493638655</v>
      </c>
      <c r="AH4364">
        <v>75.699865084068705</v>
      </c>
      <c r="AI4364">
        <v>90.847428897985793</v>
      </c>
      <c r="AJ4364">
        <v>87.863582559961699</v>
      </c>
      <c r="AK4364">
        <v>75.760807022934699</v>
      </c>
      <c r="AL4364">
        <v>78.322432152834693</v>
      </c>
      <c r="AM4364">
        <v>87.555400649745806</v>
      </c>
      <c r="AN4364">
        <v>1.00000000257525</v>
      </c>
    </row>
    <row r="4365" spans="1:40" x14ac:dyDescent="0.25">
      <c r="A4365" t="str">
        <f>"20190303162907967"</f>
        <v>20190303162907967</v>
      </c>
      <c r="B4365" t="str">
        <f>"1551601747956469"</f>
        <v>1551601747956469</v>
      </c>
      <c r="C4365" t="s">
        <v>40</v>
      </c>
      <c r="D4365">
        <v>5.1445980000000002</v>
      </c>
      <c r="E4365">
        <v>0.498386</v>
      </c>
      <c r="F4365" t="s">
        <v>56</v>
      </c>
      <c r="G4365">
        <v>-402.55070000000001</v>
      </c>
      <c r="H4365" s="1">
        <v>-8.7175399999999901E-6</v>
      </c>
      <c r="I4365">
        <v>145.01859999999999</v>
      </c>
      <c r="J4365">
        <v>-319.21949999999998</v>
      </c>
      <c r="K4365">
        <v>1.120541</v>
      </c>
      <c r="L4365">
        <v>142.36799999999999</v>
      </c>
      <c r="M4365">
        <v>-0.99991289999999999</v>
      </c>
      <c r="N4365">
        <v>-1.2687489999999999E-2</v>
      </c>
      <c r="O4365">
        <v>-3.640552E-3</v>
      </c>
      <c r="P4365">
        <v>-0.98087970000000002</v>
      </c>
      <c r="Q4365">
        <v>0.19121350000000001</v>
      </c>
      <c r="R4365">
        <v>3.6229650000000002E-2</v>
      </c>
      <c r="S4365">
        <v>-3.0621640000000001</v>
      </c>
      <c r="T4365">
        <v>-4.1010379999999999E-2</v>
      </c>
      <c r="U4365">
        <v>9.6984860000000006E-2</v>
      </c>
      <c r="V4365">
        <v>4.0150470000000001E-2</v>
      </c>
      <c r="W4365">
        <v>0.20357249999999999</v>
      </c>
      <c r="X4365">
        <v>0.97823629999999995</v>
      </c>
      <c r="Y4365">
        <v>3.5288769999999997E-2</v>
      </c>
      <c r="Z4365">
        <v>4.6274590000000001E-4</v>
      </c>
      <c r="AA4365">
        <v>0.99937710000000002</v>
      </c>
      <c r="AB4365">
        <v>35</v>
      </c>
      <c r="AC4365">
        <v>-83.331199999999995</v>
      </c>
      <c r="AD4365">
        <v>-1.1205497175399901</v>
      </c>
      <c r="AE4365">
        <v>2.6505999999999901</v>
      </c>
      <c r="AF4365">
        <v>2.9534449112077299</v>
      </c>
      <c r="AG4365">
        <v>-1.1205497175399901</v>
      </c>
      <c r="AH4365">
        <v>83.305949090662196</v>
      </c>
      <c r="AI4365">
        <v>90.770156215661899</v>
      </c>
      <c r="AJ4365">
        <v>87.969543767534603</v>
      </c>
      <c r="AK4365">
        <v>83.3658180695722</v>
      </c>
      <c r="AL4365">
        <v>78.254053177373805</v>
      </c>
      <c r="AM4365">
        <v>87.649686472513807</v>
      </c>
      <c r="AN4365">
        <v>1.00000004081757</v>
      </c>
    </row>
    <row r="4366" spans="1:40" x14ac:dyDescent="0.25">
      <c r="A4366" t="str">
        <f>"20190303162907980"</f>
        <v>20190303162907980</v>
      </c>
      <c r="B4366" t="str">
        <f>"1551601747966229"</f>
        <v>1551601747966229</v>
      </c>
      <c r="C4366" t="s">
        <v>40</v>
      </c>
      <c r="D4366">
        <v>4.9397510000000002</v>
      </c>
      <c r="E4366">
        <v>0.49830770000000002</v>
      </c>
      <c r="F4366" t="s">
        <v>56</v>
      </c>
      <c r="G4366">
        <v>-416.94549999999998</v>
      </c>
      <c r="H4366" s="1">
        <v>-1.205482E-5</v>
      </c>
      <c r="I4366">
        <v>145.2876</v>
      </c>
      <c r="J4366">
        <v>-319.44979999999998</v>
      </c>
      <c r="K4366">
        <v>1.120566</v>
      </c>
      <c r="L4366">
        <v>142.36750000000001</v>
      </c>
      <c r="M4366">
        <v>-0.99991430000000003</v>
      </c>
      <c r="N4366">
        <v>-1.2686660000000001E-2</v>
      </c>
      <c r="O4366">
        <v>-3.2509449999999999E-3</v>
      </c>
      <c r="P4366">
        <v>-0.9808441</v>
      </c>
      <c r="Q4366">
        <v>0.19146830000000001</v>
      </c>
      <c r="R4366">
        <v>3.584507E-2</v>
      </c>
      <c r="S4366">
        <v>-3.0619809999999998</v>
      </c>
      <c r="T4366">
        <v>-3.5109519999999998E-2</v>
      </c>
      <c r="U4366">
        <v>9.1476440000000006E-2</v>
      </c>
      <c r="V4366">
        <v>3.9372360000000002E-2</v>
      </c>
      <c r="W4366">
        <v>0.20383019999999999</v>
      </c>
      <c r="X4366">
        <v>0.97821420000000003</v>
      </c>
      <c r="Y4366">
        <v>3.3106610000000002E-2</v>
      </c>
      <c r="Z4366">
        <v>3.958635E-4</v>
      </c>
      <c r="AA4366">
        <v>0.9994518</v>
      </c>
      <c r="AB4366">
        <v>35</v>
      </c>
      <c r="AC4366">
        <v>-97.495699999999999</v>
      </c>
      <c r="AD4366">
        <v>-1.1205780548199999</v>
      </c>
      <c r="AE4366">
        <v>2.9200999999999899</v>
      </c>
      <c r="AF4366">
        <v>3.2366360283527</v>
      </c>
      <c r="AG4366">
        <v>-1.1205780548199999</v>
      </c>
      <c r="AH4366">
        <v>97.472825938702499</v>
      </c>
      <c r="AI4366">
        <v>90.658298372423005</v>
      </c>
      <c r="AJ4366">
        <v>88.098162542545893</v>
      </c>
      <c r="AK4366">
        <v>97.532985725002604</v>
      </c>
      <c r="AL4366">
        <v>78.238971086606497</v>
      </c>
      <c r="AM4366">
        <v>87.695133570481204</v>
      </c>
      <c r="AN4366">
        <v>0.99999997712282396</v>
      </c>
    </row>
    <row r="4367" spans="1:40" x14ac:dyDescent="0.25">
      <c r="A4367" t="str">
        <f>"20190303162908001"</f>
        <v>20190303162908001</v>
      </c>
      <c r="B4367" t="str">
        <f>"1551601747996484"</f>
        <v>1551601747996484</v>
      </c>
      <c r="C4367" t="s">
        <v>40</v>
      </c>
      <c r="D4367">
        <v>4.9558289999999996</v>
      </c>
      <c r="E4367">
        <v>0.49796420000000002</v>
      </c>
      <c r="F4367" t="s">
        <v>56</v>
      </c>
      <c r="G4367">
        <v>-424.48680000000002</v>
      </c>
      <c r="H4367" s="1">
        <v>-1.264929E-5</v>
      </c>
      <c r="I4367">
        <v>145.4461</v>
      </c>
      <c r="J4367">
        <v>-319.7586</v>
      </c>
      <c r="K4367">
        <v>1.12059</v>
      </c>
      <c r="L4367">
        <v>142.36709999999999</v>
      </c>
      <c r="M4367">
        <v>-0.99991580000000002</v>
      </c>
      <c r="N4367">
        <v>-1.2685500000000001E-2</v>
      </c>
      <c r="O4367">
        <v>-2.7457100000000002E-3</v>
      </c>
      <c r="P4367">
        <v>-0.98098320000000006</v>
      </c>
      <c r="Q4367">
        <v>0.19079589999999999</v>
      </c>
      <c r="R4367">
        <v>3.5624250000000003E-2</v>
      </c>
      <c r="S4367">
        <v>-3.0616759999999998</v>
      </c>
      <c r="T4367">
        <v>-3.2663230000000001E-2</v>
      </c>
      <c r="U4367">
        <v>8.9736940000000001E-2</v>
      </c>
      <c r="V4367">
        <v>3.8643509999999999E-2</v>
      </c>
      <c r="W4367">
        <v>0.20316210000000001</v>
      </c>
      <c r="X4367">
        <v>0.97838219999999998</v>
      </c>
      <c r="Y4367">
        <v>3.2037820000000002E-2</v>
      </c>
      <c r="Z4367">
        <v>3.6858810000000002E-4</v>
      </c>
      <c r="AA4367">
        <v>0.9994866</v>
      </c>
      <c r="AB4367">
        <v>35</v>
      </c>
      <c r="AC4367">
        <v>-104.7282</v>
      </c>
      <c r="AD4367">
        <v>-1.1206026492899901</v>
      </c>
      <c r="AE4367">
        <v>3.0790000000000002</v>
      </c>
      <c r="AF4367">
        <v>3.3661797192114098</v>
      </c>
      <c r="AG4367">
        <v>-1.1206026492899901</v>
      </c>
      <c r="AH4367">
        <v>104.70737261828999</v>
      </c>
      <c r="AI4367">
        <v>90.612852752956599</v>
      </c>
      <c r="AJ4367">
        <v>88.158663684429996</v>
      </c>
      <c r="AK4367">
        <v>104.76746058211501</v>
      </c>
      <c r="AL4367">
        <v>78.278068094763697</v>
      </c>
      <c r="AM4367">
        <v>87.738143909902504</v>
      </c>
      <c r="AN4367">
        <v>0.99999994450918295</v>
      </c>
    </row>
    <row r="4368" spans="1:40" x14ac:dyDescent="0.25">
      <c r="A4368" t="str">
        <f>"20190303162908024"</f>
        <v>20190303162908024</v>
      </c>
      <c r="B4368" t="str">
        <f>"1551601748016004"</f>
        <v>1551601748016004</v>
      </c>
      <c r="C4368" t="s">
        <v>40</v>
      </c>
      <c r="D4368">
        <v>4.9127090000000004</v>
      </c>
      <c r="E4368">
        <v>0.49800689999999997</v>
      </c>
      <c r="F4368" t="s">
        <v>56</v>
      </c>
      <c r="G4368">
        <v>-424.37810000000002</v>
      </c>
      <c r="H4368" s="1">
        <v>-1.2580230000000001E-5</v>
      </c>
      <c r="I4368">
        <v>145.30439999999999</v>
      </c>
      <c r="J4368">
        <v>-320.12389999999999</v>
      </c>
      <c r="K4368">
        <v>1.120608</v>
      </c>
      <c r="L4368">
        <v>142.36670000000001</v>
      </c>
      <c r="M4368">
        <v>-0.99991739999999996</v>
      </c>
      <c r="N4368">
        <v>-1.268416E-2</v>
      </c>
      <c r="O4368">
        <v>-2.1606939999999999E-3</v>
      </c>
      <c r="P4368">
        <v>-0.98098549999999995</v>
      </c>
      <c r="Q4368">
        <v>0.1907365</v>
      </c>
      <c r="R4368">
        <v>3.5882039999999997E-2</v>
      </c>
      <c r="S4368">
        <v>-3.061401</v>
      </c>
      <c r="T4368">
        <v>-3.2791380000000002E-2</v>
      </c>
      <c r="U4368">
        <v>8.5952760000000003E-2</v>
      </c>
      <c r="V4368">
        <v>3.8317049999999998E-2</v>
      </c>
      <c r="W4368">
        <v>0.20310420000000001</v>
      </c>
      <c r="X4368">
        <v>0.97840709999999997</v>
      </c>
      <c r="Y4368">
        <v>3.0221379999999999E-2</v>
      </c>
      <c r="Z4368">
        <v>3.492778E-4</v>
      </c>
      <c r="AA4368">
        <v>0.99954319999999997</v>
      </c>
      <c r="AB4368">
        <v>35</v>
      </c>
      <c r="AC4368">
        <v>-104.2542</v>
      </c>
      <c r="AD4368">
        <v>-1.12062058022999</v>
      </c>
      <c r="AE4368">
        <v>2.9376999999999698</v>
      </c>
      <c r="AF4368">
        <v>3.1626075321731499</v>
      </c>
      <c r="AG4368">
        <v>-1.12062058022999</v>
      </c>
      <c r="AH4368">
        <v>104.235574860146</v>
      </c>
      <c r="AI4368">
        <v>90.615671055534193</v>
      </c>
      <c r="AJ4368">
        <v>88.262124127266503</v>
      </c>
      <c r="AK4368">
        <v>104.289562964434</v>
      </c>
      <c r="AL4368">
        <v>78.281456613620804</v>
      </c>
      <c r="AM4368">
        <v>87.757289471760799</v>
      </c>
      <c r="AN4368">
        <v>0.99999998285437597</v>
      </c>
    </row>
    <row r="4369" spans="1:40" x14ac:dyDescent="0.25">
      <c r="A4369" t="str">
        <f>"20190303162908039"</f>
        <v>20190303162908039</v>
      </c>
      <c r="B4369" t="str">
        <f>"1551601748025765"</f>
        <v>1551601748025765</v>
      </c>
      <c r="C4369" t="s">
        <v>40</v>
      </c>
      <c r="D4369">
        <v>4.9128030000000003</v>
      </c>
      <c r="E4369">
        <v>0.49795640000000002</v>
      </c>
      <c r="F4369" t="s">
        <v>56</v>
      </c>
      <c r="G4369">
        <v>-422.41680000000002</v>
      </c>
      <c r="H4369" s="1">
        <v>-1.2219260000000001E-5</v>
      </c>
      <c r="I4369">
        <v>145.2672</v>
      </c>
      <c r="J4369">
        <v>-320.3639</v>
      </c>
      <c r="K4369">
        <v>1.1206210000000001</v>
      </c>
      <c r="L4369">
        <v>142.36660000000001</v>
      </c>
      <c r="M4369">
        <v>-0.99991799999999997</v>
      </c>
      <c r="N4369">
        <v>-1.268331E-2</v>
      </c>
      <c r="O4369">
        <v>-1.778909E-3</v>
      </c>
      <c r="P4369">
        <v>-0.9810179</v>
      </c>
      <c r="Q4369">
        <v>0.19047510000000001</v>
      </c>
      <c r="R4369">
        <v>3.6374120000000003E-2</v>
      </c>
      <c r="S4369">
        <v>-3.061493</v>
      </c>
      <c r="T4369">
        <v>-3.3538699999999998E-2</v>
      </c>
      <c r="U4369">
        <v>8.6807250000000002E-2</v>
      </c>
      <c r="V4369">
        <v>3.8428589999999999E-2</v>
      </c>
      <c r="W4369">
        <v>0.2028432</v>
      </c>
      <c r="X4369">
        <v>0.97845689999999996</v>
      </c>
      <c r="Y4369">
        <v>3.011755E-2</v>
      </c>
      <c r="Z4369">
        <v>3.5290940000000002E-4</v>
      </c>
      <c r="AA4369">
        <v>0.9995463</v>
      </c>
      <c r="AB4369">
        <v>35</v>
      </c>
      <c r="AC4369">
        <v>-102.05289999999999</v>
      </c>
      <c r="AD4369">
        <v>-1.1206332192599999</v>
      </c>
      <c r="AE4369">
        <v>2.9005999999999901</v>
      </c>
      <c r="AF4369">
        <v>3.0817815303357698</v>
      </c>
      <c r="AG4369">
        <v>-1.1206332192599999</v>
      </c>
      <c r="AH4369">
        <v>102.035284669502</v>
      </c>
      <c r="AI4369">
        <v>90.628956054213603</v>
      </c>
      <c r="AJ4369">
        <v>88.270015971117502</v>
      </c>
      <c r="AK4369">
        <v>102.087964588384</v>
      </c>
      <c r="AL4369">
        <v>78.296729068193898</v>
      </c>
      <c r="AM4369">
        <v>87.750882051866498</v>
      </c>
      <c r="AN4369">
        <v>1.00000001273661</v>
      </c>
    </row>
    <row r="4370" spans="1:40" x14ac:dyDescent="0.25">
      <c r="A4370" t="str">
        <f>"20190303162908057"</f>
        <v>20190303162908057</v>
      </c>
      <c r="B4370" t="str">
        <f>"1551601748046261"</f>
        <v>1551601748046261</v>
      </c>
      <c r="C4370" t="s">
        <v>40</v>
      </c>
      <c r="D4370">
        <v>4.8360640000000004</v>
      </c>
      <c r="E4370">
        <v>0.49794260000000001</v>
      </c>
      <c r="F4370" t="s">
        <v>56</v>
      </c>
      <c r="G4370">
        <v>-418.05959999999999</v>
      </c>
      <c r="H4370" s="1">
        <v>-1.1918519999999999E-5</v>
      </c>
      <c r="I4370">
        <v>145.1781</v>
      </c>
      <c r="J4370">
        <v>-320.6438</v>
      </c>
      <c r="K4370">
        <v>1.120636</v>
      </c>
      <c r="L4370">
        <v>142.36660000000001</v>
      </c>
      <c r="M4370">
        <v>-0.9999188</v>
      </c>
      <c r="N4370">
        <v>-1.268237E-2</v>
      </c>
      <c r="O4370">
        <v>-1.332405E-3</v>
      </c>
      <c r="P4370">
        <v>-0.98082970000000003</v>
      </c>
      <c r="Q4370">
        <v>0.19122</v>
      </c>
      <c r="R4370">
        <v>3.752867E-2</v>
      </c>
      <c r="S4370">
        <v>-3.0615540000000001</v>
      </c>
      <c r="T4370">
        <v>-3.511798E-2</v>
      </c>
      <c r="U4370">
        <v>8.8104249999999995E-2</v>
      </c>
      <c r="V4370">
        <v>3.9140309999999998E-2</v>
      </c>
      <c r="W4370">
        <v>0.20358509999999999</v>
      </c>
      <c r="X4370">
        <v>0.97827459999999999</v>
      </c>
      <c r="Y4370">
        <v>3.0093490000000001E-2</v>
      </c>
      <c r="Z4370">
        <v>3.6182780000000001E-4</v>
      </c>
      <c r="AA4370">
        <v>0.99954699999999996</v>
      </c>
      <c r="AB4370">
        <v>35</v>
      </c>
      <c r="AC4370">
        <v>-97.415800000000004</v>
      </c>
      <c r="AD4370">
        <v>-1.12064791852</v>
      </c>
      <c r="AE4370">
        <v>2.8114999999999899</v>
      </c>
      <c r="AF4370">
        <v>2.9409163615080498</v>
      </c>
      <c r="AG4370">
        <v>-1.12064791852</v>
      </c>
      <c r="AH4370">
        <v>97.399088432142193</v>
      </c>
      <c r="AI4370">
        <v>90.658900593368401</v>
      </c>
      <c r="AJ4370">
        <v>88.270508298293905</v>
      </c>
      <c r="AK4370">
        <v>97.449921848172494</v>
      </c>
      <c r="AL4370">
        <v>78.253315619471394</v>
      </c>
      <c r="AM4370">
        <v>87.708844623098798</v>
      </c>
      <c r="AN4370">
        <v>1.00000002490703</v>
      </c>
    </row>
    <row r="4371" spans="1:40" x14ac:dyDescent="0.25">
      <c r="A4371" t="str">
        <f>"20190303162908079"</f>
        <v>20190303162908079</v>
      </c>
      <c r="B4371" t="str">
        <f>"1551601748065781"</f>
        <v>1551601748065781</v>
      </c>
      <c r="C4371" t="s">
        <v>40</v>
      </c>
      <c r="D4371">
        <v>4.8552929999999996</v>
      </c>
      <c r="E4371">
        <v>0.49789149999999999</v>
      </c>
      <c r="F4371" t="s">
        <v>56</v>
      </c>
      <c r="G4371">
        <v>-427.1354</v>
      </c>
      <c r="H4371" s="1">
        <v>-1.3109770000000001E-5</v>
      </c>
      <c r="I4371">
        <v>145.5402</v>
      </c>
      <c r="J4371">
        <v>-320.9932</v>
      </c>
      <c r="K4371">
        <v>1.1206560000000001</v>
      </c>
      <c r="L4371">
        <v>142.36680000000001</v>
      </c>
      <c r="M4371">
        <v>-0.99991940000000001</v>
      </c>
      <c r="N4371">
        <v>-1.268121E-2</v>
      </c>
      <c r="O4371">
        <v>-7.7184089999999996E-4</v>
      </c>
      <c r="P4371">
        <v>-0.98062309999999997</v>
      </c>
      <c r="Q4371">
        <v>0.19200149999999999</v>
      </c>
      <c r="R4371">
        <v>3.890971E-2</v>
      </c>
      <c r="S4371">
        <v>-3.0614319999999999</v>
      </c>
      <c r="T4371">
        <v>-3.2216549999999997E-2</v>
      </c>
      <c r="U4371">
        <v>9.1232300000000002E-2</v>
      </c>
      <c r="V4371">
        <v>3.9965689999999998E-2</v>
      </c>
      <c r="W4371">
        <v>0.20436280000000001</v>
      </c>
      <c r="X4371">
        <v>0.97807900000000003</v>
      </c>
      <c r="Y4371">
        <v>3.055513E-2</v>
      </c>
      <c r="Z4371">
        <v>3.528661E-4</v>
      </c>
      <c r="AA4371">
        <v>0.999533</v>
      </c>
      <c r="AB4371">
        <v>35</v>
      </c>
      <c r="AC4371">
        <v>-106.1422</v>
      </c>
      <c r="AD4371">
        <v>-1.1206691097699999</v>
      </c>
      <c r="AE4371">
        <v>3.17339999999998</v>
      </c>
      <c r="AF4371">
        <v>3.2549680005648698</v>
      </c>
      <c r="AG4371">
        <v>-1.1206691097699999</v>
      </c>
      <c r="AH4371">
        <v>106.127898748519</v>
      </c>
      <c r="AI4371">
        <v>90.604714211793905</v>
      </c>
      <c r="AJ4371">
        <v>88.243275449508104</v>
      </c>
      <c r="AK4371">
        <v>106.183716306758</v>
      </c>
      <c r="AL4371">
        <v>78.207799128047796</v>
      </c>
      <c r="AM4371">
        <v>87.6601151756864</v>
      </c>
      <c r="AN4371">
        <v>0.99999997032100696</v>
      </c>
    </row>
    <row r="4372" spans="1:40" x14ac:dyDescent="0.25">
      <c r="A4372" t="str">
        <f>"20190303162908102"</f>
        <v>20190303162908102</v>
      </c>
      <c r="B4372" t="str">
        <f>"1551601748096037"</f>
        <v>1551601748096037</v>
      </c>
      <c r="C4372" t="s">
        <v>40</v>
      </c>
      <c r="D4372">
        <v>5.0714180000000004</v>
      </c>
      <c r="E4372">
        <v>0.49788379999999999</v>
      </c>
      <c r="F4372" t="s">
        <v>56</v>
      </c>
      <c r="G4372">
        <v>-438.899</v>
      </c>
      <c r="H4372" s="1">
        <v>-9.8481910000000004E-6</v>
      </c>
      <c r="I4372">
        <v>146</v>
      </c>
      <c r="J4372">
        <v>-321.3544</v>
      </c>
      <c r="K4372">
        <v>1.1206609999999999</v>
      </c>
      <c r="L4372">
        <v>142.3672</v>
      </c>
      <c r="M4372">
        <v>-0.99991969999999997</v>
      </c>
      <c r="N4372">
        <v>-1.268004E-2</v>
      </c>
      <c r="O4372">
        <v>-1.8848899999999999E-4</v>
      </c>
      <c r="P4372">
        <v>-0.98065100000000005</v>
      </c>
      <c r="Q4372">
        <v>0.1914786</v>
      </c>
      <c r="R4372">
        <v>4.0744049999999997E-2</v>
      </c>
      <c r="S4372">
        <v>-3.0612180000000002</v>
      </c>
      <c r="T4372">
        <v>-2.9096130000000001E-2</v>
      </c>
      <c r="U4372">
        <v>9.4329830000000003E-2</v>
      </c>
      <c r="V4372">
        <v>4.1221529999999999E-2</v>
      </c>
      <c r="W4372">
        <v>0.2038391</v>
      </c>
      <c r="X4372">
        <v>0.97813620000000001</v>
      </c>
      <c r="Y4372">
        <v>3.098501E-2</v>
      </c>
      <c r="Z4372">
        <v>3.431261E-4</v>
      </c>
      <c r="AA4372">
        <v>0.99951979999999996</v>
      </c>
      <c r="AB4372">
        <v>35</v>
      </c>
      <c r="AC4372">
        <v>-117.5446</v>
      </c>
      <c r="AD4372">
        <v>-1.1206708481909999</v>
      </c>
      <c r="AE4372">
        <v>3.6328</v>
      </c>
      <c r="AF4372">
        <v>3.6546256999720601</v>
      </c>
      <c r="AG4372">
        <v>-1.1206708481909999</v>
      </c>
      <c r="AH4372">
        <v>117.533239859196</v>
      </c>
      <c r="AI4372">
        <v>90.546030624940698</v>
      </c>
      <c r="AJ4372">
        <v>88.218995898856903</v>
      </c>
      <c r="AK4372">
        <v>117.59538538546499</v>
      </c>
      <c r="AL4372">
        <v>78.238450604802793</v>
      </c>
      <c r="AM4372">
        <v>87.586815656473206</v>
      </c>
      <c r="AN4372">
        <v>1.00000000948739</v>
      </c>
    </row>
    <row r="4373" spans="1:40" x14ac:dyDescent="0.25">
      <c r="A4373" t="str">
        <f>"20190303162908125"</f>
        <v>20190303162908125</v>
      </c>
      <c r="B4373" t="str">
        <f>"1551601748116532"</f>
        <v>1551601748116532</v>
      </c>
      <c r="C4373" t="s">
        <v>40</v>
      </c>
      <c r="D4373">
        <v>4.8976930000000003</v>
      </c>
      <c r="E4373">
        <v>0.49803910000000001</v>
      </c>
      <c r="F4373" t="s">
        <v>56</v>
      </c>
      <c r="G4373">
        <v>-434.13490000000002</v>
      </c>
      <c r="H4373" s="1">
        <v>-1.191562E-5</v>
      </c>
      <c r="I4373">
        <v>146.0282</v>
      </c>
      <c r="J4373">
        <v>-321.7133</v>
      </c>
      <c r="K4373">
        <v>1.120663</v>
      </c>
      <c r="L4373">
        <v>142.36770000000001</v>
      </c>
      <c r="M4373">
        <v>-0.99991960000000002</v>
      </c>
      <c r="N4373">
        <v>-1.267894E-2</v>
      </c>
      <c r="O4373">
        <v>3.9358539999999998E-4</v>
      </c>
      <c r="P4373">
        <v>-0.98102270000000003</v>
      </c>
      <c r="Q4373">
        <v>0.18930089999999999</v>
      </c>
      <c r="R4373">
        <v>4.1948800000000001E-2</v>
      </c>
      <c r="S4373">
        <v>-3.0610050000000002</v>
      </c>
      <c r="T4373">
        <v>-3.0416490000000001E-2</v>
      </c>
      <c r="U4373">
        <v>9.9365229999999999E-2</v>
      </c>
      <c r="V4373">
        <v>4.1847389999999998E-2</v>
      </c>
      <c r="W4373">
        <v>0.2016655</v>
      </c>
      <c r="X4373">
        <v>0.97856010000000004</v>
      </c>
      <c r="Y4373">
        <v>3.2047550000000001E-2</v>
      </c>
      <c r="Z4373">
        <v>3.6349549999999998E-4</v>
      </c>
      <c r="AA4373">
        <v>0.99948630000000005</v>
      </c>
      <c r="AB4373">
        <v>35</v>
      </c>
      <c r="AC4373">
        <v>-112.4216</v>
      </c>
      <c r="AD4373">
        <v>-1.12067491562</v>
      </c>
      <c r="AE4373">
        <v>3.6604999999999799</v>
      </c>
      <c r="AF4373">
        <v>3.6158897275301398</v>
      </c>
      <c r="AG4373">
        <v>-1.12067491562</v>
      </c>
      <c r="AH4373">
        <v>112.41187347301501</v>
      </c>
      <c r="AI4373">
        <v>90.570888327576498</v>
      </c>
      <c r="AJ4373">
        <v>88.157634018907601</v>
      </c>
      <c r="AK4373">
        <v>112.475596768816</v>
      </c>
      <c r="AL4373">
        <v>78.365630419587703</v>
      </c>
      <c r="AM4373">
        <v>87.551280884693995</v>
      </c>
      <c r="AN4373">
        <v>1.00000002362603</v>
      </c>
    </row>
    <row r="4374" spans="1:40" x14ac:dyDescent="0.25">
      <c r="A4374" t="str">
        <f>"20190303162908145"</f>
        <v>20190303162908145</v>
      </c>
      <c r="B4374" t="str">
        <f>"1551601748136052"</f>
        <v>1551601748136052</v>
      </c>
      <c r="C4374" t="s">
        <v>40</v>
      </c>
      <c r="D4374">
        <v>4.8220890000000001</v>
      </c>
      <c r="E4374">
        <v>0.49799759999999998</v>
      </c>
      <c r="F4374" t="s">
        <v>56</v>
      </c>
      <c r="G4374">
        <v>-413.62009999999998</v>
      </c>
      <c r="H4374" s="1">
        <v>-1.244701E-5</v>
      </c>
      <c r="I4374">
        <v>145.5086</v>
      </c>
      <c r="J4374">
        <v>-322.0446</v>
      </c>
      <c r="K4374">
        <v>1.120668</v>
      </c>
      <c r="L4374">
        <v>142.36850000000001</v>
      </c>
      <c r="M4374">
        <v>-0.99991940000000001</v>
      </c>
      <c r="N4374">
        <v>-1.267795E-2</v>
      </c>
      <c r="O4374">
        <v>9.3159120000000002E-4</v>
      </c>
      <c r="P4374">
        <v>-0.98116780000000003</v>
      </c>
      <c r="Q4374">
        <v>0.188245</v>
      </c>
      <c r="R4374">
        <v>4.3291059999999999E-2</v>
      </c>
      <c r="S4374">
        <v>-3.06073</v>
      </c>
      <c r="T4374">
        <v>-3.732133E-2</v>
      </c>
      <c r="U4374">
        <v>0.104599</v>
      </c>
      <c r="V4374">
        <v>4.2657170000000001E-2</v>
      </c>
      <c r="W4374">
        <v>0.20060990000000001</v>
      </c>
      <c r="X4374">
        <v>0.97874209999999995</v>
      </c>
      <c r="Y4374">
        <v>3.3218419999999999E-2</v>
      </c>
      <c r="Z4374">
        <v>4.1356820000000002E-4</v>
      </c>
      <c r="AA4374">
        <v>0.999448</v>
      </c>
      <c r="AB4374">
        <v>35</v>
      </c>
      <c r="AC4374">
        <v>-91.575499999999906</v>
      </c>
      <c r="AD4374">
        <v>-1.12068044701</v>
      </c>
      <c r="AE4374">
        <v>3.1400999999999799</v>
      </c>
      <c r="AF4374">
        <v>3.0543239796661998</v>
      </c>
      <c r="AG4374">
        <v>-1.12068044701</v>
      </c>
      <c r="AH4374">
        <v>91.564688867801294</v>
      </c>
      <c r="AI4374">
        <v>90.700830928927999</v>
      </c>
      <c r="AJ4374">
        <v>88.089492664731594</v>
      </c>
      <c r="AK4374">
        <v>91.622470317571896</v>
      </c>
      <c r="AL4374">
        <v>78.427373795843593</v>
      </c>
      <c r="AM4374">
        <v>87.504419160428398</v>
      </c>
      <c r="AN4374">
        <v>1.00000003222141</v>
      </c>
    </row>
    <row r="4375" spans="1:40" x14ac:dyDescent="0.25">
      <c r="A4375" t="str">
        <f>"20190303162908161"</f>
        <v>20190303162908161</v>
      </c>
      <c r="B4375" t="str">
        <f>"1551601748156549"</f>
        <v>1551601748156549</v>
      </c>
      <c r="C4375" t="s">
        <v>40</v>
      </c>
      <c r="D4375">
        <v>4.9092770000000003</v>
      </c>
      <c r="E4375">
        <v>0.49797560000000002</v>
      </c>
      <c r="F4375" t="s">
        <v>56</v>
      </c>
      <c r="G4375">
        <v>-404.94900000000001</v>
      </c>
      <c r="H4375" s="1">
        <v>-9.9020139999999993E-6</v>
      </c>
      <c r="I4375">
        <v>145.31290000000001</v>
      </c>
      <c r="J4375">
        <v>-322.28530000000001</v>
      </c>
      <c r="K4375">
        <v>1.1206700000000001</v>
      </c>
      <c r="L4375">
        <v>142.3691</v>
      </c>
      <c r="M4375">
        <v>-0.9999188</v>
      </c>
      <c r="N4375">
        <v>-1.2677219999999999E-2</v>
      </c>
      <c r="O4375">
        <v>1.3225940000000001E-3</v>
      </c>
      <c r="P4375">
        <v>-0.98114760000000001</v>
      </c>
      <c r="Q4375">
        <v>0.18813079999999999</v>
      </c>
      <c r="R4375">
        <v>4.422773E-2</v>
      </c>
      <c r="S4375">
        <v>-3.06073</v>
      </c>
      <c r="T4375">
        <v>-4.1374090000000002E-2</v>
      </c>
      <c r="U4375">
        <v>0.1087036</v>
      </c>
      <c r="V4375">
        <v>4.3208000000000003E-2</v>
      </c>
      <c r="W4375">
        <v>0.20049539999999999</v>
      </c>
      <c r="X4375">
        <v>0.97874130000000004</v>
      </c>
      <c r="Y4375">
        <v>3.4165269999999998E-2</v>
      </c>
      <c r="Z4375">
        <v>4.4638160000000002E-4</v>
      </c>
      <c r="AA4375">
        <v>0.99941610000000003</v>
      </c>
      <c r="AB4375">
        <v>35</v>
      </c>
      <c r="AC4375">
        <v>-82.663700000000006</v>
      </c>
      <c r="AD4375">
        <v>-1.1206799020139999</v>
      </c>
      <c r="AE4375">
        <v>2.9438</v>
      </c>
      <c r="AF4375">
        <v>2.83393792485447</v>
      </c>
      <c r="AG4375">
        <v>-1.1206799020139999</v>
      </c>
      <c r="AH4375">
        <v>82.652349612900807</v>
      </c>
      <c r="AI4375">
        <v>90.776367409524198</v>
      </c>
      <c r="AJ4375">
        <v>88.036243396646299</v>
      </c>
      <c r="AK4375">
        <v>82.708512404334101</v>
      </c>
      <c r="AL4375">
        <v>78.434069068226407</v>
      </c>
      <c r="AM4375">
        <v>87.472233313730399</v>
      </c>
      <c r="AN4375">
        <v>0.99999993450542202</v>
      </c>
    </row>
    <row r="4376" spans="1:40" x14ac:dyDescent="0.25">
      <c r="A4376" t="str">
        <f>"20190303162908175"</f>
        <v>20190303162908175</v>
      </c>
      <c r="B4376" t="str">
        <f>"1551601748166310"</f>
        <v>1551601748166310</v>
      </c>
      <c r="C4376" t="s">
        <v>40</v>
      </c>
      <c r="D4376">
        <v>4.9611830000000001</v>
      </c>
      <c r="E4376">
        <v>0.49797560000000002</v>
      </c>
      <c r="F4376" t="s">
        <v>56</v>
      </c>
      <c r="G4376">
        <v>-401.40550000000002</v>
      </c>
      <c r="H4376" s="1">
        <v>-8.3059240000000002E-6</v>
      </c>
      <c r="I4376">
        <v>145.2527</v>
      </c>
      <c r="J4376">
        <v>-322.50229999999999</v>
      </c>
      <c r="K4376">
        <v>1.1206719999999999</v>
      </c>
      <c r="L4376">
        <v>142.3698</v>
      </c>
      <c r="M4376">
        <v>-0.99991830000000004</v>
      </c>
      <c r="N4376">
        <v>-1.267656E-2</v>
      </c>
      <c r="O4376">
        <v>1.674455E-3</v>
      </c>
      <c r="P4376">
        <v>-0.9811531</v>
      </c>
      <c r="Q4376">
        <v>0.1879198</v>
      </c>
      <c r="R4376">
        <v>4.4999989999999997E-2</v>
      </c>
      <c r="S4376">
        <v>-3.060883</v>
      </c>
      <c r="T4376">
        <v>-4.3355110000000002E-2</v>
      </c>
      <c r="U4376">
        <v>0.111557</v>
      </c>
      <c r="V4376">
        <v>4.3633480000000002E-2</v>
      </c>
      <c r="W4376">
        <v>0.2002833</v>
      </c>
      <c r="X4376">
        <v>0.97876589999999997</v>
      </c>
      <c r="Y4376">
        <v>3.4741719999999997E-2</v>
      </c>
      <c r="Z4376">
        <v>4.6376879999999998E-4</v>
      </c>
      <c r="AA4376">
        <v>0.99939619999999996</v>
      </c>
      <c r="AB4376">
        <v>35</v>
      </c>
      <c r="AC4376">
        <v>-78.903199999999998</v>
      </c>
      <c r="AD4376">
        <v>-1.12068030592399</v>
      </c>
      <c r="AE4376">
        <v>2.8828999999999998</v>
      </c>
      <c r="AF4376">
        <v>2.75021142495119</v>
      </c>
      <c r="AG4376">
        <v>-1.12068030592399</v>
      </c>
      <c r="AH4376">
        <v>78.892023233874298</v>
      </c>
      <c r="AI4376">
        <v>90.813351695543503</v>
      </c>
      <c r="AJ4376">
        <v>88.003451854809299</v>
      </c>
      <c r="AK4376">
        <v>78.947900017443004</v>
      </c>
      <c r="AL4376">
        <v>78.446473681904493</v>
      </c>
      <c r="AM4376">
        <v>87.447438598147102</v>
      </c>
      <c r="AN4376">
        <v>0.999999983919305</v>
      </c>
    </row>
    <row r="4377" spans="1:40" x14ac:dyDescent="0.25">
      <c r="A4377" t="str">
        <f>"20190303162908191"</f>
        <v>20190303162908191</v>
      </c>
      <c r="B4377" t="str">
        <f>"1551601748185829"</f>
        <v>1551601748185829</v>
      </c>
      <c r="C4377" t="s">
        <v>40</v>
      </c>
      <c r="D4377">
        <v>4.9512049999999999</v>
      </c>
      <c r="E4377">
        <v>0.51927570000000001</v>
      </c>
      <c r="F4377" t="s">
        <v>56</v>
      </c>
      <c r="G4377">
        <v>-400.4393</v>
      </c>
      <c r="H4377" s="1">
        <v>-7.8852209999999994E-6</v>
      </c>
      <c r="I4377">
        <v>145.27170000000001</v>
      </c>
      <c r="J4377">
        <v>-322.74829999999997</v>
      </c>
      <c r="K4377">
        <v>1.1206640000000001</v>
      </c>
      <c r="L4377">
        <v>142.3706</v>
      </c>
      <c r="M4377">
        <v>-0.99991759999999996</v>
      </c>
      <c r="N4377">
        <v>-1.2675820000000001E-2</v>
      </c>
      <c r="O4377">
        <v>2.073404E-3</v>
      </c>
      <c r="P4377">
        <v>-0.9813366</v>
      </c>
      <c r="Q4377">
        <v>0.18679570000000001</v>
      </c>
      <c r="R4377">
        <v>4.567185E-2</v>
      </c>
      <c r="S4377">
        <v>-3.060791</v>
      </c>
      <c r="T4377">
        <v>-4.401207E-2</v>
      </c>
      <c r="U4377">
        <v>0.113967899999999</v>
      </c>
      <c r="V4377">
        <v>4.391072E-2</v>
      </c>
      <c r="W4377">
        <v>0.19916059999999999</v>
      </c>
      <c r="X4377">
        <v>0.97898260000000004</v>
      </c>
      <c r="Y4377">
        <v>3.5129960000000002E-2</v>
      </c>
      <c r="Z4377">
        <v>4.717023E-4</v>
      </c>
      <c r="AA4377">
        <v>0.99938260000000001</v>
      </c>
      <c r="AB4377">
        <v>35</v>
      </c>
      <c r="AC4377">
        <v>-77.691000000000003</v>
      </c>
      <c r="AD4377">
        <v>-1.12067188522099</v>
      </c>
      <c r="AE4377">
        <v>2.9011000000000098</v>
      </c>
      <c r="AF4377">
        <v>2.7394267979647302</v>
      </c>
      <c r="AG4377">
        <v>-1.12067188522099</v>
      </c>
      <c r="AH4377">
        <v>77.680707867083598</v>
      </c>
      <c r="AI4377">
        <v>90.826015051496697</v>
      </c>
      <c r="AJ4377">
        <v>87.980289049606895</v>
      </c>
      <c r="AK4377">
        <v>77.7370744200405</v>
      </c>
      <c r="AL4377">
        <v>78.512122651468005</v>
      </c>
      <c r="AM4377">
        <v>87.431809535225696</v>
      </c>
      <c r="AN4377">
        <v>1.00000001351301</v>
      </c>
    </row>
    <row r="4378" spans="1:40" x14ac:dyDescent="0.25">
      <c r="A4378" t="str">
        <f>"20190303162908205"</f>
        <v>20190303162908205</v>
      </c>
      <c r="B4378" t="str">
        <f>"1551601748196564"</f>
        <v>1551601748196564</v>
      </c>
      <c r="C4378" t="s">
        <v>40</v>
      </c>
      <c r="D4378">
        <v>4.9226979999999996</v>
      </c>
      <c r="E4378">
        <v>0.52186690000000002</v>
      </c>
      <c r="F4378" t="s">
        <v>44</v>
      </c>
      <c r="G4378">
        <v>-323.63659999999999</v>
      </c>
      <c r="H4378">
        <v>0.9712305</v>
      </c>
      <c r="I4378">
        <v>142.4503</v>
      </c>
      <c r="J4378">
        <v>-322.98239999999998</v>
      </c>
      <c r="K4378">
        <v>1.120662</v>
      </c>
      <c r="L4378">
        <v>142.37139999999999</v>
      </c>
      <c r="M4378">
        <v>-0.99991660000000004</v>
      </c>
      <c r="N4378">
        <v>-1.267513E-2</v>
      </c>
      <c r="O4378">
        <v>2.452929E-3</v>
      </c>
      <c r="P4378">
        <v>-0.98147519999999999</v>
      </c>
      <c r="Q4378">
        <v>0.1859082</v>
      </c>
      <c r="R4378">
        <v>4.6307830000000001E-2</v>
      </c>
      <c r="S4378">
        <v>-3.1446529999999999</v>
      </c>
      <c r="T4378">
        <v>-0.52896569999999898</v>
      </c>
      <c r="U4378">
        <v>0.28163149999999998</v>
      </c>
      <c r="V4378">
        <v>4.4171799999999997E-2</v>
      </c>
      <c r="W4378">
        <v>0.19827500000000001</v>
      </c>
      <c r="X4378">
        <v>0.97915059999999998</v>
      </c>
      <c r="Y4378">
        <v>8.5504079999999996E-2</v>
      </c>
      <c r="Z4378">
        <v>7.2961850000000002E-3</v>
      </c>
      <c r="AA4378">
        <v>0.99631110000000001</v>
      </c>
      <c r="AB4378">
        <v>35</v>
      </c>
      <c r="AC4378">
        <v>-0.654200000000002</v>
      </c>
      <c r="AD4378">
        <v>-0.14943149999999999</v>
      </c>
      <c r="AE4378">
        <v>7.8900000000004397E-2</v>
      </c>
      <c r="AF4378">
        <v>7.3514303415698395E-2</v>
      </c>
      <c r="AG4378">
        <v>-0.14943149999999999</v>
      </c>
      <c r="AH4378">
        <v>0.62238419779250598</v>
      </c>
      <c r="AI4378">
        <v>103.41106660434799</v>
      </c>
      <c r="AJ4378">
        <v>83.263593042584205</v>
      </c>
      <c r="AK4378">
        <v>0.64427960984402299</v>
      </c>
      <c r="AL4378">
        <v>78.563896295576896</v>
      </c>
      <c r="AM4378">
        <v>87.417003129220802</v>
      </c>
      <c r="AN4378">
        <v>1.0000000105103</v>
      </c>
    </row>
    <row r="4379" spans="1:40" x14ac:dyDescent="0.25">
      <c r="A4379" t="str">
        <f>"20190303162908219"</f>
        <v>20190303162908219</v>
      </c>
      <c r="B4379" t="str">
        <f>"1551601748206325"</f>
        <v>1551601748206325</v>
      </c>
      <c r="C4379" t="s">
        <v>40</v>
      </c>
      <c r="D4379">
        <v>4.8666369999999999</v>
      </c>
      <c r="E4379">
        <v>0.52318589999999998</v>
      </c>
      <c r="F4379" t="s">
        <v>44</v>
      </c>
      <c r="G4379">
        <v>-323.9273</v>
      </c>
      <c r="H4379">
        <v>0.92305300000000001</v>
      </c>
      <c r="I4379">
        <v>142.4623</v>
      </c>
      <c r="J4379">
        <v>-323.19540000000001</v>
      </c>
      <c r="K4379">
        <v>1.120655</v>
      </c>
      <c r="L4379">
        <v>142.3723</v>
      </c>
      <c r="M4379">
        <v>-0.99991580000000002</v>
      </c>
      <c r="N4379">
        <v>-1.267453E-2</v>
      </c>
      <c r="O4379">
        <v>2.7977100000000001E-3</v>
      </c>
      <c r="P4379">
        <v>-0.98160579999999997</v>
      </c>
      <c r="Q4379">
        <v>0.18520039999999999</v>
      </c>
      <c r="R4379">
        <v>4.6378059999999999E-2</v>
      </c>
      <c r="S4379">
        <v>-3.167786</v>
      </c>
      <c r="T4379">
        <v>-0.66239789999999998</v>
      </c>
      <c r="U4379">
        <v>0.30339050000000001</v>
      </c>
      <c r="V4379">
        <v>4.3901469999999998E-2</v>
      </c>
      <c r="W4379">
        <v>0.1975692</v>
      </c>
      <c r="X4379">
        <v>0.97930539999999999</v>
      </c>
      <c r="Y4379">
        <v>9.0543139999999994E-2</v>
      </c>
      <c r="Z4379">
        <v>9.383667E-3</v>
      </c>
      <c r="AA4379">
        <v>0.99584830000000002</v>
      </c>
      <c r="AB4379">
        <v>35</v>
      </c>
      <c r="AC4379">
        <v>-0.731899999999996</v>
      </c>
      <c r="AD4379">
        <v>-0.197601999999999</v>
      </c>
      <c r="AE4379">
        <v>9.0000000000003397E-2</v>
      </c>
      <c r="AF4379">
        <v>8.2059468792735499E-2</v>
      </c>
      <c r="AG4379">
        <v>-0.197601999999999</v>
      </c>
      <c r="AH4379">
        <v>0.68309832168840101</v>
      </c>
      <c r="AI4379">
        <v>106.024501898716</v>
      </c>
      <c r="AJ4379">
        <v>83.149977630327697</v>
      </c>
      <c r="AK4379">
        <v>0.71582373802218702</v>
      </c>
      <c r="AL4379">
        <v>78.605151629441096</v>
      </c>
      <c r="AM4379">
        <v>87.433195032805301</v>
      </c>
      <c r="AN4379">
        <v>0.99999999716298005</v>
      </c>
    </row>
    <row r="4380" spans="1:40" x14ac:dyDescent="0.25">
      <c r="A4380" t="str">
        <f>"20190303162908234"</f>
        <v>20190303162908234</v>
      </c>
      <c r="B4380" t="str">
        <f>"1551601748225845"</f>
        <v>1551601748225845</v>
      </c>
      <c r="C4380" t="s">
        <v>40</v>
      </c>
      <c r="D4380">
        <v>4.8258020000000004</v>
      </c>
      <c r="E4380">
        <v>0.5248351</v>
      </c>
      <c r="F4380" t="s">
        <v>44</v>
      </c>
      <c r="G4380">
        <v>-323.93700000000001</v>
      </c>
      <c r="H4380">
        <v>0.94347740000000002</v>
      </c>
      <c r="I4380">
        <v>142.44579999999999</v>
      </c>
      <c r="J4380">
        <v>-323.4393</v>
      </c>
      <c r="K4380">
        <v>1.120654</v>
      </c>
      <c r="L4380">
        <v>142.3734</v>
      </c>
      <c r="M4380">
        <v>-0.99991479999999999</v>
      </c>
      <c r="N4380">
        <v>-1.267384E-2</v>
      </c>
      <c r="O4380">
        <v>3.1907020000000001E-3</v>
      </c>
      <c r="P4380">
        <v>-0.98180259999999997</v>
      </c>
      <c r="Q4380">
        <v>0.184004</v>
      </c>
      <c r="R4380">
        <v>4.69732E-2</v>
      </c>
      <c r="S4380">
        <v>-3.1848749999999999</v>
      </c>
      <c r="T4380">
        <v>-0.7608606</v>
      </c>
      <c r="U4380">
        <v>0.31385800000000003</v>
      </c>
      <c r="V4380">
        <v>4.4107470000000003E-2</v>
      </c>
      <c r="W4380">
        <v>0.1963743</v>
      </c>
      <c r="X4380">
        <v>0.97953650000000003</v>
      </c>
      <c r="Y4380">
        <v>9.2262189999999994E-2</v>
      </c>
      <c r="Z4380">
        <v>1.072702E-2</v>
      </c>
      <c r="AA4380">
        <v>0.99567700000000003</v>
      </c>
      <c r="AB4380">
        <v>35</v>
      </c>
      <c r="AC4380">
        <v>-0.49770000000000802</v>
      </c>
      <c r="AD4380">
        <v>-0.17717659999999999</v>
      </c>
      <c r="AE4380">
        <v>7.2399999999987502E-2</v>
      </c>
      <c r="AF4380">
        <v>6.2993762039623299E-2</v>
      </c>
      <c r="AG4380">
        <v>-0.17717659999999999</v>
      </c>
      <c r="AH4380">
        <v>0.44295619412933301</v>
      </c>
      <c r="AI4380">
        <v>111.603681628331</v>
      </c>
      <c r="AJ4380">
        <v>81.906115991556803</v>
      </c>
      <c r="AK4380">
        <v>0.48121715634524898</v>
      </c>
      <c r="AL4380">
        <v>78.674982950290797</v>
      </c>
      <c r="AM4380">
        <v>87.421774567171596</v>
      </c>
      <c r="AN4380">
        <v>1.00000004472126</v>
      </c>
    </row>
    <row r="4381" spans="1:40" x14ac:dyDescent="0.25">
      <c r="A4381" t="str">
        <f>"20190303162908250"</f>
        <v>20190303162908250</v>
      </c>
      <c r="B4381" t="str">
        <f>"1551601748246341"</f>
        <v>1551601748246341</v>
      </c>
      <c r="C4381" t="s">
        <v>40</v>
      </c>
      <c r="D4381">
        <v>4.8253579999999996</v>
      </c>
      <c r="E4381">
        <v>0.52625849999999996</v>
      </c>
      <c r="F4381" t="s">
        <v>44</v>
      </c>
      <c r="G4381">
        <v>-324.23320000000001</v>
      </c>
      <c r="H4381">
        <v>0.9059024</v>
      </c>
      <c r="I4381">
        <v>142.45490000000001</v>
      </c>
      <c r="J4381">
        <v>-323.66059999999999</v>
      </c>
      <c r="K4381">
        <v>1.1206560000000001</v>
      </c>
      <c r="L4381">
        <v>142.37450000000001</v>
      </c>
      <c r="M4381">
        <v>-0.99991359999999996</v>
      </c>
      <c r="N4381">
        <v>-1.2673200000000001E-2</v>
      </c>
      <c r="O4381">
        <v>3.5449420000000001E-3</v>
      </c>
      <c r="P4381">
        <v>-0.98184689999999997</v>
      </c>
      <c r="Q4381">
        <v>0.1837114</v>
      </c>
      <c r="R4381">
        <v>4.7192440000000002E-2</v>
      </c>
      <c r="S4381">
        <v>-3.2022710000000001</v>
      </c>
      <c r="T4381">
        <v>-0.86620759999999997</v>
      </c>
      <c r="U4381">
        <v>0.32775880000000002</v>
      </c>
      <c r="V4381">
        <v>4.3976939999999999E-2</v>
      </c>
      <c r="W4381">
        <v>0.19608249999999999</v>
      </c>
      <c r="X4381">
        <v>0.97960080000000005</v>
      </c>
      <c r="Y4381">
        <v>9.486762E-2</v>
      </c>
      <c r="Z4381">
        <v>1.229132E-2</v>
      </c>
      <c r="AA4381">
        <v>0.99541400000000002</v>
      </c>
      <c r="AB4381">
        <v>35</v>
      </c>
      <c r="AC4381">
        <v>-0.57260000000002198</v>
      </c>
      <c r="AD4381">
        <v>-0.21475359999999899</v>
      </c>
      <c r="AE4381">
        <v>8.0399999999997293E-2</v>
      </c>
      <c r="AF4381">
        <v>6.8869450635522605E-2</v>
      </c>
      <c r="AG4381">
        <v>-0.21475359999999899</v>
      </c>
      <c r="AH4381">
        <v>0.50343604012308296</v>
      </c>
      <c r="AI4381">
        <v>112.91083707825</v>
      </c>
      <c r="AJ4381">
        <v>82.210357036910807</v>
      </c>
      <c r="AK4381">
        <v>0.551642961016099</v>
      </c>
      <c r="AL4381">
        <v>78.692033096003499</v>
      </c>
      <c r="AM4381">
        <v>87.429562726954103</v>
      </c>
      <c r="AN4381">
        <v>1.00000002270932</v>
      </c>
    </row>
    <row r="4382" spans="1:40" x14ac:dyDescent="0.25">
      <c r="A4382" t="str">
        <f>"20190303162908264"</f>
        <v>20190303162908264</v>
      </c>
      <c r="B4382" t="str">
        <f>"1551601748256100"</f>
        <v>1551601748256100</v>
      </c>
      <c r="C4382" t="s">
        <v>40</v>
      </c>
      <c r="D4382">
        <v>4.8367250000000004</v>
      </c>
      <c r="E4382">
        <v>0.52670989999999995</v>
      </c>
      <c r="F4382" t="s">
        <v>44</v>
      </c>
      <c r="G4382">
        <v>-324.53429999999997</v>
      </c>
      <c r="H4382">
        <v>0.87406539999999999</v>
      </c>
      <c r="I4382">
        <v>142.46719999999999</v>
      </c>
      <c r="J4382">
        <v>-323.91550000000001</v>
      </c>
      <c r="K4382">
        <v>1.1206609999999999</v>
      </c>
      <c r="L4382">
        <v>142.3758</v>
      </c>
      <c r="M4382">
        <v>-0.99991180000000002</v>
      </c>
      <c r="N4382">
        <v>-1.267244E-2</v>
      </c>
      <c r="O4382">
        <v>3.9480280000000001E-3</v>
      </c>
      <c r="P4382">
        <v>-0.98185880000000003</v>
      </c>
      <c r="Q4382">
        <v>0.18360599999999999</v>
      </c>
      <c r="R4382">
        <v>4.7351440000000002E-2</v>
      </c>
      <c r="S4382">
        <v>-3.2085880000000002</v>
      </c>
      <c r="T4382">
        <v>-0.9056206</v>
      </c>
      <c r="U4382">
        <v>0.33952329999999997</v>
      </c>
      <c r="V4382">
        <v>4.373759E-2</v>
      </c>
      <c r="W4382">
        <v>0.19597729999999999</v>
      </c>
      <c r="X4382">
        <v>0.97963259999999996</v>
      </c>
      <c r="Y4382">
        <v>9.7496799999999995E-2</v>
      </c>
      <c r="Z4382">
        <v>1.305079E-2</v>
      </c>
      <c r="AA4382">
        <v>0.99515030000000004</v>
      </c>
      <c r="AB4382">
        <v>35</v>
      </c>
      <c r="AC4382">
        <v>-0.61879999999996405</v>
      </c>
      <c r="AD4382">
        <v>-0.2465956</v>
      </c>
      <c r="AE4382">
        <v>9.1399999999993001E-2</v>
      </c>
      <c r="AF4382">
        <v>7.6990466472846894E-2</v>
      </c>
      <c r="AG4382">
        <v>-0.2465956</v>
      </c>
      <c r="AH4382">
        <v>0.53587263353639103</v>
      </c>
      <c r="AI4382">
        <v>114.48919803443501</v>
      </c>
      <c r="AJ4382">
        <v>81.824088681544296</v>
      </c>
      <c r="AK4382">
        <v>0.59489192399989299</v>
      </c>
      <c r="AL4382">
        <v>78.698180241166199</v>
      </c>
      <c r="AM4382">
        <v>87.443616918233701</v>
      </c>
      <c r="AN4382">
        <v>1.00000005493852</v>
      </c>
    </row>
    <row r="4383" spans="1:40" x14ac:dyDescent="0.25">
      <c r="A4383" t="str">
        <f>"20190303162908280"</f>
        <v>20190303162908280</v>
      </c>
      <c r="B4383" t="str">
        <f>"1551601748276596"</f>
        <v>1551601748276596</v>
      </c>
      <c r="C4383" t="s">
        <v>40</v>
      </c>
      <c r="D4383">
        <v>4.8143940000000001</v>
      </c>
      <c r="E4383">
        <v>0.52747829999999996</v>
      </c>
      <c r="F4383" t="s">
        <v>44</v>
      </c>
      <c r="G4383">
        <v>-324.84120000000001</v>
      </c>
      <c r="H4383">
        <v>0.85646060000000002</v>
      </c>
      <c r="I4383">
        <v>142.47499999999999</v>
      </c>
      <c r="J4383">
        <v>-324.1542</v>
      </c>
      <c r="K4383">
        <v>1.120668</v>
      </c>
      <c r="L4383">
        <v>142.37710000000001</v>
      </c>
      <c r="M4383">
        <v>-0.99991039999999998</v>
      </c>
      <c r="N4383">
        <v>-1.2671709999999999E-2</v>
      </c>
      <c r="O4383">
        <v>4.3178849999999996E-3</v>
      </c>
      <c r="P4383">
        <v>-0.98179649999999996</v>
      </c>
      <c r="Q4383">
        <v>0.18391830000000001</v>
      </c>
      <c r="R4383">
        <v>4.743124E-2</v>
      </c>
      <c r="S4383">
        <v>-3.2102050000000002</v>
      </c>
      <c r="T4383">
        <v>-0.91612819999999995</v>
      </c>
      <c r="U4383">
        <v>0.3435974</v>
      </c>
      <c r="V4383">
        <v>4.3451249999999997E-2</v>
      </c>
      <c r="W4383">
        <v>0.19628970000000001</v>
      </c>
      <c r="X4383">
        <v>0.97958270000000003</v>
      </c>
      <c r="Y4383">
        <v>9.8227620000000002E-2</v>
      </c>
      <c r="Z4383">
        <v>1.319039E-2</v>
      </c>
      <c r="AA4383">
        <v>0.99507650000000003</v>
      </c>
      <c r="AB4383">
        <v>35</v>
      </c>
      <c r="AC4383">
        <v>-0.68700000000001105</v>
      </c>
      <c r="AD4383">
        <v>-0.26420739999999998</v>
      </c>
      <c r="AE4383">
        <v>9.7899999999981405E-2</v>
      </c>
      <c r="AF4383">
        <v>8.2913408739303904E-2</v>
      </c>
      <c r="AG4383">
        <v>-0.26420739999999998</v>
      </c>
      <c r="AH4383">
        <v>0.60038506872608899</v>
      </c>
      <c r="AI4383">
        <v>113.553636421356</v>
      </c>
      <c r="AJ4383">
        <v>82.137165038098999</v>
      </c>
      <c r="AK4383">
        <v>0.66116746313831898</v>
      </c>
      <c r="AL4383">
        <v>78.679925433586405</v>
      </c>
      <c r="AM4383">
        <v>87.460201787234993</v>
      </c>
      <c r="AN4383">
        <v>0.99999996179596995</v>
      </c>
    </row>
    <row r="4384" spans="1:40" x14ac:dyDescent="0.25">
      <c r="A4384" t="str">
        <f>"20190303162908304"</f>
        <v>20190303162908304</v>
      </c>
      <c r="B4384" t="str">
        <f>"1551601748296117"</f>
        <v>1551601748296117</v>
      </c>
      <c r="C4384" t="s">
        <v>40</v>
      </c>
      <c r="D4384">
        <v>4.7833880000000004</v>
      </c>
      <c r="E4384">
        <v>0.52807209999999905</v>
      </c>
      <c r="F4384" t="s">
        <v>44</v>
      </c>
      <c r="G4384">
        <v>-324.8655</v>
      </c>
      <c r="H4384">
        <v>0.91540220000000005</v>
      </c>
      <c r="I4384">
        <v>142.45439999999999</v>
      </c>
      <c r="J4384">
        <v>-324.53250000000003</v>
      </c>
      <c r="K4384">
        <v>1.1206879999999999</v>
      </c>
      <c r="L4384">
        <v>142.3794</v>
      </c>
      <c r="M4384">
        <v>-0.99990789999999996</v>
      </c>
      <c r="N4384">
        <v>-1.2670300000000001E-2</v>
      </c>
      <c r="O4384">
        <v>4.8888610000000004E-3</v>
      </c>
      <c r="P4384">
        <v>-0.98164969999999996</v>
      </c>
      <c r="Q4384">
        <v>0.1845107</v>
      </c>
      <c r="R4384">
        <v>4.8167130000000002E-2</v>
      </c>
      <c r="S4384">
        <v>-3.2124329999999999</v>
      </c>
      <c r="T4384">
        <v>-0.92698309999999995</v>
      </c>
      <c r="U4384">
        <v>0.34866329999999901</v>
      </c>
      <c r="V4384">
        <v>4.3621100000000003E-2</v>
      </c>
      <c r="W4384">
        <v>0.19688020000000001</v>
      </c>
      <c r="X4384">
        <v>0.97945669999999996</v>
      </c>
      <c r="Y4384">
        <v>9.9041519999999994E-2</v>
      </c>
      <c r="Z4384">
        <v>1.328971E-2</v>
      </c>
      <c r="AA4384">
        <v>0.99499459999999995</v>
      </c>
      <c r="AB4384">
        <v>35</v>
      </c>
      <c r="AC4384">
        <v>-0.33299999999996999</v>
      </c>
      <c r="AD4384">
        <v>-0.20528579999999999</v>
      </c>
      <c r="AE4384">
        <v>7.4999999999988604E-2</v>
      </c>
      <c r="AF4384">
        <v>5.3882189432015101E-2</v>
      </c>
      <c r="AG4384">
        <v>-0.20528579999999999</v>
      </c>
      <c r="AH4384">
        <v>0.244814943405429</v>
      </c>
      <c r="AI4384">
        <v>129.315216055778</v>
      </c>
      <c r="AJ4384">
        <v>77.587469125191404</v>
      </c>
      <c r="AK4384">
        <v>0.32400602854612298</v>
      </c>
      <c r="AL4384">
        <v>78.645419615309294</v>
      </c>
      <c r="AM4384">
        <v>87.449959278106206</v>
      </c>
      <c r="AN4384">
        <v>1.0000000203460699</v>
      </c>
    </row>
    <row r="4385" spans="1:40" x14ac:dyDescent="0.25">
      <c r="A4385" t="str">
        <f>"20190303162908325"</f>
        <v>20190303162908325</v>
      </c>
      <c r="B4385" t="str">
        <f>"1551601748315637"</f>
        <v>1551601748315637</v>
      </c>
      <c r="C4385" t="s">
        <v>40</v>
      </c>
      <c r="D4385">
        <v>4.7555310000000004</v>
      </c>
      <c r="E4385">
        <v>0.52855269999999899</v>
      </c>
      <c r="F4385" t="s">
        <v>44</v>
      </c>
      <c r="G4385">
        <v>-325.46600000000001</v>
      </c>
      <c r="H4385">
        <v>0.84898639999999903</v>
      </c>
      <c r="I4385">
        <v>142.4821</v>
      </c>
      <c r="J4385">
        <v>-324.85340000000002</v>
      </c>
      <c r="K4385">
        <v>1.120711</v>
      </c>
      <c r="L4385">
        <v>142.38149999999999</v>
      </c>
      <c r="M4385">
        <v>-0.99990559999999995</v>
      </c>
      <c r="N4385">
        <v>-1.26649E-2</v>
      </c>
      <c r="O4385">
        <v>5.3527289999999996E-3</v>
      </c>
      <c r="P4385">
        <v>-0.9815007</v>
      </c>
      <c r="Q4385">
        <v>0.18497959999999999</v>
      </c>
      <c r="R4385">
        <v>4.9388410000000001E-2</v>
      </c>
      <c r="S4385">
        <v>-3.2145999999999999</v>
      </c>
      <c r="T4385">
        <v>-0.93574210000000002</v>
      </c>
      <c r="U4385">
        <v>0.35375980000000001</v>
      </c>
      <c r="V4385">
        <v>4.4380360000000001E-2</v>
      </c>
      <c r="W4385">
        <v>0.1973434</v>
      </c>
      <c r="X4385">
        <v>0.97932929999999996</v>
      </c>
      <c r="Y4385">
        <v>9.9977720000000006E-2</v>
      </c>
      <c r="Z4385">
        <v>1.340773E-2</v>
      </c>
      <c r="AA4385">
        <v>0.99489930000000004</v>
      </c>
      <c r="AB4385">
        <v>35</v>
      </c>
      <c r="AC4385">
        <v>-0.61259999999998604</v>
      </c>
      <c r="AD4385">
        <v>-0.27172459999999998</v>
      </c>
      <c r="AE4385">
        <v>0.100600000000014</v>
      </c>
      <c r="AF4385">
        <v>8.1672503112448502E-2</v>
      </c>
      <c r="AG4385">
        <v>-0.27172459999999998</v>
      </c>
      <c r="AH4385">
        <v>0.51455246364097396</v>
      </c>
      <c r="AI4385">
        <v>117.544313537641</v>
      </c>
      <c r="AJ4385">
        <v>80.9809481392805</v>
      </c>
      <c r="AK4385">
        <v>0.58759585928494096</v>
      </c>
      <c r="AL4385">
        <v>78.618348371041193</v>
      </c>
      <c r="AM4385">
        <v>87.405296876793301</v>
      </c>
      <c r="AN4385">
        <v>0.99999995585788803</v>
      </c>
    </row>
    <row r="4386" spans="1:40" x14ac:dyDescent="0.25">
      <c r="A4386" t="str">
        <f>"20190303162908339"</f>
        <v>20190303162908339</v>
      </c>
      <c r="B4386" t="str">
        <f>"1551601748336133"</f>
        <v>1551601748336133</v>
      </c>
      <c r="C4386" t="s">
        <v>40</v>
      </c>
      <c r="D4386">
        <v>4.7564900000000003</v>
      </c>
      <c r="E4386">
        <v>0.52883880000000005</v>
      </c>
      <c r="F4386" t="s">
        <v>44</v>
      </c>
      <c r="G4386">
        <v>-325.77999999999997</v>
      </c>
      <c r="H4386">
        <v>0.84962299999999902</v>
      </c>
      <c r="I4386">
        <v>142.4854</v>
      </c>
      <c r="J4386">
        <v>-325.07049999999998</v>
      </c>
      <c r="K4386">
        <v>1.1207210000000001</v>
      </c>
      <c r="L4386">
        <v>142.38290000000001</v>
      </c>
      <c r="M4386">
        <v>-0.99990389999999996</v>
      </c>
      <c r="N4386">
        <v>-1.2659129999999999E-2</v>
      </c>
      <c r="O4386">
        <v>5.6559169999999999E-3</v>
      </c>
      <c r="P4386">
        <v>-0.98146999999999995</v>
      </c>
      <c r="Q4386">
        <v>0.18493180000000001</v>
      </c>
      <c r="R4386">
        <v>5.0172019999999998E-2</v>
      </c>
      <c r="S4386">
        <v>-3.2157589999999998</v>
      </c>
      <c r="T4386">
        <v>-0.94082180000000004</v>
      </c>
      <c r="U4386">
        <v>0.35989379999999999</v>
      </c>
      <c r="V4386">
        <v>4.4860799999999999E-2</v>
      </c>
      <c r="W4386">
        <v>0.1972902</v>
      </c>
      <c r="X4386">
        <v>0.97931820000000003</v>
      </c>
      <c r="Y4386">
        <v>0.1014221</v>
      </c>
      <c r="Z4386">
        <v>1.3600930000000001E-2</v>
      </c>
      <c r="AA4386">
        <v>0.99475049999999998</v>
      </c>
      <c r="AB4386">
        <v>35</v>
      </c>
      <c r="AC4386">
        <v>-0.70949999999999103</v>
      </c>
      <c r="AD4386">
        <v>-0.27109799999999901</v>
      </c>
      <c r="AE4386">
        <v>0.102499999999992</v>
      </c>
      <c r="AF4386">
        <v>8.6162733521106094E-2</v>
      </c>
      <c r="AG4386">
        <v>-0.27109799999999901</v>
      </c>
      <c r="AH4386">
        <v>0.62122489514563095</v>
      </c>
      <c r="AI4386">
        <v>113.376646775452</v>
      </c>
      <c r="AJ4386">
        <v>82.103560206028305</v>
      </c>
      <c r="AK4386">
        <v>0.68325581783145395</v>
      </c>
      <c r="AL4386">
        <v>78.621458439897197</v>
      </c>
      <c r="AM4386">
        <v>87.377217220801995</v>
      </c>
      <c r="AN4386">
        <v>1.0000000256219499</v>
      </c>
    </row>
    <row r="4387" spans="1:40" x14ac:dyDescent="0.25">
      <c r="A4387" t="str">
        <f>"20190303162908352"</f>
        <v>20190303162908352</v>
      </c>
      <c r="B4387" t="str">
        <f>"1551601748345893"</f>
        <v>1551601748345893</v>
      </c>
      <c r="C4387" t="s">
        <v>40</v>
      </c>
      <c r="D4387">
        <v>4.7906740000000001</v>
      </c>
      <c r="E4387">
        <v>0.52897320000000003</v>
      </c>
      <c r="F4387" t="s">
        <v>44</v>
      </c>
      <c r="G4387">
        <v>-325.80250000000001</v>
      </c>
      <c r="H4387">
        <v>0.90539000000000003</v>
      </c>
      <c r="I4387">
        <v>142.46610000000001</v>
      </c>
      <c r="J4387">
        <v>-325.28440000000001</v>
      </c>
      <c r="K4387">
        <v>1.1207309999999999</v>
      </c>
      <c r="L4387">
        <v>142.3845</v>
      </c>
      <c r="M4387">
        <v>-0.99990230000000002</v>
      </c>
      <c r="N4387">
        <v>-1.2653019999999999E-2</v>
      </c>
      <c r="O4387">
        <v>5.9462269999999897E-3</v>
      </c>
      <c r="P4387">
        <v>-0.98150809999999999</v>
      </c>
      <c r="Q4387">
        <v>0.18447540000000001</v>
      </c>
      <c r="R4387">
        <v>5.1099550000000001E-2</v>
      </c>
      <c r="S4387">
        <v>-3.216278</v>
      </c>
      <c r="T4387">
        <v>-0.9460636</v>
      </c>
      <c r="U4387">
        <v>0.36402889999999999</v>
      </c>
      <c r="V4387">
        <v>4.5496849999999998E-2</v>
      </c>
      <c r="W4387">
        <v>0.19682920000000001</v>
      </c>
      <c r="X4387">
        <v>0.97938159999999996</v>
      </c>
      <c r="Y4387">
        <v>0.10230839999999999</v>
      </c>
      <c r="Z4387">
        <v>1.371996E-2</v>
      </c>
      <c r="AA4387">
        <v>0.99465809999999999</v>
      </c>
      <c r="AB4387">
        <v>35</v>
      </c>
      <c r="AC4387">
        <v>-0.518100000000004</v>
      </c>
      <c r="AD4387">
        <v>-0.21534099999999901</v>
      </c>
      <c r="AE4387">
        <v>8.1600000000008693E-2</v>
      </c>
      <c r="AF4387">
        <v>6.7191058704517498E-2</v>
      </c>
      <c r="AG4387">
        <v>-0.21534099999999901</v>
      </c>
      <c r="AH4387">
        <v>0.44376916302546898</v>
      </c>
      <c r="AI4387">
        <v>115.631047130147</v>
      </c>
      <c r="AJ4387">
        <v>81.390245261016005</v>
      </c>
      <c r="AK4387">
        <v>0.49781267029190701</v>
      </c>
      <c r="AL4387">
        <v>78.648399875084095</v>
      </c>
      <c r="AM4387">
        <v>87.3402555890342</v>
      </c>
      <c r="AN4387">
        <v>1.00000000787556</v>
      </c>
    </row>
    <row r="4388" spans="1:40" x14ac:dyDescent="0.25">
      <c r="A4388" t="str">
        <f>"20190303162908369"</f>
        <v>20190303162908369</v>
      </c>
      <c r="B4388" t="str">
        <f>"1551601748366389"</f>
        <v>1551601748366389</v>
      </c>
      <c r="C4388" t="s">
        <v>40</v>
      </c>
      <c r="D4388">
        <v>4.7806670000000002</v>
      </c>
      <c r="E4388">
        <v>0.52897169999999905</v>
      </c>
      <c r="F4388" t="s">
        <v>44</v>
      </c>
      <c r="G4388">
        <v>-326.10520000000002</v>
      </c>
      <c r="H4388">
        <v>0.87834009999999996</v>
      </c>
      <c r="I4388">
        <v>142.47819999999999</v>
      </c>
      <c r="J4388">
        <v>-325.5453</v>
      </c>
      <c r="K4388">
        <v>1.120744</v>
      </c>
      <c r="L4388">
        <v>142.38640000000001</v>
      </c>
      <c r="M4388">
        <v>-0.99990029999999996</v>
      </c>
      <c r="N4388">
        <v>-1.2645379999999999E-2</v>
      </c>
      <c r="O4388">
        <v>6.2888939999999997E-3</v>
      </c>
      <c r="P4388">
        <v>-0.98152879999999998</v>
      </c>
      <c r="Q4388">
        <v>0.1838468</v>
      </c>
      <c r="R4388">
        <v>5.2930900000000003E-2</v>
      </c>
      <c r="S4388">
        <v>-3.2158509999999998</v>
      </c>
      <c r="T4388">
        <v>-0.94966479999999998</v>
      </c>
      <c r="U4388">
        <v>0.36737059999999999</v>
      </c>
      <c r="V4388">
        <v>4.6983440000000001E-2</v>
      </c>
      <c r="W4388">
        <v>0.19619329999999999</v>
      </c>
      <c r="X4388">
        <v>0.97943899999999995</v>
      </c>
      <c r="Y4388">
        <v>0.102956199999999</v>
      </c>
      <c r="Z4388">
        <v>1.377104E-2</v>
      </c>
      <c r="AA4388">
        <v>0.99459059999999999</v>
      </c>
      <c r="AB4388">
        <v>35</v>
      </c>
      <c r="AC4388">
        <v>-0.55990000000002704</v>
      </c>
      <c r="AD4388">
        <v>-0.24240389999999901</v>
      </c>
      <c r="AE4388">
        <v>9.1799999999977899E-2</v>
      </c>
      <c r="AF4388">
        <v>7.4650659548884904E-2</v>
      </c>
      <c r="AG4388">
        <v>-0.24240389999999901</v>
      </c>
      <c r="AH4388">
        <v>0.47395466937699698</v>
      </c>
      <c r="AI4388">
        <v>116.80387073333399</v>
      </c>
      <c r="AJ4388">
        <v>81.049111152567704</v>
      </c>
      <c r="AK4388">
        <v>0.53755502074722805</v>
      </c>
      <c r="AL4388">
        <v>78.685558765578307</v>
      </c>
      <c r="AM4388">
        <v>87.253641267394499</v>
      </c>
      <c r="AN4388">
        <v>1.0000000046600599</v>
      </c>
    </row>
    <row r="4389" spans="1:40" x14ac:dyDescent="0.25">
      <c r="A4389" t="str">
        <f>"20190303162908384"</f>
        <v>20190303162908384</v>
      </c>
      <c r="B4389" t="str">
        <f>"1551601748376149"</f>
        <v>1551601748376149</v>
      </c>
      <c r="C4389" t="s">
        <v>40</v>
      </c>
      <c r="D4389">
        <v>4.7871709999999998</v>
      </c>
      <c r="E4389">
        <v>0.52892359999999905</v>
      </c>
      <c r="F4389" t="s">
        <v>44</v>
      </c>
      <c r="G4389">
        <v>-326.41239999999999</v>
      </c>
      <c r="H4389">
        <v>0.86210249999999999</v>
      </c>
      <c r="I4389">
        <v>142.48759999999999</v>
      </c>
      <c r="J4389">
        <v>-325.7946</v>
      </c>
      <c r="K4389">
        <v>1.1207609999999999</v>
      </c>
      <c r="L4389">
        <v>142.38820000000001</v>
      </c>
      <c r="M4389">
        <v>-0.99989839999999997</v>
      </c>
      <c r="N4389">
        <v>-1.263794E-2</v>
      </c>
      <c r="O4389">
        <v>6.6036119999999896E-3</v>
      </c>
      <c r="P4389">
        <v>-0.98147930000000005</v>
      </c>
      <c r="Q4389">
        <v>0.18385889999999999</v>
      </c>
      <c r="R4389">
        <v>5.3799689999999997E-2</v>
      </c>
      <c r="S4389">
        <v>-3.215881</v>
      </c>
      <c r="T4389">
        <v>-0.95925320000000003</v>
      </c>
      <c r="U4389">
        <v>0.37460329999999997</v>
      </c>
      <c r="V4389">
        <v>4.7536559999999999E-2</v>
      </c>
      <c r="W4389">
        <v>0.1961994</v>
      </c>
      <c r="X4389">
        <v>0.97941109999999998</v>
      </c>
      <c r="Y4389">
        <v>0.1047019</v>
      </c>
      <c r="Z4389">
        <v>1.4072940000000001E-2</v>
      </c>
      <c r="AA4389">
        <v>0.99440410000000001</v>
      </c>
      <c r="AB4389">
        <v>35</v>
      </c>
      <c r="AC4389">
        <v>-0.61779999999998803</v>
      </c>
      <c r="AD4389">
        <v>-0.25865850000000001</v>
      </c>
      <c r="AE4389">
        <v>9.9399999999974398E-2</v>
      </c>
      <c r="AF4389">
        <v>8.1407873005711298E-2</v>
      </c>
      <c r="AG4389">
        <v>-0.25865850000000001</v>
      </c>
      <c r="AH4389">
        <v>0.52819232052143605</v>
      </c>
      <c r="AI4389">
        <v>115.826535481882</v>
      </c>
      <c r="AJ4389">
        <v>81.238206547272995</v>
      </c>
      <c r="AK4389">
        <v>0.59373275879589504</v>
      </c>
      <c r="AL4389">
        <v>78.685202463375504</v>
      </c>
      <c r="AM4389">
        <v>87.221280670376999</v>
      </c>
      <c r="AN4389">
        <v>1.0000000159500999</v>
      </c>
    </row>
    <row r="4390" spans="1:40" x14ac:dyDescent="0.25">
      <c r="A4390" t="str">
        <f>"20190303162908397"</f>
        <v>20190303162908397</v>
      </c>
      <c r="B4390" t="str">
        <f>"1551601748385909"</f>
        <v>1551601748385909</v>
      </c>
      <c r="C4390" t="s">
        <v>40</v>
      </c>
      <c r="D4390">
        <v>4.7974930000000002</v>
      </c>
      <c r="E4390">
        <v>0.5288718</v>
      </c>
      <c r="F4390" t="s">
        <v>44</v>
      </c>
      <c r="G4390">
        <v>-326.71859999999998</v>
      </c>
      <c r="H4390">
        <v>0.84363750000000004</v>
      </c>
      <c r="I4390">
        <v>142.49690000000001</v>
      </c>
      <c r="J4390">
        <v>-325.99950000000001</v>
      </c>
      <c r="K4390">
        <v>1.120773</v>
      </c>
      <c r="L4390">
        <v>142.38980000000001</v>
      </c>
      <c r="M4390">
        <v>-0.99989689999999998</v>
      </c>
      <c r="N4390">
        <v>-1.262985E-2</v>
      </c>
      <c r="O4390">
        <v>6.8518609999999999E-3</v>
      </c>
      <c r="P4390">
        <v>-0.98141350000000005</v>
      </c>
      <c r="Q4390">
        <v>0.1841004</v>
      </c>
      <c r="R4390">
        <v>5.4174800000000002E-2</v>
      </c>
      <c r="S4390">
        <v>-3.216675</v>
      </c>
      <c r="T4390">
        <v>-0.96472420000000003</v>
      </c>
      <c r="U4390">
        <v>0.37748720000000002</v>
      </c>
      <c r="V4390">
        <v>4.7663209999999998E-2</v>
      </c>
      <c r="W4390">
        <v>0.1964332</v>
      </c>
      <c r="X4390">
        <v>0.97935810000000001</v>
      </c>
      <c r="Y4390">
        <v>0.1052459</v>
      </c>
      <c r="Z4390">
        <v>1.415514E-2</v>
      </c>
      <c r="AA4390">
        <v>0.99434549999999999</v>
      </c>
      <c r="AB4390">
        <v>35</v>
      </c>
      <c r="AC4390">
        <v>-0.71909999999996899</v>
      </c>
      <c r="AD4390">
        <v>-0.27713549999999998</v>
      </c>
      <c r="AE4390">
        <v>0.107100000000002</v>
      </c>
      <c r="AF4390">
        <v>8.9207687501866806E-2</v>
      </c>
      <c r="AG4390">
        <v>-0.27713549999999998</v>
      </c>
      <c r="AH4390">
        <v>0.62849428597513901</v>
      </c>
      <c r="AI4390">
        <v>113.584910968912</v>
      </c>
      <c r="AJ4390">
        <v>81.921472418161301</v>
      </c>
      <c r="AK4390">
        <v>0.69265226800544</v>
      </c>
      <c r="AL4390">
        <v>78.671541092415396</v>
      </c>
      <c r="AM4390">
        <v>87.213738536049703</v>
      </c>
      <c r="AN4390">
        <v>1.0000000358426699</v>
      </c>
    </row>
    <row r="4391" spans="1:40" x14ac:dyDescent="0.25">
      <c r="A4391" t="str">
        <f>"20190303162908414"</f>
        <v>20190303162908414</v>
      </c>
      <c r="B4391" t="str">
        <f>"1551601748406405"</f>
        <v>1551601748406405</v>
      </c>
      <c r="C4391" t="s">
        <v>40</v>
      </c>
      <c r="D4391">
        <v>4.76722</v>
      </c>
      <c r="E4391">
        <v>0.52872469999999905</v>
      </c>
      <c r="F4391" t="s">
        <v>44</v>
      </c>
      <c r="G4391">
        <v>-326.74029999999999</v>
      </c>
      <c r="H4391">
        <v>0.89770229999999995</v>
      </c>
      <c r="I4391">
        <v>142.47720000000001</v>
      </c>
      <c r="J4391">
        <v>-326.25569999999999</v>
      </c>
      <c r="K4391">
        <v>1.1207860000000001</v>
      </c>
      <c r="L4391">
        <v>142.39189999999999</v>
      </c>
      <c r="M4391">
        <v>-0.99989490000000003</v>
      </c>
      <c r="N4391">
        <v>-1.2618020000000001E-2</v>
      </c>
      <c r="O4391">
        <v>7.1544649999999996E-3</v>
      </c>
      <c r="P4391">
        <v>-0.98122969999999998</v>
      </c>
      <c r="Q4391">
        <v>0.1846933</v>
      </c>
      <c r="R4391">
        <v>5.5471090000000001E-2</v>
      </c>
      <c r="S4391">
        <v>-3.2177120000000001</v>
      </c>
      <c r="T4391">
        <v>-0.96900129999999995</v>
      </c>
      <c r="U4391">
        <v>0.37857059999999998</v>
      </c>
      <c r="V4391">
        <v>4.8658069999999998E-2</v>
      </c>
      <c r="W4391">
        <v>0.19701289999999999</v>
      </c>
      <c r="X4391">
        <v>0.97919270000000003</v>
      </c>
      <c r="Y4391">
        <v>0.1052167</v>
      </c>
      <c r="Z4391">
        <v>1.411743E-2</v>
      </c>
      <c r="AA4391">
        <v>0.99434909999999999</v>
      </c>
      <c r="AB4391">
        <v>35</v>
      </c>
      <c r="AC4391">
        <v>-0.48459999999999998</v>
      </c>
      <c r="AD4391">
        <v>-0.2230837</v>
      </c>
      <c r="AE4391">
        <v>8.5300000000017903E-2</v>
      </c>
      <c r="AF4391">
        <v>6.7878145831178904E-2</v>
      </c>
      <c r="AG4391">
        <v>-0.2230837</v>
      </c>
      <c r="AH4391">
        <v>0.40247023226442602</v>
      </c>
      <c r="AI4391">
        <v>118.659578068705</v>
      </c>
      <c r="AJ4391">
        <v>80.426934776698204</v>
      </c>
      <c r="AK4391">
        <v>0.46514091170972</v>
      </c>
      <c r="AL4391">
        <v>78.637664540166597</v>
      </c>
      <c r="AM4391">
        <v>87.155196597988706</v>
      </c>
      <c r="AN4391">
        <v>1.00000001713791</v>
      </c>
    </row>
    <row r="4392" spans="1:40" x14ac:dyDescent="0.25">
      <c r="A4392" t="str">
        <f>"20190303162908428"</f>
        <v>20190303162908428</v>
      </c>
      <c r="B4392" t="str">
        <f>"1551601748416165"</f>
        <v>1551601748416165</v>
      </c>
      <c r="C4392" t="s">
        <v>40</v>
      </c>
      <c r="D4392">
        <v>4.7921389999999997</v>
      </c>
      <c r="E4392">
        <v>0.52867249999999999</v>
      </c>
      <c r="F4392" t="s">
        <v>44</v>
      </c>
      <c r="G4392">
        <v>-327.04730000000001</v>
      </c>
      <c r="H4392">
        <v>0.88116439999999996</v>
      </c>
      <c r="I4392">
        <v>142.4862</v>
      </c>
      <c r="J4392">
        <v>-326.47280000000001</v>
      </c>
      <c r="K4392">
        <v>1.1207959999999999</v>
      </c>
      <c r="L4392">
        <v>142.3937</v>
      </c>
      <c r="M4392">
        <v>-0.99989320000000004</v>
      </c>
      <c r="N4392">
        <v>-1.2607180000000001E-2</v>
      </c>
      <c r="O4392">
        <v>7.4053130000000002E-3</v>
      </c>
      <c r="P4392">
        <v>-0.98117840000000001</v>
      </c>
      <c r="Q4392">
        <v>0.1849983</v>
      </c>
      <c r="R4392">
        <v>5.5360060000000003E-2</v>
      </c>
      <c r="S4392">
        <v>-3.2191770000000002</v>
      </c>
      <c r="T4392">
        <v>-0.97445360000000003</v>
      </c>
      <c r="U4392">
        <v>0.38246150000000001</v>
      </c>
      <c r="V4392">
        <v>4.8296489999999997E-2</v>
      </c>
      <c r="W4392">
        <v>0.19730839999999999</v>
      </c>
      <c r="X4392">
        <v>0.97915110000000005</v>
      </c>
      <c r="Y4392">
        <v>0.106029</v>
      </c>
      <c r="Z4392">
        <v>1.423635E-2</v>
      </c>
      <c r="AA4392">
        <v>0.99426110000000001</v>
      </c>
      <c r="AB4392">
        <v>35</v>
      </c>
      <c r="AC4392">
        <v>-0.57450000000000001</v>
      </c>
      <c r="AD4392">
        <v>-0.239631599999999</v>
      </c>
      <c r="AE4392">
        <v>9.2500000000001095E-2</v>
      </c>
      <c r="AF4392">
        <v>7.5447797898093694E-2</v>
      </c>
      <c r="AG4392">
        <v>-0.239631599999999</v>
      </c>
      <c r="AH4392">
        <v>0.49177122177511801</v>
      </c>
      <c r="AI4392">
        <v>115.71766041258</v>
      </c>
      <c r="AJ4392">
        <v>81.2776622696327</v>
      </c>
      <c r="AK4392">
        <v>0.55222695379021802</v>
      </c>
      <c r="AL4392">
        <v>78.620394638771003</v>
      </c>
      <c r="AM4392">
        <v>87.176182328541302</v>
      </c>
      <c r="AN4392">
        <v>1.0000000161440401</v>
      </c>
    </row>
    <row r="4393" spans="1:40" x14ac:dyDescent="0.25">
      <c r="A4393" t="str">
        <f>"20190303162908447"</f>
        <v>20190303162908447</v>
      </c>
      <c r="B4393" t="str">
        <f>"1551601748435686"</f>
        <v>1551601748435686</v>
      </c>
      <c r="C4393" t="s">
        <v>40</v>
      </c>
      <c r="D4393">
        <v>4.8246900000000004</v>
      </c>
      <c r="E4393">
        <v>0.52855319999999995</v>
      </c>
      <c r="F4393" t="s">
        <v>44</v>
      </c>
      <c r="G4393">
        <v>-327.35019999999997</v>
      </c>
      <c r="H4393">
        <v>0.85458519999999905</v>
      </c>
      <c r="I4393">
        <v>142.49789999999999</v>
      </c>
      <c r="J4393">
        <v>-326.77069999999998</v>
      </c>
      <c r="K4393">
        <v>1.1208020000000001</v>
      </c>
      <c r="L4393">
        <v>142.3963</v>
      </c>
      <c r="M4393">
        <v>-0.99989090000000003</v>
      </c>
      <c r="N4393">
        <v>-1.259213E-2</v>
      </c>
      <c r="O4393">
        <v>7.7427700000000004E-3</v>
      </c>
      <c r="P4393">
        <v>-0.98112619999999895</v>
      </c>
      <c r="Q4393">
        <v>0.18551390000000001</v>
      </c>
      <c r="R4393">
        <v>5.4554810000000002E-2</v>
      </c>
      <c r="S4393">
        <v>-3.2201840000000002</v>
      </c>
      <c r="T4393">
        <v>-0.97702109999999998</v>
      </c>
      <c r="U4393">
        <v>0.3823395</v>
      </c>
      <c r="V4393">
        <v>4.7155710000000003E-2</v>
      </c>
      <c r="W4393">
        <v>0.1978113</v>
      </c>
      <c r="X4393">
        <v>0.97910520000000001</v>
      </c>
      <c r="Y4393">
        <v>0.10563210000000001</v>
      </c>
      <c r="Z4393">
        <v>1.4108539999999999E-2</v>
      </c>
      <c r="AA4393">
        <v>0.9943052</v>
      </c>
      <c r="AB4393">
        <v>35</v>
      </c>
      <c r="AC4393">
        <v>-0.57949999999999502</v>
      </c>
      <c r="AD4393">
        <v>-0.26621679999999998</v>
      </c>
      <c r="AE4393">
        <v>0.10159999999999</v>
      </c>
      <c r="AF4393">
        <v>8.0605917775883995E-2</v>
      </c>
      <c r="AG4393">
        <v>-0.26621679999999998</v>
      </c>
      <c r="AH4393">
        <v>0.48165282466612702</v>
      </c>
      <c r="AI4393">
        <v>118.596306170427</v>
      </c>
      <c r="AJ4393">
        <v>80.499435604197899</v>
      </c>
      <c r="AK4393">
        <v>0.55619973219302399</v>
      </c>
      <c r="AL4393">
        <v>78.591000878011798</v>
      </c>
      <c r="AM4393">
        <v>87.242648663849295</v>
      </c>
      <c r="AN4393">
        <v>0.99999998203016605</v>
      </c>
    </row>
    <row r="4394" spans="1:40" x14ac:dyDescent="0.25">
      <c r="A4394" t="str">
        <f>"20190303162908470"</f>
        <v>20190303162908470</v>
      </c>
      <c r="B4394" t="str">
        <f>"1551601748465941"</f>
        <v>1551601748465941</v>
      </c>
      <c r="C4394" t="s">
        <v>40</v>
      </c>
      <c r="D4394">
        <v>4.7719069999999997</v>
      </c>
      <c r="E4394">
        <v>0.5284124</v>
      </c>
      <c r="F4394" t="s">
        <v>44</v>
      </c>
      <c r="G4394">
        <v>-327.66140000000001</v>
      </c>
      <c r="H4394">
        <v>0.84895779999999998</v>
      </c>
      <c r="I4394">
        <v>142.50190000000001</v>
      </c>
      <c r="J4394">
        <v>-327.13099999999997</v>
      </c>
      <c r="K4394">
        <v>1.120806</v>
      </c>
      <c r="L4394">
        <v>142.39949999999999</v>
      </c>
      <c r="M4394">
        <v>-0.99988779999999999</v>
      </c>
      <c r="N4394">
        <v>-1.2574989999999999E-2</v>
      </c>
      <c r="O4394">
        <v>8.1440379999999993E-3</v>
      </c>
      <c r="P4394">
        <v>-0.98114900000000005</v>
      </c>
      <c r="Q4394">
        <v>0.18558540000000001</v>
      </c>
      <c r="R4394">
        <v>5.3894249999999998E-2</v>
      </c>
      <c r="S4394">
        <v>-3.2224729999999999</v>
      </c>
      <c r="T4394">
        <v>-0.98339310000000002</v>
      </c>
      <c r="U4394">
        <v>0.3809052</v>
      </c>
      <c r="V4394">
        <v>4.6096440000000002E-2</v>
      </c>
      <c r="W4394">
        <v>0.19786889999999999</v>
      </c>
      <c r="X4394">
        <v>0.97914400000000001</v>
      </c>
      <c r="Y4394">
        <v>0.1047223</v>
      </c>
      <c r="Z4394">
        <v>1.3926529999999999E-2</v>
      </c>
      <c r="AA4394">
        <v>0.99440399999999995</v>
      </c>
      <c r="AB4394">
        <v>35</v>
      </c>
      <c r="AC4394">
        <v>-0.53040000000004195</v>
      </c>
      <c r="AD4394">
        <v>-0.27184819999999899</v>
      </c>
      <c r="AE4394">
        <v>0.10240000000001701</v>
      </c>
      <c r="AF4394">
        <v>7.8257736601708497E-2</v>
      </c>
      <c r="AG4394">
        <v>-0.27184819999999899</v>
      </c>
      <c r="AH4394">
        <v>0.42387039939263998</v>
      </c>
      <c r="AI4394">
        <v>122.23915443451</v>
      </c>
      <c r="AJ4394">
        <v>79.539471334026302</v>
      </c>
      <c r="AK4394">
        <v>0.50959967882891999</v>
      </c>
      <c r="AL4394">
        <v>78.587634048220906</v>
      </c>
      <c r="AM4394">
        <v>87.304601963995793</v>
      </c>
      <c r="AN4394">
        <v>0.99999997805194096</v>
      </c>
    </row>
    <row r="4395" spans="1:40" x14ac:dyDescent="0.25">
      <c r="A4395" t="str">
        <f>"20190303162908493"</f>
        <v>20190303162908493</v>
      </c>
      <c r="B4395" t="str">
        <f>"1551601748486437"</f>
        <v>1551601748486437</v>
      </c>
      <c r="C4395" t="s">
        <v>40</v>
      </c>
      <c r="D4395">
        <v>4.7845579999999996</v>
      </c>
      <c r="E4395">
        <v>0.52832080000000003</v>
      </c>
      <c r="F4395" t="s">
        <v>44</v>
      </c>
      <c r="G4395">
        <v>-327.97930000000002</v>
      </c>
      <c r="H4395">
        <v>0.85997179999999995</v>
      </c>
      <c r="I4395">
        <v>142.49930000000001</v>
      </c>
      <c r="J4395">
        <v>-327.49329999999998</v>
      </c>
      <c r="K4395">
        <v>1.1208129999999901</v>
      </c>
      <c r="L4395">
        <v>142.40289999999999</v>
      </c>
      <c r="M4395">
        <v>-0.99988480000000002</v>
      </c>
      <c r="N4395">
        <v>-1.255909E-2</v>
      </c>
      <c r="O4395">
        <v>8.5426019999999998E-3</v>
      </c>
      <c r="P4395">
        <v>-0.98114369999999995</v>
      </c>
      <c r="Q4395">
        <v>0.1857125</v>
      </c>
      <c r="R4395">
        <v>5.3555440000000003E-2</v>
      </c>
      <c r="S4395">
        <v>-3.2243650000000001</v>
      </c>
      <c r="T4395">
        <v>-0.99134120000000003</v>
      </c>
      <c r="U4395">
        <v>0.37840269999999998</v>
      </c>
      <c r="V4395">
        <v>4.5363489999999999E-2</v>
      </c>
      <c r="W4395">
        <v>0.1979815</v>
      </c>
      <c r="X4395">
        <v>0.97915549999999996</v>
      </c>
      <c r="Y4395">
        <v>0.1035055</v>
      </c>
      <c r="Z4395">
        <v>1.3715969999999999E-2</v>
      </c>
      <c r="AA4395">
        <v>0.99453429999999998</v>
      </c>
      <c r="AB4395">
        <v>35</v>
      </c>
      <c r="AC4395">
        <v>-0.48600000000004601</v>
      </c>
      <c r="AD4395">
        <v>-0.260841199999999</v>
      </c>
      <c r="AE4395">
        <v>9.6400000000016903E-2</v>
      </c>
      <c r="AF4395">
        <v>7.2226594895042601E-2</v>
      </c>
      <c r="AG4395">
        <v>-0.260841199999999</v>
      </c>
      <c r="AH4395">
        <v>0.38116469498005801</v>
      </c>
      <c r="AI4395">
        <v>123.915396336588</v>
      </c>
      <c r="AJ4395">
        <v>79.270282266515196</v>
      </c>
      <c r="AK4395">
        <v>0.46748405034483598</v>
      </c>
      <c r="AL4395">
        <v>78.581052671701599</v>
      </c>
      <c r="AM4395">
        <v>87.347429166015701</v>
      </c>
      <c r="AN4395">
        <v>1.00000000687374</v>
      </c>
    </row>
    <row r="4396" spans="1:40" x14ac:dyDescent="0.25">
      <c r="A4396" t="str">
        <f>"20190303162908514"</f>
        <v>20190303162908514</v>
      </c>
      <c r="B4396" t="str">
        <f>"1551601748505957"</f>
        <v>1551601748505957</v>
      </c>
      <c r="C4396" t="s">
        <v>40</v>
      </c>
      <c r="D4396">
        <v>4.7904849999999897</v>
      </c>
      <c r="E4396">
        <v>0.52832709999999905</v>
      </c>
      <c r="F4396" t="s">
        <v>44</v>
      </c>
      <c r="G4396">
        <v>-328.29770000000002</v>
      </c>
      <c r="H4396">
        <v>0.87230609999999997</v>
      </c>
      <c r="I4396">
        <v>142.49760000000001</v>
      </c>
      <c r="J4396">
        <v>-327.82369999999997</v>
      </c>
      <c r="K4396">
        <v>1.1208180000000001</v>
      </c>
      <c r="L4396">
        <v>142.40620000000001</v>
      </c>
      <c r="M4396">
        <v>-0.99988189999999999</v>
      </c>
      <c r="N4396">
        <v>-1.2543489999999999E-2</v>
      </c>
      <c r="O4396">
        <v>8.9039410000000003E-3</v>
      </c>
      <c r="P4396">
        <v>-0.98096729999999999</v>
      </c>
      <c r="Q4396">
        <v>0.1865851</v>
      </c>
      <c r="R4396">
        <v>5.3752630000000003E-2</v>
      </c>
      <c r="S4396">
        <v>-3.2255859999999998</v>
      </c>
      <c r="T4396">
        <v>-0.9962858</v>
      </c>
      <c r="U4396">
        <v>0.3781738</v>
      </c>
      <c r="V4396">
        <v>4.5206200000000002E-2</v>
      </c>
      <c r="W4396">
        <v>0.19883770000000001</v>
      </c>
      <c r="X4396">
        <v>0.9789892</v>
      </c>
      <c r="Y4396">
        <v>0.1030312</v>
      </c>
      <c r="Z4396">
        <v>1.359352E-2</v>
      </c>
      <c r="AA4396">
        <v>0.99458519999999995</v>
      </c>
      <c r="AB4396">
        <v>35</v>
      </c>
      <c r="AC4396">
        <v>-0.474000000000046</v>
      </c>
      <c r="AD4396">
        <v>-0.24851190000000001</v>
      </c>
      <c r="AE4396">
        <v>9.1399999999993001E-2</v>
      </c>
      <c r="AF4396">
        <v>6.8912278190396206E-2</v>
      </c>
      <c r="AG4396">
        <v>-0.24851190000000001</v>
      </c>
      <c r="AH4396">
        <v>0.37532543535469098</v>
      </c>
      <c r="AI4396">
        <v>123.073691666174</v>
      </c>
      <c r="AJ4396">
        <v>79.595987481749503</v>
      </c>
      <c r="AK4396">
        <v>0.45538582427562402</v>
      </c>
      <c r="AL4396">
        <v>78.531000208022206</v>
      </c>
      <c r="AM4396">
        <v>87.356165032586404</v>
      </c>
      <c r="AN4396">
        <v>0.99999994258818303</v>
      </c>
    </row>
    <row r="4397" spans="1:40" x14ac:dyDescent="0.25">
      <c r="A4397" t="str">
        <f>"20190303162908536"</f>
        <v>20190303162908536</v>
      </c>
      <c r="B4397" t="str">
        <f>"1551601748526453"</f>
        <v>1551601748526453</v>
      </c>
      <c r="C4397" t="s">
        <v>40</v>
      </c>
      <c r="D4397">
        <v>4.8449169999999997</v>
      </c>
      <c r="E4397">
        <v>0.52832489999999999</v>
      </c>
      <c r="F4397" t="s">
        <v>44</v>
      </c>
      <c r="G4397">
        <v>-328.61309999999997</v>
      </c>
      <c r="H4397">
        <v>0.87695789999999996</v>
      </c>
      <c r="I4397">
        <v>142.49930000000001</v>
      </c>
      <c r="J4397">
        <v>-328.16359999999997</v>
      </c>
      <c r="K4397">
        <v>1.120822</v>
      </c>
      <c r="L4397">
        <v>142.40960000000001</v>
      </c>
      <c r="M4397">
        <v>-0.99987859999999995</v>
      </c>
      <c r="N4397">
        <v>-1.252441E-2</v>
      </c>
      <c r="O4397">
        <v>9.2755549999999996E-3</v>
      </c>
      <c r="P4397">
        <v>-0.98081370000000001</v>
      </c>
      <c r="Q4397">
        <v>0.18719549999999999</v>
      </c>
      <c r="R4397">
        <v>5.4430560000000003E-2</v>
      </c>
      <c r="S4397">
        <v>-3.2269899999999998</v>
      </c>
      <c r="T4397">
        <v>-0.99686830000000004</v>
      </c>
      <c r="U4397">
        <v>0.37928770000000001</v>
      </c>
      <c r="V4397">
        <v>4.5519499999999997E-2</v>
      </c>
      <c r="W4397">
        <v>0.1994274</v>
      </c>
      <c r="X4397">
        <v>0.97885480000000002</v>
      </c>
      <c r="Y4397">
        <v>0.1029683</v>
      </c>
      <c r="Z4397">
        <v>1.347688E-2</v>
      </c>
      <c r="AA4397">
        <v>0.99459330000000001</v>
      </c>
      <c r="AB4397">
        <v>35</v>
      </c>
      <c r="AC4397">
        <v>-0.44950000000000001</v>
      </c>
      <c r="AD4397">
        <v>-0.2438641</v>
      </c>
      <c r="AE4397">
        <v>8.9699999999993396E-2</v>
      </c>
      <c r="AF4397">
        <v>6.6658227975687101E-2</v>
      </c>
      <c r="AG4397">
        <v>-0.2438641</v>
      </c>
      <c r="AH4397">
        <v>0.35096801995883897</v>
      </c>
      <c r="AI4397">
        <v>124.318614473965</v>
      </c>
      <c r="AJ4397">
        <v>79.246081668176402</v>
      </c>
      <c r="AK4397">
        <v>0.432540830049022</v>
      </c>
      <c r="AL4397">
        <v>78.496523239205203</v>
      </c>
      <c r="AM4397">
        <v>87.337503301234193</v>
      </c>
      <c r="AN4397">
        <v>1.0000000161170199</v>
      </c>
    </row>
    <row r="4398" spans="1:40" x14ac:dyDescent="0.25">
      <c r="A4398" t="str">
        <f>"20190303162908695"</f>
        <v>20190303162908695</v>
      </c>
      <c r="B4398" t="str">
        <f>"1551601748686550"</f>
        <v>1551601748686550</v>
      </c>
      <c r="C4398" t="s">
        <v>40</v>
      </c>
      <c r="D4398">
        <v>8.5745399999999901</v>
      </c>
      <c r="E4398">
        <v>0.4943958</v>
      </c>
      <c r="F4398" t="s">
        <v>44</v>
      </c>
      <c r="G4398">
        <v>-331.11959999999999</v>
      </c>
      <c r="H4398">
        <v>0.87466359999999999</v>
      </c>
      <c r="I4398">
        <v>142.53120000000001</v>
      </c>
      <c r="J4398">
        <v>-330.65100000000001</v>
      </c>
      <c r="K4398">
        <v>1.1208959999999999</v>
      </c>
      <c r="L4398">
        <v>142.43819999999999</v>
      </c>
      <c r="M4398">
        <v>-0.99985460000000004</v>
      </c>
      <c r="N4398">
        <v>-1.2313650000000001E-2</v>
      </c>
      <c r="O4398">
        <v>1.180428E-2</v>
      </c>
      <c r="P4398">
        <v>-0.97869189999999995</v>
      </c>
      <c r="Q4398">
        <v>0.19699330000000001</v>
      </c>
      <c r="R4398">
        <v>5.7930389999999998E-2</v>
      </c>
      <c r="S4398">
        <v>-3.235535</v>
      </c>
      <c r="T4398">
        <v>-0.96303930000000004</v>
      </c>
      <c r="U4398">
        <v>0.3802643</v>
      </c>
      <c r="V4398">
        <v>4.6538789999999997E-2</v>
      </c>
      <c r="W4398">
        <v>0.20900070000000001</v>
      </c>
      <c r="X4398">
        <v>0.97680750000000005</v>
      </c>
      <c r="Y4398">
        <v>0.1009501</v>
      </c>
      <c r="Z4398">
        <v>1.2009540000000001E-2</v>
      </c>
      <c r="AA4398">
        <v>0.99481900000000001</v>
      </c>
      <c r="AB4398">
        <v>35</v>
      </c>
      <c r="AC4398">
        <v>-0.46859999999997998</v>
      </c>
      <c r="AD4398">
        <v>-0.24623239999999899</v>
      </c>
      <c r="AE4398">
        <v>9.3000000000017694E-2</v>
      </c>
      <c r="AF4398">
        <v>6.9104161697914196E-2</v>
      </c>
      <c r="AG4398">
        <v>-0.24623239999999899</v>
      </c>
      <c r="AH4398">
        <v>0.37108646857225502</v>
      </c>
      <c r="AI4398">
        <v>123.11761903441</v>
      </c>
      <c r="AJ4398">
        <v>79.451143382943997</v>
      </c>
      <c r="AK4398">
        <v>0.45067831890513499</v>
      </c>
      <c r="AL4398">
        <v>77.936203118864796</v>
      </c>
      <c r="AM4398">
        <v>87.272275833493694</v>
      </c>
      <c r="AN4398">
        <v>1.0000000218156999</v>
      </c>
    </row>
    <row r="4399" spans="1:40" x14ac:dyDescent="0.25">
      <c r="A4399" t="str">
        <f>"20190303162908714"</f>
        <v>20190303162908714</v>
      </c>
      <c r="B4399" t="str">
        <f>"1551601748706071"</f>
        <v>1551601748706071</v>
      </c>
      <c r="C4399" t="s">
        <v>40</v>
      </c>
      <c r="D4399">
        <v>4.8014390000000002</v>
      </c>
      <c r="E4399">
        <v>0.49288409999999999</v>
      </c>
      <c r="F4399" t="s">
        <v>44</v>
      </c>
      <c r="G4399">
        <v>-331.51909999999998</v>
      </c>
      <c r="H4399">
        <v>1.047242</v>
      </c>
      <c r="I4399">
        <v>142.47299999999899</v>
      </c>
      <c r="J4399">
        <v>-330.96319999999997</v>
      </c>
      <c r="K4399">
        <v>1.120906</v>
      </c>
      <c r="L4399">
        <v>142.44220000000001</v>
      </c>
      <c r="M4399">
        <v>-0.99985190000000002</v>
      </c>
      <c r="N4399">
        <v>-1.228253E-2</v>
      </c>
      <c r="O4399">
        <v>1.2069379999999999E-2</v>
      </c>
      <c r="P4399">
        <v>-0.97861240000000005</v>
      </c>
      <c r="Q4399">
        <v>0.19737869999999999</v>
      </c>
      <c r="R4399">
        <v>5.7962189999999997E-2</v>
      </c>
      <c r="S4399">
        <v>-3.1111759999999999</v>
      </c>
      <c r="T4399">
        <v>-0.264051599999999</v>
      </c>
      <c r="U4399">
        <v>0.1229095</v>
      </c>
      <c r="V4399">
        <v>4.6305350000000002E-2</v>
      </c>
      <c r="W4399">
        <v>0.20935609999999999</v>
      </c>
      <c r="X4399">
        <v>0.97674240000000001</v>
      </c>
      <c r="Y4399">
        <v>2.7330589999999998E-2</v>
      </c>
      <c r="Z4399">
        <v>4.514675E-4</v>
      </c>
      <c r="AA4399">
        <v>0.99962629999999997</v>
      </c>
      <c r="AB4399">
        <v>35</v>
      </c>
      <c r="AC4399">
        <v>-0.55590000000000805</v>
      </c>
      <c r="AD4399">
        <v>-7.3663999999999896E-2</v>
      </c>
      <c r="AE4399">
        <v>3.0799999999970799E-2</v>
      </c>
      <c r="AF4399">
        <v>2.3673456220865498E-2</v>
      </c>
      <c r="AG4399">
        <v>-7.3663999999999896E-2</v>
      </c>
      <c r="AH4399">
        <v>0.54666143153309399</v>
      </c>
      <c r="AI4399">
        <v>97.667420344045397</v>
      </c>
      <c r="AJ4399">
        <v>87.520325940263106</v>
      </c>
      <c r="AK4399">
        <v>0.552110077929441</v>
      </c>
      <c r="AL4399">
        <v>77.915378513331703</v>
      </c>
      <c r="AM4399">
        <v>87.285757049896901</v>
      </c>
      <c r="AN4399">
        <v>0.99999993900179396</v>
      </c>
    </row>
    <row r="4400" spans="1:40" x14ac:dyDescent="0.25">
      <c r="A4400" t="str">
        <f>"20190303162908738"</f>
        <v>20190303162908738</v>
      </c>
      <c r="B4400" t="str">
        <f>"1551601748726567"</f>
        <v>1551601748726567</v>
      </c>
      <c r="C4400" t="s">
        <v>40</v>
      </c>
      <c r="D4400">
        <v>4.8371750000000002</v>
      </c>
      <c r="E4400">
        <v>0.49495749999999999</v>
      </c>
      <c r="F4400" t="s">
        <v>41</v>
      </c>
      <c r="G4400">
        <v>-352.40940000000001</v>
      </c>
      <c r="H4400" s="1">
        <v>-4.0942020000000002E-6</v>
      </c>
      <c r="I4400">
        <v>143.21369999999999</v>
      </c>
      <c r="J4400">
        <v>-331.32339999999999</v>
      </c>
      <c r="K4400">
        <v>1.120924</v>
      </c>
      <c r="L4400">
        <v>142.4469</v>
      </c>
      <c r="M4400">
        <v>-0.99984879999999998</v>
      </c>
      <c r="N4400">
        <v>-1.224652E-2</v>
      </c>
      <c r="O4400">
        <v>1.234993E-2</v>
      </c>
      <c r="P4400">
        <v>-0.97846789999999995</v>
      </c>
      <c r="Q4400">
        <v>0.19804269999999999</v>
      </c>
      <c r="R4400">
        <v>5.8138200000000001E-2</v>
      </c>
      <c r="S4400">
        <v>-3.091583</v>
      </c>
      <c r="T4400">
        <v>-0.16158499999999901</v>
      </c>
      <c r="U4400">
        <v>0.1112213</v>
      </c>
      <c r="V4400">
        <v>4.6199150000000001E-2</v>
      </c>
      <c r="W4400">
        <v>0.20998539999999999</v>
      </c>
      <c r="X4400">
        <v>0.97661240000000005</v>
      </c>
      <c r="Y4400">
        <v>2.357683E-2</v>
      </c>
      <c r="Z4400">
        <v>2.6640259999999999E-4</v>
      </c>
      <c r="AA4400">
        <v>0.999722</v>
      </c>
      <c r="AB4400">
        <v>35</v>
      </c>
      <c r="AC4400">
        <v>-21.085999999999999</v>
      </c>
      <c r="AD4400">
        <v>-1.1209280942019999</v>
      </c>
      <c r="AE4400">
        <v>0.76679999999998905</v>
      </c>
      <c r="AF4400">
        <v>0.50488646607730803</v>
      </c>
      <c r="AG4400">
        <v>-1.1209280942019999</v>
      </c>
      <c r="AH4400">
        <v>21.034498013125301</v>
      </c>
      <c r="AI4400">
        <v>93.049529223006203</v>
      </c>
      <c r="AJ4400">
        <v>88.625005925806505</v>
      </c>
      <c r="AK4400">
        <v>21.0703938453977</v>
      </c>
      <c r="AL4400">
        <v>77.878503409345996</v>
      </c>
      <c r="AM4400">
        <v>87.291612874098007</v>
      </c>
      <c r="AN4400">
        <v>1.00000000475382</v>
      </c>
    </row>
    <row r="4401" spans="1:40" x14ac:dyDescent="0.25">
      <c r="A4401" t="str">
        <f>"20190303162908760"</f>
        <v>20190303162908760</v>
      </c>
      <c r="B4401" t="str">
        <f>"1551601748755848"</f>
        <v>1551601748755848</v>
      </c>
      <c r="C4401" t="s">
        <v>40</v>
      </c>
      <c r="D4401">
        <v>4.9230309999999999</v>
      </c>
      <c r="E4401">
        <v>0.49453429999999998</v>
      </c>
      <c r="F4401" t="s">
        <v>41</v>
      </c>
      <c r="G4401">
        <v>-349.80259999999998</v>
      </c>
      <c r="H4401" s="1">
        <v>-1.0224210000000001E-6</v>
      </c>
      <c r="I4401">
        <v>143.2071</v>
      </c>
      <c r="J4401">
        <v>-331.68200000000002</v>
      </c>
      <c r="K4401">
        <v>1.1209530000000001</v>
      </c>
      <c r="L4401">
        <v>142.45160000000001</v>
      </c>
      <c r="M4401">
        <v>-0.99984620000000002</v>
      </c>
      <c r="N4401">
        <v>-1.2209029999999999E-2</v>
      </c>
      <c r="O4401">
        <v>1.260148E-2</v>
      </c>
      <c r="P4401">
        <v>-0.97845559999999998</v>
      </c>
      <c r="Q4401">
        <v>0.1978743</v>
      </c>
      <c r="R4401">
        <v>5.8910629999999999E-2</v>
      </c>
      <c r="S4401">
        <v>-3.0964659999999999</v>
      </c>
      <c r="T4401">
        <v>-0.18782850000000001</v>
      </c>
      <c r="U4401">
        <v>0.1273956</v>
      </c>
      <c r="V4401">
        <v>4.6713860000000003E-2</v>
      </c>
      <c r="W4401">
        <v>0.20978269999999999</v>
      </c>
      <c r="X4401">
        <v>0.97663149999999999</v>
      </c>
      <c r="Y4401">
        <v>2.8464429999999999E-2</v>
      </c>
      <c r="Z4401">
        <v>4.2657650000000002E-4</v>
      </c>
      <c r="AA4401">
        <v>0.99959469999999995</v>
      </c>
      <c r="AB4401">
        <v>35</v>
      </c>
      <c r="AC4401">
        <v>-18.1206</v>
      </c>
      <c r="AD4401">
        <v>-1.120954022421</v>
      </c>
      <c r="AE4401">
        <v>0.75549999999998296</v>
      </c>
      <c r="AF4401">
        <v>0.52507080639714598</v>
      </c>
      <c r="AG4401">
        <v>-1.120954022421</v>
      </c>
      <c r="AH4401">
        <v>18.0596920452037</v>
      </c>
      <c r="AI4401">
        <v>93.550261060040896</v>
      </c>
      <c r="AJ4401">
        <v>88.334641115300599</v>
      </c>
      <c r="AK4401">
        <v>18.102063806088701</v>
      </c>
      <c r="AL4401">
        <v>77.8903821062856</v>
      </c>
      <c r="AM4401">
        <v>87.261537581487701</v>
      </c>
      <c r="AN4401">
        <v>1.00000002636381</v>
      </c>
    </row>
    <row r="4402" spans="1:40" x14ac:dyDescent="0.25">
      <c r="A4402" t="str">
        <f>"20190303162908784"</f>
        <v>20190303162908784</v>
      </c>
      <c r="B4402" t="str">
        <f>"1551601748776343"</f>
        <v>1551601748776343</v>
      </c>
      <c r="C4402" t="s">
        <v>40</v>
      </c>
      <c r="D4402">
        <v>5.2318800000000003</v>
      </c>
      <c r="E4402">
        <v>0.49354219999999999</v>
      </c>
      <c r="F4402" t="s">
        <v>41</v>
      </c>
      <c r="G4402">
        <v>-349.81349999999998</v>
      </c>
      <c r="H4402" s="1">
        <v>-1.013136E-6</v>
      </c>
      <c r="I4402">
        <v>143.18979999999999</v>
      </c>
      <c r="J4402">
        <v>-332.04969999999997</v>
      </c>
      <c r="K4402">
        <v>1.1209819999999999</v>
      </c>
      <c r="L4402">
        <v>142.45650000000001</v>
      </c>
      <c r="M4402">
        <v>-0.9998437</v>
      </c>
      <c r="N4402">
        <v>-1.217179E-2</v>
      </c>
      <c r="O4402">
        <v>1.283017E-2</v>
      </c>
      <c r="P4402">
        <v>-0.97842130000000005</v>
      </c>
      <c r="Q4402">
        <v>0.19791439999999999</v>
      </c>
      <c r="R4402">
        <v>5.9345830000000002E-2</v>
      </c>
      <c r="S4402">
        <v>-3.0971980000000001</v>
      </c>
      <c r="T4402">
        <v>-0.19148080000000001</v>
      </c>
      <c r="U4402">
        <v>0.1261139</v>
      </c>
      <c r="V4402">
        <v>4.6913139999999999E-2</v>
      </c>
      <c r="W4402">
        <v>0.20978910000000001</v>
      </c>
      <c r="X4402">
        <v>0.97662059999999995</v>
      </c>
      <c r="Y4402">
        <v>2.7813419999999998E-2</v>
      </c>
      <c r="Z4402">
        <v>3.9207329999999999E-4</v>
      </c>
      <c r="AA4402">
        <v>0.99961299999999997</v>
      </c>
      <c r="AB4402">
        <v>35</v>
      </c>
      <c r="AC4402">
        <v>-17.7638</v>
      </c>
      <c r="AD4402">
        <v>-1.1209830131359999</v>
      </c>
      <c r="AE4402">
        <v>0.73329999999998496</v>
      </c>
      <c r="AF4402">
        <v>0.50330931253540701</v>
      </c>
      <c r="AG4402">
        <v>-1.1209830131359999</v>
      </c>
      <c r="AH4402">
        <v>17.701375678026</v>
      </c>
      <c r="AI4402">
        <v>93.622096992494207</v>
      </c>
      <c r="AJ4402">
        <v>88.371328171579506</v>
      </c>
      <c r="AK4402">
        <v>17.743974303251001</v>
      </c>
      <c r="AL4402">
        <v>77.890007392255995</v>
      </c>
      <c r="AM4402">
        <v>87.249842628398596</v>
      </c>
      <c r="AN4402">
        <v>1.0000000527639099</v>
      </c>
    </row>
    <row r="4403" spans="1:40" x14ac:dyDescent="0.25">
      <c r="A4403" t="str">
        <f>"20190303162908805"</f>
        <v>20190303162908805</v>
      </c>
      <c r="B4403" t="str">
        <f>"1551601748795793"</f>
        <v>1551601748795793</v>
      </c>
      <c r="C4403" t="s">
        <v>40</v>
      </c>
      <c r="D4403">
        <v>4.9046379999999896</v>
      </c>
      <c r="E4403">
        <v>0.49306620000000001</v>
      </c>
      <c r="F4403" t="s">
        <v>41</v>
      </c>
      <c r="G4403">
        <v>-350.16820000000001</v>
      </c>
      <c r="H4403" s="1">
        <v>-4.8467499999999998E-6</v>
      </c>
      <c r="I4403">
        <v>143.15639999999999</v>
      </c>
      <c r="J4403">
        <v>-332.38819999999998</v>
      </c>
      <c r="K4403">
        <v>1.121014</v>
      </c>
      <c r="L4403">
        <v>142.46100000000001</v>
      </c>
      <c r="M4403">
        <v>-0.9998416</v>
      </c>
      <c r="N4403">
        <v>-1.2140730000000001E-2</v>
      </c>
      <c r="O4403">
        <v>1.301475E-2</v>
      </c>
      <c r="P4403">
        <v>-0.97787710000000005</v>
      </c>
      <c r="Q4403">
        <v>0.20038829999999999</v>
      </c>
      <c r="R4403">
        <v>6.0009670000000001E-2</v>
      </c>
      <c r="S4403">
        <v>-3.0976870000000001</v>
      </c>
      <c r="T4403">
        <v>-0.1916544</v>
      </c>
      <c r="U4403">
        <v>0.11967469999999999</v>
      </c>
      <c r="V4403">
        <v>4.739322E-2</v>
      </c>
      <c r="W4403">
        <v>0.21222830000000001</v>
      </c>
      <c r="X4403">
        <v>0.9760702</v>
      </c>
      <c r="Y4403">
        <v>2.555315E-2</v>
      </c>
      <c r="Z4403">
        <v>2.9855650000000001E-4</v>
      </c>
      <c r="AA4403">
        <v>0.99967340000000005</v>
      </c>
      <c r="AB4403">
        <v>35</v>
      </c>
      <c r="AC4403">
        <v>-17.78</v>
      </c>
      <c r="AD4403">
        <v>-1.12101884675</v>
      </c>
      <c r="AE4403">
        <v>0.69539999999997804</v>
      </c>
      <c r="AF4403">
        <v>0.462087684458663</v>
      </c>
      <c r="AG4403">
        <v>-1.12101884675</v>
      </c>
      <c r="AH4403">
        <v>17.717222546087399</v>
      </c>
      <c r="AI4403">
        <v>93.619212492608895</v>
      </c>
      <c r="AJ4403">
        <v>88.505991937612507</v>
      </c>
      <c r="AK4403">
        <v>17.758665012620899</v>
      </c>
      <c r="AL4403">
        <v>77.747031660129196</v>
      </c>
      <c r="AM4403">
        <v>87.220178908235994</v>
      </c>
      <c r="AN4403">
        <v>1.00000000197544</v>
      </c>
    </row>
    <row r="4404" spans="1:40" x14ac:dyDescent="0.25">
      <c r="A4404" t="str">
        <f>"20190303162908827"</f>
        <v>20190303162908827</v>
      </c>
      <c r="B4404" t="str">
        <f>"1551601748816290"</f>
        <v>1551601748816290</v>
      </c>
      <c r="C4404" t="s">
        <v>40</v>
      </c>
      <c r="D4404">
        <v>4.9537529999999999</v>
      </c>
      <c r="E4404">
        <v>0.49289480000000002</v>
      </c>
      <c r="F4404" t="s">
        <v>41</v>
      </c>
      <c r="G4404">
        <v>-351.03969999999998</v>
      </c>
      <c r="H4404" s="1">
        <v>-4.5527880000000004E-6</v>
      </c>
      <c r="I4404">
        <v>143.1712</v>
      </c>
      <c r="J4404">
        <v>-332.72489999999999</v>
      </c>
      <c r="K4404">
        <v>1.12104</v>
      </c>
      <c r="L4404">
        <v>142.46559999999999</v>
      </c>
      <c r="M4404">
        <v>-0.99983979999999995</v>
      </c>
      <c r="N4404">
        <v>-1.211279E-2</v>
      </c>
      <c r="O4404">
        <v>1.3179079999999999E-2</v>
      </c>
      <c r="P4404">
        <v>-0.97725580000000001</v>
      </c>
      <c r="Q4404">
        <v>0.20315620000000001</v>
      </c>
      <c r="R4404">
        <v>6.0817910000000003E-2</v>
      </c>
      <c r="S4404">
        <v>-3.0987849999999999</v>
      </c>
      <c r="T4404">
        <v>-0.18624760000000001</v>
      </c>
      <c r="U4404">
        <v>0.1179962</v>
      </c>
      <c r="V4404">
        <v>4.8039999999999999E-2</v>
      </c>
      <c r="W4404">
        <v>0.21496319999999999</v>
      </c>
      <c r="X4404">
        <v>0.97543990000000003</v>
      </c>
      <c r="Y4404">
        <v>2.4838160000000001E-2</v>
      </c>
      <c r="Z4404">
        <v>2.645805E-4</v>
      </c>
      <c r="AA4404">
        <v>0.99969140000000001</v>
      </c>
      <c r="AB4404">
        <v>35</v>
      </c>
      <c r="AC4404">
        <v>-18.314799999999899</v>
      </c>
      <c r="AD4404">
        <v>-1.121044552788</v>
      </c>
      <c r="AE4404">
        <v>0.705600000000004</v>
      </c>
      <c r="AF4404">
        <v>0.46241884493615099</v>
      </c>
      <c r="AG4404">
        <v>-1.121044552788</v>
      </c>
      <c r="AH4404">
        <v>18.254218474583499</v>
      </c>
      <c r="AI4404">
        <v>93.513162275770497</v>
      </c>
      <c r="AJ4404">
        <v>88.548884301373704</v>
      </c>
      <c r="AK4404">
        <v>18.294454465638299</v>
      </c>
      <c r="AL4404">
        <v>77.586631770628699</v>
      </c>
      <c r="AM4404">
        <v>87.180485364167296</v>
      </c>
      <c r="AN4404">
        <v>1.00000000873312</v>
      </c>
    </row>
    <row r="4405" spans="1:40" x14ac:dyDescent="0.25">
      <c r="A4405" t="str">
        <f>"20190303162908849"</f>
        <v>20190303162908849</v>
      </c>
      <c r="B4405" t="str">
        <f>"1551601748835809"</f>
        <v>1551601748835809</v>
      </c>
      <c r="C4405" t="s">
        <v>40</v>
      </c>
      <c r="D4405">
        <v>5.1680890000000002</v>
      </c>
      <c r="E4405">
        <v>0.49246329999999999</v>
      </c>
      <c r="F4405" t="s">
        <v>41</v>
      </c>
      <c r="G4405">
        <v>-351.62959999999998</v>
      </c>
      <c r="H4405" s="1">
        <v>-4.3553319999999997E-6</v>
      </c>
      <c r="I4405">
        <v>143.18979999999999</v>
      </c>
      <c r="J4405">
        <v>-333.07010000000002</v>
      </c>
      <c r="K4405">
        <v>1.121073</v>
      </c>
      <c r="L4405">
        <v>142.47030000000001</v>
      </c>
      <c r="M4405">
        <v>-0.99983820000000001</v>
      </c>
      <c r="N4405">
        <v>-1.2086950000000001E-2</v>
      </c>
      <c r="O4405">
        <v>1.3326859999999999E-2</v>
      </c>
      <c r="P4405">
        <v>-0.9766591</v>
      </c>
      <c r="Q4405">
        <v>0.20585100000000001</v>
      </c>
      <c r="R4405">
        <v>6.1340949999999998E-2</v>
      </c>
      <c r="S4405">
        <v>-3.1006469999999999</v>
      </c>
      <c r="T4405">
        <v>-0.1838677</v>
      </c>
      <c r="U4405">
        <v>0.1187897</v>
      </c>
      <c r="V4405">
        <v>4.8418309999999999E-2</v>
      </c>
      <c r="W4405">
        <v>0.2176275</v>
      </c>
      <c r="X4405">
        <v>0.97483019999999998</v>
      </c>
      <c r="Y4405">
        <v>2.4923870000000001E-2</v>
      </c>
      <c r="Z4405">
        <v>2.60618E-4</v>
      </c>
      <c r="AA4405">
        <v>0.9996893</v>
      </c>
      <c r="AB4405">
        <v>35</v>
      </c>
      <c r="AC4405">
        <v>-18.5594999999999</v>
      </c>
      <c r="AD4405">
        <v>-1.1210773553319999</v>
      </c>
      <c r="AE4405">
        <v>0.71949999999998204</v>
      </c>
      <c r="AF4405">
        <v>0.47036453681683899</v>
      </c>
      <c r="AG4405">
        <v>-1.1210773553319999</v>
      </c>
      <c r="AH4405">
        <v>18.500041053760601</v>
      </c>
      <c r="AI4405">
        <v>93.466688153363606</v>
      </c>
      <c r="AJ4405">
        <v>88.543565505618005</v>
      </c>
      <c r="AK4405">
        <v>18.5399454213048</v>
      </c>
      <c r="AL4405">
        <v>77.4302771098466</v>
      </c>
      <c r="AM4405">
        <v>87.156543839251</v>
      </c>
      <c r="AN4405">
        <v>0.99999999016577201</v>
      </c>
    </row>
    <row r="4406" spans="1:40" x14ac:dyDescent="0.25">
      <c r="A4406" t="str">
        <f>"20190303162908872"</f>
        <v>20190303162908872</v>
      </c>
      <c r="B4406" t="str">
        <f>"1551601748867043"</f>
        <v>1551601748867043</v>
      </c>
      <c r="C4406" t="s">
        <v>40</v>
      </c>
      <c r="D4406">
        <v>5.1012919999999999</v>
      </c>
      <c r="E4406">
        <v>0.49026320000000001</v>
      </c>
      <c r="F4406" t="s">
        <v>41</v>
      </c>
      <c r="G4406">
        <v>-351.83960000000002</v>
      </c>
      <c r="H4406" s="1">
        <v>-4.2821500000000002E-6</v>
      </c>
      <c r="I4406">
        <v>143.18</v>
      </c>
      <c r="J4406">
        <v>-333.4409</v>
      </c>
      <c r="K4406">
        <v>1.121097</v>
      </c>
      <c r="L4406">
        <v>142.47540000000001</v>
      </c>
      <c r="M4406">
        <v>-0.99983670000000002</v>
      </c>
      <c r="N4406">
        <v>-1.206233E-2</v>
      </c>
      <c r="O4406">
        <v>1.3464250000000001E-2</v>
      </c>
      <c r="P4406">
        <v>-0.97607710000000003</v>
      </c>
      <c r="Q4406">
        <v>0.20836189999999999</v>
      </c>
      <c r="R4406">
        <v>6.2122320000000002E-2</v>
      </c>
      <c r="S4406">
        <v>-3.1033940000000002</v>
      </c>
      <c r="T4406">
        <v>-0.18536250000000001</v>
      </c>
      <c r="U4406">
        <v>0.1173553</v>
      </c>
      <c r="V4406">
        <v>4.9064530000000002E-2</v>
      </c>
      <c r="W4406">
        <v>0.22010930000000001</v>
      </c>
      <c r="X4406">
        <v>0.97424049999999995</v>
      </c>
      <c r="Y4406">
        <v>2.4292399999999999E-2</v>
      </c>
      <c r="Z4406">
        <v>2.304246E-4</v>
      </c>
      <c r="AA4406">
        <v>0.99970490000000001</v>
      </c>
      <c r="AB4406">
        <v>35</v>
      </c>
      <c r="AC4406">
        <v>-18.398700000000002</v>
      </c>
      <c r="AD4406">
        <v>-1.1211012821499999</v>
      </c>
      <c r="AE4406">
        <v>0.704599999999999</v>
      </c>
      <c r="AF4406">
        <v>0.45510612928976402</v>
      </c>
      <c r="AG4406">
        <v>-1.1211012821499999</v>
      </c>
      <c r="AH4406">
        <v>18.338529814295502</v>
      </c>
      <c r="AI4406">
        <v>93.497272263920493</v>
      </c>
      <c r="AJ4406">
        <v>88.5783860801304</v>
      </c>
      <c r="AK4406">
        <v>18.378402145550101</v>
      </c>
      <c r="AL4406">
        <v>77.284547107867297</v>
      </c>
      <c r="AM4406">
        <v>87.116915775618494</v>
      </c>
      <c r="AN4406">
        <v>0.99999999194542999</v>
      </c>
    </row>
    <row r="4407" spans="1:40" x14ac:dyDescent="0.25">
      <c r="A4407" t="str">
        <f>"20190303162908895"</f>
        <v>20190303162908895</v>
      </c>
      <c r="B4407" t="str">
        <f>"1551601748886561"</f>
        <v>1551601748886561</v>
      </c>
      <c r="C4407" t="s">
        <v>40</v>
      </c>
      <c r="D4407">
        <v>5.3092709999999999</v>
      </c>
      <c r="E4407">
        <v>0.48845060000000001</v>
      </c>
      <c r="F4407" t="s">
        <v>41</v>
      </c>
      <c r="G4407">
        <v>-352.16489999999999</v>
      </c>
      <c r="H4407" s="1">
        <v>-4.15678E-6</v>
      </c>
      <c r="I4407">
        <v>143.09739999999999</v>
      </c>
      <c r="J4407">
        <v>-333.78840000000002</v>
      </c>
      <c r="K4407">
        <v>1.1211169999999999</v>
      </c>
      <c r="L4407">
        <v>142.4802</v>
      </c>
      <c r="M4407">
        <v>-0.99983540000000004</v>
      </c>
      <c r="N4407">
        <v>-1.2041949999999999E-2</v>
      </c>
      <c r="O4407">
        <v>1.357444E-2</v>
      </c>
      <c r="P4407">
        <v>-0.97598870000000004</v>
      </c>
      <c r="Q4407">
        <v>0.20846970000000001</v>
      </c>
      <c r="R4407">
        <v>6.3138630000000001E-2</v>
      </c>
      <c r="S4407">
        <v>-3.1067200000000001</v>
      </c>
      <c r="T4407">
        <v>-0.18601519999999999</v>
      </c>
      <c r="U4407">
        <v>0.10321039999999999</v>
      </c>
      <c r="V4407">
        <v>4.9964960000000003E-2</v>
      </c>
      <c r="W4407">
        <v>0.22019820000000001</v>
      </c>
      <c r="X4407">
        <v>0.97417469999999995</v>
      </c>
      <c r="Y4407">
        <v>1.9605709999999998E-2</v>
      </c>
      <c r="Z4407" s="1">
        <v>5.6033109999999998E-5</v>
      </c>
      <c r="AA4407">
        <v>0.99980780000000002</v>
      </c>
      <c r="AB4407">
        <v>35</v>
      </c>
      <c r="AC4407">
        <v>-18.376499999999901</v>
      </c>
      <c r="AD4407">
        <v>-1.1211211567799999</v>
      </c>
      <c r="AE4407">
        <v>0.61719999999999597</v>
      </c>
      <c r="AF4407">
        <v>0.36631246402198397</v>
      </c>
      <c r="AG4407">
        <v>-1.1211211567799999</v>
      </c>
      <c r="AH4407">
        <v>18.3150928955877</v>
      </c>
      <c r="AI4407">
        <v>93.502175177403402</v>
      </c>
      <c r="AJ4407">
        <v>88.854203995606596</v>
      </c>
      <c r="AK4407">
        <v>18.353030410356901</v>
      </c>
      <c r="AL4407">
        <v>77.279326089652599</v>
      </c>
      <c r="AM4407">
        <v>87.063899325402602</v>
      </c>
      <c r="AN4407">
        <v>1.00000004531556</v>
      </c>
    </row>
    <row r="4408" spans="1:40" x14ac:dyDescent="0.25">
      <c r="A4408" t="str">
        <f>"20190303162908916"</f>
        <v>20190303162908916</v>
      </c>
      <c r="B4408" t="str">
        <f>"1551601748906081"</f>
        <v>1551601748906081</v>
      </c>
      <c r="C4408" t="s">
        <v>40</v>
      </c>
      <c r="D4408">
        <v>5.3006320000000002</v>
      </c>
      <c r="E4408">
        <v>0.48700789999999999</v>
      </c>
      <c r="F4408" t="s">
        <v>41</v>
      </c>
      <c r="G4408">
        <v>-353.88249999999999</v>
      </c>
      <c r="H4408" s="1">
        <v>-3.5280229999999999E-6</v>
      </c>
      <c r="I4408">
        <v>143.0789</v>
      </c>
      <c r="J4408">
        <v>-334.1277</v>
      </c>
      <c r="K4408">
        <v>1.1211340000000001</v>
      </c>
      <c r="L4408">
        <v>142.48490000000001</v>
      </c>
      <c r="M4408">
        <v>-0.99983449999999996</v>
      </c>
      <c r="N4408">
        <v>-1.202459E-2</v>
      </c>
      <c r="O4408">
        <v>1.366435E-2</v>
      </c>
      <c r="P4408">
        <v>-0.97614160000000005</v>
      </c>
      <c r="Q4408">
        <v>0.20751220000000001</v>
      </c>
      <c r="R4408">
        <v>6.3925880000000004E-2</v>
      </c>
      <c r="S4408">
        <v>-3.1048279999999999</v>
      </c>
      <c r="T4408">
        <v>-0.17322989999999999</v>
      </c>
      <c r="U4408">
        <v>9.2514040000000006E-2</v>
      </c>
      <c r="V4408">
        <v>5.0652139999999998E-2</v>
      </c>
      <c r="W4408">
        <v>0.2192278</v>
      </c>
      <c r="X4408">
        <v>0.97435799999999995</v>
      </c>
      <c r="Y4408">
        <v>1.6104199999999999E-2</v>
      </c>
      <c r="Z4408" s="1">
        <v>-5.1629699999999998E-5</v>
      </c>
      <c r="AA4408">
        <v>0.99987029999999999</v>
      </c>
      <c r="AB4408">
        <v>35</v>
      </c>
      <c r="AC4408">
        <v>-19.7547999999999</v>
      </c>
      <c r="AD4408">
        <v>-1.121137528023</v>
      </c>
      <c r="AE4408">
        <v>0.59399999999999398</v>
      </c>
      <c r="AF4408">
        <v>0.322949324917711</v>
      </c>
      <c r="AG4408">
        <v>-1.121137528023</v>
      </c>
      <c r="AH4408">
        <v>19.697686326717001</v>
      </c>
      <c r="AI4408">
        <v>93.257164925922694</v>
      </c>
      <c r="AJ4408">
        <v>89.060703104176497</v>
      </c>
      <c r="AK4408">
        <v>19.7322095125948</v>
      </c>
      <c r="AL4408">
        <v>77.336317836537106</v>
      </c>
      <c r="AM4408">
        <v>87.024149478224999</v>
      </c>
      <c r="AN4408">
        <v>0.99999998987170902</v>
      </c>
    </row>
    <row r="4409" spans="1:40" x14ac:dyDescent="0.25">
      <c r="A4409" t="str">
        <f>"20190303162908938"</f>
        <v>20190303162908938</v>
      </c>
      <c r="B4409" t="str">
        <f>"1551601748926577"</f>
        <v>1551601748926577</v>
      </c>
      <c r="C4409" t="s">
        <v>40</v>
      </c>
      <c r="D4409">
        <v>5.2456630000000004</v>
      </c>
      <c r="E4409">
        <v>0.48584650000000001</v>
      </c>
      <c r="F4409" t="s">
        <v>41</v>
      </c>
      <c r="G4409">
        <v>-355.01639999999998</v>
      </c>
      <c r="H4409" s="1">
        <v>-3.033943E-6</v>
      </c>
      <c r="I4409">
        <v>143.05019999999999</v>
      </c>
      <c r="J4409">
        <v>-334.47190000000001</v>
      </c>
      <c r="K4409">
        <v>1.121151</v>
      </c>
      <c r="L4409">
        <v>142.4897</v>
      </c>
      <c r="M4409">
        <v>-0.99983359999999999</v>
      </c>
      <c r="N4409">
        <v>-1.2009250000000001E-2</v>
      </c>
      <c r="O4409">
        <v>1.3737829999999999E-2</v>
      </c>
      <c r="P4409">
        <v>-0.9760143</v>
      </c>
      <c r="Q4409">
        <v>0.20783509999999999</v>
      </c>
      <c r="R4409">
        <v>6.4813990000000002E-2</v>
      </c>
      <c r="S4409">
        <v>-3.1032709999999999</v>
      </c>
      <c r="T4409">
        <v>-0.16655929999999999</v>
      </c>
      <c r="U4409">
        <v>8.3984379999999997E-2</v>
      </c>
      <c r="V4409">
        <v>5.1459970000000001E-2</v>
      </c>
      <c r="W4409">
        <v>0.2195367</v>
      </c>
      <c r="X4409">
        <v>0.9742461</v>
      </c>
      <c r="Y4409">
        <v>1.33054E-2</v>
      </c>
      <c r="Z4409">
        <v>-1.35022E-4</v>
      </c>
      <c r="AA4409">
        <v>0.99991149999999995</v>
      </c>
      <c r="AB4409">
        <v>35</v>
      </c>
      <c r="AC4409">
        <v>-20.5444999999999</v>
      </c>
      <c r="AD4409">
        <v>-1.121154033943</v>
      </c>
      <c r="AE4409">
        <v>0.56049999999999001</v>
      </c>
      <c r="AF4409">
        <v>0.277364515765602</v>
      </c>
      <c r="AG4409">
        <v>-1.121154033943</v>
      </c>
      <c r="AH4409">
        <v>20.489287793185699</v>
      </c>
      <c r="AI4409">
        <v>93.131759866969503</v>
      </c>
      <c r="AJ4409">
        <v>89.224431533544106</v>
      </c>
      <c r="AK4409">
        <v>20.5218135581244</v>
      </c>
      <c r="AL4409">
        <v>77.318177084212294</v>
      </c>
      <c r="AM4409">
        <v>86.976429627698096</v>
      </c>
      <c r="AN4409">
        <v>0.99999997726224998</v>
      </c>
    </row>
    <row r="4410" spans="1:40" x14ac:dyDescent="0.25">
      <c r="A4410" t="str">
        <f>"20190303162908953"</f>
        <v>20190303162908953</v>
      </c>
      <c r="B4410" t="str">
        <f>"1551601748946098"</f>
        <v>1551601748946098</v>
      </c>
      <c r="C4410" t="s">
        <v>40</v>
      </c>
      <c r="D4410">
        <v>5.3021940000000001</v>
      </c>
      <c r="E4410">
        <v>0.48483470000000001</v>
      </c>
      <c r="F4410" t="s">
        <v>41</v>
      </c>
      <c r="G4410">
        <v>-356.3304</v>
      </c>
      <c r="H4410" s="1">
        <v>-2.4671570000000002E-6</v>
      </c>
      <c r="I4410">
        <v>143.03870000000001</v>
      </c>
      <c r="J4410">
        <v>-334.70979999999997</v>
      </c>
      <c r="K4410">
        <v>1.121159</v>
      </c>
      <c r="L4410">
        <v>142.4931</v>
      </c>
      <c r="M4410">
        <v>-0.99983299999999997</v>
      </c>
      <c r="N4410">
        <v>-1.1999920000000001E-2</v>
      </c>
      <c r="O4410">
        <v>1.377656E-2</v>
      </c>
      <c r="P4410">
        <v>-0.9760065</v>
      </c>
      <c r="Q4410">
        <v>0.2078091</v>
      </c>
      <c r="R4410">
        <v>6.5013370000000001E-2</v>
      </c>
      <c r="S4410">
        <v>-3.102509</v>
      </c>
      <c r="T4410">
        <v>-0.15913189999999999</v>
      </c>
      <c r="U4410">
        <v>7.7926640000000005E-2</v>
      </c>
      <c r="V4410">
        <v>5.1614489999999999E-2</v>
      </c>
      <c r="W4410">
        <v>0.21950320000000001</v>
      </c>
      <c r="X4410">
        <v>0.97424549999999999</v>
      </c>
      <c r="Y4410">
        <v>1.1326040000000001E-2</v>
      </c>
      <c r="Z4410">
        <v>-1.8251890000000001E-4</v>
      </c>
      <c r="AA4410">
        <v>0.99993589999999999</v>
      </c>
      <c r="AB4410">
        <v>35</v>
      </c>
      <c r="AC4410">
        <v>-21.6206</v>
      </c>
      <c r="AD4410">
        <v>-1.121161467157</v>
      </c>
      <c r="AE4410">
        <v>0.54560000000000697</v>
      </c>
      <c r="AF4410">
        <v>0.247005456282863</v>
      </c>
      <c r="AG4410">
        <v>-1.121161467157</v>
      </c>
      <c r="AH4410">
        <v>21.5681038524048</v>
      </c>
      <c r="AI4410">
        <v>92.975498123938195</v>
      </c>
      <c r="AJ4410">
        <v>89.343857411710204</v>
      </c>
      <c r="AK4410">
        <v>21.598636959747999</v>
      </c>
      <c r="AL4410">
        <v>77.320144804745397</v>
      </c>
      <c r="AM4410">
        <v>86.967365743080293</v>
      </c>
      <c r="AN4410">
        <v>1.0000000023292199</v>
      </c>
    </row>
    <row r="4411" spans="1:40" x14ac:dyDescent="0.25">
      <c r="A4411" t="str">
        <f>"20190303162908967"</f>
        <v>20190303162908967</v>
      </c>
      <c r="B4411" t="str">
        <f>"1551601748956834"</f>
        <v>1551601748956834</v>
      </c>
      <c r="C4411" t="s">
        <v>40</v>
      </c>
      <c r="D4411">
        <v>5.1045170000000004</v>
      </c>
      <c r="E4411">
        <v>0.4843285</v>
      </c>
      <c r="F4411" t="s">
        <v>41</v>
      </c>
      <c r="G4411">
        <v>-357.28699999999998</v>
      </c>
      <c r="H4411" s="1">
        <v>-2.0486900000000001E-6</v>
      </c>
      <c r="I4411">
        <v>143.00819999999999</v>
      </c>
      <c r="J4411">
        <v>-334.9237</v>
      </c>
      <c r="K4411">
        <v>1.121165</v>
      </c>
      <c r="L4411">
        <v>142.49610000000001</v>
      </c>
      <c r="M4411">
        <v>-0.99983270000000002</v>
      </c>
      <c r="N4411">
        <v>-1.199217E-2</v>
      </c>
      <c r="O4411">
        <v>1.380456E-2</v>
      </c>
      <c r="P4411">
        <v>-0.9760877</v>
      </c>
      <c r="Q4411">
        <v>0.207369</v>
      </c>
      <c r="R4411">
        <v>6.5198569999999997E-2</v>
      </c>
      <c r="S4411">
        <v>-3.1018370000000002</v>
      </c>
      <c r="T4411">
        <v>-0.15403439999999999</v>
      </c>
      <c r="U4411">
        <v>7.0785520000000005E-2</v>
      </c>
      <c r="V4411">
        <v>5.1764619999999997E-2</v>
      </c>
      <c r="W4411">
        <v>0.2190579</v>
      </c>
      <c r="X4411">
        <v>0.97433780000000003</v>
      </c>
      <c r="Y4411">
        <v>9.0064419999999999E-3</v>
      </c>
      <c r="Z4411">
        <v>-2.4199050000000001E-4</v>
      </c>
      <c r="AA4411">
        <v>0.99995940000000005</v>
      </c>
      <c r="AB4411">
        <v>35</v>
      </c>
      <c r="AC4411">
        <v>-22.363299999999899</v>
      </c>
      <c r="AD4411">
        <v>-1.1211670486900001</v>
      </c>
      <c r="AE4411">
        <v>0.51209999999997502</v>
      </c>
      <c r="AF4411">
        <v>0.20280397984686499</v>
      </c>
      <c r="AG4411">
        <v>-1.1211670486900001</v>
      </c>
      <c r="AH4411">
        <v>22.312187576559701</v>
      </c>
      <c r="AI4411">
        <v>92.876522454717104</v>
      </c>
      <c r="AJ4411">
        <v>89.479231155966104</v>
      </c>
      <c r="AK4411">
        <v>22.3412591287263</v>
      </c>
      <c r="AL4411">
        <v>77.346295600249505</v>
      </c>
      <c r="AM4411">
        <v>86.958848897488394</v>
      </c>
      <c r="AN4411">
        <v>1.0000000439724901</v>
      </c>
    </row>
    <row r="4412" spans="1:40" x14ac:dyDescent="0.25">
      <c r="A4412" t="str">
        <f>"20190303162908985"</f>
        <v>20190303162908985</v>
      </c>
      <c r="B4412" t="str">
        <f>"1551601748976353"</f>
        <v>1551601748976353</v>
      </c>
      <c r="C4412" t="s">
        <v>40</v>
      </c>
      <c r="D4412">
        <v>5.0584949999999997</v>
      </c>
      <c r="E4412">
        <v>0.48349710000000001</v>
      </c>
      <c r="F4412" t="s">
        <v>41</v>
      </c>
      <c r="G4412">
        <v>-357.59269999999998</v>
      </c>
      <c r="H4412" s="1">
        <v>-1.9123969999999998E-6</v>
      </c>
      <c r="I4412">
        <v>142.9889</v>
      </c>
      <c r="J4412">
        <v>-335.19839999999999</v>
      </c>
      <c r="K4412">
        <v>1.1211789999999999</v>
      </c>
      <c r="L4412">
        <v>142.4999</v>
      </c>
      <c r="M4412">
        <v>-0.99983259999999996</v>
      </c>
      <c r="N4412">
        <v>-1.1983209999999999E-2</v>
      </c>
      <c r="O4412">
        <v>1.3829849999999999E-2</v>
      </c>
      <c r="P4412">
        <v>-0.9763522</v>
      </c>
      <c r="Q4412">
        <v>0.20605519999999999</v>
      </c>
      <c r="R4412">
        <v>6.5404009999999999E-2</v>
      </c>
      <c r="S4412">
        <v>-3.1016240000000002</v>
      </c>
      <c r="T4412">
        <v>-0.153400799999999</v>
      </c>
      <c r="U4412">
        <v>6.744385E-2</v>
      </c>
      <c r="V4412">
        <v>5.1933439999999997E-2</v>
      </c>
      <c r="W4412">
        <v>0.21774060000000001</v>
      </c>
      <c r="X4412">
        <v>0.97462400000000005</v>
      </c>
      <c r="Y4412">
        <v>7.9075889999999996E-3</v>
      </c>
      <c r="Z4412">
        <v>-2.7498600000000001E-4</v>
      </c>
      <c r="AA4412">
        <v>0.99996870000000004</v>
      </c>
      <c r="AB4412">
        <v>35</v>
      </c>
      <c r="AC4412">
        <v>-22.394299999999902</v>
      </c>
      <c r="AD4412">
        <v>-1.121180912397</v>
      </c>
      <c r="AE4412">
        <v>0.48900000000000399</v>
      </c>
      <c r="AF4412">
        <v>0.17877330107793801</v>
      </c>
      <c r="AG4412">
        <v>-1.121180912397</v>
      </c>
      <c r="AH4412">
        <v>22.342944230883699</v>
      </c>
      <c r="AI4412">
        <v>92.872631476643093</v>
      </c>
      <c r="AJ4412">
        <v>89.541567263704593</v>
      </c>
      <c r="AK4412">
        <v>22.371771575713101</v>
      </c>
      <c r="AL4412">
        <v>77.423637817797399</v>
      </c>
      <c r="AM4412">
        <v>86.949843751490704</v>
      </c>
      <c r="AN4412">
        <v>0.99999999622729596</v>
      </c>
    </row>
    <row r="4413" spans="1:40" x14ac:dyDescent="0.25">
      <c r="A4413" t="str">
        <f>"20190303162909005"</f>
        <v>20190303162909005</v>
      </c>
      <c r="B4413" t="str">
        <f>"1551601748995874"</f>
        <v>1551601748995874</v>
      </c>
      <c r="C4413" t="s">
        <v>40</v>
      </c>
      <c r="D4413">
        <v>5.174836</v>
      </c>
      <c r="E4413">
        <v>0.48271930000000002</v>
      </c>
      <c r="F4413" t="s">
        <v>41</v>
      </c>
      <c r="G4413">
        <v>-357.78460000000001</v>
      </c>
      <c r="H4413" s="1">
        <v>-1.818929E-6</v>
      </c>
      <c r="I4413">
        <v>142.947</v>
      </c>
      <c r="J4413">
        <v>-335.52140000000003</v>
      </c>
      <c r="K4413">
        <v>1.121184</v>
      </c>
      <c r="L4413">
        <v>142.5044</v>
      </c>
      <c r="M4413">
        <v>-0.99983239999999995</v>
      </c>
      <c r="N4413">
        <v>-1.197401E-2</v>
      </c>
      <c r="O4413">
        <v>1.3847089999999999E-2</v>
      </c>
      <c r="P4413">
        <v>-0.9767247</v>
      </c>
      <c r="Q4413">
        <v>0.20425499999999999</v>
      </c>
      <c r="R4413">
        <v>6.548785E-2</v>
      </c>
      <c r="S4413">
        <v>-3.1010740000000001</v>
      </c>
      <c r="T4413">
        <v>-0.15393760000000001</v>
      </c>
      <c r="U4413">
        <v>6.1401369999999997E-2</v>
      </c>
      <c r="V4413">
        <v>5.1986909999999997E-2</v>
      </c>
      <c r="W4413">
        <v>0.21593770000000001</v>
      </c>
      <c r="X4413">
        <v>0.97502219999999995</v>
      </c>
      <c r="Y4413">
        <v>5.9496000000000002E-3</v>
      </c>
      <c r="Z4413">
        <v>-3.3789729999999997E-4</v>
      </c>
      <c r="AA4413">
        <v>0.99998220000000004</v>
      </c>
      <c r="AB4413">
        <v>35</v>
      </c>
      <c r="AC4413">
        <v>-22.263199999999902</v>
      </c>
      <c r="AD4413">
        <v>-1.121185818929</v>
      </c>
      <c r="AE4413">
        <v>0.442599999999998</v>
      </c>
      <c r="AF4413">
        <v>0.13391541521543401</v>
      </c>
      <c r="AG4413">
        <v>-1.121185818929</v>
      </c>
      <c r="AH4413">
        <v>22.210885816620099</v>
      </c>
      <c r="AI4413">
        <v>92.889734841525893</v>
      </c>
      <c r="AJ4413">
        <v>89.654552493088204</v>
      </c>
      <c r="AK4413">
        <v>22.239569234540799</v>
      </c>
      <c r="AL4413">
        <v>77.529454216676797</v>
      </c>
      <c r="AM4413">
        <v>86.947953897844698</v>
      </c>
      <c r="AN4413">
        <v>1.00000000979273</v>
      </c>
    </row>
    <row r="4414" spans="1:40" x14ac:dyDescent="0.25">
      <c r="A4414" t="str">
        <f>"20190303162909022"</f>
        <v>20190303162909022</v>
      </c>
      <c r="B4414" t="str">
        <f>"1551601749016370"</f>
        <v>1551601749016370</v>
      </c>
      <c r="C4414" t="s">
        <v>40</v>
      </c>
      <c r="D4414">
        <v>5.0680949999999996</v>
      </c>
      <c r="E4414">
        <v>0.48191899999999999</v>
      </c>
      <c r="F4414" t="s">
        <v>41</v>
      </c>
      <c r="G4414">
        <v>-357.79700000000003</v>
      </c>
      <c r="H4414" s="1">
        <v>-1.800447E-6</v>
      </c>
      <c r="I4414">
        <v>142.8974</v>
      </c>
      <c r="J4414">
        <v>-335.78530000000001</v>
      </c>
      <c r="K4414">
        <v>1.121191</v>
      </c>
      <c r="L4414">
        <v>142.50810000000001</v>
      </c>
      <c r="M4414">
        <v>-0.99983239999999995</v>
      </c>
      <c r="N4414">
        <v>-1.196736E-2</v>
      </c>
      <c r="O4414">
        <v>1.3854490000000001E-2</v>
      </c>
      <c r="P4414">
        <v>-0.97692509999999999</v>
      </c>
      <c r="Q4414">
        <v>0.2033529</v>
      </c>
      <c r="R4414">
        <v>6.5308199999999997E-2</v>
      </c>
      <c r="S4414">
        <v>-3.1004640000000001</v>
      </c>
      <c r="T4414">
        <v>-0.15605439999999901</v>
      </c>
      <c r="U4414">
        <v>5.4718019999999999E-2</v>
      </c>
      <c r="V4414">
        <v>5.179193E-2</v>
      </c>
      <c r="W4414">
        <v>0.21503349999999999</v>
      </c>
      <c r="X4414">
        <v>0.9752324</v>
      </c>
      <c r="Y4414">
        <v>3.7948000000000001E-3</v>
      </c>
      <c r="Z4414">
        <v>-4.1291500000000003E-4</v>
      </c>
      <c r="AA4414">
        <v>0.99999269999999996</v>
      </c>
      <c r="AB4414">
        <v>35</v>
      </c>
      <c r="AC4414">
        <v>-22.011699999999902</v>
      </c>
      <c r="AD4414">
        <v>-1.121192800447</v>
      </c>
      <c r="AE4414">
        <v>0.38929999999999099</v>
      </c>
      <c r="AF4414">
        <v>8.4061881269930305E-2</v>
      </c>
      <c r="AG4414">
        <v>-1.121192800447</v>
      </c>
      <c r="AH4414">
        <v>21.9580287374893</v>
      </c>
      <c r="AI4414">
        <v>92.9230039480735</v>
      </c>
      <c r="AJ4414">
        <v>89.780655743599596</v>
      </c>
      <c r="AK4414">
        <v>21.9867952583377</v>
      </c>
      <c r="AL4414">
        <v>77.582507595452896</v>
      </c>
      <c r="AM4414">
        <v>86.960033399313204</v>
      </c>
      <c r="AN4414">
        <v>1.00000002207256</v>
      </c>
    </row>
    <row r="4415" spans="1:40" x14ac:dyDescent="0.25">
      <c r="A4415" t="str">
        <f>"20190303162909038"</f>
        <v>20190303162909038</v>
      </c>
      <c r="B4415" t="str">
        <f>"1551601749035889"</f>
        <v>1551601749035889</v>
      </c>
      <c r="C4415" t="s">
        <v>40</v>
      </c>
      <c r="D4415">
        <v>5.0869809999999998</v>
      </c>
      <c r="E4415">
        <v>0.48120459999999898</v>
      </c>
      <c r="F4415" t="s">
        <v>41</v>
      </c>
      <c r="G4415">
        <v>-358.11349999999999</v>
      </c>
      <c r="H4415" s="1">
        <v>-1.652351E-6</v>
      </c>
      <c r="I4415">
        <v>142.85120000000001</v>
      </c>
      <c r="J4415">
        <v>-336.05470000000003</v>
      </c>
      <c r="K4415">
        <v>1.121186</v>
      </c>
      <c r="L4415">
        <v>142.51179999999999</v>
      </c>
      <c r="M4415">
        <v>-0.99983250000000001</v>
      </c>
      <c r="N4415">
        <v>-1.1961390000000001E-2</v>
      </c>
      <c r="O4415">
        <v>1.385746E-2</v>
      </c>
      <c r="P4415">
        <v>-0.97745289999999996</v>
      </c>
      <c r="Q4415">
        <v>0.2009628</v>
      </c>
      <c r="R4415">
        <v>6.4809309999999995E-2</v>
      </c>
      <c r="S4415">
        <v>-3.1000670000000001</v>
      </c>
      <c r="T4415">
        <v>-0.1556679</v>
      </c>
      <c r="U4415">
        <v>4.76532E-2</v>
      </c>
      <c r="V4415">
        <v>5.127847E-2</v>
      </c>
      <c r="W4415">
        <v>0.21264440000000001</v>
      </c>
      <c r="X4415">
        <v>0.97578319999999996</v>
      </c>
      <c r="Y4415">
        <v>1.519322E-3</v>
      </c>
      <c r="Z4415">
        <v>-4.824354E-4</v>
      </c>
      <c r="AA4415">
        <v>0.99999870000000002</v>
      </c>
      <c r="AB4415">
        <v>35</v>
      </c>
      <c r="AC4415">
        <v>-22.058799999999898</v>
      </c>
      <c r="AD4415">
        <v>-1.121187652351</v>
      </c>
      <c r="AE4415">
        <v>0.33940000000001103</v>
      </c>
      <c r="AF4415">
        <v>3.35798881483865E-2</v>
      </c>
      <c r="AG4415">
        <v>-1.121187652351</v>
      </c>
      <c r="AH4415">
        <v>22.004551925766901</v>
      </c>
      <c r="AI4415">
        <v>92.916839238654305</v>
      </c>
      <c r="AJ4415">
        <v>89.912564255778193</v>
      </c>
      <c r="AK4415">
        <v>22.0331226750646</v>
      </c>
      <c r="AL4415">
        <v>77.722633831520895</v>
      </c>
      <c r="AM4415">
        <v>86.9918114974963</v>
      </c>
      <c r="AN4415">
        <v>0.99999998786957001</v>
      </c>
    </row>
    <row r="4416" spans="1:40" x14ac:dyDescent="0.25">
      <c r="A4416" t="str">
        <f>"20190303162909054"</f>
        <v>20190303162909054</v>
      </c>
      <c r="B4416" t="str">
        <f>"1551601749046625"</f>
        <v>1551601749046625</v>
      </c>
      <c r="C4416" t="s">
        <v>40</v>
      </c>
      <c r="D4416">
        <v>5.2047829999999999</v>
      </c>
      <c r="E4416">
        <v>0.4809003</v>
      </c>
      <c r="F4416" t="s">
        <v>41</v>
      </c>
      <c r="G4416">
        <v>-357.7724</v>
      </c>
      <c r="H4416" s="1">
        <v>-1.782818E-6</v>
      </c>
      <c r="I4416">
        <v>142.79159999999999</v>
      </c>
      <c r="J4416">
        <v>-336.30220000000003</v>
      </c>
      <c r="K4416">
        <v>1.1211799999999901</v>
      </c>
      <c r="L4416">
        <v>142.51519999999999</v>
      </c>
      <c r="M4416">
        <v>-0.99983239999999995</v>
      </c>
      <c r="N4416">
        <v>-1.195648E-2</v>
      </c>
      <c r="O4416">
        <v>1.385639E-2</v>
      </c>
      <c r="P4416">
        <v>-0.97770780000000002</v>
      </c>
      <c r="Q4416">
        <v>0.1998849</v>
      </c>
      <c r="R4416">
        <v>6.4291310000000004E-2</v>
      </c>
      <c r="S4416">
        <v>-3.0994869999999999</v>
      </c>
      <c r="T4416">
        <v>-0.16001309999999999</v>
      </c>
      <c r="U4416">
        <v>3.9947509999999999E-2</v>
      </c>
      <c r="V4416">
        <v>5.0754769999999998E-2</v>
      </c>
      <c r="W4416">
        <v>0.21156610000000001</v>
      </c>
      <c r="X4416">
        <v>0.97604500000000005</v>
      </c>
      <c r="Y4416">
        <v>-9.5765089999999998E-4</v>
      </c>
      <c r="Z4416">
        <v>-5.7964330000000001E-4</v>
      </c>
      <c r="AA4416">
        <v>0.99999930000000004</v>
      </c>
      <c r="AB4416">
        <v>35</v>
      </c>
      <c r="AC4416">
        <v>-21.470199999999899</v>
      </c>
      <c r="AD4416">
        <v>-1.12118178281799</v>
      </c>
      <c r="AE4416">
        <v>0.27639999999999498</v>
      </c>
      <c r="AF4416">
        <v>-2.10898014637164E-2</v>
      </c>
      <c r="AG4416">
        <v>-1.12118178281799</v>
      </c>
      <c r="AH4416">
        <v>21.413584190276499</v>
      </c>
      <c r="AI4416">
        <v>92.997179138218399</v>
      </c>
      <c r="AJ4416">
        <v>90.056429424107804</v>
      </c>
      <c r="AK4416">
        <v>21.442926135299398</v>
      </c>
      <c r="AL4416">
        <v>77.785855133568504</v>
      </c>
      <c r="AM4416">
        <v>87.023275358104897</v>
      </c>
      <c r="AN4416">
        <v>1.0000000516859799</v>
      </c>
    </row>
    <row r="4417" spans="1:40" x14ac:dyDescent="0.25">
      <c r="A4417" t="str">
        <f>"20190303162909068"</f>
        <v>20190303162909068</v>
      </c>
      <c r="B4417" t="str">
        <f>"1551601749056385"</f>
        <v>1551601749056385</v>
      </c>
      <c r="C4417" t="s">
        <v>40</v>
      </c>
      <c r="D4417">
        <v>5.4136769999999999</v>
      </c>
      <c r="E4417">
        <v>0.48062250000000001</v>
      </c>
      <c r="F4417" t="s">
        <v>41</v>
      </c>
      <c r="G4417">
        <v>-357.80149999999998</v>
      </c>
      <c r="H4417" s="1">
        <v>-1.762852E-6</v>
      </c>
      <c r="I4417">
        <v>142.76339999999999</v>
      </c>
      <c r="J4417">
        <v>-336.51659999999998</v>
      </c>
      <c r="K4417">
        <v>1.1211799999999901</v>
      </c>
      <c r="L4417">
        <v>142.51820000000001</v>
      </c>
      <c r="M4417">
        <v>-0.99983270000000002</v>
      </c>
      <c r="N4417">
        <v>-1.1952610000000001E-2</v>
      </c>
      <c r="O4417">
        <v>1.385115E-2</v>
      </c>
      <c r="P4417">
        <v>-0.97790650000000001</v>
      </c>
      <c r="Q4417">
        <v>0.19899790000000001</v>
      </c>
      <c r="R4417">
        <v>6.4021889999999998E-2</v>
      </c>
      <c r="S4417">
        <v>-3.0990600000000001</v>
      </c>
      <c r="T4417">
        <v>-0.16161600000000001</v>
      </c>
      <c r="U4417">
        <v>3.5781859999999999E-2</v>
      </c>
      <c r="V4417">
        <v>5.0484859999999999E-2</v>
      </c>
      <c r="W4417">
        <v>0.2106777</v>
      </c>
      <c r="X4417">
        <v>0.97625110000000004</v>
      </c>
      <c r="Y4417">
        <v>-2.2920449999999999E-3</v>
      </c>
      <c r="Z4417">
        <v>-6.2974540000000005E-4</v>
      </c>
      <c r="AA4417">
        <v>0.99999720000000003</v>
      </c>
      <c r="AB4417">
        <v>35</v>
      </c>
      <c r="AC4417">
        <v>-21.2849</v>
      </c>
      <c r="AD4417">
        <v>-1.12118176285199</v>
      </c>
      <c r="AE4417">
        <v>0.24519999999998199</v>
      </c>
      <c r="AF4417">
        <v>-4.9527505298994703E-2</v>
      </c>
      <c r="AG4417">
        <v>-1.12118176285199</v>
      </c>
      <c r="AH4417">
        <v>21.227363582285999</v>
      </c>
      <c r="AI4417">
        <v>93.023417019733699</v>
      </c>
      <c r="AJ4417">
        <v>90.133681785924793</v>
      </c>
      <c r="AK4417">
        <v>21.257009812617</v>
      </c>
      <c r="AL4417">
        <v>77.837930009297096</v>
      </c>
      <c r="AM4417">
        <v>87.039701088673894</v>
      </c>
      <c r="AN4417">
        <v>1.0000000123088499</v>
      </c>
    </row>
    <row r="4418" spans="1:40" x14ac:dyDescent="0.25">
      <c r="A4418" t="str">
        <f>"20190303162909085"</f>
        <v>20190303162909085</v>
      </c>
      <c r="B4418" t="str">
        <f>"1551601749075905"</f>
        <v>1551601749075905</v>
      </c>
      <c r="C4418" t="s">
        <v>40</v>
      </c>
      <c r="D4418">
        <v>5.3510330000000002</v>
      </c>
      <c r="E4418">
        <v>0.48008269999999997</v>
      </c>
      <c r="F4418" t="s">
        <v>41</v>
      </c>
      <c r="G4418">
        <v>-357.80169999999998</v>
      </c>
      <c r="H4418" s="1">
        <v>-1.7568629999999999E-6</v>
      </c>
      <c r="I4418">
        <v>142.7413</v>
      </c>
      <c r="J4418">
        <v>-336.7792</v>
      </c>
      <c r="K4418">
        <v>1.121186</v>
      </c>
      <c r="L4418">
        <v>142.52189999999999</v>
      </c>
      <c r="M4418">
        <v>-0.99983290000000002</v>
      </c>
      <c r="N4418">
        <v>-1.194837E-2</v>
      </c>
      <c r="O4418">
        <v>1.383734E-2</v>
      </c>
      <c r="P4418">
        <v>-0.97813839999999996</v>
      </c>
      <c r="Q4418">
        <v>0.1981734</v>
      </c>
      <c r="R4418">
        <v>6.3029440000000006E-2</v>
      </c>
      <c r="S4418">
        <v>-3.0989070000000001</v>
      </c>
      <c r="T4418">
        <v>-0.16323389999999999</v>
      </c>
      <c r="U4418">
        <v>3.2485960000000001E-2</v>
      </c>
      <c r="V4418">
        <v>4.9498649999999998E-2</v>
      </c>
      <c r="W4418">
        <v>0.20985309999999999</v>
      </c>
      <c r="X4418">
        <v>0.97647919999999999</v>
      </c>
      <c r="Y4418">
        <v>-3.338971E-3</v>
      </c>
      <c r="Z4418">
        <v>-6.7091049999999999E-4</v>
      </c>
      <c r="AA4418">
        <v>0.99999420000000006</v>
      </c>
      <c r="AB4418">
        <v>35</v>
      </c>
      <c r="AC4418">
        <v>-21.022499999999901</v>
      </c>
      <c r="AD4418">
        <v>-1.121187756863</v>
      </c>
      <c r="AE4418">
        <v>0.21940000000000701</v>
      </c>
      <c r="AF4418">
        <v>-7.1334366145557201E-2</v>
      </c>
      <c r="AG4418">
        <v>-1.121187756863</v>
      </c>
      <c r="AH4418">
        <v>20.963900282253199</v>
      </c>
      <c r="AI4418">
        <v>93.061348874142595</v>
      </c>
      <c r="AJ4418">
        <v>90.194960970288605</v>
      </c>
      <c r="AK4418">
        <v>20.993981652420999</v>
      </c>
      <c r="AL4418">
        <v>77.886256746596999</v>
      </c>
      <c r="AM4418">
        <v>87.098106832547799</v>
      </c>
      <c r="AN4418">
        <v>1.0000000339820301</v>
      </c>
    </row>
    <row r="4419" spans="1:40" x14ac:dyDescent="0.25">
      <c r="A4419" t="str">
        <f>"20190303162909108"</f>
        <v>20190303162909108</v>
      </c>
      <c r="B4419" t="str">
        <f>"1551601749096401"</f>
        <v>1551601749096401</v>
      </c>
      <c r="C4419" t="s">
        <v>40</v>
      </c>
      <c r="D4419">
        <v>5.1001379999999896</v>
      </c>
      <c r="E4419">
        <v>0.4796319</v>
      </c>
      <c r="F4419" t="s">
        <v>41</v>
      </c>
      <c r="G4419">
        <v>-358.13310000000001</v>
      </c>
      <c r="H4419" s="1">
        <v>-1.6017249999999999E-6</v>
      </c>
      <c r="I4419">
        <v>142.6925</v>
      </c>
      <c r="J4419">
        <v>-337.12200000000001</v>
      </c>
      <c r="K4419">
        <v>1.1211960000000001</v>
      </c>
      <c r="L4419">
        <v>142.5266</v>
      </c>
      <c r="M4419">
        <v>-0.99983350000000004</v>
      </c>
      <c r="N4419">
        <v>-1.19436E-2</v>
      </c>
      <c r="O4419">
        <v>1.3797729999999999E-2</v>
      </c>
      <c r="P4419">
        <v>-0.97857640000000001</v>
      </c>
      <c r="Q4419">
        <v>0.1962062</v>
      </c>
      <c r="R4419">
        <v>6.2381869999999999E-2</v>
      </c>
      <c r="S4419">
        <v>-3.0983890000000001</v>
      </c>
      <c r="T4419">
        <v>-0.1626813</v>
      </c>
      <c r="U4419">
        <v>2.476501E-2</v>
      </c>
      <c r="V4419">
        <v>4.8875099999999998E-2</v>
      </c>
      <c r="W4419">
        <v>0.2078884</v>
      </c>
      <c r="X4419">
        <v>0.97693070000000004</v>
      </c>
      <c r="Y4419">
        <v>-5.7852969999999896E-3</v>
      </c>
      <c r="Z4419">
        <v>-7.4554969999999999E-4</v>
      </c>
      <c r="AA4419">
        <v>0.99998299999999996</v>
      </c>
      <c r="AB4419">
        <v>35</v>
      </c>
      <c r="AC4419">
        <v>-21.011099999999999</v>
      </c>
      <c r="AD4419">
        <v>-1.1211976017249901</v>
      </c>
      <c r="AE4419">
        <v>0.165899999999993</v>
      </c>
      <c r="AF4419">
        <v>-0.123689764258246</v>
      </c>
      <c r="AG4419">
        <v>-1.1211976017249901</v>
      </c>
      <c r="AH4419">
        <v>20.9517320563622</v>
      </c>
      <c r="AI4419">
        <v>93.063114710941406</v>
      </c>
      <c r="AJ4419">
        <v>90.338245024933201</v>
      </c>
      <c r="AK4419">
        <v>20.9820747158495</v>
      </c>
      <c r="AL4419">
        <v>78.0013640000045</v>
      </c>
      <c r="AM4419">
        <v>87.135923652150296</v>
      </c>
      <c r="AN4419">
        <v>0.99999997742852897</v>
      </c>
    </row>
    <row r="4420" spans="1:40" x14ac:dyDescent="0.25">
      <c r="A4420" t="str">
        <f>"20190303162909129"</f>
        <v>20190303162909129</v>
      </c>
      <c r="B4420" t="str">
        <f>"1551601749115922"</f>
        <v>1551601749115922</v>
      </c>
      <c r="C4420" t="s">
        <v>40</v>
      </c>
      <c r="D4420">
        <v>5.2913790000000001</v>
      </c>
      <c r="E4420">
        <v>0.47915360000000001</v>
      </c>
      <c r="F4420" t="s">
        <v>41</v>
      </c>
      <c r="G4420">
        <v>-358.04349999999999</v>
      </c>
      <c r="H4420" s="1">
        <v>-1.6294419999999999E-6</v>
      </c>
      <c r="I4420">
        <v>142.65209999999999</v>
      </c>
      <c r="J4420">
        <v>-337.46480000000003</v>
      </c>
      <c r="K4420">
        <v>1.1212120000000001</v>
      </c>
      <c r="L4420">
        <v>142.53129999999999</v>
      </c>
      <c r="M4420">
        <v>-0.99983449999999996</v>
      </c>
      <c r="N4420">
        <v>-1.193954E-2</v>
      </c>
      <c r="O4420">
        <v>1.372897E-2</v>
      </c>
      <c r="P4420">
        <v>-0.97920779999999996</v>
      </c>
      <c r="Q4420">
        <v>0.192941</v>
      </c>
      <c r="R4420">
        <v>6.2658530000000004E-2</v>
      </c>
      <c r="S4420">
        <v>-3.0977779999999999</v>
      </c>
      <c r="T4420">
        <v>-0.16601260000000001</v>
      </c>
      <c r="U4420">
        <v>1.8600459999999999E-2</v>
      </c>
      <c r="V4420">
        <v>4.9198100000000002E-2</v>
      </c>
      <c r="W4420">
        <v>0.20463029999999999</v>
      </c>
      <c r="X4420">
        <v>0.97760219999999998</v>
      </c>
      <c r="Y4420">
        <v>-7.7005090000000003E-3</v>
      </c>
      <c r="Z4420">
        <v>-8.2355350000000004E-4</v>
      </c>
      <c r="AA4420">
        <v>0.99997000000000003</v>
      </c>
      <c r="AB4420">
        <v>35</v>
      </c>
      <c r="AC4420">
        <v>-20.578699999999898</v>
      </c>
      <c r="AD4420">
        <v>-1.1212136294419901</v>
      </c>
      <c r="AE4420">
        <v>0.120800000000002</v>
      </c>
      <c r="AF4420">
        <v>-0.161277133009887</v>
      </c>
      <c r="AG4420">
        <v>-1.1212136294419901</v>
      </c>
      <c r="AH4420">
        <v>20.517514149148798</v>
      </c>
      <c r="AI4420">
        <v>93.127815466086204</v>
      </c>
      <c r="AJ4420">
        <v>90.450362001922898</v>
      </c>
      <c r="AK4420">
        <v>20.548759504578399</v>
      </c>
      <c r="AL4420">
        <v>78.192142420530004</v>
      </c>
      <c r="AM4420">
        <v>87.119004641492495</v>
      </c>
      <c r="AN4420">
        <v>1.00000003708326</v>
      </c>
    </row>
    <row r="4421" spans="1:40" x14ac:dyDescent="0.25">
      <c r="A4421" t="str">
        <f>"20190303162909152"</f>
        <v>20190303162909152</v>
      </c>
      <c r="B4421" t="str">
        <f>"1551601749146178"</f>
        <v>1551601749146178</v>
      </c>
      <c r="C4421" t="s">
        <v>40</v>
      </c>
      <c r="D4421">
        <v>5.1343449999999997</v>
      </c>
      <c r="E4421">
        <v>0.47853479999999998</v>
      </c>
      <c r="F4421" t="s">
        <v>41</v>
      </c>
      <c r="G4421">
        <v>-357.51400000000001</v>
      </c>
      <c r="H4421" s="1">
        <v>-1.848792E-6</v>
      </c>
      <c r="I4421">
        <v>142.62299999999999</v>
      </c>
      <c r="J4421">
        <v>-337.8313</v>
      </c>
      <c r="K4421">
        <v>1.121227</v>
      </c>
      <c r="L4421">
        <v>142.53620000000001</v>
      </c>
      <c r="M4421">
        <v>-0.99983619999999995</v>
      </c>
      <c r="N4421">
        <v>-1.1935940000000001E-2</v>
      </c>
      <c r="O4421">
        <v>1.361009E-2</v>
      </c>
      <c r="P4421">
        <v>-0.98015200000000002</v>
      </c>
      <c r="Q4421">
        <v>0.18802920000000001</v>
      </c>
      <c r="R4421">
        <v>6.2825279999999997E-2</v>
      </c>
      <c r="S4421">
        <v>-3.0968930000000001</v>
      </c>
      <c r="T4421">
        <v>-0.1731877</v>
      </c>
      <c r="U4421">
        <v>1.4175419999999999E-2</v>
      </c>
      <c r="V4421">
        <v>4.9450899999999999E-2</v>
      </c>
      <c r="W4421">
        <v>0.19973060000000001</v>
      </c>
      <c r="X4421">
        <v>0.97860219999999998</v>
      </c>
      <c r="Y4421">
        <v>-9.0038569999999901E-3</v>
      </c>
      <c r="Z4421">
        <v>-9.0348839999999995E-4</v>
      </c>
      <c r="AA4421">
        <v>0.99995909999999999</v>
      </c>
      <c r="AB4421">
        <v>35</v>
      </c>
      <c r="AC4421">
        <v>-19.682700000000001</v>
      </c>
      <c r="AD4421">
        <v>-1.1212288487919999</v>
      </c>
      <c r="AE4421">
        <v>8.6799999999982405E-2</v>
      </c>
      <c r="AF4421">
        <v>-0.18052462917415801</v>
      </c>
      <c r="AG4421">
        <v>-1.1212288487919999</v>
      </c>
      <c r="AH4421">
        <v>19.618397020977199</v>
      </c>
      <c r="AI4421">
        <v>93.270866716306401</v>
      </c>
      <c r="AJ4421">
        <v>90.527209609442394</v>
      </c>
      <c r="AK4421">
        <v>19.651240290266301</v>
      </c>
      <c r="AL4421">
        <v>78.478794123603706</v>
      </c>
      <c r="AM4421">
        <v>87.107180102262106</v>
      </c>
      <c r="AN4421">
        <v>0.99999998496600495</v>
      </c>
    </row>
    <row r="4422" spans="1:40" x14ac:dyDescent="0.25">
      <c r="A4422" t="str">
        <f>"20190303162909166"</f>
        <v>20190303162909166</v>
      </c>
      <c r="B4422" t="str">
        <f>"1551601749155938"</f>
        <v>1551601749155938</v>
      </c>
      <c r="C4422" t="s">
        <v>40</v>
      </c>
      <c r="D4422">
        <v>5.3316150000000002</v>
      </c>
      <c r="E4422">
        <v>0.47837089999999999</v>
      </c>
      <c r="F4422" t="s">
        <v>41</v>
      </c>
      <c r="G4422">
        <v>-356.714</v>
      </c>
      <c r="H4422" s="1">
        <v>-2.1818060000000002E-6</v>
      </c>
      <c r="I4422">
        <v>142.58459999999999</v>
      </c>
      <c r="J4422">
        <v>-338.0539</v>
      </c>
      <c r="K4422">
        <v>1.1212409999999999</v>
      </c>
      <c r="L4422">
        <v>142.53919999999999</v>
      </c>
      <c r="M4422">
        <v>-0.99983759999999999</v>
      </c>
      <c r="N4422">
        <v>-1.193404E-2</v>
      </c>
      <c r="O4422">
        <v>1.3511230000000001E-2</v>
      </c>
      <c r="P4422">
        <v>-0.98082009999999997</v>
      </c>
      <c r="Q4422">
        <v>0.1845241</v>
      </c>
      <c r="R4422">
        <v>6.2794299999999997E-2</v>
      </c>
      <c r="S4422">
        <v>-3.09552</v>
      </c>
      <c r="T4422">
        <v>-0.18380779999999999</v>
      </c>
      <c r="U4422">
        <v>7.9498290000000003E-3</v>
      </c>
      <c r="V4422">
        <v>4.949539E-2</v>
      </c>
      <c r="W4422">
        <v>0.1962354</v>
      </c>
      <c r="X4422">
        <v>0.97930680000000003</v>
      </c>
      <c r="Y4422">
        <v>-1.0905949999999999E-2</v>
      </c>
      <c r="Z4422">
        <v>-1.0290620000000001E-3</v>
      </c>
      <c r="AA4422">
        <v>0.99994000000000005</v>
      </c>
      <c r="AB4422">
        <v>35</v>
      </c>
      <c r="AC4422">
        <v>-18.6601</v>
      </c>
      <c r="AD4422">
        <v>-1.121243181806</v>
      </c>
      <c r="AE4422">
        <v>4.5400000000000697E-2</v>
      </c>
      <c r="AF4422">
        <v>-0.20599921472167501</v>
      </c>
      <c r="AG4422">
        <v>-1.121243181806</v>
      </c>
      <c r="AH4422">
        <v>18.5918836312417</v>
      </c>
      <c r="AI4422">
        <v>93.451014382461494</v>
      </c>
      <c r="AJ4422">
        <v>90.634814785398106</v>
      </c>
      <c r="AK4422">
        <v>18.626802165343499</v>
      </c>
      <c r="AL4422">
        <v>78.683098364251293</v>
      </c>
      <c r="AM4422">
        <v>87.106661594937094</v>
      </c>
      <c r="AN4422">
        <v>0.99999996718532502</v>
      </c>
    </row>
    <row r="4423" spans="1:40" x14ac:dyDescent="0.25">
      <c r="A4423" t="str">
        <f>"20190303162909180"</f>
        <v>20190303162909180</v>
      </c>
      <c r="B4423" t="str">
        <f>"1551601749166675"</f>
        <v>1551601749166675</v>
      </c>
      <c r="C4423" t="s">
        <v>40</v>
      </c>
      <c r="D4423">
        <v>5.1322199999999896</v>
      </c>
      <c r="E4423">
        <v>0.47822979999999998</v>
      </c>
      <c r="F4423" t="s">
        <v>41</v>
      </c>
      <c r="G4423">
        <v>-355.99360000000001</v>
      </c>
      <c r="H4423" s="1">
        <v>-2.4881069999999999E-6</v>
      </c>
      <c r="I4423">
        <v>142.57429999999999</v>
      </c>
      <c r="J4423">
        <v>-338.2715</v>
      </c>
      <c r="K4423">
        <v>1.1212569999999999</v>
      </c>
      <c r="L4423">
        <v>142.542</v>
      </c>
      <c r="M4423">
        <v>-0.99983929999999999</v>
      </c>
      <c r="N4423">
        <v>-1.1932440000000001E-2</v>
      </c>
      <c r="O4423">
        <v>1.3385380000000001E-2</v>
      </c>
      <c r="P4423">
        <v>-0.98149989999999998</v>
      </c>
      <c r="Q4423">
        <v>0.18096619999999999</v>
      </c>
      <c r="R4423">
        <v>6.2527250000000006E-2</v>
      </c>
      <c r="S4423">
        <v>-3.0946349999999998</v>
      </c>
      <c r="T4423">
        <v>-0.19341700000000001</v>
      </c>
      <c r="U4423">
        <v>6.0729979999999996E-3</v>
      </c>
      <c r="V4423">
        <v>4.9328980000000001E-2</v>
      </c>
      <c r="W4423">
        <v>0.19268769999999999</v>
      </c>
      <c r="X4423">
        <v>0.98001950000000004</v>
      </c>
      <c r="Y4423">
        <v>-1.138051E-2</v>
      </c>
      <c r="Z4423">
        <v>-1.099432E-3</v>
      </c>
      <c r="AA4423">
        <v>0.99993460000000001</v>
      </c>
      <c r="AB4423">
        <v>35</v>
      </c>
      <c r="AC4423">
        <v>-17.722100000000001</v>
      </c>
      <c r="AD4423">
        <v>-1.1212594881069999</v>
      </c>
      <c r="AE4423">
        <v>3.2299999999992203E-2</v>
      </c>
      <c r="AF4423">
        <v>-0.20411972403304501</v>
      </c>
      <c r="AG4423">
        <v>-1.1212594881069999</v>
      </c>
      <c r="AH4423">
        <v>17.650291181440199</v>
      </c>
      <c r="AI4423">
        <v>93.6346678782769</v>
      </c>
      <c r="AJ4423">
        <v>90.662577021889902</v>
      </c>
      <c r="AK4423">
        <v>17.6870479869037</v>
      </c>
      <c r="AL4423">
        <v>78.890323648768899</v>
      </c>
      <c r="AM4423">
        <v>87.118466458129504</v>
      </c>
      <c r="AN4423">
        <v>1.00000005918968</v>
      </c>
    </row>
    <row r="4424" spans="1:40" x14ac:dyDescent="0.25">
      <c r="A4424" t="str">
        <f>"20190303162909195"</f>
        <v>20190303162909195</v>
      </c>
      <c r="B4424" t="str">
        <f>"1551601749186103"</f>
        <v>1551601749186103</v>
      </c>
      <c r="C4424" t="s">
        <v>40</v>
      </c>
      <c r="D4424">
        <v>5.0399599999999998</v>
      </c>
      <c r="E4424">
        <v>0.47796240000000001</v>
      </c>
      <c r="F4424" t="s">
        <v>41</v>
      </c>
      <c r="G4424">
        <v>-355.3562</v>
      </c>
      <c r="H4424" s="1">
        <v>-2.7580859999999999E-6</v>
      </c>
      <c r="I4424">
        <v>142.56129999999999</v>
      </c>
      <c r="J4424">
        <v>-338.51060000000001</v>
      </c>
      <c r="K4424">
        <v>1.121245</v>
      </c>
      <c r="L4424">
        <v>142.54499999999999</v>
      </c>
      <c r="M4424">
        <v>-0.9998416</v>
      </c>
      <c r="N4424">
        <v>-1.1930929999999999E-2</v>
      </c>
      <c r="O4424">
        <v>1.320896E-2</v>
      </c>
      <c r="P4424">
        <v>-0.98340019999999995</v>
      </c>
      <c r="Q4424">
        <v>0.17040420000000001</v>
      </c>
      <c r="R4424">
        <v>6.2344410000000003E-2</v>
      </c>
      <c r="S4424">
        <v>-3.09375</v>
      </c>
      <c r="T4424">
        <v>-0.2030421</v>
      </c>
      <c r="U4424">
        <v>3.5095209999999998E-3</v>
      </c>
      <c r="V4424">
        <v>4.9279589999999998E-2</v>
      </c>
      <c r="W4424">
        <v>0.18215229999999999</v>
      </c>
      <c r="X4424">
        <v>0.98203470000000004</v>
      </c>
      <c r="Y4424">
        <v>-1.2026E-2</v>
      </c>
      <c r="Z4424">
        <v>-1.174525E-3</v>
      </c>
      <c r="AA4424">
        <v>0.99992700000000001</v>
      </c>
      <c r="AB4424">
        <v>35</v>
      </c>
      <c r="AC4424">
        <v>-16.845599999999902</v>
      </c>
      <c r="AD4424">
        <v>-1.1212477580859901</v>
      </c>
      <c r="AE4424">
        <v>1.6300000000001001E-2</v>
      </c>
      <c r="AF4424">
        <v>-0.20532048774234099</v>
      </c>
      <c r="AG4424">
        <v>-1.1212477580859901</v>
      </c>
      <c r="AH4424">
        <v>16.7700496858184</v>
      </c>
      <c r="AI4424">
        <v>93.824824663218095</v>
      </c>
      <c r="AJ4424">
        <v>90.701453476197301</v>
      </c>
      <c r="AK4424">
        <v>16.808745328028401</v>
      </c>
      <c r="AL4424">
        <v>79.504850119421803</v>
      </c>
      <c r="AM4424">
        <v>87.127243982194301</v>
      </c>
      <c r="AN4424">
        <v>1.00000004519497</v>
      </c>
    </row>
    <row r="4425" spans="1:40" x14ac:dyDescent="0.25">
      <c r="A4425" t="str">
        <f>"20190303162909210"</f>
        <v>20190303162909210</v>
      </c>
      <c r="B4425" t="str">
        <f>"1551601749206598"</f>
        <v>1551601749206598</v>
      </c>
      <c r="C4425" t="s">
        <v>40</v>
      </c>
      <c r="D4425">
        <v>5.0843530000000001</v>
      </c>
      <c r="E4425">
        <v>0.47776459999999998</v>
      </c>
      <c r="F4425" t="s">
        <v>41</v>
      </c>
      <c r="G4425">
        <v>-353.42349999999999</v>
      </c>
      <c r="H4425" s="1">
        <v>-3.5826569999999999E-6</v>
      </c>
      <c r="I4425">
        <v>142.54419999999999</v>
      </c>
      <c r="J4425">
        <v>-338.74810000000002</v>
      </c>
      <c r="K4425">
        <v>1.121254</v>
      </c>
      <c r="L4425">
        <v>142.548</v>
      </c>
      <c r="M4425">
        <v>-0.99984439999999997</v>
      </c>
      <c r="N4425">
        <v>-1.19296E-2</v>
      </c>
      <c r="O4425">
        <v>1.29988E-2</v>
      </c>
      <c r="P4425">
        <v>-0.98466370000000003</v>
      </c>
      <c r="Q4425">
        <v>0.16301280000000001</v>
      </c>
      <c r="R4425">
        <v>6.2162429999999998E-2</v>
      </c>
      <c r="S4425">
        <v>-3.0909119999999999</v>
      </c>
      <c r="T4425">
        <v>-0.2323945</v>
      </c>
      <c r="U4425">
        <v>-1.5258789999999999E-4</v>
      </c>
      <c r="V4425">
        <v>4.9272040000000003E-2</v>
      </c>
      <c r="W4425">
        <v>0.17478050000000001</v>
      </c>
      <c r="X4425">
        <v>0.98337379999999996</v>
      </c>
      <c r="Y4425">
        <v>-1.298066E-2</v>
      </c>
      <c r="Z4425">
        <v>-1.3858919999999999E-3</v>
      </c>
      <c r="AA4425">
        <v>0.99991479999999999</v>
      </c>
      <c r="AB4425">
        <v>35</v>
      </c>
      <c r="AC4425">
        <v>-14.6753999999999</v>
      </c>
      <c r="AD4425">
        <v>-1.1212575826569999</v>
      </c>
      <c r="AE4425">
        <v>-3.8000000000124601E-3</v>
      </c>
      <c r="AF4425">
        <v>-0.19344657902943299</v>
      </c>
      <c r="AG4425">
        <v>-1.1212575826569999</v>
      </c>
      <c r="AH4425">
        <v>14.588946774930101</v>
      </c>
      <c r="AI4425">
        <v>94.394536968392401</v>
      </c>
      <c r="AJ4425">
        <v>90.759686301768497</v>
      </c>
      <c r="AK4425">
        <v>14.633250088321001</v>
      </c>
      <c r="AL4425">
        <v>79.934115115678395</v>
      </c>
      <c r="AM4425">
        <v>87.131588186210607</v>
      </c>
      <c r="AN4425">
        <v>0.99999999381622495</v>
      </c>
    </row>
    <row r="4426" spans="1:40" x14ac:dyDescent="0.25">
      <c r="A4426" t="str">
        <f>"20190303162909229"</f>
        <v>20190303162909229</v>
      </c>
      <c r="B4426" t="str">
        <f>"1551601749216358"</f>
        <v>1551601749216358</v>
      </c>
      <c r="C4426" t="s">
        <v>40</v>
      </c>
      <c r="D4426">
        <v>5.2584</v>
      </c>
      <c r="E4426">
        <v>0.47768500000000003</v>
      </c>
      <c r="F4426" t="s">
        <v>41</v>
      </c>
      <c r="G4426">
        <v>-352.35109999999997</v>
      </c>
      <c r="H4426" s="1">
        <v>-3.9935979999999997E-6</v>
      </c>
      <c r="I4426">
        <v>142.53469999999999</v>
      </c>
      <c r="J4426">
        <v>-339.03019999999998</v>
      </c>
      <c r="K4426">
        <v>1.12121</v>
      </c>
      <c r="L4426">
        <v>142.5514</v>
      </c>
      <c r="M4426">
        <v>-0.99984839999999997</v>
      </c>
      <c r="N4426">
        <v>-1.1928269999999999E-2</v>
      </c>
      <c r="O4426">
        <v>1.269881E-2</v>
      </c>
      <c r="P4426">
        <v>-0.98764669999999999</v>
      </c>
      <c r="Q4426">
        <v>0.1434523</v>
      </c>
      <c r="R4426">
        <v>6.3054559999999996E-2</v>
      </c>
      <c r="S4426">
        <v>-3.0891419999999998</v>
      </c>
      <c r="T4426">
        <v>-0.25462970000000001</v>
      </c>
      <c r="U4426">
        <v>-3.005981E-3</v>
      </c>
      <c r="V4426">
        <v>5.0409969999999998E-2</v>
      </c>
      <c r="W4426">
        <v>0.15526300000000001</v>
      </c>
      <c r="X4426">
        <v>0.98658619999999997</v>
      </c>
      <c r="Y4426">
        <v>-1.358843E-2</v>
      </c>
      <c r="Z4426">
        <v>-1.5339570000000001E-3</v>
      </c>
      <c r="AA4426">
        <v>0.99990650000000003</v>
      </c>
      <c r="AB4426">
        <v>35</v>
      </c>
      <c r="AC4426">
        <v>-13.3208999999999</v>
      </c>
      <c r="AD4426">
        <v>-1.1212139935979999</v>
      </c>
      <c r="AE4426">
        <v>-1.6700000000014301E-2</v>
      </c>
      <c r="AF4426">
        <v>-0.184562701527033</v>
      </c>
      <c r="AG4426">
        <v>-1.1212139935979999</v>
      </c>
      <c r="AH4426">
        <v>13.2259146649013</v>
      </c>
      <c r="AI4426">
        <v>94.845138537044505</v>
      </c>
      <c r="AJ4426">
        <v>90.799489320325804</v>
      </c>
      <c r="AK4426">
        <v>13.2746375820015</v>
      </c>
      <c r="AL4426">
        <v>81.067950720544403</v>
      </c>
      <c r="AM4426">
        <v>87.074995630089205</v>
      </c>
      <c r="AN4426">
        <v>1.00000004713741</v>
      </c>
    </row>
    <row r="4427" spans="1:40" x14ac:dyDescent="0.25">
      <c r="A4427" t="str">
        <f>"20190303162909245"</f>
        <v>20190303162909245</v>
      </c>
      <c r="B4427" t="str">
        <f>"1551601749235878"</f>
        <v>1551601749235878</v>
      </c>
      <c r="C4427" t="s">
        <v>40</v>
      </c>
      <c r="D4427">
        <v>5.1079150000000002</v>
      </c>
      <c r="E4427">
        <v>0.47751440000000001</v>
      </c>
      <c r="F4427" t="s">
        <v>44</v>
      </c>
      <c r="G4427">
        <v>-339.98540000000003</v>
      </c>
      <c r="H4427">
        <v>1.0242119999999999</v>
      </c>
      <c r="I4427">
        <v>142.55080000000001</v>
      </c>
      <c r="J4427">
        <v>-339.29629999999997</v>
      </c>
      <c r="K4427">
        <v>1.1212089999999999</v>
      </c>
      <c r="L4427">
        <v>142.55449999999999</v>
      </c>
      <c r="M4427">
        <v>-0.99985250000000003</v>
      </c>
      <c r="N4427">
        <v>-1.192735E-2</v>
      </c>
      <c r="O4427">
        <v>1.2371480000000001E-2</v>
      </c>
      <c r="P4427">
        <v>-0.98936100000000005</v>
      </c>
      <c r="Q4427">
        <v>0.13089149999999999</v>
      </c>
      <c r="R4427">
        <v>6.3502840000000005E-2</v>
      </c>
      <c r="S4427">
        <v>-3.0831909999999998</v>
      </c>
      <c r="T4427">
        <v>-0.31314399999999998</v>
      </c>
      <c r="U4427">
        <v>-2.8076170000000001E-3</v>
      </c>
      <c r="V4427">
        <v>5.114958E-2</v>
      </c>
      <c r="W4427">
        <v>0.14272969999999999</v>
      </c>
      <c r="X4427">
        <v>0.98843910000000001</v>
      </c>
      <c r="Y4427">
        <v>-1.315765E-2</v>
      </c>
      <c r="Z4427">
        <v>-1.8511879999999999E-3</v>
      </c>
      <c r="AA4427">
        <v>0.99991169999999996</v>
      </c>
      <c r="AB4427">
        <v>35</v>
      </c>
      <c r="AC4427">
        <v>-0.689100000000053</v>
      </c>
      <c r="AD4427">
        <v>-9.6997E-2</v>
      </c>
      <c r="AE4427">
        <v>-3.69999999998071E-3</v>
      </c>
      <c r="AF4427">
        <v>-1.19879963552805E-2</v>
      </c>
      <c r="AG4427">
        <v>-9.6997E-2</v>
      </c>
      <c r="AH4427">
        <v>0.675615830153244</v>
      </c>
      <c r="AI4427">
        <v>98.168759926146606</v>
      </c>
      <c r="AJ4427">
        <v>91.016538533430193</v>
      </c>
      <c r="AK4427">
        <v>0.68264843076013204</v>
      </c>
      <c r="AL4427">
        <v>81.794166429197801</v>
      </c>
      <c r="AM4427">
        <v>87.037709947945203</v>
      </c>
      <c r="AN4427">
        <v>0.99999995060253699</v>
      </c>
    </row>
    <row r="4428" spans="1:40" x14ac:dyDescent="0.25">
      <c r="A4428" t="str">
        <f>"20190303162909258"</f>
        <v>20190303162909258</v>
      </c>
      <c r="B4428" t="str">
        <f>"1551601749246614"</f>
        <v>1551601749246614</v>
      </c>
      <c r="C4428" t="s">
        <v>40</v>
      </c>
      <c r="D4428">
        <v>5.2488449999999904</v>
      </c>
      <c r="E4428">
        <v>0.47742089999999998</v>
      </c>
      <c r="F4428" t="s">
        <v>44</v>
      </c>
      <c r="G4428">
        <v>-340.29250000000002</v>
      </c>
      <c r="H4428">
        <v>1.0088600000000001</v>
      </c>
      <c r="I4428">
        <v>142.5538</v>
      </c>
      <c r="J4428">
        <v>-339.50110000000001</v>
      </c>
      <c r="K4428">
        <v>1.121184</v>
      </c>
      <c r="L4428">
        <v>142.55680000000001</v>
      </c>
      <c r="M4428">
        <v>-0.99985579999999996</v>
      </c>
      <c r="N4428">
        <v>-1.1926910000000001E-2</v>
      </c>
      <c r="O4428">
        <v>1.20877E-2</v>
      </c>
      <c r="P4428">
        <v>-0.99103399999999997</v>
      </c>
      <c r="Q4428">
        <v>0.1171628</v>
      </c>
      <c r="R4428">
        <v>6.4223269999999999E-2</v>
      </c>
      <c r="S4428">
        <v>-3.0784609999999999</v>
      </c>
      <c r="T4428">
        <v>-0.34728920000000002</v>
      </c>
      <c r="U4428">
        <v>-3.860474E-3</v>
      </c>
      <c r="V4428">
        <v>5.2128710000000002E-2</v>
      </c>
      <c r="W4428">
        <v>0.12902749999999999</v>
      </c>
      <c r="X4428">
        <v>0.99026990000000004</v>
      </c>
      <c r="Y4428">
        <v>-1.318861E-2</v>
      </c>
      <c r="Z4428">
        <v>-2.0360389999999999E-3</v>
      </c>
      <c r="AA4428">
        <v>0.99991099999999999</v>
      </c>
      <c r="AB4428">
        <v>35</v>
      </c>
      <c r="AC4428">
        <v>-0.79140000000000998</v>
      </c>
      <c r="AD4428">
        <v>-0.11232399999999899</v>
      </c>
      <c r="AE4428">
        <v>-3.0000000000143202E-3</v>
      </c>
      <c r="AF4428">
        <v>-1.2318522194927E-2</v>
      </c>
      <c r="AG4428">
        <v>-0.11232399999999899</v>
      </c>
      <c r="AH4428">
        <v>0.77568055935395597</v>
      </c>
      <c r="AI4428">
        <v>98.238533815222993</v>
      </c>
      <c r="AJ4428">
        <v>90.909833303172107</v>
      </c>
      <c r="AK4428">
        <v>0.78386781865613797</v>
      </c>
      <c r="AL4428">
        <v>82.586601012974398</v>
      </c>
      <c r="AM4428">
        <v>86.986679266952194</v>
      </c>
      <c r="AN4428">
        <v>0.99999998650426203</v>
      </c>
    </row>
    <row r="4429" spans="1:40" x14ac:dyDescent="0.25">
      <c r="A4429" t="str">
        <f>"20190303162909274"</f>
        <v>20190303162909274</v>
      </c>
      <c r="B4429" t="str">
        <f>"1551601749266134"</f>
        <v>1551601749266134</v>
      </c>
      <c r="C4429" t="s">
        <v>40</v>
      </c>
      <c r="D4429">
        <v>5.2558089999999904</v>
      </c>
      <c r="E4429">
        <v>0.47729369999999999</v>
      </c>
      <c r="F4429" t="s">
        <v>44</v>
      </c>
      <c r="G4429">
        <v>-340.29820000000001</v>
      </c>
      <c r="H4429">
        <v>1.020869</v>
      </c>
      <c r="I4429">
        <v>142.5565</v>
      </c>
      <c r="J4429">
        <v>-339.75709999999998</v>
      </c>
      <c r="K4429">
        <v>1.1211690000000001</v>
      </c>
      <c r="L4429">
        <v>142.55950000000001</v>
      </c>
      <c r="M4429">
        <v>-0.99986039999999998</v>
      </c>
      <c r="N4429">
        <v>-1.192646E-2</v>
      </c>
      <c r="O4429">
        <v>1.170563E-2</v>
      </c>
      <c r="P4429">
        <v>-0.99308399999999997</v>
      </c>
      <c r="Q4429">
        <v>9.8227720000000004E-2</v>
      </c>
      <c r="R4429">
        <v>6.4310950000000006E-2</v>
      </c>
      <c r="S4429">
        <v>-3.0730900000000001</v>
      </c>
      <c r="T4429">
        <v>-0.38689479999999998</v>
      </c>
      <c r="U4429">
        <v>-2.9296880000000002E-3</v>
      </c>
      <c r="V4429">
        <v>5.2575700000000003E-2</v>
      </c>
      <c r="W4429">
        <v>0.11012329999999999</v>
      </c>
      <c r="X4429">
        <v>0.99252640000000003</v>
      </c>
      <c r="Y4429">
        <v>-1.247611E-2</v>
      </c>
      <c r="Z4429">
        <v>-2.1857669999999999E-3</v>
      </c>
      <c r="AA4429">
        <v>0.99991980000000003</v>
      </c>
      <c r="AB4429">
        <v>35</v>
      </c>
      <c r="AC4429">
        <v>-0.541100000000028</v>
      </c>
      <c r="AD4429">
        <v>-0.1003</v>
      </c>
      <c r="AE4429">
        <v>-3.0000000000143202E-3</v>
      </c>
      <c r="AF4429">
        <v>-9.0241068411129905E-3</v>
      </c>
      <c r="AG4429">
        <v>-0.1003</v>
      </c>
      <c r="AH4429">
        <v>0.52305640040031498</v>
      </c>
      <c r="AI4429">
        <v>100.853548989489</v>
      </c>
      <c r="AJ4429">
        <v>90.988405733446001</v>
      </c>
      <c r="AK4429">
        <v>0.53266267233964704</v>
      </c>
      <c r="AL4429">
        <v>83.677576680161707</v>
      </c>
      <c r="AM4429">
        <v>86.967785548201306</v>
      </c>
      <c r="AN4429">
        <v>1.0000000000651601</v>
      </c>
    </row>
    <row r="4430" spans="1:40" x14ac:dyDescent="0.25">
      <c r="A4430" t="str">
        <f>"20190303162909291"</f>
        <v>20190303162909291</v>
      </c>
      <c r="B4430" t="str">
        <f>"1551601749286518"</f>
        <v>1551601749286518</v>
      </c>
      <c r="C4430" t="s">
        <v>40</v>
      </c>
      <c r="D4430">
        <v>5.2232469999999998</v>
      </c>
      <c r="E4430">
        <v>0.47490270000000001</v>
      </c>
      <c r="F4430" t="s">
        <v>44</v>
      </c>
      <c r="G4430">
        <v>-340.6028</v>
      </c>
      <c r="H4430">
        <v>1.0001</v>
      </c>
      <c r="I4430">
        <v>142.55879999999999</v>
      </c>
      <c r="J4430">
        <v>-340.00729999999999</v>
      </c>
      <c r="K4430">
        <v>1.1211979999999999</v>
      </c>
      <c r="L4430">
        <v>142.56209999999999</v>
      </c>
      <c r="M4430">
        <v>-0.99986509999999995</v>
      </c>
      <c r="N4430">
        <v>-1.192609E-2</v>
      </c>
      <c r="O4430">
        <v>1.130751E-2</v>
      </c>
      <c r="P4430">
        <v>-0.99317869999999997</v>
      </c>
      <c r="Q4430">
        <v>9.7498070000000006E-2</v>
      </c>
      <c r="R4430">
        <v>6.3955780000000004E-2</v>
      </c>
      <c r="S4430">
        <v>-3.0644840000000002</v>
      </c>
      <c r="T4430">
        <v>-0.43874809999999997</v>
      </c>
      <c r="U4430">
        <v>-3.3111569999999999E-3</v>
      </c>
      <c r="V4430">
        <v>5.2606130000000001E-2</v>
      </c>
      <c r="W4430">
        <v>0.1093991</v>
      </c>
      <c r="X4430">
        <v>0.99260490000000001</v>
      </c>
      <c r="Y4430">
        <v>-1.215744E-2</v>
      </c>
      <c r="Z4430">
        <v>-2.4152309999999999E-3</v>
      </c>
      <c r="AA4430">
        <v>0.99992320000000001</v>
      </c>
      <c r="AB4430">
        <v>35</v>
      </c>
      <c r="AC4430">
        <v>-0.59550000000001502</v>
      </c>
      <c r="AD4430">
        <v>-0.121097999999999</v>
      </c>
      <c r="AE4430">
        <v>-3.2999999999958601E-3</v>
      </c>
      <c r="AF4430">
        <v>-9.6354436991549792E-3</v>
      </c>
      <c r="AG4430">
        <v>-0.121097999999999</v>
      </c>
      <c r="AH4430">
        <v>0.57178031591879996</v>
      </c>
      <c r="AI4430">
        <v>101.956384629323</v>
      </c>
      <c r="AJ4430">
        <v>90.9654372362739</v>
      </c>
      <c r="AK4430">
        <v>0.584542810281234</v>
      </c>
      <c r="AL4430">
        <v>83.719322688095801</v>
      </c>
      <c r="AM4430">
        <v>86.966273319876194</v>
      </c>
      <c r="AN4430">
        <v>1.0000000277491901</v>
      </c>
    </row>
    <row r="4431" spans="1:40" x14ac:dyDescent="0.25">
      <c r="A4431" t="str">
        <f>"20190303162909307"</f>
        <v>20190303162909307</v>
      </c>
      <c r="B4431" t="str">
        <f>"1551601749296278"</f>
        <v>1551601749296278</v>
      </c>
      <c r="C4431" t="s">
        <v>40</v>
      </c>
      <c r="D4431">
        <v>5.2474049999999997</v>
      </c>
      <c r="E4431">
        <v>0.47470319999999999</v>
      </c>
      <c r="F4431" t="s">
        <v>41</v>
      </c>
      <c r="G4431">
        <v>-360.84589999999997</v>
      </c>
      <c r="H4431" s="1">
        <v>-4.4896579999999997E-6</v>
      </c>
      <c r="I4431">
        <v>142.4435</v>
      </c>
      <c r="J4431">
        <v>-340.27249999999998</v>
      </c>
      <c r="K4431">
        <v>1.1212409999999999</v>
      </c>
      <c r="L4431">
        <v>142.56469999999999</v>
      </c>
      <c r="M4431">
        <v>-0.99987000000000004</v>
      </c>
      <c r="N4431">
        <v>-1.1925750000000001E-2</v>
      </c>
      <c r="O4431">
        <v>1.0863279999999999E-2</v>
      </c>
      <c r="P4431">
        <v>-0.99229809999999996</v>
      </c>
      <c r="Q4431">
        <v>0.1060995</v>
      </c>
      <c r="R4431">
        <v>6.3932820000000001E-2</v>
      </c>
      <c r="S4431">
        <v>-3.0377809999999998</v>
      </c>
      <c r="T4431">
        <v>-0.16344549999999999</v>
      </c>
      <c r="U4431">
        <v>-1.7272949999999999E-2</v>
      </c>
      <c r="V4431">
        <v>5.3016260000000003E-2</v>
      </c>
      <c r="W4431">
        <v>0.11799279999999999</v>
      </c>
      <c r="X4431">
        <v>0.99159819999999999</v>
      </c>
      <c r="Y4431">
        <v>-1.6510790000000001E-2</v>
      </c>
      <c r="Z4431">
        <v>-9.9696839999999991E-4</v>
      </c>
      <c r="AA4431">
        <v>0.99986319999999995</v>
      </c>
      <c r="AB4431">
        <v>35</v>
      </c>
      <c r="AC4431">
        <v>-20.5733999999999</v>
      </c>
      <c r="AD4431">
        <v>-1.121245489658</v>
      </c>
      <c r="AE4431">
        <v>-0.121199999999987</v>
      </c>
      <c r="AF4431">
        <v>-0.343682539894066</v>
      </c>
      <c r="AG4431">
        <v>-1.121245489658</v>
      </c>
      <c r="AH4431">
        <v>20.509952078239198</v>
      </c>
      <c r="AI4431">
        <v>93.128713261448397</v>
      </c>
      <c r="AJ4431">
        <v>90.960007911393504</v>
      </c>
      <c r="AK4431">
        <v>20.5434525673747</v>
      </c>
      <c r="AL4431">
        <v>83.223724568439906</v>
      </c>
      <c r="AM4431">
        <v>86.939568358589597</v>
      </c>
      <c r="AN4431">
        <v>1.0000000074597299</v>
      </c>
    </row>
    <row r="4432" spans="1:40" x14ac:dyDescent="0.25">
      <c r="A4432" t="str">
        <f>"20190303162909330"</f>
        <v>20190303162909330</v>
      </c>
      <c r="B4432" t="str">
        <f>"1551601749326534"</f>
        <v>1551601749326534</v>
      </c>
      <c r="C4432" t="s">
        <v>40</v>
      </c>
      <c r="D4432">
        <v>5.2381379999999904</v>
      </c>
      <c r="E4432">
        <v>0.47527350000000002</v>
      </c>
      <c r="F4432" t="s">
        <v>41</v>
      </c>
      <c r="G4432">
        <v>-367.9975</v>
      </c>
      <c r="H4432" s="1">
        <v>-1.5836650000000001E-6</v>
      </c>
      <c r="I4432">
        <v>142.4059</v>
      </c>
      <c r="J4432">
        <v>-340.63060000000002</v>
      </c>
      <c r="K4432">
        <v>1.1212949999999999</v>
      </c>
      <c r="L4432">
        <v>142.56790000000001</v>
      </c>
      <c r="M4432">
        <v>-0.99987649999999995</v>
      </c>
      <c r="N4432">
        <v>-1.192531E-2</v>
      </c>
      <c r="O4432">
        <v>1.0235660000000001E-2</v>
      </c>
      <c r="P4432">
        <v>-0.99163579999999996</v>
      </c>
      <c r="Q4432">
        <v>0.1127918</v>
      </c>
      <c r="R4432">
        <v>6.2739859999999995E-2</v>
      </c>
      <c r="S4432">
        <v>-3.0375369999999999</v>
      </c>
      <c r="T4432">
        <v>-0.1228431</v>
      </c>
      <c r="U4432">
        <v>-1.7379760000000001E-2</v>
      </c>
      <c r="V4432">
        <v>5.2436580000000003E-2</v>
      </c>
      <c r="W4432">
        <v>0.12467930000000001</v>
      </c>
      <c r="X4432">
        <v>0.99081050000000004</v>
      </c>
      <c r="Y4432">
        <v>-1.5936450000000001E-2</v>
      </c>
      <c r="Z4432">
        <v>-7.0893249999999996E-4</v>
      </c>
      <c r="AA4432">
        <v>0.99987269999999995</v>
      </c>
      <c r="AB4432">
        <v>35</v>
      </c>
      <c r="AC4432">
        <v>-27.366899999999902</v>
      </c>
      <c r="AD4432">
        <v>-1.121296583665</v>
      </c>
      <c r="AE4432">
        <v>-0.162000000000006</v>
      </c>
      <c r="AF4432">
        <v>-0.44138875490815199</v>
      </c>
      <c r="AG4432">
        <v>-1.121296583665</v>
      </c>
      <c r="AH4432">
        <v>27.317949068652201</v>
      </c>
      <c r="AI4432">
        <v>92.350145237208494</v>
      </c>
      <c r="AJ4432">
        <v>90.925673897428993</v>
      </c>
      <c r="AK4432">
        <v>27.344514465957801</v>
      </c>
      <c r="AL4432">
        <v>82.837763746373398</v>
      </c>
      <c r="AM4432">
        <v>86.970566528636795</v>
      </c>
      <c r="AN4432">
        <v>0.99999998484041797</v>
      </c>
    </row>
    <row r="4433" spans="1:40" x14ac:dyDescent="0.25">
      <c r="A4433" t="str">
        <f>"20190303162909352"</f>
        <v>20190303162909352</v>
      </c>
      <c r="B4433" t="str">
        <f>"1551601749346054"</f>
        <v>1551601749346054</v>
      </c>
      <c r="C4433" t="s">
        <v>40</v>
      </c>
      <c r="D4433">
        <v>5.2370460000000003</v>
      </c>
      <c r="E4433">
        <v>0.47573100000000001</v>
      </c>
      <c r="F4433" t="s">
        <v>41</v>
      </c>
      <c r="G4433">
        <v>-376.05309999999997</v>
      </c>
      <c r="H4433" s="1">
        <v>-2.4134870000000001E-6</v>
      </c>
      <c r="I4433">
        <v>142.3897</v>
      </c>
      <c r="J4433">
        <v>-340.98820000000001</v>
      </c>
      <c r="K4433">
        <v>1.121316</v>
      </c>
      <c r="L4433">
        <v>142.571</v>
      </c>
      <c r="M4433">
        <v>-0.99988299999999997</v>
      </c>
      <c r="N4433">
        <v>-1.192493E-2</v>
      </c>
      <c r="O4433">
        <v>9.5932159999999999E-3</v>
      </c>
      <c r="P4433">
        <v>-0.99204709999999996</v>
      </c>
      <c r="Q4433">
        <v>0.1110462</v>
      </c>
      <c r="R4433">
        <v>5.9259470000000002E-2</v>
      </c>
      <c r="S4433">
        <v>-3.0372309999999998</v>
      </c>
      <c r="T4433">
        <v>-9.6143720000000002E-2</v>
      </c>
      <c r="U4433">
        <v>-1.5274050000000001E-2</v>
      </c>
      <c r="V4433">
        <v>4.9585810000000001E-2</v>
      </c>
      <c r="W4433">
        <v>0.12293659999999999</v>
      </c>
      <c r="X4433">
        <v>0.99117500000000003</v>
      </c>
      <c r="Y4433">
        <v>-1.461048E-2</v>
      </c>
      <c r="Z4433">
        <v>-5.07546E-4</v>
      </c>
      <c r="AA4433">
        <v>0.99989309999999998</v>
      </c>
      <c r="AB4433">
        <v>35</v>
      </c>
      <c r="AC4433">
        <v>-35.064899999999902</v>
      </c>
      <c r="AD4433">
        <v>-1.121318413487</v>
      </c>
      <c r="AE4433">
        <v>-0.18129999999999299</v>
      </c>
      <c r="AF4433">
        <v>-0.51717184021593199</v>
      </c>
      <c r="AG4433">
        <v>-1.121318413487</v>
      </c>
      <c r="AH4433">
        <v>35.025729928699803</v>
      </c>
      <c r="AI4433">
        <v>91.833448782671596</v>
      </c>
      <c r="AJ4433">
        <v>90.845938418276901</v>
      </c>
      <c r="AK4433">
        <v>35.04749033433</v>
      </c>
      <c r="AL4433">
        <v>82.938387546283195</v>
      </c>
      <c r="AM4433">
        <v>87.1360344487248</v>
      </c>
      <c r="AN4433">
        <v>1.0000000203989501</v>
      </c>
    </row>
    <row r="4434" spans="1:40" x14ac:dyDescent="0.25">
      <c r="A4434" t="str">
        <f>"20190303162909367"</f>
        <v>20190303162909367</v>
      </c>
      <c r="B4434" t="str">
        <f>"1551601749355814"</f>
        <v>1551601749355814</v>
      </c>
      <c r="C4434" t="s">
        <v>40</v>
      </c>
      <c r="D4434">
        <v>5.2429569999999996</v>
      </c>
      <c r="E4434">
        <v>0.47568640000000001</v>
      </c>
      <c r="F4434" t="s">
        <v>41</v>
      </c>
      <c r="G4434">
        <v>-376.18619999999999</v>
      </c>
      <c r="H4434" s="1">
        <v>-2.339568E-6</v>
      </c>
      <c r="I4434">
        <v>142.32660000000001</v>
      </c>
      <c r="J4434">
        <v>-341.21190000000001</v>
      </c>
      <c r="K4434">
        <v>1.1213299999999999</v>
      </c>
      <c r="L4434">
        <v>142.5727</v>
      </c>
      <c r="M4434">
        <v>-0.99988690000000002</v>
      </c>
      <c r="N4434">
        <v>-1.1924779999999999E-2</v>
      </c>
      <c r="O4434">
        <v>9.1883439999999993E-3</v>
      </c>
      <c r="P4434">
        <v>-0.99221689999999996</v>
      </c>
      <c r="Q4434">
        <v>0.11101080000000001</v>
      </c>
      <c r="R4434">
        <v>5.6416319999999999E-2</v>
      </c>
      <c r="S4434">
        <v>-3.0361630000000002</v>
      </c>
      <c r="T4434">
        <v>-9.6724270000000001E-2</v>
      </c>
      <c r="U4434">
        <v>-2.107239E-2</v>
      </c>
      <c r="V4434">
        <v>4.7140000000000001E-2</v>
      </c>
      <c r="W4434">
        <v>0.1229007</v>
      </c>
      <c r="X4434">
        <v>0.99129880000000004</v>
      </c>
      <c r="Y4434">
        <v>-1.611572E-2</v>
      </c>
      <c r="Z4434">
        <v>-5.3584439999999998E-4</v>
      </c>
      <c r="AA4434">
        <v>0.99987000000000004</v>
      </c>
      <c r="AB4434">
        <v>35</v>
      </c>
      <c r="AC4434">
        <v>-34.9742999999999</v>
      </c>
      <c r="AD4434">
        <v>-1.1213323395679999</v>
      </c>
      <c r="AE4434">
        <v>-0.246099999999984</v>
      </c>
      <c r="AF4434">
        <v>-0.56688559029584795</v>
      </c>
      <c r="AG4434">
        <v>-1.1213323395679999</v>
      </c>
      <c r="AH4434">
        <v>34.934652797403302</v>
      </c>
      <c r="AI4434">
        <v>91.838206658772606</v>
      </c>
      <c r="AJ4434">
        <v>90.929658627975101</v>
      </c>
      <c r="AK4434">
        <v>34.957241189249501</v>
      </c>
      <c r="AL4434">
        <v>82.940460294660099</v>
      </c>
      <c r="AM4434">
        <v>87.277420407421701</v>
      </c>
      <c r="AN4434">
        <v>1.00000003627096</v>
      </c>
    </row>
    <row r="4435" spans="1:40" x14ac:dyDescent="0.25">
      <c r="A4435" t="str">
        <f>"20190303162909380"</f>
        <v>20190303162909380</v>
      </c>
      <c r="B4435" t="str">
        <f>"1551601749376310"</f>
        <v>1551601749376310</v>
      </c>
      <c r="C4435" t="s">
        <v>40</v>
      </c>
      <c r="D4435">
        <v>5.255312</v>
      </c>
      <c r="E4435">
        <v>0.4756782</v>
      </c>
      <c r="F4435" t="s">
        <v>41</v>
      </c>
      <c r="G4435">
        <v>-378.47829999999999</v>
      </c>
      <c r="H4435" s="1">
        <v>-1.326297E-6</v>
      </c>
      <c r="I4435">
        <v>142.2139</v>
      </c>
      <c r="J4435">
        <v>-341.42349999999999</v>
      </c>
      <c r="K4435">
        <v>1.121345</v>
      </c>
      <c r="L4435">
        <v>142.57429999999999</v>
      </c>
      <c r="M4435">
        <v>-0.9998901</v>
      </c>
      <c r="N4435">
        <v>-1.1924590000000001E-2</v>
      </c>
      <c r="O4435">
        <v>8.8049040000000005E-3</v>
      </c>
      <c r="P4435">
        <v>-0.99221250000000005</v>
      </c>
      <c r="Q4435">
        <v>0.1122007</v>
      </c>
      <c r="R4435">
        <v>5.4084109999999998E-2</v>
      </c>
      <c r="S4435">
        <v>-3.0354000000000001</v>
      </c>
      <c r="T4435">
        <v>-9.1334100000000001E-2</v>
      </c>
      <c r="U4435">
        <v>-2.9220579999999999E-2</v>
      </c>
      <c r="V4435">
        <v>4.5184290000000002E-2</v>
      </c>
      <c r="W4435">
        <v>0.1240884</v>
      </c>
      <c r="X4435">
        <v>0.99124190000000001</v>
      </c>
      <c r="Y4435">
        <v>-1.841781E-2</v>
      </c>
      <c r="Z4435">
        <v>-5.4676599999999996E-4</v>
      </c>
      <c r="AA4435">
        <v>0.9998302</v>
      </c>
      <c r="AB4435">
        <v>35</v>
      </c>
      <c r="AC4435">
        <v>-37.0548</v>
      </c>
      <c r="AD4435">
        <v>-1.121346326297</v>
      </c>
      <c r="AE4435">
        <v>-0.360399999999998</v>
      </c>
      <c r="AF4435">
        <v>-0.68604498810172498</v>
      </c>
      <c r="AG4435">
        <v>-1.121346326297</v>
      </c>
      <c r="AH4435">
        <v>37.016294362308699</v>
      </c>
      <c r="AI4435">
        <v>91.734850800158299</v>
      </c>
      <c r="AJ4435">
        <v>91.061775181687295</v>
      </c>
      <c r="AK4435">
        <v>37.03962909677</v>
      </c>
      <c r="AL4435">
        <v>82.871885108749197</v>
      </c>
      <c r="AM4435">
        <v>87.390063666935404</v>
      </c>
      <c r="AN4435">
        <v>1.00000002769648</v>
      </c>
    </row>
    <row r="4436" spans="1:40" x14ac:dyDescent="0.25">
      <c r="A4436" t="str">
        <f>"20190303162909396"</f>
        <v>20190303162909396</v>
      </c>
      <c r="B4436" t="str">
        <f>"1551601749385838"</f>
        <v>1551601749385838</v>
      </c>
      <c r="C4436" t="s">
        <v>40</v>
      </c>
      <c r="D4436">
        <v>5.1773959999999999</v>
      </c>
      <c r="E4436">
        <v>0.47574929999999899</v>
      </c>
      <c r="F4436" t="s">
        <v>41</v>
      </c>
      <c r="G4436">
        <v>-385.7955</v>
      </c>
      <c r="H4436" s="1">
        <v>-2.4343219999999999E-6</v>
      </c>
      <c r="I4436">
        <v>142.05269999999999</v>
      </c>
      <c r="J4436">
        <v>-341.66899999999998</v>
      </c>
      <c r="K4436">
        <v>1.1213740000000001</v>
      </c>
      <c r="L4436">
        <v>142.5761</v>
      </c>
      <c r="M4436">
        <v>-0.99989399999999995</v>
      </c>
      <c r="N4436">
        <v>-1.192444E-2</v>
      </c>
      <c r="O4436">
        <v>8.3613260000000005E-3</v>
      </c>
      <c r="P4436">
        <v>-0.99203649999999999</v>
      </c>
      <c r="Q4436">
        <v>0.11553190000000001</v>
      </c>
      <c r="R4436">
        <v>5.0162459999999999E-2</v>
      </c>
      <c r="S4436">
        <v>-3.0341800000000001</v>
      </c>
      <c r="T4436">
        <v>-7.6678399999999994E-2</v>
      </c>
      <c r="U4436">
        <v>-3.5659789999999997E-2</v>
      </c>
      <c r="V4436">
        <v>4.1697869999999998E-2</v>
      </c>
      <c r="W4436">
        <v>0.12741250000000001</v>
      </c>
      <c r="X4436">
        <v>0.99097290000000005</v>
      </c>
      <c r="Y4436">
        <v>-2.010263E-2</v>
      </c>
      <c r="Z4436">
        <v>-4.8542350000000003E-4</v>
      </c>
      <c r="AA4436">
        <v>0.99979779999999996</v>
      </c>
      <c r="AB4436">
        <v>35</v>
      </c>
      <c r="AC4436">
        <v>-44.126499999999901</v>
      </c>
      <c r="AD4436">
        <v>-1.1213764343219901</v>
      </c>
      <c r="AE4436">
        <v>-0.52340000000000897</v>
      </c>
      <c r="AF4436">
        <v>-0.89178812227885396</v>
      </c>
      <c r="AG4436">
        <v>-1.1213764343219901</v>
      </c>
      <c r="AH4436">
        <v>44.092109581944797</v>
      </c>
      <c r="AI4436">
        <v>91.456568107768206</v>
      </c>
      <c r="AJ4436">
        <v>91.158681916511995</v>
      </c>
      <c r="AK4436">
        <v>44.115381654800601</v>
      </c>
      <c r="AL4436">
        <v>82.679903754720399</v>
      </c>
      <c r="AM4436">
        <v>87.590546158607694</v>
      </c>
      <c r="AN4436">
        <v>0.99999997302659804</v>
      </c>
    </row>
    <row r="4437" spans="1:40" x14ac:dyDescent="0.25">
      <c r="A4437" t="str">
        <f>"20190303162909411"</f>
        <v>20190303162909411</v>
      </c>
      <c r="B4437" t="str">
        <f>"1551601749406332"</f>
        <v>1551601749406332</v>
      </c>
      <c r="C4437" t="s">
        <v>40</v>
      </c>
      <c r="D4437">
        <v>5.4263110000000001</v>
      </c>
      <c r="E4437">
        <v>0.47600110000000001</v>
      </c>
      <c r="F4437" t="s">
        <v>41</v>
      </c>
      <c r="G4437">
        <v>-392.53840000000002</v>
      </c>
      <c r="H4437" s="1">
        <v>-3.7618979999999999E-6</v>
      </c>
      <c r="I4437">
        <v>141.79060000000001</v>
      </c>
      <c r="J4437">
        <v>-341.90190000000001</v>
      </c>
      <c r="K4437">
        <v>1.1213949999999999</v>
      </c>
      <c r="L4437">
        <v>142.57759999999999</v>
      </c>
      <c r="M4437">
        <v>-0.99989740000000005</v>
      </c>
      <c r="N4437">
        <v>-1.192438E-2</v>
      </c>
      <c r="O4437">
        <v>7.9419669999999994E-3</v>
      </c>
      <c r="P4437">
        <v>-0.99183509999999997</v>
      </c>
      <c r="Q4437">
        <v>0.1180047</v>
      </c>
      <c r="R4437">
        <v>4.8355429999999998E-2</v>
      </c>
      <c r="S4437">
        <v>-3.0342410000000002</v>
      </c>
      <c r="T4437">
        <v>-6.6887740000000001E-2</v>
      </c>
      <c r="U4437">
        <v>-4.6844480000000001E-2</v>
      </c>
      <c r="V4437">
        <v>4.0303110000000003E-2</v>
      </c>
      <c r="W4437">
        <v>0.12988139999999901</v>
      </c>
      <c r="X4437">
        <v>0.99071010000000004</v>
      </c>
      <c r="Y4437">
        <v>-2.3368719999999999E-2</v>
      </c>
      <c r="Z4437">
        <v>-4.7724509999999998E-4</v>
      </c>
      <c r="AA4437">
        <v>0.99972680000000003</v>
      </c>
      <c r="AB4437">
        <v>35</v>
      </c>
      <c r="AC4437">
        <v>-50.636499999999998</v>
      </c>
      <c r="AD4437">
        <v>-1.1213987618979999</v>
      </c>
      <c r="AE4437">
        <v>-0.78699999999997705</v>
      </c>
      <c r="AF4437">
        <v>-1.1885743742139601</v>
      </c>
      <c r="AG4437">
        <v>-1.1213987618979999</v>
      </c>
      <c r="AH4437">
        <v>50.603839483296099</v>
      </c>
      <c r="AI4437">
        <v>91.269136796366993</v>
      </c>
      <c r="AJ4437">
        <v>91.345506130963997</v>
      </c>
      <c r="AK4437">
        <v>50.630216419421103</v>
      </c>
      <c r="AL4437">
        <v>82.537261146367598</v>
      </c>
      <c r="AM4437">
        <v>87.670433054750106</v>
      </c>
      <c r="AN4437">
        <v>1.0000000104918201</v>
      </c>
    </row>
    <row r="4438" spans="1:40" x14ac:dyDescent="0.25">
      <c r="A4438" t="str">
        <f>"20190303162909429"</f>
        <v>20190303162909429</v>
      </c>
      <c r="B4438" t="str">
        <f>"1551601749425851"</f>
        <v>1551601749425851</v>
      </c>
      <c r="C4438" t="s">
        <v>40</v>
      </c>
      <c r="D4438">
        <v>5.3103870000000004</v>
      </c>
      <c r="E4438">
        <v>0.50407000000000002</v>
      </c>
      <c r="F4438" t="s">
        <v>56</v>
      </c>
      <c r="G4438">
        <v>-402.3261</v>
      </c>
      <c r="H4438" s="1">
        <v>-7.2015670000000004E-6</v>
      </c>
      <c r="I4438">
        <v>141.57259999999999</v>
      </c>
      <c r="J4438">
        <v>-342.1936</v>
      </c>
      <c r="K4438">
        <v>1.121432</v>
      </c>
      <c r="L4438">
        <v>142.57939999999999</v>
      </c>
      <c r="M4438">
        <v>-0.99990140000000005</v>
      </c>
      <c r="N4438">
        <v>-1.19244E-2</v>
      </c>
      <c r="O4438">
        <v>7.4187709999999898E-3</v>
      </c>
      <c r="P4438">
        <v>-0.99135130000000005</v>
      </c>
      <c r="Q4438">
        <v>0.1234803</v>
      </c>
      <c r="R4438">
        <v>4.4444749999999998E-2</v>
      </c>
      <c r="S4438">
        <v>-3.0338440000000002</v>
      </c>
      <c r="T4438">
        <v>-5.6304569999999998E-2</v>
      </c>
      <c r="U4438">
        <v>-5.0460820000000003E-2</v>
      </c>
      <c r="V4438">
        <v>3.6905500000000001E-2</v>
      </c>
      <c r="W4438">
        <v>0.1353463</v>
      </c>
      <c r="X4438">
        <v>0.99011079999999996</v>
      </c>
      <c r="Y4438">
        <v>-2.404119E-2</v>
      </c>
      <c r="Z4438">
        <v>-4.156327E-4</v>
      </c>
      <c r="AA4438">
        <v>0.99971089999999996</v>
      </c>
      <c r="AB4438">
        <v>35</v>
      </c>
      <c r="AC4438">
        <v>-60.132499999999901</v>
      </c>
      <c r="AD4438">
        <v>-1.1214392015670001</v>
      </c>
      <c r="AE4438">
        <v>-1.0067999999999899</v>
      </c>
      <c r="AF4438">
        <v>-1.4524082377579199</v>
      </c>
      <c r="AG4438">
        <v>-1.1214392015670001</v>
      </c>
      <c r="AH4438">
        <v>60.102477255738997</v>
      </c>
      <c r="AI4438">
        <v>91.068633683477501</v>
      </c>
      <c r="AJ4438">
        <v>91.3843134730824</v>
      </c>
      <c r="AK4438">
        <v>60.130482185398598</v>
      </c>
      <c r="AL4438">
        <v>82.221354919953697</v>
      </c>
      <c r="AM4438">
        <v>87.865338984330805</v>
      </c>
      <c r="AN4438">
        <v>1.00000001656528</v>
      </c>
    </row>
    <row r="4439" spans="1:40" x14ac:dyDescent="0.25">
      <c r="A4439" t="str">
        <f>"20190303162909445"</f>
        <v>20190303162909445</v>
      </c>
      <c r="B4439" t="str">
        <f>"1551601749436588"</f>
        <v>1551601749436588</v>
      </c>
      <c r="C4439" t="s">
        <v>40</v>
      </c>
      <c r="D4439">
        <v>5.2060240000000002</v>
      </c>
      <c r="E4439">
        <v>0.50407000000000002</v>
      </c>
      <c r="F4439" t="s">
        <v>41</v>
      </c>
      <c r="G4439">
        <v>-359.60090000000002</v>
      </c>
      <c r="H4439" s="1">
        <v>-1.1858660000000001E-6</v>
      </c>
      <c r="I4439">
        <v>143.49619999999999</v>
      </c>
      <c r="J4439">
        <v>-342.43950000000001</v>
      </c>
      <c r="K4439">
        <v>1.121454</v>
      </c>
      <c r="L4439">
        <v>142.58080000000001</v>
      </c>
      <c r="M4439">
        <v>-0.99990460000000003</v>
      </c>
      <c r="N4439">
        <v>-1.192447E-2</v>
      </c>
      <c r="O4439">
        <v>6.9785790000000004E-3</v>
      </c>
      <c r="P4439">
        <v>-0.99102760000000001</v>
      </c>
      <c r="Q4439">
        <v>0.1268475</v>
      </c>
      <c r="R4439">
        <v>4.2120390000000001E-2</v>
      </c>
      <c r="S4439">
        <v>-3.0433349999999999</v>
      </c>
      <c r="T4439">
        <v>-0.19606090000000001</v>
      </c>
      <c r="U4439">
        <v>0.16029360000000001</v>
      </c>
      <c r="V4439">
        <v>3.5013629999999997E-2</v>
      </c>
      <c r="W4439">
        <v>0.138707</v>
      </c>
      <c r="X4439">
        <v>0.98971430000000005</v>
      </c>
      <c r="Y4439">
        <v>4.5524750000000003E-2</v>
      </c>
      <c r="Z4439">
        <v>1.3701640000000001E-3</v>
      </c>
      <c r="AA4439">
        <v>0.99896229999999997</v>
      </c>
      <c r="AB4439">
        <v>35</v>
      </c>
      <c r="AC4439">
        <v>-17.1614</v>
      </c>
      <c r="AD4439">
        <v>-1.121455185866</v>
      </c>
      <c r="AE4439">
        <v>0.91539999999997601</v>
      </c>
      <c r="AF4439">
        <v>0.79223353440977795</v>
      </c>
      <c r="AG4439">
        <v>-1.121455185866</v>
      </c>
      <c r="AH4439">
        <v>17.094578819443701</v>
      </c>
      <c r="AI4439">
        <v>93.749382295376293</v>
      </c>
      <c r="AJ4439">
        <v>87.346575008879697</v>
      </c>
      <c r="AK4439">
        <v>17.149633253254201</v>
      </c>
      <c r="AL4439">
        <v>82.026967105130595</v>
      </c>
      <c r="AM4439">
        <v>87.973862846359395</v>
      </c>
      <c r="AN4439">
        <v>0.99999999087963298</v>
      </c>
    </row>
    <row r="4440" spans="1:40" x14ac:dyDescent="0.25">
      <c r="A4440" t="str">
        <f>"20190303162909460"</f>
        <v>20190303162909460</v>
      </c>
      <c r="B4440" t="str">
        <f>"1551601749456108"</f>
        <v>1551601749456108</v>
      </c>
      <c r="C4440" t="s">
        <v>40</v>
      </c>
      <c r="D4440">
        <v>5.2123699999999999</v>
      </c>
      <c r="E4440">
        <v>0.53290669999999996</v>
      </c>
      <c r="F4440" t="s">
        <v>41</v>
      </c>
      <c r="G4440">
        <v>-360.82560000000001</v>
      </c>
      <c r="H4440" s="1">
        <v>-4.6855509999999998E-6</v>
      </c>
      <c r="I4440">
        <v>143.50890000000001</v>
      </c>
      <c r="J4440">
        <v>-342.68699999999899</v>
      </c>
      <c r="K4440">
        <v>1.121472</v>
      </c>
      <c r="L4440">
        <v>142.5821</v>
      </c>
      <c r="M4440">
        <v>-0.99990760000000001</v>
      </c>
      <c r="N4440">
        <v>-1.1924580000000001E-2</v>
      </c>
      <c r="O4440">
        <v>6.5367929999999999E-3</v>
      </c>
      <c r="P4440">
        <v>-0.99068100000000003</v>
      </c>
      <c r="Q4440">
        <v>0.1302026</v>
      </c>
      <c r="R4440">
        <v>3.9985020000000003E-2</v>
      </c>
      <c r="S4440">
        <v>-3.044403</v>
      </c>
      <c r="T4440">
        <v>-0.18569330000000001</v>
      </c>
      <c r="U4440">
        <v>0.1536865</v>
      </c>
      <c r="V4440">
        <v>3.3312559999999998E-2</v>
      </c>
      <c r="W4440">
        <v>0.14205570000000001</v>
      </c>
      <c r="X4440">
        <v>0.98929789999999995</v>
      </c>
      <c r="Y4440">
        <v>4.3798160000000003E-2</v>
      </c>
      <c r="Z4440">
        <v>1.2750260000000001E-3</v>
      </c>
      <c r="AA4440">
        <v>0.99903960000000003</v>
      </c>
      <c r="AB4440">
        <v>35</v>
      </c>
      <c r="AC4440">
        <v>-18.1386</v>
      </c>
      <c r="AD4440">
        <v>-1.1214766855509899</v>
      </c>
      <c r="AE4440">
        <v>0.92680000000001395</v>
      </c>
      <c r="AF4440">
        <v>0.80513370991316302</v>
      </c>
      <c r="AG4440">
        <v>-1.1214766855509899</v>
      </c>
      <c r="AH4440">
        <v>18.075353974014501</v>
      </c>
      <c r="AI4440">
        <v>93.546830291163303</v>
      </c>
      <c r="AJ4440">
        <v>87.449549779846706</v>
      </c>
      <c r="AK4440">
        <v>18.127999656139501</v>
      </c>
      <c r="AL4440">
        <v>81.833181266962796</v>
      </c>
      <c r="AM4440">
        <v>88.071411865616597</v>
      </c>
      <c r="AN4440">
        <v>0.99999994175032503</v>
      </c>
    </row>
    <row r="4441" spans="1:40" x14ac:dyDescent="0.25">
      <c r="A4441" t="str">
        <f>"20190303162909474"</f>
        <v>20190303162909474</v>
      </c>
      <c r="B4441" t="str">
        <f>"1551601749465867"</f>
        <v>1551601749465867</v>
      </c>
      <c r="C4441" t="s">
        <v>40</v>
      </c>
      <c r="D4441">
        <v>5.1815369999999996</v>
      </c>
      <c r="E4441">
        <v>0.532914</v>
      </c>
      <c r="F4441" t="s">
        <v>44</v>
      </c>
      <c r="G4441">
        <v>-343.41449999999998</v>
      </c>
      <c r="H4441">
        <v>0.96082999999999996</v>
      </c>
      <c r="I4441">
        <v>142.66980000000001</v>
      </c>
      <c r="J4441">
        <v>-342.90820000000002</v>
      </c>
      <c r="K4441">
        <v>1.1215010000000001</v>
      </c>
      <c r="L4441">
        <v>142.58320000000001</v>
      </c>
      <c r="M4441">
        <v>-0.99991010000000002</v>
      </c>
      <c r="N4441">
        <v>-1.192471E-2</v>
      </c>
      <c r="O4441">
        <v>6.1427080000000002E-3</v>
      </c>
      <c r="P4441">
        <v>-0.98995060000000001</v>
      </c>
      <c r="Q4441">
        <v>0.13648260000000001</v>
      </c>
      <c r="R4441">
        <v>3.702503E-2</v>
      </c>
      <c r="S4441">
        <v>-3.1032099999999998</v>
      </c>
      <c r="T4441">
        <v>-0.68527879999999997</v>
      </c>
      <c r="U4441">
        <v>0.37332149999999997</v>
      </c>
      <c r="V4441">
        <v>3.0737859999999999E-2</v>
      </c>
      <c r="W4441">
        <v>0.14832290000000001</v>
      </c>
      <c r="X4441">
        <v>0.98846120000000004</v>
      </c>
      <c r="Y4441">
        <v>0.11069379999999999</v>
      </c>
      <c r="Z4441">
        <v>1.1442040000000001E-2</v>
      </c>
      <c r="AA4441">
        <v>0.99378869999999997</v>
      </c>
      <c r="AB4441">
        <v>35</v>
      </c>
      <c r="AC4441">
        <v>-0.50629999999995301</v>
      </c>
      <c r="AD4441">
        <v>-0.16067100000000001</v>
      </c>
      <c r="AE4441">
        <v>8.6600000000004201E-2</v>
      </c>
      <c r="AF4441">
        <v>7.6047296431438399E-2</v>
      </c>
      <c r="AG4441">
        <v>-0.16067100000000001</v>
      </c>
      <c r="AH4441">
        <v>0.46165238243239898</v>
      </c>
      <c r="AI4441">
        <v>108.95280631660501</v>
      </c>
      <c r="AJ4441">
        <v>80.645760057819203</v>
      </c>
      <c r="AK4441">
        <v>0.49469312077392102</v>
      </c>
      <c r="AL4441">
        <v>81.470251531875903</v>
      </c>
      <c r="AM4441">
        <v>88.218865546599304</v>
      </c>
      <c r="AN4441">
        <v>1.00000002130361</v>
      </c>
    </row>
    <row r="4442" spans="1:40" x14ac:dyDescent="0.25">
      <c r="A4442" t="str">
        <f>"20190303162909493"</f>
        <v>20190303162909493</v>
      </c>
      <c r="B4442" t="str">
        <f>"1551601749486364"</f>
        <v>1551601749486364</v>
      </c>
      <c r="C4442" t="s">
        <v>40</v>
      </c>
      <c r="D4442">
        <v>5.1745000000000001</v>
      </c>
      <c r="E4442">
        <v>0.53323189999999998</v>
      </c>
      <c r="F4442" t="s">
        <v>44</v>
      </c>
      <c r="G4442">
        <v>-343.71859999999998</v>
      </c>
      <c r="H4442">
        <v>0.93812689999999999</v>
      </c>
      <c r="I4442">
        <v>142.67840000000001</v>
      </c>
      <c r="J4442">
        <v>-343.18979999999999</v>
      </c>
      <c r="K4442">
        <v>1.12151</v>
      </c>
      <c r="L4442">
        <v>142.58439999999999</v>
      </c>
      <c r="M4442">
        <v>-0.99991300000000005</v>
      </c>
      <c r="N4442">
        <v>-1.192489E-2</v>
      </c>
      <c r="O4442">
        <v>5.640623E-3</v>
      </c>
      <c r="P4442">
        <v>-0.98972249999999995</v>
      </c>
      <c r="Q4442">
        <v>0.1384802</v>
      </c>
      <c r="R4442">
        <v>3.5674850000000001E-2</v>
      </c>
      <c r="S4442">
        <v>-3.1139220000000001</v>
      </c>
      <c r="T4442">
        <v>-0.70458299999999996</v>
      </c>
      <c r="U4442">
        <v>0.36529539999999999</v>
      </c>
      <c r="V4442">
        <v>2.9882220000000001E-2</v>
      </c>
      <c r="W4442">
        <v>0.15031639999999999</v>
      </c>
      <c r="X4442">
        <v>0.98818620000000001</v>
      </c>
      <c r="Y4442">
        <v>0.10818800000000001</v>
      </c>
      <c r="Z4442">
        <v>1.151303E-2</v>
      </c>
      <c r="AA4442">
        <v>0.99406380000000005</v>
      </c>
      <c r="AB4442">
        <v>35</v>
      </c>
      <c r="AC4442">
        <v>-0.52879999999998895</v>
      </c>
      <c r="AD4442">
        <v>-0.18338309999999999</v>
      </c>
      <c r="AE4442">
        <v>9.4000000000022496E-2</v>
      </c>
      <c r="AF4442">
        <v>8.1512756660178598E-2</v>
      </c>
      <c r="AG4442">
        <v>-0.18338309999999999</v>
      </c>
      <c r="AH4442">
        <v>0.474056264188426</v>
      </c>
      <c r="AI4442">
        <v>110.86901795078801</v>
      </c>
      <c r="AJ4442">
        <v>80.243544207434994</v>
      </c>
      <c r="AK4442">
        <v>0.51478445244610704</v>
      </c>
      <c r="AL4442">
        <v>81.354736867900399</v>
      </c>
      <c r="AM4442">
        <v>88.267934216691401</v>
      </c>
      <c r="AN4442">
        <v>0.99999996652576295</v>
      </c>
    </row>
    <row r="4443" spans="1:40" x14ac:dyDescent="0.25">
      <c r="A4443" t="str">
        <f>"20190303162909510"</f>
        <v>20190303162909510</v>
      </c>
      <c r="B4443" t="str">
        <f>"1551601749496124"</f>
        <v>1551601749496124</v>
      </c>
      <c r="C4443" t="s">
        <v>40</v>
      </c>
      <c r="D4443">
        <v>5.2012559999999999</v>
      </c>
      <c r="E4443">
        <v>0.53336059999999996</v>
      </c>
      <c r="F4443" t="s">
        <v>44</v>
      </c>
      <c r="G4443">
        <v>-344.02699999999999</v>
      </c>
      <c r="H4443">
        <v>0.92390190000000005</v>
      </c>
      <c r="I4443">
        <v>142.68219999999999</v>
      </c>
      <c r="J4443">
        <v>-343.44290000000001</v>
      </c>
      <c r="K4443">
        <v>1.1215189999999999</v>
      </c>
      <c r="L4443">
        <v>142.58539999999999</v>
      </c>
      <c r="M4443">
        <v>-0.99991549999999996</v>
      </c>
      <c r="N4443">
        <v>-1.1925069999999999E-2</v>
      </c>
      <c r="O4443">
        <v>5.1893369999999996E-3</v>
      </c>
      <c r="P4443">
        <v>-0.98945669999999997</v>
      </c>
      <c r="Q4443">
        <v>0.14073540000000001</v>
      </c>
      <c r="R4443">
        <v>3.4193179999999997E-2</v>
      </c>
      <c r="S4443">
        <v>-3.121124</v>
      </c>
      <c r="T4443">
        <v>-0.73669149999999906</v>
      </c>
      <c r="U4443">
        <v>0.36338809999999999</v>
      </c>
      <c r="V4443">
        <v>2.8844729999999999E-2</v>
      </c>
      <c r="W4443">
        <v>0.15256700000000001</v>
      </c>
      <c r="X4443">
        <v>0.98787210000000003</v>
      </c>
      <c r="Y4443">
        <v>0.1075489</v>
      </c>
      <c r="Z4443">
        <v>1.198922E-2</v>
      </c>
      <c r="AA4443">
        <v>0.99412750000000005</v>
      </c>
      <c r="AB4443">
        <v>35</v>
      </c>
      <c r="AC4443">
        <v>-0.58409999999997797</v>
      </c>
      <c r="AD4443">
        <v>-0.19761709999999999</v>
      </c>
      <c r="AE4443">
        <v>9.6800000000001704E-2</v>
      </c>
      <c r="AF4443">
        <v>8.4368276591923003E-2</v>
      </c>
      <c r="AG4443">
        <v>-0.19761709999999999</v>
      </c>
      <c r="AH4443">
        <v>0.52599555781012997</v>
      </c>
      <c r="AI4443">
        <v>110.35281364368799</v>
      </c>
      <c r="AJ4443">
        <v>80.8875280568286</v>
      </c>
      <c r="AK4443">
        <v>0.56819173801058698</v>
      </c>
      <c r="AL4443">
        <v>81.224282583527398</v>
      </c>
      <c r="AM4443">
        <v>88.3275042860067</v>
      </c>
      <c r="AN4443">
        <v>0.99999999694809105</v>
      </c>
    </row>
    <row r="4444" spans="1:40" x14ac:dyDescent="0.25">
      <c r="A4444" t="str">
        <f>"20190303162909531"</f>
        <v>20190303162909531</v>
      </c>
      <c r="B4444" t="str">
        <f>"1551601749526380"</f>
        <v>1551601749526380</v>
      </c>
      <c r="C4444" t="s">
        <v>40</v>
      </c>
      <c r="D4444">
        <v>5.2055769999999999</v>
      </c>
      <c r="E4444">
        <v>0.53345039999999999</v>
      </c>
      <c r="F4444" t="s">
        <v>44</v>
      </c>
      <c r="G4444">
        <v>-344.33589999999998</v>
      </c>
      <c r="H4444">
        <v>0.91019269999999997</v>
      </c>
      <c r="I4444">
        <v>142.6884</v>
      </c>
      <c r="J4444">
        <v>-343.7978</v>
      </c>
      <c r="K4444">
        <v>1.1215269999999999</v>
      </c>
      <c r="L4444">
        <v>142.5866</v>
      </c>
      <c r="M4444">
        <v>-0.99991850000000004</v>
      </c>
      <c r="N4444">
        <v>-1.1925349999999999E-2</v>
      </c>
      <c r="O4444">
        <v>4.5569740000000001E-3</v>
      </c>
      <c r="P4444">
        <v>-0.98945170000000005</v>
      </c>
      <c r="Q4444">
        <v>0.14091770000000001</v>
      </c>
      <c r="R4444">
        <v>3.3578869999999997E-2</v>
      </c>
      <c r="S4444">
        <v>-3.1247250000000002</v>
      </c>
      <c r="T4444">
        <v>-0.73938289999999995</v>
      </c>
      <c r="U4444">
        <v>0.35997010000000002</v>
      </c>
      <c r="V4444">
        <v>2.8855209999999999E-2</v>
      </c>
      <c r="W4444">
        <v>0.15274979999999999</v>
      </c>
      <c r="X4444">
        <v>0.98784349999999999</v>
      </c>
      <c r="Y4444">
        <v>0.1069595</v>
      </c>
      <c r="Z4444">
        <v>1.2084940000000001E-2</v>
      </c>
      <c r="AA4444">
        <v>0.99418989999999996</v>
      </c>
      <c r="AB4444">
        <v>35</v>
      </c>
      <c r="AC4444">
        <v>-0.53809999999998503</v>
      </c>
      <c r="AD4444">
        <v>-0.2113343</v>
      </c>
      <c r="AE4444">
        <v>0.101799999999997</v>
      </c>
      <c r="AF4444">
        <v>8.6469891235982602E-2</v>
      </c>
      <c r="AG4444">
        <v>-0.2113343</v>
      </c>
      <c r="AH4444">
        <v>0.46875336491641101</v>
      </c>
      <c r="AI4444">
        <v>113.910722622099</v>
      </c>
      <c r="AJ4444">
        <v>79.548269662134601</v>
      </c>
      <c r="AK4444">
        <v>0.52141053457646103</v>
      </c>
      <c r="AL4444">
        <v>81.213684303861996</v>
      </c>
      <c r="AM4444">
        <v>88.326848560415499</v>
      </c>
      <c r="AN4444">
        <v>0.99999995251821505</v>
      </c>
    </row>
    <row r="4445" spans="1:40" x14ac:dyDescent="0.25">
      <c r="A4445" t="str">
        <f>"20190303162909553"</f>
        <v>20190303162909553</v>
      </c>
      <c r="B4445" t="str">
        <f>"1551601749545899"</f>
        <v>1551601749545899</v>
      </c>
      <c r="C4445" t="s">
        <v>40</v>
      </c>
      <c r="D4445">
        <v>5.198105</v>
      </c>
      <c r="E4445">
        <v>0.53364069999999997</v>
      </c>
      <c r="F4445" t="s">
        <v>44</v>
      </c>
      <c r="G4445">
        <v>-344.65339999999998</v>
      </c>
      <c r="H4445">
        <v>0.9154892</v>
      </c>
      <c r="I4445">
        <v>142.68510000000001</v>
      </c>
      <c r="J4445">
        <v>-344.15440000000001</v>
      </c>
      <c r="K4445">
        <v>1.1215170000000001</v>
      </c>
      <c r="L4445">
        <v>142.58760000000001</v>
      </c>
      <c r="M4445">
        <v>-0.99992130000000001</v>
      </c>
      <c r="N4445">
        <v>-1.1925699999999999E-2</v>
      </c>
      <c r="O4445">
        <v>3.9207510000000001E-3</v>
      </c>
      <c r="P4445">
        <v>-0.98948480000000005</v>
      </c>
      <c r="Q4445">
        <v>0.14044089999999901</v>
      </c>
      <c r="R4445">
        <v>3.4586499999999999E-2</v>
      </c>
      <c r="S4445">
        <v>-3.127075</v>
      </c>
      <c r="T4445">
        <v>-0.75304389999999999</v>
      </c>
      <c r="U4445">
        <v>0.35914610000000002</v>
      </c>
      <c r="V4445">
        <v>3.0492490000000001E-2</v>
      </c>
      <c r="W4445">
        <v>0.15227579999999999</v>
      </c>
      <c r="X4445">
        <v>0.98786750000000001</v>
      </c>
      <c r="Y4445">
        <v>0.1071257</v>
      </c>
      <c r="Z4445">
        <v>1.2445319999999999E-2</v>
      </c>
      <c r="AA4445">
        <v>0.99416760000000004</v>
      </c>
      <c r="AB4445">
        <v>35</v>
      </c>
      <c r="AC4445">
        <v>-0.49899999999996603</v>
      </c>
      <c r="AD4445">
        <v>-0.20602780000000001</v>
      </c>
      <c r="AE4445">
        <v>9.7499999999996603E-2</v>
      </c>
      <c r="AF4445">
        <v>8.2067065600904807E-2</v>
      </c>
      <c r="AG4445">
        <v>-0.20602780000000001</v>
      </c>
      <c r="AH4445">
        <v>0.42894479359225701</v>
      </c>
      <c r="AI4445">
        <v>115.255898632784</v>
      </c>
      <c r="AJ4445">
        <v>79.168881657938798</v>
      </c>
      <c r="AK4445">
        <v>0.48288310550182501</v>
      </c>
      <c r="AL4445">
        <v>81.241163992493</v>
      </c>
      <c r="AM4445">
        <v>88.232013461523096</v>
      </c>
      <c r="AN4445">
        <v>0.99999995438414402</v>
      </c>
    </row>
    <row r="4446" spans="1:40" x14ac:dyDescent="0.25">
      <c r="A4446" t="str">
        <f>"20190303162909575"</f>
        <v>20190303162909575</v>
      </c>
      <c r="B4446" t="str">
        <f>"1551601749566396"</f>
        <v>1551601749566396</v>
      </c>
      <c r="C4446" t="s">
        <v>40</v>
      </c>
      <c r="D4446">
        <v>5.2586060000000003</v>
      </c>
      <c r="E4446">
        <v>0.53362140000000002</v>
      </c>
      <c r="F4446" t="s">
        <v>44</v>
      </c>
      <c r="G4446">
        <v>-344.9717</v>
      </c>
      <c r="H4446">
        <v>0.92219669999999998</v>
      </c>
      <c r="I4446">
        <v>142.6832</v>
      </c>
      <c r="J4446">
        <v>-344.48869999999999</v>
      </c>
      <c r="K4446">
        <v>1.1215040000000001</v>
      </c>
      <c r="L4446">
        <v>142.5883</v>
      </c>
      <c r="M4446">
        <v>-0.99992329999999996</v>
      </c>
      <c r="N4446">
        <v>-1.192606E-2</v>
      </c>
      <c r="O4446">
        <v>3.3247049999999998E-3</v>
      </c>
      <c r="P4446">
        <v>-0.98960409999999999</v>
      </c>
      <c r="Q4446">
        <v>0.13887859999999999</v>
      </c>
      <c r="R4446">
        <v>3.737157E-2</v>
      </c>
      <c r="S4446">
        <v>-3.1273499999999999</v>
      </c>
      <c r="T4446">
        <v>-0.76272609999999996</v>
      </c>
      <c r="U4446">
        <v>0.36549379999999998</v>
      </c>
      <c r="V4446">
        <v>3.386898E-2</v>
      </c>
      <c r="W4446">
        <v>0.1507204</v>
      </c>
      <c r="X4446">
        <v>0.98799610000000004</v>
      </c>
      <c r="Y4446">
        <v>0.1095351</v>
      </c>
      <c r="Z4446">
        <v>1.302917E-2</v>
      </c>
      <c r="AA4446">
        <v>0.99389749999999999</v>
      </c>
      <c r="AB4446">
        <v>35</v>
      </c>
      <c r="AC4446">
        <v>-0.48300000000000398</v>
      </c>
      <c r="AD4446">
        <v>-0.19930729999999999</v>
      </c>
      <c r="AE4446">
        <v>9.4899999999995502E-2</v>
      </c>
      <c r="AF4446">
        <v>8.0152768968369106E-2</v>
      </c>
      <c r="AG4446">
        <v>-0.19930729999999999</v>
      </c>
      <c r="AH4446">
        <v>0.41523635297423001</v>
      </c>
      <c r="AI4446">
        <v>115.233816069903</v>
      </c>
      <c r="AJ4446">
        <v>79.074609521382101</v>
      </c>
      <c r="AK4446">
        <v>0.46751373780663003</v>
      </c>
      <c r="AL4446">
        <v>81.331323087188807</v>
      </c>
      <c r="AM4446">
        <v>88.036642047991194</v>
      </c>
      <c r="AN4446">
        <v>1.0000000201988</v>
      </c>
    </row>
    <row r="4447" spans="1:40" x14ac:dyDescent="0.25">
      <c r="A4447" t="str">
        <f>"20190303162909592"</f>
        <v>20190303162909592</v>
      </c>
      <c r="B4447" t="str">
        <f>"1551601749586423"</f>
        <v>1551601749586423</v>
      </c>
      <c r="C4447" t="s">
        <v>40</v>
      </c>
      <c r="D4447">
        <v>5.2450369999999999</v>
      </c>
      <c r="E4447">
        <v>0.53337939999999995</v>
      </c>
      <c r="F4447" t="s">
        <v>44</v>
      </c>
      <c r="G4447">
        <v>-345.28750000000002</v>
      </c>
      <c r="H4447">
        <v>0.92334249999999995</v>
      </c>
      <c r="I4447">
        <v>142.68469999999999</v>
      </c>
      <c r="J4447">
        <v>-344.76130000000001</v>
      </c>
      <c r="K4447">
        <v>1.1215029999999999</v>
      </c>
      <c r="L4447">
        <v>142.58869999999999</v>
      </c>
      <c r="M4447">
        <v>-0.99992490000000001</v>
      </c>
      <c r="N4447">
        <v>-1.192637E-2</v>
      </c>
      <c r="O4447">
        <v>2.8384529999999999E-3</v>
      </c>
      <c r="P4447">
        <v>-0.98966880000000002</v>
      </c>
      <c r="Q4447">
        <v>0.1380323</v>
      </c>
      <c r="R4447">
        <v>3.8766889999999998E-2</v>
      </c>
      <c r="S4447">
        <v>-3.1261290000000002</v>
      </c>
      <c r="T4447">
        <v>-0.77549769999999996</v>
      </c>
      <c r="U4447">
        <v>0.3762817</v>
      </c>
      <c r="V4447">
        <v>3.5746140000000003E-2</v>
      </c>
      <c r="W4447">
        <v>0.1498775</v>
      </c>
      <c r="X4447">
        <v>0.98805810000000005</v>
      </c>
      <c r="Y4447">
        <v>0.1132099</v>
      </c>
      <c r="Z4447">
        <v>1.38148E-2</v>
      </c>
      <c r="AA4447">
        <v>0.99347510000000006</v>
      </c>
      <c r="AB4447">
        <v>35</v>
      </c>
      <c r="AC4447">
        <v>-0.52620000000001699</v>
      </c>
      <c r="AD4447">
        <v>-0.19816049999999999</v>
      </c>
      <c r="AE4447">
        <v>9.6000000000003596E-2</v>
      </c>
      <c r="AF4447">
        <v>8.3100379121588602E-2</v>
      </c>
      <c r="AG4447">
        <v>-0.19816049999999999</v>
      </c>
      <c r="AH4447">
        <v>0.46293282231551097</v>
      </c>
      <c r="AI4447">
        <v>112.846675074564</v>
      </c>
      <c r="AJ4447">
        <v>79.823305401358894</v>
      </c>
      <c r="AK4447">
        <v>0.51037246668233005</v>
      </c>
      <c r="AL4447">
        <v>81.380171820520601</v>
      </c>
      <c r="AM4447">
        <v>87.928046845979594</v>
      </c>
      <c r="AN4447">
        <v>0.99999993025337697</v>
      </c>
    </row>
    <row r="4448" spans="1:40" x14ac:dyDescent="0.25">
      <c r="A4448" t="str">
        <f>"20190303162909608"</f>
        <v>20190303162909608</v>
      </c>
      <c r="B4448" t="str">
        <f>"1551601749596182"</f>
        <v>1551601749596182</v>
      </c>
      <c r="C4448" t="s">
        <v>40</v>
      </c>
      <c r="D4448">
        <v>5.3002250000000002</v>
      </c>
      <c r="E4448">
        <v>0.53337939999999995</v>
      </c>
      <c r="F4448" t="s">
        <v>44</v>
      </c>
      <c r="G4448">
        <v>-345.59710000000001</v>
      </c>
      <c r="H4448">
        <v>0.91058589999999995</v>
      </c>
      <c r="I4448">
        <v>142.69049999999999</v>
      </c>
      <c r="J4448">
        <v>-345.01159999999999</v>
      </c>
      <c r="K4448">
        <v>1.121491</v>
      </c>
      <c r="L4448">
        <v>142.5891</v>
      </c>
      <c r="M4448">
        <v>-0.99992610000000004</v>
      </c>
      <c r="N4448">
        <v>-1.192665E-2</v>
      </c>
      <c r="O4448">
        <v>2.3919589999999999E-3</v>
      </c>
      <c r="P4448">
        <v>-0.98969700000000005</v>
      </c>
      <c r="Q4448">
        <v>0.13644149999999999</v>
      </c>
      <c r="R4448">
        <v>4.3407290000000001E-2</v>
      </c>
      <c r="S4448">
        <v>-3.126465</v>
      </c>
      <c r="T4448">
        <v>-0.78898880000000005</v>
      </c>
      <c r="U4448">
        <v>0.37989810000000002</v>
      </c>
      <c r="V4448">
        <v>4.083055E-2</v>
      </c>
      <c r="W4448">
        <v>0.1482946</v>
      </c>
      <c r="X4448">
        <v>0.98809999999999998</v>
      </c>
      <c r="Y4448">
        <v>0.1145996</v>
      </c>
      <c r="Z4448">
        <v>1.4319719999999999E-2</v>
      </c>
      <c r="AA4448">
        <v>0.99330850000000004</v>
      </c>
      <c r="AB4448">
        <v>35</v>
      </c>
      <c r="AC4448">
        <v>-0.585500000000024</v>
      </c>
      <c r="AD4448">
        <v>-0.21090510000000001</v>
      </c>
      <c r="AE4448">
        <v>0.101399999999983</v>
      </c>
      <c r="AF4448">
        <v>8.8811097597006297E-2</v>
      </c>
      <c r="AG4448">
        <v>-0.21090510000000001</v>
      </c>
      <c r="AH4448">
        <v>0.52020749673743205</v>
      </c>
      <c r="AI4448">
        <v>111.78376208863</v>
      </c>
      <c r="AJ4448">
        <v>80.311728903319107</v>
      </c>
      <c r="AK4448">
        <v>0.56831699950311199</v>
      </c>
      <c r="AL4448">
        <v>81.471891089893504</v>
      </c>
      <c r="AM4448">
        <v>87.633753659040295</v>
      </c>
      <c r="AN4448">
        <v>1.0000000161012299</v>
      </c>
    </row>
    <row r="4449" spans="1:40" x14ac:dyDescent="0.25">
      <c r="A4449" t="str">
        <f>"20190303162909625"</f>
        <v>20190303162909625</v>
      </c>
      <c r="B4449" t="str">
        <f>"1551601749616678"</f>
        <v>1551601749616678</v>
      </c>
      <c r="C4449" t="s">
        <v>40</v>
      </c>
      <c r="D4449">
        <v>5.2716519999999996</v>
      </c>
      <c r="E4449">
        <v>0.52955569999999996</v>
      </c>
      <c r="F4449" t="s">
        <v>44</v>
      </c>
      <c r="G4449">
        <v>-345.90600000000001</v>
      </c>
      <c r="H4449">
        <v>0.89419150000000003</v>
      </c>
      <c r="I4449">
        <v>142.70249999999999</v>
      </c>
      <c r="J4449">
        <v>-345.27260000000001</v>
      </c>
      <c r="K4449">
        <v>1.121486</v>
      </c>
      <c r="L4449">
        <v>142.58920000000001</v>
      </c>
      <c r="M4449">
        <v>-0.99992700000000001</v>
      </c>
      <c r="N4449">
        <v>-1.192697E-2</v>
      </c>
      <c r="O4449">
        <v>1.926807E-3</v>
      </c>
      <c r="P4449">
        <v>-0.9896547</v>
      </c>
      <c r="Q4449">
        <v>0.1360439</v>
      </c>
      <c r="R4449">
        <v>4.5564979999999998E-2</v>
      </c>
      <c r="S4449">
        <v>-3.123383</v>
      </c>
      <c r="T4449">
        <v>-0.79386159999999995</v>
      </c>
      <c r="U4449">
        <v>0.39501950000000002</v>
      </c>
      <c r="V4449">
        <v>4.3449130000000002E-2</v>
      </c>
      <c r="W4449">
        <v>0.14790039999999999</v>
      </c>
      <c r="X4449">
        <v>0.98804740000000002</v>
      </c>
      <c r="Y4449">
        <v>0.11968529999999999</v>
      </c>
      <c r="Z4449">
        <v>1.5185789999999999E-2</v>
      </c>
      <c r="AA4449">
        <v>0.99269569999999996</v>
      </c>
      <c r="AB4449">
        <v>35</v>
      </c>
      <c r="AC4449">
        <v>-0.63339999999999397</v>
      </c>
      <c r="AD4449">
        <v>-0.22729449999999901</v>
      </c>
      <c r="AE4449">
        <v>0.113299999999981</v>
      </c>
      <c r="AF4449">
        <v>9.9645536404639801E-2</v>
      </c>
      <c r="AG4449">
        <v>-0.22729449999999901</v>
      </c>
      <c r="AH4449">
        <v>0.56332562001783004</v>
      </c>
      <c r="AI4449">
        <v>111.66885668757899</v>
      </c>
      <c r="AJ4449">
        <v>79.968828796229602</v>
      </c>
      <c r="AK4449">
        <v>0.61557109810653898</v>
      </c>
      <c r="AL4449">
        <v>81.494728871266602</v>
      </c>
      <c r="AM4449">
        <v>87.482055061864202</v>
      </c>
      <c r="AN4449">
        <v>1.0000000099323301</v>
      </c>
    </row>
    <row r="4450" spans="1:40" x14ac:dyDescent="0.25">
      <c r="A4450" t="str">
        <f>"20190303162909639"</f>
        <v>20190303162909639</v>
      </c>
      <c r="B4450" t="str">
        <f>"1551601749626439"</f>
        <v>1551601749626439</v>
      </c>
      <c r="C4450" t="s">
        <v>40</v>
      </c>
      <c r="D4450">
        <v>5.2468320000000004</v>
      </c>
      <c r="E4450">
        <v>0.52876909999999999</v>
      </c>
      <c r="F4450" t="s">
        <v>44</v>
      </c>
      <c r="G4450">
        <v>-346.18880000000001</v>
      </c>
      <c r="H4450">
        <v>0.8154477</v>
      </c>
      <c r="I4450">
        <v>142.69710000000001</v>
      </c>
      <c r="J4450">
        <v>-345.50319999999999</v>
      </c>
      <c r="K4450">
        <v>1.1214839999999999</v>
      </c>
      <c r="L4450">
        <v>142.58930000000001</v>
      </c>
      <c r="M4450">
        <v>-0.99992780000000003</v>
      </c>
      <c r="N4450">
        <v>-1.192726E-2</v>
      </c>
      <c r="O4450">
        <v>1.5154809999999999E-3</v>
      </c>
      <c r="P4450">
        <v>-0.98960210000000004</v>
      </c>
      <c r="Q4450">
        <v>0.13567650000000001</v>
      </c>
      <c r="R4450">
        <v>4.774639E-2</v>
      </c>
      <c r="S4450">
        <v>-3.1593629999999999</v>
      </c>
      <c r="T4450">
        <v>-1.055409</v>
      </c>
      <c r="U4450">
        <v>0.37136839999999999</v>
      </c>
      <c r="V4450">
        <v>4.6038009999999997E-2</v>
      </c>
      <c r="W4450">
        <v>0.14753579999999999</v>
      </c>
      <c r="X4450">
        <v>0.98798470000000005</v>
      </c>
      <c r="Y4450">
        <v>0.10923430000000001</v>
      </c>
      <c r="Z4450">
        <v>1.7904119999999999E-2</v>
      </c>
      <c r="AA4450">
        <v>0.99385480000000004</v>
      </c>
      <c r="AB4450">
        <v>35</v>
      </c>
      <c r="AC4450">
        <v>-0.68560000000002197</v>
      </c>
      <c r="AD4450">
        <v>-0.30603629999999898</v>
      </c>
      <c r="AE4450">
        <v>0.107799999999997</v>
      </c>
      <c r="AF4450">
        <v>8.9381045886285995E-2</v>
      </c>
      <c r="AG4450">
        <v>-0.30603629999999898</v>
      </c>
      <c r="AH4450">
        <v>0.57412631178836804</v>
      </c>
      <c r="AI4450">
        <v>117.775883898752</v>
      </c>
      <c r="AJ4450">
        <v>81.151120442065405</v>
      </c>
      <c r="AK4450">
        <v>0.65671014166763897</v>
      </c>
      <c r="AL4450">
        <v>81.515850877287704</v>
      </c>
      <c r="AM4450">
        <v>87.332067027520196</v>
      </c>
      <c r="AN4450">
        <v>1.0000000390402399</v>
      </c>
    </row>
    <row r="4451" spans="1:40" x14ac:dyDescent="0.25">
      <c r="A4451" t="str">
        <f>"20190303162909654"</f>
        <v>20190303162909654</v>
      </c>
      <c r="B4451" t="str">
        <f>"1551601749645959"</f>
        <v>1551601749645959</v>
      </c>
      <c r="C4451" t="s">
        <v>40</v>
      </c>
      <c r="D4451">
        <v>5.2521459999999998</v>
      </c>
      <c r="E4451">
        <v>0.52755560000000001</v>
      </c>
      <c r="F4451" t="s">
        <v>44</v>
      </c>
      <c r="G4451">
        <v>-346.21480000000003</v>
      </c>
      <c r="H4451">
        <v>0.88087490000000002</v>
      </c>
      <c r="I4451">
        <v>142.67320000000001</v>
      </c>
      <c r="J4451">
        <v>-345.7396</v>
      </c>
      <c r="K4451">
        <v>1.121475</v>
      </c>
      <c r="L4451">
        <v>142.58920000000001</v>
      </c>
      <c r="M4451">
        <v>-0.99992840000000005</v>
      </c>
      <c r="N4451">
        <v>-1.192757E-2</v>
      </c>
      <c r="O4451">
        <v>1.0939630000000001E-3</v>
      </c>
      <c r="P4451">
        <v>-0.9894771</v>
      </c>
      <c r="Q4451">
        <v>0.1352835</v>
      </c>
      <c r="R4451">
        <v>5.1320360000000002E-2</v>
      </c>
      <c r="S4451">
        <v>-3.1600950000000001</v>
      </c>
      <c r="T4451">
        <v>-1.0686040000000001</v>
      </c>
      <c r="U4451">
        <v>0.3719788</v>
      </c>
      <c r="V4451">
        <v>5.002968E-2</v>
      </c>
      <c r="W4451">
        <v>0.14714769999999999</v>
      </c>
      <c r="X4451">
        <v>0.98784850000000002</v>
      </c>
      <c r="Y4451">
        <v>0.1096299</v>
      </c>
      <c r="Z4451">
        <v>1.8305269999999998E-2</v>
      </c>
      <c r="AA4451">
        <v>0.99380389999999996</v>
      </c>
      <c r="AB4451">
        <v>35</v>
      </c>
      <c r="AC4451">
        <v>-0.47520000000002899</v>
      </c>
      <c r="AD4451">
        <v>-0.24060010000000001</v>
      </c>
      <c r="AE4451">
        <v>8.40000000000031E-2</v>
      </c>
      <c r="AF4451">
        <v>6.6859697559064193E-2</v>
      </c>
      <c r="AG4451">
        <v>-0.24060010000000001</v>
      </c>
      <c r="AH4451">
        <v>0.380663993587813</v>
      </c>
      <c r="AI4451">
        <v>121.90327355387799</v>
      </c>
      <c r="AJ4451">
        <v>80.038197130058606</v>
      </c>
      <c r="AK4451">
        <v>0.45526223574103097</v>
      </c>
      <c r="AL4451">
        <v>81.538332723961901</v>
      </c>
      <c r="AM4451">
        <v>87.100726982173896</v>
      </c>
      <c r="AN4451">
        <v>1.0000000367242201</v>
      </c>
    </row>
    <row r="4452" spans="1:40" x14ac:dyDescent="0.25">
      <c r="A4452" t="str">
        <f>"20190303162909671"</f>
        <v>20190303162909671</v>
      </c>
      <c r="B4452" t="str">
        <f>"1551601749666455"</f>
        <v>1551601749666455</v>
      </c>
      <c r="C4452" t="s">
        <v>40</v>
      </c>
      <c r="D4452">
        <v>5.2395630000000004</v>
      </c>
      <c r="E4452">
        <v>0.52746359999999903</v>
      </c>
      <c r="F4452" t="s">
        <v>44</v>
      </c>
      <c r="G4452">
        <v>-346.51929999999999</v>
      </c>
      <c r="H4452">
        <v>0.85350839999999994</v>
      </c>
      <c r="I4452">
        <v>142.68209999999999</v>
      </c>
      <c r="J4452">
        <v>-345.99029999999999</v>
      </c>
      <c r="K4452">
        <v>1.1214740000000001</v>
      </c>
      <c r="L4452">
        <v>142.5891</v>
      </c>
      <c r="M4452">
        <v>-0.9999287</v>
      </c>
      <c r="N4452">
        <v>-1.19279E-2</v>
      </c>
      <c r="O4452">
        <v>6.4675710000000001E-4</v>
      </c>
      <c r="P4452">
        <v>-0.98944929999999998</v>
      </c>
      <c r="Q4452">
        <v>0.13492319999999999</v>
      </c>
      <c r="R4452">
        <v>5.2782490000000001E-2</v>
      </c>
      <c r="S4452">
        <v>-3.1610109999999998</v>
      </c>
      <c r="T4452">
        <v>-1.0863020000000001</v>
      </c>
      <c r="U4452">
        <v>0.37519839999999999</v>
      </c>
      <c r="V4452">
        <v>5.193474E-2</v>
      </c>
      <c r="W4452">
        <v>0.1467897</v>
      </c>
      <c r="X4452">
        <v>0.9878034</v>
      </c>
      <c r="Y4452">
        <v>0.1107559</v>
      </c>
      <c r="Z4452">
        <v>1.891435E-2</v>
      </c>
      <c r="AA4452">
        <v>0.99366770000000004</v>
      </c>
      <c r="AB4452">
        <v>35</v>
      </c>
      <c r="AC4452">
        <v>-0.52899999999999603</v>
      </c>
      <c r="AD4452">
        <v>-0.26796559999999903</v>
      </c>
      <c r="AE4452">
        <v>9.29999999999893E-2</v>
      </c>
      <c r="AF4452">
        <v>7.4191463198773705E-2</v>
      </c>
      <c r="AG4452">
        <v>-0.26796559999999903</v>
      </c>
      <c r="AH4452">
        <v>0.42362034754659</v>
      </c>
      <c r="AI4452">
        <v>121.92608982711999</v>
      </c>
      <c r="AJ4452">
        <v>80.066155930387296</v>
      </c>
      <c r="AK4452">
        <v>0.50671899002349297</v>
      </c>
      <c r="AL4452">
        <v>81.559069439741293</v>
      </c>
      <c r="AM4452">
        <v>86.990388815974299</v>
      </c>
      <c r="AN4452">
        <v>0.99999999514825799</v>
      </c>
    </row>
    <row r="4453" spans="1:40" x14ac:dyDescent="0.25">
      <c r="A4453" t="str">
        <f>"20190303162909686"</f>
        <v>20190303162909686</v>
      </c>
      <c r="B4453" t="str">
        <f>"1551601749676215"</f>
        <v>1551601749676215</v>
      </c>
      <c r="C4453" t="s">
        <v>40</v>
      </c>
      <c r="D4453">
        <v>5.2221989999999998</v>
      </c>
      <c r="E4453">
        <v>0.52723489999999995</v>
      </c>
      <c r="F4453" t="s">
        <v>44</v>
      </c>
      <c r="G4453">
        <v>-346.82659999999998</v>
      </c>
      <c r="H4453">
        <v>0.83285180000000003</v>
      </c>
      <c r="I4453">
        <v>142.68979999999999</v>
      </c>
      <c r="J4453">
        <v>-346.24650000000003</v>
      </c>
      <c r="K4453">
        <v>1.121483</v>
      </c>
      <c r="L4453">
        <v>142.5889</v>
      </c>
      <c r="M4453">
        <v>-0.99992890000000001</v>
      </c>
      <c r="N4453">
        <v>-1.192825E-2</v>
      </c>
      <c r="O4453">
        <v>1.8965790000000001E-4</v>
      </c>
      <c r="P4453">
        <v>-0.9892609</v>
      </c>
      <c r="Q4453">
        <v>0.1352756</v>
      </c>
      <c r="R4453">
        <v>5.5351659999999997E-2</v>
      </c>
      <c r="S4453">
        <v>-3.1604610000000002</v>
      </c>
      <c r="T4453">
        <v>-1.0907370000000001</v>
      </c>
      <c r="U4453">
        <v>0.38005070000000002</v>
      </c>
      <c r="V4453">
        <v>5.4955829999999997E-2</v>
      </c>
      <c r="W4453">
        <v>0.14714389999999999</v>
      </c>
      <c r="X4453">
        <v>0.9875872</v>
      </c>
      <c r="Y4453">
        <v>0.11255179999999999</v>
      </c>
      <c r="Z4453">
        <v>1.9445199999999999E-2</v>
      </c>
      <c r="AA4453">
        <v>0.99345559999999999</v>
      </c>
      <c r="AB4453">
        <v>35</v>
      </c>
      <c r="AC4453">
        <v>-0.58009999999995898</v>
      </c>
      <c r="AD4453">
        <v>-0.28863119999999998</v>
      </c>
      <c r="AE4453">
        <v>0.10089999999999499</v>
      </c>
      <c r="AF4453">
        <v>8.1263192567205197E-2</v>
      </c>
      <c r="AG4453">
        <v>-0.28863119999999998</v>
      </c>
      <c r="AH4453">
        <v>0.46772841036087398</v>
      </c>
      <c r="AI4453">
        <v>121.29891037007</v>
      </c>
      <c r="AJ4453">
        <v>80.143809964076496</v>
      </c>
      <c r="AK4453">
        <v>0.555591164381117</v>
      </c>
      <c r="AL4453">
        <v>81.538552310023704</v>
      </c>
      <c r="AM4453">
        <v>86.814971801347696</v>
      </c>
      <c r="AN4453">
        <v>0.99999997408101904</v>
      </c>
    </row>
    <row r="4454" spans="1:40" x14ac:dyDescent="0.25">
      <c r="A4454" t="str">
        <f>"20190303162909710"</f>
        <v>20190303162909710</v>
      </c>
      <c r="B4454" t="str">
        <f>"1551601749706471"</f>
        <v>1551601749706471</v>
      </c>
      <c r="C4454" t="s">
        <v>40</v>
      </c>
      <c r="D4454">
        <v>5.2115179999999999</v>
      </c>
      <c r="E4454">
        <v>0.52734630000000005</v>
      </c>
      <c r="F4454" t="s">
        <v>44</v>
      </c>
      <c r="G4454">
        <v>-347.13529999999997</v>
      </c>
      <c r="H4454">
        <v>0.81540489999999999</v>
      </c>
      <c r="I4454">
        <v>142.69759999999999</v>
      </c>
      <c r="J4454">
        <v>-346.61380000000003</v>
      </c>
      <c r="K4454">
        <v>1.1215010000000001</v>
      </c>
      <c r="L4454">
        <v>142.5883</v>
      </c>
      <c r="M4454">
        <v>-0.99992890000000001</v>
      </c>
      <c r="N4454">
        <v>-1.192877E-2</v>
      </c>
      <c r="O4454">
        <v>-4.6532369999999998E-4</v>
      </c>
      <c r="P4454">
        <v>-0.98878359999999998</v>
      </c>
      <c r="Q4454">
        <v>0.1381433</v>
      </c>
      <c r="R4454">
        <v>5.6778589999999997E-2</v>
      </c>
      <c r="S4454">
        <v>-3.1597900000000001</v>
      </c>
      <c r="T4454">
        <v>-1.0882909999999999</v>
      </c>
      <c r="U4454">
        <v>0.38636779999999998</v>
      </c>
      <c r="V4454">
        <v>5.7026159999999999E-2</v>
      </c>
      <c r="W4454">
        <v>0.150009</v>
      </c>
      <c r="X4454">
        <v>0.98703870000000005</v>
      </c>
      <c r="Y4454">
        <v>0.11503090000000001</v>
      </c>
      <c r="Z4454">
        <v>2.0046870000000001E-2</v>
      </c>
      <c r="AA4454">
        <v>0.99315960000000003</v>
      </c>
      <c r="AB4454">
        <v>35</v>
      </c>
      <c r="AC4454">
        <v>-0.52149999999994601</v>
      </c>
      <c r="AD4454">
        <v>-0.30609609999999998</v>
      </c>
      <c r="AE4454">
        <v>0.10929999999999</v>
      </c>
      <c r="AF4454">
        <v>8.2361833926903702E-2</v>
      </c>
      <c r="AG4454">
        <v>-0.30609609999999998</v>
      </c>
      <c r="AH4454">
        <v>0.39206185008944999</v>
      </c>
      <c r="AI4454">
        <v>127.381888190167</v>
      </c>
      <c r="AJ4454">
        <v>78.136183530799002</v>
      </c>
      <c r="AK4454">
        <v>0.50417337138981799</v>
      </c>
      <c r="AL4454">
        <v>81.372552218334107</v>
      </c>
      <c r="AM4454">
        <v>86.693412196826799</v>
      </c>
      <c r="AN4454">
        <v>1.00000003915151</v>
      </c>
    </row>
    <row r="4455" spans="1:40" x14ac:dyDescent="0.25">
      <c r="A4455" t="str">
        <f>"20190303162909733"</f>
        <v>20190303162909733</v>
      </c>
      <c r="B4455" t="str">
        <f>"1551601749725990"</f>
        <v>1551601749725990</v>
      </c>
      <c r="C4455" t="s">
        <v>40</v>
      </c>
      <c r="D4455">
        <v>5.1448619999999998</v>
      </c>
      <c r="E4455">
        <v>0.52728299999999995</v>
      </c>
      <c r="F4455" t="s">
        <v>44</v>
      </c>
      <c r="G4455">
        <v>-347.45850000000002</v>
      </c>
      <c r="H4455">
        <v>0.83468899999999902</v>
      </c>
      <c r="I4455">
        <v>142.6926</v>
      </c>
      <c r="J4455">
        <v>-346.9753</v>
      </c>
      <c r="K4455">
        <v>1.121524</v>
      </c>
      <c r="L4455">
        <v>142.5874</v>
      </c>
      <c r="M4455">
        <v>-0.99992809999999999</v>
      </c>
      <c r="N4455">
        <v>-1.192928E-2</v>
      </c>
      <c r="O4455">
        <v>-1.110113E-3</v>
      </c>
      <c r="P4455">
        <v>-0.98812370000000005</v>
      </c>
      <c r="Q4455">
        <v>0.14241280000000001</v>
      </c>
      <c r="R4455">
        <v>5.7707290000000001E-2</v>
      </c>
      <c r="S4455">
        <v>-3.161591</v>
      </c>
      <c r="T4455">
        <v>-1.073399</v>
      </c>
      <c r="U4455">
        <v>0.38993840000000002</v>
      </c>
      <c r="V4455">
        <v>5.8585619999999998E-2</v>
      </c>
      <c r="W4455">
        <v>0.15427270000000001</v>
      </c>
      <c r="X4455">
        <v>0.98628990000000005</v>
      </c>
      <c r="Y4455">
        <v>0.1167605</v>
      </c>
      <c r="Z4455">
        <v>2.028431E-2</v>
      </c>
      <c r="AA4455">
        <v>0.99295290000000003</v>
      </c>
      <c r="AB4455">
        <v>35</v>
      </c>
      <c r="AC4455">
        <v>-0.48320000000001001</v>
      </c>
      <c r="AD4455">
        <v>-0.28683500000000001</v>
      </c>
      <c r="AE4455">
        <v>0.10519999999999601</v>
      </c>
      <c r="AF4455">
        <v>7.9118386251563699E-2</v>
      </c>
      <c r="AG4455">
        <v>-0.28683500000000001</v>
      </c>
      <c r="AH4455">
        <v>0.361471995369889</v>
      </c>
      <c r="AI4455">
        <v>127.781705850066</v>
      </c>
      <c r="AJ4455">
        <v>77.653895982464107</v>
      </c>
      <c r="AK4455">
        <v>0.46818376702395498</v>
      </c>
      <c r="AL4455">
        <v>81.125382796851497</v>
      </c>
      <c r="AM4455">
        <v>86.600625018469302</v>
      </c>
      <c r="AN4455">
        <v>1.0000000538390399</v>
      </c>
    </row>
    <row r="4456" spans="1:40" x14ac:dyDescent="0.25">
      <c r="A4456" t="str">
        <f>"20190303162909755"</f>
        <v>20190303162909755</v>
      </c>
      <c r="B4456" t="str">
        <f>"1551601749746486"</f>
        <v>1551601749746486</v>
      </c>
      <c r="C4456" t="s">
        <v>40</v>
      </c>
      <c r="D4456">
        <v>5.139869</v>
      </c>
      <c r="E4456">
        <v>0.52731899999999998</v>
      </c>
      <c r="F4456" t="s">
        <v>44</v>
      </c>
      <c r="G4456">
        <v>-347.78089999999997</v>
      </c>
      <c r="H4456">
        <v>0.85168429999999995</v>
      </c>
      <c r="I4456">
        <v>142.68719999999999</v>
      </c>
      <c r="J4456">
        <v>-347.32440000000003</v>
      </c>
      <c r="K4456">
        <v>1.121543</v>
      </c>
      <c r="L4456">
        <v>142.5864</v>
      </c>
      <c r="M4456">
        <v>-0.99992729999999996</v>
      </c>
      <c r="N4456">
        <v>-1.1929800000000001E-2</v>
      </c>
      <c r="O4456">
        <v>-1.733086E-3</v>
      </c>
      <c r="P4456">
        <v>-0.98745249999999996</v>
      </c>
      <c r="Q4456">
        <v>0.1471025</v>
      </c>
      <c r="R4456">
        <v>5.7433980000000003E-2</v>
      </c>
      <c r="S4456">
        <v>-3.1660460000000001</v>
      </c>
      <c r="T4456">
        <v>-1.0604579999999999</v>
      </c>
      <c r="U4456">
        <v>0.39102170000000003</v>
      </c>
      <c r="V4456">
        <v>5.8919880000000001E-2</v>
      </c>
      <c r="W4456">
        <v>0.15895490000000001</v>
      </c>
      <c r="X4456">
        <v>0.98552609999999996</v>
      </c>
      <c r="Y4456">
        <v>0.1176364</v>
      </c>
      <c r="Z4456">
        <v>2.037686E-2</v>
      </c>
      <c r="AA4456">
        <v>0.99284760000000005</v>
      </c>
      <c r="AB4456">
        <v>35</v>
      </c>
      <c r="AC4456">
        <v>-0.456499999999948</v>
      </c>
      <c r="AD4456">
        <v>-0.26985869999999901</v>
      </c>
      <c r="AE4456">
        <v>0.10079999999999199</v>
      </c>
      <c r="AF4456">
        <v>7.6200418522595501E-2</v>
      </c>
      <c r="AG4456">
        <v>-0.26985869999999901</v>
      </c>
      <c r="AH4456">
        <v>0.34227545682577298</v>
      </c>
      <c r="AI4456">
        <v>127.581320560305</v>
      </c>
      <c r="AJ4456">
        <v>77.448988191169704</v>
      </c>
      <c r="AK4456">
        <v>0.44247340043668199</v>
      </c>
      <c r="AL4456">
        <v>80.853759471618801</v>
      </c>
      <c r="AM4456">
        <v>86.578632491515194</v>
      </c>
      <c r="AN4456">
        <v>0.99999995313721601</v>
      </c>
    </row>
    <row r="4457" spans="1:40" x14ac:dyDescent="0.25">
      <c r="A4457" t="str">
        <f>"20190303162909776"</f>
        <v>20190303162909776</v>
      </c>
      <c r="B4457" t="str">
        <f>"1551601749766007"</f>
        <v>1551601749766007</v>
      </c>
      <c r="C4457" t="s">
        <v>40</v>
      </c>
      <c r="D4457">
        <v>5.078703</v>
      </c>
      <c r="E4457">
        <v>0.52725739999999999</v>
      </c>
      <c r="F4457" t="s">
        <v>44</v>
      </c>
      <c r="G4457">
        <v>-348.1019</v>
      </c>
      <c r="H4457">
        <v>0.86517939999999904</v>
      </c>
      <c r="I4457">
        <v>142.68199999999999</v>
      </c>
      <c r="J4457">
        <v>-347.66800000000001</v>
      </c>
      <c r="K4457">
        <v>1.1215660000000001</v>
      </c>
      <c r="L4457">
        <v>142.58519999999999</v>
      </c>
      <c r="M4457">
        <v>-0.99992619999999999</v>
      </c>
      <c r="N4457">
        <v>-1.1930329999999999E-2</v>
      </c>
      <c r="O4457">
        <v>-2.3461649999999999E-3</v>
      </c>
      <c r="P4457">
        <v>-0.98690129999999998</v>
      </c>
      <c r="Q4457">
        <v>0.151199</v>
      </c>
      <c r="R4457">
        <v>5.6258429999999998E-2</v>
      </c>
      <c r="S4457">
        <v>-3.1712039999999999</v>
      </c>
      <c r="T4457">
        <v>-1.045679</v>
      </c>
      <c r="U4457">
        <v>0.3894958</v>
      </c>
      <c r="V4457">
        <v>5.8342539999999998E-2</v>
      </c>
      <c r="W4457">
        <v>0.16304360000000001</v>
      </c>
      <c r="X4457">
        <v>0.9848924</v>
      </c>
      <c r="Y4457">
        <v>0.1177388</v>
      </c>
      <c r="Z4457">
        <v>2.029282E-2</v>
      </c>
      <c r="AA4457">
        <v>0.99283730000000003</v>
      </c>
      <c r="AB4457">
        <v>35</v>
      </c>
      <c r="AC4457">
        <v>-0.43389999999999401</v>
      </c>
      <c r="AD4457">
        <v>-0.25638660000000002</v>
      </c>
      <c r="AE4457">
        <v>9.6800000000030195E-2</v>
      </c>
      <c r="AF4457">
        <v>7.34039480515285E-2</v>
      </c>
      <c r="AG4457">
        <v>-0.25638660000000002</v>
      </c>
      <c r="AH4457">
        <v>0.32543372767994599</v>
      </c>
      <c r="AI4457">
        <v>127.54311506261</v>
      </c>
      <c r="AJ4457">
        <v>77.289228631270902</v>
      </c>
      <c r="AK4457">
        <v>0.42074854647494198</v>
      </c>
      <c r="AL4457">
        <v>80.616398477821505</v>
      </c>
      <c r="AM4457">
        <v>86.609904297739206</v>
      </c>
      <c r="AN4457">
        <v>1.0000000535261799</v>
      </c>
    </row>
    <row r="4458" spans="1:40" x14ac:dyDescent="0.25">
      <c r="A4458" t="str">
        <f>"20190303162909799"</f>
        <v>20190303162909799</v>
      </c>
      <c r="B4458" t="str">
        <f>"1551601749786502"</f>
        <v>1551601749786502</v>
      </c>
      <c r="C4458" t="s">
        <v>40</v>
      </c>
      <c r="D4458">
        <v>5.0633410000000003</v>
      </c>
      <c r="E4458">
        <v>0.52709099999999998</v>
      </c>
      <c r="F4458" t="s">
        <v>44</v>
      </c>
      <c r="G4458">
        <v>-348.4221</v>
      </c>
      <c r="H4458">
        <v>0.87634809999999996</v>
      </c>
      <c r="I4458">
        <v>142.6765</v>
      </c>
      <c r="J4458">
        <v>-348.01139999999998</v>
      </c>
      <c r="K4458">
        <v>1.1215839999999999</v>
      </c>
      <c r="L4458">
        <v>142.5838</v>
      </c>
      <c r="M4458">
        <v>-0.99992449999999999</v>
      </c>
      <c r="N4458">
        <v>-1.193086E-2</v>
      </c>
      <c r="O4458">
        <v>-2.9587680000000001E-3</v>
      </c>
      <c r="P4458">
        <v>-0.98633870000000001</v>
      </c>
      <c r="Q4458">
        <v>0.1553185</v>
      </c>
      <c r="R4458">
        <v>5.4883849999999998E-2</v>
      </c>
      <c r="S4458">
        <v>-3.1761780000000002</v>
      </c>
      <c r="T4458">
        <v>-1.0329219999999999</v>
      </c>
      <c r="U4458">
        <v>0.38348389999999999</v>
      </c>
      <c r="V4458">
        <v>5.7564810000000001E-2</v>
      </c>
      <c r="W4458">
        <v>0.16715539999999901</v>
      </c>
      <c r="X4458">
        <v>0.98424860000000003</v>
      </c>
      <c r="Y4458">
        <v>0.1165109</v>
      </c>
      <c r="Z4458">
        <v>2.002323E-2</v>
      </c>
      <c r="AA4458">
        <v>0.99298759999999997</v>
      </c>
      <c r="AB4458">
        <v>35</v>
      </c>
      <c r="AC4458">
        <v>-0.41070000000001899</v>
      </c>
      <c r="AD4458">
        <v>-0.24523589999999901</v>
      </c>
      <c r="AE4458">
        <v>9.2700000000007707E-2</v>
      </c>
      <c r="AF4458">
        <v>7.0124201595955393E-2</v>
      </c>
      <c r="AG4458">
        <v>-0.24523589999999901</v>
      </c>
      <c r="AH4458">
        <v>0.30645472647847399</v>
      </c>
      <c r="AI4458">
        <v>127.95684542115301</v>
      </c>
      <c r="AJ4458">
        <v>77.111245494819997</v>
      </c>
      <c r="AK4458">
        <v>0.39871361862780202</v>
      </c>
      <c r="AL4458">
        <v>80.377530725317996</v>
      </c>
      <c r="AM4458">
        <v>86.652809350963807</v>
      </c>
      <c r="AN4458">
        <v>0.999999970850727</v>
      </c>
    </row>
    <row r="4459" spans="1:40" x14ac:dyDescent="0.25">
      <c r="A4459" t="str">
        <f>"20190303162909822"</f>
        <v>20190303162909822</v>
      </c>
      <c r="B4459" t="str">
        <f>"1551601749815783"</f>
        <v>1551601749815783</v>
      </c>
      <c r="C4459" t="s">
        <v>40</v>
      </c>
      <c r="D4459">
        <v>5.0597989999999999</v>
      </c>
      <c r="E4459">
        <v>0.5269682</v>
      </c>
      <c r="F4459" t="s">
        <v>44</v>
      </c>
      <c r="G4459">
        <v>-348.74200000000002</v>
      </c>
      <c r="H4459">
        <v>0.88687990000000005</v>
      </c>
      <c r="I4459">
        <v>142.67019999999999</v>
      </c>
      <c r="J4459">
        <v>-348.38310000000001</v>
      </c>
      <c r="K4459">
        <v>1.121599</v>
      </c>
      <c r="L4459">
        <v>142.58199999999999</v>
      </c>
      <c r="M4459">
        <v>-0.99992230000000004</v>
      </c>
      <c r="N4459">
        <v>-1.193145E-2</v>
      </c>
      <c r="O4459">
        <v>-3.6216759999999999E-3</v>
      </c>
      <c r="P4459">
        <v>-0.98585970000000001</v>
      </c>
      <c r="Q4459">
        <v>0.15879489999999999</v>
      </c>
      <c r="R4459">
        <v>5.3526070000000002E-2</v>
      </c>
      <c r="S4459">
        <v>-3.1815799999999999</v>
      </c>
      <c r="T4459">
        <v>-1.0222150000000001</v>
      </c>
      <c r="U4459">
        <v>0.37629699999999999</v>
      </c>
      <c r="V4459">
        <v>5.6854160000000001E-2</v>
      </c>
      <c r="W4459">
        <v>0.1706249</v>
      </c>
      <c r="X4459">
        <v>0.98369439999999997</v>
      </c>
      <c r="Y4459">
        <v>0.1149492</v>
      </c>
      <c r="Z4459">
        <v>1.9749360000000001E-2</v>
      </c>
      <c r="AA4459">
        <v>0.99317500000000003</v>
      </c>
      <c r="AB4459">
        <v>35</v>
      </c>
      <c r="AC4459">
        <v>-0.35889999999994798</v>
      </c>
      <c r="AD4459">
        <v>-0.23471910000000001</v>
      </c>
      <c r="AE4459">
        <v>8.82000000000005E-2</v>
      </c>
      <c r="AF4459">
        <v>6.3775454898639602E-2</v>
      </c>
      <c r="AG4459">
        <v>-0.23471910000000001</v>
      </c>
      <c r="AH4459">
        <v>0.25551572713516202</v>
      </c>
      <c r="AI4459">
        <v>131.70955510214901</v>
      </c>
      <c r="AJ4459">
        <v>75.985596941138994</v>
      </c>
      <c r="AK4459">
        <v>0.352772804175363</v>
      </c>
      <c r="AL4459">
        <v>80.175845585873205</v>
      </c>
      <c r="AM4459">
        <v>86.692180518818006</v>
      </c>
      <c r="AN4459">
        <v>0.99999996230033705</v>
      </c>
    </row>
    <row r="4460" spans="1:40" x14ac:dyDescent="0.25">
      <c r="A4460" t="str">
        <f>"20190303162909844"</f>
        <v>20190303162909844</v>
      </c>
      <c r="B4460" t="str">
        <f>"1551601749836278"</f>
        <v>1551601749836278</v>
      </c>
      <c r="C4460" t="s">
        <v>40</v>
      </c>
      <c r="D4460">
        <v>5.05844</v>
      </c>
      <c r="E4460">
        <v>0.52687150000000005</v>
      </c>
      <c r="F4460" t="s">
        <v>44</v>
      </c>
      <c r="G4460">
        <v>-349.06479999999999</v>
      </c>
      <c r="H4460">
        <v>0.90448510000000004</v>
      </c>
      <c r="I4460">
        <v>142.66130000000001</v>
      </c>
      <c r="J4460">
        <v>-348.72800000000001</v>
      </c>
      <c r="K4460">
        <v>1.1216090000000001</v>
      </c>
      <c r="L4460">
        <v>142.58019999999999</v>
      </c>
      <c r="M4460">
        <v>-0.99991980000000003</v>
      </c>
      <c r="N4460">
        <v>-1.193198E-2</v>
      </c>
      <c r="O4460">
        <v>-4.2371359999999999E-3</v>
      </c>
      <c r="P4460">
        <v>-0.98537019999999997</v>
      </c>
      <c r="Q4460">
        <v>0.16217699999999999</v>
      </c>
      <c r="R4460">
        <v>5.2387009999999998E-2</v>
      </c>
      <c r="S4460">
        <v>-3.1864620000000001</v>
      </c>
      <c r="T4460">
        <v>-1.0149980000000001</v>
      </c>
      <c r="U4460">
        <v>0.36936950000000002</v>
      </c>
      <c r="V4460">
        <v>5.6314860000000001E-2</v>
      </c>
      <c r="W4460">
        <v>0.17400019999999999</v>
      </c>
      <c r="X4460">
        <v>0.98313399999999995</v>
      </c>
      <c r="Y4460">
        <v>0.1134015</v>
      </c>
      <c r="Z4460">
        <v>1.9529600000000001E-2</v>
      </c>
      <c r="AA4460">
        <v>0.9933573</v>
      </c>
      <c r="AB4460">
        <v>35</v>
      </c>
      <c r="AC4460">
        <v>-0.336799999999982</v>
      </c>
      <c r="AD4460">
        <v>-0.21712390000000001</v>
      </c>
      <c r="AE4460">
        <v>8.11000000000206E-2</v>
      </c>
      <c r="AF4460">
        <v>5.9251371437742999E-2</v>
      </c>
      <c r="AG4460">
        <v>-0.21712390000000001</v>
      </c>
      <c r="AH4460">
        <v>0.24156283015437399</v>
      </c>
      <c r="AI4460">
        <v>131.11944009009301</v>
      </c>
      <c r="AJ4460">
        <v>76.218377883334199</v>
      </c>
      <c r="AK4460">
        <v>0.330160739459818</v>
      </c>
      <c r="AL4460">
        <v>79.979518283261001</v>
      </c>
      <c r="AM4460">
        <v>86.721625142383502</v>
      </c>
      <c r="AN4460">
        <v>0.99999994750642796</v>
      </c>
    </row>
    <row r="4461" spans="1:40" x14ac:dyDescent="0.25">
      <c r="A4461" t="str">
        <f>"20190303162909858"</f>
        <v>20190303162909858</v>
      </c>
      <c r="B4461" t="str">
        <f>"1551601749846039"</f>
        <v>1551601749846039</v>
      </c>
      <c r="C4461" t="s">
        <v>40</v>
      </c>
      <c r="D4461">
        <v>5.0545010000000001</v>
      </c>
      <c r="E4461">
        <v>0.5266864</v>
      </c>
      <c r="F4461" t="s">
        <v>44</v>
      </c>
      <c r="G4461">
        <v>-349.6651</v>
      </c>
      <c r="H4461">
        <v>0.8253298</v>
      </c>
      <c r="I4461">
        <v>142.68770000000001</v>
      </c>
      <c r="J4461">
        <v>-348.9615</v>
      </c>
      <c r="K4461">
        <v>1.1216120000000001</v>
      </c>
      <c r="L4461">
        <v>142.5788</v>
      </c>
      <c r="M4461">
        <v>-0.99991799999999997</v>
      </c>
      <c r="N4461">
        <v>-1.193222E-2</v>
      </c>
      <c r="O4461">
        <v>-4.6532869999999999E-3</v>
      </c>
      <c r="P4461">
        <v>-0.98516800000000004</v>
      </c>
      <c r="Q4461">
        <v>0.16352439999999999</v>
      </c>
      <c r="R4461">
        <v>5.1996529999999999E-2</v>
      </c>
      <c r="S4461">
        <v>-3.1911930000000002</v>
      </c>
      <c r="T4461">
        <v>-1.0089950000000001</v>
      </c>
      <c r="U4461">
        <v>0.36521910000000002</v>
      </c>
      <c r="V4461">
        <v>5.6331369999999999E-2</v>
      </c>
      <c r="W4461">
        <v>0.17534530000000001</v>
      </c>
      <c r="X4461">
        <v>0.98289409999999999</v>
      </c>
      <c r="Y4461">
        <v>0.1124817</v>
      </c>
      <c r="Z4461">
        <v>1.93738E-2</v>
      </c>
      <c r="AA4461">
        <v>0.99346489999999998</v>
      </c>
      <c r="AB4461">
        <v>35</v>
      </c>
      <c r="AC4461">
        <v>-0.70359999999999401</v>
      </c>
      <c r="AD4461">
        <v>-0.296282199999999</v>
      </c>
      <c r="AE4461">
        <v>0.10890000000000501</v>
      </c>
      <c r="AF4461">
        <v>9.5615202819688994E-2</v>
      </c>
      <c r="AG4461">
        <v>-0.296282199999999</v>
      </c>
      <c r="AH4461">
        <v>0.59930293907278298</v>
      </c>
      <c r="AI4461">
        <v>116.02179796305199</v>
      </c>
      <c r="AJ4461">
        <v>80.935198241165807</v>
      </c>
      <c r="AK4461">
        <v>0.67534392854927305</v>
      </c>
      <c r="AL4461">
        <v>79.901246993375693</v>
      </c>
      <c r="AM4461">
        <v>86.719867452202294</v>
      </c>
      <c r="AN4461">
        <v>1.0000000046464801</v>
      </c>
    </row>
    <row r="4462" spans="1:40" x14ac:dyDescent="0.25">
      <c r="A4462" t="str">
        <f>"20190303162909876"</f>
        <v>20190303162909876</v>
      </c>
      <c r="B4462" t="str">
        <f>"1551601749866535"</f>
        <v>1551601749866535</v>
      </c>
      <c r="C4462" t="s">
        <v>40</v>
      </c>
      <c r="D4462">
        <v>5.0488249999999999</v>
      </c>
      <c r="E4462">
        <v>0.52639179999999997</v>
      </c>
      <c r="F4462" t="s">
        <v>44</v>
      </c>
      <c r="G4462">
        <v>-349.69130000000001</v>
      </c>
      <c r="H4462">
        <v>0.89170479999999996</v>
      </c>
      <c r="I4462">
        <v>142.66210000000001</v>
      </c>
      <c r="J4462">
        <v>-349.2398</v>
      </c>
      <c r="K4462">
        <v>1.1216269999999999</v>
      </c>
      <c r="L4462">
        <v>142.577</v>
      </c>
      <c r="M4462">
        <v>-0.99991560000000002</v>
      </c>
      <c r="N4462">
        <v>-1.19326E-2</v>
      </c>
      <c r="O4462">
        <v>-5.1497799999999996E-3</v>
      </c>
      <c r="P4462">
        <v>-0.98453710000000005</v>
      </c>
      <c r="Q4462">
        <v>0.1673714</v>
      </c>
      <c r="R4462">
        <v>5.1706729999999999E-2</v>
      </c>
      <c r="S4462">
        <v>-3.1929319999999999</v>
      </c>
      <c r="T4462">
        <v>-1.005827</v>
      </c>
      <c r="U4462">
        <v>0.36322019999999999</v>
      </c>
      <c r="V4462">
        <v>5.6521870000000002E-2</v>
      </c>
      <c r="W4462">
        <v>0.1791845</v>
      </c>
      <c r="X4462">
        <v>0.98219049999999997</v>
      </c>
      <c r="Y4462">
        <v>0.1123261</v>
      </c>
      <c r="Z4462">
        <v>1.9430200000000002E-2</v>
      </c>
      <c r="AA4462">
        <v>0.99348139999999996</v>
      </c>
      <c r="AB4462">
        <v>35</v>
      </c>
      <c r="AC4462">
        <v>-0.45150000000001</v>
      </c>
      <c r="AD4462">
        <v>-0.22992219999999999</v>
      </c>
      <c r="AE4462">
        <v>8.5100000000011194E-2</v>
      </c>
      <c r="AF4462">
        <v>6.9915310248527804E-2</v>
      </c>
      <c r="AG4462">
        <v>-0.22992219999999999</v>
      </c>
      <c r="AH4462">
        <v>0.36072066045969498</v>
      </c>
      <c r="AI4462">
        <v>122.03633482806499</v>
      </c>
      <c r="AJ4462">
        <v>79.030871663176598</v>
      </c>
      <c r="AK4462">
        <v>0.43344176488020397</v>
      </c>
      <c r="AL4462">
        <v>79.677737073066396</v>
      </c>
      <c r="AM4462">
        <v>86.706446637464097</v>
      </c>
      <c r="AN4462">
        <v>0.99999999255939798</v>
      </c>
    </row>
    <row r="4463" spans="1:40" x14ac:dyDescent="0.25">
      <c r="A4463" t="str">
        <f>"20190303162909891"</f>
        <v>20190303162909891</v>
      </c>
      <c r="B4463" t="str">
        <f>"1551601749886055"</f>
        <v>1551601749886055</v>
      </c>
      <c r="C4463" t="s">
        <v>40</v>
      </c>
      <c r="D4463">
        <v>5.0431210000000002</v>
      </c>
      <c r="E4463">
        <v>0.52617380000000002</v>
      </c>
      <c r="F4463" t="s">
        <v>44</v>
      </c>
      <c r="G4463">
        <v>-350.00400000000002</v>
      </c>
      <c r="H4463">
        <v>0.88349769999999905</v>
      </c>
      <c r="I4463">
        <v>142.66309999999999</v>
      </c>
      <c r="J4463">
        <v>-349.48070000000001</v>
      </c>
      <c r="K4463">
        <v>1.121634</v>
      </c>
      <c r="L4463">
        <v>142.5754</v>
      </c>
      <c r="M4463">
        <v>-0.9999133</v>
      </c>
      <c r="N4463">
        <v>-1.1933030000000001E-2</v>
      </c>
      <c r="O4463">
        <v>-5.5787969999999999E-3</v>
      </c>
      <c r="P4463">
        <v>-0.98411579999999999</v>
      </c>
      <c r="Q4463">
        <v>0.16986619999999999</v>
      </c>
      <c r="R4463">
        <v>5.1593769999999997E-2</v>
      </c>
      <c r="S4463">
        <v>-3.1975709999999999</v>
      </c>
      <c r="T4463">
        <v>-0.99626800000000004</v>
      </c>
      <c r="U4463">
        <v>0.36027530000000002</v>
      </c>
      <c r="V4463">
        <v>5.6825540000000001E-2</v>
      </c>
      <c r="W4463">
        <v>0.181675</v>
      </c>
      <c r="X4463">
        <v>0.98171540000000002</v>
      </c>
      <c r="Y4463">
        <v>0.1118142</v>
      </c>
      <c r="Z4463">
        <v>1.927885E-2</v>
      </c>
      <c r="AA4463">
        <v>0.99354209999999998</v>
      </c>
      <c r="AB4463">
        <v>35</v>
      </c>
      <c r="AC4463">
        <v>-0.52330000000000598</v>
      </c>
      <c r="AD4463">
        <v>-0.2381363</v>
      </c>
      <c r="AE4463">
        <v>8.7699999999983902E-2</v>
      </c>
      <c r="AF4463">
        <v>7.5425426263604101E-2</v>
      </c>
      <c r="AG4463">
        <v>-0.2381363</v>
      </c>
      <c r="AH4463">
        <v>0.43515093114114001</v>
      </c>
      <c r="AI4463">
        <v>118.333983896646</v>
      </c>
      <c r="AJ4463">
        <v>80.166530006717096</v>
      </c>
      <c r="AK4463">
        <v>0.50175115862122099</v>
      </c>
      <c r="AL4463">
        <v>79.5326613539372</v>
      </c>
      <c r="AM4463">
        <v>86.687192038125403</v>
      </c>
      <c r="AN4463">
        <v>1.0000000371092199</v>
      </c>
    </row>
    <row r="4464" spans="1:40" x14ac:dyDescent="0.25">
      <c r="A4464" t="str">
        <f>"20190303162909911"</f>
        <v>20190303162909911</v>
      </c>
      <c r="B4464" t="str">
        <f>"1551601749906550"</f>
        <v>1551601749906550</v>
      </c>
      <c r="C4464" t="s">
        <v>40</v>
      </c>
      <c r="D4464">
        <v>5.031371</v>
      </c>
      <c r="E4464">
        <v>0.52598140000000004</v>
      </c>
      <c r="F4464" t="s">
        <v>44</v>
      </c>
      <c r="G4464">
        <v>-350.31240000000003</v>
      </c>
      <c r="H4464">
        <v>0.86412809999999995</v>
      </c>
      <c r="I4464">
        <v>142.66899999999899</v>
      </c>
      <c r="J4464">
        <v>-349.78559999999999</v>
      </c>
      <c r="K4464">
        <v>1.1216390000000001</v>
      </c>
      <c r="L4464">
        <v>142.57320000000001</v>
      </c>
      <c r="M4464">
        <v>-0.99991010000000002</v>
      </c>
      <c r="N4464">
        <v>-1.193367E-2</v>
      </c>
      <c r="O4464">
        <v>-6.1199770000000004E-3</v>
      </c>
      <c r="P4464">
        <v>-0.98378259999999995</v>
      </c>
      <c r="Q4464">
        <v>0.17161170000000001</v>
      </c>
      <c r="R4464">
        <v>5.2166190000000001E-2</v>
      </c>
      <c r="S4464">
        <v>-3.2006839999999999</v>
      </c>
      <c r="T4464">
        <v>-0.99107339999999999</v>
      </c>
      <c r="U4464">
        <v>0.35885620000000001</v>
      </c>
      <c r="V4464">
        <v>5.7926400000000003E-2</v>
      </c>
      <c r="W4464">
        <v>0.1834181</v>
      </c>
      <c r="X4464">
        <v>0.98132680000000005</v>
      </c>
      <c r="Y4464">
        <v>0.1118513</v>
      </c>
      <c r="Z4464">
        <v>1.9331790000000001E-2</v>
      </c>
      <c r="AA4464">
        <v>0.99353689999999995</v>
      </c>
      <c r="AB4464">
        <v>35</v>
      </c>
      <c r="AC4464">
        <v>-0.52680000000003702</v>
      </c>
      <c r="AD4464">
        <v>-0.25751089999999999</v>
      </c>
      <c r="AE4464">
        <v>9.5799999999968494E-2</v>
      </c>
      <c r="AF4464">
        <v>8.0421253673109899E-2</v>
      </c>
      <c r="AG4464">
        <v>-0.25751089999999999</v>
      </c>
      <c r="AH4464">
        <v>0.42735736971292498</v>
      </c>
      <c r="AI4464">
        <v>120.632818145285</v>
      </c>
      <c r="AJ4464">
        <v>79.342563332919497</v>
      </c>
      <c r="AK4464">
        <v>0.50538476738927796</v>
      </c>
      <c r="AL4464">
        <v>79.431081624104493</v>
      </c>
      <c r="AM4464">
        <v>86.621827239226505</v>
      </c>
      <c r="AN4464">
        <v>0.99999997781140404</v>
      </c>
    </row>
    <row r="4465" spans="1:40" x14ac:dyDescent="0.25">
      <c r="A4465" t="str">
        <f>"20190303162909934"</f>
        <v>20190303162909934</v>
      </c>
      <c r="B4465" t="str">
        <f>"1551601749926071"</f>
        <v>1551601749926071</v>
      </c>
      <c r="C4465" t="s">
        <v>40</v>
      </c>
      <c r="D4465">
        <v>5.0685010000000004</v>
      </c>
      <c r="E4465">
        <v>0.52575000000000005</v>
      </c>
      <c r="F4465" t="s">
        <v>44</v>
      </c>
      <c r="G4465">
        <v>-350.6275</v>
      </c>
      <c r="H4465">
        <v>0.86200669999999902</v>
      </c>
      <c r="I4465">
        <v>142.6677</v>
      </c>
      <c r="J4465">
        <v>-350.15300000000002</v>
      </c>
      <c r="K4465">
        <v>1.1216539999999999</v>
      </c>
      <c r="L4465">
        <v>142.5702</v>
      </c>
      <c r="M4465">
        <v>-0.99990590000000001</v>
      </c>
      <c r="N4465">
        <v>-1.1934459999999999E-2</v>
      </c>
      <c r="O4465">
        <v>-6.7690210000000001E-3</v>
      </c>
      <c r="P4465">
        <v>-0.98345749999999998</v>
      </c>
      <c r="Q4465">
        <v>0.17337359999999999</v>
      </c>
      <c r="R4465">
        <v>5.2468790000000001E-2</v>
      </c>
      <c r="S4465">
        <v>-3.202728</v>
      </c>
      <c r="T4465">
        <v>-0.98777150000000002</v>
      </c>
      <c r="U4465">
        <v>0.35887150000000001</v>
      </c>
      <c r="V4465">
        <v>5.8863329999999998E-2</v>
      </c>
      <c r="W4465">
        <v>0.18517749999999999</v>
      </c>
      <c r="X4465">
        <v>0.98094060000000005</v>
      </c>
      <c r="Y4465">
        <v>0.11241859999999999</v>
      </c>
      <c r="Z4465">
        <v>1.953703E-2</v>
      </c>
      <c r="AA4465">
        <v>0.99346889999999999</v>
      </c>
      <c r="AB4465">
        <v>35</v>
      </c>
      <c r="AC4465">
        <v>-0.474499999999977</v>
      </c>
      <c r="AD4465">
        <v>-0.25964730000000003</v>
      </c>
      <c r="AE4465">
        <v>9.7499999999996603E-2</v>
      </c>
      <c r="AF4465">
        <v>7.8233454337809399E-2</v>
      </c>
      <c r="AG4465">
        <v>-0.25964730000000003</v>
      </c>
      <c r="AH4465">
        <v>0.36807989239181499</v>
      </c>
      <c r="AI4465">
        <v>124.60555607704001</v>
      </c>
      <c r="AJ4465">
        <v>78.000646667559593</v>
      </c>
      <c r="AK4465">
        <v>0.45718705248299202</v>
      </c>
      <c r="AL4465">
        <v>79.3285191104234</v>
      </c>
      <c r="AM4465">
        <v>86.565968410349896</v>
      </c>
      <c r="AN4465">
        <v>1.00000002942664</v>
      </c>
    </row>
    <row r="4466" spans="1:40" x14ac:dyDescent="0.25">
      <c r="A4466" t="str">
        <f>"20190303162909954"</f>
        <v>20190303162909954</v>
      </c>
      <c r="B4466" t="str">
        <f>"1551601749946566"</f>
        <v>1551601749946566</v>
      </c>
      <c r="C4466" t="s">
        <v>40</v>
      </c>
      <c r="D4466">
        <v>5.161994</v>
      </c>
      <c r="E4466">
        <v>0.52568289999999995</v>
      </c>
      <c r="F4466" t="s">
        <v>44</v>
      </c>
      <c r="G4466">
        <v>-350.94929999999999</v>
      </c>
      <c r="H4466">
        <v>0.87667870000000003</v>
      </c>
      <c r="I4466">
        <v>142.6591</v>
      </c>
      <c r="J4466">
        <v>-350.48079999999999</v>
      </c>
      <c r="K4466">
        <v>1.121659</v>
      </c>
      <c r="L4466">
        <v>142.56739999999999</v>
      </c>
      <c r="M4466">
        <v>-0.99990179999999995</v>
      </c>
      <c r="N4466">
        <v>-1.193513E-2</v>
      </c>
      <c r="O4466">
        <v>-7.3458250000000003E-3</v>
      </c>
      <c r="P4466">
        <v>-0.98322290000000001</v>
      </c>
      <c r="Q4466">
        <v>0.17476449999999999</v>
      </c>
      <c r="R4466">
        <v>5.225233E-2</v>
      </c>
      <c r="S4466">
        <v>-3.2053219999999998</v>
      </c>
      <c r="T4466">
        <v>-0.9860892</v>
      </c>
      <c r="U4466">
        <v>0.35632320000000001</v>
      </c>
      <c r="V4466">
        <v>5.9211510000000002E-2</v>
      </c>
      <c r="W4466">
        <v>0.18656619999999999</v>
      </c>
      <c r="X4466">
        <v>0.98065639999999998</v>
      </c>
      <c r="Y4466">
        <v>0.112138</v>
      </c>
      <c r="Z4466">
        <v>1.9614840000000001E-2</v>
      </c>
      <c r="AA4466">
        <v>0.99349900000000002</v>
      </c>
      <c r="AB4466">
        <v>35</v>
      </c>
      <c r="AC4466">
        <v>-0.46850000000000502</v>
      </c>
      <c r="AD4466">
        <v>-0.24498029999999901</v>
      </c>
      <c r="AE4466">
        <v>9.1700000000003001E-2</v>
      </c>
      <c r="AF4466">
        <v>7.5307783725985997E-2</v>
      </c>
      <c r="AG4466">
        <v>-0.24498029999999901</v>
      </c>
      <c r="AH4466">
        <v>0.37029930427222602</v>
      </c>
      <c r="AI4466">
        <v>122.955457555229</v>
      </c>
      <c r="AJ4466">
        <v>78.504525944061996</v>
      </c>
      <c r="AK4466">
        <v>0.45034229695011402</v>
      </c>
      <c r="AL4466">
        <v>79.247540607915894</v>
      </c>
      <c r="AM4466">
        <v>86.544706305606397</v>
      </c>
      <c r="AN4466">
        <v>0.99999996237993904</v>
      </c>
    </row>
    <row r="4467" spans="1:40" x14ac:dyDescent="0.25">
      <c r="A4467" t="str">
        <f>"20190303162909977"</f>
        <v>20190303162909977</v>
      </c>
      <c r="B4467" t="str">
        <f>"1551601749966087"</f>
        <v>1551601749966087</v>
      </c>
      <c r="C4467" t="s">
        <v>40</v>
      </c>
      <c r="D4467">
        <v>5.1062349999999999</v>
      </c>
      <c r="E4467">
        <v>0.50408140000000001</v>
      </c>
      <c r="F4467" t="s">
        <v>44</v>
      </c>
      <c r="G4467">
        <v>-351.267</v>
      </c>
      <c r="H4467">
        <v>0.88063359999999902</v>
      </c>
      <c r="I4467">
        <v>142.65440000000001</v>
      </c>
      <c r="J4467">
        <v>-350.8313</v>
      </c>
      <c r="K4467">
        <v>1.1216549999999901</v>
      </c>
      <c r="L4467">
        <v>142.5642</v>
      </c>
      <c r="M4467">
        <v>-0.99989700000000004</v>
      </c>
      <c r="N4467">
        <v>-1.1938610000000001E-2</v>
      </c>
      <c r="O4467">
        <v>-7.9591190000000006E-3</v>
      </c>
      <c r="P4467">
        <v>-0.98320770000000002</v>
      </c>
      <c r="Q4467">
        <v>0.1750755</v>
      </c>
      <c r="R4467">
        <v>5.1489020000000003E-2</v>
      </c>
      <c r="S4467">
        <v>-3.2071230000000002</v>
      </c>
      <c r="T4467">
        <v>-0.98329719999999998</v>
      </c>
      <c r="U4467">
        <v>0.35447689999999998</v>
      </c>
      <c r="V4467">
        <v>5.9051319999999997E-2</v>
      </c>
      <c r="W4467">
        <v>0.18687909999999999</v>
      </c>
      <c r="X4467">
        <v>0.98060650000000005</v>
      </c>
      <c r="Y4467">
        <v>0.1121316</v>
      </c>
      <c r="Z4467">
        <v>1.972902E-2</v>
      </c>
      <c r="AA4467">
        <v>0.99349750000000003</v>
      </c>
      <c r="AB4467">
        <v>35</v>
      </c>
      <c r="AC4467">
        <v>-0.43569999999999698</v>
      </c>
      <c r="AD4467">
        <v>-0.241021399999999</v>
      </c>
      <c r="AE4467">
        <v>9.0200000000009994E-2</v>
      </c>
      <c r="AF4467">
        <v>7.2415884243881207E-2</v>
      </c>
      <c r="AG4467">
        <v>-0.241021399999999</v>
      </c>
      <c r="AH4467">
        <v>0.336289429189156</v>
      </c>
      <c r="AI4467">
        <v>125.016916268247</v>
      </c>
      <c r="AJ4467">
        <v>77.847612224769406</v>
      </c>
      <c r="AK4467">
        <v>0.42003089854575099</v>
      </c>
      <c r="AL4467">
        <v>79.229292025297795</v>
      </c>
      <c r="AM4467">
        <v>86.5538567208595</v>
      </c>
      <c r="AN4467">
        <v>0.99999998212640095</v>
      </c>
    </row>
    <row r="4468" spans="1:40" x14ac:dyDescent="0.25">
      <c r="A4468" t="str">
        <f>"20190303162910000"</f>
        <v>20190303162910000</v>
      </c>
      <c r="B4468" t="str">
        <f>"1551601749996343"</f>
        <v>1551601749996343</v>
      </c>
      <c r="C4468" t="s">
        <v>40</v>
      </c>
      <c r="D4468">
        <v>5.2802509999999998</v>
      </c>
      <c r="E4468">
        <v>0.46446860000000001</v>
      </c>
      <c r="F4468" t="s">
        <v>44</v>
      </c>
      <c r="G4468">
        <v>-351.60649999999998</v>
      </c>
      <c r="H4468">
        <v>0.93433889999999997</v>
      </c>
      <c r="I4468">
        <v>142.6087</v>
      </c>
      <c r="J4468">
        <v>-351.18830000000003</v>
      </c>
      <c r="K4468">
        <v>1.1216569999999999</v>
      </c>
      <c r="L4468">
        <v>142.5608</v>
      </c>
      <c r="M4468">
        <v>-0.99989189999999994</v>
      </c>
      <c r="N4468">
        <v>-1.194988E-2</v>
      </c>
      <c r="O4468">
        <v>-8.5788889999999993E-3</v>
      </c>
      <c r="P4468">
        <v>-0.98330300000000004</v>
      </c>
      <c r="Q4468">
        <v>0.17485410000000001</v>
      </c>
      <c r="R4468">
        <v>5.0415870000000002E-2</v>
      </c>
      <c r="S4468">
        <v>-3.1785580000000002</v>
      </c>
      <c r="T4468">
        <v>-0.76809700000000003</v>
      </c>
      <c r="U4468">
        <v>0.18054200000000001</v>
      </c>
      <c r="V4468">
        <v>5.8589990000000002E-2</v>
      </c>
      <c r="W4468">
        <v>0.18666830000000001</v>
      </c>
      <c r="X4468">
        <v>0.9806743</v>
      </c>
      <c r="Y4468">
        <v>6.3145320000000005E-2</v>
      </c>
      <c r="Z4468">
        <v>9.8398289999999996E-3</v>
      </c>
      <c r="AA4468">
        <v>0.99795590000000001</v>
      </c>
      <c r="AB4468">
        <v>35</v>
      </c>
      <c r="AC4468">
        <v>-0.418199999999956</v>
      </c>
      <c r="AD4468">
        <v>-0.18731809999999899</v>
      </c>
      <c r="AE4468">
        <v>4.7899999999998499E-2</v>
      </c>
      <c r="AF4468">
        <v>4.2975706072776398E-2</v>
      </c>
      <c r="AG4468">
        <v>-0.18731809999999899</v>
      </c>
      <c r="AH4468">
        <v>0.34871719195817702</v>
      </c>
      <c r="AI4468">
        <v>118.06341791980699</v>
      </c>
      <c r="AJ4468">
        <v>82.974326719147498</v>
      </c>
      <c r="AK4468">
        <v>0.39816913726111303</v>
      </c>
      <c r="AL4468">
        <v>79.241586098973798</v>
      </c>
      <c r="AM4468">
        <v>86.580950931178094</v>
      </c>
      <c r="AN4468">
        <v>0.99999996191678897</v>
      </c>
    </row>
    <row r="4469" spans="1:40" x14ac:dyDescent="0.25">
      <c r="A4469" t="str">
        <f>"20190303162910024"</f>
        <v>20190303162910024</v>
      </c>
      <c r="B4469" t="str">
        <f>"1551601750015862"</f>
        <v>1551601750015862</v>
      </c>
      <c r="C4469" t="s">
        <v>40</v>
      </c>
      <c r="D4469">
        <v>5.1369490000000004</v>
      </c>
      <c r="E4469">
        <v>0.4619859</v>
      </c>
      <c r="F4469" t="s">
        <v>41</v>
      </c>
      <c r="G4469">
        <v>-363.74740000000003</v>
      </c>
      <c r="H4469" s="1">
        <v>-3.301634E-6</v>
      </c>
      <c r="I4469">
        <v>142.0103</v>
      </c>
      <c r="J4469">
        <v>-351.56869999999998</v>
      </c>
      <c r="K4469">
        <v>1.1216459999999999</v>
      </c>
      <c r="L4469">
        <v>142.55690000000001</v>
      </c>
      <c r="M4469">
        <v>-0.99988589999999999</v>
      </c>
      <c r="N4469">
        <v>-1.196873E-2</v>
      </c>
      <c r="O4469">
        <v>-9.2306439999999997E-3</v>
      </c>
      <c r="P4469">
        <v>-0.98346330000000004</v>
      </c>
      <c r="Q4469">
        <v>0.17408270000000001</v>
      </c>
      <c r="R4469">
        <v>4.995347E-2</v>
      </c>
      <c r="S4469">
        <v>-3.1072690000000001</v>
      </c>
      <c r="T4469">
        <v>-0.27751219999999999</v>
      </c>
      <c r="U4469">
        <v>-0.1361694</v>
      </c>
      <c r="V4469">
        <v>5.8772499999999998E-2</v>
      </c>
      <c r="W4469">
        <v>0.18591640000000001</v>
      </c>
      <c r="X4469">
        <v>0.98080619999999996</v>
      </c>
      <c r="Y4469">
        <v>-3.4428830000000001E-2</v>
      </c>
      <c r="Z4469">
        <v>-1.0281820000000001E-3</v>
      </c>
      <c r="AA4469">
        <v>0.99940660000000003</v>
      </c>
      <c r="AB4469">
        <v>35</v>
      </c>
      <c r="AC4469">
        <v>-12.178699999999999</v>
      </c>
      <c r="AD4469">
        <v>-1.1216493016339999</v>
      </c>
      <c r="AE4469">
        <v>-0.54660000000001197</v>
      </c>
      <c r="AF4469">
        <v>-0.43050708969549301</v>
      </c>
      <c r="AG4469">
        <v>-1.1216493016339999</v>
      </c>
      <c r="AH4469">
        <v>12.080958900562401</v>
      </c>
      <c r="AI4469">
        <v>95.301039814215599</v>
      </c>
      <c r="AJ4469">
        <v>92.040881564418598</v>
      </c>
      <c r="AK4469">
        <v>12.1405519424452</v>
      </c>
      <c r="AL4469">
        <v>79.285434351295095</v>
      </c>
      <c r="AM4469">
        <v>86.570785975680906</v>
      </c>
      <c r="AN4469">
        <v>0.99999995825182397</v>
      </c>
    </row>
    <row r="4470" spans="1:40" x14ac:dyDescent="0.25">
      <c r="A4470" t="str">
        <f>"20190303162910044"</f>
        <v>20190303162910044</v>
      </c>
      <c r="B4470" t="str">
        <f>"1551601750036011"</f>
        <v>1551601750036011</v>
      </c>
      <c r="C4470" t="s">
        <v>40</v>
      </c>
      <c r="D4470">
        <v>5.1681710000000001</v>
      </c>
      <c r="E4470">
        <v>0.4608643</v>
      </c>
      <c r="F4470" t="s">
        <v>41</v>
      </c>
      <c r="G4470">
        <v>-368.69240000000002</v>
      </c>
      <c r="H4470" s="1">
        <v>-1.0940889999999999E-6</v>
      </c>
      <c r="I4470">
        <v>141.68639999999999</v>
      </c>
      <c r="J4470">
        <v>-351.89980000000003</v>
      </c>
      <c r="K4470">
        <v>1.1216410000000001</v>
      </c>
      <c r="L4470">
        <v>142.5532</v>
      </c>
      <c r="M4470">
        <v>-0.99988030000000006</v>
      </c>
      <c r="N4470">
        <v>-1.1991E-2</v>
      </c>
      <c r="O4470">
        <v>-9.7891939999999993E-3</v>
      </c>
      <c r="P4470">
        <v>-0.98361929999999997</v>
      </c>
      <c r="Q4470">
        <v>0.1734105</v>
      </c>
      <c r="R4470">
        <v>4.92142E-2</v>
      </c>
      <c r="S4470">
        <v>-3.0942989999999999</v>
      </c>
      <c r="T4470">
        <v>-0.2026857</v>
      </c>
      <c r="U4470">
        <v>-0.1572876</v>
      </c>
      <c r="V4470">
        <v>5.8586899999999997E-2</v>
      </c>
      <c r="W4470">
        <v>0.18526699999999999</v>
      </c>
      <c r="X4470">
        <v>0.98094020000000004</v>
      </c>
      <c r="Y4470">
        <v>-4.0896639999999998E-2</v>
      </c>
      <c r="Z4470">
        <v>-1.059946E-3</v>
      </c>
      <c r="AA4470">
        <v>0.99916280000000002</v>
      </c>
      <c r="AB4470">
        <v>35</v>
      </c>
      <c r="AC4470">
        <v>-16.792599999999901</v>
      </c>
      <c r="AD4470">
        <v>-1.121642094089</v>
      </c>
      <c r="AE4470">
        <v>-0.86680000000001201</v>
      </c>
      <c r="AF4470">
        <v>-0.69924928922476703</v>
      </c>
      <c r="AG4470">
        <v>-1.121642094089</v>
      </c>
      <c r="AH4470">
        <v>16.7258584263271</v>
      </c>
      <c r="AI4470">
        <v>93.833193090934003</v>
      </c>
      <c r="AJ4470">
        <v>92.393940894526494</v>
      </c>
      <c r="AK4470">
        <v>16.778002582347298</v>
      </c>
      <c r="AL4470">
        <v>79.323300322392797</v>
      </c>
      <c r="AM4470">
        <v>86.582055365437895</v>
      </c>
      <c r="AN4470">
        <v>0.99999998105832399</v>
      </c>
    </row>
    <row r="4471" spans="1:40" x14ac:dyDescent="0.25">
      <c r="A4471" t="str">
        <f>"20190303162910066"</f>
        <v>20190303162910066</v>
      </c>
      <c r="B4471" t="str">
        <f>"1551601750056506"</f>
        <v>1551601750056506</v>
      </c>
      <c r="C4471" t="s">
        <v>40</v>
      </c>
      <c r="D4471">
        <v>5.1565479999999999</v>
      </c>
      <c r="E4471">
        <v>0.45995330000000001</v>
      </c>
      <c r="F4471" t="s">
        <v>41</v>
      </c>
      <c r="G4471">
        <v>-371.07229999999998</v>
      </c>
      <c r="H4471" s="1">
        <v>-4.2466280000000001E-6</v>
      </c>
      <c r="I4471">
        <v>141.5077</v>
      </c>
      <c r="J4471">
        <v>-352.23559999999998</v>
      </c>
      <c r="K4471">
        <v>1.1216360000000001</v>
      </c>
      <c r="L4471">
        <v>142.54929999999999</v>
      </c>
      <c r="M4471">
        <v>-0.99987429999999999</v>
      </c>
      <c r="N4471">
        <v>-1.2016300000000001E-2</v>
      </c>
      <c r="O4471">
        <v>-1.034799E-2</v>
      </c>
      <c r="P4471">
        <v>-0.98368140000000004</v>
      </c>
      <c r="Q4471">
        <v>0.17320070000000001</v>
      </c>
      <c r="R4471">
        <v>4.8710280000000002E-2</v>
      </c>
      <c r="S4471">
        <v>-3.0902400000000001</v>
      </c>
      <c r="T4471">
        <v>-0.18078849999999999</v>
      </c>
      <c r="U4471">
        <v>-0.16850279999999901</v>
      </c>
      <c r="V4471">
        <v>5.8635760000000002E-2</v>
      </c>
      <c r="W4471">
        <v>0.18508189999999999</v>
      </c>
      <c r="X4471">
        <v>0.98097219999999996</v>
      </c>
      <c r="Y4471">
        <v>-4.403083E-2</v>
      </c>
      <c r="Z4471">
        <v>-1.0707469999999999E-3</v>
      </c>
      <c r="AA4471">
        <v>0.99902959999999996</v>
      </c>
      <c r="AB4471">
        <v>35</v>
      </c>
      <c r="AC4471">
        <v>-18.8367</v>
      </c>
      <c r="AD4471">
        <v>-1.121640246628</v>
      </c>
      <c r="AE4471">
        <v>-1.0415999999999801</v>
      </c>
      <c r="AF4471">
        <v>-0.84362607807049494</v>
      </c>
      <c r="AG4471">
        <v>-1.121640246628</v>
      </c>
      <c r="AH4471">
        <v>18.780085664334798</v>
      </c>
      <c r="AI4471">
        <v>93.414493961222306</v>
      </c>
      <c r="AJ4471">
        <v>92.572072406568395</v>
      </c>
      <c r="AK4471">
        <v>18.8324560098307</v>
      </c>
      <c r="AL4471">
        <v>79.334092182064396</v>
      </c>
      <c r="AM4471">
        <v>86.5793229753628</v>
      </c>
      <c r="AN4471">
        <v>0.99999995961561206</v>
      </c>
    </row>
    <row r="4472" spans="1:40" x14ac:dyDescent="0.25">
      <c r="A4472" t="str">
        <f>"20190303162910088"</f>
        <v>20190303162910088</v>
      </c>
      <c r="B4472" t="str">
        <f>"1551601750076027"</f>
        <v>1551601750076027</v>
      </c>
      <c r="C4472" t="s">
        <v>40</v>
      </c>
      <c r="D4472">
        <v>5.3758460000000001</v>
      </c>
      <c r="E4472">
        <v>0.4593988</v>
      </c>
      <c r="F4472" t="s">
        <v>41</v>
      </c>
      <c r="G4472">
        <v>-372.48930000000001</v>
      </c>
      <c r="H4472" s="1">
        <v>-3.674995E-6</v>
      </c>
      <c r="I4472">
        <v>141.38499999999999</v>
      </c>
      <c r="J4472">
        <v>-352.59809999999999</v>
      </c>
      <c r="K4472">
        <v>1.12164</v>
      </c>
      <c r="L4472">
        <v>142.54490000000001</v>
      </c>
      <c r="M4472">
        <v>-0.99986759999999997</v>
      </c>
      <c r="N4472">
        <v>-1.2043440000000001E-2</v>
      </c>
      <c r="O4472">
        <v>-1.094242E-2</v>
      </c>
      <c r="P4472">
        <v>-0.98370069999999998</v>
      </c>
      <c r="Q4472">
        <v>0.1734328</v>
      </c>
      <c r="R4472">
        <v>4.7474969999999998E-2</v>
      </c>
      <c r="S4472">
        <v>-3.088654</v>
      </c>
      <c r="T4472">
        <v>-0.17104800000000001</v>
      </c>
      <c r="U4472">
        <v>-0.1775513</v>
      </c>
      <c r="V4472">
        <v>5.7987629999999998E-2</v>
      </c>
      <c r="W4472">
        <v>0.18533859999999999</v>
      </c>
      <c r="X4472">
        <v>0.98096229999999995</v>
      </c>
      <c r="Y4472">
        <v>-4.6385580000000003E-2</v>
      </c>
      <c r="Z4472">
        <v>-1.0888339999999999E-3</v>
      </c>
      <c r="AA4472">
        <v>0.99892300000000001</v>
      </c>
      <c r="AB4472">
        <v>35</v>
      </c>
      <c r="AC4472">
        <v>-19.891200000000001</v>
      </c>
      <c r="AD4472">
        <v>-1.1216436749950001</v>
      </c>
      <c r="AE4472">
        <v>-1.1599000000000199</v>
      </c>
      <c r="AF4472">
        <v>-0.93918069046282404</v>
      </c>
      <c r="AG4472">
        <v>-1.1216436749950001</v>
      </c>
      <c r="AH4472">
        <v>19.8398307968985</v>
      </c>
      <c r="AI4472">
        <v>93.232157336144795</v>
      </c>
      <c r="AJ4472">
        <v>92.710252380179199</v>
      </c>
      <c r="AK4472">
        <v>19.893693245663499</v>
      </c>
      <c r="AL4472">
        <v>79.319125827788497</v>
      </c>
      <c r="AM4472">
        <v>86.617011042052894</v>
      </c>
      <c r="AN4472">
        <v>0.99999999795213301</v>
      </c>
    </row>
    <row r="4473" spans="1:40" x14ac:dyDescent="0.25">
      <c r="A4473" t="str">
        <f>"20190303162910113"</f>
        <v>20190303162910113</v>
      </c>
      <c r="B4473" t="str">
        <f>"1551601750106283"</f>
        <v>1551601750106283</v>
      </c>
      <c r="C4473" t="s">
        <v>40</v>
      </c>
      <c r="D4473">
        <v>5.2259859999999998</v>
      </c>
      <c r="E4473">
        <v>0.4587813</v>
      </c>
      <c r="F4473" t="s">
        <v>41</v>
      </c>
      <c r="G4473">
        <v>-373.29070000000002</v>
      </c>
      <c r="H4473" s="1">
        <v>-3.3080389999999999E-6</v>
      </c>
      <c r="I4473">
        <v>141.2979</v>
      </c>
      <c r="J4473">
        <v>-352.96769999999998</v>
      </c>
      <c r="K4473">
        <v>1.1216440000000001</v>
      </c>
      <c r="L4473">
        <v>142.5403</v>
      </c>
      <c r="M4473">
        <v>-0.99986050000000004</v>
      </c>
      <c r="N4473">
        <v>-1.2069440000000001E-2</v>
      </c>
      <c r="O4473">
        <v>-1.1540160000000001E-2</v>
      </c>
      <c r="P4473">
        <v>-0.98372159999999997</v>
      </c>
      <c r="Q4473">
        <v>0.17380660000000001</v>
      </c>
      <c r="R4473">
        <v>4.5642019999999998E-2</v>
      </c>
      <c r="S4473">
        <v>-3.0882260000000001</v>
      </c>
      <c r="T4473">
        <v>-0.1673974</v>
      </c>
      <c r="U4473">
        <v>-0.18609619999999999</v>
      </c>
      <c r="V4473">
        <v>5.6745869999999997E-2</v>
      </c>
      <c r="W4473">
        <v>0.1857355</v>
      </c>
      <c r="X4473">
        <v>0.98095980000000005</v>
      </c>
      <c r="Y4473">
        <v>-4.854998E-2</v>
      </c>
      <c r="Z4473">
        <v>-1.1218479999999999E-3</v>
      </c>
      <c r="AA4473">
        <v>0.99882009999999999</v>
      </c>
      <c r="AB4473">
        <v>35</v>
      </c>
      <c r="AC4473">
        <v>-20.323</v>
      </c>
      <c r="AD4473">
        <v>-1.1216473080389999</v>
      </c>
      <c r="AE4473">
        <v>-1.2423999999999999</v>
      </c>
      <c r="AF4473">
        <v>-1.00472045155798</v>
      </c>
      <c r="AG4473">
        <v>-1.1216473080389999</v>
      </c>
      <c r="AH4473">
        <v>20.2744579673627</v>
      </c>
      <c r="AI4473">
        <v>93.162683096669795</v>
      </c>
      <c r="AJ4473">
        <v>92.837027123295698</v>
      </c>
      <c r="AK4473">
        <v>20.3303025491449</v>
      </c>
      <c r="AL4473">
        <v>79.295982790386503</v>
      </c>
      <c r="AM4473">
        <v>86.689283798815893</v>
      </c>
      <c r="AN4473">
        <v>0.99999994946917203</v>
      </c>
    </row>
    <row r="4474" spans="1:40" x14ac:dyDescent="0.25">
      <c r="A4474" t="str">
        <f>"20190303162910135"</f>
        <v>20190303162910135</v>
      </c>
      <c r="B4474" t="str">
        <f>"1551601750125803"</f>
        <v>1551601750125803</v>
      </c>
      <c r="C4474" t="s">
        <v>40</v>
      </c>
      <c r="D4474">
        <v>5.4386780000000003</v>
      </c>
      <c r="E4474">
        <v>0.45849980000000001</v>
      </c>
      <c r="F4474" t="s">
        <v>41</v>
      </c>
      <c r="G4474">
        <v>-374.10829999999999</v>
      </c>
      <c r="H4474" s="1">
        <v>-2.9293640000000001E-6</v>
      </c>
      <c r="I4474">
        <v>141.19299999999899</v>
      </c>
      <c r="J4474">
        <v>-353.327</v>
      </c>
      <c r="K4474">
        <v>1.1216379999999999</v>
      </c>
      <c r="L4474">
        <v>142.53550000000001</v>
      </c>
      <c r="M4474">
        <v>-0.99985349999999995</v>
      </c>
      <c r="N4474">
        <v>-1.209267E-2</v>
      </c>
      <c r="O4474">
        <v>-1.2112110000000001E-2</v>
      </c>
      <c r="P4474">
        <v>-0.98369470000000003</v>
      </c>
      <c r="Q4474">
        <v>0.17463719999999999</v>
      </c>
      <c r="R4474">
        <v>4.2973860000000003E-2</v>
      </c>
      <c r="S4474">
        <v>-3.0877080000000001</v>
      </c>
      <c r="T4474">
        <v>-0.16382349999999901</v>
      </c>
      <c r="U4474">
        <v>-0.1967621</v>
      </c>
      <c r="V4474">
        <v>5.4642929999999999E-2</v>
      </c>
      <c r="W4474">
        <v>0.18658440000000001</v>
      </c>
      <c r="X4474">
        <v>0.98091819999999996</v>
      </c>
      <c r="Y4474">
        <v>-5.1423780000000002E-2</v>
      </c>
      <c r="Z4474">
        <v>-1.178178E-3</v>
      </c>
      <c r="AA4474">
        <v>0.99867620000000001</v>
      </c>
      <c r="AB4474">
        <v>35</v>
      </c>
      <c r="AC4474">
        <v>-20.781299999999899</v>
      </c>
      <c r="AD4474">
        <v>-1.121640929364</v>
      </c>
      <c r="AE4474">
        <v>-1.34250000000002</v>
      </c>
      <c r="AF4474">
        <v>-1.0875227586513601</v>
      </c>
      <c r="AG4474">
        <v>-1.121640929364</v>
      </c>
      <c r="AH4474">
        <v>20.735881472591199</v>
      </c>
      <c r="AI4474">
        <v>93.091972571064403</v>
      </c>
      <c r="AJ4474">
        <v>93.002207908610401</v>
      </c>
      <c r="AK4474">
        <v>20.794652307032202</v>
      </c>
      <c r="AL4474">
        <v>79.246480157768403</v>
      </c>
      <c r="AM4474">
        <v>86.811582421889995</v>
      </c>
      <c r="AN4474">
        <v>1.00000005160679</v>
      </c>
    </row>
    <row r="4475" spans="1:40" x14ac:dyDescent="0.25">
      <c r="A4475" t="str">
        <f>"20190303162910156"</f>
        <v>20190303162910156</v>
      </c>
      <c r="B4475" t="str">
        <f>"1551601750146300"</f>
        <v>1551601750146300</v>
      </c>
      <c r="C4475" t="s">
        <v>40</v>
      </c>
      <c r="D4475">
        <v>5.4301329999999997</v>
      </c>
      <c r="E4475">
        <v>0.45842050000000001</v>
      </c>
      <c r="F4475" t="s">
        <v>41</v>
      </c>
      <c r="G4475">
        <v>-374.95269999999999</v>
      </c>
      <c r="H4475" s="1">
        <v>-2.5389960000000001E-6</v>
      </c>
      <c r="I4475">
        <v>141.0873</v>
      </c>
      <c r="J4475">
        <v>-353.65589999999997</v>
      </c>
      <c r="K4475">
        <v>1.1216299999999999</v>
      </c>
      <c r="L4475">
        <v>142.53100000000001</v>
      </c>
      <c r="M4475">
        <v>-0.99984700000000004</v>
      </c>
      <c r="N4475">
        <v>-1.2112070000000001E-2</v>
      </c>
      <c r="O4475">
        <v>-1.262682E-2</v>
      </c>
      <c r="P4475">
        <v>-0.98383929999999997</v>
      </c>
      <c r="Q4475">
        <v>0.1743634</v>
      </c>
      <c r="R4475">
        <v>4.0714599999999997E-2</v>
      </c>
      <c r="S4475">
        <v>-3.087189</v>
      </c>
      <c r="T4475">
        <v>-0.16012019999999999</v>
      </c>
      <c r="U4475">
        <v>-0.2067261</v>
      </c>
      <c r="V4475">
        <v>5.2896150000000003E-2</v>
      </c>
      <c r="W4475">
        <v>0.18632770000000001</v>
      </c>
      <c r="X4475">
        <v>0.98106269999999995</v>
      </c>
      <c r="Y4475">
        <v>-5.4128599999999902E-2</v>
      </c>
      <c r="Z4475">
        <v>-1.228725E-3</v>
      </c>
      <c r="AA4475">
        <v>0.99853320000000001</v>
      </c>
      <c r="AB4475">
        <v>35</v>
      </c>
      <c r="AC4475">
        <v>-21.296800000000001</v>
      </c>
      <c r="AD4475">
        <v>-1.12163253899599</v>
      </c>
      <c r="AE4475">
        <v>-1.4437</v>
      </c>
      <c r="AF4475">
        <v>-1.17141992247433</v>
      </c>
      <c r="AG4475">
        <v>-1.12163253899599</v>
      </c>
      <c r="AH4475">
        <v>21.2546465231204</v>
      </c>
      <c r="AI4475">
        <v>93.016194347413503</v>
      </c>
      <c r="AJ4475">
        <v>93.154584788788497</v>
      </c>
      <c r="AK4475">
        <v>21.316432229857298</v>
      </c>
      <c r="AL4475">
        <v>79.261450147995006</v>
      </c>
      <c r="AM4475">
        <v>86.913760536309894</v>
      </c>
      <c r="AN4475">
        <v>1.0000000179016999</v>
      </c>
    </row>
    <row r="4476" spans="1:40" x14ac:dyDescent="0.25">
      <c r="A4476" t="str">
        <f>"20190303162910177"</f>
        <v>20190303162910177</v>
      </c>
      <c r="B4476" t="str">
        <f>"1551601750165820"</f>
        <v>1551601750165820</v>
      </c>
      <c r="C4476" t="s">
        <v>40</v>
      </c>
      <c r="D4476">
        <v>5.294943</v>
      </c>
      <c r="E4476">
        <v>0.45831369999999999</v>
      </c>
      <c r="F4476" t="s">
        <v>41</v>
      </c>
      <c r="G4476">
        <v>-375.35640000000001</v>
      </c>
      <c r="H4476" s="1">
        <v>-2.3480639999999999E-6</v>
      </c>
      <c r="I4476">
        <v>141.0206</v>
      </c>
      <c r="J4476">
        <v>-354</v>
      </c>
      <c r="K4476">
        <v>1.1216189999999999</v>
      </c>
      <c r="L4476">
        <v>142.52610000000001</v>
      </c>
      <c r="M4476">
        <v>-0.99983999999999995</v>
      </c>
      <c r="N4476">
        <v>-1.2130429999999999E-2</v>
      </c>
      <c r="O4476">
        <v>-1.315473E-2</v>
      </c>
      <c r="P4476">
        <v>-0.98396640000000002</v>
      </c>
      <c r="Q4476">
        <v>0.1740698</v>
      </c>
      <c r="R4476">
        <v>3.8859989999999997E-2</v>
      </c>
      <c r="S4476">
        <v>-3.0864259999999999</v>
      </c>
      <c r="T4476">
        <v>-0.159528</v>
      </c>
      <c r="U4476">
        <v>-0.21481320000000001</v>
      </c>
      <c r="V4476">
        <v>5.1567590000000003E-2</v>
      </c>
      <c r="W4476">
        <v>0.18605079999999999</v>
      </c>
      <c r="X4476">
        <v>0.981186</v>
      </c>
      <c r="Y4476">
        <v>-5.6219369999999998E-2</v>
      </c>
      <c r="Z4476">
        <v>-1.272635E-3</v>
      </c>
      <c r="AA4476">
        <v>0.99841760000000002</v>
      </c>
      <c r="AB4476">
        <v>35</v>
      </c>
      <c r="AC4476">
        <v>-21.356400000000001</v>
      </c>
      <c r="AD4476">
        <v>-1.121621348064</v>
      </c>
      <c r="AE4476">
        <v>-1.5055000000000101</v>
      </c>
      <c r="AF4476">
        <v>-1.2210600409809</v>
      </c>
      <c r="AG4476">
        <v>-1.121621348064</v>
      </c>
      <c r="AH4476">
        <v>21.3158536170682</v>
      </c>
      <c r="AI4476">
        <v>93.007154498617993</v>
      </c>
      <c r="AJ4476">
        <v>93.278555614628203</v>
      </c>
      <c r="AK4476">
        <v>21.380239416255201</v>
      </c>
      <c r="AL4476">
        <v>79.277597963591106</v>
      </c>
      <c r="AM4476">
        <v>86.991508859042597</v>
      </c>
      <c r="AN4476">
        <v>1.0000000415575201</v>
      </c>
    </row>
    <row r="4477" spans="1:40" x14ac:dyDescent="0.25">
      <c r="A4477" t="str">
        <f>"20190303162910200"</f>
        <v>20190303162910200</v>
      </c>
      <c r="B4477" t="str">
        <f>"1551601750196076"</f>
        <v>1551601750196076</v>
      </c>
      <c r="C4477" t="s">
        <v>40</v>
      </c>
      <c r="D4477">
        <v>5.492864</v>
      </c>
      <c r="E4477">
        <v>0.45822499999999999</v>
      </c>
      <c r="F4477" t="s">
        <v>41</v>
      </c>
      <c r="G4477">
        <v>-375.76350000000002</v>
      </c>
      <c r="H4477" s="1">
        <v>-2.1567500000000001E-6</v>
      </c>
      <c r="I4477">
        <v>140.9579</v>
      </c>
      <c r="J4477">
        <v>-354.3621</v>
      </c>
      <c r="K4477">
        <v>1.1216079999999999</v>
      </c>
      <c r="L4477">
        <v>142.52070000000001</v>
      </c>
      <c r="M4477">
        <v>-0.99983250000000001</v>
      </c>
      <c r="N4477">
        <v>-1.2147669999999999E-2</v>
      </c>
      <c r="O4477">
        <v>-1.369943E-2</v>
      </c>
      <c r="P4477">
        <v>-0.98410679999999995</v>
      </c>
      <c r="Q4477">
        <v>0.17368889999999901</v>
      </c>
      <c r="R4477">
        <v>3.696083E-2</v>
      </c>
      <c r="S4477">
        <v>-3.0857239999999999</v>
      </c>
      <c r="T4477">
        <v>-0.15902859999999999</v>
      </c>
      <c r="U4477">
        <v>-0.2223358</v>
      </c>
      <c r="V4477">
        <v>5.0211449999999998E-2</v>
      </c>
      <c r="W4477">
        <v>0.1856854</v>
      </c>
      <c r="X4477">
        <v>0.98132549999999996</v>
      </c>
      <c r="Y4477">
        <v>-5.811065E-2</v>
      </c>
      <c r="Z4477">
        <v>-1.309812E-3</v>
      </c>
      <c r="AA4477">
        <v>0.99830929999999996</v>
      </c>
      <c r="AB4477">
        <v>35</v>
      </c>
      <c r="AC4477">
        <v>-21.401399999999999</v>
      </c>
      <c r="AD4477">
        <v>-1.1216101567500001</v>
      </c>
      <c r="AE4477">
        <v>-1.56280000000001</v>
      </c>
      <c r="AF4477">
        <v>-1.2659859998712699</v>
      </c>
      <c r="AG4477">
        <v>-1.1216101567500001</v>
      </c>
      <c r="AH4477">
        <v>21.362438999092401</v>
      </c>
      <c r="AI4477">
        <v>93.000234805791607</v>
      </c>
      <c r="AJ4477">
        <v>93.391509640530202</v>
      </c>
      <c r="AK4477">
        <v>21.42929139952</v>
      </c>
      <c r="AL4477">
        <v>79.298904644149104</v>
      </c>
      <c r="AM4477">
        <v>87.070903109997005</v>
      </c>
      <c r="AN4477">
        <v>0.99999999721725596</v>
      </c>
    </row>
    <row r="4478" spans="1:40" x14ac:dyDescent="0.25">
      <c r="A4478" t="str">
        <f>"20190303162910224"</f>
        <v>20190303162910224</v>
      </c>
      <c r="B4478" t="str">
        <f>"1551601750216572"</f>
        <v>1551601750216572</v>
      </c>
      <c r="C4478" t="s">
        <v>40</v>
      </c>
      <c r="D4478">
        <v>5.3712759999999999</v>
      </c>
      <c r="E4478">
        <v>0.45823140000000001</v>
      </c>
      <c r="F4478" t="s">
        <v>41</v>
      </c>
      <c r="G4478">
        <v>-376.09739999999999</v>
      </c>
      <c r="H4478" s="1">
        <v>-1.999721E-6</v>
      </c>
      <c r="I4478">
        <v>140.90620000000001</v>
      </c>
      <c r="J4478">
        <v>-354.73099999999999</v>
      </c>
      <c r="K4478">
        <v>1.1215980000000001</v>
      </c>
      <c r="L4478">
        <v>142.51509999999999</v>
      </c>
      <c r="M4478">
        <v>-0.99982479999999996</v>
      </c>
      <c r="N4478">
        <v>-1.2163149999999999E-2</v>
      </c>
      <c r="O4478">
        <v>-1.424222E-2</v>
      </c>
      <c r="P4478">
        <v>-0.98424849999999997</v>
      </c>
      <c r="Q4478">
        <v>0.1734347</v>
      </c>
      <c r="R4478">
        <v>3.4286579999999997E-2</v>
      </c>
      <c r="S4478">
        <v>-3.0851139999999999</v>
      </c>
      <c r="T4478">
        <v>-0.15920139999999999</v>
      </c>
      <c r="U4478">
        <v>-0.22915650000000001</v>
      </c>
      <c r="V4478">
        <v>4.8078750000000003E-2</v>
      </c>
      <c r="W4478">
        <v>0.18544450000000001</v>
      </c>
      <c r="X4478">
        <v>0.98147790000000001</v>
      </c>
      <c r="Y4478">
        <v>-5.9775599999999998E-2</v>
      </c>
      <c r="Z4478">
        <v>-1.34311E-3</v>
      </c>
      <c r="AA4478">
        <v>0.99821090000000001</v>
      </c>
      <c r="AB4478">
        <v>35</v>
      </c>
      <c r="AC4478">
        <v>-21.366399999999999</v>
      </c>
      <c r="AD4478">
        <v>-1.12159999972099</v>
      </c>
      <c r="AE4478">
        <v>-1.60889999999997</v>
      </c>
      <c r="AF4478">
        <v>-1.30084499952332</v>
      </c>
      <c r="AG4478">
        <v>-1.12159999972099</v>
      </c>
      <c r="AH4478">
        <v>21.3287069581928</v>
      </c>
      <c r="AI4478">
        <v>93.004633407885606</v>
      </c>
      <c r="AJ4478">
        <v>93.490165519684098</v>
      </c>
      <c r="AK4478">
        <v>21.397755134140102</v>
      </c>
      <c r="AL4478">
        <v>79.312951711685102</v>
      </c>
      <c r="AM4478">
        <v>87.195546437275894</v>
      </c>
      <c r="AN4478">
        <v>1.0000000484851099</v>
      </c>
    </row>
    <row r="4479" spans="1:40" x14ac:dyDescent="0.25">
      <c r="A4479" t="str">
        <f>"20190303162910244"</f>
        <v>20190303162910244</v>
      </c>
      <c r="B4479" t="str">
        <f>"1551601750236091"</f>
        <v>1551601750236091</v>
      </c>
      <c r="C4479" t="s">
        <v>40</v>
      </c>
      <c r="D4479">
        <v>5.3113760000000001</v>
      </c>
      <c r="E4479">
        <v>0.45821679999999998</v>
      </c>
      <c r="F4479" t="s">
        <v>41</v>
      </c>
      <c r="G4479">
        <v>-376.4289</v>
      </c>
      <c r="H4479" s="1">
        <v>-1.84274E-6</v>
      </c>
      <c r="I4479">
        <v>140.85059999999999</v>
      </c>
      <c r="J4479">
        <v>-355.06330000000003</v>
      </c>
      <c r="K4479">
        <v>1.1215790000000001</v>
      </c>
      <c r="L4479">
        <v>142.50980000000001</v>
      </c>
      <c r="M4479">
        <v>-0.99981750000000003</v>
      </c>
      <c r="N4479">
        <v>-1.217532E-2</v>
      </c>
      <c r="O4479">
        <v>-1.471979E-2</v>
      </c>
      <c r="P4479">
        <v>-0.98429180000000005</v>
      </c>
      <c r="Q4479">
        <v>0.17353859999999999</v>
      </c>
      <c r="R4479">
        <v>3.2466149999999999E-2</v>
      </c>
      <c r="S4479">
        <v>-3.084381</v>
      </c>
      <c r="T4479">
        <v>-0.1594372</v>
      </c>
      <c r="U4479">
        <v>-0.2366028</v>
      </c>
      <c r="V4479">
        <v>4.6733280000000002E-2</v>
      </c>
      <c r="W4479">
        <v>0.1855579</v>
      </c>
      <c r="X4479">
        <v>0.98152139999999999</v>
      </c>
      <c r="Y4479">
        <v>-6.170933E-2</v>
      </c>
      <c r="Z4479">
        <v>-1.387831E-3</v>
      </c>
      <c r="AA4479">
        <v>0.99809320000000001</v>
      </c>
      <c r="AB4479">
        <v>35</v>
      </c>
      <c r="AC4479">
        <v>-21.365599999999901</v>
      </c>
      <c r="AD4479">
        <v>-1.12158084273999</v>
      </c>
      <c r="AE4479">
        <v>-1.65920000000002</v>
      </c>
      <c r="AF4479">
        <v>-1.3408269859261499</v>
      </c>
      <c r="AG4479">
        <v>-1.12158084273999</v>
      </c>
      <c r="AH4479">
        <v>21.3292851117276</v>
      </c>
      <c r="AI4479">
        <v>93.004154414670893</v>
      </c>
      <c r="AJ4479">
        <v>93.597062412823206</v>
      </c>
      <c r="AK4479">
        <v>21.400798208720001</v>
      </c>
      <c r="AL4479">
        <v>79.306339045378607</v>
      </c>
      <c r="AM4479">
        <v>87.274028808927</v>
      </c>
      <c r="AN4479">
        <v>0.99999999618496405</v>
      </c>
    </row>
    <row r="4480" spans="1:40" x14ac:dyDescent="0.25">
      <c r="A4480" t="str">
        <f>"20190303162910267"</f>
        <v>20190303162910267</v>
      </c>
      <c r="B4480" t="str">
        <f>"1551601750256588"</f>
        <v>1551601750256588</v>
      </c>
      <c r="C4480" t="s">
        <v>40</v>
      </c>
      <c r="D4480">
        <v>5.3693999999999997</v>
      </c>
      <c r="E4480">
        <v>0.4583544</v>
      </c>
      <c r="F4480" t="s">
        <v>41</v>
      </c>
      <c r="G4480">
        <v>-376.9427</v>
      </c>
      <c r="H4480" s="1">
        <v>-1.6083510000000001E-6</v>
      </c>
      <c r="I4480">
        <v>140.79810000000001</v>
      </c>
      <c r="J4480">
        <v>-355.41559999999998</v>
      </c>
      <c r="K4480">
        <v>1.1215649999999999</v>
      </c>
      <c r="L4480">
        <v>142.50409999999999</v>
      </c>
      <c r="M4480">
        <v>-0.99980999999999998</v>
      </c>
      <c r="N4480">
        <v>-1.218667E-2</v>
      </c>
      <c r="O4480">
        <v>-1.5217639999999999E-2</v>
      </c>
      <c r="P4480">
        <v>-0.98445559999999999</v>
      </c>
      <c r="Q4480">
        <v>0.1729117</v>
      </c>
      <c r="R4480">
        <v>3.0811870000000002E-2</v>
      </c>
      <c r="S4480">
        <v>-3.08371</v>
      </c>
      <c r="T4480">
        <v>-0.1580771</v>
      </c>
      <c r="U4480">
        <v>-0.2412415</v>
      </c>
      <c r="V4480">
        <v>4.5576480000000003E-2</v>
      </c>
      <c r="W4480">
        <v>0.18494169999999999</v>
      </c>
      <c r="X4480">
        <v>0.98169209999999996</v>
      </c>
      <c r="Y4480">
        <v>-6.2721319999999997E-2</v>
      </c>
      <c r="Z4480">
        <v>-1.3940650000000001E-3</v>
      </c>
      <c r="AA4480">
        <v>0.99803010000000003</v>
      </c>
      <c r="AB4480">
        <v>35</v>
      </c>
      <c r="AC4480">
        <v>-21.527100000000001</v>
      </c>
      <c r="AD4480">
        <v>-1.1215666083510001</v>
      </c>
      <c r="AE4480">
        <v>-1.70599999999998</v>
      </c>
      <c r="AF4480">
        <v>-1.3744788136369801</v>
      </c>
      <c r="AG4480">
        <v>-1.1215666083510001</v>
      </c>
      <c r="AH4480">
        <v>21.492594031785501</v>
      </c>
      <c r="AI4480">
        <v>92.981126785438803</v>
      </c>
      <c r="AJ4480">
        <v>93.659155277403002</v>
      </c>
      <c r="AK4480">
        <v>21.565683431814701</v>
      </c>
      <c r="AL4480">
        <v>79.342266745576893</v>
      </c>
      <c r="AM4480">
        <v>87.341869005937696</v>
      </c>
      <c r="AN4480">
        <v>1.00000001356524</v>
      </c>
    </row>
    <row r="4481" spans="1:40" x14ac:dyDescent="0.25">
      <c r="A4481" t="str">
        <f>"20190303162910289"</f>
        <v>20190303162910289</v>
      </c>
      <c r="B4481" t="str">
        <f>"1551601750285868"</f>
        <v>1551601750285868</v>
      </c>
      <c r="C4481" t="s">
        <v>40</v>
      </c>
      <c r="D4481">
        <v>5.1762329999999999</v>
      </c>
      <c r="E4481">
        <v>0.45875120000000003</v>
      </c>
      <c r="F4481" t="s">
        <v>41</v>
      </c>
      <c r="G4481">
        <v>-377.17779999999999</v>
      </c>
      <c r="H4481" s="1">
        <v>-1.5013280000000001E-6</v>
      </c>
      <c r="I4481">
        <v>140.7749</v>
      </c>
      <c r="J4481">
        <v>-355.7672</v>
      </c>
      <c r="K4481">
        <v>1.121553</v>
      </c>
      <c r="L4481">
        <v>142.4982</v>
      </c>
      <c r="M4481">
        <v>-0.99980250000000004</v>
      </c>
      <c r="N4481">
        <v>-1.21966E-2</v>
      </c>
      <c r="O4481">
        <v>-1.5703430000000001E-2</v>
      </c>
      <c r="P4481">
        <v>-0.98447099999999998</v>
      </c>
      <c r="Q4481">
        <v>0.1729861</v>
      </c>
      <c r="R4481">
        <v>2.9883E-2</v>
      </c>
      <c r="S4481">
        <v>-3.0829469999999999</v>
      </c>
      <c r="T4481">
        <v>-0.1588869</v>
      </c>
      <c r="U4481">
        <v>-0.24494930000000001</v>
      </c>
      <c r="V4481">
        <v>4.5129959999999997E-2</v>
      </c>
      <c r="W4481">
        <v>0.18502469999999999</v>
      </c>
      <c r="X4481">
        <v>0.98169709999999999</v>
      </c>
      <c r="Y4481">
        <v>-6.3446840000000004E-2</v>
      </c>
      <c r="Z4481">
        <v>-1.4029660000000001E-3</v>
      </c>
      <c r="AA4481">
        <v>0.99798419999999999</v>
      </c>
      <c r="AB4481">
        <v>35</v>
      </c>
      <c r="AC4481">
        <v>-21.410599999999899</v>
      </c>
      <c r="AD4481">
        <v>-1.1215545013279999</v>
      </c>
      <c r="AE4481">
        <v>-1.7232999999999901</v>
      </c>
      <c r="AF4481">
        <v>-1.3830719593846801</v>
      </c>
      <c r="AG4481">
        <v>-1.1215545013279999</v>
      </c>
      <c r="AH4481">
        <v>21.376743184234101</v>
      </c>
      <c r="AI4481">
        <v>92.997077807402505</v>
      </c>
      <c r="AJ4481">
        <v>93.7018683504769</v>
      </c>
      <c r="AK4481">
        <v>21.450779046668298</v>
      </c>
      <c r="AL4481">
        <v>79.337427800064106</v>
      </c>
      <c r="AM4481">
        <v>87.367887718714798</v>
      </c>
      <c r="AN4481">
        <v>1.0000000245240499</v>
      </c>
    </row>
    <row r="4482" spans="1:40" x14ac:dyDescent="0.25">
      <c r="A4482" t="str">
        <f>"20190303162910314"</f>
        <v>20190303162910314</v>
      </c>
      <c r="B4482" t="str">
        <f>"1551601750306364"</f>
        <v>1551601750306364</v>
      </c>
      <c r="C4482" t="s">
        <v>40</v>
      </c>
      <c r="D4482">
        <v>5.2433589999999999</v>
      </c>
      <c r="E4482">
        <v>0.45914480000000002</v>
      </c>
      <c r="F4482" t="s">
        <v>41</v>
      </c>
      <c r="G4482">
        <v>-377.64949999999999</v>
      </c>
      <c r="H4482" s="1">
        <v>-1.296161E-6</v>
      </c>
      <c r="I4482">
        <v>140.76439999999999</v>
      </c>
      <c r="J4482">
        <v>-356.14330000000001</v>
      </c>
      <c r="K4482">
        <v>1.1215489999999999</v>
      </c>
      <c r="L4482">
        <v>142.49170000000001</v>
      </c>
      <c r="M4482">
        <v>-0.99979419999999997</v>
      </c>
      <c r="N4482">
        <v>-1.2205809999999999E-2</v>
      </c>
      <c r="O4482">
        <v>-1.6211130000000001E-2</v>
      </c>
      <c r="P4482">
        <v>-0.98446730000000005</v>
      </c>
      <c r="Q4482">
        <v>0.173124</v>
      </c>
      <c r="R4482">
        <v>2.9194350000000001E-2</v>
      </c>
      <c r="S4482">
        <v>-3.0825200000000001</v>
      </c>
      <c r="T4482">
        <v>-0.1579912</v>
      </c>
      <c r="U4482">
        <v>-0.24423220000000001</v>
      </c>
      <c r="V4482">
        <v>4.4945440000000003E-2</v>
      </c>
      <c r="W4482">
        <v>0.1851699</v>
      </c>
      <c r="X4482">
        <v>0.9816781</v>
      </c>
      <c r="Y4482">
        <v>-6.2722620000000007E-2</v>
      </c>
      <c r="Z4482">
        <v>-1.356166E-3</v>
      </c>
      <c r="AA4482">
        <v>0.99803010000000003</v>
      </c>
      <c r="AB4482">
        <v>35</v>
      </c>
      <c r="AC4482">
        <v>-21.5061999999999</v>
      </c>
      <c r="AD4482">
        <v>-1.121550296161</v>
      </c>
      <c r="AE4482">
        <v>-1.72730000000001</v>
      </c>
      <c r="AF4482">
        <v>-1.37469254983112</v>
      </c>
      <c r="AG4482">
        <v>-1.121550296161</v>
      </c>
      <c r="AH4482">
        <v>21.473351728769</v>
      </c>
      <c r="AI4482">
        <v>92.983737268808198</v>
      </c>
      <c r="AJ4482">
        <v>93.662993300784805</v>
      </c>
      <c r="AK4482">
        <v>21.5465191885094</v>
      </c>
      <c r="AL4482">
        <v>79.328961237024501</v>
      </c>
      <c r="AM4482">
        <v>87.378583762121096</v>
      </c>
      <c r="AN4482">
        <v>0.99999993823120403</v>
      </c>
    </row>
    <row r="4483" spans="1:40" x14ac:dyDescent="0.25">
      <c r="A4483" t="str">
        <f>"20190303162910336"</f>
        <v>20190303162910336</v>
      </c>
      <c r="B4483" t="str">
        <f>"1551601750325883"</f>
        <v>1551601750325883</v>
      </c>
      <c r="C4483" t="s">
        <v>40</v>
      </c>
      <c r="D4483">
        <v>5.134493</v>
      </c>
      <c r="E4483">
        <v>0.4589993</v>
      </c>
      <c r="F4483" t="s">
        <v>41</v>
      </c>
      <c r="G4483">
        <v>-378.12759999999997</v>
      </c>
      <c r="H4483" s="1">
        <v>-1.091216E-6</v>
      </c>
      <c r="I4483">
        <v>140.76490000000001</v>
      </c>
      <c r="J4483">
        <v>-356.50049999999999</v>
      </c>
      <c r="K4483">
        <v>1.1215440000000001</v>
      </c>
      <c r="L4483">
        <v>142.4855</v>
      </c>
      <c r="M4483">
        <v>-0.99978630000000002</v>
      </c>
      <c r="N4483">
        <v>-1.221326E-2</v>
      </c>
      <c r="O4483">
        <v>-1.668331E-2</v>
      </c>
      <c r="P4483">
        <v>-0.98430499999999999</v>
      </c>
      <c r="Q4483">
        <v>0.17397969999999999</v>
      </c>
      <c r="R4483">
        <v>2.9581679999999999E-2</v>
      </c>
      <c r="S4483">
        <v>-3.0821839999999998</v>
      </c>
      <c r="T4483">
        <v>-0.1572412</v>
      </c>
      <c r="U4483">
        <v>-0.2420959</v>
      </c>
      <c r="V4483">
        <v>4.579855E-2</v>
      </c>
      <c r="W4483">
        <v>0.18603069999999999</v>
      </c>
      <c r="X4483">
        <v>0.98147589999999996</v>
      </c>
      <c r="Y4483">
        <v>-6.157522E-2</v>
      </c>
      <c r="Z4483">
        <v>-1.2984470000000001E-3</v>
      </c>
      <c r="AA4483">
        <v>0.99810160000000003</v>
      </c>
      <c r="AB4483">
        <v>35</v>
      </c>
      <c r="AC4483">
        <v>-21.627099999999899</v>
      </c>
      <c r="AD4483">
        <v>-1.1215450912160001</v>
      </c>
      <c r="AE4483">
        <v>-1.7205999999999899</v>
      </c>
      <c r="AF4483">
        <v>-1.3558985330590301</v>
      </c>
      <c r="AG4483">
        <v>-1.1215450912160001</v>
      </c>
      <c r="AH4483">
        <v>21.595086936027499</v>
      </c>
      <c r="AI4483">
        <v>92.967164091182198</v>
      </c>
      <c r="AJ4483">
        <v>93.592734625576995</v>
      </c>
      <c r="AK4483">
        <v>21.666658810212699</v>
      </c>
      <c r="AL4483">
        <v>79.278768919749993</v>
      </c>
      <c r="AM4483">
        <v>87.328348525223504</v>
      </c>
      <c r="AN4483">
        <v>0.99999993540269905</v>
      </c>
    </row>
    <row r="4484" spans="1:40" x14ac:dyDescent="0.25">
      <c r="A4484" t="str">
        <f>"20190303162910356"</f>
        <v>20190303162910356</v>
      </c>
      <c r="B4484" t="str">
        <f>"1551601750346379"</f>
        <v>1551601750346379</v>
      </c>
      <c r="C4484" t="s">
        <v>40</v>
      </c>
      <c r="D4484">
        <v>5.1996349999999998</v>
      </c>
      <c r="E4484">
        <v>0.43137350000000002</v>
      </c>
      <c r="F4484" t="s">
        <v>41</v>
      </c>
      <c r="G4484">
        <v>-379.1216</v>
      </c>
      <c r="H4484" s="1">
        <v>-6.5173789999999999E-7</v>
      </c>
      <c r="I4484">
        <v>140.7158</v>
      </c>
      <c r="J4484">
        <v>-356.82350000000002</v>
      </c>
      <c r="K4484">
        <v>1.121545</v>
      </c>
      <c r="L4484">
        <v>142.4796</v>
      </c>
      <c r="M4484">
        <v>-0.99977899999999997</v>
      </c>
      <c r="N4484">
        <v>-1.221913E-2</v>
      </c>
      <c r="O4484">
        <v>-1.710329E-2</v>
      </c>
      <c r="P4484">
        <v>-0.98408589999999996</v>
      </c>
      <c r="Q4484">
        <v>0.17513090000000001</v>
      </c>
      <c r="R4484">
        <v>3.0068830000000001E-2</v>
      </c>
      <c r="S4484">
        <v>-3.0820620000000001</v>
      </c>
      <c r="T4484">
        <v>-0.1528081</v>
      </c>
      <c r="U4484">
        <v>-0.24110409999999999</v>
      </c>
      <c r="V4484">
        <v>4.669736E-2</v>
      </c>
      <c r="W4484">
        <v>0.1871845</v>
      </c>
      <c r="X4484">
        <v>0.98121420000000004</v>
      </c>
      <c r="Y4484">
        <v>-6.0845200000000002E-2</v>
      </c>
      <c r="Z4484">
        <v>-1.240356E-3</v>
      </c>
      <c r="AA4484">
        <v>0.99814639999999999</v>
      </c>
      <c r="AB4484">
        <v>35</v>
      </c>
      <c r="AC4484">
        <v>-22.298099999999899</v>
      </c>
      <c r="AD4484">
        <v>-1.1215456517378899</v>
      </c>
      <c r="AE4484">
        <v>-1.7638</v>
      </c>
      <c r="AF4484">
        <v>-1.37867641488707</v>
      </c>
      <c r="AG4484">
        <v>-1.1215456517378899</v>
      </c>
      <c r="AH4484">
        <v>22.269019550297202</v>
      </c>
      <c r="AI4484">
        <v>92.877679329653702</v>
      </c>
      <c r="AJ4484">
        <v>93.542663792646906</v>
      </c>
      <c r="AK4484">
        <v>22.339826432571499</v>
      </c>
      <c r="AL4484">
        <v>79.211479695623694</v>
      </c>
      <c r="AM4484">
        <v>87.275269369195499</v>
      </c>
      <c r="AN4484">
        <v>0.99999999337642898</v>
      </c>
    </row>
    <row r="4485" spans="1:40" x14ac:dyDescent="0.25">
      <c r="A4485" t="str">
        <f>"20190303162910379"</f>
        <v>20190303162910379</v>
      </c>
      <c r="B4485" t="str">
        <f>"1551601750365899"</f>
        <v>1551601750365899</v>
      </c>
      <c r="C4485" t="s">
        <v>40</v>
      </c>
      <c r="D4485">
        <v>5.1492149999999999</v>
      </c>
      <c r="E4485">
        <v>0.42762149999999999</v>
      </c>
      <c r="F4485" t="s">
        <v>41</v>
      </c>
      <c r="G4485">
        <v>-380.18299999999999</v>
      </c>
      <c r="H4485" s="1">
        <v>-4.3015360000000004E-6</v>
      </c>
      <c r="I4485">
        <v>139.0087</v>
      </c>
      <c r="J4485">
        <v>-357.18200000000002</v>
      </c>
      <c r="K4485">
        <v>1.1215469999999901</v>
      </c>
      <c r="L4485">
        <v>142.47299999999899</v>
      </c>
      <c r="M4485">
        <v>-0.99977110000000002</v>
      </c>
      <c r="N4485">
        <v>-1.2225E-2</v>
      </c>
      <c r="O4485">
        <v>-1.7563809999999999E-2</v>
      </c>
      <c r="P4485">
        <v>-0.98371470000000005</v>
      </c>
      <c r="Q4485">
        <v>0.17682539999999999</v>
      </c>
      <c r="R4485">
        <v>3.2223809999999999E-2</v>
      </c>
      <c r="S4485">
        <v>-3.088959</v>
      </c>
      <c r="T4485">
        <v>-0.14830950000000001</v>
      </c>
      <c r="U4485">
        <v>-0.45896910000000002</v>
      </c>
      <c r="V4485">
        <v>4.9300370000000003E-2</v>
      </c>
      <c r="W4485">
        <v>0.18888079999999999</v>
      </c>
      <c r="X4485">
        <v>0.98076169999999996</v>
      </c>
      <c r="Y4485">
        <v>-0.1294006</v>
      </c>
      <c r="Z4485">
        <v>-3.259241E-3</v>
      </c>
      <c r="AA4485">
        <v>0.991587</v>
      </c>
      <c r="AB4485">
        <v>35</v>
      </c>
      <c r="AC4485">
        <v>-23.001000000000001</v>
      </c>
      <c r="AD4485">
        <v>-1.1215513015359999</v>
      </c>
      <c r="AE4485">
        <v>-3.46429999999997</v>
      </c>
      <c r="AF4485">
        <v>-3.05265309369641</v>
      </c>
      <c r="AG4485">
        <v>-1.1215513015359999</v>
      </c>
      <c r="AH4485">
        <v>23.004818541111302</v>
      </c>
      <c r="AI4485">
        <v>92.766908881113807</v>
      </c>
      <c r="AJ4485">
        <v>97.558775642796306</v>
      </c>
      <c r="AK4485">
        <v>23.233558581110401</v>
      </c>
      <c r="AL4485">
        <v>79.112523798594907</v>
      </c>
      <c r="AM4485">
        <v>87.122310584707506</v>
      </c>
      <c r="AN4485">
        <v>0.99999999763883296</v>
      </c>
    </row>
    <row r="4486" spans="1:40" x14ac:dyDescent="0.25">
      <c r="A4486" t="str">
        <f>"20190303162910402"</f>
        <v>20190303162910402</v>
      </c>
      <c r="B4486" t="str">
        <f>"1551601750396155"</f>
        <v>1551601750396155</v>
      </c>
      <c r="C4486" t="s">
        <v>40</v>
      </c>
      <c r="D4486">
        <v>5.0801119999999997</v>
      </c>
      <c r="E4486">
        <v>0.42693179999999997</v>
      </c>
      <c r="F4486" t="s">
        <v>41</v>
      </c>
      <c r="G4486">
        <v>-380.29919999999998</v>
      </c>
      <c r="H4486" s="1">
        <v>-4.2753189999999999E-6</v>
      </c>
      <c r="I4486">
        <v>138.87540000000001</v>
      </c>
      <c r="J4486">
        <v>-357.55309999999997</v>
      </c>
      <c r="K4486">
        <v>1.1215409999999999</v>
      </c>
      <c r="L4486">
        <v>142.46600000000001</v>
      </c>
      <c r="M4486">
        <v>-0.9997625</v>
      </c>
      <c r="N4486">
        <v>-1.223019E-2</v>
      </c>
      <c r="O4486">
        <v>-1.8034000000000001E-2</v>
      </c>
      <c r="P4486">
        <v>-0.98347600000000002</v>
      </c>
      <c r="Q4486">
        <v>0.17753050000000001</v>
      </c>
      <c r="R4486">
        <v>3.5466940000000002E-2</v>
      </c>
      <c r="S4486">
        <v>-3.092438</v>
      </c>
      <c r="T4486">
        <v>-0.150033</v>
      </c>
      <c r="U4486">
        <v>-0.48124689999999998</v>
      </c>
      <c r="V4486">
        <v>5.3003260000000003E-2</v>
      </c>
      <c r="W4486">
        <v>0.18959019999999999</v>
      </c>
      <c r="X4486">
        <v>0.98043170000000002</v>
      </c>
      <c r="Y4486">
        <v>-0.13573950000000001</v>
      </c>
      <c r="Z4486">
        <v>-3.45722E-3</v>
      </c>
      <c r="AA4486">
        <v>0.99073849999999997</v>
      </c>
      <c r="AB4486">
        <v>35</v>
      </c>
      <c r="AC4486">
        <v>-22.746099999999998</v>
      </c>
      <c r="AD4486">
        <v>-1.1215452753189901</v>
      </c>
      <c r="AE4486">
        <v>-3.59059999999999</v>
      </c>
      <c r="AF4486">
        <v>-3.1722572428211802</v>
      </c>
      <c r="AG4486">
        <v>-1.1215452753189901</v>
      </c>
      <c r="AH4486">
        <v>22.753185557247601</v>
      </c>
      <c r="AI4486">
        <v>92.794937800871693</v>
      </c>
      <c r="AJ4486">
        <v>97.937035106201705</v>
      </c>
      <c r="AK4486">
        <v>23.000620270370099</v>
      </c>
      <c r="AL4486">
        <v>79.071130884831504</v>
      </c>
      <c r="AM4486">
        <v>86.905536860857893</v>
      </c>
      <c r="AN4486">
        <v>1.0000000539357701</v>
      </c>
    </row>
    <row r="4487" spans="1:40" x14ac:dyDescent="0.25">
      <c r="A4487" t="str">
        <f>"20190303162910425"</f>
        <v>20190303162910425</v>
      </c>
      <c r="B4487" t="str">
        <f>"1551601750416651"</f>
        <v>1551601750416651</v>
      </c>
      <c r="C4487" t="s">
        <v>40</v>
      </c>
      <c r="D4487">
        <v>5.0632809999999999</v>
      </c>
      <c r="E4487">
        <v>0.4274249</v>
      </c>
      <c r="F4487" t="s">
        <v>41</v>
      </c>
      <c r="G4487">
        <v>-379.30149999999998</v>
      </c>
      <c r="H4487" s="1">
        <v>-3.685514E-7</v>
      </c>
      <c r="I4487">
        <v>139.12819999999999</v>
      </c>
      <c r="J4487">
        <v>-357.9015</v>
      </c>
      <c r="K4487">
        <v>1.1215310000000001</v>
      </c>
      <c r="L4487">
        <v>142.45930000000001</v>
      </c>
      <c r="M4487">
        <v>-0.9997547</v>
      </c>
      <c r="N4487">
        <v>-1.2234180000000001E-2</v>
      </c>
      <c r="O4487">
        <v>-1.84694E-2</v>
      </c>
      <c r="P4487">
        <v>-0.98345660000000001</v>
      </c>
      <c r="Q4487">
        <v>0.177041899999999</v>
      </c>
      <c r="R4487">
        <v>3.8336479999999999E-2</v>
      </c>
      <c r="S4487">
        <v>-3.0963750000000001</v>
      </c>
      <c r="T4487">
        <v>-0.15967709999999999</v>
      </c>
      <c r="U4487">
        <v>-0.47520449999999997</v>
      </c>
      <c r="V4487">
        <v>5.6302789999999998E-2</v>
      </c>
      <c r="W4487">
        <v>0.189107</v>
      </c>
      <c r="X4487">
        <v>0.98034100000000002</v>
      </c>
      <c r="Y4487">
        <v>-0.13321150000000001</v>
      </c>
      <c r="Z4487">
        <v>-3.5115900000000002E-3</v>
      </c>
      <c r="AA4487">
        <v>0.9910814</v>
      </c>
      <c r="AB4487">
        <v>35</v>
      </c>
      <c r="AC4487">
        <v>-21.399999999999899</v>
      </c>
      <c r="AD4487">
        <v>-1.1215313685513999</v>
      </c>
      <c r="AE4487">
        <v>-3.3311000000000202</v>
      </c>
      <c r="AF4487">
        <v>-2.92740681854582</v>
      </c>
      <c r="AG4487">
        <v>-1.1215313685513999</v>
      </c>
      <c r="AH4487">
        <v>21.400489114766401</v>
      </c>
      <c r="AI4487">
        <v>92.972314949743406</v>
      </c>
      <c r="AJ4487">
        <v>97.789236649260701</v>
      </c>
      <c r="AK4487">
        <v>21.628880637775701</v>
      </c>
      <c r="AL4487">
        <v>79.099325322828804</v>
      </c>
      <c r="AM4487">
        <v>86.713008592068505</v>
      </c>
      <c r="AN4487">
        <v>0.99999996894589105</v>
      </c>
    </row>
    <row r="4488" spans="1:40" x14ac:dyDescent="0.25">
      <c r="A4488" t="str">
        <f>"20190303162910442"</f>
        <v>20190303162910442</v>
      </c>
      <c r="B4488" t="str">
        <f>"1551601750436171"</f>
        <v>1551601750436171</v>
      </c>
      <c r="C4488" t="s">
        <v>40</v>
      </c>
      <c r="D4488">
        <v>5.085566</v>
      </c>
      <c r="E4488">
        <v>0.42743829999999999</v>
      </c>
      <c r="F4488" t="s">
        <v>41</v>
      </c>
      <c r="G4488">
        <v>-379.39060000000001</v>
      </c>
      <c r="H4488" s="1">
        <v>-3.070782E-7</v>
      </c>
      <c r="I4488">
        <v>139.25919999999999</v>
      </c>
      <c r="J4488">
        <v>-358.17020000000002</v>
      </c>
      <c r="K4488">
        <v>1.1215250000000001</v>
      </c>
      <c r="L4488">
        <v>142.45400000000001</v>
      </c>
      <c r="M4488">
        <v>-0.99974839999999998</v>
      </c>
      <c r="N4488">
        <v>-1.223698E-2</v>
      </c>
      <c r="O4488">
        <v>-1.8801209999999999E-2</v>
      </c>
      <c r="P4488">
        <v>-0.9834794</v>
      </c>
      <c r="Q4488">
        <v>0.17681179999999999</v>
      </c>
      <c r="R4488">
        <v>3.8811749999999999E-2</v>
      </c>
      <c r="S4488">
        <v>-3.097534</v>
      </c>
      <c r="T4488">
        <v>-0.1616628</v>
      </c>
      <c r="U4488">
        <v>-0.4612579</v>
      </c>
      <c r="V4488">
        <v>5.7106829999999997E-2</v>
      </c>
      <c r="W4488">
        <v>0.18887989999999999</v>
      </c>
      <c r="X4488">
        <v>0.9803383</v>
      </c>
      <c r="Y4488">
        <v>-0.12846649999999901</v>
      </c>
      <c r="Z4488">
        <v>-3.3767390000000001E-3</v>
      </c>
      <c r="AA4488">
        <v>0.99170809999999998</v>
      </c>
      <c r="AB4488">
        <v>35</v>
      </c>
      <c r="AC4488">
        <v>-21.220399999999898</v>
      </c>
      <c r="AD4488">
        <v>-1.1215253070782001</v>
      </c>
      <c r="AE4488">
        <v>-3.1948000000000101</v>
      </c>
      <c r="AF4488">
        <v>-2.7876221875031599</v>
      </c>
      <c r="AG4488">
        <v>-1.1215253070782001</v>
      </c>
      <c r="AH4488">
        <v>21.218763322341601</v>
      </c>
      <c r="AI4488">
        <v>92.999844029652905</v>
      </c>
      <c r="AJ4488">
        <v>97.484389873863094</v>
      </c>
      <c r="AK4488">
        <v>21.430459010581799</v>
      </c>
      <c r="AL4488">
        <v>79.112576275975599</v>
      </c>
      <c r="AM4488">
        <v>86.666164216960894</v>
      </c>
      <c r="AN4488">
        <v>0.99999999455177402</v>
      </c>
    </row>
    <row r="4489" spans="1:40" x14ac:dyDescent="0.25">
      <c r="A4489" t="str">
        <f>"20190303162910455"</f>
        <v>20190303162910455</v>
      </c>
      <c r="B4489" t="str">
        <f>"1551601750445931"</f>
        <v>1551601750445931</v>
      </c>
      <c r="C4489" t="s">
        <v>40</v>
      </c>
      <c r="D4489">
        <v>5.0734079999999997</v>
      </c>
      <c r="E4489">
        <v>0.42750870000000002</v>
      </c>
      <c r="F4489" t="s">
        <v>41</v>
      </c>
      <c r="G4489">
        <v>-379.32510000000002</v>
      </c>
      <c r="H4489" s="1">
        <v>-3.249832E-7</v>
      </c>
      <c r="I4489">
        <v>139.3167</v>
      </c>
      <c r="J4489">
        <v>-358.38940000000002</v>
      </c>
      <c r="K4489">
        <v>1.1215280000000001</v>
      </c>
      <c r="L4489">
        <v>142.4496</v>
      </c>
      <c r="M4489">
        <v>-0.99974339999999995</v>
      </c>
      <c r="N4489">
        <v>-1.2239E-2</v>
      </c>
      <c r="O4489">
        <v>-1.9069249999999999E-2</v>
      </c>
      <c r="P4489">
        <v>-0.98347739999999995</v>
      </c>
      <c r="Q4489">
        <v>0.17676689999999901</v>
      </c>
      <c r="R4489">
        <v>3.9068020000000002E-2</v>
      </c>
      <c r="S4489">
        <v>-3.0980219999999998</v>
      </c>
      <c r="T4489">
        <v>-0.16424179999999999</v>
      </c>
      <c r="U4489">
        <v>-0.45942690000000003</v>
      </c>
      <c r="V4489">
        <v>5.7628230000000003E-2</v>
      </c>
      <c r="W4489">
        <v>0.1888368</v>
      </c>
      <c r="X4489">
        <v>0.98031610000000002</v>
      </c>
      <c r="Y4489">
        <v>-0.12760050000000001</v>
      </c>
      <c r="Z4489">
        <v>-3.3751779999999999E-3</v>
      </c>
      <c r="AA4489">
        <v>0.99181989999999998</v>
      </c>
      <c r="AB4489">
        <v>35</v>
      </c>
      <c r="AC4489">
        <v>-20.935700000000001</v>
      </c>
      <c r="AD4489">
        <v>-1.1215283249832</v>
      </c>
      <c r="AE4489">
        <v>-3.1328999999999998</v>
      </c>
      <c r="AF4489">
        <v>-2.7254223043329602</v>
      </c>
      <c r="AG4489">
        <v>-1.1215283249832</v>
      </c>
      <c r="AH4489">
        <v>20.932882526824802</v>
      </c>
      <c r="AI4489">
        <v>93.0412042168944</v>
      </c>
      <c r="AJ4489">
        <v>97.418075584869399</v>
      </c>
      <c r="AK4489">
        <v>21.1393311957248</v>
      </c>
      <c r="AL4489">
        <v>79.115091070040506</v>
      </c>
      <c r="AM4489">
        <v>86.635719029074195</v>
      </c>
      <c r="AN4489">
        <v>1.0000000029231899</v>
      </c>
    </row>
    <row r="4490" spans="1:40" x14ac:dyDescent="0.25">
      <c r="A4490" t="str">
        <f>"20190303162910468"</f>
        <v>20190303162910468</v>
      </c>
      <c r="B4490" t="str">
        <f>"1551601750456668"</f>
        <v>1551601750456668</v>
      </c>
      <c r="C4490" t="s">
        <v>40</v>
      </c>
      <c r="D4490">
        <v>5.0831359999999997</v>
      </c>
      <c r="E4490">
        <v>0.42753580000000002</v>
      </c>
      <c r="F4490" t="s">
        <v>41</v>
      </c>
      <c r="G4490">
        <v>-379.38670000000002</v>
      </c>
      <c r="H4490" s="1">
        <v>-2.9323269999999999E-7</v>
      </c>
      <c r="I4490">
        <v>139.3468</v>
      </c>
      <c r="J4490">
        <v>-358.58859999999999</v>
      </c>
      <c r="K4490">
        <v>1.121524</v>
      </c>
      <c r="L4490">
        <v>142.44550000000001</v>
      </c>
      <c r="M4490">
        <v>-0.99973880000000004</v>
      </c>
      <c r="N4490">
        <v>-1.224071E-2</v>
      </c>
      <c r="O4490">
        <v>-1.9310230000000001E-2</v>
      </c>
      <c r="P4490">
        <v>-0.98348279999999999</v>
      </c>
      <c r="Q4490">
        <v>0.1766712</v>
      </c>
      <c r="R4490">
        <v>3.9358700000000003E-2</v>
      </c>
      <c r="S4490">
        <v>-3.0983890000000001</v>
      </c>
      <c r="T4490">
        <v>-0.1654948</v>
      </c>
      <c r="U4490">
        <v>-0.45784000000000002</v>
      </c>
      <c r="V4490">
        <v>5.8157630000000002E-2</v>
      </c>
      <c r="W4490">
        <v>0.1887422</v>
      </c>
      <c r="X4490">
        <v>0.98030300000000004</v>
      </c>
      <c r="Y4490">
        <v>-0.12684619999999999</v>
      </c>
      <c r="Z4490">
        <v>-3.3585590000000001E-3</v>
      </c>
      <c r="AA4490">
        <v>0.99191669999999998</v>
      </c>
      <c r="AB4490">
        <v>35</v>
      </c>
      <c r="AC4490">
        <v>-20.798100000000002</v>
      </c>
      <c r="AD4490">
        <v>-1.1215242932327001</v>
      </c>
      <c r="AE4490">
        <v>-3.0987</v>
      </c>
      <c r="AF4490">
        <v>-2.6888271405931001</v>
      </c>
      <c r="AG4490">
        <v>-1.1215242932327001</v>
      </c>
      <c r="AH4490">
        <v>20.794907409180201</v>
      </c>
      <c r="AI4490">
        <v>93.061682837694207</v>
      </c>
      <c r="AJ4490">
        <v>97.367591712613205</v>
      </c>
      <c r="AK4490">
        <v>20.997994720655502</v>
      </c>
      <c r="AL4490">
        <v>79.120609919637005</v>
      </c>
      <c r="AM4490">
        <v>86.604839866884802</v>
      </c>
      <c r="AN4490">
        <v>0.99999994989852703</v>
      </c>
    </row>
    <row r="4491" spans="1:40" x14ac:dyDescent="0.25">
      <c r="A4491" t="str">
        <f>"20190303162910484"</f>
        <v>20190303162910484</v>
      </c>
      <c r="B4491" t="str">
        <f>"1551601750476188"</f>
        <v>1551601750476188</v>
      </c>
      <c r="C4491" t="s">
        <v>40</v>
      </c>
      <c r="D4491">
        <v>5.0864589999999996</v>
      </c>
      <c r="E4491">
        <v>0.42727290000000001</v>
      </c>
      <c r="F4491" t="s">
        <v>41</v>
      </c>
      <c r="G4491">
        <v>-379.39830000000001</v>
      </c>
      <c r="H4491" s="1">
        <v>-2.827116E-7</v>
      </c>
      <c r="I4491">
        <v>139.37790000000001</v>
      </c>
      <c r="J4491">
        <v>-358.85989999999998</v>
      </c>
      <c r="K4491">
        <v>1.1215120000000001</v>
      </c>
      <c r="L4491">
        <v>142.44</v>
      </c>
      <c r="M4491">
        <v>-0.99973239999999997</v>
      </c>
      <c r="N4491">
        <v>-1.224277E-2</v>
      </c>
      <c r="O4491">
        <v>-1.96315E-2</v>
      </c>
      <c r="P4491">
        <v>-0.98347320000000005</v>
      </c>
      <c r="Q4491">
        <v>0.176765899999999</v>
      </c>
      <c r="R4491">
        <v>3.9168979999999999E-2</v>
      </c>
      <c r="S4491">
        <v>-3.0986630000000002</v>
      </c>
      <c r="T4491">
        <v>-0.16700039999999999</v>
      </c>
      <c r="U4491">
        <v>-0.45677190000000001</v>
      </c>
      <c r="V4491">
        <v>5.82868E-2</v>
      </c>
      <c r="W4491">
        <v>0.18883820000000001</v>
      </c>
      <c r="X4491">
        <v>0.98027690000000001</v>
      </c>
      <c r="Y4491">
        <v>-0.12617829999999999</v>
      </c>
      <c r="Z4491">
        <v>-3.3445699999999998E-3</v>
      </c>
      <c r="AA4491">
        <v>0.99200200000000005</v>
      </c>
      <c r="AB4491">
        <v>35</v>
      </c>
      <c r="AC4491">
        <v>-20.538399999999999</v>
      </c>
      <c r="AD4491">
        <v>-1.1215122827116</v>
      </c>
      <c r="AE4491">
        <v>-3.0620999999999801</v>
      </c>
      <c r="AF4491">
        <v>-2.65054852385131</v>
      </c>
      <c r="AG4491">
        <v>-1.1215122827116</v>
      </c>
      <c r="AH4491">
        <v>20.534661134744098</v>
      </c>
      <c r="AI4491">
        <v>93.1004653656708</v>
      </c>
      <c r="AJ4491">
        <v>97.354890097945599</v>
      </c>
      <c r="AK4491">
        <v>20.735368460587601</v>
      </c>
      <c r="AL4491">
        <v>79.115009450562596</v>
      </c>
      <c r="AM4491">
        <v>86.597226419553806</v>
      </c>
      <c r="AN4491">
        <v>1.0000000087535399</v>
      </c>
    </row>
    <row r="4492" spans="1:40" x14ac:dyDescent="0.25">
      <c r="A4492" t="str">
        <f>"20190303162910502"</f>
        <v>20190303162910502</v>
      </c>
      <c r="B4492" t="str">
        <f>"1551601750496684"</f>
        <v>1551601750496684</v>
      </c>
      <c r="C4492" t="s">
        <v>40</v>
      </c>
      <c r="D4492">
        <v>5.0943559999999897</v>
      </c>
      <c r="E4492">
        <v>0.42689729999999998</v>
      </c>
      <c r="F4492" t="s">
        <v>41</v>
      </c>
      <c r="G4492">
        <v>-379.79039999999998</v>
      </c>
      <c r="H4492" s="1">
        <v>-1.32406E-7</v>
      </c>
      <c r="I4492">
        <v>139.33420000000001</v>
      </c>
      <c r="J4492">
        <v>-359.1327</v>
      </c>
      <c r="K4492">
        <v>1.1215029999999999</v>
      </c>
      <c r="L4492">
        <v>142.43430000000001</v>
      </c>
      <c r="M4492">
        <v>-0.99972609999999995</v>
      </c>
      <c r="N4492">
        <v>-1.2244420000000001E-2</v>
      </c>
      <c r="O4492">
        <v>-1.994402E-2</v>
      </c>
      <c r="P4492">
        <v>-0.9835604</v>
      </c>
      <c r="Q4492">
        <v>0.17660699999999999</v>
      </c>
      <c r="R4492">
        <v>3.7668229999999997E-2</v>
      </c>
      <c r="S4492">
        <v>-3.0985719999999999</v>
      </c>
      <c r="T4492">
        <v>-0.1660295</v>
      </c>
      <c r="U4492">
        <v>-0.45976260000000002</v>
      </c>
      <c r="V4492">
        <v>5.7100190000000002E-2</v>
      </c>
      <c r="W4492">
        <v>0.1886795</v>
      </c>
      <c r="X4492">
        <v>0.98037730000000001</v>
      </c>
      <c r="Y4492">
        <v>-0.1268106</v>
      </c>
      <c r="Z4492">
        <v>-3.3390410000000001E-3</v>
      </c>
      <c r="AA4492">
        <v>0.99192130000000001</v>
      </c>
      <c r="AB4492">
        <v>35</v>
      </c>
      <c r="AC4492">
        <v>-20.657699999999899</v>
      </c>
      <c r="AD4492">
        <v>-1.1215031324060001</v>
      </c>
      <c r="AE4492">
        <v>-3.1000999999999901</v>
      </c>
      <c r="AF4492">
        <v>-2.6797305716074198</v>
      </c>
      <c r="AG4492">
        <v>-1.1215031324060001</v>
      </c>
      <c r="AH4492">
        <v>20.655883655933899</v>
      </c>
      <c r="AI4492">
        <v>93.082023305564306</v>
      </c>
      <c r="AJ4492">
        <v>97.391815552524605</v>
      </c>
      <c r="AK4492">
        <v>20.859152782888401</v>
      </c>
      <c r="AL4492">
        <v>79.124268841141699</v>
      </c>
      <c r="AM4492">
        <v>86.666683286476598</v>
      </c>
      <c r="AN4492">
        <v>1.0000000178867801</v>
      </c>
    </row>
    <row r="4493" spans="1:40" x14ac:dyDescent="0.25">
      <c r="A4493" t="str">
        <f>"20190303162910521"</f>
        <v>20190303162910521</v>
      </c>
      <c r="B4493" t="str">
        <f>"1551601750506444"</f>
        <v>1551601750506444</v>
      </c>
      <c r="C4493" t="s">
        <v>40</v>
      </c>
      <c r="D4493">
        <v>5.1192299999999999</v>
      </c>
      <c r="E4493">
        <v>0.4266105</v>
      </c>
      <c r="F4493" t="s">
        <v>41</v>
      </c>
      <c r="G4493">
        <v>-379.93189999999998</v>
      </c>
      <c r="H4493" s="1">
        <v>-9.5691299999999996E-8</v>
      </c>
      <c r="I4493">
        <v>139.2912</v>
      </c>
      <c r="J4493">
        <v>-359.41559999999998</v>
      </c>
      <c r="K4493">
        <v>1.1214850000000001</v>
      </c>
      <c r="L4493">
        <v>142.42830000000001</v>
      </c>
      <c r="M4493">
        <v>-0.99972000000000005</v>
      </c>
      <c r="N4493">
        <v>-1.224603E-2</v>
      </c>
      <c r="O4493">
        <v>-2.0254100000000001E-2</v>
      </c>
      <c r="P4493">
        <v>-0.98372570000000004</v>
      </c>
      <c r="Q4493">
        <v>0.17593639999999999</v>
      </c>
      <c r="R4493">
        <v>3.6477870000000003E-2</v>
      </c>
      <c r="S4493">
        <v>-3.0981139999999998</v>
      </c>
      <c r="T4493">
        <v>-0.16705200000000001</v>
      </c>
      <c r="U4493">
        <v>-0.46815489999999998</v>
      </c>
      <c r="V4493">
        <v>5.6224959999999997E-2</v>
      </c>
      <c r="W4493">
        <v>0.18801019999999999</v>
      </c>
      <c r="X4493">
        <v>0.98055639999999999</v>
      </c>
      <c r="Y4493">
        <v>-0.12914589999999901</v>
      </c>
      <c r="Z4493">
        <v>-3.4175410000000001E-3</v>
      </c>
      <c r="AA4493">
        <v>0.99161969999999999</v>
      </c>
      <c r="AB4493">
        <v>35</v>
      </c>
      <c r="AC4493">
        <v>-20.516300000000001</v>
      </c>
      <c r="AD4493">
        <v>-1.1214850956913001</v>
      </c>
      <c r="AE4493">
        <v>-3.1371000000000002</v>
      </c>
      <c r="AF4493">
        <v>-2.71296478798098</v>
      </c>
      <c r="AG4493">
        <v>-1.1214850956913001</v>
      </c>
      <c r="AH4493">
        <v>20.515733004203501</v>
      </c>
      <c r="AI4493">
        <v>93.101987619456295</v>
      </c>
      <c r="AJ4493">
        <v>97.532987286672196</v>
      </c>
      <c r="AK4493">
        <v>20.724700419076001</v>
      </c>
      <c r="AL4493">
        <v>79.163315177785904</v>
      </c>
      <c r="AM4493">
        <v>86.718261897998204</v>
      </c>
      <c r="AN4493">
        <v>0.99999996750599995</v>
      </c>
    </row>
    <row r="4494" spans="1:40" x14ac:dyDescent="0.25">
      <c r="A4494" t="str">
        <f>"20190303162910537"</f>
        <v>20190303162910537</v>
      </c>
      <c r="B4494" t="str">
        <f>"1551601750525963"</f>
        <v>1551601750525963</v>
      </c>
      <c r="C4494" t="s">
        <v>40</v>
      </c>
      <c r="D4494">
        <v>5.1449299999999996</v>
      </c>
      <c r="E4494">
        <v>0.42617440000000001</v>
      </c>
      <c r="F4494" t="s">
        <v>41</v>
      </c>
      <c r="G4494">
        <v>-379.87329999999997</v>
      </c>
      <c r="H4494" s="1">
        <v>-1.145952E-7</v>
      </c>
      <c r="I4494">
        <v>139.29519999999999</v>
      </c>
      <c r="J4494">
        <v>-359.67469999999997</v>
      </c>
      <c r="K4494">
        <v>1.1214660000000001</v>
      </c>
      <c r="L4494">
        <v>142.42269999999999</v>
      </c>
      <c r="M4494">
        <v>-0.99971460000000001</v>
      </c>
      <c r="N4494">
        <v>-1.224745E-2</v>
      </c>
      <c r="O4494">
        <v>-2.0516199999999998E-2</v>
      </c>
      <c r="P4494">
        <v>-0.98389490000000002</v>
      </c>
      <c r="Q4494">
        <v>0.1754433</v>
      </c>
      <c r="R4494">
        <v>3.4219779999999998E-2</v>
      </c>
      <c r="S4494">
        <v>-3.0976560000000002</v>
      </c>
      <c r="T4494">
        <v>-0.1698124</v>
      </c>
      <c r="U4494">
        <v>-0.47439579999999998</v>
      </c>
      <c r="V4494">
        <v>5.4237189999999998E-2</v>
      </c>
      <c r="W4494">
        <v>0.18751660000000001</v>
      </c>
      <c r="X4494">
        <v>0.98076289999999999</v>
      </c>
      <c r="Y4494">
        <v>-0.1308511</v>
      </c>
      <c r="Z4494">
        <v>-3.502823E-3</v>
      </c>
      <c r="AA4494">
        <v>0.99139580000000005</v>
      </c>
      <c r="AB4494">
        <v>35</v>
      </c>
      <c r="AC4494">
        <v>-20.198599999999999</v>
      </c>
      <c r="AD4494">
        <v>-1.1214661145952001</v>
      </c>
      <c r="AE4494">
        <v>-3.1274999999999902</v>
      </c>
      <c r="AF4494">
        <v>-2.7042708232851802</v>
      </c>
      <c r="AG4494">
        <v>-1.1214661145952001</v>
      </c>
      <c r="AH4494">
        <v>20.197711713271499</v>
      </c>
      <c r="AI4494">
        <v>93.149999856868703</v>
      </c>
      <c r="AJ4494">
        <v>97.625976395244194</v>
      </c>
      <c r="AK4494">
        <v>20.4087805952311</v>
      </c>
      <c r="AL4494">
        <v>79.192108917711707</v>
      </c>
      <c r="AM4494">
        <v>86.834708951676404</v>
      </c>
      <c r="AN4494">
        <v>1.0000000070355299</v>
      </c>
    </row>
    <row r="4495" spans="1:40" x14ac:dyDescent="0.25">
      <c r="A4495" t="str">
        <f>"20190303162910559"</f>
        <v>20190303162910559</v>
      </c>
      <c r="B4495" t="str">
        <f>"1551601750546459"</f>
        <v>1551601750546459</v>
      </c>
      <c r="C4495" t="s">
        <v>40</v>
      </c>
      <c r="D4495">
        <v>5.1379950000000001</v>
      </c>
      <c r="E4495">
        <v>0.42583769999999999</v>
      </c>
      <c r="F4495" t="s">
        <v>41</v>
      </c>
      <c r="G4495">
        <v>-379.88959999999997</v>
      </c>
      <c r="H4495" s="1">
        <v>-1.2064900000000001E-7</v>
      </c>
      <c r="I4495">
        <v>139.25149999999999</v>
      </c>
      <c r="J4495">
        <v>-360.02100000000002</v>
      </c>
      <c r="K4495">
        <v>1.12144</v>
      </c>
      <c r="L4495">
        <v>142.4153</v>
      </c>
      <c r="M4495">
        <v>-0.99970809999999999</v>
      </c>
      <c r="N4495">
        <v>-1.224919E-2</v>
      </c>
      <c r="O4495">
        <v>-2.082788E-2</v>
      </c>
      <c r="P4495">
        <v>-0.98385480000000003</v>
      </c>
      <c r="Q4495">
        <v>0.17612820000000001</v>
      </c>
      <c r="R4495">
        <v>3.1758479999999999E-2</v>
      </c>
      <c r="S4495">
        <v>-3.0966490000000002</v>
      </c>
      <c r="T4495">
        <v>-0.17179359999999999</v>
      </c>
      <c r="U4495">
        <v>-0.48577880000000001</v>
      </c>
      <c r="V4495">
        <v>5.209631E-2</v>
      </c>
      <c r="W4495">
        <v>0.18819659999999999</v>
      </c>
      <c r="X4495">
        <v>0.98074870000000003</v>
      </c>
      <c r="Y4495">
        <v>-0.13413810000000001</v>
      </c>
      <c r="Z4495">
        <v>-3.6292189999999999E-3</v>
      </c>
      <c r="AA4495">
        <v>0.99095599999999995</v>
      </c>
      <c r="AB4495">
        <v>35</v>
      </c>
      <c r="AC4495">
        <v>-19.868600000000001</v>
      </c>
      <c r="AD4495">
        <v>-1.1214401206489999</v>
      </c>
      <c r="AE4495">
        <v>-3.1638000000000002</v>
      </c>
      <c r="AF4495">
        <v>-2.7407462238273901</v>
      </c>
      <c r="AG4495">
        <v>-1.1214401206489999</v>
      </c>
      <c r="AH4495">
        <v>19.868458034493699</v>
      </c>
      <c r="AI4495">
        <v>93.200290300681701</v>
      </c>
      <c r="AJ4495">
        <v>97.854075265688905</v>
      </c>
      <c r="AK4495">
        <v>20.0879302685982</v>
      </c>
      <c r="AL4495">
        <v>79.152441481583296</v>
      </c>
      <c r="AM4495">
        <v>86.959367860052893</v>
      </c>
      <c r="AN4495">
        <v>0.99999999915943305</v>
      </c>
    </row>
    <row r="4496" spans="1:40" x14ac:dyDescent="0.25">
      <c r="A4496" t="str">
        <f>"20190303162910580"</f>
        <v>20190303162910580</v>
      </c>
      <c r="B4496" t="str">
        <f>"1551601750565980"</f>
        <v>1551601750565980</v>
      </c>
      <c r="C4496" t="s">
        <v>40</v>
      </c>
      <c r="D4496">
        <v>5.1518079999999999</v>
      </c>
      <c r="E4496">
        <v>0.42557080000000003</v>
      </c>
      <c r="F4496" t="s">
        <v>41</v>
      </c>
      <c r="G4496">
        <v>-380.44110000000001</v>
      </c>
      <c r="H4496" s="1">
        <v>-4.1669989999999998E-6</v>
      </c>
      <c r="I4496">
        <v>139.1429</v>
      </c>
      <c r="J4496">
        <v>-360.36720000000003</v>
      </c>
      <c r="K4496">
        <v>1.121397</v>
      </c>
      <c r="L4496">
        <v>142.40780000000001</v>
      </c>
      <c r="M4496">
        <v>-0.9997028</v>
      </c>
      <c r="N4496">
        <v>-1.2250830000000001E-2</v>
      </c>
      <c r="O4496">
        <v>-2.1085779999999998E-2</v>
      </c>
      <c r="P4496">
        <v>-0.9838017</v>
      </c>
      <c r="Q4496">
        <v>0.17673249999999999</v>
      </c>
      <c r="R4496">
        <v>3.00069E-2</v>
      </c>
      <c r="S4496">
        <v>-3.0957029999999999</v>
      </c>
      <c r="T4496">
        <v>-0.17001250000000001</v>
      </c>
      <c r="U4496">
        <v>-0.49607849999999998</v>
      </c>
      <c r="V4496">
        <v>5.0616759999999997E-2</v>
      </c>
      <c r="W4496">
        <v>0.18879560000000001</v>
      </c>
      <c r="X4496">
        <v>0.980711</v>
      </c>
      <c r="Y4496">
        <v>-0.13714319999999999</v>
      </c>
      <c r="Z4496">
        <v>-3.6928099999999999E-3</v>
      </c>
      <c r="AA4496">
        <v>0.99054430000000004</v>
      </c>
      <c r="AB4496">
        <v>35</v>
      </c>
      <c r="AC4496">
        <v>-20.073899999999899</v>
      </c>
      <c r="AD4496">
        <v>-1.1214011669990001</v>
      </c>
      <c r="AE4496">
        <v>-3.2649000000000101</v>
      </c>
      <c r="AF4496">
        <v>-2.83225751069397</v>
      </c>
      <c r="AG4496">
        <v>-1.1214011669990001</v>
      </c>
      <c r="AH4496">
        <v>20.077243165279601</v>
      </c>
      <c r="AI4496">
        <v>93.165617906619204</v>
      </c>
      <c r="AJ4496">
        <v>98.029619878986793</v>
      </c>
      <c r="AK4496">
        <v>20.307016430337399</v>
      </c>
      <c r="AL4496">
        <v>79.117494314836705</v>
      </c>
      <c r="AM4496">
        <v>87.0454540838535</v>
      </c>
      <c r="AN4496">
        <v>0.99999995024662702</v>
      </c>
    </row>
    <row r="4497" spans="1:40" x14ac:dyDescent="0.25">
      <c r="A4497" t="str">
        <f>"20190303162910597"</f>
        <v>20190303162910597</v>
      </c>
      <c r="B4497" t="str">
        <f>"1551601750586476"</f>
        <v>1551601750586476</v>
      </c>
      <c r="C4497" t="s">
        <v>40</v>
      </c>
      <c r="D4497">
        <v>5.1328250000000004</v>
      </c>
      <c r="E4497">
        <v>0.42542170000000001</v>
      </c>
      <c r="F4497" t="s">
        <v>41</v>
      </c>
      <c r="G4497">
        <v>-380.7611</v>
      </c>
      <c r="H4497" s="1">
        <v>-4.0383869999999996E-6</v>
      </c>
      <c r="I4497">
        <v>139.0941</v>
      </c>
      <c r="J4497">
        <v>-360.63470000000001</v>
      </c>
      <c r="K4497">
        <v>1.121356</v>
      </c>
      <c r="L4497">
        <v>142.40190000000001</v>
      </c>
      <c r="M4497">
        <v>-0.99969949999999996</v>
      </c>
      <c r="N4497">
        <v>-1.225187E-2</v>
      </c>
      <c r="O4497">
        <v>-2.1236910000000001E-2</v>
      </c>
      <c r="P4497">
        <v>-0.98383330000000002</v>
      </c>
      <c r="Q4497">
        <v>0.17667279999999999</v>
      </c>
      <c r="R4497">
        <v>2.9315540000000001E-2</v>
      </c>
      <c r="S4497">
        <v>-3.0953369999999998</v>
      </c>
      <c r="T4497">
        <v>-0.17020439999999901</v>
      </c>
      <c r="U4497">
        <v>-0.50292970000000004</v>
      </c>
      <c r="V4497">
        <v>5.0093270000000002E-2</v>
      </c>
      <c r="W4497">
        <v>0.18873239999999999</v>
      </c>
      <c r="X4497">
        <v>0.98075009999999996</v>
      </c>
      <c r="Y4497">
        <v>-0.1391444</v>
      </c>
      <c r="Z4497">
        <v>-3.7563549999999999E-3</v>
      </c>
      <c r="AA4497">
        <v>0.99026499999999995</v>
      </c>
      <c r="AB4497">
        <v>35</v>
      </c>
      <c r="AC4497">
        <v>-20.126399999999901</v>
      </c>
      <c r="AD4497">
        <v>-1.1213600383869999</v>
      </c>
      <c r="AE4497">
        <v>-3.3078000000000101</v>
      </c>
      <c r="AF4497">
        <v>-2.8709216113424501</v>
      </c>
      <c r="AG4497">
        <v>-1.1213600383869999</v>
      </c>
      <c r="AH4497">
        <v>20.131263914450798</v>
      </c>
      <c r="AI4497">
        <v>93.156349400609201</v>
      </c>
      <c r="AJ4497">
        <v>98.116230595149503</v>
      </c>
      <c r="AK4497">
        <v>20.365839683829201</v>
      </c>
      <c r="AL4497">
        <v>79.121182318604895</v>
      </c>
      <c r="AM4497">
        <v>87.076073734117102</v>
      </c>
      <c r="AN4497">
        <v>1.00000000657953</v>
      </c>
    </row>
    <row r="4498" spans="1:40" x14ac:dyDescent="0.25">
      <c r="A4498" t="str">
        <f>"20190303162910614"</f>
        <v>20190303162910614</v>
      </c>
      <c r="B4498" t="str">
        <f>"1551601750605996"</f>
        <v>1551601750605996</v>
      </c>
      <c r="C4498" t="s">
        <v>40</v>
      </c>
      <c r="D4498">
        <v>5.1588570000000002</v>
      </c>
      <c r="E4498">
        <v>0.42538090000000001</v>
      </c>
      <c r="F4498" t="s">
        <v>41</v>
      </c>
      <c r="G4498">
        <v>-380.85829999999999</v>
      </c>
      <c r="H4498" s="1">
        <v>-3.9966159999999996E-6</v>
      </c>
      <c r="I4498">
        <v>139.09440000000001</v>
      </c>
      <c r="J4498">
        <v>-360.89800000000002</v>
      </c>
      <c r="K4498">
        <v>1.1213139999999999</v>
      </c>
      <c r="L4498">
        <v>142.39619999999999</v>
      </c>
      <c r="M4498">
        <v>-0.99969710000000001</v>
      </c>
      <c r="N4498">
        <v>-1.225279E-2</v>
      </c>
      <c r="O4498">
        <v>-2.134747E-2</v>
      </c>
      <c r="P4498">
        <v>-0.98371980000000003</v>
      </c>
      <c r="Q4498">
        <v>0.1772637</v>
      </c>
      <c r="R4498">
        <v>2.955118E-2</v>
      </c>
      <c r="S4498">
        <v>-3.095215</v>
      </c>
      <c r="T4498">
        <v>-0.1716241</v>
      </c>
      <c r="U4498">
        <v>-0.50619510000000001</v>
      </c>
      <c r="V4498">
        <v>5.0454300000000001E-2</v>
      </c>
      <c r="W4498">
        <v>0.18931770000000001</v>
      </c>
      <c r="X4498">
        <v>0.98061880000000001</v>
      </c>
      <c r="Y4498">
        <v>-0.1400537</v>
      </c>
      <c r="Z4498">
        <v>-3.8042660000000002E-3</v>
      </c>
      <c r="AA4498">
        <v>0.99013660000000003</v>
      </c>
      <c r="AB4498">
        <v>35</v>
      </c>
      <c r="AC4498">
        <v>-19.960299999999901</v>
      </c>
      <c r="AD4498">
        <v>-1.1213179966159901</v>
      </c>
      <c r="AE4498">
        <v>-3.3017999999999801</v>
      </c>
      <c r="AF4498">
        <v>-2.86610935050266</v>
      </c>
      <c r="AG4498">
        <v>-1.1213179966159901</v>
      </c>
      <c r="AH4498">
        <v>19.964911929148201</v>
      </c>
      <c r="AI4498">
        <v>93.182054095627507</v>
      </c>
      <c r="AJ4498">
        <v>98.1694136267853</v>
      </c>
      <c r="AK4498">
        <v>20.2007337786828</v>
      </c>
      <c r="AL4498">
        <v>79.087031687773305</v>
      </c>
      <c r="AM4498">
        <v>87.054643883802996</v>
      </c>
      <c r="AN4498">
        <v>1.0000000294175999</v>
      </c>
    </row>
    <row r="4499" spans="1:40" x14ac:dyDescent="0.25">
      <c r="A4499" t="str">
        <f>"20190303162910631"</f>
        <v>20190303162910631</v>
      </c>
      <c r="B4499" t="str">
        <f>"1551601750626491"</f>
        <v>1551601750626491</v>
      </c>
      <c r="C4499" t="s">
        <v>40</v>
      </c>
      <c r="D4499">
        <v>5.1776070000000001</v>
      </c>
      <c r="E4499">
        <v>0.42538320000000002</v>
      </c>
      <c r="F4499" t="s">
        <v>41</v>
      </c>
      <c r="G4499">
        <v>-381.48469999999998</v>
      </c>
      <c r="H4499" s="1">
        <v>-3.740054E-6</v>
      </c>
      <c r="I4499">
        <v>139.0258</v>
      </c>
      <c r="J4499">
        <v>-361.17419999999998</v>
      </c>
      <c r="K4499">
        <v>1.121273</v>
      </c>
      <c r="L4499">
        <v>142.39019999999999</v>
      </c>
      <c r="M4499">
        <v>-0.99969540000000001</v>
      </c>
      <c r="N4499">
        <v>-1.2253689999999999E-2</v>
      </c>
      <c r="O4499">
        <v>-2.1425699999999999E-2</v>
      </c>
      <c r="P4499">
        <v>-0.98366390000000004</v>
      </c>
      <c r="Q4499">
        <v>0.17754739999999999</v>
      </c>
      <c r="R4499">
        <v>2.9703549999999999E-2</v>
      </c>
      <c r="S4499">
        <v>-3.0952449999999998</v>
      </c>
      <c r="T4499">
        <v>-0.168592299999999</v>
      </c>
      <c r="U4499">
        <v>-0.50672910000000004</v>
      </c>
      <c r="V4499">
        <v>5.0702539999999997E-2</v>
      </c>
      <c r="W4499">
        <v>0.1895963</v>
      </c>
      <c r="X4499">
        <v>0.98055210000000004</v>
      </c>
      <c r="Y4499">
        <v>-0.1401483</v>
      </c>
      <c r="Z4499">
        <v>-3.7568720000000001E-3</v>
      </c>
      <c r="AA4499">
        <v>0.99012339999999999</v>
      </c>
      <c r="AB4499">
        <v>35</v>
      </c>
      <c r="AC4499">
        <v>-20.310499999999902</v>
      </c>
      <c r="AD4499">
        <v>-1.121276740054</v>
      </c>
      <c r="AE4499">
        <v>-3.3643999999999799</v>
      </c>
      <c r="AF4499">
        <v>-2.9197670657108001</v>
      </c>
      <c r="AG4499">
        <v>-1.121276740054</v>
      </c>
      <c r="AH4499">
        <v>20.317656836597202</v>
      </c>
      <c r="AI4499">
        <v>93.126739408845694</v>
      </c>
      <c r="AJ4499">
        <v>98.177754014034505</v>
      </c>
      <c r="AK4499">
        <v>20.5569813098986</v>
      </c>
      <c r="AL4499">
        <v>79.070773914759997</v>
      </c>
      <c r="AM4499">
        <v>87.039977176011902</v>
      </c>
      <c r="AN4499">
        <v>0.99999996267527502</v>
      </c>
    </row>
    <row r="4500" spans="1:40" x14ac:dyDescent="0.25">
      <c r="A4500" t="str">
        <f>"20190303162910646"</f>
        <v>20190303162910646</v>
      </c>
      <c r="B4500" t="str">
        <f>"1551601750636252"</f>
        <v>1551601750636252</v>
      </c>
      <c r="C4500" t="s">
        <v>40</v>
      </c>
      <c r="D4500">
        <v>5.1914680000000004</v>
      </c>
      <c r="E4500">
        <v>0.42533710000000002</v>
      </c>
      <c r="F4500" t="s">
        <v>41</v>
      </c>
      <c r="G4500">
        <v>-381.88690000000003</v>
      </c>
      <c r="H4500" s="1">
        <v>-3.572841E-6</v>
      </c>
      <c r="I4500">
        <v>138.99590000000001</v>
      </c>
      <c r="J4500">
        <v>-361.41849999999999</v>
      </c>
      <c r="K4500">
        <v>1.1212359999999999</v>
      </c>
      <c r="L4500">
        <v>142.38480000000001</v>
      </c>
      <c r="M4500">
        <v>-0.99969459999999999</v>
      </c>
      <c r="N4500">
        <v>-1.225438E-2</v>
      </c>
      <c r="O4500">
        <v>-2.1464810000000001E-2</v>
      </c>
      <c r="P4500">
        <v>-0.98362150000000004</v>
      </c>
      <c r="Q4500">
        <v>0.1777078</v>
      </c>
      <c r="R4500">
        <v>3.014905E-2</v>
      </c>
      <c r="S4500">
        <v>-3.095367</v>
      </c>
      <c r="T4500">
        <v>-0.16756740000000001</v>
      </c>
      <c r="U4500">
        <v>-0.50723269999999998</v>
      </c>
      <c r="V4500">
        <v>5.120338E-2</v>
      </c>
      <c r="W4500">
        <v>0.1897517</v>
      </c>
      <c r="X4500">
        <v>0.98049600000000003</v>
      </c>
      <c r="Y4500">
        <v>-0.14026250000000001</v>
      </c>
      <c r="Z4500">
        <v>-3.742979E-3</v>
      </c>
      <c r="AA4500">
        <v>0.99010730000000002</v>
      </c>
      <c r="AB4500">
        <v>35</v>
      </c>
      <c r="AC4500">
        <v>-20.468399999999999</v>
      </c>
      <c r="AD4500">
        <v>-1.1212395728410001</v>
      </c>
      <c r="AE4500">
        <v>-3.3889</v>
      </c>
      <c r="AF4500">
        <v>-2.9401485932026299</v>
      </c>
      <c r="AG4500">
        <v>-1.1212395728410001</v>
      </c>
      <c r="AH4500">
        <v>20.476625316934101</v>
      </c>
      <c r="AI4500">
        <v>93.102462632607299</v>
      </c>
      <c r="AJ4500">
        <v>98.171001113150197</v>
      </c>
      <c r="AK4500">
        <v>20.716993901141201</v>
      </c>
      <c r="AL4500">
        <v>79.061705391549395</v>
      </c>
      <c r="AM4500">
        <v>87.010620101511506</v>
      </c>
      <c r="AN4500">
        <v>0.99999994989615604</v>
      </c>
    </row>
    <row r="4501" spans="1:40" x14ac:dyDescent="0.25">
      <c r="A4501" t="str">
        <f>"20190303162910669"</f>
        <v>20190303162910669</v>
      </c>
      <c r="B4501" t="str">
        <f>"1551601750656161"</f>
        <v>1551601750656161</v>
      </c>
      <c r="C4501" t="s">
        <v>40</v>
      </c>
      <c r="D4501">
        <v>5.1816120000000003</v>
      </c>
      <c r="E4501">
        <v>0.4251933</v>
      </c>
      <c r="F4501" t="s">
        <v>41</v>
      </c>
      <c r="G4501">
        <v>-382.19880000000001</v>
      </c>
      <c r="H4501" s="1">
        <v>-3.4410550000000002E-6</v>
      </c>
      <c r="I4501">
        <v>138.98439999999999</v>
      </c>
      <c r="J4501">
        <v>-361.77030000000002</v>
      </c>
      <c r="K4501">
        <v>1.121178</v>
      </c>
      <c r="L4501">
        <v>142.37719999999999</v>
      </c>
      <c r="M4501">
        <v>-0.99969479999999999</v>
      </c>
      <c r="N4501">
        <v>-1.225511E-2</v>
      </c>
      <c r="O4501">
        <v>-2.14513E-2</v>
      </c>
      <c r="P4501">
        <v>-0.98375539999999995</v>
      </c>
      <c r="Q4501">
        <v>0.17712429999999901</v>
      </c>
      <c r="R4501">
        <v>2.9198209999999999E-2</v>
      </c>
      <c r="S4501">
        <v>-3.095612</v>
      </c>
      <c r="T4501">
        <v>-0.16702990000000001</v>
      </c>
      <c r="U4501">
        <v>-0.50654600000000005</v>
      </c>
      <c r="V4501">
        <v>5.0269309999999998E-2</v>
      </c>
      <c r="W4501">
        <v>0.1891641</v>
      </c>
      <c r="X4501">
        <v>0.98065789999999997</v>
      </c>
      <c r="Y4501">
        <v>-0.14005119999999999</v>
      </c>
      <c r="Z4501">
        <v>-3.7280899999999999E-3</v>
      </c>
      <c r="AA4501">
        <v>0.9901373</v>
      </c>
      <c r="AB4501">
        <v>35</v>
      </c>
      <c r="AC4501">
        <v>-20.4284999999999</v>
      </c>
      <c r="AD4501">
        <v>-1.1211814410550001</v>
      </c>
      <c r="AE4501">
        <v>-3.39279999999999</v>
      </c>
      <c r="AF4501">
        <v>-2.9451352887356799</v>
      </c>
      <c r="AG4501">
        <v>-1.1211814410550001</v>
      </c>
      <c r="AH4501">
        <v>20.436677761317</v>
      </c>
      <c r="AI4501">
        <v>93.108124901323194</v>
      </c>
      <c r="AJ4501">
        <v>98.200453276006499</v>
      </c>
      <c r="AK4501">
        <v>20.678217225201799</v>
      </c>
      <c r="AL4501">
        <v>79.095993815719893</v>
      </c>
      <c r="AM4501">
        <v>87.065540881385601</v>
      </c>
      <c r="AN4501">
        <v>0.99999998854454697</v>
      </c>
    </row>
    <row r="4502" spans="1:40" x14ac:dyDescent="0.25">
      <c r="A4502" t="str">
        <f>"20190303162910693"</f>
        <v>20190303162910693</v>
      </c>
      <c r="B4502" t="str">
        <f>"1551601750686416"</f>
        <v>1551601750686416</v>
      </c>
      <c r="C4502" t="s">
        <v>40</v>
      </c>
      <c r="D4502">
        <v>5.2022009999999996</v>
      </c>
      <c r="E4502">
        <v>0.42509760000000002</v>
      </c>
      <c r="F4502" t="s">
        <v>41</v>
      </c>
      <c r="G4502">
        <v>-381.9074</v>
      </c>
      <c r="H4502" s="1">
        <v>-3.5512340000000001E-6</v>
      </c>
      <c r="I4502">
        <v>139.06809999999999</v>
      </c>
      <c r="J4502">
        <v>-362.14100000000002</v>
      </c>
      <c r="K4502">
        <v>1.1211009999999999</v>
      </c>
      <c r="L4502">
        <v>142.36930000000001</v>
      </c>
      <c r="M4502">
        <v>-0.99969730000000001</v>
      </c>
      <c r="N4502">
        <v>-1.2255830000000001E-2</v>
      </c>
      <c r="O4502">
        <v>-2.1336850000000001E-2</v>
      </c>
      <c r="P4502">
        <v>-0.98386340000000005</v>
      </c>
      <c r="Q4502">
        <v>0.17682779999999901</v>
      </c>
      <c r="R4502">
        <v>2.729562E-2</v>
      </c>
      <c r="S4502">
        <v>-3.0957029999999999</v>
      </c>
      <c r="T4502">
        <v>-0.17236109999999999</v>
      </c>
      <c r="U4502">
        <v>-0.50869750000000002</v>
      </c>
      <c r="V4502">
        <v>4.8290319999999998E-2</v>
      </c>
      <c r="W4502">
        <v>0.1888611</v>
      </c>
      <c r="X4502">
        <v>0.98081580000000002</v>
      </c>
      <c r="Y4502">
        <v>-0.14081569999999999</v>
      </c>
      <c r="Z4502">
        <v>-3.841704E-3</v>
      </c>
      <c r="AA4502">
        <v>0.99002840000000003</v>
      </c>
      <c r="AB4502">
        <v>35</v>
      </c>
      <c r="AC4502">
        <v>-19.766400000000001</v>
      </c>
      <c r="AD4502">
        <v>-1.1211045512340001</v>
      </c>
      <c r="AE4502">
        <v>-3.3012000000000201</v>
      </c>
      <c r="AF4502">
        <v>-2.8696830201861898</v>
      </c>
      <c r="AG4502">
        <v>-1.1211045512340001</v>
      </c>
      <c r="AH4502">
        <v>19.770468139382299</v>
      </c>
      <c r="AI4502">
        <v>93.211952222966104</v>
      </c>
      <c r="AJ4502">
        <v>98.258803219672103</v>
      </c>
      <c r="AK4502">
        <v>20.0090821004232</v>
      </c>
      <c r="AL4502">
        <v>79.113673809677707</v>
      </c>
      <c r="AM4502">
        <v>87.181326903178203</v>
      </c>
      <c r="AN4502">
        <v>1.00000005181427</v>
      </c>
    </row>
    <row r="4503" spans="1:40" x14ac:dyDescent="0.25">
      <c r="A4503" t="str">
        <f>"20190303162910709"</f>
        <v>20190303162910709</v>
      </c>
      <c r="B4503" t="str">
        <f>"1551601750696176"</f>
        <v>1551601750696176</v>
      </c>
      <c r="C4503" t="s">
        <v>40</v>
      </c>
      <c r="D4503">
        <v>5.1621269999999999</v>
      </c>
      <c r="E4503">
        <v>0.42506969999999999</v>
      </c>
      <c r="F4503" t="s">
        <v>41</v>
      </c>
      <c r="G4503">
        <v>-381.82639999999998</v>
      </c>
      <c r="H4503" s="1">
        <v>-3.5792949999999998E-6</v>
      </c>
      <c r="I4503">
        <v>139.10570000000001</v>
      </c>
      <c r="J4503">
        <v>-362.40800000000002</v>
      </c>
      <c r="K4503">
        <v>1.1210420000000001</v>
      </c>
      <c r="L4503">
        <v>142.36359999999999</v>
      </c>
      <c r="M4503">
        <v>-0.99970049999999999</v>
      </c>
      <c r="N4503">
        <v>-1.2256390000000001E-2</v>
      </c>
      <c r="O4503">
        <v>-2.118248E-2</v>
      </c>
      <c r="P4503">
        <v>-0.98376699999999995</v>
      </c>
      <c r="Q4503">
        <v>0.17751069999999999</v>
      </c>
      <c r="R4503">
        <v>2.6314799999999999E-2</v>
      </c>
      <c r="S4503">
        <v>-3.0950929999999999</v>
      </c>
      <c r="T4503">
        <v>-0.17626919999999999</v>
      </c>
      <c r="U4503">
        <v>-0.51310730000000004</v>
      </c>
      <c r="V4503">
        <v>4.7185930000000001E-2</v>
      </c>
      <c r="W4503">
        <v>0.18953629999999999</v>
      </c>
      <c r="X4503">
        <v>0.98073920000000003</v>
      </c>
      <c r="Y4503">
        <v>-0.14235999999999999</v>
      </c>
      <c r="Z4503">
        <v>-3.9634960000000004E-3</v>
      </c>
      <c r="AA4503">
        <v>0.98980699999999999</v>
      </c>
      <c r="AB4503">
        <v>35</v>
      </c>
      <c r="AC4503">
        <v>-19.418399999999899</v>
      </c>
      <c r="AD4503">
        <v>-1.121045579295</v>
      </c>
      <c r="AE4503">
        <v>-3.25789999999997</v>
      </c>
      <c r="AF4503">
        <v>-2.8366128748155202</v>
      </c>
      <c r="AG4503">
        <v>-1.121045579295</v>
      </c>
      <c r="AH4503">
        <v>19.420105073872399</v>
      </c>
      <c r="AI4503">
        <v>93.269177634801906</v>
      </c>
      <c r="AJ4503">
        <v>98.310185634581799</v>
      </c>
      <c r="AK4503">
        <v>19.658168705977399</v>
      </c>
      <c r="AL4503">
        <v>79.074275002890602</v>
      </c>
      <c r="AM4503">
        <v>87.245474179463599</v>
      </c>
      <c r="AN4503">
        <v>0.99999994971214601</v>
      </c>
    </row>
    <row r="4504" spans="1:40" x14ac:dyDescent="0.25">
      <c r="A4504" t="str">
        <f>"20190303162910726"</f>
        <v>20190303162910726</v>
      </c>
      <c r="B4504" t="str">
        <f>"1551601750716672"</f>
        <v>1551601750716672</v>
      </c>
      <c r="C4504" t="s">
        <v>40</v>
      </c>
      <c r="D4504">
        <v>5.1856210000000003</v>
      </c>
      <c r="E4504">
        <v>0.42509989999999998</v>
      </c>
      <c r="F4504" t="s">
        <v>41</v>
      </c>
      <c r="G4504">
        <v>-382.22809999999998</v>
      </c>
      <c r="H4504" s="1">
        <v>-3.4145110000000002E-6</v>
      </c>
      <c r="I4504">
        <v>139.06319999999999</v>
      </c>
      <c r="J4504">
        <v>-362.66910000000001</v>
      </c>
      <c r="K4504">
        <v>1.1209659999999999</v>
      </c>
      <c r="L4504">
        <v>142.35820000000001</v>
      </c>
      <c r="M4504">
        <v>-0.99970499999999995</v>
      </c>
      <c r="N4504">
        <v>-1.225701E-2</v>
      </c>
      <c r="O4504">
        <v>-2.0964389999999999E-2</v>
      </c>
      <c r="P4504">
        <v>-0.98354330000000001</v>
      </c>
      <c r="Q4504">
        <v>0.17908560000000001</v>
      </c>
      <c r="R4504">
        <v>2.3900939999999999E-2</v>
      </c>
      <c r="S4504">
        <v>-3.0948790000000002</v>
      </c>
      <c r="T4504">
        <v>-0.17504979999999901</v>
      </c>
      <c r="U4504">
        <v>-0.51535029999999904</v>
      </c>
      <c r="V4504">
        <v>4.4589999999999998E-2</v>
      </c>
      <c r="W4504">
        <v>0.19110170000000001</v>
      </c>
      <c r="X4504">
        <v>0.98055689999999995</v>
      </c>
      <c r="Y4504">
        <v>-0.143286</v>
      </c>
      <c r="Z4504">
        <v>-3.9853709999999997E-3</v>
      </c>
      <c r="AA4504">
        <v>0.98967329999999998</v>
      </c>
      <c r="AB4504">
        <v>35</v>
      </c>
      <c r="AC4504">
        <v>-19.558999999999902</v>
      </c>
      <c r="AD4504">
        <v>-1.1209694145110001</v>
      </c>
      <c r="AE4504">
        <v>-3.2950000000000101</v>
      </c>
      <c r="AF4504">
        <v>-2.87501945210433</v>
      </c>
      <c r="AG4504">
        <v>-1.1209694145110001</v>
      </c>
      <c r="AH4504">
        <v>19.561303991574999</v>
      </c>
      <c r="AI4504">
        <v>93.2449881423547</v>
      </c>
      <c r="AJ4504">
        <v>98.361175818922902</v>
      </c>
      <c r="AK4504">
        <v>19.803204870148001</v>
      </c>
      <c r="AL4504">
        <v>78.982914660161001</v>
      </c>
      <c r="AM4504">
        <v>87.396316364289305</v>
      </c>
      <c r="AN4504">
        <v>0.999999980990249</v>
      </c>
    </row>
    <row r="4505" spans="1:40" x14ac:dyDescent="0.25">
      <c r="A4505" t="str">
        <f>"20190303162910749"</f>
        <v>20190303162910749</v>
      </c>
      <c r="B4505" t="str">
        <f>"1551601750736193"</f>
        <v>1551601750736193</v>
      </c>
      <c r="C4505" t="s">
        <v>40</v>
      </c>
      <c r="D4505">
        <v>5.1661799999999998</v>
      </c>
      <c r="E4505">
        <v>0.42516330000000002</v>
      </c>
      <c r="F4505" t="s">
        <v>41</v>
      </c>
      <c r="G4505">
        <v>-382.75639999999999</v>
      </c>
      <c r="H4505" s="1">
        <v>-3.204309E-6</v>
      </c>
      <c r="I4505">
        <v>138.97059999999999</v>
      </c>
      <c r="J4505">
        <v>-363.03370000000001</v>
      </c>
      <c r="K4505">
        <v>1.1208400000000001</v>
      </c>
      <c r="L4505">
        <v>142.351</v>
      </c>
      <c r="M4505">
        <v>-0.99971460000000001</v>
      </c>
      <c r="N4505">
        <v>-1.225822E-2</v>
      </c>
      <c r="O4505">
        <v>-2.0503029999999998E-2</v>
      </c>
      <c r="P4505">
        <v>-0.98340450000000001</v>
      </c>
      <c r="Q4505">
        <v>0.1801307</v>
      </c>
      <c r="R4505">
        <v>2.164613E-2</v>
      </c>
      <c r="S4505">
        <v>-3.0943299999999998</v>
      </c>
      <c r="T4505">
        <v>-0.17267939999999901</v>
      </c>
      <c r="U4505">
        <v>-0.5218353</v>
      </c>
      <c r="V4505">
        <v>4.1943880000000003E-2</v>
      </c>
      <c r="W4505">
        <v>0.19213369999999999</v>
      </c>
      <c r="X4505">
        <v>0.98047200000000001</v>
      </c>
      <c r="Y4505">
        <v>-0.1457891</v>
      </c>
      <c r="Z4505">
        <v>-4.0517909999999999E-3</v>
      </c>
      <c r="AA4505">
        <v>0.98930739999999995</v>
      </c>
      <c r="AB4505">
        <v>35</v>
      </c>
      <c r="AC4505">
        <v>-19.7226999999999</v>
      </c>
      <c r="AD4505">
        <v>-1.120843204309</v>
      </c>
      <c r="AE4505">
        <v>-3.3803999999999998</v>
      </c>
      <c r="AF4505">
        <v>-2.9659780582036501</v>
      </c>
      <c r="AG4505">
        <v>-1.120843204309</v>
      </c>
      <c r="AH4505">
        <v>19.725977039233602</v>
      </c>
      <c r="AI4505">
        <v>93.216014416912998</v>
      </c>
      <c r="AJ4505">
        <v>98.550880761322702</v>
      </c>
      <c r="AK4505">
        <v>19.979176296403299</v>
      </c>
      <c r="AL4505">
        <v>78.922669198651505</v>
      </c>
      <c r="AM4505">
        <v>87.550421737172499</v>
      </c>
      <c r="AN4505">
        <v>0.99999999526457195</v>
      </c>
    </row>
    <row r="4506" spans="1:40" x14ac:dyDescent="0.25">
      <c r="A4506" t="str">
        <f>"20190303162910771"</f>
        <v>20190303162910771</v>
      </c>
      <c r="B4506" t="str">
        <f>"1551601750766448"</f>
        <v>1551601750766448</v>
      </c>
      <c r="C4506" t="s">
        <v>40</v>
      </c>
      <c r="D4506">
        <v>5.1795730000000004</v>
      </c>
      <c r="E4506">
        <v>0.44793949999999999</v>
      </c>
      <c r="F4506" t="s">
        <v>41</v>
      </c>
      <c r="G4506">
        <v>-383.33010000000002</v>
      </c>
      <c r="H4506" s="1">
        <v>-2.9723739999999998E-6</v>
      </c>
      <c r="I4506">
        <v>138.89070000000001</v>
      </c>
      <c r="J4506">
        <v>-363.3818</v>
      </c>
      <c r="K4506">
        <v>1.120692</v>
      </c>
      <c r="L4506">
        <v>142.3443</v>
      </c>
      <c r="M4506">
        <v>-0.99972709999999998</v>
      </c>
      <c r="N4506">
        <v>-1.225976E-2</v>
      </c>
      <c r="O4506">
        <v>-1.9896750000000001E-2</v>
      </c>
      <c r="P4506">
        <v>-0.98345879999999997</v>
      </c>
      <c r="Q4506">
        <v>0.1800467</v>
      </c>
      <c r="R4506">
        <v>1.9817379999999999E-2</v>
      </c>
      <c r="S4506">
        <v>-3.0935060000000001</v>
      </c>
      <c r="T4506">
        <v>-0.1708353</v>
      </c>
      <c r="U4506">
        <v>-0.52738949999999996</v>
      </c>
      <c r="V4506">
        <v>3.9589489999999998E-2</v>
      </c>
      <c r="W4506">
        <v>0.19204009999999999</v>
      </c>
      <c r="X4506">
        <v>0.98058829999999997</v>
      </c>
      <c r="Y4506">
        <v>-0.14815829999999999</v>
      </c>
      <c r="Z4506">
        <v>-4.1267489999999999E-3</v>
      </c>
      <c r="AA4506">
        <v>0.98895509999999998</v>
      </c>
      <c r="AB4506">
        <v>35</v>
      </c>
      <c r="AC4506">
        <v>-19.9483</v>
      </c>
      <c r="AD4506">
        <v>-1.1206949723739901</v>
      </c>
      <c r="AE4506">
        <v>-3.45359999999999</v>
      </c>
      <c r="AF4506">
        <v>-3.0466441863183502</v>
      </c>
      <c r="AG4506">
        <v>-1.1206949723739901</v>
      </c>
      <c r="AH4506">
        <v>19.951931476943699</v>
      </c>
      <c r="AI4506">
        <v>93.178149115403798</v>
      </c>
      <c r="AJ4506">
        <v>98.681955636291093</v>
      </c>
      <c r="AK4506">
        <v>20.214291174310102</v>
      </c>
      <c r="AL4506">
        <v>78.928134694891895</v>
      </c>
      <c r="AM4506">
        <v>87.688041506703996</v>
      </c>
      <c r="AN4506">
        <v>1.0000000709116701</v>
      </c>
    </row>
    <row r="4507" spans="1:40" x14ac:dyDescent="0.25">
      <c r="A4507" t="str">
        <f>"20190303162910793"</f>
        <v>20190303162910793</v>
      </c>
      <c r="B4507" t="str">
        <f>"1551601750785968"</f>
        <v>1551601750785968</v>
      </c>
      <c r="C4507" t="s">
        <v>40</v>
      </c>
      <c r="D4507">
        <v>5.2465469999999996</v>
      </c>
      <c r="E4507">
        <v>0.4573101</v>
      </c>
      <c r="F4507" t="s">
        <v>41</v>
      </c>
      <c r="G4507">
        <v>-387.64589999999998</v>
      </c>
      <c r="H4507" s="1">
        <v>-9.977140999999999E-7</v>
      </c>
      <c r="I4507">
        <v>139.58529999999999</v>
      </c>
      <c r="J4507">
        <v>-363.73610000000002</v>
      </c>
      <c r="K4507">
        <v>1.1205339999999999</v>
      </c>
      <c r="L4507">
        <v>142.33799999999999</v>
      </c>
      <c r="M4507">
        <v>-0.99974220000000003</v>
      </c>
      <c r="N4507">
        <v>-1.2263629999999999E-2</v>
      </c>
      <c r="O4507">
        <v>-1.9107030000000001E-2</v>
      </c>
      <c r="P4507">
        <v>-0.98357150000000004</v>
      </c>
      <c r="Q4507">
        <v>0.179537</v>
      </c>
      <c r="R4507">
        <v>1.8808490000000001E-2</v>
      </c>
      <c r="S4507">
        <v>-3.083618</v>
      </c>
      <c r="T4507">
        <v>-0.14242469999999999</v>
      </c>
      <c r="U4507">
        <v>-0.35063169999999999</v>
      </c>
      <c r="V4507">
        <v>3.787724E-2</v>
      </c>
      <c r="W4507">
        <v>0.19152440000000001</v>
      </c>
      <c r="X4507">
        <v>0.98075670000000004</v>
      </c>
      <c r="Y4507">
        <v>-9.3858689999999995E-2</v>
      </c>
      <c r="Z4507">
        <v>-2.0918590000000002E-3</v>
      </c>
      <c r="AA4507">
        <v>0.99558340000000001</v>
      </c>
      <c r="AB4507">
        <v>35</v>
      </c>
      <c r="AC4507">
        <v>-23.909799999999901</v>
      </c>
      <c r="AD4507">
        <v>-1.1205349977140999</v>
      </c>
      <c r="AE4507">
        <v>-2.7526999999999999</v>
      </c>
      <c r="AF4507">
        <v>-2.2903531816765001</v>
      </c>
      <c r="AG4507">
        <v>-1.1205349977140999</v>
      </c>
      <c r="AH4507">
        <v>23.906215084523499</v>
      </c>
      <c r="AI4507">
        <v>92.671396360156706</v>
      </c>
      <c r="AJ4507">
        <v>95.472562920441803</v>
      </c>
      <c r="AK4507">
        <v>24.041806006317799</v>
      </c>
      <c r="AL4507">
        <v>78.958240101601604</v>
      </c>
      <c r="AM4507">
        <v>87.788311846144396</v>
      </c>
      <c r="AN4507">
        <v>0.99999999285013297</v>
      </c>
    </row>
    <row r="4508" spans="1:40" x14ac:dyDescent="0.25">
      <c r="A4508" t="str">
        <f>"20190303162910817"</f>
        <v>20190303162910817</v>
      </c>
      <c r="B4508" t="str">
        <f>"1551601750806465"</f>
        <v>1551601750806465</v>
      </c>
      <c r="C4508" t="s">
        <v>40</v>
      </c>
      <c r="D4508">
        <v>5.1923469999999998</v>
      </c>
      <c r="E4508">
        <v>0.46063009999999899</v>
      </c>
      <c r="F4508" t="s">
        <v>41</v>
      </c>
      <c r="G4508">
        <v>-392.70960000000002</v>
      </c>
      <c r="H4508" s="1">
        <v>-3.1352550000000001E-6</v>
      </c>
      <c r="I4508">
        <v>139.7116</v>
      </c>
      <c r="J4508">
        <v>-364.09629999999999</v>
      </c>
      <c r="K4508">
        <v>1.120385</v>
      </c>
      <c r="L4508">
        <v>142.33199999999999</v>
      </c>
      <c r="M4508">
        <v>-0.99976039999999999</v>
      </c>
      <c r="N4508">
        <v>-1.227236E-2</v>
      </c>
      <c r="O4508">
        <v>-1.812861E-2</v>
      </c>
      <c r="P4508">
        <v>-0.98365979999999997</v>
      </c>
      <c r="Q4508">
        <v>0.17897370000000001</v>
      </c>
      <c r="R4508">
        <v>1.95468E-2</v>
      </c>
      <c r="S4508">
        <v>-3.0771790000000001</v>
      </c>
      <c r="T4508">
        <v>-0.1190085</v>
      </c>
      <c r="U4508">
        <v>-0.27893069999999998</v>
      </c>
      <c r="V4508">
        <v>3.772375E-2</v>
      </c>
      <c r="W4508">
        <v>0.1909575</v>
      </c>
      <c r="X4508">
        <v>0.9808732</v>
      </c>
      <c r="Y4508">
        <v>-7.2139729999999999E-2</v>
      </c>
      <c r="Z4508">
        <v>-1.358199E-3</v>
      </c>
      <c r="AA4508">
        <v>0.99739359999999999</v>
      </c>
      <c r="AB4508">
        <v>35</v>
      </c>
      <c r="AC4508">
        <v>-28.613299999999999</v>
      </c>
      <c r="AD4508">
        <v>-1.120388135255</v>
      </c>
      <c r="AE4508">
        <v>-2.6203999999999801</v>
      </c>
      <c r="AF4508">
        <v>-2.0980209645200198</v>
      </c>
      <c r="AG4508">
        <v>-1.120388135255</v>
      </c>
      <c r="AH4508">
        <v>28.612600652456599</v>
      </c>
      <c r="AI4508">
        <v>92.2363964195969</v>
      </c>
      <c r="AJ4508">
        <v>94.193711903932297</v>
      </c>
      <c r="AK4508">
        <v>28.711284848263901</v>
      </c>
      <c r="AL4508">
        <v>78.991332390161205</v>
      </c>
      <c r="AM4508">
        <v>87.797526792093606</v>
      </c>
      <c r="AN4508">
        <v>1.00000004129927</v>
      </c>
    </row>
    <row r="4509" spans="1:40" x14ac:dyDescent="0.25">
      <c r="A4509" t="str">
        <f>"20190303162910837"</f>
        <v>20190303162910837</v>
      </c>
      <c r="B4509" t="str">
        <f>"1551601750825984"</f>
        <v>1551601750825984</v>
      </c>
      <c r="C4509" t="s">
        <v>40</v>
      </c>
      <c r="D4509">
        <v>5.2198510000000002</v>
      </c>
      <c r="E4509">
        <v>0.46181509999999998</v>
      </c>
      <c r="F4509" t="s">
        <v>41</v>
      </c>
      <c r="G4509">
        <v>-396.6773</v>
      </c>
      <c r="H4509" s="1">
        <v>-1.4226419999999901E-6</v>
      </c>
      <c r="I4509">
        <v>139.6722</v>
      </c>
      <c r="J4509">
        <v>-364.4221</v>
      </c>
      <c r="K4509">
        <v>1.120255</v>
      </c>
      <c r="L4509">
        <v>142.3271</v>
      </c>
      <c r="M4509">
        <v>-0.99977830000000001</v>
      </c>
      <c r="N4509">
        <v>-1.2282349999999999E-2</v>
      </c>
      <c r="O4509">
        <v>-1.7102409999999998E-2</v>
      </c>
      <c r="P4509">
        <v>-0.98380480000000003</v>
      </c>
      <c r="Q4509">
        <v>0.17811099999999999</v>
      </c>
      <c r="R4509">
        <v>2.0116169999999999E-2</v>
      </c>
      <c r="S4509">
        <v>-3.074036</v>
      </c>
      <c r="T4509">
        <v>-0.1057091</v>
      </c>
      <c r="U4509">
        <v>-0.250946</v>
      </c>
      <c r="V4509">
        <v>3.7342779999999999E-2</v>
      </c>
      <c r="W4509">
        <v>0.19009619999999999</v>
      </c>
      <c r="X4509">
        <v>0.98105500000000001</v>
      </c>
      <c r="Y4509">
        <v>-6.4257380000000003E-2</v>
      </c>
      <c r="Z4509">
        <v>-1.1209989999999999E-3</v>
      </c>
      <c r="AA4509">
        <v>0.99793270000000001</v>
      </c>
      <c r="AB4509">
        <v>35</v>
      </c>
      <c r="AC4509">
        <v>-32.255200000000002</v>
      </c>
      <c r="AD4509">
        <v>-1.120256422642</v>
      </c>
      <c r="AE4509">
        <v>-2.6548999999999898</v>
      </c>
      <c r="AF4509">
        <v>-2.1003119326381299</v>
      </c>
      <c r="AG4509">
        <v>-1.120256422642</v>
      </c>
      <c r="AH4509">
        <v>32.257242064284902</v>
      </c>
      <c r="AI4509">
        <v>91.984816779818203</v>
      </c>
      <c r="AJ4509">
        <v>93.725345829176703</v>
      </c>
      <c r="AK4509">
        <v>32.344952469600699</v>
      </c>
      <c r="AL4509">
        <v>79.041601413999302</v>
      </c>
      <c r="AM4509">
        <v>87.820151503038304</v>
      </c>
      <c r="AN4509">
        <v>0.99999998074878405</v>
      </c>
    </row>
    <row r="4510" spans="1:40" x14ac:dyDescent="0.25">
      <c r="A4510" t="str">
        <f>"20190303162910859"</f>
        <v>20190303162910859</v>
      </c>
      <c r="B4510" t="str">
        <f>"1551601750846481"</f>
        <v>1551601750846481</v>
      </c>
      <c r="C4510" t="s">
        <v>40</v>
      </c>
      <c r="D4510">
        <v>5.1995120000000004</v>
      </c>
      <c r="E4510">
        <v>0.4624067</v>
      </c>
      <c r="F4510" t="s">
        <v>41</v>
      </c>
      <c r="G4510">
        <v>-396.40989999999999</v>
      </c>
      <c r="H4510" s="1">
        <v>-1.5766610000000001E-6</v>
      </c>
      <c r="I4510">
        <v>139.81979999999999</v>
      </c>
      <c r="J4510">
        <v>-364.77289999999999</v>
      </c>
      <c r="K4510">
        <v>1.120136</v>
      </c>
      <c r="L4510">
        <v>142.32220000000001</v>
      </c>
      <c r="M4510">
        <v>-0.99979850000000003</v>
      </c>
      <c r="N4510">
        <v>-1.2293139999999999E-2</v>
      </c>
      <c r="O4510">
        <v>-1.5876069999999999E-2</v>
      </c>
      <c r="P4510">
        <v>-0.98408779999999996</v>
      </c>
      <c r="Q4510">
        <v>0.17637549999999999</v>
      </c>
      <c r="R4510">
        <v>2.152482E-2</v>
      </c>
      <c r="S4510">
        <v>-3.0737610000000002</v>
      </c>
      <c r="T4510">
        <v>-0.10764749999999999</v>
      </c>
      <c r="U4510">
        <v>-0.240921</v>
      </c>
      <c r="V4510">
        <v>3.7600550000000003E-2</v>
      </c>
      <c r="W4510">
        <v>0.18836430000000001</v>
      </c>
      <c r="X4510">
        <v>0.98137920000000001</v>
      </c>
      <c r="Y4510">
        <v>-6.2254419999999998E-2</v>
      </c>
      <c r="Z4510">
        <v>-1.1115229999999999E-3</v>
      </c>
      <c r="AA4510">
        <v>0.99805969999999999</v>
      </c>
      <c r="AB4510">
        <v>35</v>
      </c>
      <c r="AC4510">
        <v>-31.636999999999901</v>
      </c>
      <c r="AD4510">
        <v>-1.120137576661</v>
      </c>
      <c r="AE4510">
        <v>-2.5024000000000202</v>
      </c>
      <c r="AF4510">
        <v>-1.9972872455683099</v>
      </c>
      <c r="AG4510">
        <v>-1.120137576661</v>
      </c>
      <c r="AH4510">
        <v>31.633335005253901</v>
      </c>
      <c r="AI4510">
        <v>92.023971464323793</v>
      </c>
      <c r="AJ4510">
        <v>93.612784615139603</v>
      </c>
      <c r="AK4510">
        <v>31.7161118059351</v>
      </c>
      <c r="AL4510">
        <v>79.142658261703701</v>
      </c>
      <c r="AM4510">
        <v>87.805843469263294</v>
      </c>
      <c r="AN4510">
        <v>1.00000002253371</v>
      </c>
    </row>
    <row r="4511" spans="1:40" x14ac:dyDescent="0.25">
      <c r="A4511" t="str">
        <f>"20190303162910883"</f>
        <v>20190303162910883</v>
      </c>
      <c r="B4511" t="str">
        <f>"1551601750875760"</f>
        <v>1551601750875760</v>
      </c>
      <c r="C4511" t="s">
        <v>40</v>
      </c>
      <c r="D4511">
        <v>5.0953299999999997</v>
      </c>
      <c r="E4511">
        <v>0.46311799999999997</v>
      </c>
      <c r="F4511" t="s">
        <v>41</v>
      </c>
      <c r="G4511">
        <v>-396.34620000000001</v>
      </c>
      <c r="H4511" s="1">
        <v>-1.634162E-6</v>
      </c>
      <c r="I4511">
        <v>139.9333</v>
      </c>
      <c r="J4511">
        <v>-365.14679999999998</v>
      </c>
      <c r="K4511">
        <v>1.1200220000000001</v>
      </c>
      <c r="L4511">
        <v>142.3176</v>
      </c>
      <c r="M4511">
        <v>-0.99981960000000003</v>
      </c>
      <c r="N4511">
        <v>-1.230377E-2</v>
      </c>
      <c r="O4511">
        <v>-1.4468969999999999E-2</v>
      </c>
      <c r="P4511">
        <v>-0.98428640000000001</v>
      </c>
      <c r="Q4511">
        <v>0.17493539999999999</v>
      </c>
      <c r="R4511">
        <v>2.4039499999999998E-2</v>
      </c>
      <c r="S4511">
        <v>-3.0731510000000002</v>
      </c>
      <c r="T4511">
        <v>-0.109027399999999</v>
      </c>
      <c r="U4511">
        <v>-0.23251340000000001</v>
      </c>
      <c r="V4511">
        <v>3.8777989999999998E-2</v>
      </c>
      <c r="W4511">
        <v>0.1869246</v>
      </c>
      <c r="X4511">
        <v>0.98160860000000005</v>
      </c>
      <c r="Y4511">
        <v>-6.0959720000000002E-2</v>
      </c>
      <c r="Z4511">
        <v>-1.1206129999999999E-3</v>
      </c>
      <c r="AA4511">
        <v>0.99813960000000002</v>
      </c>
      <c r="AB4511">
        <v>35</v>
      </c>
      <c r="AC4511">
        <v>-31.199400000000001</v>
      </c>
      <c r="AD4511">
        <v>-1.12002363416199</v>
      </c>
      <c r="AE4511">
        <v>-2.3842999999999899</v>
      </c>
      <c r="AF4511">
        <v>-1.9301200476108999</v>
      </c>
      <c r="AG4511">
        <v>-1.12002363416199</v>
      </c>
      <c r="AH4511">
        <v>31.190671540352302</v>
      </c>
      <c r="AI4511">
        <v>92.052623557669605</v>
      </c>
      <c r="AJ4511">
        <v>93.541023416952896</v>
      </c>
      <c r="AK4511">
        <v>31.270398262213</v>
      </c>
      <c r="AL4511">
        <v>79.226638402757601</v>
      </c>
      <c r="AM4511">
        <v>87.737733296414802</v>
      </c>
      <c r="AN4511">
        <v>0.99999999109378002</v>
      </c>
    </row>
    <row r="4512" spans="1:40" x14ac:dyDescent="0.25">
      <c r="A4512" t="str">
        <f>"20190303162910905"</f>
        <v>20190303162910905</v>
      </c>
      <c r="B4512" t="str">
        <f>"1551601750896257"</f>
        <v>1551601750896257</v>
      </c>
      <c r="C4512" t="s">
        <v>40</v>
      </c>
      <c r="D4512">
        <v>5.194636</v>
      </c>
      <c r="E4512">
        <v>0.46357680000000001</v>
      </c>
      <c r="F4512" t="s">
        <v>41</v>
      </c>
      <c r="G4512">
        <v>-397.09039999999999</v>
      </c>
      <c r="H4512" s="1">
        <v>-1.3425719999999999E-6</v>
      </c>
      <c r="I4512">
        <v>140.03729999999999</v>
      </c>
      <c r="J4512">
        <v>-365.4957</v>
      </c>
      <c r="K4512">
        <v>1.1199460000000001</v>
      </c>
      <c r="L4512">
        <v>142.31389999999999</v>
      </c>
      <c r="M4512">
        <v>-0.99983849999999996</v>
      </c>
      <c r="N4512">
        <v>-1.231283E-2</v>
      </c>
      <c r="O4512">
        <v>-1.30887E-2</v>
      </c>
      <c r="P4512">
        <v>-0.98428599999999999</v>
      </c>
      <c r="Q4512">
        <v>0.1744261</v>
      </c>
      <c r="R4512">
        <v>2.750317E-2</v>
      </c>
      <c r="S4512">
        <v>-3.0723880000000001</v>
      </c>
      <c r="T4512">
        <v>-0.1077256</v>
      </c>
      <c r="U4512">
        <v>-0.2193146</v>
      </c>
      <c r="V4512">
        <v>4.0915609999999998E-2</v>
      </c>
      <c r="W4512">
        <v>0.1864111</v>
      </c>
      <c r="X4512">
        <v>0.98161949999999998</v>
      </c>
      <c r="Y4512">
        <v>-5.8094020000000003E-2</v>
      </c>
      <c r="Z4512">
        <v>-1.0779369999999999E-3</v>
      </c>
      <c r="AA4512">
        <v>0.99831049999999999</v>
      </c>
      <c r="AB4512">
        <v>35</v>
      </c>
      <c r="AC4512">
        <v>-31.5946999999999</v>
      </c>
      <c r="AD4512">
        <v>-1.1199473425719999</v>
      </c>
      <c r="AE4512">
        <v>-2.2766000000000002</v>
      </c>
      <c r="AF4512">
        <v>-1.8605143596957701</v>
      </c>
      <c r="AG4512">
        <v>-1.1199473425719999</v>
      </c>
      <c r="AH4512">
        <v>31.582314571295701</v>
      </c>
      <c r="AI4512">
        <v>92.027415146914507</v>
      </c>
      <c r="AJ4512">
        <v>93.371398330597998</v>
      </c>
      <c r="AK4512">
        <v>31.656885339733702</v>
      </c>
      <c r="AL4512">
        <v>79.256586425399604</v>
      </c>
      <c r="AM4512">
        <v>87.613193757335395</v>
      </c>
      <c r="AN4512">
        <v>1.00000001406256</v>
      </c>
    </row>
    <row r="4513" spans="1:40" x14ac:dyDescent="0.25">
      <c r="A4513" t="str">
        <f>"20190303162910925"</f>
        <v>20190303162910925</v>
      </c>
      <c r="B4513" t="str">
        <f>"1551601750915777"</f>
        <v>1551601750915777</v>
      </c>
      <c r="C4513" t="s">
        <v>40</v>
      </c>
      <c r="D4513">
        <v>5.0686450000000001</v>
      </c>
      <c r="E4513">
        <v>0.4639856</v>
      </c>
      <c r="F4513" t="s">
        <v>41</v>
      </c>
      <c r="G4513">
        <v>-398.28489999999999</v>
      </c>
      <c r="H4513" s="1">
        <v>-8.5380219999999896E-7</v>
      </c>
      <c r="I4513">
        <v>140.12620000000001</v>
      </c>
      <c r="J4513">
        <v>-365.8279</v>
      </c>
      <c r="K4513">
        <v>1.1198859999999999</v>
      </c>
      <c r="L4513">
        <v>142.3108</v>
      </c>
      <c r="M4513">
        <v>-0.9998553</v>
      </c>
      <c r="N4513">
        <v>-1.2320309999999999E-2</v>
      </c>
      <c r="O4513">
        <v>-1.1741710000000001E-2</v>
      </c>
      <c r="P4513">
        <v>-0.98416820000000005</v>
      </c>
      <c r="Q4513">
        <v>0.1744986</v>
      </c>
      <c r="R4513">
        <v>3.1043709999999999E-2</v>
      </c>
      <c r="S4513">
        <v>-3.0722049999999999</v>
      </c>
      <c r="T4513">
        <v>-0.10493429999999999</v>
      </c>
      <c r="U4513">
        <v>-0.2049713</v>
      </c>
      <c r="V4513">
        <v>4.3153509999999999E-2</v>
      </c>
      <c r="W4513">
        <v>0.18647759999999999</v>
      </c>
      <c r="X4513">
        <v>0.98151100000000002</v>
      </c>
      <c r="Y4513">
        <v>-5.4808290000000003E-2</v>
      </c>
      <c r="Z4513">
        <v>-1.0169090000000001E-3</v>
      </c>
      <c r="AA4513">
        <v>0.99849639999999995</v>
      </c>
      <c r="AB4513">
        <v>35</v>
      </c>
      <c r="AC4513">
        <v>-32.456999999999901</v>
      </c>
      <c r="AD4513">
        <v>-1.1198868538022</v>
      </c>
      <c r="AE4513">
        <v>-2.1845999999999801</v>
      </c>
      <c r="AF4513">
        <v>-1.8011851728439801</v>
      </c>
      <c r="AG4513">
        <v>-1.1198868538022</v>
      </c>
      <c r="AH4513">
        <v>32.441966909741701</v>
      </c>
      <c r="AI4513">
        <v>91.974010196641103</v>
      </c>
      <c r="AJ4513">
        <v>93.177811824905405</v>
      </c>
      <c r="AK4513">
        <v>32.511223163162697</v>
      </c>
      <c r="AL4513">
        <v>79.252707904906799</v>
      </c>
      <c r="AM4513">
        <v>87.482531852065307</v>
      </c>
      <c r="AN4513">
        <v>0.99999998192403905</v>
      </c>
    </row>
    <row r="4514" spans="1:40" x14ac:dyDescent="0.25">
      <c r="A4514" t="str">
        <f>"20190303162910949"</f>
        <v>20190303162910949</v>
      </c>
      <c r="B4514" t="str">
        <f>"1551601750936273"</f>
        <v>1551601750936273</v>
      </c>
      <c r="C4514" t="s">
        <v>40</v>
      </c>
      <c r="D4514">
        <v>5.243989</v>
      </c>
      <c r="E4514">
        <v>0.46437060000000002</v>
      </c>
      <c r="F4514" t="s">
        <v>41</v>
      </c>
      <c r="G4514">
        <v>-399.90679999999998</v>
      </c>
      <c r="H4514" s="1">
        <v>-1.784261E-7</v>
      </c>
      <c r="I4514">
        <v>140.2029</v>
      </c>
      <c r="J4514">
        <v>-366.19760000000002</v>
      </c>
      <c r="K4514">
        <v>1.1198459999999999</v>
      </c>
      <c r="L4514">
        <v>142.30799999999999</v>
      </c>
      <c r="M4514">
        <v>-0.99987190000000004</v>
      </c>
      <c r="N4514">
        <v>-1.232799E-2</v>
      </c>
      <c r="O4514">
        <v>-1.022139E-2</v>
      </c>
      <c r="P4514">
        <v>-0.98418680000000003</v>
      </c>
      <c r="Q4514">
        <v>0.1740129</v>
      </c>
      <c r="R4514">
        <v>3.3105120000000002E-2</v>
      </c>
      <c r="S4514">
        <v>-3.072174</v>
      </c>
      <c r="T4514">
        <v>-0.1009567</v>
      </c>
      <c r="U4514">
        <v>-0.19001770000000001</v>
      </c>
      <c r="V4514">
        <v>4.3737430000000001E-2</v>
      </c>
      <c r="W4514">
        <v>0.1859942</v>
      </c>
      <c r="X4514">
        <v>0.98157689999999997</v>
      </c>
      <c r="Y4514">
        <v>-5.1491389999999998E-2</v>
      </c>
      <c r="Z4514">
        <v>-9.5327020000000005E-4</v>
      </c>
      <c r="AA4514">
        <v>0.99867300000000003</v>
      </c>
      <c r="AB4514">
        <v>35</v>
      </c>
      <c r="AC4514">
        <v>-33.709199999999903</v>
      </c>
      <c r="AD4514">
        <v>-1.11984617842609</v>
      </c>
      <c r="AE4514">
        <v>-2.10509999999999</v>
      </c>
      <c r="AF4514">
        <v>-1.7584758435566801</v>
      </c>
      <c r="AG4514">
        <v>-1.11984617842609</v>
      </c>
      <c r="AH4514">
        <v>33.691918797428599</v>
      </c>
      <c r="AI4514">
        <v>91.901100676215194</v>
      </c>
      <c r="AJ4514">
        <v>92.987716642569296</v>
      </c>
      <c r="AK4514">
        <v>33.756357697598702</v>
      </c>
      <c r="AL4514">
        <v>79.280898149198293</v>
      </c>
      <c r="AM4514">
        <v>87.4486832055467</v>
      </c>
      <c r="AN4514">
        <v>1.0000000079151199</v>
      </c>
    </row>
    <row r="4515" spans="1:40" x14ac:dyDescent="0.25">
      <c r="A4515" t="str">
        <f>"20190303162910972"</f>
        <v>20190303162910972</v>
      </c>
      <c r="B4515" t="str">
        <f>"1551601750966529"</f>
        <v>1551601750966529</v>
      </c>
      <c r="C4515" t="s">
        <v>40</v>
      </c>
      <c r="D4515">
        <v>5.175961</v>
      </c>
      <c r="E4515">
        <v>0.46478249999999999</v>
      </c>
      <c r="F4515" t="s">
        <v>56</v>
      </c>
      <c r="G4515">
        <v>-401.40589999999997</v>
      </c>
      <c r="H4515" s="1">
        <v>-6.2525029999999997E-6</v>
      </c>
      <c r="I4515">
        <v>140.25630000000001</v>
      </c>
      <c r="J4515">
        <v>-366.55720000000002</v>
      </c>
      <c r="K4515">
        <v>1.1198170000000001</v>
      </c>
      <c r="L4515">
        <v>142.3057</v>
      </c>
      <c r="M4515">
        <v>-0.99988589999999999</v>
      </c>
      <c r="N4515">
        <v>-1.233446E-2</v>
      </c>
      <c r="O4515">
        <v>-8.7360179999999999E-3</v>
      </c>
      <c r="P4515">
        <v>-0.98416230000000005</v>
      </c>
      <c r="Q4515">
        <v>0.17392949999999999</v>
      </c>
      <c r="R4515">
        <v>3.4254680000000003E-2</v>
      </c>
      <c r="S4515">
        <v>-3.0715330000000001</v>
      </c>
      <c r="T4515">
        <v>-9.7694749999999997E-2</v>
      </c>
      <c r="U4515">
        <v>-0.17898559999999999</v>
      </c>
      <c r="V4515">
        <v>4.3438829999999998E-2</v>
      </c>
      <c r="W4515">
        <v>0.18591489999999999</v>
      </c>
      <c r="X4515">
        <v>0.98160519999999996</v>
      </c>
      <c r="Y4515">
        <v>-4.9416660000000001E-2</v>
      </c>
      <c r="Z4515">
        <v>-9.2028379999999999E-4</v>
      </c>
      <c r="AA4515">
        <v>0.99877780000000005</v>
      </c>
      <c r="AB4515">
        <v>35</v>
      </c>
      <c r="AC4515">
        <v>-34.848699999999901</v>
      </c>
      <c r="AD4515">
        <v>-1.1198232525030001</v>
      </c>
      <c r="AE4515">
        <v>-2.0493999999999901</v>
      </c>
      <c r="AF4515">
        <v>-1.7430661324252801</v>
      </c>
      <c r="AG4515">
        <v>-1.1198232525030001</v>
      </c>
      <c r="AH4515">
        <v>34.829434537166101</v>
      </c>
      <c r="AI4515">
        <v>91.839218388454498</v>
      </c>
      <c r="AJ4515">
        <v>92.865021538741303</v>
      </c>
      <c r="AK4515">
        <v>34.890998750932802</v>
      </c>
      <c r="AL4515">
        <v>79.285522547130299</v>
      </c>
      <c r="AM4515">
        <v>87.466151489446602</v>
      </c>
      <c r="AN4515">
        <v>1.0000000253304</v>
      </c>
    </row>
    <row r="4516" spans="1:40" x14ac:dyDescent="0.25">
      <c r="A4516" t="str">
        <f>"20190303162910994"</f>
        <v>20190303162910994</v>
      </c>
      <c r="B4516" t="str">
        <f>"1551601750986481"</f>
        <v>1551601750986481</v>
      </c>
      <c r="C4516" t="s">
        <v>40</v>
      </c>
      <c r="D4516">
        <v>5.1746210000000001</v>
      </c>
      <c r="E4516">
        <v>0.46496680000000001</v>
      </c>
      <c r="F4516" t="s">
        <v>56</v>
      </c>
      <c r="G4516">
        <v>-403.91640000000001</v>
      </c>
      <c r="H4516" s="1">
        <v>-7.3573879999999997E-6</v>
      </c>
      <c r="I4516">
        <v>140.23580000000001</v>
      </c>
      <c r="J4516">
        <v>-366.90390000000002</v>
      </c>
      <c r="K4516">
        <v>1.119804</v>
      </c>
      <c r="L4516">
        <v>142.304</v>
      </c>
      <c r="M4516">
        <v>-0.99989720000000004</v>
      </c>
      <c r="N4516">
        <v>-1.234002E-2</v>
      </c>
      <c r="O4516">
        <v>-7.3049759999999899E-3</v>
      </c>
      <c r="P4516">
        <v>-0.98393549999999996</v>
      </c>
      <c r="Q4516">
        <v>0.17518889999999901</v>
      </c>
      <c r="R4516">
        <v>3.435121E-2</v>
      </c>
      <c r="S4516">
        <v>-3.0704959999999999</v>
      </c>
      <c r="T4516">
        <v>-9.2036599999999996E-2</v>
      </c>
      <c r="U4516">
        <v>-0.1701202</v>
      </c>
      <c r="V4516">
        <v>4.213981E-2</v>
      </c>
      <c r="W4516">
        <v>0.18717980000000001</v>
      </c>
      <c r="X4516">
        <v>0.9814214</v>
      </c>
      <c r="Y4516">
        <v>-4.7994929999999998E-2</v>
      </c>
      <c r="Z4516">
        <v>-8.8639860000000003E-4</v>
      </c>
      <c r="AA4516">
        <v>0.99884720000000005</v>
      </c>
      <c r="AB4516">
        <v>35</v>
      </c>
      <c r="AC4516">
        <v>-37.012499999999903</v>
      </c>
      <c r="AD4516">
        <v>-1.119811357388</v>
      </c>
      <c r="AE4516">
        <v>-2.0681999999999898</v>
      </c>
      <c r="AF4516">
        <v>-1.79610982956473</v>
      </c>
      <c r="AG4516">
        <v>-1.119811357388</v>
      </c>
      <c r="AH4516">
        <v>36.992865131772298</v>
      </c>
      <c r="AI4516">
        <v>91.731832742165594</v>
      </c>
      <c r="AJ4516">
        <v>92.779691730858204</v>
      </c>
      <c r="AK4516">
        <v>37.053367710013703</v>
      </c>
      <c r="AL4516">
        <v>79.211753933369906</v>
      </c>
      <c r="AM4516">
        <v>87.541370988401397</v>
      </c>
      <c r="AN4516">
        <v>1.00000000274641</v>
      </c>
    </row>
    <row r="4517" spans="1:40" x14ac:dyDescent="0.25">
      <c r="A4517" t="str">
        <f>"20190303162911013"</f>
        <v>20190303162911013</v>
      </c>
      <c r="B4517" t="str">
        <f>"1551601751006000"</f>
        <v>1551601751006000</v>
      </c>
      <c r="C4517" t="s">
        <v>40</v>
      </c>
      <c r="D4517">
        <v>5.2953839999999897</v>
      </c>
      <c r="E4517">
        <v>0.46510180000000001</v>
      </c>
      <c r="F4517" t="s">
        <v>56</v>
      </c>
      <c r="G4517">
        <v>-407.66419999999999</v>
      </c>
      <c r="H4517" s="1">
        <v>-9.4422280000000008E-6</v>
      </c>
      <c r="I4517">
        <v>140.08529999999999</v>
      </c>
      <c r="J4517">
        <v>-367.21140000000003</v>
      </c>
      <c r="K4517">
        <v>1.119793</v>
      </c>
      <c r="L4517">
        <v>142.30289999999999</v>
      </c>
      <c r="M4517">
        <v>-0.99990559999999995</v>
      </c>
      <c r="N4517">
        <v>-1.23445E-2</v>
      </c>
      <c r="O4517">
        <v>-6.0389869999999896E-3</v>
      </c>
      <c r="P4517">
        <v>-0.98376039999999998</v>
      </c>
      <c r="Q4517">
        <v>0.1761412</v>
      </c>
      <c r="R4517">
        <v>3.4497069999999998E-2</v>
      </c>
      <c r="S4517">
        <v>-3.069855</v>
      </c>
      <c r="T4517">
        <v>-8.4338430000000006E-2</v>
      </c>
      <c r="U4517">
        <v>-0.167099</v>
      </c>
      <c r="V4517">
        <v>4.1049500000000003E-2</v>
      </c>
      <c r="W4517">
        <v>0.18813669999999999</v>
      </c>
      <c r="X4517">
        <v>0.98128459999999995</v>
      </c>
      <c r="Y4517">
        <v>-4.8294589999999998E-2</v>
      </c>
      <c r="Z4517">
        <v>-8.6992850000000002E-4</v>
      </c>
      <c r="AA4517">
        <v>0.99883279999999997</v>
      </c>
      <c r="AB4517">
        <v>35</v>
      </c>
      <c r="AC4517">
        <v>-40.452799999999897</v>
      </c>
      <c r="AD4517">
        <v>-1.119802442228</v>
      </c>
      <c r="AE4517">
        <v>-2.2176</v>
      </c>
      <c r="AF4517">
        <v>-1.9717406430675199</v>
      </c>
      <c r="AG4517">
        <v>-1.119802442228</v>
      </c>
      <c r="AH4517">
        <v>40.434564081872203</v>
      </c>
      <c r="AI4517">
        <v>91.584472862640396</v>
      </c>
      <c r="AJ4517">
        <v>92.791745167758705</v>
      </c>
      <c r="AK4517">
        <v>40.498094907837</v>
      </c>
      <c r="AL4517">
        <v>79.155935629857595</v>
      </c>
      <c r="AM4517">
        <v>87.604576083113798</v>
      </c>
      <c r="AN4517">
        <v>0.99999997276714903</v>
      </c>
    </row>
    <row r="4518" spans="1:40" x14ac:dyDescent="0.25">
      <c r="A4518" t="str">
        <f>"20190303162911026"</f>
        <v>20190303162911026</v>
      </c>
      <c r="B4518" t="str">
        <f>"1551601751016736"</f>
        <v>1551601751016736</v>
      </c>
      <c r="C4518" t="s">
        <v>40</v>
      </c>
      <c r="D4518">
        <v>5.2371670000000003</v>
      </c>
      <c r="E4518">
        <v>0.46519120000000003</v>
      </c>
      <c r="F4518" t="s">
        <v>56</v>
      </c>
      <c r="G4518">
        <v>-411.10680000000002</v>
      </c>
      <c r="H4518" s="1">
        <v>-1.0692979999999999E-5</v>
      </c>
      <c r="I4518">
        <v>139.9486</v>
      </c>
      <c r="J4518">
        <v>-367.41930000000002</v>
      </c>
      <c r="K4518">
        <v>1.119785</v>
      </c>
      <c r="L4518">
        <v>142.30240000000001</v>
      </c>
      <c r="M4518">
        <v>-0.99991050000000004</v>
      </c>
      <c r="N4518">
        <v>-1.23473E-2</v>
      </c>
      <c r="O4518">
        <v>-5.1852740000000001E-3</v>
      </c>
      <c r="P4518">
        <v>-0.98368420000000001</v>
      </c>
      <c r="Q4518">
        <v>0.17683289999999999</v>
      </c>
      <c r="R4518">
        <v>3.3101999999999999E-2</v>
      </c>
      <c r="S4518">
        <v>-3.0693359999999998</v>
      </c>
      <c r="T4518">
        <v>-7.8300830000000002E-2</v>
      </c>
      <c r="U4518">
        <v>-0.1646271</v>
      </c>
      <c r="V4518">
        <v>3.8820510000000003E-2</v>
      </c>
      <c r="W4518">
        <v>0.1888368</v>
      </c>
      <c r="X4518">
        <v>0.98124089999999997</v>
      </c>
      <c r="Y4518">
        <v>-4.8357270000000001E-2</v>
      </c>
      <c r="Z4518">
        <v>-8.4692820000000001E-4</v>
      </c>
      <c r="AA4518">
        <v>0.99882969999999904</v>
      </c>
      <c r="AB4518">
        <v>35</v>
      </c>
      <c r="AC4518">
        <v>-43.6875</v>
      </c>
      <c r="AD4518">
        <v>-1.1197956929799999</v>
      </c>
      <c r="AE4518">
        <v>-2.3538000000000001</v>
      </c>
      <c r="AF4518">
        <v>-2.12582684476078</v>
      </c>
      <c r="AG4518">
        <v>-1.1197956929799999</v>
      </c>
      <c r="AH4518">
        <v>43.670510282475</v>
      </c>
      <c r="AI4518">
        <v>91.467115407832495</v>
      </c>
      <c r="AJ4518">
        <v>92.7868883267261</v>
      </c>
      <c r="AK4518">
        <v>43.736558512298203</v>
      </c>
      <c r="AL4518">
        <v>79.115091439231506</v>
      </c>
      <c r="AM4518">
        <v>87.734407523719895</v>
      </c>
      <c r="AN4518">
        <v>1.00000003643185</v>
      </c>
    </row>
    <row r="4519" spans="1:40" x14ac:dyDescent="0.25">
      <c r="A4519" t="str">
        <f>"20190303162911044"</f>
        <v>20190303162911044</v>
      </c>
      <c r="B4519" t="str">
        <f>"1551601751036256"</f>
        <v>1551601751036256</v>
      </c>
      <c r="C4519" t="s">
        <v>40</v>
      </c>
      <c r="D4519">
        <v>5.233555</v>
      </c>
      <c r="E4519">
        <v>0.46542169999999999</v>
      </c>
      <c r="F4519" t="s">
        <v>56</v>
      </c>
      <c r="G4519">
        <v>-412.97230000000002</v>
      </c>
      <c r="H4519" s="1">
        <v>-1.048616E-5</v>
      </c>
      <c r="I4519">
        <v>139.8262</v>
      </c>
      <c r="J4519">
        <v>-367.69060000000002</v>
      </c>
      <c r="K4519">
        <v>1.119775</v>
      </c>
      <c r="L4519">
        <v>142.30199999999999</v>
      </c>
      <c r="M4519">
        <v>-0.99991540000000001</v>
      </c>
      <c r="N4519">
        <v>-1.2350720000000001E-2</v>
      </c>
      <c r="O4519">
        <v>-4.0739510000000001E-3</v>
      </c>
      <c r="P4519">
        <v>-0.9836935</v>
      </c>
      <c r="Q4519">
        <v>0.17684639999999999</v>
      </c>
      <c r="R4519">
        <v>3.2743540000000002E-2</v>
      </c>
      <c r="S4519">
        <v>-3.0689700000000002</v>
      </c>
      <c r="T4519">
        <v>-7.5442190000000006E-2</v>
      </c>
      <c r="U4519">
        <v>-0.16682429999999901</v>
      </c>
      <c r="V4519">
        <v>3.7373549999999998E-2</v>
      </c>
      <c r="W4519">
        <v>0.18885830000000001</v>
      </c>
      <c r="X4519">
        <v>0.98129290000000002</v>
      </c>
      <c r="Y4519">
        <v>-5.0187160000000001E-2</v>
      </c>
      <c r="Z4519">
        <v>-8.7676710000000001E-4</v>
      </c>
      <c r="AA4519">
        <v>0.99873940000000005</v>
      </c>
      <c r="AB4519">
        <v>35</v>
      </c>
      <c r="AC4519">
        <v>-45.281700000000001</v>
      </c>
      <c r="AD4519">
        <v>-1.1197854861600001</v>
      </c>
      <c r="AE4519">
        <v>-2.47580000000002</v>
      </c>
      <c r="AF4519">
        <v>-2.2898937617932802</v>
      </c>
      <c r="AG4519">
        <v>-1.1197854861600001</v>
      </c>
      <c r="AH4519">
        <v>45.263813137675299</v>
      </c>
      <c r="AI4519">
        <v>91.415347021887698</v>
      </c>
      <c r="AJ4519">
        <v>92.896121226287093</v>
      </c>
      <c r="AK4519">
        <v>45.335530356859202</v>
      </c>
      <c r="AL4519">
        <v>79.113836581020294</v>
      </c>
      <c r="AM4519">
        <v>87.818885465367003</v>
      </c>
      <c r="AN4519">
        <v>0.99999999765445102</v>
      </c>
    </row>
    <row r="4520" spans="1:40" x14ac:dyDescent="0.25">
      <c r="A4520" t="str">
        <f>"20190303162911059"</f>
        <v>20190303162911059</v>
      </c>
      <c r="B4520" t="str">
        <f>"1551601751056752"</f>
        <v>1551601751056752</v>
      </c>
      <c r="C4520" t="s">
        <v>40</v>
      </c>
      <c r="D4520">
        <v>5.3122980000000002</v>
      </c>
      <c r="E4520">
        <v>0.46541670000000002</v>
      </c>
      <c r="F4520" t="s">
        <v>56</v>
      </c>
      <c r="G4520">
        <v>-415.10939999999999</v>
      </c>
      <c r="H4520" s="1">
        <v>-1.02691E-5</v>
      </c>
      <c r="I4520">
        <v>139.74270000000001</v>
      </c>
      <c r="J4520">
        <v>-367.95420000000001</v>
      </c>
      <c r="K4520">
        <v>1.119767</v>
      </c>
      <c r="L4520">
        <v>142.30199999999999</v>
      </c>
      <c r="M4520">
        <v>-0.99991929999999996</v>
      </c>
      <c r="N4520">
        <v>-1.2353619999999999E-2</v>
      </c>
      <c r="O4520">
        <v>-2.9963849999999998E-3</v>
      </c>
      <c r="P4520">
        <v>-0.98371509999999995</v>
      </c>
      <c r="Q4520">
        <v>0.1771047</v>
      </c>
      <c r="R4520">
        <v>3.063515E-2</v>
      </c>
      <c r="S4520">
        <v>-3.0682680000000002</v>
      </c>
      <c r="T4520">
        <v>-7.2456599999999996E-2</v>
      </c>
      <c r="U4520">
        <v>-0.16560359999999999</v>
      </c>
      <c r="V4520">
        <v>3.4209690000000001E-2</v>
      </c>
      <c r="W4520">
        <v>0.1891303</v>
      </c>
      <c r="X4520">
        <v>0.98135589999999995</v>
      </c>
      <c r="Y4520">
        <v>-5.0880689999999999E-2</v>
      </c>
      <c r="Z4520">
        <v>-8.8112909999999995E-4</v>
      </c>
      <c r="AA4520">
        <v>0.99870440000000005</v>
      </c>
      <c r="AB4520">
        <v>35</v>
      </c>
      <c r="AC4520">
        <v>-47.155199999999901</v>
      </c>
      <c r="AD4520">
        <v>-1.1197772691000001</v>
      </c>
      <c r="AE4520">
        <v>-2.5592999999999999</v>
      </c>
      <c r="AF4520">
        <v>-2.4166238680240002</v>
      </c>
      <c r="AG4520">
        <v>-1.1197772691000001</v>
      </c>
      <c r="AH4520">
        <v>47.136155377433901</v>
      </c>
      <c r="AI4520">
        <v>91.359091300787</v>
      </c>
      <c r="AJ4520">
        <v>92.934928009445002</v>
      </c>
      <c r="AK4520">
        <v>47.211345202371497</v>
      </c>
      <c r="AL4520">
        <v>79.097966006257195</v>
      </c>
      <c r="AM4520">
        <v>88.003499567135293</v>
      </c>
      <c r="AN4520">
        <v>0.99999998786639799</v>
      </c>
    </row>
    <row r="4521" spans="1:40" x14ac:dyDescent="0.25">
      <c r="A4521" t="str">
        <f>"20190303162911084"</f>
        <v>20190303162911084</v>
      </c>
      <c r="B4521" t="str">
        <f>"1551601751076272"</f>
        <v>1551601751076272</v>
      </c>
      <c r="C4521" t="s">
        <v>40</v>
      </c>
      <c r="D4521">
        <v>5.3078529999999997</v>
      </c>
      <c r="E4521">
        <v>0.48517830000000001</v>
      </c>
      <c r="F4521" t="s">
        <v>56</v>
      </c>
      <c r="G4521">
        <v>-415.98610000000002</v>
      </c>
      <c r="H4521" s="1">
        <v>-1.0145320000000001E-5</v>
      </c>
      <c r="I4521">
        <v>139.61089999999999</v>
      </c>
      <c r="J4521">
        <v>-368.31819999999999</v>
      </c>
      <c r="K4521">
        <v>1.1197569999999999</v>
      </c>
      <c r="L4521">
        <v>142.3023</v>
      </c>
      <c r="M4521">
        <v>-0.99992250000000005</v>
      </c>
      <c r="N4521">
        <v>-1.235725E-2</v>
      </c>
      <c r="O4521">
        <v>-1.5102959999999999E-3</v>
      </c>
      <c r="P4521">
        <v>-0.98361659999999995</v>
      </c>
      <c r="Q4521">
        <v>0.17770939999999999</v>
      </c>
      <c r="R4521">
        <v>3.0292510000000002E-2</v>
      </c>
      <c r="S4521">
        <v>-3.0679319999999999</v>
      </c>
      <c r="T4521">
        <v>-7.1523429999999999E-2</v>
      </c>
      <c r="U4521">
        <v>-0.171890299999999</v>
      </c>
      <c r="V4521">
        <v>3.2411099999999998E-2</v>
      </c>
      <c r="W4521">
        <v>0.1897433</v>
      </c>
      <c r="X4521">
        <v>0.98129860000000002</v>
      </c>
      <c r="Y4521">
        <v>-5.4409730000000003E-2</v>
      </c>
      <c r="Z4521">
        <v>-9.5364500000000004E-4</v>
      </c>
      <c r="AA4521">
        <v>0.99851820000000002</v>
      </c>
      <c r="AB4521">
        <v>35</v>
      </c>
      <c r="AC4521">
        <v>-47.667900000000003</v>
      </c>
      <c r="AD4521">
        <v>-1.11976714532</v>
      </c>
      <c r="AE4521">
        <v>-2.69140000000001</v>
      </c>
      <c r="AF4521">
        <v>-2.61795872253502</v>
      </c>
      <c r="AG4521">
        <v>-1.11976714532</v>
      </c>
      <c r="AH4521">
        <v>47.645702085695902</v>
      </c>
      <c r="AI4521">
        <v>91.344287993874502</v>
      </c>
      <c r="AJ4521">
        <v>93.145033000820106</v>
      </c>
      <c r="AK4521">
        <v>47.730708286924902</v>
      </c>
      <c r="AL4521">
        <v>79.0621958132337</v>
      </c>
      <c r="AM4521">
        <v>88.108277738748001</v>
      </c>
      <c r="AN4521">
        <v>0.99999997083002901</v>
      </c>
    </row>
    <row r="4522" spans="1:40" x14ac:dyDescent="0.25">
      <c r="A4522" t="str">
        <f>"20190303162911104"</f>
        <v>20190303162911104</v>
      </c>
      <c r="B4522" t="str">
        <f>"1551601751096769"</f>
        <v>1551601751096769</v>
      </c>
      <c r="C4522" t="s">
        <v>40</v>
      </c>
      <c r="D4522">
        <v>5.2964659999999997</v>
      </c>
      <c r="E4522">
        <v>0.4878806</v>
      </c>
      <c r="F4522" t="s">
        <v>56</v>
      </c>
      <c r="G4522">
        <v>-406.72030000000001</v>
      </c>
      <c r="H4522" s="1">
        <v>-9.6863730000000004E-6</v>
      </c>
      <c r="I4522">
        <v>142.10910000000001</v>
      </c>
      <c r="J4522">
        <v>-368.65910000000002</v>
      </c>
      <c r="K4522">
        <v>1.1197600000000001</v>
      </c>
      <c r="L4522">
        <v>142.3031</v>
      </c>
      <c r="M4522">
        <v>-0.99992360000000002</v>
      </c>
      <c r="N4522">
        <v>-1.236014E-2</v>
      </c>
      <c r="O4522">
        <v>-1.254645E-4</v>
      </c>
      <c r="P4522">
        <v>-0.98346290000000003</v>
      </c>
      <c r="Q4522">
        <v>0.1784973</v>
      </c>
      <c r="R4522">
        <v>3.06517E-2</v>
      </c>
      <c r="S4522">
        <v>-3.0665589999999998</v>
      </c>
      <c r="T4522">
        <v>-8.9417819999999995E-2</v>
      </c>
      <c r="U4522">
        <v>-1.542664E-2</v>
      </c>
      <c r="V4522">
        <v>3.14124E-2</v>
      </c>
      <c r="W4522">
        <v>0.19053580000000001</v>
      </c>
      <c r="X4522">
        <v>0.98117759999999998</v>
      </c>
      <c r="Y4522">
        <v>-4.9021170000000001E-3</v>
      </c>
      <c r="Z4522" s="1">
        <v>-9.965374E-5</v>
      </c>
      <c r="AA4522">
        <v>0.99998799999999999</v>
      </c>
      <c r="AB4522">
        <v>35</v>
      </c>
      <c r="AC4522">
        <v>-38.0611999999999</v>
      </c>
      <c r="AD4522">
        <v>-1.119769686373</v>
      </c>
      <c r="AE4522">
        <v>-0.19399999999998799</v>
      </c>
      <c r="AF4522">
        <v>-0.18906066689848999</v>
      </c>
      <c r="AG4522">
        <v>-1.119769686373</v>
      </c>
      <c r="AH4522">
        <v>38.028309471574602</v>
      </c>
      <c r="AI4522">
        <v>91.6866053917296</v>
      </c>
      <c r="AJ4522">
        <v>90.284848030075906</v>
      </c>
      <c r="AK4522">
        <v>38.045261851538598</v>
      </c>
      <c r="AL4522">
        <v>79.015946108941804</v>
      </c>
      <c r="AM4522">
        <v>88.166301987341399</v>
      </c>
      <c r="AN4522">
        <v>1.00000005634857</v>
      </c>
    </row>
    <row r="4523" spans="1:40" x14ac:dyDescent="0.25">
      <c r="A4523" t="str">
        <f>"20190303162911123"</f>
        <v>20190303162911123</v>
      </c>
      <c r="B4523" t="str">
        <f>"1551601751116288"</f>
        <v>1551601751116288</v>
      </c>
      <c r="C4523" t="s">
        <v>40</v>
      </c>
      <c r="D4523">
        <v>4.9672510000000001</v>
      </c>
      <c r="E4523">
        <v>0.48883890000000002</v>
      </c>
      <c r="F4523" t="s">
        <v>41</v>
      </c>
      <c r="G4523">
        <v>-398.56259999999997</v>
      </c>
      <c r="H4523" s="1">
        <v>-1.3323599999999999E-6</v>
      </c>
      <c r="I4523">
        <v>142.37260000000001</v>
      </c>
      <c r="J4523">
        <v>-368.94119999999998</v>
      </c>
      <c r="K4523">
        <v>1.1197589999999999</v>
      </c>
      <c r="L4523">
        <v>142.30420000000001</v>
      </c>
      <c r="M4523">
        <v>-0.99992329999999996</v>
      </c>
      <c r="N4523">
        <v>-1.2362039999999999E-2</v>
      </c>
      <c r="O4523">
        <v>1.0162159999999999E-3</v>
      </c>
      <c r="P4523">
        <v>-0.9834077</v>
      </c>
      <c r="Q4523">
        <v>0.1786517</v>
      </c>
      <c r="R4523">
        <v>3.1514220000000003E-2</v>
      </c>
      <c r="S4523">
        <v>-3.0711360000000001</v>
      </c>
      <c r="T4523">
        <v>-0.1150012</v>
      </c>
      <c r="U4523">
        <v>7.1411130000000001E-3</v>
      </c>
      <c r="V4523">
        <v>3.1152530000000001E-2</v>
      </c>
      <c r="W4523">
        <v>0.19069259999999999</v>
      </c>
      <c r="X4523">
        <v>0.98115529999999995</v>
      </c>
      <c r="Y4523">
        <v>1.308037E-3</v>
      </c>
      <c r="Z4523" s="1">
        <v>7.0911289999999999E-6</v>
      </c>
      <c r="AA4523">
        <v>0.99999919999999998</v>
      </c>
      <c r="AB4523">
        <v>35</v>
      </c>
      <c r="AC4523">
        <v>-29.621399999999898</v>
      </c>
      <c r="AD4523">
        <v>-1.1197603323600001</v>
      </c>
      <c r="AE4523">
        <v>6.8399999999996894E-2</v>
      </c>
      <c r="AF4523">
        <v>3.8241283266111301E-2</v>
      </c>
      <c r="AG4523">
        <v>-1.1197603323600001</v>
      </c>
      <c r="AH4523">
        <v>29.579185128453499</v>
      </c>
      <c r="AI4523">
        <v>92.167972696725798</v>
      </c>
      <c r="AJ4523">
        <v>89.925925514714095</v>
      </c>
      <c r="AK4523">
        <v>29.600397268634801</v>
      </c>
      <c r="AL4523">
        <v>79.006792986054606</v>
      </c>
      <c r="AM4523">
        <v>88.181420358677897</v>
      </c>
      <c r="AN4523">
        <v>0.99999993526912301</v>
      </c>
    </row>
    <row r="4524" spans="1:40" x14ac:dyDescent="0.25">
      <c r="A4524" t="str">
        <f>"20190303162911140"</f>
        <v>20190303162911140</v>
      </c>
      <c r="B4524" t="str">
        <f>"1551601751126048"</f>
        <v>1551601751126048</v>
      </c>
      <c r="C4524" t="s">
        <v>40</v>
      </c>
      <c r="D4524">
        <v>5.0776529999999998</v>
      </c>
      <c r="E4524">
        <v>0.4891527</v>
      </c>
      <c r="F4524" t="s">
        <v>41</v>
      </c>
      <c r="G4524">
        <v>-396.5258</v>
      </c>
      <c r="H4524" s="1">
        <v>-2.2297220000000002E-6</v>
      </c>
      <c r="I4524">
        <v>142.46119999999999</v>
      </c>
      <c r="J4524">
        <v>-369.21800000000002</v>
      </c>
      <c r="K4524">
        <v>1.1197649999999999</v>
      </c>
      <c r="L4524">
        <v>142.3056</v>
      </c>
      <c r="M4524">
        <v>-0.99992130000000001</v>
      </c>
      <c r="N4524">
        <v>-1.2363529999999999E-2</v>
      </c>
      <c r="O4524">
        <v>2.1306229999999999E-3</v>
      </c>
      <c r="P4524">
        <v>-0.98345700000000003</v>
      </c>
      <c r="Q4524">
        <v>0.1781624</v>
      </c>
      <c r="R4524">
        <v>3.2718999999999998E-2</v>
      </c>
      <c r="S4524">
        <v>-3.0727229999999999</v>
      </c>
      <c r="T4524">
        <v>-0.1247331</v>
      </c>
      <c r="U4524">
        <v>1.7501829999999999E-2</v>
      </c>
      <c r="V4524">
        <v>3.1258180000000003E-2</v>
      </c>
      <c r="W4524">
        <v>0.19020580000000001</v>
      </c>
      <c r="X4524">
        <v>0.98124650000000002</v>
      </c>
      <c r="Y4524">
        <v>3.562033E-3</v>
      </c>
      <c r="Z4524" s="1">
        <v>3.4182159999999997E-5</v>
      </c>
      <c r="AA4524">
        <v>0.99999369999999999</v>
      </c>
      <c r="AB4524">
        <v>35</v>
      </c>
      <c r="AC4524">
        <v>-27.307799999999901</v>
      </c>
      <c r="AD4524">
        <v>-1.1197672297219901</v>
      </c>
      <c r="AE4524">
        <v>0.15559999999999199</v>
      </c>
      <c r="AF4524">
        <v>9.7249059352887704E-2</v>
      </c>
      <c r="AG4524">
        <v>-1.1197672297219901</v>
      </c>
      <c r="AH4524">
        <v>27.262231165910801</v>
      </c>
      <c r="AI4524">
        <v>92.352026335331701</v>
      </c>
      <c r="AJ4524">
        <v>89.795616983990001</v>
      </c>
      <c r="AK4524">
        <v>27.285391405876201</v>
      </c>
      <c r="AL4524">
        <v>79.035205385700394</v>
      </c>
      <c r="AM4524">
        <v>88.175426512927103</v>
      </c>
      <c r="AN4524">
        <v>1.0000000069663999</v>
      </c>
    </row>
    <row r="4525" spans="1:40" x14ac:dyDescent="0.25">
      <c r="A4525" t="str">
        <f>"20190303162911163"</f>
        <v>20190303162911163</v>
      </c>
      <c r="B4525" t="str">
        <f>"1551601751156304"</f>
        <v>1551601751156304</v>
      </c>
      <c r="C4525" t="s">
        <v>40</v>
      </c>
      <c r="D4525">
        <v>5.2897449999999999</v>
      </c>
      <c r="E4525">
        <v>0.4893226</v>
      </c>
      <c r="F4525" t="s">
        <v>41</v>
      </c>
      <c r="G4525">
        <v>-395.8759</v>
      </c>
      <c r="H4525" s="1">
        <v>-2.5211579999999998E-6</v>
      </c>
      <c r="I4525">
        <v>142.5087</v>
      </c>
      <c r="J4525">
        <v>-369.57139999999998</v>
      </c>
      <c r="K4525">
        <v>1.1197729999999999</v>
      </c>
      <c r="L4525">
        <v>142.30770000000001</v>
      </c>
      <c r="M4525">
        <v>-0.99991739999999996</v>
      </c>
      <c r="N4525">
        <v>-1.2365330000000001E-2</v>
      </c>
      <c r="O4525">
        <v>3.5351530000000001E-3</v>
      </c>
      <c r="P4525">
        <v>-0.98349690000000001</v>
      </c>
      <c r="Q4525">
        <v>0.1775969</v>
      </c>
      <c r="R4525">
        <v>3.4544640000000001E-2</v>
      </c>
      <c r="S4525">
        <v>-3.0730590000000002</v>
      </c>
      <c r="T4525">
        <v>-0.129084</v>
      </c>
      <c r="U4525">
        <v>2.342224E-2</v>
      </c>
      <c r="V4525">
        <v>3.1695399999999999E-2</v>
      </c>
      <c r="W4525">
        <v>0.18964210000000001</v>
      </c>
      <c r="X4525">
        <v>0.98134160000000004</v>
      </c>
      <c r="Y4525">
        <v>4.0831019999999999E-3</v>
      </c>
      <c r="Z4525" s="1">
        <v>6.2516740000000003E-6</v>
      </c>
      <c r="AA4525">
        <v>0.99999170000000004</v>
      </c>
      <c r="AB4525">
        <v>35</v>
      </c>
      <c r="AC4525">
        <v>-26.304500000000001</v>
      </c>
      <c r="AD4525">
        <v>-1.1197755211579901</v>
      </c>
      <c r="AE4525">
        <v>0.20099999999999299</v>
      </c>
      <c r="AF4525">
        <v>0.107805858854412</v>
      </c>
      <c r="AG4525">
        <v>-1.1197755211579901</v>
      </c>
      <c r="AH4525">
        <v>26.257465695520501</v>
      </c>
      <c r="AI4525">
        <v>92.441934807523694</v>
      </c>
      <c r="AJ4525">
        <v>89.764760769997494</v>
      </c>
      <c r="AK4525">
        <v>26.2815529235322</v>
      </c>
      <c r="AL4525">
        <v>79.068102027305699</v>
      </c>
      <c r="AM4525">
        <v>88.150102289196198</v>
      </c>
      <c r="AN4525">
        <v>1.00000003018206</v>
      </c>
    </row>
    <row r="4526" spans="1:40" x14ac:dyDescent="0.25">
      <c r="A4526" t="str">
        <f>"20190303162911185"</f>
        <v>20190303162911185</v>
      </c>
      <c r="B4526" t="str">
        <f>"1551601751176799"</f>
        <v>1551601751176799</v>
      </c>
      <c r="C4526" t="s">
        <v>40</v>
      </c>
      <c r="D4526">
        <v>5.4110589999999998</v>
      </c>
      <c r="E4526">
        <v>0.48944159999999998</v>
      </c>
      <c r="F4526" t="s">
        <v>41</v>
      </c>
      <c r="G4526">
        <v>-395.05549999999999</v>
      </c>
      <c r="H4526" s="1">
        <v>-2.8867170000000001E-6</v>
      </c>
      <c r="I4526">
        <v>142.5598</v>
      </c>
      <c r="J4526">
        <v>-369.92619999999999</v>
      </c>
      <c r="K4526">
        <v>1.1197969999999999</v>
      </c>
      <c r="L4526">
        <v>142.31030000000001</v>
      </c>
      <c r="M4526">
        <v>-0.99991149999999995</v>
      </c>
      <c r="N4526">
        <v>-1.236692E-2</v>
      </c>
      <c r="O4526">
        <v>4.9140099999999999E-3</v>
      </c>
      <c r="P4526">
        <v>-0.9833904</v>
      </c>
      <c r="Q4526">
        <v>0.1777244</v>
      </c>
      <c r="R4526">
        <v>3.6845580000000003E-2</v>
      </c>
      <c r="S4526">
        <v>-3.073639</v>
      </c>
      <c r="T4526">
        <v>-0.13505629999999999</v>
      </c>
      <c r="U4526">
        <v>3.041077E-2</v>
      </c>
      <c r="V4526">
        <v>3.26317E-2</v>
      </c>
      <c r="W4526">
        <v>0.18976899999999999</v>
      </c>
      <c r="X4526">
        <v>0.98128629999999994</v>
      </c>
      <c r="Y4526">
        <v>4.9756050000000001E-3</v>
      </c>
      <c r="Z4526" s="1">
        <v>-1.501317E-5</v>
      </c>
      <c r="AA4526">
        <v>0.99998759999999998</v>
      </c>
      <c r="AB4526">
        <v>35</v>
      </c>
      <c r="AC4526">
        <v>-25.129300000000001</v>
      </c>
      <c r="AD4526">
        <v>-1.119799886717</v>
      </c>
      <c r="AE4526">
        <v>0.24949999999998301</v>
      </c>
      <c r="AF4526">
        <v>0.12575223220033699</v>
      </c>
      <c r="AG4526">
        <v>-1.119799886717</v>
      </c>
      <c r="AH4526">
        <v>25.0804246596573</v>
      </c>
      <c r="AI4526">
        <v>92.556432781846596</v>
      </c>
      <c r="AJ4526">
        <v>89.712723692277393</v>
      </c>
      <c r="AK4526">
        <v>25.105725771603201</v>
      </c>
      <c r="AL4526">
        <v>79.060695853288706</v>
      </c>
      <c r="AM4526">
        <v>88.095387685479807</v>
      </c>
      <c r="AN4526">
        <v>0.99999995188678903</v>
      </c>
    </row>
    <row r="4527" spans="1:40" x14ac:dyDescent="0.25">
      <c r="A4527" t="str">
        <f>"20190303162911206"</f>
        <v>20190303162911206</v>
      </c>
      <c r="B4527" t="str">
        <f>"1551601751195938"</f>
        <v>1551601751195938</v>
      </c>
      <c r="C4527" t="s">
        <v>40</v>
      </c>
      <c r="D4527">
        <v>5.0646690000000003</v>
      </c>
      <c r="E4527">
        <v>0.48931829999999998</v>
      </c>
      <c r="F4527" t="s">
        <v>41</v>
      </c>
      <c r="G4527">
        <v>-394.80430000000001</v>
      </c>
      <c r="H4527" s="1">
        <v>-3.0099129999999999E-6</v>
      </c>
      <c r="I4527">
        <v>142.61779999999999</v>
      </c>
      <c r="J4527">
        <v>-370.26889999999997</v>
      </c>
      <c r="K4527">
        <v>1.119826</v>
      </c>
      <c r="L4527">
        <v>142.3133</v>
      </c>
      <c r="M4527">
        <v>-0.99990429999999997</v>
      </c>
      <c r="N4527">
        <v>-1.2367899999999999E-2</v>
      </c>
      <c r="O4527">
        <v>6.2100050000000002E-3</v>
      </c>
      <c r="P4527">
        <v>-0.98324029999999996</v>
      </c>
      <c r="Q4527">
        <v>0.17793879999999901</v>
      </c>
      <c r="R4527">
        <v>3.9704099999999999E-2</v>
      </c>
      <c r="S4527">
        <v>-3.0742799999999999</v>
      </c>
      <c r="T4527">
        <v>-0.138377799999999</v>
      </c>
      <c r="U4527">
        <v>3.8009639999999997E-2</v>
      </c>
      <c r="V4527">
        <v>3.4204699999999998E-2</v>
      </c>
      <c r="W4527">
        <v>0.18998010000000001</v>
      </c>
      <c r="X4527">
        <v>0.98119190000000001</v>
      </c>
      <c r="Y4527">
        <v>6.1479369999999896E-3</v>
      </c>
      <c r="Z4527" s="1">
        <v>-2.6253119999999999E-5</v>
      </c>
      <c r="AA4527">
        <v>0.99998109999999996</v>
      </c>
      <c r="AB4527">
        <v>35</v>
      </c>
      <c r="AC4527">
        <v>-24.535399999999999</v>
      </c>
      <c r="AD4527">
        <v>-1.1198290099129999</v>
      </c>
      <c r="AE4527">
        <v>0.30449999999999</v>
      </c>
      <c r="AF4527">
        <v>0.15180135311092799</v>
      </c>
      <c r="AG4527">
        <v>-1.1198290099129999</v>
      </c>
      <c r="AH4527">
        <v>24.485818542187701</v>
      </c>
      <c r="AI4527">
        <v>92.618477657396397</v>
      </c>
      <c r="AJ4527">
        <v>89.644795806356001</v>
      </c>
      <c r="AK4527">
        <v>24.511882227670501</v>
      </c>
      <c r="AL4527">
        <v>79.048376832192204</v>
      </c>
      <c r="AM4527">
        <v>88.003457167517993</v>
      </c>
      <c r="AN4527">
        <v>0.999999972261854</v>
      </c>
    </row>
    <row r="4528" spans="1:40" x14ac:dyDescent="0.25">
      <c r="A4528" t="str">
        <f>"20190303162911228"</f>
        <v>20190303162911228</v>
      </c>
      <c r="B4528" t="str">
        <f>"1551601751216436"</f>
        <v>1551601751216436</v>
      </c>
      <c r="C4528" t="s">
        <v>40</v>
      </c>
      <c r="D4528">
        <v>5.3503910000000001</v>
      </c>
      <c r="E4528">
        <v>0.48929289999999998</v>
      </c>
      <c r="F4528" t="s">
        <v>41</v>
      </c>
      <c r="G4528">
        <v>-395.04430000000002</v>
      </c>
      <c r="H4528" s="1">
        <v>-2.9229680000000002E-6</v>
      </c>
      <c r="I4528">
        <v>142.6781</v>
      </c>
      <c r="J4528">
        <v>-370.6037</v>
      </c>
      <c r="K4528">
        <v>1.1198509999999999</v>
      </c>
      <c r="L4528">
        <v>142.3167</v>
      </c>
      <c r="M4528">
        <v>-0.99989589999999995</v>
      </c>
      <c r="N4528">
        <v>-1.2368580000000001E-2</v>
      </c>
      <c r="O4528">
        <v>7.4444669999999998E-3</v>
      </c>
      <c r="P4528">
        <v>-0.98324109999999998</v>
      </c>
      <c r="Q4528">
        <v>0.17730219999999999</v>
      </c>
      <c r="R4528">
        <v>4.2438360000000001E-2</v>
      </c>
      <c r="S4528">
        <v>-3.0744630000000002</v>
      </c>
      <c r="T4528">
        <v>-0.13896320000000001</v>
      </c>
      <c r="U4528">
        <v>4.527283E-2</v>
      </c>
      <c r="V4528">
        <v>3.570955E-2</v>
      </c>
      <c r="W4528">
        <v>0.18934290000000001</v>
      </c>
      <c r="X4528">
        <v>0.98126150000000001</v>
      </c>
      <c r="Y4528">
        <v>7.2737590000000003E-3</v>
      </c>
      <c r="Z4528" s="1">
        <v>-3.4935570000000003E-5</v>
      </c>
      <c r="AA4528">
        <v>0.99997349999999996</v>
      </c>
      <c r="AB4528">
        <v>35</v>
      </c>
      <c r="AC4528">
        <v>-24.4406</v>
      </c>
      <c r="AD4528">
        <v>-1.119853922968</v>
      </c>
      <c r="AE4528">
        <v>0.361400000000003</v>
      </c>
      <c r="AF4528">
        <v>0.17905301916208699</v>
      </c>
      <c r="AG4528">
        <v>-1.119853922968</v>
      </c>
      <c r="AH4528">
        <v>24.391416675156002</v>
      </c>
      <c r="AI4528">
        <v>92.628635855632794</v>
      </c>
      <c r="AJ4528">
        <v>89.579409504082307</v>
      </c>
      <c r="AK4528">
        <v>24.417766896535401</v>
      </c>
      <c r="AL4528">
        <v>79.085561118898099</v>
      </c>
      <c r="AM4528">
        <v>87.915841986960103</v>
      </c>
      <c r="AN4528">
        <v>1.00000001856193</v>
      </c>
    </row>
    <row r="4529" spans="1:40" x14ac:dyDescent="0.25">
      <c r="A4529" t="str">
        <f>"20190303162911251"</f>
        <v>20190303162911251</v>
      </c>
      <c r="B4529" t="str">
        <f>"1551601751246692"</f>
        <v>1551601751246692</v>
      </c>
      <c r="C4529" t="s">
        <v>40</v>
      </c>
      <c r="D4529">
        <v>5.295903</v>
      </c>
      <c r="E4529">
        <v>0.48929509999999998</v>
      </c>
      <c r="F4529" t="s">
        <v>41</v>
      </c>
      <c r="G4529">
        <v>-394.72019999999998</v>
      </c>
      <c r="H4529" s="1">
        <v>-3.077103E-6</v>
      </c>
      <c r="I4529">
        <v>142.73480000000001</v>
      </c>
      <c r="J4529">
        <v>-370.9667</v>
      </c>
      <c r="K4529">
        <v>1.119875</v>
      </c>
      <c r="L4529">
        <v>142.32069999999999</v>
      </c>
      <c r="M4529">
        <v>-0.99988529999999998</v>
      </c>
      <c r="N4529">
        <v>-1.2369069999999999E-2</v>
      </c>
      <c r="O4529">
        <v>8.7379309999999905E-3</v>
      </c>
      <c r="P4529">
        <v>-0.98338669999999995</v>
      </c>
      <c r="Q4529">
        <v>0.17599189999999901</v>
      </c>
      <c r="R4529">
        <v>4.4468529999999999E-2</v>
      </c>
      <c r="S4529">
        <v>-3.0745849999999999</v>
      </c>
      <c r="T4529">
        <v>-0.14276900000000001</v>
      </c>
      <c r="U4529">
        <v>5.3314210000000001E-2</v>
      </c>
      <c r="V4529">
        <v>3.6446359999999997E-2</v>
      </c>
      <c r="W4529">
        <v>0.18803600000000001</v>
      </c>
      <c r="X4529">
        <v>0.98148570000000002</v>
      </c>
      <c r="Y4529">
        <v>8.5930820000000002E-3</v>
      </c>
      <c r="Z4529" s="1">
        <v>-4.487588E-5</v>
      </c>
      <c r="AA4529">
        <v>0.99996309999999999</v>
      </c>
      <c r="AB4529">
        <v>35</v>
      </c>
      <c r="AC4529">
        <v>-23.753499999999899</v>
      </c>
      <c r="AD4529">
        <v>-1.1198780771029999</v>
      </c>
      <c r="AE4529">
        <v>0.41410000000001901</v>
      </c>
      <c r="AF4529">
        <v>0.206053998358733</v>
      </c>
      <c r="AG4529">
        <v>-1.1198780771029999</v>
      </c>
      <c r="AH4529">
        <v>23.7035411806174</v>
      </c>
      <c r="AI4529">
        <v>92.704836015011594</v>
      </c>
      <c r="AJ4529">
        <v>89.501942473617504</v>
      </c>
      <c r="AK4529">
        <v>23.730875450750698</v>
      </c>
      <c r="AL4529">
        <v>79.161810754304796</v>
      </c>
      <c r="AM4529">
        <v>87.873363242634397</v>
      </c>
      <c r="AN4529">
        <v>1.00000002687886</v>
      </c>
    </row>
    <row r="4530" spans="1:40" x14ac:dyDescent="0.25">
      <c r="A4530" t="str">
        <f>"20190303162911274"</f>
        <v>20190303162911274</v>
      </c>
      <c r="B4530" t="str">
        <f>"1551601751266211"</f>
        <v>1551601751266211</v>
      </c>
      <c r="C4530" t="s">
        <v>40</v>
      </c>
      <c r="D4530">
        <v>5.102455</v>
      </c>
      <c r="E4530">
        <v>0.48915340000000002</v>
      </c>
      <c r="F4530" t="s">
        <v>41</v>
      </c>
      <c r="G4530">
        <v>-394.06450000000001</v>
      </c>
      <c r="H4530" s="1">
        <v>-3.368882E-6</v>
      </c>
      <c r="I4530">
        <v>142.774</v>
      </c>
      <c r="J4530">
        <v>-371.32799999999997</v>
      </c>
      <c r="K4530">
        <v>1.119907</v>
      </c>
      <c r="L4530">
        <v>142.32499999999999</v>
      </c>
      <c r="M4530">
        <v>-0.99987389999999998</v>
      </c>
      <c r="N4530">
        <v>-1.23692E-2</v>
      </c>
      <c r="O4530">
        <v>9.9680250000000001E-3</v>
      </c>
      <c r="P4530">
        <v>-0.98355590000000004</v>
      </c>
      <c r="Q4530">
        <v>0.1748054</v>
      </c>
      <c r="R4530">
        <v>4.53999E-2</v>
      </c>
      <c r="S4530">
        <v>-3.074646</v>
      </c>
      <c r="T4530">
        <v>-0.14907219999999999</v>
      </c>
      <c r="U4530">
        <v>6.0363769999999997E-2</v>
      </c>
      <c r="V4530">
        <v>3.6144059999999999E-2</v>
      </c>
      <c r="W4530">
        <v>0.1868571</v>
      </c>
      <c r="X4530">
        <v>0.98172199999999998</v>
      </c>
      <c r="Y4530">
        <v>9.6533920000000002E-3</v>
      </c>
      <c r="Z4530" s="1">
        <v>-6.6091469999999994E-5</v>
      </c>
      <c r="AA4530">
        <v>0.99995339999999999</v>
      </c>
      <c r="AB4530">
        <v>35</v>
      </c>
      <c r="AC4530">
        <v>-22.7364999999999</v>
      </c>
      <c r="AD4530">
        <v>-1.119910368882</v>
      </c>
      <c r="AE4530">
        <v>0.449000000000012</v>
      </c>
      <c r="AF4530">
        <v>0.22178449452836599</v>
      </c>
      <c r="AG4530">
        <v>-1.119910368882</v>
      </c>
      <c r="AH4530">
        <v>22.684830660688402</v>
      </c>
      <c r="AI4530">
        <v>92.826162846299496</v>
      </c>
      <c r="AJ4530">
        <v>89.439849878823296</v>
      </c>
      <c r="AK4530">
        <v>22.713540668518601</v>
      </c>
      <c r="AL4530">
        <v>79.230575624425299</v>
      </c>
      <c r="AM4530">
        <v>87.891493563401397</v>
      </c>
      <c r="AN4530">
        <v>1.0000000270888401</v>
      </c>
    </row>
    <row r="4531" spans="1:40" x14ac:dyDescent="0.25">
      <c r="A4531" t="str">
        <f>"20190303162911294"</f>
        <v>20190303162911294</v>
      </c>
      <c r="B4531" t="str">
        <f>"1551601751286707"</f>
        <v>1551601751286707</v>
      </c>
      <c r="C4531" t="s">
        <v>40</v>
      </c>
      <c r="D4531">
        <v>5.4183779999999997</v>
      </c>
      <c r="E4531">
        <v>0.48894850000000001</v>
      </c>
      <c r="F4531" t="s">
        <v>41</v>
      </c>
      <c r="G4531">
        <v>-393.6431</v>
      </c>
      <c r="H4531" s="1">
        <v>-3.5521179999999999E-6</v>
      </c>
      <c r="I4531">
        <v>142.7833</v>
      </c>
      <c r="J4531">
        <v>-371.65980000000002</v>
      </c>
      <c r="K4531">
        <v>1.119937</v>
      </c>
      <c r="L4531">
        <v>142.32939999999999</v>
      </c>
      <c r="M4531">
        <v>-0.99986260000000005</v>
      </c>
      <c r="N4531">
        <v>-1.2369069999999999E-2</v>
      </c>
      <c r="O4531">
        <v>1.104024E-2</v>
      </c>
      <c r="P4531">
        <v>-0.98398969999999997</v>
      </c>
      <c r="Q4531">
        <v>0.1723644</v>
      </c>
      <c r="R4531">
        <v>4.5328359999999998E-2</v>
      </c>
      <c r="S4531">
        <v>-3.0746769999999999</v>
      </c>
      <c r="T4531">
        <v>-0.1543069</v>
      </c>
      <c r="U4531">
        <v>6.3156130000000005E-2</v>
      </c>
      <c r="V4531">
        <v>3.4985469999999998E-2</v>
      </c>
      <c r="W4531">
        <v>0.18442910000000001</v>
      </c>
      <c r="X4531">
        <v>0.98222299999999996</v>
      </c>
      <c r="Y4531">
        <v>9.4893949999999994E-3</v>
      </c>
      <c r="Z4531">
        <v>-1.20463E-4</v>
      </c>
      <c r="AA4531">
        <v>0.99995489999999998</v>
      </c>
      <c r="AB4531">
        <v>35</v>
      </c>
      <c r="AC4531">
        <v>-21.9832999999999</v>
      </c>
      <c r="AD4531">
        <v>-1.1199405521179999</v>
      </c>
      <c r="AE4531">
        <v>0.45390000000000402</v>
      </c>
      <c r="AF4531">
        <v>0.21060649379503499</v>
      </c>
      <c r="AG4531">
        <v>-1.1199405521179999</v>
      </c>
      <c r="AH4531">
        <v>21.930078510451299</v>
      </c>
      <c r="AI4531">
        <v>92.923346552587404</v>
      </c>
      <c r="AJ4531">
        <v>89.449774323451393</v>
      </c>
      <c r="AK4531">
        <v>21.9596667873186</v>
      </c>
      <c r="AL4531">
        <v>79.372151013690697</v>
      </c>
      <c r="AM4531">
        <v>87.960063330000693</v>
      </c>
      <c r="AN4531">
        <v>1.0000000488834599</v>
      </c>
    </row>
    <row r="4532" spans="1:40" x14ac:dyDescent="0.25">
      <c r="A4532" t="str">
        <f>"20190303162911316"</f>
        <v>20190303162911316</v>
      </c>
      <c r="B4532" t="str">
        <f>"1551601751306241"</f>
        <v>1551601751306241</v>
      </c>
      <c r="C4532" t="s">
        <v>40</v>
      </c>
      <c r="D4532">
        <v>5.2986930000000001</v>
      </c>
      <c r="E4532">
        <v>0.48881829999999998</v>
      </c>
      <c r="F4532" t="s">
        <v>41</v>
      </c>
      <c r="G4532">
        <v>-392.66800000000001</v>
      </c>
      <c r="H4532" s="1">
        <v>-3.9247150000000001E-6</v>
      </c>
      <c r="I4532">
        <v>142.7542</v>
      </c>
      <c r="J4532">
        <v>-372.01409999999998</v>
      </c>
      <c r="K4532">
        <v>1.1199859999999999</v>
      </c>
      <c r="L4532">
        <v>142.33439999999999</v>
      </c>
      <c r="M4532">
        <v>-0.99985000000000002</v>
      </c>
      <c r="N4532">
        <v>-1.2368779999999999E-2</v>
      </c>
      <c r="O4532">
        <v>1.212266E-2</v>
      </c>
      <c r="P4532">
        <v>-0.98405609999999999</v>
      </c>
      <c r="Q4532">
        <v>0.17211129999999999</v>
      </c>
      <c r="R4532">
        <v>4.4847020000000001E-2</v>
      </c>
      <c r="S4532">
        <v>-3.074646</v>
      </c>
      <c r="T4532">
        <v>-0.16390869999999999</v>
      </c>
      <c r="U4532">
        <v>6.2179570000000003E-2</v>
      </c>
      <c r="V4532">
        <v>3.3413329999999998E-2</v>
      </c>
      <c r="W4532">
        <v>0.1841854</v>
      </c>
      <c r="X4532">
        <v>0.98232339999999996</v>
      </c>
      <c r="Y4532">
        <v>8.0925819999999992E-3</v>
      </c>
      <c r="Z4532">
        <v>-2.3021160000000001E-4</v>
      </c>
      <c r="AA4532">
        <v>0.99996719999999895</v>
      </c>
      <c r="AB4532">
        <v>35</v>
      </c>
      <c r="AC4532">
        <v>-20.6539</v>
      </c>
      <c r="AD4532">
        <v>-1.119989924715</v>
      </c>
      <c r="AE4532">
        <v>0.419800000000009</v>
      </c>
      <c r="AF4532">
        <v>0.16887341095920499</v>
      </c>
      <c r="AG4532">
        <v>-1.119989924715</v>
      </c>
      <c r="AH4532">
        <v>20.5969308869801</v>
      </c>
      <c r="AI4532">
        <v>93.112376833139194</v>
      </c>
      <c r="AJ4532">
        <v>89.530244725714596</v>
      </c>
      <c r="AK4532">
        <v>20.628050262286699</v>
      </c>
      <c r="AL4532">
        <v>79.386356705754196</v>
      </c>
      <c r="AM4532">
        <v>88.0518585135774</v>
      </c>
      <c r="AN4532">
        <v>0.99999998719120398</v>
      </c>
    </row>
    <row r="4533" spans="1:40" x14ac:dyDescent="0.25">
      <c r="A4533" t="str">
        <f>"20190303162911342"</f>
        <v>20190303162911342</v>
      </c>
      <c r="B4533" t="str">
        <f>"1551601751336497"</f>
        <v>1551601751336497</v>
      </c>
      <c r="C4533" t="s">
        <v>40</v>
      </c>
      <c r="D4533">
        <v>5.298298</v>
      </c>
      <c r="E4533">
        <v>0.48864809999999997</v>
      </c>
      <c r="F4533" t="s">
        <v>41</v>
      </c>
      <c r="G4533">
        <v>-392.78379999999999</v>
      </c>
      <c r="H4533" s="1">
        <v>-3.8826319999999999E-6</v>
      </c>
      <c r="I4533">
        <v>142.739</v>
      </c>
      <c r="J4533">
        <v>-372.39670000000001</v>
      </c>
      <c r="K4533">
        <v>1.120053</v>
      </c>
      <c r="L4533">
        <v>142.34020000000001</v>
      </c>
      <c r="M4533">
        <v>-0.99983619999999995</v>
      </c>
      <c r="N4533">
        <v>-1.23684E-2</v>
      </c>
      <c r="O4533">
        <v>1.322215E-2</v>
      </c>
      <c r="P4533">
        <v>-0.98400620000000005</v>
      </c>
      <c r="Q4533">
        <v>0.17258770000000001</v>
      </c>
      <c r="R4533">
        <v>4.4106399999999997E-2</v>
      </c>
      <c r="S4533">
        <v>-3.074951</v>
      </c>
      <c r="T4533">
        <v>-0.16581489999999999</v>
      </c>
      <c r="U4533">
        <v>5.9906010000000003E-2</v>
      </c>
      <c r="V4533">
        <v>3.1565019999999999E-2</v>
      </c>
      <c r="W4533">
        <v>0.1846709</v>
      </c>
      <c r="X4533">
        <v>0.98229339999999998</v>
      </c>
      <c r="Y4533">
        <v>6.2561149999999996E-3</v>
      </c>
      <c r="Z4533">
        <v>-3.4165900000000002E-4</v>
      </c>
      <c r="AA4533">
        <v>0.99998039999999999</v>
      </c>
      <c r="AB4533">
        <v>35</v>
      </c>
      <c r="AC4533">
        <v>-20.387099999999901</v>
      </c>
      <c r="AD4533">
        <v>-1.1200568826320001</v>
      </c>
      <c r="AE4533">
        <v>0.39879999999999399</v>
      </c>
      <c r="AF4533">
        <v>0.12879465058064399</v>
      </c>
      <c r="AG4533">
        <v>-1.1200568826320001</v>
      </c>
      <c r="AH4533">
        <v>20.329253672753801</v>
      </c>
      <c r="AI4533">
        <v>93.153506384190607</v>
      </c>
      <c r="AJ4533">
        <v>89.637011210905698</v>
      </c>
      <c r="AK4533">
        <v>20.360492881399601</v>
      </c>
      <c r="AL4533">
        <v>79.358054322426796</v>
      </c>
      <c r="AM4533">
        <v>88.159490520020697</v>
      </c>
      <c r="AN4533">
        <v>1.0000000077389799</v>
      </c>
    </row>
    <row r="4534" spans="1:40" x14ac:dyDescent="0.25">
      <c r="A4534" t="str">
        <f>"20190303162911364"</f>
        <v>20190303162911364</v>
      </c>
      <c r="B4534" t="str">
        <f>"1551601751356017"</f>
        <v>1551601751356017</v>
      </c>
      <c r="C4534" t="s">
        <v>40</v>
      </c>
      <c r="D4534">
        <v>5.0468229999999998</v>
      </c>
      <c r="E4534">
        <v>0.48856139999999998</v>
      </c>
      <c r="F4534" t="s">
        <v>41</v>
      </c>
      <c r="G4534">
        <v>-393.27190000000002</v>
      </c>
      <c r="H4534" s="1">
        <v>-3.6958319999999999E-6</v>
      </c>
      <c r="I4534">
        <v>142.72499999999999</v>
      </c>
      <c r="J4534">
        <v>-372.7604</v>
      </c>
      <c r="K4534">
        <v>1.1201139999999901</v>
      </c>
      <c r="L4534">
        <v>142.346</v>
      </c>
      <c r="M4534">
        <v>-0.99982269999999895</v>
      </c>
      <c r="N4534">
        <v>-1.2367960000000001E-2</v>
      </c>
      <c r="O4534">
        <v>1.4198830000000001E-2</v>
      </c>
      <c r="P4534">
        <v>-0.98398920000000001</v>
      </c>
      <c r="Q4534">
        <v>0.1728441</v>
      </c>
      <c r="R4534">
        <v>4.3474470000000001E-2</v>
      </c>
      <c r="S4534">
        <v>-3.0751949999999999</v>
      </c>
      <c r="T4534">
        <v>-0.164999799999999</v>
      </c>
      <c r="U4534">
        <v>5.6701660000000001E-2</v>
      </c>
      <c r="V4534">
        <v>2.9946899999999999E-2</v>
      </c>
      <c r="W4534">
        <v>0.18493519999999999</v>
      </c>
      <c r="X4534">
        <v>0.98229429999999995</v>
      </c>
      <c r="Y4534">
        <v>4.2404740000000002E-3</v>
      </c>
      <c r="Z4534">
        <v>-4.4574840000000002E-4</v>
      </c>
      <c r="AA4534">
        <v>0.99999090000000002</v>
      </c>
      <c r="AB4534">
        <v>35</v>
      </c>
      <c r="AC4534">
        <v>-20.511500000000002</v>
      </c>
      <c r="AD4534">
        <v>-1.1201176958319901</v>
      </c>
      <c r="AE4534">
        <v>0.37899999999999001</v>
      </c>
      <c r="AF4534">
        <v>8.74395387835189E-2</v>
      </c>
      <c r="AG4534">
        <v>-1.1201176958319901</v>
      </c>
      <c r="AH4534">
        <v>20.453837705119302</v>
      </c>
      <c r="AI4534">
        <v>93.134540870366493</v>
      </c>
      <c r="AJ4534">
        <v>89.755063764166195</v>
      </c>
      <c r="AK4534">
        <v>20.4846719815773</v>
      </c>
      <c r="AL4534">
        <v>79.342645218347897</v>
      </c>
      <c r="AM4534">
        <v>88.253782303847302</v>
      </c>
      <c r="AN4534">
        <v>0.99999996841556904</v>
      </c>
    </row>
    <row r="4535" spans="1:40" x14ac:dyDescent="0.25">
      <c r="A4535" t="str">
        <f>"20190303162911385"</f>
        <v>20190303162911385</v>
      </c>
      <c r="B4535" t="str">
        <f>"1551601751376513"</f>
        <v>1551601751376513</v>
      </c>
      <c r="C4535" t="s">
        <v>40</v>
      </c>
      <c r="D4535">
        <v>5.1799970000000002</v>
      </c>
      <c r="E4535">
        <v>0.48855029999999999</v>
      </c>
      <c r="F4535" t="s">
        <v>41</v>
      </c>
      <c r="G4535">
        <v>-393.7038</v>
      </c>
      <c r="H4535" s="1">
        <v>-3.5092580000000001E-6</v>
      </c>
      <c r="I4535">
        <v>142.72020000000001</v>
      </c>
      <c r="J4535">
        <v>-373.09269999999998</v>
      </c>
      <c r="K4535">
        <v>1.1201650000000001</v>
      </c>
      <c r="L4535">
        <v>142.35149999999999</v>
      </c>
      <c r="M4535">
        <v>-0.99981050000000005</v>
      </c>
      <c r="N4535">
        <v>-1.23675E-2</v>
      </c>
      <c r="O4535">
        <v>1.503697E-2</v>
      </c>
      <c r="P4535">
        <v>-0.98394879999999996</v>
      </c>
      <c r="Q4535">
        <v>0.1730797</v>
      </c>
      <c r="R4535">
        <v>4.3456229999999998E-2</v>
      </c>
      <c r="S4535">
        <v>-3.0752869999999999</v>
      </c>
      <c r="T4535">
        <v>-0.16447619999999999</v>
      </c>
      <c r="U4535">
        <v>5.4962160000000003E-2</v>
      </c>
      <c r="V4535">
        <v>2.9082859999999999E-2</v>
      </c>
      <c r="W4535">
        <v>0.1851756</v>
      </c>
      <c r="X4535">
        <v>0.98227500000000001</v>
      </c>
      <c r="Y4535">
        <v>2.8393049999999999E-3</v>
      </c>
      <c r="Z4535">
        <v>-5.2422340000000001E-4</v>
      </c>
      <c r="AA4535">
        <v>0.99999579999999999</v>
      </c>
      <c r="AB4535">
        <v>35</v>
      </c>
      <c r="AC4535">
        <v>-20.6111</v>
      </c>
      <c r="AD4535">
        <v>-1.1201685092579901</v>
      </c>
      <c r="AE4535">
        <v>0.36870000000001801</v>
      </c>
      <c r="AF4535">
        <v>5.8533292195518602E-2</v>
      </c>
      <c r="AG4535">
        <v>-1.1201685092579901</v>
      </c>
      <c r="AH4535">
        <v>20.553624334337002</v>
      </c>
      <c r="AI4535">
        <v>93.119510038124204</v>
      </c>
      <c r="AJ4535">
        <v>89.836831622348896</v>
      </c>
      <c r="AK4535">
        <v>20.5842094070304</v>
      </c>
      <c r="AL4535">
        <v>79.328629523098002</v>
      </c>
      <c r="AM4535">
        <v>88.304101720465994</v>
      </c>
      <c r="AN4535">
        <v>0.99999999560306896</v>
      </c>
    </row>
    <row r="4536" spans="1:40" x14ac:dyDescent="0.25">
      <c r="A4536" t="str">
        <f>"20190303162911406"</f>
        <v>20190303162911406</v>
      </c>
      <c r="B4536" t="str">
        <f>"1551601751396034"</f>
        <v>1551601751396034</v>
      </c>
      <c r="C4536" t="s">
        <v>40</v>
      </c>
      <c r="D4536">
        <v>5.1167870000000004</v>
      </c>
      <c r="E4536">
        <v>0.48852289999999998</v>
      </c>
      <c r="F4536" t="s">
        <v>41</v>
      </c>
      <c r="G4536">
        <v>-394.12920000000003</v>
      </c>
      <c r="H4536" s="1">
        <v>-3.3285469999999998E-6</v>
      </c>
      <c r="I4536">
        <v>142.7269</v>
      </c>
      <c r="J4536">
        <v>-373.42380000000003</v>
      </c>
      <c r="K4536">
        <v>1.120209</v>
      </c>
      <c r="L4536">
        <v>142.35730000000001</v>
      </c>
      <c r="M4536">
        <v>-0.99979819999999997</v>
      </c>
      <c r="N4536">
        <v>-1.236698E-2</v>
      </c>
      <c r="O4536">
        <v>1.5832510000000001E-2</v>
      </c>
      <c r="P4536">
        <v>-0.98382990000000003</v>
      </c>
      <c r="Q4536">
        <v>0.1738044</v>
      </c>
      <c r="R4536">
        <v>4.3260960000000001E-2</v>
      </c>
      <c r="S4536">
        <v>-3.0753170000000001</v>
      </c>
      <c r="T4536">
        <v>-0.16375709999999999</v>
      </c>
      <c r="U4536">
        <v>5.4885860000000002E-2</v>
      </c>
      <c r="V4536">
        <v>2.808913E-2</v>
      </c>
      <c r="W4536">
        <v>0.18590329999999999</v>
      </c>
      <c r="X4536">
        <v>0.98216650000000005</v>
      </c>
      <c r="Y4536">
        <v>2.0206260000000002E-3</v>
      </c>
      <c r="Z4536">
        <v>-5.8038179999999999E-4</v>
      </c>
      <c r="AA4536">
        <v>0.99999780000000005</v>
      </c>
      <c r="AB4536">
        <v>35</v>
      </c>
      <c r="AC4536">
        <v>-20.705400000000001</v>
      </c>
      <c r="AD4536">
        <v>-1.120212328547</v>
      </c>
      <c r="AE4536">
        <v>0.36959999999999099</v>
      </c>
      <c r="AF4536">
        <v>4.1588457195302499E-2</v>
      </c>
      <c r="AG4536">
        <v>-1.120212328547</v>
      </c>
      <c r="AH4536">
        <v>20.648236859392501</v>
      </c>
      <c r="AI4536">
        <v>93.105371649057005</v>
      </c>
      <c r="AJ4536">
        <v>89.884598386400896</v>
      </c>
      <c r="AK4536">
        <v>20.678643346756999</v>
      </c>
      <c r="AL4536">
        <v>79.286199074541301</v>
      </c>
      <c r="AM4536">
        <v>88.361835762854398</v>
      </c>
      <c r="AN4536">
        <v>1.00000003494864</v>
      </c>
    </row>
    <row r="4537" spans="1:40" x14ac:dyDescent="0.25">
      <c r="A4537" t="str">
        <f>"20190303162911430"</f>
        <v>20190303162911430</v>
      </c>
      <c r="B4537" t="str">
        <f>"1551601751416530"</f>
        <v>1551601751416530</v>
      </c>
      <c r="C4537" t="s">
        <v>40</v>
      </c>
      <c r="D4537">
        <v>4.9159739999999896</v>
      </c>
      <c r="E4537">
        <v>0.48854130000000001</v>
      </c>
      <c r="F4537" t="s">
        <v>41</v>
      </c>
      <c r="G4537">
        <v>-394.73090000000002</v>
      </c>
      <c r="H4537" s="1">
        <v>-3.0719190000000001E-6</v>
      </c>
      <c r="I4537">
        <v>142.73249999999999</v>
      </c>
      <c r="J4537">
        <v>-373.77960000000002</v>
      </c>
      <c r="K4537">
        <v>1.1202540000000001</v>
      </c>
      <c r="L4537">
        <v>142.3638</v>
      </c>
      <c r="M4537">
        <v>-0.99978489999999998</v>
      </c>
      <c r="N4537">
        <v>-1.236636E-2</v>
      </c>
      <c r="O4537">
        <v>1.6653680000000001E-2</v>
      </c>
      <c r="P4537">
        <v>-0.98376830000000004</v>
      </c>
      <c r="Q4537">
        <v>0.17412620000000001</v>
      </c>
      <c r="R4537">
        <v>4.3359590000000003E-2</v>
      </c>
      <c r="S4537">
        <v>-3.0754700000000001</v>
      </c>
      <c r="T4537">
        <v>-0.16169129999999901</v>
      </c>
      <c r="U4537">
        <v>5.41687E-2</v>
      </c>
      <c r="V4537">
        <v>2.7364260000000001E-2</v>
      </c>
      <c r="W4537">
        <v>0.18622839999999999</v>
      </c>
      <c r="X4537">
        <v>0.98212529999999998</v>
      </c>
      <c r="Y4537">
        <v>9.6739530000000001E-4</v>
      </c>
      <c r="Z4537">
        <v>-6.3758330000000005E-4</v>
      </c>
      <c r="AA4537">
        <v>0.99999930000000004</v>
      </c>
      <c r="AB4537">
        <v>35</v>
      </c>
      <c r="AC4537">
        <v>-20.9513</v>
      </c>
      <c r="AD4537">
        <v>-1.1202570719189999</v>
      </c>
      <c r="AE4537">
        <v>0.36869999999998898</v>
      </c>
      <c r="AF4537">
        <v>1.9649791255903298E-2</v>
      </c>
      <c r="AG4537">
        <v>-1.1202570719189999</v>
      </c>
      <c r="AH4537">
        <v>20.894814982883101</v>
      </c>
      <c r="AI4537">
        <v>93.068923054354002</v>
      </c>
      <c r="AJ4537">
        <v>89.946118222329005</v>
      </c>
      <c r="AK4537">
        <v>20.924833456694401</v>
      </c>
      <c r="AL4537">
        <v>79.267240371372594</v>
      </c>
      <c r="AM4537">
        <v>88.404021275520194</v>
      </c>
      <c r="AN4537">
        <v>0.99999996229599797</v>
      </c>
    </row>
    <row r="4538" spans="1:40" x14ac:dyDescent="0.25">
      <c r="A4538" t="str">
        <f>"20190303162911452"</f>
        <v>20190303162911452</v>
      </c>
      <c r="B4538" t="str">
        <f>"1551601751446785"</f>
        <v>1551601751446785</v>
      </c>
      <c r="C4538" t="s">
        <v>40</v>
      </c>
      <c r="D4538">
        <v>4.9423360000000001</v>
      </c>
      <c r="E4538">
        <v>0.48854959999999997</v>
      </c>
      <c r="F4538" t="s">
        <v>41</v>
      </c>
      <c r="G4538">
        <v>-395.1671</v>
      </c>
      <c r="H4538" s="1">
        <v>-2.8882149999999999E-6</v>
      </c>
      <c r="I4538">
        <v>142.74529999999999</v>
      </c>
      <c r="J4538">
        <v>-374.14670000000001</v>
      </c>
      <c r="K4538">
        <v>1.1202840000000001</v>
      </c>
      <c r="L4538">
        <v>142.3708</v>
      </c>
      <c r="M4538">
        <v>-0.99977090000000002</v>
      </c>
      <c r="N4538">
        <v>-1.2365950000000001E-2</v>
      </c>
      <c r="O4538">
        <v>1.7475830000000001E-2</v>
      </c>
      <c r="P4538">
        <v>-0.98358719999999999</v>
      </c>
      <c r="Q4538">
        <v>0.17516679999999901</v>
      </c>
      <c r="R4538">
        <v>4.328009E-2</v>
      </c>
      <c r="S4538">
        <v>-3.0755919999999999</v>
      </c>
      <c r="T4538">
        <v>-0.1610973</v>
      </c>
      <c r="U4538">
        <v>5.487061E-2</v>
      </c>
      <c r="V4538">
        <v>2.6467439999999998E-2</v>
      </c>
      <c r="W4538">
        <v>0.1872702</v>
      </c>
      <c r="X4538">
        <v>0.98195180000000004</v>
      </c>
      <c r="Y4538">
        <v>3.7405700000000001E-4</v>
      </c>
      <c r="Z4538">
        <v>-6.8649729999999999E-4</v>
      </c>
      <c r="AA4538">
        <v>0.99999970000000005</v>
      </c>
      <c r="AB4538">
        <v>35</v>
      </c>
      <c r="AC4538">
        <v>-21.020399999999899</v>
      </c>
      <c r="AD4538">
        <v>-1.1202868882150001</v>
      </c>
      <c r="AE4538">
        <v>0.37449999999998301</v>
      </c>
      <c r="AF4538">
        <v>7.0457983647804201E-3</v>
      </c>
      <c r="AG4538">
        <v>-1.1202868882150001</v>
      </c>
      <c r="AH4538">
        <v>20.964207163976202</v>
      </c>
      <c r="AI4538">
        <v>93.058866579338698</v>
      </c>
      <c r="AJ4538">
        <v>89.9807436316935</v>
      </c>
      <c r="AK4538">
        <v>20.994119995115199</v>
      </c>
      <c r="AL4538">
        <v>79.2064810759735</v>
      </c>
      <c r="AM4538">
        <v>88.456028574203799</v>
      </c>
      <c r="AN4538">
        <v>0.99999999535571604</v>
      </c>
    </row>
    <row r="4539" spans="1:40" x14ac:dyDescent="0.25">
      <c r="A4539" t="str">
        <f>"20190303162911474"</f>
        <v>20190303162911474</v>
      </c>
      <c r="B4539" t="str">
        <f>"1551601751466305"</f>
        <v>1551601751466305</v>
      </c>
      <c r="C4539" t="s">
        <v>40</v>
      </c>
      <c r="D4539">
        <v>4.9736200000000004</v>
      </c>
      <c r="E4539">
        <v>0.4899907</v>
      </c>
      <c r="F4539" t="s">
        <v>41</v>
      </c>
      <c r="G4539">
        <v>-395.9171</v>
      </c>
      <c r="H4539" s="1">
        <v>-2.5692220000000001E-6</v>
      </c>
      <c r="I4539">
        <v>142.75579999999999</v>
      </c>
      <c r="J4539">
        <v>-374.48500000000001</v>
      </c>
      <c r="K4539">
        <v>1.120309</v>
      </c>
      <c r="L4539">
        <v>142.3775</v>
      </c>
      <c r="M4539">
        <v>-0.99975760000000002</v>
      </c>
      <c r="N4539">
        <v>-1.23655E-2</v>
      </c>
      <c r="O4539">
        <v>1.822E-2</v>
      </c>
      <c r="P4539">
        <v>-0.98357130000000004</v>
      </c>
      <c r="Q4539">
        <v>0.1752562</v>
      </c>
      <c r="R4539">
        <v>4.3277749999999997E-2</v>
      </c>
      <c r="S4539">
        <v>-3.0758670000000001</v>
      </c>
      <c r="T4539">
        <v>-0.1582818</v>
      </c>
      <c r="U4539">
        <v>5.4397580000000001E-2</v>
      </c>
      <c r="V4539">
        <v>2.5723389999999999E-2</v>
      </c>
      <c r="W4539">
        <v>0.187362</v>
      </c>
      <c r="X4539">
        <v>0.98195399999999999</v>
      </c>
      <c r="Y4539">
        <v>-5.241941E-4</v>
      </c>
      <c r="Z4539">
        <v>-7.2834389999999998E-4</v>
      </c>
      <c r="AA4539">
        <v>0.99999959999999999</v>
      </c>
      <c r="AB4539">
        <v>35</v>
      </c>
      <c r="AC4539">
        <v>-21.432099999999899</v>
      </c>
      <c r="AD4539">
        <v>-1.120311569222</v>
      </c>
      <c r="AE4539">
        <v>0.37829999999999497</v>
      </c>
      <c r="AF4539">
        <v>-1.2252033071721199E-2</v>
      </c>
      <c r="AG4539">
        <v>-1.120311569222</v>
      </c>
      <c r="AH4539">
        <v>21.377041961153001</v>
      </c>
      <c r="AI4539">
        <v>92.999968161380906</v>
      </c>
      <c r="AJ4539">
        <v>90.032838486722</v>
      </c>
      <c r="AK4539">
        <v>21.4063815516155</v>
      </c>
      <c r="AL4539">
        <v>79.201125886690704</v>
      </c>
      <c r="AM4539">
        <v>88.499415771384704</v>
      </c>
      <c r="AN4539">
        <v>0.99999993497654305</v>
      </c>
    </row>
    <row r="4540" spans="1:40" x14ac:dyDescent="0.25">
      <c r="A4540" t="str">
        <f>"20190303162911495"</f>
        <v>20190303162911495</v>
      </c>
      <c r="B4540" t="str">
        <f>"1551601751486801"</f>
        <v>1551601751486801</v>
      </c>
      <c r="C4540" t="s">
        <v>40</v>
      </c>
      <c r="D4540">
        <v>5.0965920000000002</v>
      </c>
      <c r="E4540">
        <v>0.46010580000000001</v>
      </c>
      <c r="F4540" t="s">
        <v>41</v>
      </c>
      <c r="G4540">
        <v>-388.57900000000001</v>
      </c>
      <c r="H4540" s="1">
        <v>-1.4092169999999901E-6</v>
      </c>
      <c r="I4540">
        <v>142.68780000000001</v>
      </c>
      <c r="J4540">
        <v>-374.83179999999999</v>
      </c>
      <c r="K4540">
        <v>1.1203179999999999</v>
      </c>
      <c r="L4540">
        <v>142.38460000000001</v>
      </c>
      <c r="M4540">
        <v>-0.99974350000000001</v>
      </c>
      <c r="N4540">
        <v>-1.2365060000000001E-2</v>
      </c>
      <c r="O4540">
        <v>1.8975970000000002E-2</v>
      </c>
      <c r="P4540">
        <v>-0.98351040000000001</v>
      </c>
      <c r="Q4540">
        <v>0.1755496</v>
      </c>
      <c r="R4540">
        <v>4.3470870000000002E-2</v>
      </c>
      <c r="S4540">
        <v>-3.090881</v>
      </c>
      <c r="T4540">
        <v>-0.24569060000000001</v>
      </c>
      <c r="U4540">
        <v>6.8069459999999998E-2</v>
      </c>
      <c r="V4540">
        <v>2.5166359999999999E-2</v>
      </c>
      <c r="W4540">
        <v>0.1876562</v>
      </c>
      <c r="X4540">
        <v>0.98191229999999996</v>
      </c>
      <c r="Y4540">
        <v>3.0719969999999999E-3</v>
      </c>
      <c r="Z4540">
        <v>-1.1304259999999999E-3</v>
      </c>
      <c r="AA4540">
        <v>0.99999459999999996</v>
      </c>
      <c r="AB4540">
        <v>35</v>
      </c>
      <c r="AC4540">
        <v>-13.747199999999999</v>
      </c>
      <c r="AD4540">
        <v>-1.1203194092169999</v>
      </c>
      <c r="AE4540">
        <v>0.30320000000000302</v>
      </c>
      <c r="AF4540">
        <v>4.1980334316918999E-2</v>
      </c>
      <c r="AG4540">
        <v>-1.1203194092169999</v>
      </c>
      <c r="AH4540">
        <v>13.6598030707777</v>
      </c>
      <c r="AI4540">
        <v>94.688641915572603</v>
      </c>
      <c r="AJ4540">
        <v>89.823914854863006</v>
      </c>
      <c r="AK4540">
        <v>13.705732299281401</v>
      </c>
      <c r="AL4540">
        <v>79.183965576339304</v>
      </c>
      <c r="AM4540">
        <v>88.531833640220199</v>
      </c>
      <c r="AN4540">
        <v>0.99999997998268897</v>
      </c>
    </row>
    <row r="4541" spans="1:40" x14ac:dyDescent="0.25">
      <c r="A4541" t="str">
        <f>"20190303162911519"</f>
        <v>20190303162911519</v>
      </c>
      <c r="B4541" t="str">
        <f>"1551601751506322"</f>
        <v>1551601751506322</v>
      </c>
      <c r="C4541" t="s">
        <v>40</v>
      </c>
      <c r="D4541">
        <v>5.0709650000000002</v>
      </c>
      <c r="E4541">
        <v>0.44413380000000002</v>
      </c>
      <c r="F4541" t="s">
        <v>41</v>
      </c>
      <c r="G4541">
        <v>-393.03489999999999</v>
      </c>
      <c r="H4541" s="1">
        <v>-3.4392090000000001E-6</v>
      </c>
      <c r="I4541">
        <v>141.3784</v>
      </c>
      <c r="J4541">
        <v>-375.19310000000002</v>
      </c>
      <c r="K4541">
        <v>1.120333</v>
      </c>
      <c r="L4541">
        <v>142.39230000000001</v>
      </c>
      <c r="M4541">
        <v>-0.99972830000000001</v>
      </c>
      <c r="N4541">
        <v>-1.2364490000000001E-2</v>
      </c>
      <c r="O4541">
        <v>1.9760590000000001E-2</v>
      </c>
      <c r="P4541">
        <v>-0.98350820000000005</v>
      </c>
      <c r="Q4541">
        <v>0.17551129999999901</v>
      </c>
      <c r="R4541">
        <v>4.3674209999999998E-2</v>
      </c>
      <c r="S4541">
        <v>-3.0918580000000002</v>
      </c>
      <c r="T4541">
        <v>-0.19029119999999999</v>
      </c>
      <c r="U4541">
        <v>-0.17089840000000001</v>
      </c>
      <c r="V4541">
        <v>2.4591060000000001E-2</v>
      </c>
      <c r="W4541">
        <v>0.1876196</v>
      </c>
      <c r="X4541">
        <v>0.98193390000000003</v>
      </c>
      <c r="Y4541">
        <v>-7.4717420000000007E-2</v>
      </c>
      <c r="Z4541">
        <v>-3.7284380000000002E-3</v>
      </c>
      <c r="AA4541">
        <v>0.99719769999999996</v>
      </c>
      <c r="AB4541">
        <v>35</v>
      </c>
      <c r="AC4541">
        <v>-17.8417999999999</v>
      </c>
      <c r="AD4541">
        <v>-1.1203364392090001</v>
      </c>
      <c r="AE4541">
        <v>-1.0139</v>
      </c>
      <c r="AF4541">
        <v>-1.36094459522429</v>
      </c>
      <c r="AG4541">
        <v>-1.1203364392090001</v>
      </c>
      <c r="AH4541">
        <v>17.748522890308301</v>
      </c>
      <c r="AI4541">
        <v>93.601333936214701</v>
      </c>
      <c r="AJ4541">
        <v>94.384820780019197</v>
      </c>
      <c r="AK4541">
        <v>17.8358456125884</v>
      </c>
      <c r="AL4541">
        <v>79.186100842581595</v>
      </c>
      <c r="AM4541">
        <v>88.565413103629993</v>
      </c>
      <c r="AN4541">
        <v>1.00000000925264</v>
      </c>
    </row>
    <row r="4542" spans="1:40" x14ac:dyDescent="0.25">
      <c r="A4542" t="str">
        <f>"20190303162911541"</f>
        <v>20190303162911541</v>
      </c>
      <c r="B4542" t="str">
        <f>"1551601751536577"</f>
        <v>1551601751536577</v>
      </c>
      <c r="C4542" t="s">
        <v>40</v>
      </c>
      <c r="D4542">
        <v>4.9121870000000003</v>
      </c>
      <c r="E4542">
        <v>0.43436920000000001</v>
      </c>
      <c r="F4542" t="s">
        <v>41</v>
      </c>
      <c r="G4542">
        <v>-399.34249999999997</v>
      </c>
      <c r="H4542" s="1">
        <v>-3.820055E-7</v>
      </c>
      <c r="I4542">
        <v>140.0583</v>
      </c>
      <c r="J4542">
        <v>-375.54880000000003</v>
      </c>
      <c r="K4542">
        <v>1.1203449999999999</v>
      </c>
      <c r="L4542">
        <v>142.40010000000001</v>
      </c>
      <c r="M4542">
        <v>-0.99971279999999996</v>
      </c>
      <c r="N4542">
        <v>-1.2364099999999999E-2</v>
      </c>
      <c r="O4542">
        <v>2.05329E-2</v>
      </c>
      <c r="P4542">
        <v>-0.98346560000000005</v>
      </c>
      <c r="Q4542">
        <v>0.1755544</v>
      </c>
      <c r="R4542">
        <v>4.4460430000000002E-2</v>
      </c>
      <c r="S4542">
        <v>-3.0891419999999998</v>
      </c>
      <c r="T4542">
        <v>-0.14331089999999999</v>
      </c>
      <c r="U4542">
        <v>-0.29855350000000003</v>
      </c>
      <c r="V4542">
        <v>2.4613079999999999E-2</v>
      </c>
      <c r="W4542">
        <v>0.1876632</v>
      </c>
      <c r="X4542">
        <v>0.98192500000000005</v>
      </c>
      <c r="Y4542">
        <v>-0.1164476</v>
      </c>
      <c r="Z4542">
        <v>-4.1123430000000001E-3</v>
      </c>
      <c r="AA4542">
        <v>0.99318830000000002</v>
      </c>
      <c r="AB4542">
        <v>35</v>
      </c>
      <c r="AC4542">
        <v>-23.793699999999902</v>
      </c>
      <c r="AD4542">
        <v>-1.1203453820055</v>
      </c>
      <c r="AE4542">
        <v>-2.3418000000000001</v>
      </c>
      <c r="AF4542">
        <v>-2.8236969129561502</v>
      </c>
      <c r="AG4542">
        <v>-1.1203453820055</v>
      </c>
      <c r="AH4542">
        <v>23.6885799347152</v>
      </c>
      <c r="AI4542">
        <v>92.688765172592099</v>
      </c>
      <c r="AJ4542">
        <v>96.797626566728596</v>
      </c>
      <c r="AK4542">
        <v>23.882572251635899</v>
      </c>
      <c r="AL4542">
        <v>79.183557393933796</v>
      </c>
      <c r="AM4542">
        <v>88.564116035068906</v>
      </c>
      <c r="AN4542">
        <v>0.999999992983163</v>
      </c>
    </row>
    <row r="4543" spans="1:40" x14ac:dyDescent="0.25">
      <c r="A4543" t="str">
        <f>"20190303162911563"</f>
        <v>20190303162911563</v>
      </c>
      <c r="B4543" t="str">
        <f>"1551601751556098"</f>
        <v>1551601751556098</v>
      </c>
      <c r="C4543" t="s">
        <v>40</v>
      </c>
      <c r="D4543">
        <v>4.9518519999999997</v>
      </c>
      <c r="E4543">
        <v>0.43177959999999899</v>
      </c>
      <c r="F4543" t="s">
        <v>41</v>
      </c>
      <c r="G4543">
        <v>-395.39729999999997</v>
      </c>
      <c r="H4543" s="1">
        <v>-2.060716E-6</v>
      </c>
      <c r="I4543">
        <v>140.00649999999999</v>
      </c>
      <c r="J4543">
        <v>-375.90190000000001</v>
      </c>
      <c r="K4543">
        <v>1.1203590000000001</v>
      </c>
      <c r="L4543">
        <v>142.40819999999999</v>
      </c>
      <c r="M4543">
        <v>-0.99969669999999999</v>
      </c>
      <c r="N4543">
        <v>-1.236365E-2</v>
      </c>
      <c r="O4543">
        <v>2.130077E-2</v>
      </c>
      <c r="P4543">
        <v>-0.98354039999999998</v>
      </c>
      <c r="Q4543">
        <v>0.17501630000000001</v>
      </c>
      <c r="R4543">
        <v>4.4918220000000002E-2</v>
      </c>
      <c r="S4543">
        <v>-3.098541</v>
      </c>
      <c r="T4543">
        <v>-0.1748972</v>
      </c>
      <c r="U4543">
        <v>-0.37365720000000002</v>
      </c>
      <c r="V4543">
        <v>2.430821E-2</v>
      </c>
      <c r="W4543">
        <v>0.18712690000000001</v>
      </c>
      <c r="X4543">
        <v>0.98203490000000004</v>
      </c>
      <c r="Y4543">
        <v>-0.14055589999999901</v>
      </c>
      <c r="Z4543">
        <v>-5.7574770000000004E-3</v>
      </c>
      <c r="AA4543">
        <v>0.99005600000000005</v>
      </c>
      <c r="AB4543">
        <v>35</v>
      </c>
      <c r="AC4543">
        <v>-19.495399999999901</v>
      </c>
      <c r="AD4543">
        <v>-1.1203610607159999</v>
      </c>
      <c r="AE4543">
        <v>-2.4016999999999999</v>
      </c>
      <c r="AF4543">
        <v>-2.8073209969194002</v>
      </c>
      <c r="AG4543">
        <v>-1.1203610607159999</v>
      </c>
      <c r="AH4543">
        <v>19.3767776592206</v>
      </c>
      <c r="AI4543">
        <v>93.2750271434128</v>
      </c>
      <c r="AJ4543">
        <v>98.243692153221801</v>
      </c>
      <c r="AK4543">
        <v>19.6111134956938</v>
      </c>
      <c r="AL4543">
        <v>79.214838880193597</v>
      </c>
      <c r="AM4543">
        <v>88.582052944663204</v>
      </c>
      <c r="AN4543">
        <v>0.99999995529751096</v>
      </c>
    </row>
    <row r="4544" spans="1:40" x14ac:dyDescent="0.25">
      <c r="A4544" t="str">
        <f>"20190303162911585"</f>
        <v>20190303162911585</v>
      </c>
      <c r="B4544" t="str">
        <f>"1551601751576594"</f>
        <v>1551601751576594</v>
      </c>
      <c r="C4544" t="s">
        <v>40</v>
      </c>
      <c r="D4544">
        <v>4.8521269999999896</v>
      </c>
      <c r="E4544">
        <v>0.43084650000000002</v>
      </c>
      <c r="F4544" t="s">
        <v>41</v>
      </c>
      <c r="G4544">
        <v>-395.90570000000002</v>
      </c>
      <c r="H4544" s="1">
        <v>-1.8065059999999999E-6</v>
      </c>
      <c r="I4544">
        <v>139.8708</v>
      </c>
      <c r="J4544">
        <v>-376.24579999999997</v>
      </c>
      <c r="K4544">
        <v>1.12036</v>
      </c>
      <c r="L4544">
        <v>142.41630000000001</v>
      </c>
      <c r="M4544">
        <v>-0.99968049999999997</v>
      </c>
      <c r="N4544">
        <v>-1.2363229999999999E-2</v>
      </c>
      <c r="O4544">
        <v>2.2050009999999998E-2</v>
      </c>
      <c r="P4544">
        <v>-0.98367230000000005</v>
      </c>
      <c r="Q4544">
        <v>0.17432600000000001</v>
      </c>
      <c r="R4544">
        <v>4.4718529999999999E-2</v>
      </c>
      <c r="S4544">
        <v>-3.09903</v>
      </c>
      <c r="T4544">
        <v>-0.17356839999999901</v>
      </c>
      <c r="U4544">
        <v>-0.39308169999999998</v>
      </c>
      <c r="V4544">
        <v>2.3363829999999999E-2</v>
      </c>
      <c r="W4544">
        <v>0.1864401</v>
      </c>
      <c r="X4544">
        <v>0.98218850000000002</v>
      </c>
      <c r="Y4544">
        <v>-0.14737879999999901</v>
      </c>
      <c r="Z4544">
        <v>-5.9812149999999998E-3</v>
      </c>
      <c r="AA4544">
        <v>0.989062</v>
      </c>
      <c r="AB4544">
        <v>35</v>
      </c>
      <c r="AC4544">
        <v>-19.6599</v>
      </c>
      <c r="AD4544">
        <v>-1.1203618065059999</v>
      </c>
      <c r="AE4544">
        <v>-2.5455000000000001</v>
      </c>
      <c r="AF4544">
        <v>-2.9689323635462599</v>
      </c>
      <c r="AG4544">
        <v>-1.1203618065059999</v>
      </c>
      <c r="AH4544">
        <v>19.536587063858899</v>
      </c>
      <c r="AI4544">
        <v>93.244962832523399</v>
      </c>
      <c r="AJ4544">
        <v>98.640999905910704</v>
      </c>
      <c r="AK4544">
        <v>19.7926249916611</v>
      </c>
      <c r="AL4544">
        <v>79.2548952036733</v>
      </c>
      <c r="AM4544">
        <v>88.637332397833305</v>
      </c>
      <c r="AN4544">
        <v>1.00000001448626</v>
      </c>
    </row>
    <row r="4545" spans="1:40" x14ac:dyDescent="0.25">
      <c r="A4545" t="str">
        <f>"20190303162911606"</f>
        <v>20190303162911606</v>
      </c>
      <c r="B4545" t="str">
        <f>"1551601751596114"</f>
        <v>1551601751596114</v>
      </c>
      <c r="C4545" t="s">
        <v>40</v>
      </c>
      <c r="D4545">
        <v>4.8907160000000003</v>
      </c>
      <c r="E4545">
        <v>0.4303284</v>
      </c>
      <c r="F4545" t="s">
        <v>41</v>
      </c>
      <c r="G4545">
        <v>-394.84309999999999</v>
      </c>
      <c r="H4545" s="1">
        <v>-2.3027169999999998E-6</v>
      </c>
      <c r="I4545">
        <v>140.0224</v>
      </c>
      <c r="J4545">
        <v>-376.59059999999999</v>
      </c>
      <c r="K4545">
        <v>1.120363</v>
      </c>
      <c r="L4545">
        <v>142.4247</v>
      </c>
      <c r="M4545">
        <v>-0.99966370000000004</v>
      </c>
      <c r="N4545">
        <v>-1.236277E-2</v>
      </c>
      <c r="O4545">
        <v>2.2801709999999999E-2</v>
      </c>
      <c r="P4545">
        <v>-0.98387769999999997</v>
      </c>
      <c r="Q4545">
        <v>0.17385529999999999</v>
      </c>
      <c r="R4545">
        <v>4.1943040000000001E-2</v>
      </c>
      <c r="S4545">
        <v>-3.1010439999999999</v>
      </c>
      <c r="T4545">
        <v>-0.18681739999999999</v>
      </c>
      <c r="U4545">
        <v>-0.39915469999999997</v>
      </c>
      <c r="V4545">
        <v>1.9840710000000001E-2</v>
      </c>
      <c r="W4545">
        <v>0.1859778</v>
      </c>
      <c r="X4545">
        <v>0.98235360000000005</v>
      </c>
      <c r="Y4545">
        <v>-0.149897799999999</v>
      </c>
      <c r="Z4545">
        <v>-6.5107569999999998E-3</v>
      </c>
      <c r="AA4545">
        <v>0.98868009999999995</v>
      </c>
      <c r="AB4545">
        <v>35</v>
      </c>
      <c r="AC4545">
        <v>-18.252500000000001</v>
      </c>
      <c r="AD4545">
        <v>-1.120365302717</v>
      </c>
      <c r="AE4545">
        <v>-2.4022999999999901</v>
      </c>
      <c r="AF4545">
        <v>-2.8074976343972802</v>
      </c>
      <c r="AG4545">
        <v>-1.120365302717</v>
      </c>
      <c r="AH4545">
        <v>18.1258434126525</v>
      </c>
      <c r="AI4545">
        <v>93.495399430831299</v>
      </c>
      <c r="AJ4545">
        <v>98.804534219294197</v>
      </c>
      <c r="AK4545">
        <v>18.376165562996999</v>
      </c>
      <c r="AL4545">
        <v>79.281854352738193</v>
      </c>
      <c r="AM4545">
        <v>88.842947784736396</v>
      </c>
      <c r="AN4545">
        <v>0.999999995649552</v>
      </c>
    </row>
    <row r="4546" spans="1:40" x14ac:dyDescent="0.25">
      <c r="A4546" t="str">
        <f>"20190303162911629"</f>
        <v>20190303162911629</v>
      </c>
      <c r="B4546" t="str">
        <f>"1551601751616609"</f>
        <v>1551601751616609</v>
      </c>
      <c r="C4546" t="s">
        <v>40</v>
      </c>
      <c r="D4546">
        <v>4.9401390000000003</v>
      </c>
      <c r="E4546">
        <v>0.42962319999999998</v>
      </c>
      <c r="F4546" t="s">
        <v>41</v>
      </c>
      <c r="G4546">
        <v>-395.53179999999998</v>
      </c>
      <c r="H4546" s="1">
        <v>-1.980417E-6</v>
      </c>
      <c r="I4546">
        <v>139.92160000000001</v>
      </c>
      <c r="J4546">
        <v>-376.94240000000002</v>
      </c>
      <c r="K4546">
        <v>1.1203700000000001</v>
      </c>
      <c r="L4546">
        <v>142.43350000000001</v>
      </c>
      <c r="M4546">
        <v>-0.99964589999999998</v>
      </c>
      <c r="N4546">
        <v>-1.236227E-2</v>
      </c>
      <c r="O4546">
        <v>2.3569050000000001E-2</v>
      </c>
      <c r="P4546">
        <v>-0.98405909999999996</v>
      </c>
      <c r="Q4546">
        <v>0.17395039999999901</v>
      </c>
      <c r="R4546">
        <v>3.7007539999999998E-2</v>
      </c>
      <c r="S4546">
        <v>-3.098938</v>
      </c>
      <c r="T4546">
        <v>-0.1833012</v>
      </c>
      <c r="U4546">
        <v>-0.40951539999999997</v>
      </c>
      <c r="V4546">
        <v>1.4145120000000001E-2</v>
      </c>
      <c r="W4546">
        <v>0.1860841</v>
      </c>
      <c r="X4546">
        <v>0.98243199999999997</v>
      </c>
      <c r="Y4546">
        <v>-0.15399309999999999</v>
      </c>
      <c r="Z4546">
        <v>-6.5851879999999996E-3</v>
      </c>
      <c r="AA4546">
        <v>0.98804999999999998</v>
      </c>
      <c r="AB4546">
        <v>35</v>
      </c>
      <c r="AC4546">
        <v>-18.589399999999898</v>
      </c>
      <c r="AD4546">
        <v>-1.120371980417</v>
      </c>
      <c r="AE4546">
        <v>-2.51189999999999</v>
      </c>
      <c r="AF4546">
        <v>-2.9388862523224799</v>
      </c>
      <c r="AG4546">
        <v>-1.120371980417</v>
      </c>
      <c r="AH4546">
        <v>18.459178867500398</v>
      </c>
      <c r="AI4546">
        <v>93.430185344667194</v>
      </c>
      <c r="AJ4546">
        <v>99.046138815033203</v>
      </c>
      <c r="AK4546">
        <v>18.725212154765298</v>
      </c>
      <c r="AL4546">
        <v>79.275655713904797</v>
      </c>
      <c r="AM4546">
        <v>89.175108628356</v>
      </c>
      <c r="AN4546">
        <v>1.00000000565831</v>
      </c>
    </row>
    <row r="4547" spans="1:40" x14ac:dyDescent="0.25">
      <c r="A4547" t="str">
        <f>"20190303162911652"</f>
        <v>20190303162911652</v>
      </c>
      <c r="B4547" t="str">
        <f>"1551601751645889"</f>
        <v>1551601751645889</v>
      </c>
      <c r="C4547" t="s">
        <v>40</v>
      </c>
      <c r="D4547">
        <v>4.8915360000000003</v>
      </c>
      <c r="E4547">
        <v>0.37568410000000002</v>
      </c>
      <c r="F4547" t="s">
        <v>41</v>
      </c>
      <c r="G4547">
        <v>-395.51459999999997</v>
      </c>
      <c r="H4547" s="1">
        <v>-1.9727440000000001E-6</v>
      </c>
      <c r="I4547">
        <v>139.86500000000001</v>
      </c>
      <c r="J4547">
        <v>-377.30549999999999</v>
      </c>
      <c r="K4547">
        <v>1.1203730000000001</v>
      </c>
      <c r="L4547">
        <v>142.44280000000001</v>
      </c>
      <c r="M4547">
        <v>-0.99962680000000004</v>
      </c>
      <c r="N4547">
        <v>-1.236194E-2</v>
      </c>
      <c r="O4547">
        <v>2.4360949999999999E-2</v>
      </c>
      <c r="P4547">
        <v>-0.98435340000000005</v>
      </c>
      <c r="Q4547">
        <v>0.17402679999999901</v>
      </c>
      <c r="R4547">
        <v>2.762529E-2</v>
      </c>
      <c r="S4547">
        <v>-3.0977480000000002</v>
      </c>
      <c r="T4547">
        <v>-0.18687239999999999</v>
      </c>
      <c r="U4547">
        <v>-0.42839050000000001</v>
      </c>
      <c r="V4547">
        <v>3.9772610000000002E-3</v>
      </c>
      <c r="W4547">
        <v>0.1861797</v>
      </c>
      <c r="X4547">
        <v>0.98250760000000004</v>
      </c>
      <c r="Y4547">
        <v>-0.1607056</v>
      </c>
      <c r="Z4547">
        <v>-6.9815519999999898E-3</v>
      </c>
      <c r="AA4547">
        <v>0.98697769999999996</v>
      </c>
      <c r="AB4547">
        <v>35</v>
      </c>
      <c r="AC4547">
        <v>-18.2090999999999</v>
      </c>
      <c r="AD4547">
        <v>-1.120374972744</v>
      </c>
      <c r="AE4547">
        <v>-2.5777999999999901</v>
      </c>
      <c r="AF4547">
        <v>-3.0094904552804098</v>
      </c>
      <c r="AG4547">
        <v>-1.120374972744</v>
      </c>
      <c r="AH4547">
        <v>18.073814477428002</v>
      </c>
      <c r="AI4547">
        <v>93.4991064760478</v>
      </c>
      <c r="AJ4547">
        <v>99.453648729360594</v>
      </c>
      <c r="AK4547">
        <v>18.356879981207602</v>
      </c>
      <c r="AL4547">
        <v>79.270080120096495</v>
      </c>
      <c r="AM4547">
        <v>89.768063855602605</v>
      </c>
      <c r="AN4547">
        <v>0.99999994167745399</v>
      </c>
    </row>
    <row r="4548" spans="1:40" x14ac:dyDescent="0.25">
      <c r="A4548" t="str">
        <f>"20190303162911674"</f>
        <v>20190303162911674</v>
      </c>
      <c r="B4548" t="str">
        <f>"1551601751666385"</f>
        <v>1551601751666385</v>
      </c>
      <c r="C4548" t="s">
        <v>40</v>
      </c>
      <c r="D4548">
        <v>4.9629459999999996</v>
      </c>
      <c r="E4548">
        <v>0.3676567</v>
      </c>
      <c r="F4548" t="s">
        <v>41</v>
      </c>
      <c r="G4548">
        <v>-389.78890000000001</v>
      </c>
      <c r="H4548" s="1">
        <v>-2.4523859999999999E-7</v>
      </c>
      <c r="I4548">
        <v>138.91210000000001</v>
      </c>
      <c r="J4548">
        <v>-377.65379999999999</v>
      </c>
      <c r="K4548">
        <v>1.120377</v>
      </c>
      <c r="L4548">
        <v>142.452</v>
      </c>
      <c r="M4548">
        <v>-0.99960800000000005</v>
      </c>
      <c r="N4548">
        <v>-1.2361540000000001E-2</v>
      </c>
      <c r="O4548">
        <v>2.5120079999999999E-2</v>
      </c>
      <c r="P4548">
        <v>-0.98447220000000002</v>
      </c>
      <c r="Q4548">
        <v>0.17457029999999901</v>
      </c>
      <c r="R4548">
        <v>1.8428699999999999E-2</v>
      </c>
      <c r="S4548">
        <v>-3.1220089999999998</v>
      </c>
      <c r="T4548">
        <v>-0.28019909999999998</v>
      </c>
      <c r="U4548">
        <v>-0.88299559999999999</v>
      </c>
      <c r="V4548">
        <v>-5.9673679999999998E-3</v>
      </c>
      <c r="W4548">
        <v>0.1867395</v>
      </c>
      <c r="X4548">
        <v>0.98239140000000003</v>
      </c>
      <c r="Y4548">
        <v>-0.29491089999999998</v>
      </c>
      <c r="Z4548">
        <v>-1.6721610000000001E-2</v>
      </c>
      <c r="AA4548">
        <v>0.95537839999999996</v>
      </c>
      <c r="AB4548">
        <v>35</v>
      </c>
      <c r="AC4548">
        <v>-12.1351</v>
      </c>
      <c r="AD4548">
        <v>-1.1203772452386001</v>
      </c>
      <c r="AE4548">
        <v>-3.5398999999999798</v>
      </c>
      <c r="AF4548">
        <v>-3.8136823152259298</v>
      </c>
      <c r="AG4548">
        <v>-1.1203772452386001</v>
      </c>
      <c r="AH4548">
        <v>11.9484792274057</v>
      </c>
      <c r="AI4548">
        <v>95.104546076879004</v>
      </c>
      <c r="AJ4548">
        <v>107.701898221826</v>
      </c>
      <c r="AK4548">
        <v>12.592282311831299</v>
      </c>
      <c r="AL4548">
        <v>79.237434653978298</v>
      </c>
      <c r="AM4548">
        <v>90.348029101386402</v>
      </c>
      <c r="AN4548">
        <v>1.00000005656752</v>
      </c>
    </row>
    <row r="4549" spans="1:40" x14ac:dyDescent="0.25">
      <c r="A4549" t="str">
        <f>"20190303162911696"</f>
        <v>20190303162911696</v>
      </c>
      <c r="B4549" t="str">
        <f>"1551601751685905"</f>
        <v>1551601751685905</v>
      </c>
      <c r="C4549" t="s">
        <v>40</v>
      </c>
      <c r="D4549">
        <v>4.9072389999999997</v>
      </c>
      <c r="E4549">
        <v>0.3679248</v>
      </c>
      <c r="F4549" t="s">
        <v>41</v>
      </c>
      <c r="G4549">
        <v>-389.12310000000002</v>
      </c>
      <c r="H4549" s="1">
        <v>-4.9081620000000003E-7</v>
      </c>
      <c r="I4549">
        <v>138.87020000000001</v>
      </c>
      <c r="J4549">
        <v>-377.99540000000002</v>
      </c>
      <c r="K4549">
        <v>1.1203799999999999</v>
      </c>
      <c r="L4549">
        <v>142.46129999999999</v>
      </c>
      <c r="M4549">
        <v>-0.99958910000000001</v>
      </c>
      <c r="N4549">
        <v>-1.2361230000000001E-2</v>
      </c>
      <c r="O4549">
        <v>2.5864620000000001E-2</v>
      </c>
      <c r="P4549">
        <v>-0.98443820000000004</v>
      </c>
      <c r="Q4549">
        <v>0.1754888</v>
      </c>
      <c r="R4549">
        <v>9.2401089999999998E-3</v>
      </c>
      <c r="S4549">
        <v>-3.1195979999999999</v>
      </c>
      <c r="T4549">
        <v>-0.30473850000000002</v>
      </c>
      <c r="U4549">
        <v>-0.97421259999999998</v>
      </c>
      <c r="V4549">
        <v>-1.5884189999999999E-2</v>
      </c>
      <c r="W4549">
        <v>0.18767259999999999</v>
      </c>
      <c r="X4549">
        <v>0.98210319999999995</v>
      </c>
      <c r="Y4549">
        <v>-0.32101000000000002</v>
      </c>
      <c r="Z4549">
        <v>-1.946869E-2</v>
      </c>
      <c r="AA4549">
        <v>0.94687569999999999</v>
      </c>
      <c r="AB4549">
        <v>35</v>
      </c>
      <c r="AC4549">
        <v>-11.127700000000001</v>
      </c>
      <c r="AD4549">
        <v>-1.1203804908161901</v>
      </c>
      <c r="AE4549">
        <v>-3.59109999999998</v>
      </c>
      <c r="AF4549">
        <v>-3.8424562486663199</v>
      </c>
      <c r="AG4549">
        <v>-1.1203804908161901</v>
      </c>
      <c r="AH4549">
        <v>10.930731305232401</v>
      </c>
      <c r="AI4549">
        <v>95.523194951274803</v>
      </c>
      <c r="AJ4549">
        <v>109.367994046634</v>
      </c>
      <c r="AK4549">
        <v>11.6404728999429</v>
      </c>
      <c r="AL4549">
        <v>79.183009190444693</v>
      </c>
      <c r="AM4549">
        <v>90.926600894861096</v>
      </c>
      <c r="AN4549">
        <v>1.00000000386647</v>
      </c>
    </row>
    <row r="4550" spans="1:40" x14ac:dyDescent="0.25">
      <c r="A4550" t="str">
        <f>"20190303162911719"</f>
        <v>20190303162911719</v>
      </c>
      <c r="B4550" t="str">
        <f>"1551601751706401"</f>
        <v>1551601751706401</v>
      </c>
      <c r="C4550" t="s">
        <v>40</v>
      </c>
      <c r="D4550">
        <v>4.9324059999999896</v>
      </c>
      <c r="E4550">
        <v>0.36923689999999998</v>
      </c>
      <c r="F4550" t="s">
        <v>41</v>
      </c>
      <c r="G4550">
        <v>-389.34890000000001</v>
      </c>
      <c r="H4550" s="1">
        <v>-4.217875E-7</v>
      </c>
      <c r="I4550">
        <v>138.81129999999999</v>
      </c>
      <c r="J4550">
        <v>-378.34870000000001</v>
      </c>
      <c r="K4550">
        <v>1.120384</v>
      </c>
      <c r="L4550">
        <v>142.47120000000001</v>
      </c>
      <c r="M4550">
        <v>-0.99956880000000004</v>
      </c>
      <c r="N4550">
        <v>-1.2360879999999999E-2</v>
      </c>
      <c r="O4550">
        <v>2.663461E-2</v>
      </c>
      <c r="P4550">
        <v>-0.98442689999999999</v>
      </c>
      <c r="Q4550">
        <v>0.17579249999999999</v>
      </c>
      <c r="R4550">
        <v>8.106837E-4</v>
      </c>
      <c r="S4550">
        <v>-3.1115719999999998</v>
      </c>
      <c r="T4550">
        <v>-0.30705579999999999</v>
      </c>
      <c r="U4550">
        <v>-1.000305</v>
      </c>
      <c r="V4550">
        <v>-2.506852E-2</v>
      </c>
      <c r="W4550">
        <v>0.18798960000000001</v>
      </c>
      <c r="X4550">
        <v>0.98185100000000003</v>
      </c>
      <c r="Y4550">
        <v>-0.3295612</v>
      </c>
      <c r="Z4550">
        <v>-2.0157729999999999E-2</v>
      </c>
      <c r="AA4550">
        <v>0.94391899999999995</v>
      </c>
      <c r="AB4550">
        <v>35</v>
      </c>
      <c r="AC4550">
        <v>-11.0002</v>
      </c>
      <c r="AD4550">
        <v>-1.1203844217874901</v>
      </c>
      <c r="AE4550">
        <v>-3.6599000000000199</v>
      </c>
      <c r="AF4550">
        <v>-3.9150441264257001</v>
      </c>
      <c r="AG4550">
        <v>-1.1203844217874901</v>
      </c>
      <c r="AH4550">
        <v>10.797958776250301</v>
      </c>
      <c r="AI4550">
        <v>95.571303744105293</v>
      </c>
      <c r="AJ4550">
        <v>109.92925777262199</v>
      </c>
      <c r="AK4550">
        <v>11.5403095928162</v>
      </c>
      <c r="AL4550">
        <v>79.164516742944699</v>
      </c>
      <c r="AM4550">
        <v>91.462552276102002</v>
      </c>
      <c r="AN4550">
        <v>0.99999995330207403</v>
      </c>
    </row>
    <row r="4551" spans="1:40" x14ac:dyDescent="0.25">
      <c r="A4551" t="str">
        <f>"20190303162911742"</f>
        <v>20190303162911742</v>
      </c>
      <c r="B4551" t="str">
        <f>"1551601751736660"</f>
        <v>1551601751736660</v>
      </c>
      <c r="C4551" t="s">
        <v>40</v>
      </c>
      <c r="D4551">
        <v>4.9738089999999904</v>
      </c>
      <c r="E4551">
        <v>0.37178670000000003</v>
      </c>
      <c r="F4551" t="s">
        <v>41</v>
      </c>
      <c r="G4551">
        <v>-389.53640000000001</v>
      </c>
      <c r="H4551" s="1">
        <v>-3.5705939999999999E-7</v>
      </c>
      <c r="I4551">
        <v>138.81479999999999</v>
      </c>
      <c r="J4551">
        <v>-378.72469999999998</v>
      </c>
      <c r="K4551">
        <v>1.12039</v>
      </c>
      <c r="L4551">
        <v>142.482</v>
      </c>
      <c r="M4551">
        <v>-0.99954659999999995</v>
      </c>
      <c r="N4551">
        <v>-1.2360350000000001E-2</v>
      </c>
      <c r="O4551">
        <v>2.745473E-2</v>
      </c>
      <c r="P4551">
        <v>-0.98433139999999997</v>
      </c>
      <c r="Q4551">
        <v>0.1761711</v>
      </c>
      <c r="R4551">
        <v>-7.4325569999999898E-3</v>
      </c>
      <c r="S4551">
        <v>-3.1037599999999999</v>
      </c>
      <c r="T4551">
        <v>-0.31082510000000002</v>
      </c>
      <c r="U4551">
        <v>-1.0143740000000001</v>
      </c>
      <c r="V4551">
        <v>-3.4113310000000001E-2</v>
      </c>
      <c r="W4551">
        <v>0.18837970000000001</v>
      </c>
      <c r="X4551">
        <v>0.98150360000000003</v>
      </c>
      <c r="Y4551">
        <v>-0.33481689999999997</v>
      </c>
      <c r="Z4551">
        <v>-2.077557E-2</v>
      </c>
      <c r="AA4551">
        <v>0.94205419999999995</v>
      </c>
      <c r="AB4551">
        <v>35</v>
      </c>
      <c r="AC4551">
        <v>-10.8117</v>
      </c>
      <c r="AD4551">
        <v>-1.1203903570593901</v>
      </c>
      <c r="AE4551">
        <v>-3.6671999999999998</v>
      </c>
      <c r="AF4551">
        <v>-3.9248732201850598</v>
      </c>
      <c r="AG4551">
        <v>-1.1203903570593901</v>
      </c>
      <c r="AH4551">
        <v>10.604802737923</v>
      </c>
      <c r="AI4551">
        <v>95.658463227732099</v>
      </c>
      <c r="AJ4551">
        <v>110.309682967058</v>
      </c>
      <c r="AK4551">
        <v>11.363174972558401</v>
      </c>
      <c r="AL4551">
        <v>79.141759278829497</v>
      </c>
      <c r="AM4551">
        <v>91.9905808109162</v>
      </c>
      <c r="AN4551">
        <v>0.99999997305210198</v>
      </c>
    </row>
    <row r="4552" spans="1:40" x14ac:dyDescent="0.25">
      <c r="A4552" t="str">
        <f>"20190303162911765"</f>
        <v>20190303162911765</v>
      </c>
      <c r="B4552" t="str">
        <f>"1551601751756179"</f>
        <v>1551601751756179</v>
      </c>
      <c r="C4552" t="s">
        <v>40</v>
      </c>
      <c r="D4552">
        <v>4.9707730000000003</v>
      </c>
      <c r="E4552">
        <v>0.3733996</v>
      </c>
      <c r="F4552" t="s">
        <v>41</v>
      </c>
      <c r="G4552">
        <v>-389.86169999999998</v>
      </c>
      <c r="H4552" s="1">
        <v>-2.4476090000000001E-7</v>
      </c>
      <c r="I4552">
        <v>138.82079999999999</v>
      </c>
      <c r="J4552">
        <v>-379.08</v>
      </c>
      <c r="K4552">
        <v>1.1203959999999999</v>
      </c>
      <c r="L4552">
        <v>142.49260000000001</v>
      </c>
      <c r="M4552">
        <v>-0.99952510000000006</v>
      </c>
      <c r="N4552">
        <v>-1.23596E-2</v>
      </c>
      <c r="O4552">
        <v>2.822914E-2</v>
      </c>
      <c r="P4552">
        <v>-0.98410140000000002</v>
      </c>
      <c r="Q4552">
        <v>0.17710970000000001</v>
      </c>
      <c r="R4552">
        <v>-1.3285419999999999E-2</v>
      </c>
      <c r="S4552">
        <v>-3.0957949999999999</v>
      </c>
      <c r="T4552">
        <v>-0.31144240000000001</v>
      </c>
      <c r="U4552">
        <v>-1.0177</v>
      </c>
      <c r="V4552">
        <v>-4.0718030000000002E-2</v>
      </c>
      <c r="W4552">
        <v>0.18932470000000001</v>
      </c>
      <c r="X4552">
        <v>0.98106990000000005</v>
      </c>
      <c r="Y4552">
        <v>-0.33714519999999998</v>
      </c>
      <c r="Z4552">
        <v>-2.1052149999999999E-2</v>
      </c>
      <c r="AA4552">
        <v>0.94121719999999998</v>
      </c>
      <c r="AB4552">
        <v>35</v>
      </c>
      <c r="AC4552">
        <v>-10.781700000000001</v>
      </c>
      <c r="AD4552">
        <v>-1.1203962447608999</v>
      </c>
      <c r="AE4552">
        <v>-3.6718000000000099</v>
      </c>
      <c r="AF4552">
        <v>-3.9366256073363801</v>
      </c>
      <c r="AG4552">
        <v>-1.1203962447608999</v>
      </c>
      <c r="AH4552">
        <v>10.571449703015301</v>
      </c>
      <c r="AI4552">
        <v>95.672036612247595</v>
      </c>
      <c r="AJ4552">
        <v>110.42446319988299</v>
      </c>
      <c r="AK4552">
        <v>11.3361306335536</v>
      </c>
      <c r="AL4552">
        <v>79.086622622023597</v>
      </c>
      <c r="AM4552">
        <v>92.376622800441595</v>
      </c>
      <c r="AN4552">
        <v>0.99999997434159005</v>
      </c>
    </row>
    <row r="4553" spans="1:40" x14ac:dyDescent="0.25">
      <c r="A4553" t="str">
        <f>"20190303162911787"</f>
        <v>20190303162911787</v>
      </c>
      <c r="B4553" t="str">
        <f>"1551601751776674"</f>
        <v>1551601751776674</v>
      </c>
      <c r="C4553" t="s">
        <v>40</v>
      </c>
      <c r="D4553">
        <v>4.9909499999999998</v>
      </c>
      <c r="E4553">
        <v>0.37514730000000002</v>
      </c>
      <c r="F4553" t="s">
        <v>41</v>
      </c>
      <c r="G4553">
        <v>-390.6087</v>
      </c>
      <c r="H4553" s="1">
        <v>-4.1776870000000001E-6</v>
      </c>
      <c r="I4553">
        <v>138.6772</v>
      </c>
      <c r="J4553">
        <v>-379.42759999999998</v>
      </c>
      <c r="K4553">
        <v>1.120401</v>
      </c>
      <c r="L4553">
        <v>142.50309999999999</v>
      </c>
      <c r="M4553">
        <v>-0.99950349999999999</v>
      </c>
      <c r="N4553">
        <v>-1.235937E-2</v>
      </c>
      <c r="O4553">
        <v>2.8986439999999999E-2</v>
      </c>
      <c r="P4553">
        <v>-0.98370429999999998</v>
      </c>
      <c r="Q4553">
        <v>0.17896429999999999</v>
      </c>
      <c r="R4553">
        <v>-1.7264599999999901E-2</v>
      </c>
      <c r="S4553">
        <v>-3.0887150000000001</v>
      </c>
      <c r="T4553">
        <v>-0.30017139999999998</v>
      </c>
      <c r="U4553">
        <v>-1.0221559999999901</v>
      </c>
      <c r="V4553">
        <v>-4.5425779999999999E-2</v>
      </c>
      <c r="W4553">
        <v>0.1911803</v>
      </c>
      <c r="X4553">
        <v>0.98050320000000002</v>
      </c>
      <c r="Y4553">
        <v>-0.33982370000000001</v>
      </c>
      <c r="Z4553">
        <v>-2.0601270000000001E-2</v>
      </c>
      <c r="AA4553">
        <v>0.94026350000000003</v>
      </c>
      <c r="AB4553">
        <v>35</v>
      </c>
      <c r="AC4553">
        <v>-11.181100000000001</v>
      </c>
      <c r="AD4553">
        <v>-1.1204051776870001</v>
      </c>
      <c r="AE4553">
        <v>-3.8258999999999901</v>
      </c>
      <c r="AF4553">
        <v>-4.1114605893110898</v>
      </c>
      <c r="AG4553">
        <v>-1.1204051776870001</v>
      </c>
      <c r="AH4553">
        <v>10.966915416806</v>
      </c>
      <c r="AI4553">
        <v>95.464331406772004</v>
      </c>
      <c r="AJ4553">
        <v>110.550856958433</v>
      </c>
      <c r="AK4553">
        <v>11.765740507890801</v>
      </c>
      <c r="AL4553">
        <v>78.978326463024004</v>
      </c>
      <c r="AM4553">
        <v>92.652562212193203</v>
      </c>
      <c r="AN4553">
        <v>0.99999996690346804</v>
      </c>
    </row>
    <row r="4554" spans="1:40" x14ac:dyDescent="0.25">
      <c r="A4554" t="str">
        <f>"20190303162911808"</f>
        <v>20190303162911808</v>
      </c>
      <c r="B4554" t="str">
        <f>"1551601751796193"</f>
        <v>1551601751796193</v>
      </c>
      <c r="C4554" t="s">
        <v>40</v>
      </c>
      <c r="D4554">
        <v>4.9807230000000002</v>
      </c>
      <c r="E4554">
        <v>0.37666430000000001</v>
      </c>
      <c r="F4554" t="s">
        <v>41</v>
      </c>
      <c r="G4554">
        <v>-391.42110000000002</v>
      </c>
      <c r="H4554" s="1">
        <v>-3.8535359999999998E-6</v>
      </c>
      <c r="I4554">
        <v>138.5401</v>
      </c>
      <c r="J4554">
        <v>-379.77069999999998</v>
      </c>
      <c r="K4554">
        <v>1.1204069999999999</v>
      </c>
      <c r="L4554">
        <v>142.5138</v>
      </c>
      <c r="M4554">
        <v>-0.99948159999999997</v>
      </c>
      <c r="N4554">
        <v>-1.2359230000000001E-2</v>
      </c>
      <c r="O4554">
        <v>2.973433E-2</v>
      </c>
      <c r="P4554">
        <v>-0.98351820000000001</v>
      </c>
      <c r="Q4554">
        <v>0.18001779999999901</v>
      </c>
      <c r="R4554">
        <v>-1.6908240000000001E-2</v>
      </c>
      <c r="S4554">
        <v>-3.0842589999999999</v>
      </c>
      <c r="T4554">
        <v>-0.28812539999999998</v>
      </c>
      <c r="U4554">
        <v>-1.0191190000000001</v>
      </c>
      <c r="V4554">
        <v>-4.579772E-2</v>
      </c>
      <c r="W4554">
        <v>0.1922315</v>
      </c>
      <c r="X4554">
        <v>0.98028040000000005</v>
      </c>
      <c r="Y4554">
        <v>-0.34021899999999999</v>
      </c>
      <c r="Z4554">
        <v>-1.995659E-2</v>
      </c>
      <c r="AA4554">
        <v>0.94013449999999998</v>
      </c>
      <c r="AB4554">
        <v>35</v>
      </c>
      <c r="AC4554">
        <v>-11.650399999999999</v>
      </c>
      <c r="AD4554">
        <v>-1.120410853536</v>
      </c>
      <c r="AE4554">
        <v>-3.9737</v>
      </c>
      <c r="AF4554">
        <v>-4.2829032310708302</v>
      </c>
      <c r="AG4554">
        <v>-1.120410853536</v>
      </c>
      <c r="AH4554">
        <v>11.432369381801999</v>
      </c>
      <c r="AI4554">
        <v>95.2436084993452</v>
      </c>
      <c r="AJ4554">
        <v>110.53743381125</v>
      </c>
      <c r="AK4554">
        <v>12.259594212265</v>
      </c>
      <c r="AL4554">
        <v>78.916959529512496</v>
      </c>
      <c r="AM4554">
        <v>92.674856548832096</v>
      </c>
      <c r="AN4554">
        <v>1.0000000216867999</v>
      </c>
    </row>
    <row r="4555" spans="1:40" x14ac:dyDescent="0.25">
      <c r="A4555" t="str">
        <f>"20190303162911831"</f>
        <v>20190303162911831</v>
      </c>
      <c r="B4555" t="str">
        <f>"1551601751826449"</f>
        <v>1551601751826449</v>
      </c>
      <c r="C4555" t="s">
        <v>40</v>
      </c>
      <c r="D4555">
        <v>4.9950729999999997</v>
      </c>
      <c r="E4555">
        <v>0.3788126</v>
      </c>
      <c r="F4555" t="s">
        <v>41</v>
      </c>
      <c r="G4555">
        <v>-392.12479999999999</v>
      </c>
      <c r="H4555" s="1">
        <v>-3.5619749999999999E-6</v>
      </c>
      <c r="I4555">
        <v>138.48169999999999</v>
      </c>
      <c r="J4555">
        <v>-380.12329999999997</v>
      </c>
      <c r="K4555">
        <v>1.120414</v>
      </c>
      <c r="L4555">
        <v>142.52510000000001</v>
      </c>
      <c r="M4555">
        <v>-0.99945830000000002</v>
      </c>
      <c r="N4555">
        <v>-1.2359220000000001E-2</v>
      </c>
      <c r="O4555">
        <v>3.0502950000000001E-2</v>
      </c>
      <c r="P4555">
        <v>-0.98335839999999997</v>
      </c>
      <c r="Q4555">
        <v>0.1806971</v>
      </c>
      <c r="R4555">
        <v>-1.884568E-2</v>
      </c>
      <c r="S4555">
        <v>-3.0841669999999999</v>
      </c>
      <c r="T4555">
        <v>-0.27970699999999998</v>
      </c>
      <c r="U4555">
        <v>-1.0065919999999999</v>
      </c>
      <c r="V4555">
        <v>-4.8483819999999997E-2</v>
      </c>
      <c r="W4555">
        <v>0.19291269999999999</v>
      </c>
      <c r="X4555">
        <v>0.98001740000000004</v>
      </c>
      <c r="Y4555">
        <v>-0.33759699999999998</v>
      </c>
      <c r="Z4555">
        <v>-1.9364200000000002E-2</v>
      </c>
      <c r="AA4555">
        <v>0.94109149999999997</v>
      </c>
      <c r="AB4555">
        <v>35</v>
      </c>
      <c r="AC4555">
        <v>-12.0015</v>
      </c>
      <c r="AD4555">
        <v>-1.1204175619750001</v>
      </c>
      <c r="AE4555">
        <v>-4.0434000000000196</v>
      </c>
      <c r="AF4555">
        <v>-4.3733967127560396</v>
      </c>
      <c r="AG4555">
        <v>-1.1204175619750001</v>
      </c>
      <c r="AH4555">
        <v>11.7803645065626</v>
      </c>
      <c r="AI4555">
        <v>95.095180876490701</v>
      </c>
      <c r="AJ4555">
        <v>110.36717178713199</v>
      </c>
      <c r="AK4555">
        <v>12.615820315294901</v>
      </c>
      <c r="AL4555">
        <v>78.877185471508</v>
      </c>
      <c r="AM4555">
        <v>92.832250985561004</v>
      </c>
      <c r="AN4555">
        <v>1.00000004746292</v>
      </c>
    </row>
    <row r="4556" spans="1:40" x14ac:dyDescent="0.25">
      <c r="A4556" t="str">
        <f>"20190303162911853"</f>
        <v>20190303162911853</v>
      </c>
      <c r="B4556" t="str">
        <f>"1551601751845970"</f>
        <v>1551601751845970</v>
      </c>
      <c r="C4556" t="s">
        <v>40</v>
      </c>
      <c r="D4556">
        <v>5.0263929999999997</v>
      </c>
      <c r="E4556">
        <v>0.37996950000000002</v>
      </c>
      <c r="F4556" t="s">
        <v>41</v>
      </c>
      <c r="G4556">
        <v>-392.86579999999998</v>
      </c>
      <c r="H4556" s="1">
        <v>-3.256321E-6</v>
      </c>
      <c r="I4556">
        <v>138.4127</v>
      </c>
      <c r="J4556">
        <v>-380.47190000000001</v>
      </c>
      <c r="K4556">
        <v>1.120412</v>
      </c>
      <c r="L4556">
        <v>142.53649999999999</v>
      </c>
      <c r="M4556">
        <v>-0.99943490000000001</v>
      </c>
      <c r="N4556">
        <v>-1.2359200000000001E-2</v>
      </c>
      <c r="O4556">
        <v>3.126288E-2</v>
      </c>
      <c r="P4556">
        <v>-0.98337229999999998</v>
      </c>
      <c r="Q4556">
        <v>0.1804915</v>
      </c>
      <c r="R4556">
        <v>-2.0057519999999999E-2</v>
      </c>
      <c r="S4556">
        <v>-3.0814819999999998</v>
      </c>
      <c r="T4556">
        <v>-0.27094639999999998</v>
      </c>
      <c r="U4556">
        <v>-0.99447629999999998</v>
      </c>
      <c r="V4556">
        <v>-5.0443330000000002E-2</v>
      </c>
      <c r="W4556">
        <v>0.19270970000000001</v>
      </c>
      <c r="X4556">
        <v>0.97995840000000001</v>
      </c>
      <c r="Y4556">
        <v>-0.33529829999999999</v>
      </c>
      <c r="Z4556">
        <v>-1.8780910000000001E-2</v>
      </c>
      <c r="AA4556">
        <v>0.94192480000000001</v>
      </c>
      <c r="AB4556">
        <v>35</v>
      </c>
      <c r="AC4556">
        <v>-12.393899999999901</v>
      </c>
      <c r="AD4556">
        <v>-1.1204152563209999</v>
      </c>
      <c r="AE4556">
        <v>-4.1237999999999797</v>
      </c>
      <c r="AF4556">
        <v>-4.4763469024494098</v>
      </c>
      <c r="AG4556">
        <v>-1.1204152563209999</v>
      </c>
      <c r="AH4556">
        <v>12.169370610129301</v>
      </c>
      <c r="AI4556">
        <v>94.938556449571493</v>
      </c>
      <c r="AJ4556">
        <v>110.195398239779</v>
      </c>
      <c r="AK4556">
        <v>13.014860467340499</v>
      </c>
      <c r="AL4556">
        <v>78.8890385335893</v>
      </c>
      <c r="AM4556">
        <v>92.946697817478295</v>
      </c>
      <c r="AN4556">
        <v>1.0000000118730601</v>
      </c>
    </row>
    <row r="4557" spans="1:40" x14ac:dyDescent="0.25">
      <c r="A4557" t="str">
        <f>"20190303162911868"</f>
        <v>20190303162911868</v>
      </c>
      <c r="B4557" t="str">
        <f>"1551601751856707"</f>
        <v>1551601751856707</v>
      </c>
      <c r="C4557" t="s">
        <v>40</v>
      </c>
      <c r="D4557">
        <v>5.0410719999999998</v>
      </c>
      <c r="E4557">
        <v>0.37996950000000002</v>
      </c>
      <c r="F4557" t="s">
        <v>41</v>
      </c>
      <c r="G4557">
        <v>-393.25889999999998</v>
      </c>
      <c r="H4557" s="1">
        <v>-3.083807E-6</v>
      </c>
      <c r="I4557">
        <v>138.43459999999999</v>
      </c>
      <c r="J4557">
        <v>-380.70569999999998</v>
      </c>
      <c r="K4557">
        <v>1.1204130000000001</v>
      </c>
      <c r="L4557">
        <v>142.54429999999999</v>
      </c>
      <c r="M4557">
        <v>-0.99941880000000005</v>
      </c>
      <c r="N4557">
        <v>-1.235908E-2</v>
      </c>
      <c r="O4557">
        <v>3.1772359999999999E-2</v>
      </c>
      <c r="P4557">
        <v>-0.98339460000000001</v>
      </c>
      <c r="Q4557">
        <v>0.18035979999999999</v>
      </c>
      <c r="R4557">
        <v>-2.0147669999999999E-2</v>
      </c>
      <c r="S4557">
        <v>-3.0801090000000002</v>
      </c>
      <c r="T4557">
        <v>-0.26988430000000002</v>
      </c>
      <c r="U4557">
        <v>-0.9880371</v>
      </c>
      <c r="V4557">
        <v>-5.1034820000000002E-2</v>
      </c>
      <c r="W4557">
        <v>0.19257859999999999</v>
      </c>
      <c r="X4557">
        <v>0.97995350000000003</v>
      </c>
      <c r="Y4557">
        <v>-0.33412839999999999</v>
      </c>
      <c r="Z4557">
        <v>-1.8706190000000001E-2</v>
      </c>
      <c r="AA4557">
        <v>0.94234189999999995</v>
      </c>
      <c r="AB4557">
        <v>35</v>
      </c>
      <c r="AC4557">
        <v>-12.5532</v>
      </c>
      <c r="AD4557">
        <v>-1.1204160838070001</v>
      </c>
      <c r="AE4557">
        <v>-4.1097000000000001</v>
      </c>
      <c r="AF4557">
        <v>-4.4743073308793404</v>
      </c>
      <c r="AG4557">
        <v>-1.1204160838070001</v>
      </c>
      <c r="AH4557">
        <v>12.327579349409399</v>
      </c>
      <c r="AI4557">
        <v>94.883135628441707</v>
      </c>
      <c r="AJ4557">
        <v>109.94841686422301</v>
      </c>
      <c r="AK4557">
        <v>13.162217552829</v>
      </c>
      <c r="AL4557">
        <v>78.896692881102894</v>
      </c>
      <c r="AM4557">
        <v>92.981203211734396</v>
      </c>
      <c r="AN4557">
        <v>0.99999996609632003</v>
      </c>
    </row>
    <row r="4558" spans="1:40" x14ac:dyDescent="0.25">
      <c r="A4558" t="str">
        <f>"20190303162911885"</f>
        <v>20190303162911885</v>
      </c>
      <c r="B4558" t="str">
        <f>"1551601751876226"</f>
        <v>1551601751876226</v>
      </c>
      <c r="C4558" t="s">
        <v>40</v>
      </c>
      <c r="D4558">
        <v>5.127211</v>
      </c>
      <c r="E4558">
        <v>0.40189170000000002</v>
      </c>
      <c r="F4558" t="s">
        <v>41</v>
      </c>
      <c r="G4558">
        <v>-393.43599999999998</v>
      </c>
      <c r="H4558" s="1">
        <v>-3.0028849999999999E-6</v>
      </c>
      <c r="I4558">
        <v>138.46250000000001</v>
      </c>
      <c r="J4558">
        <v>-380.98809999999997</v>
      </c>
      <c r="K4558">
        <v>1.1204149999999999</v>
      </c>
      <c r="L4558">
        <v>142.5539</v>
      </c>
      <c r="M4558">
        <v>-0.99939900000000004</v>
      </c>
      <c r="N4558">
        <v>-1.2358839999999999E-2</v>
      </c>
      <c r="O4558">
        <v>3.2387989999999998E-2</v>
      </c>
      <c r="P4558">
        <v>-0.98348500000000005</v>
      </c>
      <c r="Q4558">
        <v>0.17991409999999999</v>
      </c>
      <c r="R4558">
        <v>-1.9707990000000002E-2</v>
      </c>
      <c r="S4558">
        <v>-3.0801699999999999</v>
      </c>
      <c r="T4558">
        <v>-0.27109250000000001</v>
      </c>
      <c r="U4558">
        <v>-0.98760990000000004</v>
      </c>
      <c r="V4558">
        <v>-5.1204329999999999E-2</v>
      </c>
      <c r="W4558">
        <v>0.1921341</v>
      </c>
      <c r="X4558">
        <v>0.98003200000000001</v>
      </c>
      <c r="Y4558">
        <v>-0.33456909999999901</v>
      </c>
      <c r="Z4558">
        <v>-1.8849029999999999E-2</v>
      </c>
      <c r="AA4558">
        <v>0.94218270000000004</v>
      </c>
      <c r="AB4558">
        <v>35</v>
      </c>
      <c r="AC4558">
        <v>-12.447900000000001</v>
      </c>
      <c r="AD4558">
        <v>-1.1204180028849999</v>
      </c>
      <c r="AE4558">
        <v>-4.0913999999999904</v>
      </c>
      <c r="AF4558">
        <v>-4.4598376458259903</v>
      </c>
      <c r="AG4558">
        <v>-1.1204180028849999</v>
      </c>
      <c r="AH4558">
        <v>12.2195013521559</v>
      </c>
      <c r="AI4558">
        <v>94.922931518591795</v>
      </c>
      <c r="AJ4558">
        <v>110.050922158822</v>
      </c>
      <c r="AK4558">
        <v>13.056098254212699</v>
      </c>
      <c r="AL4558">
        <v>78.922646553553705</v>
      </c>
      <c r="AM4558">
        <v>92.990848052008204</v>
      </c>
      <c r="AN4558">
        <v>1.00000005840877</v>
      </c>
    </row>
    <row r="4559" spans="1:40" x14ac:dyDescent="0.25">
      <c r="A4559" t="str">
        <f>"20190303162911909"</f>
        <v>20190303162911909</v>
      </c>
      <c r="B4559" t="str">
        <f>"1551601751896722"</f>
        <v>1551601751896722</v>
      </c>
      <c r="C4559" t="s">
        <v>40</v>
      </c>
      <c r="D4559">
        <v>4.9312199999999997</v>
      </c>
      <c r="E4559">
        <v>0.4477295</v>
      </c>
      <c r="F4559" t="s">
        <v>41</v>
      </c>
      <c r="G4559">
        <v>-394.65269999999998</v>
      </c>
      <c r="H4559" s="1">
        <v>-2.3936389999999999E-6</v>
      </c>
      <c r="I4559">
        <v>138.9546</v>
      </c>
      <c r="J4559">
        <v>-381.34469999999999</v>
      </c>
      <c r="K4559">
        <v>1.1204130000000001</v>
      </c>
      <c r="L4559">
        <v>142.56620000000001</v>
      </c>
      <c r="M4559">
        <v>-0.99937339999999997</v>
      </c>
      <c r="N4559">
        <v>-1.2358640000000001E-2</v>
      </c>
      <c r="O4559">
        <v>3.3164909999999999E-2</v>
      </c>
      <c r="P4559">
        <v>-0.98372040000000005</v>
      </c>
      <c r="Q4559">
        <v>0.1787743</v>
      </c>
      <c r="R4559">
        <v>-1.827631E-2</v>
      </c>
      <c r="S4559">
        <v>-3.0803219999999998</v>
      </c>
      <c r="T4559">
        <v>-0.2525693</v>
      </c>
      <c r="U4559">
        <v>-0.81134030000000001</v>
      </c>
      <c r="V4559">
        <v>-5.0547019999999998E-2</v>
      </c>
      <c r="W4559">
        <v>0.19099640000000001</v>
      </c>
      <c r="X4559">
        <v>0.98028839999999995</v>
      </c>
      <c r="Y4559">
        <v>-0.28552460000000002</v>
      </c>
      <c r="Z4559">
        <v>-1.5558219999999999E-2</v>
      </c>
      <c r="AA4559">
        <v>0.95824509999999996</v>
      </c>
      <c r="AB4559">
        <v>35</v>
      </c>
      <c r="AC4559">
        <v>-13.3079999999999</v>
      </c>
      <c r="AD4559">
        <v>-1.12041539363899</v>
      </c>
      <c r="AE4559">
        <v>-3.6116000000000001</v>
      </c>
      <c r="AF4559">
        <v>-4.02443632109056</v>
      </c>
      <c r="AG4559">
        <v>-1.12041539363899</v>
      </c>
      <c r="AH4559">
        <v>13.094442150551</v>
      </c>
      <c r="AI4559">
        <v>94.6757326558226</v>
      </c>
      <c r="AJ4559">
        <v>107.084249095415</v>
      </c>
      <c r="AK4559">
        <v>13.7446656412931</v>
      </c>
      <c r="AL4559">
        <v>78.989061183292705</v>
      </c>
      <c r="AM4559">
        <v>92.951752024242396</v>
      </c>
      <c r="AN4559">
        <v>0.99999998660919998</v>
      </c>
    </row>
    <row r="4560" spans="1:40" x14ac:dyDescent="0.25">
      <c r="A4560" t="str">
        <f>"20190303162911924"</f>
        <v>20190303162911924</v>
      </c>
      <c r="B4560" t="str">
        <f>"1551601751916242"</f>
        <v>1551601751916242</v>
      </c>
      <c r="C4560" t="s">
        <v>40</v>
      </c>
      <c r="D4560">
        <v>4.9828739999999998</v>
      </c>
      <c r="E4560">
        <v>0.5054128</v>
      </c>
      <c r="F4560" t="s">
        <v>41</v>
      </c>
      <c r="G4560">
        <v>-392.82339999999999</v>
      </c>
      <c r="H4560" s="1">
        <v>-3.4124869999999998E-6</v>
      </c>
      <c r="I4560">
        <v>140.93700000000001</v>
      </c>
      <c r="J4560">
        <v>-381.58120000000002</v>
      </c>
      <c r="K4560">
        <v>1.1204069999999999</v>
      </c>
      <c r="L4560">
        <v>142.5746</v>
      </c>
      <c r="M4560">
        <v>-0.99935629999999998</v>
      </c>
      <c r="N4560">
        <v>-1.235844E-2</v>
      </c>
      <c r="O4560">
        <v>3.3680000000000002E-2</v>
      </c>
      <c r="P4560">
        <v>-0.9838192</v>
      </c>
      <c r="Q4560">
        <v>0.17833499999999999</v>
      </c>
      <c r="R4560">
        <v>-1.7224199999999999E-2</v>
      </c>
      <c r="S4560">
        <v>-3.0964360000000002</v>
      </c>
      <c r="T4560">
        <v>-0.3022376</v>
      </c>
      <c r="U4560">
        <v>-0.43946839999999998</v>
      </c>
      <c r="V4560">
        <v>-5.0005870000000001E-2</v>
      </c>
      <c r="W4560">
        <v>0.1905569</v>
      </c>
      <c r="X4560">
        <v>0.98040170000000004</v>
      </c>
      <c r="Y4560">
        <v>-0.17275799999999999</v>
      </c>
      <c r="Z4560">
        <v>-1.22971E-2</v>
      </c>
      <c r="AA4560">
        <v>0.98488750000000003</v>
      </c>
      <c r="AB4560">
        <v>35</v>
      </c>
      <c r="AC4560">
        <v>-11.242199999999899</v>
      </c>
      <c r="AD4560">
        <v>-1.120410412487</v>
      </c>
      <c r="AE4560">
        <v>-1.63759999999999</v>
      </c>
      <c r="AF4560">
        <v>-1.9959246847907099</v>
      </c>
      <c r="AG4560">
        <v>-1.120410412487</v>
      </c>
      <c r="AH4560">
        <v>11.0729670187061</v>
      </c>
      <c r="AI4560">
        <v>95.686739052078806</v>
      </c>
      <c r="AJ4560">
        <v>100.21795968756599</v>
      </c>
      <c r="AK4560">
        <v>11.3070612201898</v>
      </c>
      <c r="AL4560">
        <v>79.014714047693104</v>
      </c>
      <c r="AM4560">
        <v>92.919869043911604</v>
      </c>
      <c r="AN4560">
        <v>1.0000000062674701</v>
      </c>
    </row>
    <row r="4561" spans="1:40" x14ac:dyDescent="0.25">
      <c r="A4561" t="str">
        <f>"20190303162911943"</f>
        <v>20190303162911943</v>
      </c>
      <c r="B4561" t="str">
        <f>"1551601751936737"</f>
        <v>1551601751936737</v>
      </c>
      <c r="C4561" t="s">
        <v>40</v>
      </c>
      <c r="D4561">
        <v>4.9811839999999998</v>
      </c>
      <c r="E4561">
        <v>0.51522609999999902</v>
      </c>
      <c r="F4561" t="s">
        <v>44</v>
      </c>
      <c r="G4561">
        <v>-382.54660000000001</v>
      </c>
      <c r="H4561">
        <v>0.88323220000000002</v>
      </c>
      <c r="I4561">
        <v>142.58770000000001</v>
      </c>
      <c r="J4561">
        <v>-381.89359999999999</v>
      </c>
      <c r="K4561">
        <v>1.120403</v>
      </c>
      <c r="L4561">
        <v>142.58580000000001</v>
      </c>
      <c r="M4561">
        <v>-0.99933309999999997</v>
      </c>
      <c r="N4561">
        <v>-1.2358320000000001E-2</v>
      </c>
      <c r="O4561">
        <v>3.436065E-2</v>
      </c>
      <c r="P4561">
        <v>-0.98408130000000005</v>
      </c>
      <c r="Q4561">
        <v>0.17700099999999999</v>
      </c>
      <c r="R4561">
        <v>-1.596448E-2</v>
      </c>
      <c r="S4561">
        <v>-3.1922609999999998</v>
      </c>
      <c r="T4561">
        <v>-0.78427590000000003</v>
      </c>
      <c r="U4561">
        <v>4.2617799999999997E-2</v>
      </c>
      <c r="V4561">
        <v>-4.9427449999999998E-2</v>
      </c>
      <c r="W4561">
        <v>0.189225</v>
      </c>
      <c r="X4561">
        <v>0.98068900000000003</v>
      </c>
      <c r="Y4561">
        <v>-1.9488579999999998E-2</v>
      </c>
      <c r="Z4561">
        <v>-1.037827E-2</v>
      </c>
      <c r="AA4561">
        <v>0.99975619999999998</v>
      </c>
      <c r="AB4561">
        <v>35</v>
      </c>
      <c r="AC4561">
        <v>-0.65300000000002001</v>
      </c>
      <c r="AD4561">
        <v>-0.23717079999999999</v>
      </c>
      <c r="AE4561">
        <v>1.90000000000623E-3</v>
      </c>
      <c r="AF4561">
        <v>-1.8146547857889501E-2</v>
      </c>
      <c r="AG4561">
        <v>-0.23717079999999999</v>
      </c>
      <c r="AH4561">
        <v>0.57661568785422901</v>
      </c>
      <c r="AI4561">
        <v>112.348135790485</v>
      </c>
      <c r="AJ4561">
        <v>91.802548180234893</v>
      </c>
      <c r="AK4561">
        <v>0.62375070104281605</v>
      </c>
      <c r="AL4561">
        <v>79.092440938506599</v>
      </c>
      <c r="AM4561">
        <v>92.885308142847506</v>
      </c>
      <c r="AN4561">
        <v>1.0000000440797501</v>
      </c>
    </row>
    <row r="4562" spans="1:40" x14ac:dyDescent="0.25">
      <c r="A4562" t="str">
        <f>"20190303162911966"</f>
        <v>20190303162911966</v>
      </c>
      <c r="B4562" t="str">
        <f>"1551601751956258"</f>
        <v>1551601751956258</v>
      </c>
      <c r="C4562" t="s">
        <v>40</v>
      </c>
      <c r="D4562">
        <v>4.9036939999999998</v>
      </c>
      <c r="E4562">
        <v>0.51907809999999999</v>
      </c>
      <c r="F4562" t="s">
        <v>44</v>
      </c>
      <c r="G4562">
        <v>-382.84820000000002</v>
      </c>
      <c r="H4562">
        <v>0.85778369999999904</v>
      </c>
      <c r="I4562">
        <v>142.62430000000001</v>
      </c>
      <c r="J4562">
        <v>-382.23149999999998</v>
      </c>
      <c r="K4562">
        <v>1.1204019999999999</v>
      </c>
      <c r="L4562">
        <v>142.59809999999999</v>
      </c>
      <c r="M4562">
        <v>-0.99930779999999997</v>
      </c>
      <c r="N4562">
        <v>-1.2358060000000001E-2</v>
      </c>
      <c r="O4562">
        <v>3.509321E-2</v>
      </c>
      <c r="P4562">
        <v>-0.98424809999999996</v>
      </c>
      <c r="Q4562">
        <v>0.176118</v>
      </c>
      <c r="R4562">
        <v>-1.5427679999999999E-2</v>
      </c>
      <c r="S4562">
        <v>-3.2094420000000001</v>
      </c>
      <c r="T4562">
        <v>-0.88293149999999998</v>
      </c>
      <c r="U4562">
        <v>0.12876889999999999</v>
      </c>
      <c r="V4562">
        <v>-4.9620240000000003E-2</v>
      </c>
      <c r="W4562">
        <v>0.18834419999999999</v>
      </c>
      <c r="X4562">
        <v>0.98084879999999997</v>
      </c>
      <c r="Y4562">
        <v>5.9527010000000003E-3</v>
      </c>
      <c r="Z4562">
        <v>-8.2043089999999999E-3</v>
      </c>
      <c r="AA4562">
        <v>0.99994859999999997</v>
      </c>
      <c r="AB4562">
        <v>35</v>
      </c>
      <c r="AC4562">
        <v>-0.616700000000037</v>
      </c>
      <c r="AD4562">
        <v>-0.26261830000000003</v>
      </c>
      <c r="AE4562">
        <v>2.6200000000017099E-2</v>
      </c>
      <c r="AF4562">
        <v>3.8443378991921801E-3</v>
      </c>
      <c r="AG4562">
        <v>-0.26261830000000003</v>
      </c>
      <c r="AH4562">
        <v>0.52263404371970001</v>
      </c>
      <c r="AI4562">
        <v>116.678441762277</v>
      </c>
      <c r="AJ4562">
        <v>89.578557181913396</v>
      </c>
      <c r="AK4562">
        <v>0.58491836531568897</v>
      </c>
      <c r="AL4562">
        <v>79.143831056532505</v>
      </c>
      <c r="AM4562">
        <v>92.896071954394102</v>
      </c>
      <c r="AN4562">
        <v>1.00000003717636</v>
      </c>
    </row>
    <row r="4563" spans="1:40" x14ac:dyDescent="0.25">
      <c r="A4563" t="str">
        <f>"20190303162911988"</f>
        <v>20190303162911988</v>
      </c>
      <c r="B4563" t="str">
        <f>"1551601751976753"</f>
        <v>1551601751976753</v>
      </c>
      <c r="C4563" t="s">
        <v>40</v>
      </c>
      <c r="D4563">
        <v>4.9287879999999999</v>
      </c>
      <c r="E4563">
        <v>0.52088710000000005</v>
      </c>
      <c r="F4563" t="s">
        <v>44</v>
      </c>
      <c r="G4563">
        <v>-383.15899999999999</v>
      </c>
      <c r="H4563">
        <v>0.84963770000000005</v>
      </c>
      <c r="I4563">
        <v>142.64519999999999</v>
      </c>
      <c r="J4563">
        <v>-382.59410000000003</v>
      </c>
      <c r="K4563">
        <v>1.120406</v>
      </c>
      <c r="L4563">
        <v>142.61160000000001</v>
      </c>
      <c r="M4563">
        <v>-0.99928019999999995</v>
      </c>
      <c r="N4563">
        <v>-1.235782E-2</v>
      </c>
      <c r="O4563">
        <v>3.5868919999999999E-2</v>
      </c>
      <c r="P4563">
        <v>-0.98454750000000002</v>
      </c>
      <c r="Q4563">
        <v>0.17441180000000001</v>
      </c>
      <c r="R4563">
        <v>-1.5710209999999999E-2</v>
      </c>
      <c r="S4563">
        <v>-3.2187190000000001</v>
      </c>
      <c r="T4563">
        <v>-0.93966890000000003</v>
      </c>
      <c r="U4563">
        <v>0.16331479999999901</v>
      </c>
      <c r="V4563">
        <v>-5.06823E-2</v>
      </c>
      <c r="W4563">
        <v>0.186642</v>
      </c>
      <c r="X4563">
        <v>0.98111979999999999</v>
      </c>
      <c r="Y4563">
        <v>1.551014E-2</v>
      </c>
      <c r="Z4563">
        <v>-7.4984509999999997E-3</v>
      </c>
      <c r="AA4563">
        <v>0.99985159999999995</v>
      </c>
      <c r="AB4563">
        <v>35</v>
      </c>
      <c r="AC4563">
        <v>-0.56489999999996598</v>
      </c>
      <c r="AD4563">
        <v>-0.27076830000000002</v>
      </c>
      <c r="AE4563">
        <v>3.3599999999978501E-2</v>
      </c>
      <c r="AF4563">
        <v>1.08341284810536E-2</v>
      </c>
      <c r="AG4563">
        <v>-0.27076830000000002</v>
      </c>
      <c r="AH4563">
        <v>0.460349921855152</v>
      </c>
      <c r="AI4563">
        <v>120.45623024135</v>
      </c>
      <c r="AJ4563">
        <v>88.651818455220507</v>
      </c>
      <c r="AK4563">
        <v>0.53418620459244204</v>
      </c>
      <c r="AL4563">
        <v>79.243120314406795</v>
      </c>
      <c r="AM4563">
        <v>92.957134289713693</v>
      </c>
      <c r="AN4563">
        <v>0.99999999682466401</v>
      </c>
    </row>
    <row r="4564" spans="1:40" x14ac:dyDescent="0.25">
      <c r="A4564" t="str">
        <f>"20190303162912009"</f>
        <v>20190303162912009</v>
      </c>
      <c r="B4564" t="str">
        <f>"1551601752006033"</f>
        <v>1551601752006033</v>
      </c>
      <c r="C4564" t="s">
        <v>40</v>
      </c>
      <c r="D4564">
        <v>4.9135650000000002</v>
      </c>
      <c r="E4564">
        <v>0.52242559999999905</v>
      </c>
      <c r="F4564" t="s">
        <v>44</v>
      </c>
      <c r="G4564">
        <v>-383.47590000000002</v>
      </c>
      <c r="H4564">
        <v>0.85515509999999995</v>
      </c>
      <c r="I4564">
        <v>142.6602</v>
      </c>
      <c r="J4564">
        <v>-382.93400000000003</v>
      </c>
      <c r="K4564">
        <v>1.1204160000000001</v>
      </c>
      <c r="L4564">
        <v>142.62450000000001</v>
      </c>
      <c r="M4564">
        <v>-0.99925439999999999</v>
      </c>
      <c r="N4564">
        <v>-1.235758E-2</v>
      </c>
      <c r="O4564">
        <v>3.6575759999999999E-2</v>
      </c>
      <c r="P4564">
        <v>-0.98464859999999998</v>
      </c>
      <c r="Q4564">
        <v>0.17374690000000001</v>
      </c>
      <c r="R4564">
        <v>-1.6698959999999999E-2</v>
      </c>
      <c r="S4564">
        <v>-3.221527</v>
      </c>
      <c r="T4564">
        <v>-0.96902189999999999</v>
      </c>
      <c r="U4564">
        <v>0.1769867</v>
      </c>
      <c r="V4564">
        <v>-5.2376880000000001E-2</v>
      </c>
      <c r="W4564">
        <v>0.1859787</v>
      </c>
      <c r="X4564">
        <v>0.98115680000000005</v>
      </c>
      <c r="Y4564">
        <v>1.8908680000000001E-2</v>
      </c>
      <c r="Z4564">
        <v>-7.4092209999999997E-3</v>
      </c>
      <c r="AA4564">
        <v>0.99979379999999995</v>
      </c>
      <c r="AB4564">
        <v>35</v>
      </c>
      <c r="AC4564">
        <v>-0.54189999999999805</v>
      </c>
      <c r="AD4564">
        <v>-0.26526090000000002</v>
      </c>
      <c r="AE4564">
        <v>3.5699999999991398E-2</v>
      </c>
      <c r="AF4564">
        <v>1.2800332877810801E-2</v>
      </c>
      <c r="AG4564">
        <v>-0.26526090000000002</v>
      </c>
      <c r="AH4564">
        <v>0.43827997121130802</v>
      </c>
      <c r="AI4564">
        <v>121.172833664484</v>
      </c>
      <c r="AJ4564">
        <v>88.327104412114707</v>
      </c>
      <c r="AK4564">
        <v>0.51246124414981697</v>
      </c>
      <c r="AL4564">
        <v>79.281802355157296</v>
      </c>
      <c r="AM4564">
        <v>93.055707696733606</v>
      </c>
      <c r="AN4564">
        <v>1.00000004029923</v>
      </c>
    </row>
    <row r="4565" spans="1:40" x14ac:dyDescent="0.25">
      <c r="A4565" t="str">
        <f>"20190303162912024"</f>
        <v>20190303162912024</v>
      </c>
      <c r="B4565" t="str">
        <f>"1551601752016771"</f>
        <v>1551601752016771</v>
      </c>
      <c r="C4565" t="s">
        <v>40</v>
      </c>
      <c r="D4565">
        <v>4.9293399999999998</v>
      </c>
      <c r="E4565">
        <v>0.52283230000000003</v>
      </c>
      <c r="F4565" t="s">
        <v>44</v>
      </c>
      <c r="G4565">
        <v>-383.79219999999998</v>
      </c>
      <c r="H4565">
        <v>0.85880639999999997</v>
      </c>
      <c r="I4565">
        <v>142.67439999999999</v>
      </c>
      <c r="J4565">
        <v>-383.16449999999998</v>
      </c>
      <c r="K4565">
        <v>1.120425</v>
      </c>
      <c r="L4565">
        <v>142.63339999999999</v>
      </c>
      <c r="M4565">
        <v>-0.99923740000000005</v>
      </c>
      <c r="N4565">
        <v>-1.235729E-2</v>
      </c>
      <c r="O4565">
        <v>3.7039339999999997E-2</v>
      </c>
      <c r="P4565">
        <v>-0.98465930000000002</v>
      </c>
      <c r="Q4565">
        <v>0.1736308</v>
      </c>
      <c r="R4565">
        <v>-1.727822E-2</v>
      </c>
      <c r="S4565">
        <v>-3.2232970000000001</v>
      </c>
      <c r="T4565">
        <v>-0.98260400000000003</v>
      </c>
      <c r="U4565">
        <v>0.18643190000000001</v>
      </c>
      <c r="V4565">
        <v>-5.3418550000000002E-2</v>
      </c>
      <c r="W4565">
        <v>0.185862</v>
      </c>
      <c r="X4565">
        <v>0.98112270000000001</v>
      </c>
      <c r="Y4565">
        <v>2.126167E-2</v>
      </c>
      <c r="Z4565">
        <v>-7.2783709999999996E-3</v>
      </c>
      <c r="AA4565">
        <v>0.99974750000000001</v>
      </c>
      <c r="AB4565">
        <v>35</v>
      </c>
      <c r="AC4565">
        <v>-0.62770000000000403</v>
      </c>
      <c r="AD4565">
        <v>-0.26161859999999898</v>
      </c>
      <c r="AE4565">
        <v>4.0999999999996803E-2</v>
      </c>
      <c r="AF4565">
        <v>1.5107302839355E-2</v>
      </c>
      <c r="AG4565">
        <v>-0.26161859999999898</v>
      </c>
      <c r="AH4565">
        <v>0.53606239827997804</v>
      </c>
      <c r="AI4565">
        <v>116.005151761015</v>
      </c>
      <c r="AJ4565">
        <v>88.385718438190594</v>
      </c>
      <c r="AK4565">
        <v>0.59668703464607098</v>
      </c>
      <c r="AL4565">
        <v>79.288606858399802</v>
      </c>
      <c r="AM4565">
        <v>93.116469008178697</v>
      </c>
      <c r="AN4565">
        <v>0.99999998849169602</v>
      </c>
    </row>
    <row r="4566" spans="1:40" x14ac:dyDescent="0.25">
      <c r="A4566" t="str">
        <f>"20190303162912044"</f>
        <v>20190303162912044</v>
      </c>
      <c r="B4566" t="str">
        <f>"1551601752036290"</f>
        <v>1551601752036290</v>
      </c>
      <c r="C4566" t="s">
        <v>40</v>
      </c>
      <c r="D4566">
        <v>4.9322460000000001</v>
      </c>
      <c r="E4566">
        <v>0.52342330000000004</v>
      </c>
      <c r="F4566" t="s">
        <v>44</v>
      </c>
      <c r="G4566">
        <v>-384.09739999999999</v>
      </c>
      <c r="H4566">
        <v>0.83554219999999901</v>
      </c>
      <c r="I4566">
        <v>142.68790000000001</v>
      </c>
      <c r="J4566">
        <v>-383.46789999999999</v>
      </c>
      <c r="K4566">
        <v>1.1204620000000001</v>
      </c>
      <c r="L4566">
        <v>142.64519999999999</v>
      </c>
      <c r="M4566">
        <v>-0.9992162</v>
      </c>
      <c r="N4566">
        <v>-1.235664E-2</v>
      </c>
      <c r="O4566">
        <v>3.7607420000000003E-2</v>
      </c>
      <c r="P4566">
        <v>-0.98455669999999995</v>
      </c>
      <c r="Q4566">
        <v>0.17403940000000001</v>
      </c>
      <c r="R4566">
        <v>-1.893164E-2</v>
      </c>
      <c r="S4566">
        <v>-3.2236020000000001</v>
      </c>
      <c r="T4566">
        <v>-0.9843693</v>
      </c>
      <c r="U4566">
        <v>0.18778990000000001</v>
      </c>
      <c r="V4566">
        <v>-5.5639559999999998E-2</v>
      </c>
      <c r="W4566">
        <v>0.1862673</v>
      </c>
      <c r="X4566">
        <v>0.98092239999999997</v>
      </c>
      <c r="Y4566">
        <v>2.1139169999999999E-2</v>
      </c>
      <c r="Z4566">
        <v>-7.4725800000000004E-3</v>
      </c>
      <c r="AA4566">
        <v>0.99974859999999999</v>
      </c>
      <c r="AB4566">
        <v>35</v>
      </c>
      <c r="AC4566">
        <v>-0.62950000000000705</v>
      </c>
      <c r="AD4566">
        <v>-0.2849198</v>
      </c>
      <c r="AE4566">
        <v>4.2700000000024801E-2</v>
      </c>
      <c r="AF4566">
        <v>1.5776885930371999E-2</v>
      </c>
      <c r="AG4566">
        <v>-0.2849198</v>
      </c>
      <c r="AH4566">
        <v>0.52383920966291397</v>
      </c>
      <c r="AI4566">
        <v>118.531176830531</v>
      </c>
      <c r="AJ4566">
        <v>88.274898497418604</v>
      </c>
      <c r="AK4566">
        <v>0.59651967288763097</v>
      </c>
      <c r="AL4566">
        <v>79.264972404881505</v>
      </c>
      <c r="AM4566">
        <v>93.246433838553699</v>
      </c>
      <c r="AN4566">
        <v>1.0000000112540199</v>
      </c>
    </row>
    <row r="4567" spans="1:40" x14ac:dyDescent="0.25">
      <c r="A4567" t="str">
        <f>"20190303162912064"</f>
        <v>20190303162912064</v>
      </c>
      <c r="B4567" t="str">
        <f>"1551601752056785"</f>
        <v>1551601752056785</v>
      </c>
      <c r="C4567" t="s">
        <v>40</v>
      </c>
      <c r="D4567">
        <v>4.9274589999999998</v>
      </c>
      <c r="E4567">
        <v>0.5237598</v>
      </c>
      <c r="F4567" t="s">
        <v>44</v>
      </c>
      <c r="G4567">
        <v>-384.41090000000003</v>
      </c>
      <c r="H4567">
        <v>0.83250139999999995</v>
      </c>
      <c r="I4567">
        <v>142.7002</v>
      </c>
      <c r="J4567">
        <v>-383.80520000000001</v>
      </c>
      <c r="K4567">
        <v>1.1205270000000001</v>
      </c>
      <c r="L4567">
        <v>142.6585</v>
      </c>
      <c r="M4567">
        <v>-0.99919579999999997</v>
      </c>
      <c r="N4567">
        <v>-1.235608E-2</v>
      </c>
      <c r="O4567">
        <v>3.8150499999999997E-2</v>
      </c>
      <c r="P4567">
        <v>-0.98445039999999995</v>
      </c>
      <c r="Q4567">
        <v>0.1744609</v>
      </c>
      <c r="R4567">
        <v>-2.0522930000000002E-2</v>
      </c>
      <c r="S4567">
        <v>-3.2247309999999998</v>
      </c>
      <c r="T4567">
        <v>-0.98461370000000004</v>
      </c>
      <c r="U4567">
        <v>0.18728639999999999</v>
      </c>
      <c r="V4567">
        <v>-5.778689E-2</v>
      </c>
      <c r="W4567">
        <v>0.1866805</v>
      </c>
      <c r="X4567">
        <v>0.98071969999999997</v>
      </c>
      <c r="Y4567">
        <v>2.04739E-2</v>
      </c>
      <c r="Z4567">
        <v>-7.7305450000000001E-3</v>
      </c>
      <c r="AA4567">
        <v>0.99976050000000005</v>
      </c>
      <c r="AB4567">
        <v>35</v>
      </c>
      <c r="AC4567">
        <v>-0.60570000000001301</v>
      </c>
      <c r="AD4567">
        <v>-0.28802559999999999</v>
      </c>
      <c r="AE4567">
        <v>4.1699999999991598E-2</v>
      </c>
      <c r="AF4567">
        <v>1.51504078255255E-2</v>
      </c>
      <c r="AG4567">
        <v>-0.28802559999999999</v>
      </c>
      <c r="AH4567">
        <v>0.495364499776553</v>
      </c>
      <c r="AI4567">
        <v>120.163869186173</v>
      </c>
      <c r="AJ4567">
        <v>88.248191143729798</v>
      </c>
      <c r="AK4567">
        <v>0.57321398164342996</v>
      </c>
      <c r="AL4567">
        <v>79.240875344712194</v>
      </c>
      <c r="AM4567">
        <v>93.372136910880002</v>
      </c>
      <c r="AN4567">
        <v>1.0000000318521001</v>
      </c>
    </row>
    <row r="4568" spans="1:40" x14ac:dyDescent="0.25">
      <c r="A4568" t="str">
        <f>"20190303162912078"</f>
        <v>20190303162912078</v>
      </c>
      <c r="B4568" t="str">
        <f>"1551601752066546"</f>
        <v>1551601752066546</v>
      </c>
      <c r="C4568" t="s">
        <v>40</v>
      </c>
      <c r="D4568">
        <v>4.914377</v>
      </c>
      <c r="E4568">
        <v>0.52392329999999998</v>
      </c>
      <c r="F4568" t="s">
        <v>44</v>
      </c>
      <c r="G4568">
        <v>-384.72820000000002</v>
      </c>
      <c r="H4568">
        <v>0.83861919999999901</v>
      </c>
      <c r="I4568">
        <v>142.71119999999999</v>
      </c>
      <c r="J4568">
        <v>-384.02460000000002</v>
      </c>
      <c r="K4568">
        <v>1.120584</v>
      </c>
      <c r="L4568">
        <v>142.66720000000001</v>
      </c>
      <c r="M4568">
        <v>-0.99918430000000003</v>
      </c>
      <c r="N4568">
        <v>-1.235559E-2</v>
      </c>
      <c r="O4568">
        <v>3.8447700000000001E-2</v>
      </c>
      <c r="P4568">
        <v>-0.98443599999999998</v>
      </c>
      <c r="Q4568">
        <v>0.17444279999999901</v>
      </c>
      <c r="R4568">
        <v>-2.135424E-2</v>
      </c>
      <c r="S4568">
        <v>-3.2257690000000001</v>
      </c>
      <c r="T4568">
        <v>-0.98514219999999997</v>
      </c>
      <c r="U4568">
        <v>0.1834412</v>
      </c>
      <c r="V4568">
        <v>-5.8932850000000002E-2</v>
      </c>
      <c r="W4568">
        <v>0.1866556</v>
      </c>
      <c r="X4568">
        <v>0.98065619999999998</v>
      </c>
      <c r="Y4568">
        <v>1.9050230000000001E-2</v>
      </c>
      <c r="Z4568">
        <v>-8.0389850000000002E-3</v>
      </c>
      <c r="AA4568">
        <v>0.99978619999999996</v>
      </c>
      <c r="AB4568">
        <v>35</v>
      </c>
      <c r="AC4568">
        <v>-0.70359999999999401</v>
      </c>
      <c r="AD4568">
        <v>-0.28196480000000002</v>
      </c>
      <c r="AE4568">
        <v>4.3999999999982699E-2</v>
      </c>
      <c r="AF4568">
        <v>1.4581043541647401E-2</v>
      </c>
      <c r="AG4568">
        <v>-0.28196480000000002</v>
      </c>
      <c r="AH4568">
        <v>0.60757649624980103</v>
      </c>
      <c r="AI4568">
        <v>114.888828157023</v>
      </c>
      <c r="AJ4568">
        <v>88.625239898469104</v>
      </c>
      <c r="AK4568">
        <v>0.66997459210404997</v>
      </c>
      <c r="AL4568">
        <v>79.242327059563294</v>
      </c>
      <c r="AM4568">
        <v>93.439072282249299</v>
      </c>
      <c r="AN4568">
        <v>0.99999998820946101</v>
      </c>
    </row>
    <row r="4569" spans="1:40" x14ac:dyDescent="0.25">
      <c r="A4569" t="str">
        <f>"20190303162912093"</f>
        <v>20190303162912093</v>
      </c>
      <c r="B4569" t="str">
        <f>"1551601752086066"</f>
        <v>1551601752086066</v>
      </c>
      <c r="C4569" t="s">
        <v>40</v>
      </c>
      <c r="D4569">
        <v>4.9737960000000001</v>
      </c>
      <c r="E4569">
        <v>0.52493480000000003</v>
      </c>
      <c r="F4569" t="s">
        <v>44</v>
      </c>
      <c r="G4569">
        <v>-384.75380000000001</v>
      </c>
      <c r="H4569">
        <v>0.89759829999999996</v>
      </c>
      <c r="I4569">
        <v>142.70830000000001</v>
      </c>
      <c r="J4569">
        <v>-384.25599999999997</v>
      </c>
      <c r="K4569">
        <v>1.1206469999999999</v>
      </c>
      <c r="L4569">
        <v>142.6764</v>
      </c>
      <c r="M4569">
        <v>-0.99917420000000001</v>
      </c>
      <c r="N4569">
        <v>-1.2355140000000001E-2</v>
      </c>
      <c r="O4569">
        <v>3.8710840000000003E-2</v>
      </c>
      <c r="P4569">
        <v>-0.98442320000000005</v>
      </c>
      <c r="Q4569">
        <v>0.1744127</v>
      </c>
      <c r="R4569">
        <v>-2.216781E-2</v>
      </c>
      <c r="S4569">
        <v>-3.2262270000000002</v>
      </c>
      <c r="T4569">
        <v>-0.98667050000000001</v>
      </c>
      <c r="U4569">
        <v>0.1809692</v>
      </c>
      <c r="V4569">
        <v>-6.0032629999999997E-2</v>
      </c>
      <c r="W4569">
        <v>0.18661630000000001</v>
      </c>
      <c r="X4569">
        <v>0.98059700000000005</v>
      </c>
      <c r="Y4569">
        <v>1.8074839999999998E-2</v>
      </c>
      <c r="Z4569">
        <v>-8.2780969999999999E-3</v>
      </c>
      <c r="AA4569">
        <v>0.99980239999999998</v>
      </c>
      <c r="AB4569">
        <v>35</v>
      </c>
      <c r="AC4569">
        <v>-0.49780000000003999</v>
      </c>
      <c r="AD4569">
        <v>-0.22304869999999899</v>
      </c>
      <c r="AE4569">
        <v>3.1900000000007298E-2</v>
      </c>
      <c r="AF4569">
        <v>1.05041187028808E-2</v>
      </c>
      <c r="AG4569">
        <v>-0.22304869999999899</v>
      </c>
      <c r="AH4569">
        <v>0.41557065244254399</v>
      </c>
      <c r="AI4569">
        <v>118.216108832825</v>
      </c>
      <c r="AJ4569">
        <v>88.552078825733702</v>
      </c>
      <c r="AK4569">
        <v>0.47176268001288102</v>
      </c>
      <c r="AL4569">
        <v>79.2446193830108</v>
      </c>
      <c r="AM4569">
        <v>93.503303397090605</v>
      </c>
      <c r="AN4569">
        <v>1.0000000182497</v>
      </c>
    </row>
    <row r="4570" spans="1:40" x14ac:dyDescent="0.25">
      <c r="A4570" t="str">
        <f>"20190303162912108"</f>
        <v>20190303162912108</v>
      </c>
      <c r="B4570" t="str">
        <f>"1551601752096802"</f>
        <v>1551601752096802</v>
      </c>
      <c r="C4570" t="s">
        <v>40</v>
      </c>
      <c r="D4570">
        <v>4.959562</v>
      </c>
      <c r="E4570">
        <v>0.52493480000000003</v>
      </c>
      <c r="F4570" t="s">
        <v>44</v>
      </c>
      <c r="G4570">
        <v>-385.0582</v>
      </c>
      <c r="H4570">
        <v>0.87447600000000003</v>
      </c>
      <c r="I4570">
        <v>142.72299999999899</v>
      </c>
      <c r="J4570">
        <v>-384.47989999999999</v>
      </c>
      <c r="K4570">
        <v>1.1207100000000001</v>
      </c>
      <c r="L4570">
        <v>142.68530000000001</v>
      </c>
      <c r="M4570">
        <v>-0.999166</v>
      </c>
      <c r="N4570">
        <v>-1.2355700000000001E-2</v>
      </c>
      <c r="O4570">
        <v>3.8920339999999998E-2</v>
      </c>
      <c r="P4570">
        <v>-0.98440879999999997</v>
      </c>
      <c r="Q4570">
        <v>0.17442729999999901</v>
      </c>
      <c r="R4570">
        <v>-2.267922E-2</v>
      </c>
      <c r="S4570">
        <v>-3.2270810000000001</v>
      </c>
      <c r="T4570">
        <v>-0.99035479999999998</v>
      </c>
      <c r="U4570">
        <v>0.18556210000000001</v>
      </c>
      <c r="V4570">
        <v>-6.0778810000000003E-2</v>
      </c>
      <c r="W4570">
        <v>0.18662190000000001</v>
      </c>
      <c r="X4570">
        <v>0.98054989999999997</v>
      </c>
      <c r="Y4570">
        <v>1.9228169999999999E-2</v>
      </c>
      <c r="Z4570">
        <v>-8.1871429999999992E-3</v>
      </c>
      <c r="AA4570">
        <v>0.99978160000000005</v>
      </c>
      <c r="AB4570">
        <v>35</v>
      </c>
      <c r="AC4570">
        <v>-0.57830000000001203</v>
      </c>
      <c r="AD4570">
        <v>-0.24623400000000001</v>
      </c>
      <c r="AE4570">
        <v>3.7699999999972499E-2</v>
      </c>
      <c r="AF4570">
        <v>1.2843460055195001E-2</v>
      </c>
      <c r="AG4570">
        <v>-0.24623400000000001</v>
      </c>
      <c r="AH4570">
        <v>0.49073677267832699</v>
      </c>
      <c r="AI4570">
        <v>116.63798345747099</v>
      </c>
      <c r="AJ4570">
        <v>88.500809090289394</v>
      </c>
      <c r="AK4570">
        <v>0.54919824952464003</v>
      </c>
      <c r="AL4570">
        <v>79.244292066449304</v>
      </c>
      <c r="AM4570">
        <v>93.5469074211303</v>
      </c>
      <c r="AN4570">
        <v>0.99999995184731605</v>
      </c>
    </row>
    <row r="4571" spans="1:40" x14ac:dyDescent="0.25">
      <c r="A4571" t="str">
        <f>"20190303162912121"</f>
        <v>20190303162912121</v>
      </c>
      <c r="B4571" t="str">
        <f>"1551601752116322"</f>
        <v>1551601752116322</v>
      </c>
      <c r="C4571" t="s">
        <v>40</v>
      </c>
      <c r="D4571">
        <v>4.8957620000000004</v>
      </c>
      <c r="E4571">
        <v>0.53755909999999996</v>
      </c>
      <c r="F4571" t="s">
        <v>44</v>
      </c>
      <c r="G4571">
        <v>-385.36219999999997</v>
      </c>
      <c r="H4571">
        <v>0.84996759999999905</v>
      </c>
      <c r="I4571">
        <v>142.73570000000001</v>
      </c>
      <c r="J4571">
        <v>-384.68900000000002</v>
      </c>
      <c r="K4571">
        <v>1.1207769999999999</v>
      </c>
      <c r="L4571">
        <v>142.6936</v>
      </c>
      <c r="M4571">
        <v>-0.99916020000000005</v>
      </c>
      <c r="N4571">
        <v>-1.235814E-2</v>
      </c>
      <c r="O4571">
        <v>3.906801E-2</v>
      </c>
      <c r="P4571">
        <v>-0.9844697</v>
      </c>
      <c r="Q4571">
        <v>0.1740476</v>
      </c>
      <c r="R4571">
        <v>-2.296016E-2</v>
      </c>
      <c r="S4571">
        <v>-3.2272029999999998</v>
      </c>
      <c r="T4571">
        <v>-0.99027810000000005</v>
      </c>
      <c r="U4571">
        <v>0.18322749999999999</v>
      </c>
      <c r="V4571">
        <v>-6.1237380000000001E-2</v>
      </c>
      <c r="W4571">
        <v>0.1862364</v>
      </c>
      <c r="X4571">
        <v>0.98059470000000004</v>
      </c>
      <c r="Y4571">
        <v>1.840282E-2</v>
      </c>
      <c r="Z4571">
        <v>-8.3576009999999992E-3</v>
      </c>
      <c r="AA4571">
        <v>0.99979569999999995</v>
      </c>
      <c r="AB4571">
        <v>35</v>
      </c>
      <c r="AC4571">
        <v>-0.67319999999995095</v>
      </c>
      <c r="AD4571">
        <v>-0.27080939999999998</v>
      </c>
      <c r="AE4571">
        <v>4.2100000000004897E-2</v>
      </c>
      <c r="AF4571">
        <v>1.3576789937103101E-2</v>
      </c>
      <c r="AG4571">
        <v>-0.27080939999999998</v>
      </c>
      <c r="AH4571">
        <v>0.58072285029925197</v>
      </c>
      <c r="AI4571">
        <v>114.995129888618</v>
      </c>
      <c r="AJ4571">
        <v>88.660718996921801</v>
      </c>
      <c r="AK4571">
        <v>0.64090645901960097</v>
      </c>
      <c r="AL4571">
        <v>79.266774139340299</v>
      </c>
      <c r="AM4571">
        <v>93.573436547505906</v>
      </c>
      <c r="AN4571">
        <v>0.99999998953115699</v>
      </c>
    </row>
    <row r="4572" spans="1:40" x14ac:dyDescent="0.25">
      <c r="A4572" t="str">
        <f>"20190303162912145"</f>
        <v>20190303162912145</v>
      </c>
      <c r="B4572" t="str">
        <f>"1551601752136818"</f>
        <v>1551601752136818</v>
      </c>
      <c r="C4572" t="s">
        <v>40</v>
      </c>
      <c r="D4572">
        <v>4.9198009999999996</v>
      </c>
      <c r="E4572">
        <v>0.53695939999999998</v>
      </c>
      <c r="F4572" t="s">
        <v>44</v>
      </c>
      <c r="G4572">
        <v>-385.37920000000003</v>
      </c>
      <c r="H4572">
        <v>0.89335180000000003</v>
      </c>
      <c r="I4572">
        <v>142.75450000000001</v>
      </c>
      <c r="J4572">
        <v>-385.05770000000001</v>
      </c>
      <c r="K4572">
        <v>1.1208979999999999</v>
      </c>
      <c r="L4572">
        <v>142.70820000000001</v>
      </c>
      <c r="M4572">
        <v>-0.99915480000000001</v>
      </c>
      <c r="N4572">
        <v>-1.2365930000000001E-2</v>
      </c>
      <c r="O4572">
        <v>3.9200939999999997E-2</v>
      </c>
      <c r="P4572">
        <v>-0.98446239999999996</v>
      </c>
      <c r="Q4572">
        <v>0.174153</v>
      </c>
      <c r="R4572">
        <v>-2.2465809999999999E-2</v>
      </c>
      <c r="S4572">
        <v>-3.2428279999999998</v>
      </c>
      <c r="T4572">
        <v>-1.0684640000000001</v>
      </c>
      <c r="U4572">
        <v>0.28463749999999999</v>
      </c>
      <c r="V4572">
        <v>-6.0926710000000002E-2</v>
      </c>
      <c r="W4572">
        <v>0.18633150000000001</v>
      </c>
      <c r="X4572">
        <v>0.98059600000000002</v>
      </c>
      <c r="Y4572">
        <v>4.7623760000000001E-2</v>
      </c>
      <c r="Z4572">
        <v>-4.1482849999999998E-3</v>
      </c>
      <c r="AA4572">
        <v>0.99885670000000004</v>
      </c>
      <c r="AB4572">
        <v>35</v>
      </c>
      <c r="AC4572">
        <v>-0.321500000000014</v>
      </c>
      <c r="AD4572">
        <v>-0.227546199999999</v>
      </c>
      <c r="AE4572">
        <v>4.6300000000002201E-2</v>
      </c>
      <c r="AF4572">
        <v>2.2579433030778501E-2</v>
      </c>
      <c r="AG4572">
        <v>-0.227546199999999</v>
      </c>
      <c r="AH4572">
        <v>0.216714743637583</v>
      </c>
      <c r="AI4572">
        <v>136.242151481815</v>
      </c>
      <c r="AJ4572">
        <v>84.051834304101206</v>
      </c>
      <c r="AK4572">
        <v>0.315043463732125</v>
      </c>
      <c r="AL4572">
        <v>79.261228387184005</v>
      </c>
      <c r="AM4572">
        <v>93.555349676526106</v>
      </c>
      <c r="AN4572">
        <v>1.00000000354983</v>
      </c>
    </row>
    <row r="4573" spans="1:40" x14ac:dyDescent="0.25">
      <c r="A4573" t="str">
        <f>"20190303162912160"</f>
        <v>20190303162912160</v>
      </c>
      <c r="B4573" t="str">
        <f>"1551601752156338"</f>
        <v>1551601752156338</v>
      </c>
      <c r="C4573" t="s">
        <v>40</v>
      </c>
      <c r="D4573">
        <v>4.8894489999999999</v>
      </c>
      <c r="E4573">
        <v>0.53668700000000003</v>
      </c>
      <c r="F4573" t="s">
        <v>44</v>
      </c>
      <c r="G4573">
        <v>-385.97489999999999</v>
      </c>
      <c r="H4573">
        <v>0.8144093</v>
      </c>
      <c r="I4573">
        <v>142.78809999999999</v>
      </c>
      <c r="J4573">
        <v>-385.29829999999998</v>
      </c>
      <c r="K4573">
        <v>1.1209819999999999</v>
      </c>
      <c r="L4573">
        <v>142.71770000000001</v>
      </c>
      <c r="M4573">
        <v>-0.99915509999999996</v>
      </c>
      <c r="N4573">
        <v>-1.237217E-2</v>
      </c>
      <c r="O4573">
        <v>3.9191330000000003E-2</v>
      </c>
      <c r="P4573">
        <v>-0.9843904</v>
      </c>
      <c r="Q4573">
        <v>0.1745932</v>
      </c>
      <c r="R4573">
        <v>-2.2200319999999999E-2</v>
      </c>
      <c r="S4573">
        <v>-3.2456670000000001</v>
      </c>
      <c r="T4573">
        <v>-1.084535</v>
      </c>
      <c r="U4573">
        <v>0.28196719999999997</v>
      </c>
      <c r="V4573">
        <v>-6.0685969999999999E-2</v>
      </c>
      <c r="W4573">
        <v>0.18676480000000001</v>
      </c>
      <c r="X4573">
        <v>0.98052850000000003</v>
      </c>
      <c r="Y4573">
        <v>4.6772830000000001E-2</v>
      </c>
      <c r="Z4573">
        <v>-4.3549649999999997E-3</v>
      </c>
      <c r="AA4573">
        <v>0.99889609999999995</v>
      </c>
      <c r="AB4573">
        <v>35</v>
      </c>
      <c r="AC4573">
        <v>-0.67660000000000697</v>
      </c>
      <c r="AD4573">
        <v>-0.30657269999999898</v>
      </c>
      <c r="AE4573">
        <v>7.0399999999977994E-2</v>
      </c>
      <c r="AF4573">
        <v>3.6428176966971502E-2</v>
      </c>
      <c r="AG4573">
        <v>-0.30657269999999898</v>
      </c>
      <c r="AH4573">
        <v>0.56423824464876404</v>
      </c>
      <c r="AI4573">
        <v>118.467003116702</v>
      </c>
      <c r="AJ4573">
        <v>86.306014154921201</v>
      </c>
      <c r="AK4573">
        <v>0.64317853601216002</v>
      </c>
      <c r="AL4573">
        <v>79.235958586977304</v>
      </c>
      <c r="AM4573">
        <v>93.541580394768602</v>
      </c>
      <c r="AN4573">
        <v>1.00000000839306</v>
      </c>
    </row>
    <row r="4574" spans="1:40" x14ac:dyDescent="0.25">
      <c r="A4574" t="str">
        <f>"20190303162912177"</f>
        <v>20190303162912177</v>
      </c>
      <c r="B4574" t="str">
        <f>"1551601752166098"</f>
        <v>1551601752166098</v>
      </c>
      <c r="C4574" t="s">
        <v>40</v>
      </c>
      <c r="D4574">
        <v>4.8781819999999998</v>
      </c>
      <c r="E4574">
        <v>0.5365489</v>
      </c>
      <c r="F4574" t="s">
        <v>44</v>
      </c>
      <c r="G4574">
        <v>-386.00389999999999</v>
      </c>
      <c r="H4574">
        <v>0.88400190000000001</v>
      </c>
      <c r="I4574">
        <v>142.779</v>
      </c>
      <c r="J4574">
        <v>-385.57029999999997</v>
      </c>
      <c r="K4574">
        <v>1.121075</v>
      </c>
      <c r="L4574">
        <v>142.72829999999999</v>
      </c>
      <c r="M4574">
        <v>-0.99915830000000005</v>
      </c>
      <c r="N4574">
        <v>-1.237911E-2</v>
      </c>
      <c r="O4574">
        <v>3.9108999999999998E-2</v>
      </c>
      <c r="P4574">
        <v>-0.98432699999999995</v>
      </c>
      <c r="Q4574">
        <v>0.1749772</v>
      </c>
      <c r="R4574">
        <v>-2.1994349999999999E-2</v>
      </c>
      <c r="S4574">
        <v>-3.2473749999999999</v>
      </c>
      <c r="T4574">
        <v>-1.0906209999999901</v>
      </c>
      <c r="U4574">
        <v>0.28117370000000003</v>
      </c>
      <c r="V4574">
        <v>-6.0436549999999999E-2</v>
      </c>
      <c r="W4574">
        <v>0.1871419</v>
      </c>
      <c r="X4574">
        <v>0.98047200000000001</v>
      </c>
      <c r="Y4574">
        <v>4.6569409999999999E-2</v>
      </c>
      <c r="Z4574">
        <v>-4.388004E-3</v>
      </c>
      <c r="AA4574">
        <v>0.99890540000000005</v>
      </c>
      <c r="AB4574">
        <v>35</v>
      </c>
      <c r="AC4574">
        <v>-0.43360000000001198</v>
      </c>
      <c r="AD4574">
        <v>-0.23707310000000001</v>
      </c>
      <c r="AE4574">
        <v>5.0700000000006101E-2</v>
      </c>
      <c r="AF4574">
        <v>2.6026722007593199E-2</v>
      </c>
      <c r="AG4574">
        <v>-0.23707310000000001</v>
      </c>
      <c r="AH4574">
        <v>0.33612485240476297</v>
      </c>
      <c r="AI4574">
        <v>125.11518065351</v>
      </c>
      <c r="AJ4574">
        <v>85.572324687128699</v>
      </c>
      <c r="AK4574">
        <v>0.41214191901115099</v>
      </c>
      <c r="AL4574">
        <v>79.213964530931705</v>
      </c>
      <c r="AM4574">
        <v>93.527264016198203</v>
      </c>
      <c r="AN4574">
        <v>1.00000000504775</v>
      </c>
    </row>
    <row r="4575" spans="1:40" x14ac:dyDescent="0.25">
      <c r="A4575" t="str">
        <f>"20190303162912200"</f>
        <v>20190303162912200</v>
      </c>
      <c r="B4575" t="str">
        <f>"1551601752196353"</f>
        <v>1551601752196353</v>
      </c>
      <c r="C4575" t="s">
        <v>40</v>
      </c>
      <c r="D4575">
        <v>4.8544010000000002</v>
      </c>
      <c r="E4575">
        <v>0.5363348</v>
      </c>
      <c r="F4575" t="s">
        <v>44</v>
      </c>
      <c r="G4575">
        <v>-386.31259999999997</v>
      </c>
      <c r="H4575">
        <v>0.87145069999999902</v>
      </c>
      <c r="I4575">
        <v>142.79329999999999</v>
      </c>
      <c r="J4575">
        <v>-385.92579999999998</v>
      </c>
      <c r="K4575">
        <v>1.121194</v>
      </c>
      <c r="L4575">
        <v>142.74199999999999</v>
      </c>
      <c r="M4575">
        <v>-0.99916689999999997</v>
      </c>
      <c r="N4575">
        <v>-1.239114E-2</v>
      </c>
      <c r="O4575">
        <v>3.8885599999999999E-2</v>
      </c>
      <c r="P4575">
        <v>-0.98422469999999995</v>
      </c>
      <c r="Q4575">
        <v>0.17543610000000001</v>
      </c>
      <c r="R4575">
        <v>-2.2891680000000001E-2</v>
      </c>
      <c r="S4575">
        <v>-3.2482600000000001</v>
      </c>
      <c r="T4575">
        <v>-1.0924179999999999</v>
      </c>
      <c r="U4575">
        <v>0.28303529999999999</v>
      </c>
      <c r="V4575">
        <v>-6.1161439999999997E-2</v>
      </c>
      <c r="W4575">
        <v>0.18759390000000001</v>
      </c>
      <c r="X4575">
        <v>0.98034069999999995</v>
      </c>
      <c r="Y4575">
        <v>4.7284050000000001E-2</v>
      </c>
      <c r="Z4575">
        <v>-4.2023529999999998E-3</v>
      </c>
      <c r="AA4575">
        <v>0.9988726</v>
      </c>
      <c r="AB4575">
        <v>35</v>
      </c>
      <c r="AC4575">
        <v>-0.38679999999999298</v>
      </c>
      <c r="AD4575">
        <v>-0.2497433</v>
      </c>
      <c r="AE4575">
        <v>5.1299999999969197E-2</v>
      </c>
      <c r="AF4575">
        <v>2.5693176636049302E-2</v>
      </c>
      <c r="AG4575">
        <v>-0.2497433</v>
      </c>
      <c r="AH4575">
        <v>0.27559666641953201</v>
      </c>
      <c r="AI4575">
        <v>132.0592653624</v>
      </c>
      <c r="AJ4575">
        <v>84.673855001458904</v>
      </c>
      <c r="AK4575">
        <v>0.37280742718205101</v>
      </c>
      <c r="AL4575">
        <v>79.187600304813003</v>
      </c>
      <c r="AM4575">
        <v>93.5699389360732</v>
      </c>
      <c r="AN4575">
        <v>1.0000000405682801</v>
      </c>
    </row>
    <row r="4576" spans="1:40" x14ac:dyDescent="0.25">
      <c r="A4576" t="str">
        <f>"20190303162912222"</f>
        <v>20190303162912222</v>
      </c>
      <c r="B4576" t="str">
        <f>"1551601752215874"</f>
        <v>1551601752215874</v>
      </c>
      <c r="C4576" t="s">
        <v>40</v>
      </c>
      <c r="D4576">
        <v>4.8529070000000001</v>
      </c>
      <c r="E4576">
        <v>0.53624329999999998</v>
      </c>
      <c r="F4576" t="s">
        <v>44</v>
      </c>
      <c r="G4576">
        <v>-386.63220000000001</v>
      </c>
      <c r="H4576">
        <v>0.88334449999999998</v>
      </c>
      <c r="I4576">
        <v>142.80340000000001</v>
      </c>
      <c r="J4576">
        <v>-386.28219999999999</v>
      </c>
      <c r="K4576">
        <v>1.1213109999999999</v>
      </c>
      <c r="L4576">
        <v>142.75559999999999</v>
      </c>
      <c r="M4576">
        <v>-0.99918059999999997</v>
      </c>
      <c r="N4576">
        <v>-1.240719E-2</v>
      </c>
      <c r="O4576">
        <v>3.8526020000000001E-2</v>
      </c>
      <c r="P4576">
        <v>-0.98411119999999996</v>
      </c>
      <c r="Q4576">
        <v>0.1757745</v>
      </c>
      <c r="R4576">
        <v>-2.50744E-2</v>
      </c>
      <c r="S4576">
        <v>-3.249695</v>
      </c>
      <c r="T4576">
        <v>-1.0942780000000001</v>
      </c>
      <c r="U4576">
        <v>0.28067019999999998</v>
      </c>
      <c r="V4576">
        <v>-6.3038769999999994E-2</v>
      </c>
      <c r="W4576">
        <v>0.18792780000000001</v>
      </c>
      <c r="X4576">
        <v>0.98015779999999997</v>
      </c>
      <c r="Y4576">
        <v>4.688635E-2</v>
      </c>
      <c r="Z4576">
        <v>-4.1619659999999996E-3</v>
      </c>
      <c r="AA4576">
        <v>0.99889150000000004</v>
      </c>
      <c r="AB4576">
        <v>35</v>
      </c>
      <c r="AC4576">
        <v>-0.35000000000002202</v>
      </c>
      <c r="AD4576">
        <v>-0.2379665</v>
      </c>
      <c r="AE4576">
        <v>4.7800000000023601E-2</v>
      </c>
      <c r="AF4576">
        <v>2.35790561731349E-2</v>
      </c>
      <c r="AG4576">
        <v>-0.2379665</v>
      </c>
      <c r="AH4576">
        <v>0.24183550564682799</v>
      </c>
      <c r="AI4576">
        <v>134.40248926912099</v>
      </c>
      <c r="AJ4576">
        <v>84.431240773778299</v>
      </c>
      <c r="AK4576">
        <v>0.34010063040771099</v>
      </c>
      <c r="AL4576">
        <v>79.168122703608404</v>
      </c>
      <c r="AM4576">
        <v>93.679905167291096</v>
      </c>
      <c r="AN4576">
        <v>1.0000000287183901</v>
      </c>
    </row>
    <row r="4577" spans="1:40" x14ac:dyDescent="0.25">
      <c r="A4577" t="str">
        <f>"20190303162912235"</f>
        <v>20190303162912235</v>
      </c>
      <c r="B4577" t="str">
        <f>"1551601752226814"</f>
        <v>1551601752226814</v>
      </c>
      <c r="C4577" t="s">
        <v>40</v>
      </c>
      <c r="D4577">
        <v>4.856776</v>
      </c>
      <c r="E4577">
        <v>0.53623080000000001</v>
      </c>
      <c r="F4577" t="s">
        <v>44</v>
      </c>
      <c r="G4577">
        <v>-386.952</v>
      </c>
      <c r="H4577">
        <v>0.89599229999999996</v>
      </c>
      <c r="I4577">
        <v>142.81290000000001</v>
      </c>
      <c r="J4577">
        <v>-386.4853</v>
      </c>
      <c r="K4577">
        <v>1.1213820000000001</v>
      </c>
      <c r="L4577">
        <v>142.76320000000001</v>
      </c>
      <c r="M4577">
        <v>-0.99919089999999999</v>
      </c>
      <c r="N4577">
        <v>-1.241953E-2</v>
      </c>
      <c r="O4577">
        <v>3.8252630000000003E-2</v>
      </c>
      <c r="P4577">
        <v>-0.98407069999999996</v>
      </c>
      <c r="Q4577">
        <v>0.1757232</v>
      </c>
      <c r="R4577">
        <v>-2.694966E-2</v>
      </c>
      <c r="S4577">
        <v>-3.2507929999999998</v>
      </c>
      <c r="T4577">
        <v>-1.093504</v>
      </c>
      <c r="U4577">
        <v>0.27656560000000002</v>
      </c>
      <c r="V4577">
        <v>-6.4672809999999997E-2</v>
      </c>
      <c r="W4577">
        <v>0.18787680000000001</v>
      </c>
      <c r="X4577">
        <v>0.98006110000000002</v>
      </c>
      <c r="Y4577">
        <v>4.5920469999999998E-2</v>
      </c>
      <c r="Z4577">
        <v>-4.2347239999999996E-3</v>
      </c>
      <c r="AA4577">
        <v>0.99893609999999999</v>
      </c>
      <c r="AB4577">
        <v>35</v>
      </c>
      <c r="AC4577">
        <v>-0.466700000000003</v>
      </c>
      <c r="AD4577">
        <v>-0.225389699999999</v>
      </c>
      <c r="AE4577">
        <v>4.9700000000001403E-2</v>
      </c>
      <c r="AF4577">
        <v>2.5848568384465601E-2</v>
      </c>
      <c r="AG4577">
        <v>-0.225389699999999</v>
      </c>
      <c r="AH4577">
        <v>0.38050743096343098</v>
      </c>
      <c r="AI4577">
        <v>120.58214376251399</v>
      </c>
      <c r="AJ4577">
        <v>86.113763149305299</v>
      </c>
      <c r="AK4577">
        <v>0.44300628705697398</v>
      </c>
      <c r="AL4577">
        <v>79.171097598304996</v>
      </c>
      <c r="AM4577">
        <v>93.775391740619</v>
      </c>
      <c r="AN4577">
        <v>1.00000001203237</v>
      </c>
    </row>
    <row r="4578" spans="1:40" x14ac:dyDescent="0.25">
      <c r="A4578" t="str">
        <f>"20190303162912255"</f>
        <v>20190303162912255</v>
      </c>
      <c r="B4578" t="str">
        <f>"1551601752246333"</f>
        <v>1551601752246333</v>
      </c>
      <c r="C4578" t="s">
        <v>40</v>
      </c>
      <c r="D4578">
        <v>4.8292129999999904</v>
      </c>
      <c r="E4578">
        <v>0.53614469999999903</v>
      </c>
      <c r="F4578" t="s">
        <v>44</v>
      </c>
      <c r="G4578">
        <v>-387.25189999999998</v>
      </c>
      <c r="H4578">
        <v>0.86360759999999903</v>
      </c>
      <c r="I4578">
        <v>142.82759999999999</v>
      </c>
      <c r="J4578">
        <v>-386.78910000000002</v>
      </c>
      <c r="K4578">
        <v>1.121483</v>
      </c>
      <c r="L4578">
        <v>142.77440000000001</v>
      </c>
      <c r="M4578">
        <v>-0.9992084</v>
      </c>
      <c r="N4578">
        <v>-1.243969E-2</v>
      </c>
      <c r="O4578">
        <v>3.7788299999999997E-2</v>
      </c>
      <c r="P4578">
        <v>-0.98396360000000005</v>
      </c>
      <c r="Q4578">
        <v>0.17538779999999901</v>
      </c>
      <c r="R4578">
        <v>-3.2480870000000002E-2</v>
      </c>
      <c r="S4578">
        <v>-3.2512210000000001</v>
      </c>
      <c r="T4578">
        <v>-1.093283</v>
      </c>
      <c r="U4578">
        <v>0.2726288</v>
      </c>
      <c r="V4578">
        <v>-6.9784399999999996E-2</v>
      </c>
      <c r="W4578">
        <v>0.18753810000000001</v>
      </c>
      <c r="X4578">
        <v>0.97977519999999996</v>
      </c>
      <c r="Y4578">
        <v>4.5190359999999999E-2</v>
      </c>
      <c r="Z4578">
        <v>-4.2102789999999999E-3</v>
      </c>
      <c r="AA4578">
        <v>0.99896949999999995</v>
      </c>
      <c r="AB4578">
        <v>35</v>
      </c>
      <c r="AC4578">
        <v>-0.46279999999995802</v>
      </c>
      <c r="AD4578">
        <v>-0.25787539999999998</v>
      </c>
      <c r="AE4578">
        <v>5.3199999999975399E-2</v>
      </c>
      <c r="AF4578">
        <v>2.73051041938016E-2</v>
      </c>
      <c r="AG4578">
        <v>-0.25787539999999998</v>
      </c>
      <c r="AH4578">
        <v>0.35553358031564702</v>
      </c>
      <c r="AI4578">
        <v>125.874067720113</v>
      </c>
      <c r="AJ4578">
        <v>85.608284955780206</v>
      </c>
      <c r="AK4578">
        <v>0.440056152521763</v>
      </c>
      <c r="AL4578">
        <v>79.190853879423898</v>
      </c>
      <c r="AM4578">
        <v>94.074006879378004</v>
      </c>
      <c r="AN4578">
        <v>0.99999992198500198</v>
      </c>
    </row>
    <row r="4579" spans="1:40" x14ac:dyDescent="0.25">
      <c r="A4579" t="str">
        <f>"20190303162912277"</f>
        <v>20190303162912277</v>
      </c>
      <c r="B4579" t="str">
        <f>"1551601752265853"</f>
        <v>1551601752265853</v>
      </c>
      <c r="C4579" t="s">
        <v>40</v>
      </c>
      <c r="D4579">
        <v>4.9057639999999996</v>
      </c>
      <c r="E4579">
        <v>0.53612419999999905</v>
      </c>
      <c r="F4579" t="s">
        <v>44</v>
      </c>
      <c r="G4579">
        <v>-387.56470000000002</v>
      </c>
      <c r="H4579">
        <v>0.86040209999999995</v>
      </c>
      <c r="I4579">
        <v>142.8366</v>
      </c>
      <c r="J4579">
        <v>-387.13869999999997</v>
      </c>
      <c r="K4579">
        <v>1.121586</v>
      </c>
      <c r="L4579">
        <v>142.78700000000001</v>
      </c>
      <c r="M4579">
        <v>-0.99923150000000005</v>
      </c>
      <c r="N4579">
        <v>-1.246412E-2</v>
      </c>
      <c r="O4579">
        <v>3.7163920000000003E-2</v>
      </c>
      <c r="P4579">
        <v>-0.98358120000000004</v>
      </c>
      <c r="Q4579">
        <v>0.1753546</v>
      </c>
      <c r="R4579">
        <v>-4.2649020000000003E-2</v>
      </c>
      <c r="S4579">
        <v>-3.2526549999999999</v>
      </c>
      <c r="T4579">
        <v>-1.0950789999999999</v>
      </c>
      <c r="U4579">
        <v>0.25961299999999998</v>
      </c>
      <c r="V4579">
        <v>-7.9366080000000006E-2</v>
      </c>
      <c r="W4579">
        <v>0.1874922</v>
      </c>
      <c r="X4579">
        <v>0.97905450000000005</v>
      </c>
      <c r="Y4579">
        <v>4.1957080000000001E-2</v>
      </c>
      <c r="Z4579">
        <v>-4.5686349999999997E-3</v>
      </c>
      <c r="AA4579">
        <v>0.99910900000000002</v>
      </c>
      <c r="AB4579">
        <v>35</v>
      </c>
      <c r="AC4579">
        <v>-0.42600000000004401</v>
      </c>
      <c r="AD4579">
        <v>-0.26118389999999903</v>
      </c>
      <c r="AE4579">
        <v>4.9599999999998E-2</v>
      </c>
      <c r="AF4579">
        <v>2.46067004031837E-2</v>
      </c>
      <c r="AG4579">
        <v>-0.26118389999999903</v>
      </c>
      <c r="AH4579">
        <v>0.31188083361256802</v>
      </c>
      <c r="AI4579">
        <v>129.85693045168901</v>
      </c>
      <c r="AJ4579">
        <v>85.4888360732172</v>
      </c>
      <c r="AK4579">
        <v>0.40754407577440299</v>
      </c>
      <c r="AL4579">
        <v>79.193532175896095</v>
      </c>
      <c r="AM4579">
        <v>94.634491493163296</v>
      </c>
      <c r="AN4579">
        <v>1.0000000068428201</v>
      </c>
    </row>
    <row r="4580" spans="1:40" x14ac:dyDescent="0.25">
      <c r="A4580" t="str">
        <f>"20190303162912293"</f>
        <v>20190303162912293</v>
      </c>
      <c r="B4580" t="str">
        <f>"1551601752286350"</f>
        <v>1551601752286350</v>
      </c>
      <c r="C4580" t="s">
        <v>40</v>
      </c>
      <c r="D4580">
        <v>5.1932080000000003</v>
      </c>
      <c r="E4580">
        <v>0.52476719999999999</v>
      </c>
      <c r="F4580" t="s">
        <v>44</v>
      </c>
      <c r="G4580">
        <v>-387.88369999999998</v>
      </c>
      <c r="H4580">
        <v>0.87119099999999905</v>
      </c>
      <c r="I4580">
        <v>142.8408</v>
      </c>
      <c r="J4580">
        <v>-387.39960000000002</v>
      </c>
      <c r="K4580">
        <v>1.1216619999999999</v>
      </c>
      <c r="L4580">
        <v>142.7962</v>
      </c>
      <c r="M4580">
        <v>-0.99925059999999999</v>
      </c>
      <c r="N4580">
        <v>-1.248165E-2</v>
      </c>
      <c r="O4580">
        <v>3.6639499999999998E-2</v>
      </c>
      <c r="P4580">
        <v>-0.98316780000000004</v>
      </c>
      <c r="Q4580">
        <v>0.17588879999999901</v>
      </c>
      <c r="R4580">
        <v>-4.9439919999999998E-2</v>
      </c>
      <c r="S4580">
        <v>-3.2553100000000001</v>
      </c>
      <c r="T4580">
        <v>-1.094109</v>
      </c>
      <c r="U4580">
        <v>0.23471069999999999</v>
      </c>
      <c r="V4580">
        <v>-8.5655380000000003E-2</v>
      </c>
      <c r="W4580">
        <v>0.18801399999999999</v>
      </c>
      <c r="X4580">
        <v>0.97842419999999997</v>
      </c>
      <c r="Y4580">
        <v>3.5175869999999998E-2</v>
      </c>
      <c r="Z4580">
        <v>-5.547443E-3</v>
      </c>
      <c r="AA4580">
        <v>0.99936570000000002</v>
      </c>
      <c r="AB4580">
        <v>35</v>
      </c>
      <c r="AC4580">
        <v>-0.48409999999995501</v>
      </c>
      <c r="AD4580">
        <v>-0.250471</v>
      </c>
      <c r="AE4580">
        <v>4.4600000000002603E-2</v>
      </c>
      <c r="AF4580">
        <v>2.1203206273484501E-2</v>
      </c>
      <c r="AG4580">
        <v>-0.250471</v>
      </c>
      <c r="AH4580">
        <v>0.38358780188370201</v>
      </c>
      <c r="AI4580">
        <v>123.10330001919399</v>
      </c>
      <c r="AJ4580">
        <v>86.836137163324395</v>
      </c>
      <c r="AK4580">
        <v>0.45861192696139702</v>
      </c>
      <c r="AL4580">
        <v>79.163093985657298</v>
      </c>
      <c r="AM4580">
        <v>95.003158757996104</v>
      </c>
      <c r="AN4580">
        <v>1.00000001173229</v>
      </c>
    </row>
    <row r="4581" spans="1:40" x14ac:dyDescent="0.25">
      <c r="A4581" t="str">
        <f>"20190303162912307"</f>
        <v>20190303162912307</v>
      </c>
      <c r="B4581" t="str">
        <f>"1551601752296110"</f>
        <v>1551601752296110</v>
      </c>
      <c r="C4581" t="s">
        <v>40</v>
      </c>
      <c r="D4581">
        <v>4.83277</v>
      </c>
      <c r="E4581">
        <v>0.52476719999999999</v>
      </c>
      <c r="F4581" t="s">
        <v>44</v>
      </c>
      <c r="G4581">
        <v>-388.21420000000001</v>
      </c>
      <c r="H4581">
        <v>0.90461130000000001</v>
      </c>
      <c r="I4581">
        <v>142.82550000000001</v>
      </c>
      <c r="J4581">
        <v>-387.61930000000001</v>
      </c>
      <c r="K4581">
        <v>1.121721</v>
      </c>
      <c r="L4581">
        <v>142.8038</v>
      </c>
      <c r="M4581">
        <v>-0.99926769999999998</v>
      </c>
      <c r="N4581">
        <v>-1.249574E-2</v>
      </c>
      <c r="O4581">
        <v>3.6166660000000003E-2</v>
      </c>
      <c r="P4581">
        <v>-0.98250269999999995</v>
      </c>
      <c r="Q4581">
        <v>0.17692349999999901</v>
      </c>
      <c r="R4581">
        <v>-5.8193969999999998E-2</v>
      </c>
      <c r="S4581">
        <v>-3.2101440000000001</v>
      </c>
      <c r="T4581">
        <v>-0.8553904</v>
      </c>
      <c r="U4581">
        <v>0.1146393</v>
      </c>
      <c r="V4581">
        <v>-9.3942330000000004E-2</v>
      </c>
      <c r="W4581">
        <v>0.18902830000000001</v>
      </c>
      <c r="X4581">
        <v>0.97746770000000005</v>
      </c>
      <c r="Y4581">
        <v>6.3972439999999996E-4</v>
      </c>
      <c r="Z4581">
        <v>-8.9335609999999996E-3</v>
      </c>
      <c r="AA4581">
        <v>0.99995990000000001</v>
      </c>
      <c r="AB4581">
        <v>35</v>
      </c>
      <c r="AC4581">
        <v>-0.59489999999999499</v>
      </c>
      <c r="AD4581">
        <v>-0.21710969999999899</v>
      </c>
      <c r="AE4581">
        <v>2.1700000000009802E-2</v>
      </c>
      <c r="AF4581">
        <v>1.48785809062863E-4</v>
      </c>
      <c r="AG4581">
        <v>-0.21710969999999899</v>
      </c>
      <c r="AH4581">
        <v>0.52540949146937899</v>
      </c>
      <c r="AI4581">
        <v>112.45139101400601</v>
      </c>
      <c r="AJ4581">
        <v>89.983774943503505</v>
      </c>
      <c r="AK4581">
        <v>0.56849958460619698</v>
      </c>
      <c r="AL4581">
        <v>79.1039174664065</v>
      </c>
      <c r="AM4581">
        <v>95.489713936176798</v>
      </c>
      <c r="AN4581">
        <v>0.99999998205500396</v>
      </c>
    </row>
    <row r="4582" spans="1:40" x14ac:dyDescent="0.25">
      <c r="A4582" t="str">
        <f>"20190303162912322"</f>
        <v>20190303162912322</v>
      </c>
      <c r="B4582" t="str">
        <f>"1551601752316606"</f>
        <v>1551601752316606</v>
      </c>
      <c r="C4582" t="s">
        <v>40</v>
      </c>
      <c r="D4582">
        <v>4.8130249999999997</v>
      </c>
      <c r="E4582">
        <v>0.4534996</v>
      </c>
      <c r="F4582" t="s">
        <v>44</v>
      </c>
      <c r="G4582">
        <v>-388.51929999999999</v>
      </c>
      <c r="H4582">
        <v>0.88313560000000002</v>
      </c>
      <c r="I4582">
        <v>142.8287</v>
      </c>
      <c r="J4582">
        <v>-387.85219999999998</v>
      </c>
      <c r="K4582">
        <v>1.1217859999999999</v>
      </c>
      <c r="L4582">
        <v>142.8117</v>
      </c>
      <c r="M4582">
        <v>-0.99928669999999997</v>
      </c>
      <c r="N4582">
        <v>-1.250998E-2</v>
      </c>
      <c r="O4582">
        <v>3.5633320000000003E-2</v>
      </c>
      <c r="P4582">
        <v>-0.98091569999999995</v>
      </c>
      <c r="Q4582">
        <v>0.17869560000000001</v>
      </c>
      <c r="R4582">
        <v>-7.6632130000000007E-2</v>
      </c>
      <c r="S4582">
        <v>-3.2120060000000001</v>
      </c>
      <c r="T4582">
        <v>-0.85149660000000005</v>
      </c>
      <c r="U4582">
        <v>8.8470460000000001E-2</v>
      </c>
      <c r="V4582">
        <v>-0.11181729999999999</v>
      </c>
      <c r="W4582">
        <v>0.19074830000000001</v>
      </c>
      <c r="X4582">
        <v>0.9752497</v>
      </c>
      <c r="Y4582">
        <v>-6.7468160000000001E-3</v>
      </c>
      <c r="Z4582">
        <v>-9.7649380000000008E-3</v>
      </c>
      <c r="AA4582">
        <v>0.99992950000000003</v>
      </c>
      <c r="AB4582">
        <v>35</v>
      </c>
      <c r="AC4582">
        <v>-0.66710000000000402</v>
      </c>
      <c r="AD4582">
        <v>-0.23865039999999901</v>
      </c>
      <c r="AE4582">
        <v>1.69999999999959E-2</v>
      </c>
      <c r="AF4582">
        <v>-6.0144179476863697E-3</v>
      </c>
      <c r="AG4582">
        <v>-0.23865039999999901</v>
      </c>
      <c r="AH4582">
        <v>0.59161613765057297</v>
      </c>
      <c r="AI4582">
        <v>111.967492294218</v>
      </c>
      <c r="AJ4582">
        <v>90.582453506641002</v>
      </c>
      <c r="AK4582">
        <v>0.63796539167261301</v>
      </c>
      <c r="AL4582">
        <v>79.003542655940507</v>
      </c>
      <c r="AM4582">
        <v>96.540689247387803</v>
      </c>
      <c r="AN4582">
        <v>0.99999999994113498</v>
      </c>
    </row>
    <row r="4583" spans="1:40" x14ac:dyDescent="0.25">
      <c r="A4583" t="str">
        <f>"20190303162912336"</f>
        <v>20190303162912336</v>
      </c>
      <c r="B4583" t="str">
        <f>"1551601752326366"</f>
        <v>1551601752326366</v>
      </c>
      <c r="C4583" t="s">
        <v>40</v>
      </c>
      <c r="D4583">
        <v>4.852182</v>
      </c>
      <c r="E4583">
        <v>0.44449129999999998</v>
      </c>
      <c r="F4583" t="s">
        <v>56</v>
      </c>
      <c r="G4583">
        <v>-400.69</v>
      </c>
      <c r="H4583" s="1">
        <v>-6.017141E-6</v>
      </c>
      <c r="I4583">
        <v>140.45609999999999</v>
      </c>
      <c r="J4583">
        <v>-388.07049999999998</v>
      </c>
      <c r="K4583">
        <v>1.121837</v>
      </c>
      <c r="L4583">
        <v>142.81890000000001</v>
      </c>
      <c r="M4583">
        <v>-0.99930569999999996</v>
      </c>
      <c r="N4583">
        <v>-1.252229E-2</v>
      </c>
      <c r="O4583">
        <v>3.509553E-2</v>
      </c>
      <c r="P4583">
        <v>-0.97995840000000001</v>
      </c>
      <c r="Q4583">
        <v>0.1794615</v>
      </c>
      <c r="R4583">
        <v>-8.6461410000000002E-2</v>
      </c>
      <c r="S4583">
        <v>-3.0632630000000001</v>
      </c>
      <c r="T4583">
        <v>-0.26767469999999999</v>
      </c>
      <c r="U4583">
        <v>-0.56207280000000004</v>
      </c>
      <c r="V4583">
        <v>-0.1211039</v>
      </c>
      <c r="W4583">
        <v>0.19148309999999999</v>
      </c>
      <c r="X4583">
        <v>0.97399590000000003</v>
      </c>
      <c r="Y4583">
        <v>-0.21388470000000001</v>
      </c>
      <c r="Z4583">
        <v>-1.3206209999999999E-2</v>
      </c>
      <c r="AA4583">
        <v>0.97676960000000002</v>
      </c>
      <c r="AB4583">
        <v>35</v>
      </c>
      <c r="AC4583">
        <v>-12.6195</v>
      </c>
      <c r="AD4583">
        <v>-1.1218430171410001</v>
      </c>
      <c r="AE4583">
        <v>-2.36280000000002</v>
      </c>
      <c r="AF4583">
        <v>-2.78301820736087</v>
      </c>
      <c r="AG4583">
        <v>-1.1218430171410001</v>
      </c>
      <c r="AH4583">
        <v>12.4338604892343</v>
      </c>
      <c r="AI4583">
        <v>95.031706897229</v>
      </c>
      <c r="AJ4583">
        <v>102.616330002482</v>
      </c>
      <c r="AK4583">
        <v>12.790801724808</v>
      </c>
      <c r="AL4583">
        <v>78.960650813980493</v>
      </c>
      <c r="AM4583">
        <v>97.087620568339105</v>
      </c>
      <c r="AN4583">
        <v>0.99999997269881402</v>
      </c>
    </row>
    <row r="4584" spans="1:40" x14ac:dyDescent="0.25">
      <c r="A4584" t="str">
        <f>"20190303162912355"</f>
        <v>20190303162912355</v>
      </c>
      <c r="B4584" t="str">
        <f>"1551601752345886"</f>
        <v>1551601752345886</v>
      </c>
      <c r="C4584" t="s">
        <v>40</v>
      </c>
      <c r="D4584">
        <v>4.9756410000000004</v>
      </c>
      <c r="E4584">
        <v>0.42813830000000003</v>
      </c>
      <c r="F4584" t="s">
        <v>56</v>
      </c>
      <c r="G4584">
        <v>-404.27429999999998</v>
      </c>
      <c r="H4584" s="1">
        <v>-7.100723E-6</v>
      </c>
      <c r="I4584">
        <v>139.27209999999999</v>
      </c>
      <c r="J4584">
        <v>-388.36540000000002</v>
      </c>
      <c r="K4584">
        <v>1.121907</v>
      </c>
      <c r="L4584">
        <v>142.82849999999999</v>
      </c>
      <c r="M4584">
        <v>-0.99933190000000005</v>
      </c>
      <c r="N4584">
        <v>-1.253816E-2</v>
      </c>
      <c r="O4584">
        <v>3.4332099999999997E-2</v>
      </c>
      <c r="P4584">
        <v>-0.97820689999999999</v>
      </c>
      <c r="Q4584">
        <v>0.17897589999999999</v>
      </c>
      <c r="R4584">
        <v>-0.10525519999999999</v>
      </c>
      <c r="S4584">
        <v>-3.0411990000000002</v>
      </c>
      <c r="T4584">
        <v>-0.21055309999999999</v>
      </c>
      <c r="U4584">
        <v>-0.66569519999999904</v>
      </c>
      <c r="V4584">
        <v>-0.1391087</v>
      </c>
      <c r="W4584">
        <v>0.1909351</v>
      </c>
      <c r="X4584">
        <v>0.97169570000000005</v>
      </c>
      <c r="Y4584">
        <v>-0.2465212</v>
      </c>
      <c r="Z4584">
        <v>-1.1913440000000001E-2</v>
      </c>
      <c r="AA4584">
        <v>0.96906420000000004</v>
      </c>
      <c r="AB4584">
        <v>35</v>
      </c>
      <c r="AC4584">
        <v>-15.9088999999999</v>
      </c>
      <c r="AD4584">
        <v>-1.121914100723</v>
      </c>
      <c r="AE4584">
        <v>-3.5563999999999898</v>
      </c>
      <c r="AF4584">
        <v>-4.0812012014763104</v>
      </c>
      <c r="AG4584">
        <v>-1.121914100723</v>
      </c>
      <c r="AH4584">
        <v>15.7030337079</v>
      </c>
      <c r="AI4584">
        <v>93.955617779830902</v>
      </c>
      <c r="AJ4584">
        <v>104.568790294742</v>
      </c>
      <c r="AK4584">
        <v>16.263460951709298</v>
      </c>
      <c r="AL4584">
        <v>78.992639279861507</v>
      </c>
      <c r="AM4584">
        <v>98.147149984926401</v>
      </c>
      <c r="AN4584">
        <v>0.99999998811309498</v>
      </c>
    </row>
    <row r="4585" spans="1:40" x14ac:dyDescent="0.25">
      <c r="A4585" t="str">
        <f>"20190303162912371"</f>
        <v>20190303162912371</v>
      </c>
      <c r="B4585" t="str">
        <f>"1551601752366381"</f>
        <v>1551601752366381</v>
      </c>
      <c r="C4585" t="s">
        <v>40</v>
      </c>
      <c r="D4585">
        <v>4.941592</v>
      </c>
      <c r="E4585">
        <v>0.42264790000000002</v>
      </c>
      <c r="F4585" t="s">
        <v>56</v>
      </c>
      <c r="G4585">
        <v>-405.81319999999999</v>
      </c>
      <c r="H4585" s="1">
        <v>-7.3446190000000003E-6</v>
      </c>
      <c r="I4585">
        <v>137.8954</v>
      </c>
      <c r="J4585">
        <v>-388.61529999999999</v>
      </c>
      <c r="K4585">
        <v>1.1219600000000001</v>
      </c>
      <c r="L4585">
        <v>142.8364</v>
      </c>
      <c r="M4585">
        <v>-0.99935510000000005</v>
      </c>
      <c r="N4585">
        <v>-1.255066E-2</v>
      </c>
      <c r="O4585">
        <v>3.3648030000000002E-2</v>
      </c>
      <c r="P4585">
        <v>-0.97734049999999995</v>
      </c>
      <c r="Q4585">
        <v>0.17809610000000001</v>
      </c>
      <c r="R4585">
        <v>-0.114403</v>
      </c>
      <c r="S4585">
        <v>-3.0106809999999999</v>
      </c>
      <c r="T4585">
        <v>-0.1935897</v>
      </c>
      <c r="U4585">
        <v>-0.85121150000000001</v>
      </c>
      <c r="V4585">
        <v>-0.1475766</v>
      </c>
      <c r="W4585">
        <v>0.19002179999999999</v>
      </c>
      <c r="X4585">
        <v>0.97062499999999996</v>
      </c>
      <c r="Y4585">
        <v>-0.3035485</v>
      </c>
      <c r="Z4585">
        <v>-1.3214750000000001E-2</v>
      </c>
      <c r="AA4585">
        <v>0.95272429999999997</v>
      </c>
      <c r="AB4585">
        <v>35</v>
      </c>
      <c r="AC4585">
        <v>-17.197900000000001</v>
      </c>
      <c r="AD4585">
        <v>-1.1219673446189999</v>
      </c>
      <c r="AE4585">
        <v>-4.9409999999999998</v>
      </c>
      <c r="AF4585">
        <v>-5.49531748304695</v>
      </c>
      <c r="AG4585">
        <v>-1.1219673446189999</v>
      </c>
      <c r="AH4585">
        <v>16.9552316272352</v>
      </c>
      <c r="AI4585">
        <v>93.601939031646396</v>
      </c>
      <c r="AJ4585">
        <v>107.957897509186</v>
      </c>
      <c r="AK4585">
        <v>17.858813076323699</v>
      </c>
      <c r="AL4585">
        <v>79.045943730762801</v>
      </c>
      <c r="AM4585">
        <v>98.645202749665202</v>
      </c>
      <c r="AN4585">
        <v>1.00000001398389</v>
      </c>
    </row>
    <row r="4586" spans="1:40" x14ac:dyDescent="0.25">
      <c r="A4586" t="str">
        <f>"20190303162912391"</f>
        <v>20190303162912391</v>
      </c>
      <c r="B4586" t="str">
        <f>"1551601752385902"</f>
        <v>1551601752385902</v>
      </c>
      <c r="C4586" t="s">
        <v>40</v>
      </c>
      <c r="D4586">
        <v>4.8773390000000001</v>
      </c>
      <c r="E4586">
        <v>0.42042590000000002</v>
      </c>
      <c r="F4586" t="s">
        <v>56</v>
      </c>
      <c r="G4586">
        <v>-406.1191</v>
      </c>
      <c r="H4586" s="1">
        <v>-7.34322099999999E-6</v>
      </c>
      <c r="I4586">
        <v>137.45590000000001</v>
      </c>
      <c r="J4586">
        <v>-388.92360000000002</v>
      </c>
      <c r="K4586">
        <v>1.122023</v>
      </c>
      <c r="L4586">
        <v>142.8459</v>
      </c>
      <c r="M4586">
        <v>-0.99938439999999995</v>
      </c>
      <c r="N4586">
        <v>-1.256473E-2</v>
      </c>
      <c r="O4586">
        <v>3.2759759999999999E-2</v>
      </c>
      <c r="P4586">
        <v>-0.97563860000000002</v>
      </c>
      <c r="Q4586">
        <v>0.17657410000000001</v>
      </c>
      <c r="R4586">
        <v>-0.13019729999999999</v>
      </c>
      <c r="S4586">
        <v>-2.9967649999999999</v>
      </c>
      <c r="T4586">
        <v>-0.19208810000000001</v>
      </c>
      <c r="U4586">
        <v>-0.92117309999999997</v>
      </c>
      <c r="V4586">
        <v>-0.16246669999999999</v>
      </c>
      <c r="W4586">
        <v>0.18843589999999999</v>
      </c>
      <c r="X4586">
        <v>0.96855380000000002</v>
      </c>
      <c r="Y4586">
        <v>-0.32420209999999999</v>
      </c>
      <c r="Z4586">
        <v>-1.3882510000000001E-2</v>
      </c>
      <c r="AA4586">
        <v>0.945886</v>
      </c>
      <c r="AB4586">
        <v>35</v>
      </c>
      <c r="AC4586">
        <v>-17.1954999999999</v>
      </c>
      <c r="AD4586">
        <v>-1.1220303432209999</v>
      </c>
      <c r="AE4586">
        <v>-5.3899999999999801</v>
      </c>
      <c r="AF4586">
        <v>-5.9274914521415303</v>
      </c>
      <c r="AG4586">
        <v>-1.1220303432209999</v>
      </c>
      <c r="AH4586">
        <v>16.9439909132482</v>
      </c>
      <c r="AI4586">
        <v>93.576654012799494</v>
      </c>
      <c r="AJ4586">
        <v>109.281293462359</v>
      </c>
      <c r="AK4586">
        <v>17.985909348002298</v>
      </c>
      <c r="AL4586">
        <v>79.138480725680907</v>
      </c>
      <c r="AM4586">
        <v>99.5222326261474</v>
      </c>
      <c r="AN4586">
        <v>0.99999999025607</v>
      </c>
    </row>
    <row r="4587" spans="1:40" x14ac:dyDescent="0.25">
      <c r="A4587" t="str">
        <f>"20190303162912416"</f>
        <v>20190303162912416</v>
      </c>
      <c r="B4587" t="str">
        <f>"1551601752406397"</f>
        <v>1551601752406397</v>
      </c>
      <c r="C4587" t="s">
        <v>40</v>
      </c>
      <c r="D4587">
        <v>4.8870909999999999</v>
      </c>
      <c r="E4587">
        <v>0.41988259999999999</v>
      </c>
      <c r="F4587" t="s">
        <v>56</v>
      </c>
      <c r="G4587">
        <v>-405.24590000000001</v>
      </c>
      <c r="H4587" s="1">
        <v>-6.7502799999999999E-6</v>
      </c>
      <c r="I4587">
        <v>137.45140000000001</v>
      </c>
      <c r="J4587">
        <v>-389.31369999999998</v>
      </c>
      <c r="K4587">
        <v>1.1220909999999999</v>
      </c>
      <c r="L4587">
        <v>142.85740000000001</v>
      </c>
      <c r="M4587">
        <v>-0.99942249999999999</v>
      </c>
      <c r="N4587">
        <v>-1.2580549999999999E-2</v>
      </c>
      <c r="O4587">
        <v>3.1568939999999997E-2</v>
      </c>
      <c r="P4587">
        <v>-0.97374419999999995</v>
      </c>
      <c r="Q4587">
        <v>0.1764599</v>
      </c>
      <c r="R4587">
        <v>-0.14382120000000001</v>
      </c>
      <c r="S4587">
        <v>-2.9805299999999999</v>
      </c>
      <c r="T4587">
        <v>-0.20488770000000001</v>
      </c>
      <c r="U4587">
        <v>-0.98506159999999998</v>
      </c>
      <c r="V4587">
        <v>-0.17489930000000001</v>
      </c>
      <c r="W4587">
        <v>0.1882547</v>
      </c>
      <c r="X4587">
        <v>0.96642139999999999</v>
      </c>
      <c r="Y4587">
        <v>-0.342703599999999</v>
      </c>
      <c r="Z4587">
        <v>-1.5403689999999999E-2</v>
      </c>
      <c r="AA4587">
        <v>0.93931730000000002</v>
      </c>
      <c r="AB4587">
        <v>35</v>
      </c>
      <c r="AC4587">
        <v>-15.9322</v>
      </c>
      <c r="AD4587">
        <v>-1.12209775028</v>
      </c>
      <c r="AE4587">
        <v>-5.4059999999999997</v>
      </c>
      <c r="AF4587">
        <v>-5.8801515004243496</v>
      </c>
      <c r="AG4587">
        <v>-1.12209775028</v>
      </c>
      <c r="AH4587">
        <v>15.683818015202</v>
      </c>
      <c r="AI4587">
        <v>93.832598436716495</v>
      </c>
      <c r="AJ4587">
        <v>110.551944725582</v>
      </c>
      <c r="AK4587">
        <v>16.787418877335</v>
      </c>
      <c r="AL4587">
        <v>79.149051580457694</v>
      </c>
      <c r="AM4587">
        <v>100.258142872082</v>
      </c>
      <c r="AN4587">
        <v>0.99999995979526901</v>
      </c>
    </row>
    <row r="4588" spans="1:40" x14ac:dyDescent="0.25">
      <c r="A4588" t="str">
        <f>"20190303162912434"</f>
        <v>20190303162912434</v>
      </c>
      <c r="B4588" t="str">
        <f>"1551601752425918"</f>
        <v>1551601752425918</v>
      </c>
      <c r="C4588" t="s">
        <v>40</v>
      </c>
      <c r="D4588">
        <v>4.8995259999999998</v>
      </c>
      <c r="E4588">
        <v>0.42066809999999899</v>
      </c>
      <c r="F4588" t="s">
        <v>56</v>
      </c>
      <c r="G4588">
        <v>-405.39280000000002</v>
      </c>
      <c r="H4588" s="1">
        <v>-6.7678160000000003E-6</v>
      </c>
      <c r="I4588">
        <v>137.27440000000001</v>
      </c>
      <c r="J4588">
        <v>-389.60210000000001</v>
      </c>
      <c r="K4588">
        <v>1.1221410000000001</v>
      </c>
      <c r="L4588">
        <v>142.8656</v>
      </c>
      <c r="M4588">
        <v>-0.99945119999999998</v>
      </c>
      <c r="N4588">
        <v>-1.259102E-2</v>
      </c>
      <c r="O4588">
        <v>3.0640899999999999E-2</v>
      </c>
      <c r="P4588">
        <v>-0.97217600000000004</v>
      </c>
      <c r="Q4588">
        <v>0.17655670000000001</v>
      </c>
      <c r="R4588">
        <v>-0.1539527</v>
      </c>
      <c r="S4588">
        <v>-2.966278</v>
      </c>
      <c r="T4588">
        <v>-0.20700569999999999</v>
      </c>
      <c r="U4588">
        <v>-1.029968</v>
      </c>
      <c r="V4588">
        <v>-0.18410199999999999</v>
      </c>
      <c r="W4588">
        <v>0.18829779999999999</v>
      </c>
      <c r="X4588">
        <v>0.96470219999999995</v>
      </c>
      <c r="Y4588">
        <v>-0.3558365</v>
      </c>
      <c r="Z4588">
        <v>-1.6060049999999999E-2</v>
      </c>
      <c r="AA4588">
        <v>0.93441019999999997</v>
      </c>
      <c r="AB4588">
        <v>35</v>
      </c>
      <c r="AC4588">
        <v>-15.790699999999999</v>
      </c>
      <c r="AD4588">
        <v>-1.1221477678159999</v>
      </c>
      <c r="AE4588">
        <v>-5.5911999999999802</v>
      </c>
      <c r="AF4588">
        <v>-6.0453257195297496</v>
      </c>
      <c r="AG4588">
        <v>-1.1221477678159999</v>
      </c>
      <c r="AH4588">
        <v>15.5422064334842</v>
      </c>
      <c r="AI4588">
        <v>93.849578707444806</v>
      </c>
      <c r="AJ4588">
        <v>111.25413774567301</v>
      </c>
      <c r="AK4588">
        <v>16.714226260556</v>
      </c>
      <c r="AL4588">
        <v>79.146537290960296</v>
      </c>
      <c r="AM4588">
        <v>100.80431017084101</v>
      </c>
      <c r="AN4588">
        <v>0.99999997128683904</v>
      </c>
    </row>
    <row r="4589" spans="1:40" x14ac:dyDescent="0.25">
      <c r="A4589" t="str">
        <f>"20190303162912456"</f>
        <v>20190303162912456</v>
      </c>
      <c r="B4589" t="str">
        <f>"1551601752446414"</f>
        <v>1551601752446414</v>
      </c>
      <c r="C4589" t="s">
        <v>40</v>
      </c>
      <c r="D4589">
        <v>4.9088399999999996</v>
      </c>
      <c r="E4589">
        <v>0.42237269999999999</v>
      </c>
      <c r="F4589" t="s">
        <v>56</v>
      </c>
      <c r="G4589">
        <v>-405.54649999999998</v>
      </c>
      <c r="H4589" s="1">
        <v>-6.8307730000000002E-6</v>
      </c>
      <c r="I4589">
        <v>137.18459999999999</v>
      </c>
      <c r="J4589">
        <v>-389.93889999999999</v>
      </c>
      <c r="K4589">
        <v>1.1221859999999999</v>
      </c>
      <c r="L4589">
        <v>142.87469999999999</v>
      </c>
      <c r="M4589">
        <v>-0.99948559999999997</v>
      </c>
      <c r="N4589">
        <v>-1.25995E-2</v>
      </c>
      <c r="O4589">
        <v>2.9499310000000001E-2</v>
      </c>
      <c r="P4589">
        <v>-0.97091959999999999</v>
      </c>
      <c r="Q4589">
        <v>0.17525589999999999</v>
      </c>
      <c r="R4589">
        <v>-0.1630973</v>
      </c>
      <c r="S4589">
        <v>-2.9568180000000002</v>
      </c>
      <c r="T4589">
        <v>-0.208097</v>
      </c>
      <c r="U4589">
        <v>-1.0535129999999999</v>
      </c>
      <c r="V4589">
        <v>-0.19212509999999999</v>
      </c>
      <c r="W4589">
        <v>0.18694230000000001</v>
      </c>
      <c r="X4589">
        <v>0.96340049999999999</v>
      </c>
      <c r="Y4589">
        <v>-0.36227799999999999</v>
      </c>
      <c r="Z4589">
        <v>-1.6361480000000001E-2</v>
      </c>
      <c r="AA4589">
        <v>0.93192649999999999</v>
      </c>
      <c r="AB4589">
        <v>35</v>
      </c>
      <c r="AC4589">
        <v>-15.6075999999999</v>
      </c>
      <c r="AD4589">
        <v>-1.122192830773</v>
      </c>
      <c r="AE4589">
        <v>-5.6901000000000002</v>
      </c>
      <c r="AF4589">
        <v>-6.1201459281265898</v>
      </c>
      <c r="AG4589">
        <v>-1.122192830773</v>
      </c>
      <c r="AH4589">
        <v>15.3628360404562</v>
      </c>
      <c r="AI4589">
        <v>93.8821084057398</v>
      </c>
      <c r="AJ4589">
        <v>111.72102419353401</v>
      </c>
      <c r="AK4589">
        <v>16.575048541013199</v>
      </c>
      <c r="AL4589">
        <v>79.225606172535507</v>
      </c>
      <c r="AM4589">
        <v>101.278191263857</v>
      </c>
      <c r="AN4589">
        <v>1.00000000048977</v>
      </c>
    </row>
    <row r="4590" spans="1:40" x14ac:dyDescent="0.25">
      <c r="A4590" t="str">
        <f>"20190303162912478"</f>
        <v>20190303162912478</v>
      </c>
      <c r="B4590" t="str">
        <f>"1551601752465934"</f>
        <v>1551601752465934</v>
      </c>
      <c r="C4590" t="s">
        <v>40</v>
      </c>
      <c r="D4590">
        <v>4.9200670000000004</v>
      </c>
      <c r="E4590">
        <v>0.42400090000000001</v>
      </c>
      <c r="F4590" t="s">
        <v>56</v>
      </c>
      <c r="G4590">
        <v>-405.52690000000001</v>
      </c>
      <c r="H4590" s="1">
        <v>-6.841983E-6</v>
      </c>
      <c r="I4590">
        <v>137.2373</v>
      </c>
      <c r="J4590">
        <v>-390.29329999999999</v>
      </c>
      <c r="K4590">
        <v>1.122239</v>
      </c>
      <c r="L4590">
        <v>142.88390000000001</v>
      </c>
      <c r="M4590">
        <v>-0.99952220000000003</v>
      </c>
      <c r="N4590">
        <v>-1.260289E-2</v>
      </c>
      <c r="O4590">
        <v>2.8226569999999999E-2</v>
      </c>
      <c r="P4590">
        <v>-0.97006289999999995</v>
      </c>
      <c r="Q4590">
        <v>0.1728644</v>
      </c>
      <c r="R4590">
        <v>-0.17057510000000001</v>
      </c>
      <c r="S4590">
        <v>-2.9490050000000001</v>
      </c>
      <c r="T4590">
        <v>-0.21230160000000001</v>
      </c>
      <c r="U4590">
        <v>-1.0665129999999901</v>
      </c>
      <c r="V4590">
        <v>-0.1983702</v>
      </c>
      <c r="W4590">
        <v>0.18449650000000001</v>
      </c>
      <c r="X4590">
        <v>0.96260599999999996</v>
      </c>
      <c r="Y4590">
        <v>-0.36546040000000002</v>
      </c>
      <c r="Z4590">
        <v>-1.673817E-2</v>
      </c>
      <c r="AA4590">
        <v>0.93067639999999996</v>
      </c>
      <c r="AB4590">
        <v>35</v>
      </c>
      <c r="AC4590">
        <v>-15.233599999999999</v>
      </c>
      <c r="AD4590">
        <v>-1.1222458419829999</v>
      </c>
      <c r="AE4590">
        <v>-5.6466000000000003</v>
      </c>
      <c r="AF4590">
        <v>-6.0455295764622399</v>
      </c>
      <c r="AG4590">
        <v>-1.1222458419829999</v>
      </c>
      <c r="AH4590">
        <v>14.996575461726801</v>
      </c>
      <c r="AI4590">
        <v>93.970305939326707</v>
      </c>
      <c r="AJ4590">
        <v>111.955711153598</v>
      </c>
      <c r="AK4590">
        <v>16.208181241860299</v>
      </c>
      <c r="AL4590">
        <v>79.368221358431498</v>
      </c>
      <c r="AM4590">
        <v>101.644289337206</v>
      </c>
      <c r="AN4590">
        <v>1.00000000299814</v>
      </c>
    </row>
    <row r="4591" spans="1:40" x14ac:dyDescent="0.25">
      <c r="A4591" t="str">
        <f>"20190303162912493"</f>
        <v>20190303162912493</v>
      </c>
      <c r="B4591" t="str">
        <f>"1551601752486430"</f>
        <v>1551601752486430</v>
      </c>
      <c r="C4591" t="s">
        <v>40</v>
      </c>
      <c r="D4591">
        <v>4.9586199999999998</v>
      </c>
      <c r="E4591">
        <v>0.42577619999999999</v>
      </c>
      <c r="F4591" t="s">
        <v>56</v>
      </c>
      <c r="G4591">
        <v>-405.23939999999999</v>
      </c>
      <c r="H4591" s="1">
        <v>-6.7355909999999897E-6</v>
      </c>
      <c r="I4591">
        <v>137.42930000000001</v>
      </c>
      <c r="J4591">
        <v>-390.53410000000002</v>
      </c>
      <c r="K4591">
        <v>1.1222780000000001</v>
      </c>
      <c r="L4591">
        <v>142.88980000000001</v>
      </c>
      <c r="M4591">
        <v>-0.99954750000000003</v>
      </c>
      <c r="N4591">
        <v>-1.2603110000000001E-2</v>
      </c>
      <c r="O4591">
        <v>2.731461E-2</v>
      </c>
      <c r="P4591">
        <v>-0.96972849999999999</v>
      </c>
      <c r="Q4591">
        <v>0.17157149999999999</v>
      </c>
      <c r="R4591">
        <v>-0.17375179999999901</v>
      </c>
      <c r="S4591">
        <v>-2.9431150000000001</v>
      </c>
      <c r="T4591">
        <v>-0.22098670000000001</v>
      </c>
      <c r="U4591">
        <v>-1.0740809999999901</v>
      </c>
      <c r="V4591">
        <v>-0.20067389999999999</v>
      </c>
      <c r="W4591">
        <v>0.183172</v>
      </c>
      <c r="X4591">
        <v>0.96238140000000005</v>
      </c>
      <c r="Y4591">
        <v>-0.36723240000000001</v>
      </c>
      <c r="Z4591">
        <v>-1.7382829999999998E-2</v>
      </c>
      <c r="AA4591">
        <v>0.92996670000000003</v>
      </c>
      <c r="AB4591">
        <v>35</v>
      </c>
      <c r="AC4591">
        <v>-14.7052999999999</v>
      </c>
      <c r="AD4591">
        <v>-1.1222847355909999</v>
      </c>
      <c r="AE4591">
        <v>-5.4604999999999899</v>
      </c>
      <c r="AF4591">
        <v>-5.83032002357956</v>
      </c>
      <c r="AG4591">
        <v>-1.1222847355909999</v>
      </c>
      <c r="AH4591">
        <v>14.4765479627251</v>
      </c>
      <c r="AI4591">
        <v>94.113135578497406</v>
      </c>
      <c r="AJ4591">
        <v>111.936737590863</v>
      </c>
      <c r="AK4591">
        <v>15.646807838091901</v>
      </c>
      <c r="AL4591">
        <v>79.445425119724405</v>
      </c>
      <c r="AM4591">
        <v>101.778432204401</v>
      </c>
      <c r="AN4591">
        <v>0.99999997739558399</v>
      </c>
    </row>
    <row r="4592" spans="1:40" x14ac:dyDescent="0.25">
      <c r="A4592" t="str">
        <f>"20190303162912507"</f>
        <v>20190303162912507</v>
      </c>
      <c r="B4592" t="str">
        <f>"1551601752496190"</f>
        <v>1551601752496190</v>
      </c>
      <c r="C4592" t="s">
        <v>40</v>
      </c>
      <c r="D4592">
        <v>4.9762690000000003</v>
      </c>
      <c r="E4592">
        <v>0.42663509999999999</v>
      </c>
      <c r="F4592" t="s">
        <v>56</v>
      </c>
      <c r="G4592">
        <v>-405.23200000000003</v>
      </c>
      <c r="H4592" s="1">
        <v>-6.7870329999999998E-6</v>
      </c>
      <c r="I4592">
        <v>137.55029999999999</v>
      </c>
      <c r="J4592">
        <v>-390.74970000000002</v>
      </c>
      <c r="K4592">
        <v>1.1223110000000001</v>
      </c>
      <c r="L4592">
        <v>142.89490000000001</v>
      </c>
      <c r="M4592">
        <v>-0.99957019999999996</v>
      </c>
      <c r="N4592">
        <v>-1.2602739999999999E-2</v>
      </c>
      <c r="O4592">
        <v>2.647089E-2</v>
      </c>
      <c r="P4592">
        <v>-0.9693967</v>
      </c>
      <c r="Q4592">
        <v>0.17101559999999999</v>
      </c>
      <c r="R4592">
        <v>-0.17613619999999999</v>
      </c>
      <c r="S4592">
        <v>-2.9418639999999998</v>
      </c>
      <c r="T4592">
        <v>-0.22463169999999999</v>
      </c>
      <c r="U4592">
        <v>-1.0687260000000001</v>
      </c>
      <c r="V4592">
        <v>-0.20225270000000001</v>
      </c>
      <c r="W4592">
        <v>0.1825869</v>
      </c>
      <c r="X4592">
        <v>0.96216210000000002</v>
      </c>
      <c r="Y4592">
        <v>-0.36505090000000001</v>
      </c>
      <c r="Z4592">
        <v>-1.7498179999999999E-2</v>
      </c>
      <c r="AA4592">
        <v>0.93082310000000001</v>
      </c>
      <c r="AB4592">
        <v>35</v>
      </c>
      <c r="AC4592">
        <v>-14.482299999999899</v>
      </c>
      <c r="AD4592">
        <v>-1.1223177870329999</v>
      </c>
      <c r="AE4592">
        <v>-5.3446000000000096</v>
      </c>
      <c r="AF4592">
        <v>-5.6960091382245199</v>
      </c>
      <c r="AG4592">
        <v>-1.1223177870329999</v>
      </c>
      <c r="AH4592">
        <v>14.26036050463</v>
      </c>
      <c r="AI4592">
        <v>94.180159496850806</v>
      </c>
      <c r="AJ4592">
        <v>111.77322692265901</v>
      </c>
      <c r="AK4592">
        <v>15.396817821869501</v>
      </c>
      <c r="AL4592">
        <v>79.479524386009899</v>
      </c>
      <c r="AM4592">
        <v>101.871108927516</v>
      </c>
      <c r="AN4592">
        <v>1.0000000186926501</v>
      </c>
    </row>
    <row r="4593" spans="1:40" x14ac:dyDescent="0.25">
      <c r="A4593" t="str">
        <f>"20190303162912523"</f>
        <v>20190303162912523</v>
      </c>
      <c r="B4593" t="str">
        <f>"1551601752516686"</f>
        <v>1551601752516686</v>
      </c>
      <c r="C4593" t="s">
        <v>40</v>
      </c>
      <c r="D4593">
        <v>5.0149400000000002</v>
      </c>
      <c r="E4593">
        <v>0.42832199999999998</v>
      </c>
      <c r="F4593" t="s">
        <v>56</v>
      </c>
      <c r="G4593">
        <v>-405.30590000000001</v>
      </c>
      <c r="H4593" s="1">
        <v>-6.8634259999999997E-6</v>
      </c>
      <c r="I4593">
        <v>137.60599999999999</v>
      </c>
      <c r="J4593">
        <v>-391.00049999999999</v>
      </c>
      <c r="K4593">
        <v>1.122357</v>
      </c>
      <c r="L4593">
        <v>142.9006</v>
      </c>
      <c r="M4593">
        <v>-0.99959659999999995</v>
      </c>
      <c r="N4593">
        <v>-1.260198E-2</v>
      </c>
      <c r="O4593">
        <v>2.5451540000000002E-2</v>
      </c>
      <c r="P4593">
        <v>-0.96923389999999998</v>
      </c>
      <c r="Q4593">
        <v>0.16975950000000001</v>
      </c>
      <c r="R4593">
        <v>-0.17823449999999999</v>
      </c>
      <c r="S4593">
        <v>-2.940582</v>
      </c>
      <c r="T4593">
        <v>-0.22672590000000001</v>
      </c>
      <c r="U4593">
        <v>-1.0684359999999999</v>
      </c>
      <c r="V4593">
        <v>-0.20338220000000001</v>
      </c>
      <c r="W4593">
        <v>0.18130080000000001</v>
      </c>
      <c r="X4593">
        <v>0.9621672</v>
      </c>
      <c r="Y4593">
        <v>-0.36413459999999997</v>
      </c>
      <c r="Z4593">
        <v>-1.7544440000000001E-2</v>
      </c>
      <c r="AA4593">
        <v>0.93118109999999998</v>
      </c>
      <c r="AB4593">
        <v>35</v>
      </c>
      <c r="AC4593">
        <v>-14.305400000000001</v>
      </c>
      <c r="AD4593">
        <v>-1.122363863426</v>
      </c>
      <c r="AE4593">
        <v>-5.2946</v>
      </c>
      <c r="AF4593">
        <v>-5.6265461807845298</v>
      </c>
      <c r="AG4593">
        <v>-1.122363863426</v>
      </c>
      <c r="AH4593">
        <v>14.089717819868399</v>
      </c>
      <c r="AI4593">
        <v>94.230910674434497</v>
      </c>
      <c r="AJ4593">
        <v>111.768656378874</v>
      </c>
      <c r="AK4593">
        <v>15.213082225832499</v>
      </c>
      <c r="AL4593">
        <v>79.554463212534102</v>
      </c>
      <c r="AM4593">
        <v>101.935446553159</v>
      </c>
      <c r="AN4593">
        <v>1.0000000100566599</v>
      </c>
    </row>
    <row r="4594" spans="1:40" x14ac:dyDescent="0.25">
      <c r="A4594" t="str">
        <f>"20190303162912537"</f>
        <v>20190303162912537</v>
      </c>
      <c r="B4594" t="str">
        <f>"1551601752526446"</f>
        <v>1551601752526446</v>
      </c>
      <c r="C4594" t="s">
        <v>40</v>
      </c>
      <c r="D4594">
        <v>5.1560739999999896</v>
      </c>
      <c r="E4594">
        <v>0.42919360000000001</v>
      </c>
      <c r="F4594" t="s">
        <v>56</v>
      </c>
      <c r="G4594">
        <v>-405.4803</v>
      </c>
      <c r="H4594" s="1">
        <v>-7.0153389999999996E-6</v>
      </c>
      <c r="I4594">
        <v>137.6765</v>
      </c>
      <c r="J4594">
        <v>-391.22399999999999</v>
      </c>
      <c r="K4594">
        <v>1.1223989999999999</v>
      </c>
      <c r="L4594">
        <v>142.90530000000001</v>
      </c>
      <c r="M4594">
        <v>-0.99962070000000003</v>
      </c>
      <c r="N4594">
        <v>-1.260112E-2</v>
      </c>
      <c r="O4594">
        <v>2.449579E-2</v>
      </c>
      <c r="P4594">
        <v>-0.96902719999999998</v>
      </c>
      <c r="Q4594">
        <v>0.16822889999999999</v>
      </c>
      <c r="R4594">
        <v>-0.18079219999999999</v>
      </c>
      <c r="S4594">
        <v>-2.9401549999999999</v>
      </c>
      <c r="T4594">
        <v>-0.22789789999999999</v>
      </c>
      <c r="U4594">
        <v>-1.0607599999999999</v>
      </c>
      <c r="V4594">
        <v>-0.20502909999999999</v>
      </c>
      <c r="W4594">
        <v>0.17973900000000001</v>
      </c>
      <c r="X4594">
        <v>0.96211069999999999</v>
      </c>
      <c r="Y4594">
        <v>-0.3611356</v>
      </c>
      <c r="Z4594">
        <v>-1.7439639999999999E-2</v>
      </c>
      <c r="AA4594">
        <v>0.93235020000000002</v>
      </c>
      <c r="AB4594">
        <v>35</v>
      </c>
      <c r="AC4594">
        <v>-14.2563</v>
      </c>
      <c r="AD4594">
        <v>-1.1224060153390001</v>
      </c>
      <c r="AE4594">
        <v>-5.2287999999999997</v>
      </c>
      <c r="AF4594">
        <v>-5.5461760285230897</v>
      </c>
      <c r="AG4594">
        <v>-1.1224060153390001</v>
      </c>
      <c r="AH4594">
        <v>14.0471804811922</v>
      </c>
      <c r="AI4594">
        <v>94.250383743006694</v>
      </c>
      <c r="AJ4594">
        <v>111.54533884543901</v>
      </c>
      <c r="AK4594">
        <v>15.144079479249299</v>
      </c>
      <c r="AL4594">
        <v>79.645442536836697</v>
      </c>
      <c r="AM4594">
        <v>102.02997601771</v>
      </c>
      <c r="AN4594">
        <v>1.00000001951114</v>
      </c>
    </row>
    <row r="4595" spans="1:40" x14ac:dyDescent="0.25">
      <c r="A4595" t="str">
        <f>"20190303162912556"</f>
        <v>20190303162912556</v>
      </c>
      <c r="B4595" t="str">
        <f>"1551601752545965"</f>
        <v>1551601752545965</v>
      </c>
      <c r="C4595" t="s">
        <v>40</v>
      </c>
      <c r="D4595">
        <v>5.0422650000000004</v>
      </c>
      <c r="E4595">
        <v>0.43079010000000001</v>
      </c>
      <c r="F4595" t="s">
        <v>56</v>
      </c>
      <c r="G4595">
        <v>-405.53120000000001</v>
      </c>
      <c r="H4595" s="1">
        <v>-7.082042E-6</v>
      </c>
      <c r="I4595">
        <v>137.74510000000001</v>
      </c>
      <c r="J4595">
        <v>-391.51330000000002</v>
      </c>
      <c r="K4595">
        <v>1.122463</v>
      </c>
      <c r="L4595">
        <v>142.91120000000001</v>
      </c>
      <c r="M4595">
        <v>-0.99965110000000001</v>
      </c>
      <c r="N4595">
        <v>-1.259996E-2</v>
      </c>
      <c r="O4595">
        <v>2.3213959999999999E-2</v>
      </c>
      <c r="P4595">
        <v>-0.96863140000000003</v>
      </c>
      <c r="Q4595">
        <v>0.16640099999999999</v>
      </c>
      <c r="R4595">
        <v>-0.18456410000000001</v>
      </c>
      <c r="S4595">
        <v>-2.9382630000000001</v>
      </c>
      <c r="T4595">
        <v>-0.2305083</v>
      </c>
      <c r="U4595">
        <v>-1.0597529999999999</v>
      </c>
      <c r="V4595">
        <v>-0.2075757</v>
      </c>
      <c r="W4595">
        <v>0.17786749999999901</v>
      </c>
      <c r="X4595">
        <v>0.9619124</v>
      </c>
      <c r="Y4595">
        <v>-0.35982890000000001</v>
      </c>
      <c r="Z4595">
        <v>-1.7485520000000001E-2</v>
      </c>
      <c r="AA4595">
        <v>0.93285450000000003</v>
      </c>
      <c r="AB4595">
        <v>35</v>
      </c>
      <c r="AC4595">
        <v>-14.0178999999999</v>
      </c>
      <c r="AD4595">
        <v>-1.1224700820419999</v>
      </c>
      <c r="AE4595">
        <v>-5.1661000000000001</v>
      </c>
      <c r="AF4595">
        <v>-5.4593257755929496</v>
      </c>
      <c r="AG4595">
        <v>-1.1224700820419999</v>
      </c>
      <c r="AH4595">
        <v>13.81619237122</v>
      </c>
      <c r="AI4595">
        <v>94.320960137198398</v>
      </c>
      <c r="AJ4595">
        <v>111.56094231144399</v>
      </c>
      <c r="AK4595">
        <v>14.898031703808799</v>
      </c>
      <c r="AL4595">
        <v>79.754427635010202</v>
      </c>
      <c r="AM4595">
        <v>102.177400062453</v>
      </c>
      <c r="AN4595">
        <v>0.99999999203025003</v>
      </c>
    </row>
    <row r="4596" spans="1:40" x14ac:dyDescent="0.25">
      <c r="A4596" t="str">
        <f>"20190303162912579"</f>
        <v>20190303162912579</v>
      </c>
      <c r="B4596" t="str">
        <f>"1551601752566462"</f>
        <v>1551601752566462</v>
      </c>
      <c r="C4596" t="s">
        <v>40</v>
      </c>
      <c r="D4596">
        <v>5.1623169999999998</v>
      </c>
      <c r="E4596">
        <v>0.43221100000000001</v>
      </c>
      <c r="F4596" t="s">
        <v>56</v>
      </c>
      <c r="G4596">
        <v>-405.72489999999999</v>
      </c>
      <c r="H4596" s="1">
        <v>-7.2396549999999997E-6</v>
      </c>
      <c r="I4596">
        <v>137.7997</v>
      </c>
      <c r="J4596">
        <v>-391.87139999999999</v>
      </c>
      <c r="K4596">
        <v>1.1225459999999901</v>
      </c>
      <c r="L4596">
        <v>142.9178</v>
      </c>
      <c r="M4596">
        <v>-0.99968889999999999</v>
      </c>
      <c r="N4596">
        <v>-1.259833E-2</v>
      </c>
      <c r="O4596">
        <v>2.1526469999999999E-2</v>
      </c>
      <c r="P4596">
        <v>-0.96769640000000001</v>
      </c>
      <c r="Q4596">
        <v>0.16477510000000001</v>
      </c>
      <c r="R4596">
        <v>-0.1908212</v>
      </c>
      <c r="S4596">
        <v>-2.935791</v>
      </c>
      <c r="T4596">
        <v>-0.2318769</v>
      </c>
      <c r="U4596">
        <v>-1.0559080000000001</v>
      </c>
      <c r="V4596">
        <v>-0.21221670000000001</v>
      </c>
      <c r="W4596">
        <v>0.1761701</v>
      </c>
      <c r="X4596">
        <v>0.96121179999999995</v>
      </c>
      <c r="Y4596">
        <v>-0.35741840000000002</v>
      </c>
      <c r="Z4596">
        <v>-1.7375249999999998E-2</v>
      </c>
      <c r="AA4596">
        <v>0.93378280000000002</v>
      </c>
      <c r="AB4596">
        <v>35</v>
      </c>
      <c r="AC4596">
        <v>-13.853499999999899</v>
      </c>
      <c r="AD4596">
        <v>-1.12255323965499</v>
      </c>
      <c r="AE4596">
        <v>-5.1180999999999903</v>
      </c>
      <c r="AF4596">
        <v>-5.3840488633622297</v>
      </c>
      <c r="AG4596">
        <v>-1.12255323965499</v>
      </c>
      <c r="AH4596">
        <v>13.661180392502899</v>
      </c>
      <c r="AI4596">
        <v>94.371649565129502</v>
      </c>
      <c r="AJ4596">
        <v>111.51004471424901</v>
      </c>
      <c r="AK4596">
        <v>14.726708989296901</v>
      </c>
      <c r="AL4596">
        <v>79.853241892461696</v>
      </c>
      <c r="AM4596">
        <v>102.45005947183</v>
      </c>
      <c r="AN4596">
        <v>0.999999978176069</v>
      </c>
    </row>
    <row r="4597" spans="1:40" x14ac:dyDescent="0.25">
      <c r="A4597" t="str">
        <f>"20190303162912604"</f>
        <v>20190303162912604</v>
      </c>
      <c r="B4597" t="str">
        <f>"1551601752596719"</f>
        <v>1551601752596719</v>
      </c>
      <c r="C4597" t="s">
        <v>40</v>
      </c>
      <c r="D4597">
        <v>4.976909</v>
      </c>
      <c r="E4597">
        <v>0.43412289999999998</v>
      </c>
      <c r="F4597" t="s">
        <v>56</v>
      </c>
      <c r="G4597">
        <v>-405.82659999999998</v>
      </c>
      <c r="H4597" s="1">
        <v>-7.3412469999999902E-6</v>
      </c>
      <c r="I4597">
        <v>137.86869999999999</v>
      </c>
      <c r="J4597">
        <v>-392.25549999999998</v>
      </c>
      <c r="K4597">
        <v>1.1226609999999999</v>
      </c>
      <c r="L4597">
        <v>142.92410000000001</v>
      </c>
      <c r="M4597">
        <v>-0.99972930000000004</v>
      </c>
      <c r="N4597">
        <v>-1.2597260000000001E-2</v>
      </c>
      <c r="O4597">
        <v>1.9558840000000001E-2</v>
      </c>
      <c r="P4597">
        <v>-0.96625340000000004</v>
      </c>
      <c r="Q4597">
        <v>0.16418170000000001</v>
      </c>
      <c r="R4597">
        <v>-0.19849049999999999</v>
      </c>
      <c r="S4597">
        <v>-2.931152</v>
      </c>
      <c r="T4597">
        <v>-0.23578199999999999</v>
      </c>
      <c r="U4597">
        <v>-1.060516</v>
      </c>
      <c r="V4597">
        <v>-0.21800800000000001</v>
      </c>
      <c r="W4597">
        <v>0.1754791</v>
      </c>
      <c r="X4597">
        <v>0.96004149999999999</v>
      </c>
      <c r="Y4597">
        <v>-0.35731410000000002</v>
      </c>
      <c r="Z4597">
        <v>-1.751813E-2</v>
      </c>
      <c r="AA4597">
        <v>0.93381990000000004</v>
      </c>
      <c r="AB4597">
        <v>35</v>
      </c>
      <c r="AC4597">
        <v>-13.571099999999999</v>
      </c>
      <c r="AD4597">
        <v>-1.122668341247</v>
      </c>
      <c r="AE4597">
        <v>-5.0554000000000201</v>
      </c>
      <c r="AF4597">
        <v>-5.2881099186178</v>
      </c>
      <c r="AG4597">
        <v>-1.122668341247</v>
      </c>
      <c r="AH4597">
        <v>13.389155745903</v>
      </c>
      <c r="AI4597">
        <v>94.459291719116294</v>
      </c>
      <c r="AJ4597">
        <v>111.55177442560699</v>
      </c>
      <c r="AK4597">
        <v>14.4393207009149</v>
      </c>
      <c r="AL4597">
        <v>79.893460465799095</v>
      </c>
      <c r="AM4597">
        <v>102.793866334461</v>
      </c>
      <c r="AN4597">
        <v>1.0000000421615201</v>
      </c>
    </row>
    <row r="4598" spans="1:40" x14ac:dyDescent="0.25">
      <c r="A4598" t="str">
        <f>"20190303162912624"</f>
        <v>20190303162912624</v>
      </c>
      <c r="B4598" t="str">
        <f>"1551601752616239"</f>
        <v>1551601752616239</v>
      </c>
      <c r="C4598" t="s">
        <v>40</v>
      </c>
      <c r="D4598">
        <v>5.03986</v>
      </c>
      <c r="E4598">
        <v>0.43518319999999999</v>
      </c>
      <c r="F4598" t="s">
        <v>56</v>
      </c>
      <c r="G4598">
        <v>-406.4579</v>
      </c>
      <c r="H4598" s="1">
        <v>-7.6818020000000004E-6</v>
      </c>
      <c r="I4598">
        <v>137.74799999999999</v>
      </c>
      <c r="J4598">
        <v>-392.5763</v>
      </c>
      <c r="K4598">
        <v>1.1227819999999999</v>
      </c>
      <c r="L4598">
        <v>142.92869999999999</v>
      </c>
      <c r="M4598">
        <v>-0.99976330000000002</v>
      </c>
      <c r="N4598">
        <v>-1.2593399999999999E-2</v>
      </c>
      <c r="O4598">
        <v>1.7750510000000001E-2</v>
      </c>
      <c r="P4598">
        <v>-0.96438239999999997</v>
      </c>
      <c r="Q4598">
        <v>0.16518329999999901</v>
      </c>
      <c r="R4598">
        <v>-0.20659569999999999</v>
      </c>
      <c r="S4598">
        <v>-2.9250790000000002</v>
      </c>
      <c r="T4598">
        <v>-0.23122200000000001</v>
      </c>
      <c r="U4598">
        <v>-1.066055</v>
      </c>
      <c r="V4598">
        <v>-0.2243947</v>
      </c>
      <c r="W4598">
        <v>0.176365299999999</v>
      </c>
      <c r="X4598">
        <v>0.95840619999999999</v>
      </c>
      <c r="Y4598">
        <v>-0.35785029999999901</v>
      </c>
      <c r="Z4598">
        <v>-1.7153020000000001E-2</v>
      </c>
      <c r="AA4598">
        <v>0.93362140000000005</v>
      </c>
      <c r="AB4598">
        <v>35</v>
      </c>
      <c r="AC4598">
        <v>-13.881599999999899</v>
      </c>
      <c r="AD4598">
        <v>-1.122789681802</v>
      </c>
      <c r="AE4598">
        <v>-5.1806999999999999</v>
      </c>
      <c r="AF4598">
        <v>-5.3953270092733296</v>
      </c>
      <c r="AG4598">
        <v>-1.122789681802</v>
      </c>
      <c r="AH4598">
        <v>13.708725553652799</v>
      </c>
      <c r="AI4598">
        <v>94.358265632846496</v>
      </c>
      <c r="AJ4598">
        <v>111.483052285125</v>
      </c>
      <c r="AK4598">
        <v>14.774957411509799</v>
      </c>
      <c r="AL4598">
        <v>79.841880818657302</v>
      </c>
      <c r="AM4598">
        <v>103.177476693719</v>
      </c>
      <c r="AN4598">
        <v>1.0000000723153</v>
      </c>
    </row>
    <row r="4599" spans="1:40" x14ac:dyDescent="0.25">
      <c r="A4599" t="str">
        <f>"20190303162912646"</f>
        <v>20190303162912646</v>
      </c>
      <c r="B4599" t="str">
        <f>"1551601752636734"</f>
        <v>1551601752636734</v>
      </c>
      <c r="C4599" t="s">
        <v>40</v>
      </c>
      <c r="D4599">
        <v>5.0278429999999998</v>
      </c>
      <c r="E4599">
        <v>0.43625750000000002</v>
      </c>
      <c r="F4599" t="s">
        <v>56</v>
      </c>
      <c r="G4599">
        <v>-407.13760000000002</v>
      </c>
      <c r="H4599" s="1">
        <v>-8.0127310000000002E-6</v>
      </c>
      <c r="I4599">
        <v>137.53700000000001</v>
      </c>
      <c r="J4599">
        <v>-392.91579999999999</v>
      </c>
      <c r="K4599">
        <v>1.122925</v>
      </c>
      <c r="L4599">
        <v>142.93270000000001</v>
      </c>
      <c r="M4599">
        <v>-0.99979779999999996</v>
      </c>
      <c r="N4599">
        <v>-1.258658E-2</v>
      </c>
      <c r="O4599">
        <v>1.569154E-2</v>
      </c>
      <c r="P4599">
        <v>-0.9624144</v>
      </c>
      <c r="Q4599">
        <v>0.16684260000000001</v>
      </c>
      <c r="R4599">
        <v>-0.21429429999999999</v>
      </c>
      <c r="S4599">
        <v>-2.9179080000000002</v>
      </c>
      <c r="T4599">
        <v>-0.2249931</v>
      </c>
      <c r="U4599">
        <v>-1.080414</v>
      </c>
      <c r="V4599">
        <v>-0.23014870000000001</v>
      </c>
      <c r="W4599">
        <v>0.17789759999999999</v>
      </c>
      <c r="X4599">
        <v>0.95675710000000003</v>
      </c>
      <c r="Y4599">
        <v>-0.36076259999999999</v>
      </c>
      <c r="Z4599">
        <v>-1.6770440000000001E-2</v>
      </c>
      <c r="AA4599">
        <v>0.93250690000000003</v>
      </c>
      <c r="AB4599">
        <v>35</v>
      </c>
      <c r="AC4599">
        <v>-14.2218</v>
      </c>
      <c r="AD4599">
        <v>-1.122933012731</v>
      </c>
      <c r="AE4599">
        <v>-5.3956999999999997</v>
      </c>
      <c r="AF4599">
        <v>-5.5877619917769996</v>
      </c>
      <c r="AG4599">
        <v>-1.122933012731</v>
      </c>
      <c r="AH4599">
        <v>14.0587553027641</v>
      </c>
      <c r="AI4599">
        <v>94.245069046931704</v>
      </c>
      <c r="AJ4599">
        <v>111.675732987771</v>
      </c>
      <c r="AK4599">
        <v>15.1701240367648</v>
      </c>
      <c r="AL4599">
        <v>79.752675830392405</v>
      </c>
      <c r="AM4599">
        <v>103.525570098062</v>
      </c>
      <c r="AN4599">
        <v>1.00000006429892</v>
      </c>
    </row>
    <row r="4600" spans="1:40" x14ac:dyDescent="0.25">
      <c r="A4600" t="str">
        <f>"20190303162912667"</f>
        <v>20190303162912667</v>
      </c>
      <c r="B4600" t="str">
        <f>"1551601752656254"</f>
        <v>1551601752656254</v>
      </c>
      <c r="C4600" t="s">
        <v>40</v>
      </c>
      <c r="D4600">
        <v>5.1690839999999998</v>
      </c>
      <c r="E4600">
        <v>0.43674230000000003</v>
      </c>
      <c r="F4600" t="s">
        <v>56</v>
      </c>
      <c r="G4600">
        <v>-407.98169999999999</v>
      </c>
      <c r="H4600" s="1">
        <v>-8.4181229999999995E-6</v>
      </c>
      <c r="I4600">
        <v>137.26230000000001</v>
      </c>
      <c r="J4600">
        <v>-393.25630000000001</v>
      </c>
      <c r="K4600">
        <v>1.1230830000000001</v>
      </c>
      <c r="L4600">
        <v>142.9358</v>
      </c>
      <c r="M4600">
        <v>-0.99983049999999996</v>
      </c>
      <c r="N4600">
        <v>-1.2579470000000001E-2</v>
      </c>
      <c r="O4600">
        <v>1.344336E-2</v>
      </c>
      <c r="P4600">
        <v>-0.96087900000000004</v>
      </c>
      <c r="Q4600">
        <v>0.167404</v>
      </c>
      <c r="R4600">
        <v>-0.22065170000000001</v>
      </c>
      <c r="S4600">
        <v>-2.910828</v>
      </c>
      <c r="T4600">
        <v>-0.21695900000000001</v>
      </c>
      <c r="U4600">
        <v>-1.0955509999999999</v>
      </c>
      <c r="V4600">
        <v>-0.2343973</v>
      </c>
      <c r="W4600">
        <v>0.1783325</v>
      </c>
      <c r="X4600">
        <v>0.95564400000000005</v>
      </c>
      <c r="Y4600">
        <v>-0.36372520000000003</v>
      </c>
      <c r="Z4600">
        <v>-1.6261769999999998E-2</v>
      </c>
      <c r="AA4600">
        <v>0.93136439999999998</v>
      </c>
      <c r="AB4600">
        <v>35</v>
      </c>
      <c r="AC4600">
        <v>-14.725399999999899</v>
      </c>
      <c r="AD4600">
        <v>-1.1230914181230001</v>
      </c>
      <c r="AE4600">
        <v>-5.67349999999999</v>
      </c>
      <c r="AF4600">
        <v>-5.8413747693308302</v>
      </c>
      <c r="AG4600">
        <v>-1.1230914181230001</v>
      </c>
      <c r="AH4600">
        <v>14.573973966175201</v>
      </c>
      <c r="AI4600">
        <v>94.091386564622098</v>
      </c>
      <c r="AJ4600">
        <v>111.841339717634</v>
      </c>
      <c r="AK4600">
        <v>15.741147057822401</v>
      </c>
      <c r="AL4600">
        <v>79.727352462183802</v>
      </c>
      <c r="AM4600">
        <v>103.78126101321</v>
      </c>
      <c r="AN4600">
        <v>1.0000000147697701</v>
      </c>
    </row>
    <row r="4601" spans="1:40" x14ac:dyDescent="0.25">
      <c r="A4601" t="str">
        <f>"20190303162912691"</f>
        <v>20190303162912691</v>
      </c>
      <c r="B4601" t="str">
        <f>"1551601752686510"</f>
        <v>1551601752686510</v>
      </c>
      <c r="C4601" t="s">
        <v>40</v>
      </c>
      <c r="D4601">
        <v>5.0694509999999999</v>
      </c>
      <c r="E4601">
        <v>0.45501920000000001</v>
      </c>
      <c r="F4601" t="s">
        <v>56</v>
      </c>
      <c r="G4601">
        <v>-408.47899999999998</v>
      </c>
      <c r="H4601" s="1">
        <v>-8.6595999999999992E-6</v>
      </c>
      <c r="I4601">
        <v>137.10640000000001</v>
      </c>
      <c r="J4601">
        <v>-393.6164</v>
      </c>
      <c r="K4601">
        <v>1.123267</v>
      </c>
      <c r="L4601">
        <v>142.93809999999999</v>
      </c>
      <c r="M4601">
        <v>-0.99986260000000005</v>
      </c>
      <c r="N4601">
        <v>-1.257348E-2</v>
      </c>
      <c r="O4601">
        <v>1.0822480000000001E-2</v>
      </c>
      <c r="P4601">
        <v>-0.95950740000000001</v>
      </c>
      <c r="Q4601">
        <v>0.1670896</v>
      </c>
      <c r="R4601">
        <v>-0.226775</v>
      </c>
      <c r="S4601">
        <v>-2.904083</v>
      </c>
      <c r="T4601">
        <v>-0.21425640000000001</v>
      </c>
      <c r="U4601">
        <v>-1.1120909999999999</v>
      </c>
      <c r="V4601">
        <v>-0.23807249999999999</v>
      </c>
      <c r="W4601">
        <v>0.17787649999999999</v>
      </c>
      <c r="X4601">
        <v>0.95482020000000001</v>
      </c>
      <c r="Y4601">
        <v>-0.36664940000000001</v>
      </c>
      <c r="Z4601">
        <v>-1.6073319999999999E-2</v>
      </c>
      <c r="AA4601">
        <v>0.9302203</v>
      </c>
      <c r="AB4601">
        <v>35</v>
      </c>
      <c r="AC4601">
        <v>-14.8626</v>
      </c>
      <c r="AD4601">
        <v>-1.1232756596</v>
      </c>
      <c r="AE4601">
        <v>-5.8316999999999801</v>
      </c>
      <c r="AF4601">
        <v>-5.9627066958432096</v>
      </c>
      <c r="AG4601">
        <v>-1.1232756596</v>
      </c>
      <c r="AH4601">
        <v>14.7257206834157</v>
      </c>
      <c r="AI4601">
        <v>94.044283303092101</v>
      </c>
      <c r="AJ4601">
        <v>112.043902203076</v>
      </c>
      <c r="AK4601">
        <v>15.9267846407893</v>
      </c>
      <c r="AL4601">
        <v>79.753904625424994</v>
      </c>
      <c r="AM4601">
        <v>104.000513337515</v>
      </c>
      <c r="AN4601">
        <v>1.0000000894182599</v>
      </c>
    </row>
    <row r="4602" spans="1:40" x14ac:dyDescent="0.25">
      <c r="A4602" t="str">
        <f>"20190303162912712"</f>
        <v>20190303162912712</v>
      </c>
      <c r="B4602" t="str">
        <f>"1551601752706030"</f>
        <v>1551601752706030</v>
      </c>
      <c r="C4602" t="s">
        <v>40</v>
      </c>
      <c r="D4602">
        <v>5.063879</v>
      </c>
      <c r="E4602">
        <v>0.45579370000000002</v>
      </c>
      <c r="F4602" t="s">
        <v>56</v>
      </c>
      <c r="G4602">
        <v>-425.69439999999997</v>
      </c>
      <c r="H4602" s="1">
        <v>-7.5492639999999997E-6</v>
      </c>
      <c r="I4602">
        <v>131.96600000000001</v>
      </c>
      <c r="J4602">
        <v>-393.96010000000001</v>
      </c>
      <c r="K4602">
        <v>1.123475</v>
      </c>
      <c r="L4602">
        <v>142.9392</v>
      </c>
      <c r="M4602">
        <v>-0.99988869999999996</v>
      </c>
      <c r="N4602">
        <v>-1.257026E-2</v>
      </c>
      <c r="O4602">
        <v>8.0579209999999991E-3</v>
      </c>
      <c r="P4602">
        <v>-0.95833440000000003</v>
      </c>
      <c r="Q4602">
        <v>0.16615729999999901</v>
      </c>
      <c r="R4602">
        <v>-0.23235140000000001</v>
      </c>
      <c r="S4602">
        <v>-2.9091800000000001</v>
      </c>
      <c r="T4602">
        <v>-0.10187069999999999</v>
      </c>
      <c r="U4602">
        <v>-0.99507140000000005</v>
      </c>
      <c r="V4602">
        <v>-0.2410765</v>
      </c>
      <c r="W4602">
        <v>0.17679810000000001</v>
      </c>
      <c r="X4602">
        <v>0.95426650000000002</v>
      </c>
      <c r="Y4602">
        <v>-0.33099610000000002</v>
      </c>
      <c r="Z4602">
        <v>-7.9480929999999998E-3</v>
      </c>
      <c r="AA4602">
        <v>0.94359859999999895</v>
      </c>
      <c r="AB4602">
        <v>35</v>
      </c>
      <c r="AC4602">
        <v>-31.734299999999902</v>
      </c>
      <c r="AD4602">
        <v>-1.1234825492639999</v>
      </c>
      <c r="AE4602">
        <v>-10.973199999999901</v>
      </c>
      <c r="AF4602">
        <v>-11.216019974328599</v>
      </c>
      <c r="AG4602">
        <v>-1.1234825492639999</v>
      </c>
      <c r="AH4602">
        <v>31.609454557473398</v>
      </c>
      <c r="AI4602">
        <v>91.918486322314394</v>
      </c>
      <c r="AJ4602">
        <v>109.53627162643799</v>
      </c>
      <c r="AK4602">
        <v>33.559185546196098</v>
      </c>
      <c r="AL4602">
        <v>79.8166865718065</v>
      </c>
      <c r="AM4602">
        <v>104.177988072736</v>
      </c>
      <c r="AN4602">
        <v>1.0000000000190501</v>
      </c>
    </row>
    <row r="4603" spans="1:40" x14ac:dyDescent="0.25">
      <c r="A4603" t="str">
        <f>"20190303162912735"</f>
        <v>20190303162912735</v>
      </c>
      <c r="B4603" t="str">
        <f>"1551601752726526"</f>
        <v>1551601752726526</v>
      </c>
      <c r="C4603" t="s">
        <v>40</v>
      </c>
      <c r="D4603">
        <v>5.094862</v>
      </c>
      <c r="E4603">
        <v>0.43295309999999998</v>
      </c>
      <c r="F4603" t="s">
        <v>56</v>
      </c>
      <c r="G4603">
        <v>-425.10700000000003</v>
      </c>
      <c r="H4603" s="1">
        <v>-7.5309109999999901E-6</v>
      </c>
      <c r="I4603">
        <v>132.15190000000001</v>
      </c>
      <c r="J4603">
        <v>-394.30700000000002</v>
      </c>
      <c r="K4603">
        <v>1.123712</v>
      </c>
      <c r="L4603">
        <v>142.9391</v>
      </c>
      <c r="M4603">
        <v>-0.99990869999999998</v>
      </c>
      <c r="N4603">
        <v>-1.2570069999999999E-2</v>
      </c>
      <c r="O4603">
        <v>4.9744849999999998E-3</v>
      </c>
      <c r="P4603">
        <v>-0.95656819999999998</v>
      </c>
      <c r="Q4603">
        <v>0.1654639</v>
      </c>
      <c r="R4603">
        <v>-0.2399985</v>
      </c>
      <c r="S4603">
        <v>-2.9047239999999999</v>
      </c>
      <c r="T4603">
        <v>-0.10477450000000001</v>
      </c>
      <c r="U4603">
        <v>-1.0060119999999999</v>
      </c>
      <c r="V4603">
        <v>-0.24586179999999999</v>
      </c>
      <c r="W4603">
        <v>0.1759222</v>
      </c>
      <c r="X4603">
        <v>0.95320689999999997</v>
      </c>
      <c r="Y4603">
        <v>-0.33169379999999998</v>
      </c>
      <c r="Z4603">
        <v>-8.0693090000000002E-3</v>
      </c>
      <c r="AA4603">
        <v>0.94335259999999999</v>
      </c>
      <c r="AB4603">
        <v>35</v>
      </c>
      <c r="AC4603">
        <v>-30.8</v>
      </c>
      <c r="AD4603">
        <v>-1.123719530911</v>
      </c>
      <c r="AE4603">
        <v>-10.787199999999901</v>
      </c>
      <c r="AF4603">
        <v>-10.9273364999073</v>
      </c>
      <c r="AG4603">
        <v>-1.123719530911</v>
      </c>
      <c r="AH4603">
        <v>30.709542396580598</v>
      </c>
      <c r="AI4603">
        <v>91.974456955365994</v>
      </c>
      <c r="AJ4603">
        <v>109.587018150334</v>
      </c>
      <c r="AK4603">
        <v>32.615110344344103</v>
      </c>
      <c r="AL4603">
        <v>79.867671294535199</v>
      </c>
      <c r="AM4603">
        <v>104.463132379521</v>
      </c>
      <c r="AN4603">
        <v>1.00000001967984</v>
      </c>
    </row>
    <row r="4604" spans="1:40" x14ac:dyDescent="0.25">
      <c r="A4604" t="str">
        <f>"20190303162912769"</f>
        <v>20190303162912769</v>
      </c>
      <c r="B4604" t="str">
        <f>"1551601752756783"</f>
        <v>1551601752756783</v>
      </c>
      <c r="C4604" t="s">
        <v>40</v>
      </c>
      <c r="D4604">
        <v>5.0321559999999996</v>
      </c>
      <c r="E4604">
        <v>0.37481130000000001</v>
      </c>
      <c r="F4604" t="s">
        <v>56</v>
      </c>
      <c r="G4604">
        <v>-406.70830000000001</v>
      </c>
      <c r="H4604" s="1">
        <v>-7.8497399999999998E-6</v>
      </c>
      <c r="I4604">
        <v>137.7756</v>
      </c>
      <c r="J4604">
        <v>-394.83139999999997</v>
      </c>
      <c r="K4604">
        <v>1.124131</v>
      </c>
      <c r="L4604">
        <v>142.93629999999999</v>
      </c>
      <c r="M4604">
        <v>-0.9999209</v>
      </c>
      <c r="N4604">
        <v>-1.257642E-2</v>
      </c>
      <c r="O4604">
        <v>-3.2720900000000002E-4</v>
      </c>
      <c r="P4604">
        <v>-0.95462499999999995</v>
      </c>
      <c r="Q4604">
        <v>0.1650469</v>
      </c>
      <c r="R4604">
        <v>-0.2478919</v>
      </c>
      <c r="S4604">
        <v>-2.8804630000000002</v>
      </c>
      <c r="T4604">
        <v>-0.26100790000000001</v>
      </c>
      <c r="U4604">
        <v>-1.199341</v>
      </c>
      <c r="V4604">
        <v>-0.2488639</v>
      </c>
      <c r="W4604">
        <v>0.17523079999999999</v>
      </c>
      <c r="X4604">
        <v>0.95255489999999998</v>
      </c>
      <c r="Y4604">
        <v>-0.3825346</v>
      </c>
      <c r="Z4604">
        <v>-1.9090889999999999E-2</v>
      </c>
      <c r="AA4604">
        <v>0.92374389999999995</v>
      </c>
      <c r="AB4604">
        <v>35</v>
      </c>
      <c r="AC4604">
        <v>-11.876899999999999</v>
      </c>
      <c r="AD4604">
        <v>-1.12413884974</v>
      </c>
      <c r="AE4604">
        <v>-5.1606999999999896</v>
      </c>
      <c r="AF4604">
        <v>-5.1182436496978498</v>
      </c>
      <c r="AG4604">
        <v>-1.12413884974</v>
      </c>
      <c r="AH4604">
        <v>11.789744174014</v>
      </c>
      <c r="AI4604">
        <v>94.998515725285202</v>
      </c>
      <c r="AJ4604">
        <v>113.466955739074</v>
      </c>
      <c r="AK4604">
        <v>12.9018670703067</v>
      </c>
      <c r="AL4604">
        <v>79.907910031767301</v>
      </c>
      <c r="AM4604">
        <v>104.641783494275</v>
      </c>
      <c r="AN4604">
        <v>0.99999995575292899</v>
      </c>
    </row>
    <row r="4605" spans="1:40" x14ac:dyDescent="0.25">
      <c r="A4605" t="str">
        <f>"20190303162912791"</f>
        <v>20190303162912791</v>
      </c>
      <c r="B4605" t="str">
        <f>"1551601752786062"</f>
        <v>1551601752786062</v>
      </c>
      <c r="C4605" t="s">
        <v>40</v>
      </c>
      <c r="D4605">
        <v>6.3218269999999999</v>
      </c>
      <c r="E4605">
        <v>0.36383890000000002</v>
      </c>
      <c r="F4605" t="s">
        <v>44</v>
      </c>
      <c r="G4605">
        <v>-395.75749999999999</v>
      </c>
      <c r="H4605">
        <v>1.0034160000000001</v>
      </c>
      <c r="I4605">
        <v>142.37739999999999</v>
      </c>
      <c r="J4605">
        <v>-395.1902</v>
      </c>
      <c r="K4605">
        <v>1.12446</v>
      </c>
      <c r="L4605">
        <v>142.9323</v>
      </c>
      <c r="M4605">
        <v>-0.99991099999999999</v>
      </c>
      <c r="N4605">
        <v>-1.25857E-2</v>
      </c>
      <c r="O4605">
        <v>-4.4423900000000001E-3</v>
      </c>
      <c r="P4605">
        <v>-0.95298179999999999</v>
      </c>
      <c r="Q4605">
        <v>0.1642991</v>
      </c>
      <c r="R4605">
        <v>-0.25462030000000002</v>
      </c>
      <c r="S4605">
        <v>-2.7707519999999999</v>
      </c>
      <c r="T4605">
        <v>-0.36117080000000001</v>
      </c>
      <c r="U4605">
        <v>-1.6722870000000001</v>
      </c>
      <c r="V4605">
        <v>-0.25179790000000002</v>
      </c>
      <c r="W4605">
        <v>0.17426920000000001</v>
      </c>
      <c r="X4605">
        <v>0.95196009999999998</v>
      </c>
      <c r="Y4605">
        <v>-0.50939239999999997</v>
      </c>
      <c r="Z4605">
        <v>-3.3509339999999999E-2</v>
      </c>
      <c r="AA4605">
        <v>0.85988159999999902</v>
      </c>
      <c r="AB4605">
        <v>35</v>
      </c>
      <c r="AC4605">
        <v>-0.56729999999998804</v>
      </c>
      <c r="AD4605">
        <v>-0.121043999999999</v>
      </c>
      <c r="AE4605">
        <v>-0.55490000000000295</v>
      </c>
      <c r="AF4605">
        <v>-0.53981478922866899</v>
      </c>
      <c r="AG4605">
        <v>-0.121043999999999</v>
      </c>
      <c r="AH4605">
        <v>0.55680501568313601</v>
      </c>
      <c r="AI4605">
        <v>98.871207145290299</v>
      </c>
      <c r="AJ4605">
        <v>134.11237205021101</v>
      </c>
      <c r="AK4605">
        <v>0.78490985603181895</v>
      </c>
      <c r="AL4605">
        <v>79.963866961230096</v>
      </c>
      <c r="AM4605">
        <v>104.815706165275</v>
      </c>
      <c r="AN4605">
        <v>0.99999998425252901</v>
      </c>
    </row>
    <row r="4606" spans="1:40" x14ac:dyDescent="0.25">
      <c r="A4606" t="str">
        <f>"20190303162912815"</f>
        <v>20190303162912815</v>
      </c>
      <c r="B4606" t="str">
        <f>"1551601752806558"</f>
        <v>1551601752806558</v>
      </c>
      <c r="C4606" t="s">
        <v>40</v>
      </c>
      <c r="D4606">
        <v>4.9881409999999997</v>
      </c>
      <c r="E4606">
        <v>0.36092669999999999</v>
      </c>
      <c r="F4606" t="s">
        <v>44</v>
      </c>
      <c r="G4606">
        <v>-396.06549999999999</v>
      </c>
      <c r="H4606">
        <v>0.99727809999999995</v>
      </c>
      <c r="I4606">
        <v>142.36519999999999</v>
      </c>
      <c r="J4606">
        <v>-395.54899999999998</v>
      </c>
      <c r="K4606">
        <v>1.1247929999999999</v>
      </c>
      <c r="L4606">
        <v>142.9264</v>
      </c>
      <c r="M4606">
        <v>-0.99988069999999896</v>
      </c>
      <c r="N4606">
        <v>-1.2597189999999999E-2</v>
      </c>
      <c r="O4606">
        <v>-8.9347390000000006E-3</v>
      </c>
      <c r="P4606">
        <v>-0.95087370000000004</v>
      </c>
      <c r="Q4606">
        <v>0.1633763</v>
      </c>
      <c r="R4606">
        <v>-0.26295859999999999</v>
      </c>
      <c r="S4606">
        <v>-2.7420960000000001</v>
      </c>
      <c r="T4606">
        <v>-0.39842470000000002</v>
      </c>
      <c r="U4606">
        <v>-1.7763519999999999</v>
      </c>
      <c r="V4606">
        <v>-0.25599379999999999</v>
      </c>
      <c r="W4606">
        <v>0.17311260000000001</v>
      </c>
      <c r="X4606">
        <v>0.9510516</v>
      </c>
      <c r="Y4606">
        <v>-0.53184480000000001</v>
      </c>
      <c r="Z4606">
        <v>-3.7700400000000002E-2</v>
      </c>
      <c r="AA4606">
        <v>0.84600219999999904</v>
      </c>
      <c r="AB4606">
        <v>35</v>
      </c>
      <c r="AC4606">
        <v>-0.51649999999995</v>
      </c>
      <c r="AD4606">
        <v>-0.12751489999999999</v>
      </c>
      <c r="AE4606">
        <v>-0.56120000000001302</v>
      </c>
      <c r="AF4606">
        <v>-0.54142854081742497</v>
      </c>
      <c r="AG4606">
        <v>-0.12751489999999999</v>
      </c>
      <c r="AH4606">
        <v>0.50731363071268598</v>
      </c>
      <c r="AI4606">
        <v>99.751650465113997</v>
      </c>
      <c r="AJ4606">
        <v>136.86313797394399</v>
      </c>
      <c r="AK4606">
        <v>0.752842635907786</v>
      </c>
      <c r="AL4606">
        <v>80.031157950754107</v>
      </c>
      <c r="AM4606">
        <v>105.065198966317</v>
      </c>
      <c r="AN4606">
        <v>0.99999997188987899</v>
      </c>
    </row>
    <row r="4607" spans="1:40" x14ac:dyDescent="0.25">
      <c r="A4607" t="str">
        <f>"20190303162912835"</f>
        <v>20190303162912835</v>
      </c>
      <c r="B4607" t="str">
        <f>"1551601752826078"</f>
        <v>1551601752826078</v>
      </c>
      <c r="C4607" t="s">
        <v>40</v>
      </c>
      <c r="D4607">
        <v>5.0321059999999997</v>
      </c>
      <c r="E4607">
        <v>0.36046679999999998</v>
      </c>
      <c r="F4607" t="s">
        <v>44</v>
      </c>
      <c r="G4607">
        <v>-396.37779999999998</v>
      </c>
      <c r="H4607">
        <v>0.99740249999999997</v>
      </c>
      <c r="I4607">
        <v>142.37180000000001</v>
      </c>
      <c r="J4607">
        <v>-395.87119999999999</v>
      </c>
      <c r="K4607">
        <v>1.125105</v>
      </c>
      <c r="L4607">
        <v>142.9195</v>
      </c>
      <c r="M4607">
        <v>-0.99983129999999998</v>
      </c>
      <c r="N4607">
        <v>-1.2610049999999999E-2</v>
      </c>
      <c r="O4607">
        <v>-1.3362280000000001E-2</v>
      </c>
      <c r="P4607">
        <v>-0.94807640000000004</v>
      </c>
      <c r="Q4607">
        <v>0.1629119</v>
      </c>
      <c r="R4607">
        <v>-0.27315</v>
      </c>
      <c r="S4607">
        <v>-2.7227480000000002</v>
      </c>
      <c r="T4607">
        <v>-0.41846159999999999</v>
      </c>
      <c r="U4607">
        <v>-1.8228610000000001</v>
      </c>
      <c r="V4607">
        <v>-0.26212560000000001</v>
      </c>
      <c r="W4607">
        <v>0.17238699999999901</v>
      </c>
      <c r="X4607">
        <v>0.94951189999999996</v>
      </c>
      <c r="Y4607">
        <v>-0.54040169999999998</v>
      </c>
      <c r="Z4607">
        <v>-3.9562989999999999E-2</v>
      </c>
      <c r="AA4607">
        <v>0.84047649999999996</v>
      </c>
      <c r="AB4607">
        <v>35</v>
      </c>
      <c r="AC4607">
        <v>-0.50659999999999095</v>
      </c>
      <c r="AD4607">
        <v>-0.1277025</v>
      </c>
      <c r="AE4607">
        <v>-0.54769999999999097</v>
      </c>
      <c r="AF4607">
        <v>-0.52548544930820495</v>
      </c>
      <c r="AG4607">
        <v>-0.1277025</v>
      </c>
      <c r="AH4607">
        <v>0.49924683403800901</v>
      </c>
      <c r="AI4607">
        <v>99.991946218564195</v>
      </c>
      <c r="AJ4607">
        <v>136.466757237472</v>
      </c>
      <c r="AK4607">
        <v>0.73599611903723405</v>
      </c>
      <c r="AL4607">
        <v>80.073366404787706</v>
      </c>
      <c r="AM4607">
        <v>105.43288695415499</v>
      </c>
      <c r="AN4607">
        <v>0.99999997809298402</v>
      </c>
    </row>
    <row r="4608" spans="1:40" x14ac:dyDescent="0.25">
      <c r="A4608" t="str">
        <f>"20190303162912858"</f>
        <v>20190303162912858</v>
      </c>
      <c r="B4608" t="str">
        <f>"1551601752846574"</f>
        <v>1551601752846574</v>
      </c>
      <c r="C4608" t="s">
        <v>40</v>
      </c>
      <c r="D4608">
        <v>5.0344949999999997</v>
      </c>
      <c r="E4608">
        <v>0.36065649999999999</v>
      </c>
      <c r="F4608" t="s">
        <v>44</v>
      </c>
      <c r="G4608">
        <v>-396.68599999999998</v>
      </c>
      <c r="H4608">
        <v>0.99815469999999895</v>
      </c>
      <c r="I4608">
        <v>142.36009999999999</v>
      </c>
      <c r="J4608">
        <v>-396.21719999999999</v>
      </c>
      <c r="K4608">
        <v>1.1254729999999999</v>
      </c>
      <c r="L4608">
        <v>142.9101</v>
      </c>
      <c r="M4608">
        <v>-0.99974790000000002</v>
      </c>
      <c r="N4608">
        <v>-1.262918E-2</v>
      </c>
      <c r="O4608">
        <v>-1.8564730000000002E-2</v>
      </c>
      <c r="P4608">
        <v>-0.94480030000000004</v>
      </c>
      <c r="Q4608">
        <v>0.1625257</v>
      </c>
      <c r="R4608">
        <v>-0.28449649999999999</v>
      </c>
      <c r="S4608">
        <v>-2.7020870000000001</v>
      </c>
      <c r="T4608">
        <v>-0.42103200000000002</v>
      </c>
      <c r="U4608">
        <v>-1.8553010000000001</v>
      </c>
      <c r="V4608">
        <v>-0.26872790000000002</v>
      </c>
      <c r="W4608">
        <v>0.17169089999999901</v>
      </c>
      <c r="X4608">
        <v>0.94779089999999999</v>
      </c>
      <c r="Y4608">
        <v>-0.54579849999999996</v>
      </c>
      <c r="Z4608">
        <v>-3.9663629999999998E-2</v>
      </c>
      <c r="AA4608">
        <v>0.83697719999999898</v>
      </c>
      <c r="AB4608">
        <v>35</v>
      </c>
      <c r="AC4608">
        <v>-0.468799999999987</v>
      </c>
      <c r="AD4608">
        <v>-0.1273183</v>
      </c>
      <c r="AE4608">
        <v>-0.55000000000001104</v>
      </c>
      <c r="AF4608">
        <v>-0.52490959019459205</v>
      </c>
      <c r="AG4608">
        <v>-0.1273183</v>
      </c>
      <c r="AH4608">
        <v>0.46451337624045502</v>
      </c>
      <c r="AI4608">
        <v>100.295073704226</v>
      </c>
      <c r="AJ4608">
        <v>138.493106444278</v>
      </c>
      <c r="AK4608">
        <v>0.71239925891276101</v>
      </c>
      <c r="AL4608">
        <v>80.113854073644902</v>
      </c>
      <c r="AM4608">
        <v>105.82966596570201</v>
      </c>
      <c r="AN4608">
        <v>1.00000001975201</v>
      </c>
    </row>
    <row r="4609" spans="1:40" x14ac:dyDescent="0.25">
      <c r="A4609" t="str">
        <f>"20190303162912880"</f>
        <v>20190303162912880</v>
      </c>
      <c r="B4609" t="str">
        <f>"1551601752876830"</f>
        <v>1551601752876830</v>
      </c>
      <c r="C4609" t="s">
        <v>40</v>
      </c>
      <c r="D4609">
        <v>5.0600459999999998</v>
      </c>
      <c r="E4609">
        <v>0.36081790000000002</v>
      </c>
      <c r="F4609" t="s">
        <v>44</v>
      </c>
      <c r="G4609">
        <v>-396.99709999999999</v>
      </c>
      <c r="H4609">
        <v>1.0035449999999999</v>
      </c>
      <c r="I4609">
        <v>142.3612</v>
      </c>
      <c r="J4609">
        <v>-396.56880000000001</v>
      </c>
      <c r="K4609">
        <v>1.1258790000000001</v>
      </c>
      <c r="L4609">
        <v>142.89830000000001</v>
      </c>
      <c r="M4609">
        <v>-0.9996235</v>
      </c>
      <c r="N4609">
        <v>-1.2655659999999999E-2</v>
      </c>
      <c r="O4609">
        <v>-2.4346989999999999E-2</v>
      </c>
      <c r="P4609">
        <v>-0.94165109999999996</v>
      </c>
      <c r="Q4609">
        <v>0.160904399999999</v>
      </c>
      <c r="R4609">
        <v>-0.29564000000000001</v>
      </c>
      <c r="S4609">
        <v>-2.6792910000000001</v>
      </c>
      <c r="T4609">
        <v>-0.41880869999999998</v>
      </c>
      <c r="U4609">
        <v>-1.8864590000000001</v>
      </c>
      <c r="V4609">
        <v>-0.27460000000000001</v>
      </c>
      <c r="W4609">
        <v>0.169741</v>
      </c>
      <c r="X4609">
        <v>0.94645800000000002</v>
      </c>
      <c r="Y4609">
        <v>-0.55083280000000001</v>
      </c>
      <c r="Z4609">
        <v>-3.9285830000000001E-2</v>
      </c>
      <c r="AA4609">
        <v>0.8336905</v>
      </c>
      <c r="AB4609">
        <v>35</v>
      </c>
      <c r="AC4609">
        <v>-0.42829999999997798</v>
      </c>
      <c r="AD4609">
        <v>-0.122333999999999</v>
      </c>
      <c r="AE4609">
        <v>-0.53710000000000901</v>
      </c>
      <c r="AF4609">
        <v>-0.51032839658767404</v>
      </c>
      <c r="AG4609">
        <v>-0.122333999999999</v>
      </c>
      <c r="AH4609">
        <v>0.42768784549845301</v>
      </c>
      <c r="AI4609">
        <v>100.410675301605</v>
      </c>
      <c r="AJ4609">
        <v>140.03483909802799</v>
      </c>
      <c r="AK4609">
        <v>0.676991560587616</v>
      </c>
      <c r="AL4609">
        <v>80.227238973913401</v>
      </c>
      <c r="AM4609">
        <v>106.17926059848701</v>
      </c>
      <c r="AN4609">
        <v>0.99999995642249895</v>
      </c>
    </row>
    <row r="4610" spans="1:40" x14ac:dyDescent="0.25">
      <c r="A4610" t="str">
        <f>"20190303162912903"</f>
        <v>20190303162912903</v>
      </c>
      <c r="B4610" t="str">
        <f>"1551601752896350"</f>
        <v>1551601752896350</v>
      </c>
      <c r="C4610" t="s">
        <v>40</v>
      </c>
      <c r="D4610">
        <v>5.0765440000000002</v>
      </c>
      <c r="E4610">
        <v>0.36156949999999999</v>
      </c>
      <c r="F4610" t="s">
        <v>44</v>
      </c>
      <c r="G4610">
        <v>-397.30860000000001</v>
      </c>
      <c r="H4610">
        <v>1.008974</v>
      </c>
      <c r="I4610">
        <v>142.36349999999999</v>
      </c>
      <c r="J4610">
        <v>-396.91849999999999</v>
      </c>
      <c r="K4610">
        <v>1.1262909999999999</v>
      </c>
      <c r="L4610">
        <v>142.88409999999999</v>
      </c>
      <c r="M4610">
        <v>-0.99945130000000004</v>
      </c>
      <c r="N4610">
        <v>-1.268762E-2</v>
      </c>
      <c r="O4610">
        <v>-3.060034E-2</v>
      </c>
      <c r="P4610">
        <v>-0.93892880000000001</v>
      </c>
      <c r="Q4610">
        <v>0.15769439999999901</v>
      </c>
      <c r="R4610">
        <v>-0.30585190000000001</v>
      </c>
      <c r="S4610">
        <v>-2.6550600000000002</v>
      </c>
      <c r="T4610">
        <v>-0.41950920000000003</v>
      </c>
      <c r="U4610">
        <v>-1.9191739999999999</v>
      </c>
      <c r="V4610">
        <v>-0.27908880000000003</v>
      </c>
      <c r="W4610">
        <v>0.16620799999999999</v>
      </c>
      <c r="X4610">
        <v>0.94577180000000005</v>
      </c>
      <c r="Y4610">
        <v>-0.55593179999999998</v>
      </c>
      <c r="Z4610">
        <v>-3.9105760000000003E-2</v>
      </c>
      <c r="AA4610">
        <v>0.83030749999999998</v>
      </c>
      <c r="AB4610">
        <v>35</v>
      </c>
      <c r="AC4610">
        <v>-0.39010000000001799</v>
      </c>
      <c r="AD4610">
        <v>-0.11731699999999901</v>
      </c>
      <c r="AE4610">
        <v>-0.52060000000000095</v>
      </c>
      <c r="AF4610">
        <v>-0.49240417016885601</v>
      </c>
      <c r="AG4610">
        <v>-0.11731699999999901</v>
      </c>
      <c r="AH4610">
        <v>0.393065915616433</v>
      </c>
      <c r="AI4610">
        <v>100.54783622999599</v>
      </c>
      <c r="AJ4610">
        <v>141.40107807944901</v>
      </c>
      <c r="AK4610">
        <v>0.64087905201220696</v>
      </c>
      <c r="AL4610">
        <v>80.432582954172901</v>
      </c>
      <c r="AM4610">
        <v>106.44085860295</v>
      </c>
      <c r="AN4610">
        <v>0.99999997761233905</v>
      </c>
    </row>
    <row r="4611" spans="1:40" x14ac:dyDescent="0.25">
      <c r="A4611" t="str">
        <f>"20190303162912924"</f>
        <v>20190303162912924</v>
      </c>
      <c r="B4611" t="str">
        <f>"1551601752916846"</f>
        <v>1551601752916846</v>
      </c>
      <c r="C4611" t="s">
        <v>40</v>
      </c>
      <c r="D4611">
        <v>5.0654629999999896</v>
      </c>
      <c r="E4611">
        <v>0.36269760000000001</v>
      </c>
      <c r="F4611" t="s">
        <v>44</v>
      </c>
      <c r="G4611">
        <v>-397.62029999999999</v>
      </c>
      <c r="H4611">
        <v>1.013577</v>
      </c>
      <c r="I4611">
        <v>142.3656</v>
      </c>
      <c r="J4611">
        <v>-397.2516</v>
      </c>
      <c r="K4611">
        <v>1.1266879999999999</v>
      </c>
      <c r="L4611">
        <v>142.86789999999999</v>
      </c>
      <c r="M4611">
        <v>-0.99923200000000001</v>
      </c>
      <c r="N4611">
        <v>-1.272208E-2</v>
      </c>
      <c r="O4611">
        <v>-3.7065790000000001E-2</v>
      </c>
      <c r="P4611">
        <v>-0.93608970000000002</v>
      </c>
      <c r="Q4611">
        <v>0.1538969</v>
      </c>
      <c r="R4611">
        <v>-0.31631029999999999</v>
      </c>
      <c r="S4611">
        <v>-2.63266</v>
      </c>
      <c r="T4611">
        <v>-0.42279879999999997</v>
      </c>
      <c r="U4611">
        <v>-1.9446410000000001</v>
      </c>
      <c r="V4611">
        <v>-0.28362569999999998</v>
      </c>
      <c r="W4611">
        <v>0.16208989999999901</v>
      </c>
      <c r="X4611">
        <v>0.94513670000000005</v>
      </c>
      <c r="Y4611">
        <v>-0.55905139999999998</v>
      </c>
      <c r="Z4611">
        <v>-3.8952779999999999E-2</v>
      </c>
      <c r="AA4611">
        <v>0.82821749999999905</v>
      </c>
      <c r="AB4611">
        <v>35</v>
      </c>
      <c r="AC4611">
        <v>-0.36869999999998898</v>
      </c>
      <c r="AD4611">
        <v>-0.113110999999999</v>
      </c>
      <c r="AE4611">
        <v>-0.50229999999999098</v>
      </c>
      <c r="AF4611">
        <v>-0.472709986204494</v>
      </c>
      <c r="AG4611">
        <v>-0.113110999999999</v>
      </c>
      <c r="AH4611">
        <v>0.37471791691471201</v>
      </c>
      <c r="AI4611">
        <v>100.620407797822</v>
      </c>
      <c r="AJ4611">
        <v>141.596084646317</v>
      </c>
      <c r="AK4611">
        <v>0.61372823516223696</v>
      </c>
      <c r="AL4611">
        <v>80.6717779028004</v>
      </c>
      <c r="AM4611">
        <v>106.70395425591499</v>
      </c>
      <c r="AN4611">
        <v>1.0000000275346901</v>
      </c>
    </row>
    <row r="4612" spans="1:40" x14ac:dyDescent="0.25">
      <c r="A4612" t="str">
        <f>"20190303162912947"</f>
        <v>20190303162912947</v>
      </c>
      <c r="B4612" t="str">
        <f>"1551601752936367"</f>
        <v>1551601752936367</v>
      </c>
      <c r="C4612" t="s">
        <v>40</v>
      </c>
      <c r="D4612">
        <v>5.1199050000000002</v>
      </c>
      <c r="E4612">
        <v>0.36344789999999999</v>
      </c>
      <c r="F4612" t="s">
        <v>56</v>
      </c>
      <c r="G4612">
        <v>-404.13330000000002</v>
      </c>
      <c r="H4612" s="1">
        <v>-6.2980240000000003E-6</v>
      </c>
      <c r="I4612">
        <v>137.68680000000001</v>
      </c>
      <c r="J4612">
        <v>-397.5951</v>
      </c>
      <c r="K4612">
        <v>1.127102</v>
      </c>
      <c r="L4612">
        <v>142.8485</v>
      </c>
      <c r="M4612">
        <v>-0.99894079999999996</v>
      </c>
      <c r="N4612">
        <v>-1.2760250000000001E-2</v>
      </c>
      <c r="O4612">
        <v>-4.4210449999999998E-2</v>
      </c>
      <c r="P4612">
        <v>-0.93245919999999904</v>
      </c>
      <c r="Q4612">
        <v>0.1523216</v>
      </c>
      <c r="R4612">
        <v>-0.32759450000000001</v>
      </c>
      <c r="S4612">
        <v>-2.6108699999999998</v>
      </c>
      <c r="T4612">
        <v>-0.42746309999999899</v>
      </c>
      <c r="U4612">
        <v>-1.9656979999999999</v>
      </c>
      <c r="V4612">
        <v>-0.28842319999999999</v>
      </c>
      <c r="W4612">
        <v>0.1601736</v>
      </c>
      <c r="X4612">
        <v>0.94401089999999999</v>
      </c>
      <c r="Y4612">
        <v>-0.56062069999999997</v>
      </c>
      <c r="Z4612">
        <v>-3.8691999999999997E-2</v>
      </c>
      <c r="AA4612">
        <v>0.82716829999999997</v>
      </c>
      <c r="AB4612">
        <v>35</v>
      </c>
      <c r="AC4612">
        <v>-6.5382000000000096</v>
      </c>
      <c r="AD4612">
        <v>-1.1271082980239999</v>
      </c>
      <c r="AE4612">
        <v>-5.16169999999999</v>
      </c>
      <c r="AF4612">
        <v>-4.7800614559629198</v>
      </c>
      <c r="AG4612">
        <v>-1.1271082980239999</v>
      </c>
      <c r="AH4612">
        <v>6.6384922316728598</v>
      </c>
      <c r="AI4612">
        <v>97.844930790181706</v>
      </c>
      <c r="AJ4612">
        <v>125.75585989162199</v>
      </c>
      <c r="AK4612">
        <v>8.25765945944962</v>
      </c>
      <c r="AL4612">
        <v>80.783027756360596</v>
      </c>
      <c r="AM4612">
        <v>106.989459093821</v>
      </c>
      <c r="AN4612">
        <v>1.000000051877</v>
      </c>
    </row>
    <row r="4613" spans="1:40" x14ac:dyDescent="0.25">
      <c r="A4613" t="str">
        <f>"20190303162912970"</f>
        <v>20190303162912970</v>
      </c>
      <c r="B4613" t="str">
        <f>"1551601752966622"</f>
        <v>1551601752966622</v>
      </c>
      <c r="C4613" t="s">
        <v>40</v>
      </c>
      <c r="D4613">
        <v>5.1223450000000001</v>
      </c>
      <c r="E4613">
        <v>0.36512660000000002</v>
      </c>
      <c r="F4613" t="s">
        <v>56</v>
      </c>
      <c r="G4613">
        <v>-404.46690000000001</v>
      </c>
      <c r="H4613" s="1">
        <v>-6.3843370000000004E-6</v>
      </c>
      <c r="I4613">
        <v>137.5547</v>
      </c>
      <c r="J4613">
        <v>-397.95280000000002</v>
      </c>
      <c r="K4613">
        <v>1.1275139999999999</v>
      </c>
      <c r="L4613">
        <v>142.8253</v>
      </c>
      <c r="M4613">
        <v>-0.99856029999999996</v>
      </c>
      <c r="N4613">
        <v>-1.279986E-2</v>
      </c>
      <c r="O4613">
        <v>-5.2091310000000002E-2</v>
      </c>
      <c r="P4613">
        <v>-0.92803089999999999</v>
      </c>
      <c r="Q4613">
        <v>0.1530386</v>
      </c>
      <c r="R4613">
        <v>-0.33961449999999999</v>
      </c>
      <c r="S4613">
        <v>-2.5865480000000001</v>
      </c>
      <c r="T4613">
        <v>-0.42423959999999999</v>
      </c>
      <c r="U4613">
        <v>-1.9925539999999999</v>
      </c>
      <c r="V4613">
        <v>-0.29335359999999899</v>
      </c>
      <c r="W4613">
        <v>0.1605473</v>
      </c>
      <c r="X4613">
        <v>0.94242680000000001</v>
      </c>
      <c r="Y4613">
        <v>-0.5633205</v>
      </c>
      <c r="Z4613">
        <v>-3.7798159999999997E-2</v>
      </c>
      <c r="AA4613">
        <v>0.82537349999999998</v>
      </c>
      <c r="AB4613">
        <v>35</v>
      </c>
      <c r="AC4613">
        <v>-6.5140999999999796</v>
      </c>
      <c r="AD4613">
        <v>-1.1275203843370001</v>
      </c>
      <c r="AE4613">
        <v>-5.2706</v>
      </c>
      <c r="AF4613">
        <v>-4.8365152139854599</v>
      </c>
      <c r="AG4613">
        <v>-1.1275203843370001</v>
      </c>
      <c r="AH4613">
        <v>6.6592541143089301</v>
      </c>
      <c r="AI4613">
        <v>97.800765090959104</v>
      </c>
      <c r="AJ4613">
        <v>125.990334832755</v>
      </c>
      <c r="AK4613">
        <v>8.3071563721377508</v>
      </c>
      <c r="AL4613">
        <v>80.761335315306198</v>
      </c>
      <c r="AM4613">
        <v>107.290042701166</v>
      </c>
      <c r="AN4613">
        <v>1.00000002176424</v>
      </c>
    </row>
    <row r="4614" spans="1:40" x14ac:dyDescent="0.25">
      <c r="A4614" t="str">
        <f>"20190303162912993"</f>
        <v>20190303162912993</v>
      </c>
      <c r="B4614" t="str">
        <f>"1551601752986142"</f>
        <v>1551601752986142</v>
      </c>
      <c r="C4614" t="s">
        <v>40</v>
      </c>
      <c r="D4614">
        <v>5.0969540000000002</v>
      </c>
      <c r="E4614">
        <v>0.36614950000000002</v>
      </c>
      <c r="F4614" t="s">
        <v>56</v>
      </c>
      <c r="G4614">
        <v>-404.97059999999999</v>
      </c>
      <c r="H4614" s="1">
        <v>-6.4970940000000003E-6</v>
      </c>
      <c r="I4614">
        <v>137.31129999999999</v>
      </c>
      <c r="J4614">
        <v>-398.31360000000001</v>
      </c>
      <c r="K4614">
        <v>1.12791</v>
      </c>
      <c r="L4614">
        <v>142.7987</v>
      </c>
      <c r="M4614">
        <v>-0.99808719999999995</v>
      </c>
      <c r="N4614">
        <v>-1.283742E-2</v>
      </c>
      <c r="O4614">
        <v>-6.0477030000000001E-2</v>
      </c>
      <c r="P4614">
        <v>-0.92336289999999999</v>
      </c>
      <c r="Q4614">
        <v>0.15532789999999999</v>
      </c>
      <c r="R4614">
        <v>-0.351105</v>
      </c>
      <c r="S4614">
        <v>-2.5634769999999998</v>
      </c>
      <c r="T4614">
        <v>-0.41186080000000003</v>
      </c>
      <c r="U4614">
        <v>-2.0141450000000001</v>
      </c>
      <c r="V4614">
        <v>-0.29734939999999999</v>
      </c>
      <c r="W4614">
        <v>0.1625144</v>
      </c>
      <c r="X4614">
        <v>0.94083600000000001</v>
      </c>
      <c r="Y4614">
        <v>-0.56457639999999998</v>
      </c>
      <c r="Z4614">
        <v>-3.6042339999999999E-2</v>
      </c>
      <c r="AA4614">
        <v>0.82459340000000003</v>
      </c>
      <c r="AB4614">
        <v>35</v>
      </c>
      <c r="AC4614">
        <v>-6.6569999999999796</v>
      </c>
      <c r="AD4614">
        <v>-1.1279164970940001</v>
      </c>
      <c r="AE4614">
        <v>-5.4874000000000001</v>
      </c>
      <c r="AF4614">
        <v>-4.9894401870624598</v>
      </c>
      <c r="AG4614">
        <v>-1.1279164970940001</v>
      </c>
      <c r="AH4614">
        <v>6.8594522334284198</v>
      </c>
      <c r="AI4614">
        <v>97.574501380994207</v>
      </c>
      <c r="AJ4614">
        <v>126.03145775234999</v>
      </c>
      <c r="AK4614">
        <v>8.5567981130430297</v>
      </c>
      <c r="AL4614">
        <v>80.647128649266506</v>
      </c>
      <c r="AM4614">
        <v>107.539040180922</v>
      </c>
      <c r="AN4614">
        <v>0.99999998739185902</v>
      </c>
    </row>
    <row r="4615" spans="1:40" x14ac:dyDescent="0.25">
      <c r="A4615" t="str">
        <f>"20190303162913015"</f>
        <v>20190303162913015</v>
      </c>
      <c r="B4615" t="str">
        <f>"1551601753006470"</f>
        <v>1551601753006470</v>
      </c>
      <c r="C4615" t="s">
        <v>40</v>
      </c>
      <c r="D4615">
        <v>5.0591720000000002</v>
      </c>
      <c r="E4615">
        <v>0.36624820000000002</v>
      </c>
      <c r="F4615" t="s">
        <v>44</v>
      </c>
      <c r="G4615">
        <v>-399.12060000000002</v>
      </c>
      <c r="H4615">
        <v>1.0005679999999999</v>
      </c>
      <c r="I4615">
        <v>142.1514</v>
      </c>
      <c r="J4615">
        <v>-398.64519999999999</v>
      </c>
      <c r="K4615">
        <v>1.1282509999999999</v>
      </c>
      <c r="L4615">
        <v>142.77119999999999</v>
      </c>
      <c r="M4615">
        <v>-0.99756310000000004</v>
      </c>
      <c r="N4615">
        <v>-1.287247E-2</v>
      </c>
      <c r="O4615">
        <v>-6.8572190000000005E-2</v>
      </c>
      <c r="P4615">
        <v>-0.91888930000000002</v>
      </c>
      <c r="Q4615">
        <v>0.15636079999999999</v>
      </c>
      <c r="R4615">
        <v>-0.3622068</v>
      </c>
      <c r="S4615">
        <v>-2.541382</v>
      </c>
      <c r="T4615">
        <v>-0.40102890000000002</v>
      </c>
      <c r="U4615">
        <v>-2.0384370000000001</v>
      </c>
      <c r="V4615">
        <v>-0.30122579999999999</v>
      </c>
      <c r="W4615">
        <v>0.1632497</v>
      </c>
      <c r="X4615">
        <v>0.93947460000000005</v>
      </c>
      <c r="Y4615">
        <v>-0.56642519999999996</v>
      </c>
      <c r="Z4615">
        <v>-3.451046E-2</v>
      </c>
      <c r="AA4615">
        <v>0.82339019999999996</v>
      </c>
      <c r="AB4615">
        <v>35</v>
      </c>
      <c r="AC4615">
        <v>-0.47540000000003502</v>
      </c>
      <c r="AD4615">
        <v>-0.12768299999999999</v>
      </c>
      <c r="AE4615">
        <v>-0.61979999999999702</v>
      </c>
      <c r="AF4615">
        <v>-0.57049570284277995</v>
      </c>
      <c r="AG4615">
        <v>-0.12768299999999999</v>
      </c>
      <c r="AH4615">
        <v>0.50333658205818399</v>
      </c>
      <c r="AI4615">
        <v>99.527040303119094</v>
      </c>
      <c r="AJ4615">
        <v>138.57870496120299</v>
      </c>
      <c r="AK4615">
        <v>0.77143762566334095</v>
      </c>
      <c r="AL4615">
        <v>80.604428811210497</v>
      </c>
      <c r="AM4615">
        <v>107.777522916522</v>
      </c>
      <c r="AN4615">
        <v>0.99999998559044501</v>
      </c>
    </row>
    <row r="4616" spans="1:40" x14ac:dyDescent="0.25">
      <c r="A4616" t="str">
        <f>"20190303162913037"</f>
        <v>20190303162913037</v>
      </c>
      <c r="B4616" t="str">
        <f>"1551601753025989"</f>
        <v>1551601753025989</v>
      </c>
      <c r="C4616" t="s">
        <v>40</v>
      </c>
      <c r="D4616">
        <v>5.0890050000000002</v>
      </c>
      <c r="E4616">
        <v>0.3665062</v>
      </c>
      <c r="F4616" t="s">
        <v>44</v>
      </c>
      <c r="G4616">
        <v>-399.42619999999999</v>
      </c>
      <c r="H4616">
        <v>1.0057640000000001</v>
      </c>
      <c r="I4616">
        <v>142.12950000000001</v>
      </c>
      <c r="J4616">
        <v>-398.99</v>
      </c>
      <c r="K4616">
        <v>1.1285959999999999</v>
      </c>
      <c r="L4616">
        <v>142.7396</v>
      </c>
      <c r="M4616">
        <v>-0.99691819999999998</v>
      </c>
      <c r="N4616">
        <v>-1.291195E-2</v>
      </c>
      <c r="O4616">
        <v>-7.7377870000000001E-2</v>
      </c>
      <c r="P4616">
        <v>-0.91424930000000004</v>
      </c>
      <c r="Q4616">
        <v>0.15595609999999999</v>
      </c>
      <c r="R4616">
        <v>-0.37393340000000003</v>
      </c>
      <c r="S4616">
        <v>-2.5166930000000001</v>
      </c>
      <c r="T4616">
        <v>-0.39465980000000001</v>
      </c>
      <c r="U4616">
        <v>-2.0682680000000002</v>
      </c>
      <c r="V4616">
        <v>-0.30508449999999998</v>
      </c>
      <c r="W4616">
        <v>0.16253879999999901</v>
      </c>
      <c r="X4616">
        <v>0.93835199999999996</v>
      </c>
      <c r="Y4616">
        <v>-0.56909270000000001</v>
      </c>
      <c r="Z4616">
        <v>-3.3319500000000002E-2</v>
      </c>
      <c r="AA4616">
        <v>0.8215981</v>
      </c>
      <c r="AB4616">
        <v>35</v>
      </c>
      <c r="AC4616">
        <v>-0.43619999999998499</v>
      </c>
      <c r="AD4616">
        <v>-0.122832</v>
      </c>
      <c r="AE4616">
        <v>-0.61009999999998799</v>
      </c>
      <c r="AF4616">
        <v>-0.559507830293834</v>
      </c>
      <c r="AG4616">
        <v>-0.122832</v>
      </c>
      <c r="AH4616">
        <v>0.469510507390627</v>
      </c>
      <c r="AI4616">
        <v>99.546112990866206</v>
      </c>
      <c r="AJ4616">
        <v>139.99833586210201</v>
      </c>
      <c r="AK4616">
        <v>0.74065972547069003</v>
      </c>
      <c r="AL4616">
        <v>80.645711391718095</v>
      </c>
      <c r="AM4616">
        <v>108.010794081567</v>
      </c>
      <c r="AN4616">
        <v>0.999999944774843</v>
      </c>
    </row>
    <row r="4617" spans="1:40" x14ac:dyDescent="0.25">
      <c r="A4617" t="str">
        <f>"20190303162913059"</f>
        <v>20190303162913059</v>
      </c>
      <c r="B4617" t="str">
        <f>"1551601753046485"</f>
        <v>1551601753046485</v>
      </c>
      <c r="C4617" t="s">
        <v>40</v>
      </c>
      <c r="D4617">
        <v>5.0451030000000001</v>
      </c>
      <c r="E4617">
        <v>0.36663240000000002</v>
      </c>
      <c r="F4617" t="s">
        <v>44</v>
      </c>
      <c r="G4617">
        <v>-399.73379999999997</v>
      </c>
      <c r="H4617">
        <v>1.0109919999999999</v>
      </c>
      <c r="I4617">
        <v>142.11279999999999</v>
      </c>
      <c r="J4617">
        <v>-399.31619999999998</v>
      </c>
      <c r="K4617">
        <v>1.1289199999999999</v>
      </c>
      <c r="L4617">
        <v>142.70650000000001</v>
      </c>
      <c r="M4617">
        <v>-0.99620569999999997</v>
      </c>
      <c r="N4617">
        <v>-1.295283E-2</v>
      </c>
      <c r="O4617">
        <v>-8.6060750000000005E-2</v>
      </c>
      <c r="P4617">
        <v>-0.90952350000000004</v>
      </c>
      <c r="Q4617">
        <v>0.1549229</v>
      </c>
      <c r="R4617">
        <v>-0.3857023</v>
      </c>
      <c r="S4617">
        <v>-2.4904169999999999</v>
      </c>
      <c r="T4617">
        <v>-0.39374690000000001</v>
      </c>
      <c r="U4617">
        <v>-2.0980219999999998</v>
      </c>
      <c r="V4617">
        <v>-0.30912399999999901</v>
      </c>
      <c r="W4617">
        <v>0.1612053</v>
      </c>
      <c r="X4617">
        <v>0.93725939999999996</v>
      </c>
      <c r="Y4617">
        <v>-0.57198070000000001</v>
      </c>
      <c r="Z4617">
        <v>-3.2572499999999997E-2</v>
      </c>
      <c r="AA4617">
        <v>0.81962009999999996</v>
      </c>
      <c r="AB4617">
        <v>35</v>
      </c>
      <c r="AC4617">
        <v>-0.41759999999999298</v>
      </c>
      <c r="AD4617">
        <v>-0.11792800000000001</v>
      </c>
      <c r="AE4617">
        <v>-0.593700000000012</v>
      </c>
      <c r="AF4617">
        <v>-0.54126788623755495</v>
      </c>
      <c r="AG4617">
        <v>-0.11792800000000001</v>
      </c>
      <c r="AH4617">
        <v>0.45513539863341401</v>
      </c>
      <c r="AI4617">
        <v>99.467274812268101</v>
      </c>
      <c r="AJ4617">
        <v>139.94056035774</v>
      </c>
      <c r="AK4617">
        <v>0.71695618342076395</v>
      </c>
      <c r="AL4617">
        <v>80.723136843263902</v>
      </c>
      <c r="AM4617">
        <v>108.253429390807</v>
      </c>
      <c r="AN4617">
        <v>0.99999998950622404</v>
      </c>
    </row>
    <row r="4618" spans="1:40" x14ac:dyDescent="0.25">
      <c r="A4618" t="str">
        <f>"20190303162913081"</f>
        <v>20190303162913081</v>
      </c>
      <c r="B4618" t="str">
        <f>"1551601753076742"</f>
        <v>1551601753076742</v>
      </c>
      <c r="C4618" t="s">
        <v>40</v>
      </c>
      <c r="D4618">
        <v>5.0396729999999996</v>
      </c>
      <c r="E4618">
        <v>0.3670968</v>
      </c>
      <c r="F4618" t="s">
        <v>44</v>
      </c>
      <c r="G4618">
        <v>-400.03789999999998</v>
      </c>
      <c r="H4618">
        <v>1.013282</v>
      </c>
      <c r="I4618">
        <v>142.08320000000001</v>
      </c>
      <c r="J4618">
        <v>-399.67090000000002</v>
      </c>
      <c r="K4618">
        <v>1.1292519999999999</v>
      </c>
      <c r="L4618">
        <v>142.667</v>
      </c>
      <c r="M4618">
        <v>-0.99530960000000002</v>
      </c>
      <c r="N4618">
        <v>-1.2999399999999999E-2</v>
      </c>
      <c r="O4618">
        <v>-9.5863589999999999E-2</v>
      </c>
      <c r="P4618">
        <v>-0.903895</v>
      </c>
      <c r="Q4618">
        <v>0.15436059999999999</v>
      </c>
      <c r="R4618">
        <v>-0.39893190000000001</v>
      </c>
      <c r="S4618">
        <v>-2.463257</v>
      </c>
      <c r="T4618">
        <v>-0.3946481</v>
      </c>
      <c r="U4618">
        <v>-2.1279300000000001</v>
      </c>
      <c r="V4618">
        <v>-0.31369940000000002</v>
      </c>
      <c r="W4618">
        <v>0.16030920000000001</v>
      </c>
      <c r="X4618">
        <v>0.9358919</v>
      </c>
      <c r="Y4618">
        <v>-0.57409659999999996</v>
      </c>
      <c r="Z4618">
        <v>-3.1756890000000003E-2</v>
      </c>
      <c r="AA4618">
        <v>0.81817139999999999</v>
      </c>
      <c r="AB4618">
        <v>35</v>
      </c>
      <c r="AC4618">
        <v>-0.36699999999996102</v>
      </c>
      <c r="AD4618">
        <v>-0.11597</v>
      </c>
      <c r="AE4618">
        <v>-0.58379999999999599</v>
      </c>
      <c r="AF4618">
        <v>-0.530910035128216</v>
      </c>
      <c r="AG4618">
        <v>-0.11597</v>
      </c>
      <c r="AH4618">
        <v>0.40969193388110597</v>
      </c>
      <c r="AI4618">
        <v>99.811296013760497</v>
      </c>
      <c r="AJ4618">
        <v>142.34339802713299</v>
      </c>
      <c r="AK4618">
        <v>0.68056005391668695</v>
      </c>
      <c r="AL4618">
        <v>80.775156263585103</v>
      </c>
      <c r="AM4618">
        <v>108.53051527382701</v>
      </c>
      <c r="AN4618">
        <v>1.0000000008253001</v>
      </c>
    </row>
    <row r="4619" spans="1:40" x14ac:dyDescent="0.25">
      <c r="A4619" t="str">
        <f>"20190303162913104"</f>
        <v>20190303162913104</v>
      </c>
      <c r="B4619" t="str">
        <f>"1551601753096262"</f>
        <v>1551601753096262</v>
      </c>
      <c r="C4619" t="s">
        <v>40</v>
      </c>
      <c r="D4619">
        <v>5.0283569999999997</v>
      </c>
      <c r="E4619">
        <v>0.36759910000000001</v>
      </c>
      <c r="F4619" t="s">
        <v>44</v>
      </c>
      <c r="G4619">
        <v>-400.3467</v>
      </c>
      <c r="H4619">
        <v>1.019798</v>
      </c>
      <c r="I4619">
        <v>142.0676</v>
      </c>
      <c r="J4619">
        <v>-400.00720000000001</v>
      </c>
      <c r="K4619">
        <v>1.129556</v>
      </c>
      <c r="L4619">
        <v>142.626</v>
      </c>
      <c r="M4619">
        <v>-0.99433260000000001</v>
      </c>
      <c r="N4619">
        <v>-1.304452E-2</v>
      </c>
      <c r="O4619">
        <v>-0.1055104</v>
      </c>
      <c r="P4619">
        <v>-0.89866420000000002</v>
      </c>
      <c r="Q4619">
        <v>0.1524064</v>
      </c>
      <c r="R4619">
        <v>-0.41130879999999997</v>
      </c>
      <c r="S4619">
        <v>-2.4335019999999998</v>
      </c>
      <c r="T4619">
        <v>-0.39413959999999998</v>
      </c>
      <c r="U4619">
        <v>-2.1588129999999999</v>
      </c>
      <c r="V4619">
        <v>-0.31753740000000003</v>
      </c>
      <c r="W4619">
        <v>0.15805520000000001</v>
      </c>
      <c r="X4619">
        <v>0.93498049999999999</v>
      </c>
      <c r="Y4619">
        <v>-0.5769668</v>
      </c>
      <c r="Z4619">
        <v>-3.0933410000000001E-2</v>
      </c>
      <c r="AA4619">
        <v>0.81618159999999995</v>
      </c>
      <c r="AB4619">
        <v>35</v>
      </c>
      <c r="AC4619">
        <v>-0.33949999999998598</v>
      </c>
      <c r="AD4619">
        <v>-0.10975799999999999</v>
      </c>
      <c r="AE4619">
        <v>-0.558400000000006</v>
      </c>
      <c r="AF4619">
        <v>-0.50520785106889499</v>
      </c>
      <c r="AG4619">
        <v>-0.10975799999999999</v>
      </c>
      <c r="AH4619">
        <v>0.38564830599698502</v>
      </c>
      <c r="AI4619">
        <v>99.797775719381804</v>
      </c>
      <c r="AJ4619">
        <v>142.64384685507099</v>
      </c>
      <c r="AK4619">
        <v>0.64498558686531504</v>
      </c>
      <c r="AL4619">
        <v>80.905968854136802</v>
      </c>
      <c r="AM4619">
        <v>108.75847743308999</v>
      </c>
      <c r="AN4619">
        <v>0.99999999101302495</v>
      </c>
    </row>
    <row r="4620" spans="1:40" x14ac:dyDescent="0.25">
      <c r="A4620" t="str">
        <f>"20190303162913125"</f>
        <v>20190303162913125</v>
      </c>
      <c r="B4620" t="str">
        <f>"1551601753116758"</f>
        <v>1551601753116758</v>
      </c>
      <c r="C4620" t="s">
        <v>40</v>
      </c>
      <c r="D4620">
        <v>5.0165419999999896</v>
      </c>
      <c r="E4620">
        <v>0.36809130000000001</v>
      </c>
      <c r="F4620" t="s">
        <v>56</v>
      </c>
      <c r="G4620">
        <v>-406.7921</v>
      </c>
      <c r="H4620" s="1">
        <v>-7.3267319999999997E-6</v>
      </c>
      <c r="I4620">
        <v>136.4597</v>
      </c>
      <c r="J4620">
        <v>-400.34359999999998</v>
      </c>
      <c r="K4620">
        <v>1.1298549999999901</v>
      </c>
      <c r="L4620">
        <v>142.5812</v>
      </c>
      <c r="M4620">
        <v>-0.99321870000000001</v>
      </c>
      <c r="N4620">
        <v>-1.3091240000000001E-2</v>
      </c>
      <c r="O4620">
        <v>-0.11552179999999999</v>
      </c>
      <c r="P4620">
        <v>-0.89337659999999997</v>
      </c>
      <c r="Q4620">
        <v>0.14885319999999999</v>
      </c>
      <c r="R4620">
        <v>-0.42393550000000002</v>
      </c>
      <c r="S4620">
        <v>-2.4055789999999999</v>
      </c>
      <c r="T4620">
        <v>-0.40048299999999998</v>
      </c>
      <c r="U4620">
        <v>-2.186264</v>
      </c>
      <c r="V4620">
        <v>-0.32128259999999997</v>
      </c>
      <c r="W4620">
        <v>0.1542077</v>
      </c>
      <c r="X4620">
        <v>0.93434329999999999</v>
      </c>
      <c r="Y4620">
        <v>-0.5784783</v>
      </c>
      <c r="Z4620">
        <v>-3.0369549999999999E-2</v>
      </c>
      <c r="AA4620">
        <v>0.81513230000000003</v>
      </c>
      <c r="AB4620">
        <v>35</v>
      </c>
      <c r="AC4620">
        <v>-6.4485000000000197</v>
      </c>
      <c r="AD4620">
        <v>-1.1298623267319901</v>
      </c>
      <c r="AE4620">
        <v>-6.1214999999999904</v>
      </c>
      <c r="AF4620">
        <v>-5.25071488065071</v>
      </c>
      <c r="AG4620">
        <v>-1.1298623267319901</v>
      </c>
      <c r="AH4620">
        <v>6.9995190993449103</v>
      </c>
      <c r="AI4620">
        <v>97.357688844665006</v>
      </c>
      <c r="AJ4620">
        <v>126.875531887308</v>
      </c>
      <c r="AK4620">
        <v>8.8226902505612994</v>
      </c>
      <c r="AL4620">
        <v>81.129151316407203</v>
      </c>
      <c r="AM4620">
        <v>108.9760064402</v>
      </c>
      <c r="AN4620">
        <v>0.99999996302846905</v>
      </c>
    </row>
    <row r="4621" spans="1:40" x14ac:dyDescent="0.25">
      <c r="A4621" t="str">
        <f>"20190303162913147"</f>
        <v>20190303162913147</v>
      </c>
      <c r="B4621" t="str">
        <f>"1551601753136278"</f>
        <v>1551601753136278</v>
      </c>
      <c r="C4621" t="s">
        <v>40</v>
      </c>
      <c r="D4621">
        <v>4.8905979999999998</v>
      </c>
      <c r="E4621">
        <v>0.36850119999999997</v>
      </c>
      <c r="F4621" t="s">
        <v>56</v>
      </c>
      <c r="G4621">
        <v>-406.85950000000003</v>
      </c>
      <c r="H4621" s="1">
        <v>-7.3923130000000001E-6</v>
      </c>
      <c r="I4621">
        <v>136.5137</v>
      </c>
      <c r="J4621">
        <v>-400.68119999999999</v>
      </c>
      <c r="K4621">
        <v>1.1301399999999999</v>
      </c>
      <c r="L4621">
        <v>142.5325</v>
      </c>
      <c r="M4621">
        <v>-0.99196030000000002</v>
      </c>
      <c r="N4621">
        <v>-1.3138479999999999E-2</v>
      </c>
      <c r="O4621">
        <v>-0.12586559999999999</v>
      </c>
      <c r="P4621">
        <v>-0.88699509999999904</v>
      </c>
      <c r="Q4621">
        <v>0.14623839999999999</v>
      </c>
      <c r="R4621">
        <v>-0.4380114</v>
      </c>
      <c r="S4621">
        <v>-2.3765869999999998</v>
      </c>
      <c r="T4621">
        <v>-0.41210249999999998</v>
      </c>
      <c r="U4621">
        <v>-2.2130429999999999</v>
      </c>
      <c r="V4621">
        <v>-0.32633000000000001</v>
      </c>
      <c r="W4621">
        <v>0.15127280000000001</v>
      </c>
      <c r="X4621">
        <v>0.93307300000000004</v>
      </c>
      <c r="Y4621">
        <v>-0.57968459999999999</v>
      </c>
      <c r="Z4621">
        <v>-3.0011380000000001E-2</v>
      </c>
      <c r="AA4621">
        <v>0.81428809999999996</v>
      </c>
      <c r="AB4621">
        <v>35</v>
      </c>
      <c r="AC4621">
        <v>-6.1783000000000303</v>
      </c>
      <c r="AD4621">
        <v>-1.1301473923130001</v>
      </c>
      <c r="AE4621">
        <v>-6.0187999999999899</v>
      </c>
      <c r="AF4621">
        <v>-5.10557238659778</v>
      </c>
      <c r="AG4621">
        <v>-1.1301473923130001</v>
      </c>
      <c r="AH4621">
        <v>6.7705476986469497</v>
      </c>
      <c r="AI4621">
        <v>97.591363801462606</v>
      </c>
      <c r="AJ4621">
        <v>127.01941942702599</v>
      </c>
      <c r="AK4621">
        <v>8.5547892237503493</v>
      </c>
      <c r="AL4621">
        <v>81.299305411134398</v>
      </c>
      <c r="AM4621">
        <v>109.27661250116201</v>
      </c>
      <c r="AN4621">
        <v>0.99999997612441904</v>
      </c>
    </row>
    <row r="4622" spans="1:40" x14ac:dyDescent="0.25">
      <c r="A4622" t="str">
        <f>"20190303162913171"</f>
        <v>20190303162913171</v>
      </c>
      <c r="B4622" t="str">
        <f>"1551601753166534"</f>
        <v>1551601753166534</v>
      </c>
      <c r="C4622" t="s">
        <v>40</v>
      </c>
      <c r="D4622">
        <v>4.8878079999999997</v>
      </c>
      <c r="E4622">
        <v>0.36877149999999997</v>
      </c>
      <c r="F4622" t="s">
        <v>56</v>
      </c>
      <c r="G4622">
        <v>-406.97460000000001</v>
      </c>
      <c r="H4622" s="1">
        <v>-7.4608349999999997E-6</v>
      </c>
      <c r="I4622">
        <v>136.50649999999999</v>
      </c>
      <c r="J4622">
        <v>-401.0376</v>
      </c>
      <c r="K4622">
        <v>1.1304350000000001</v>
      </c>
      <c r="L4622">
        <v>142.477</v>
      </c>
      <c r="M4622">
        <v>-0.99046710000000004</v>
      </c>
      <c r="N4622">
        <v>-1.3187269999999999E-2</v>
      </c>
      <c r="O4622">
        <v>-0.13711770000000001</v>
      </c>
      <c r="P4622">
        <v>-0.8800403</v>
      </c>
      <c r="Q4622">
        <v>0.14549219999999999</v>
      </c>
      <c r="R4622">
        <v>-0.45206350000000001</v>
      </c>
      <c r="S4622">
        <v>-2.3434750000000002</v>
      </c>
      <c r="T4622">
        <v>-0.42083549999999997</v>
      </c>
      <c r="U4622">
        <v>-2.2438959999999999</v>
      </c>
      <c r="V4622">
        <v>-0.33066259999999997</v>
      </c>
      <c r="W4622">
        <v>0.15021309999999999</v>
      </c>
      <c r="X4622">
        <v>0.93171789999999999</v>
      </c>
      <c r="Y4622">
        <v>-0.58165719999999899</v>
      </c>
      <c r="Z4622">
        <v>-2.937768E-2</v>
      </c>
      <c r="AA4622">
        <v>0.8129033</v>
      </c>
      <c r="AB4622">
        <v>35</v>
      </c>
      <c r="AC4622">
        <v>-5.93700000000001</v>
      </c>
      <c r="AD4622">
        <v>-1.1304424608349899</v>
      </c>
      <c r="AE4622">
        <v>-5.9705000000000101</v>
      </c>
      <c r="AF4622">
        <v>-5.0096583319920498</v>
      </c>
      <c r="AG4622">
        <v>-1.1304424608349899</v>
      </c>
      <c r="AH4622">
        <v>6.5810213275442697</v>
      </c>
      <c r="AI4622">
        <v>97.782867697989403</v>
      </c>
      <c r="AJ4622">
        <v>127.279409965977</v>
      </c>
      <c r="AK4622">
        <v>8.3477193576538404</v>
      </c>
      <c r="AL4622">
        <v>81.360723680870095</v>
      </c>
      <c r="AM4622">
        <v>109.53955086367399</v>
      </c>
      <c r="AN4622">
        <v>0.99999998781539001</v>
      </c>
    </row>
    <row r="4623" spans="1:40" x14ac:dyDescent="0.25">
      <c r="A4623" t="str">
        <f>"20190303162913194"</f>
        <v>20190303162913194</v>
      </c>
      <c r="B4623" t="str">
        <f>"1551601753186054"</f>
        <v>1551601753186054</v>
      </c>
      <c r="C4623" t="s">
        <v>40</v>
      </c>
      <c r="D4623">
        <v>4.8814510000000002</v>
      </c>
      <c r="E4623">
        <v>0.36916939999999998</v>
      </c>
      <c r="F4623" t="s">
        <v>56</v>
      </c>
      <c r="G4623">
        <v>-407.2063</v>
      </c>
      <c r="H4623" s="1">
        <v>-7.556601E-6</v>
      </c>
      <c r="I4623">
        <v>136.3956</v>
      </c>
      <c r="J4623">
        <v>-401.3784</v>
      </c>
      <c r="K4623">
        <v>1.1307240000000001</v>
      </c>
      <c r="L4623">
        <v>142.41980000000001</v>
      </c>
      <c r="M4623">
        <v>-0.98886700000000005</v>
      </c>
      <c r="N4623">
        <v>-1.3235200000000001E-2</v>
      </c>
      <c r="O4623">
        <v>-0.14821229999999999</v>
      </c>
      <c r="P4623">
        <v>-0.87362549999999894</v>
      </c>
      <c r="Q4623">
        <v>0.14521300000000001</v>
      </c>
      <c r="R4623">
        <v>-0.46442620000000001</v>
      </c>
      <c r="S4623">
        <v>-2.3093870000000001</v>
      </c>
      <c r="T4623">
        <v>-0.42320489999999999</v>
      </c>
      <c r="U4623">
        <v>-2.276688</v>
      </c>
      <c r="V4623">
        <v>-0.333453</v>
      </c>
      <c r="W4623">
        <v>0.14966579999999999</v>
      </c>
      <c r="X4623">
        <v>0.9308111</v>
      </c>
      <c r="Y4623">
        <v>-0.58439059999999998</v>
      </c>
      <c r="Z4623">
        <v>-2.843393E-2</v>
      </c>
      <c r="AA4623">
        <v>0.81097419999999998</v>
      </c>
      <c r="AB4623">
        <v>35</v>
      </c>
      <c r="AC4623">
        <v>-5.8278999999999996</v>
      </c>
      <c r="AD4623">
        <v>-1.1307315566009899</v>
      </c>
      <c r="AE4623">
        <v>-6.0242000000000004</v>
      </c>
      <c r="AF4623">
        <v>-5.0027686207692001</v>
      </c>
      <c r="AG4623">
        <v>-1.1307315566009899</v>
      </c>
      <c r="AH4623">
        <v>6.5374880708356198</v>
      </c>
      <c r="AI4623">
        <v>97.821059399492199</v>
      </c>
      <c r="AJ4623">
        <v>127.424779537993</v>
      </c>
      <c r="AK4623">
        <v>8.3093319829192307</v>
      </c>
      <c r="AL4623">
        <v>81.392440572028093</v>
      </c>
      <c r="AM4623">
        <v>109.709513359087</v>
      </c>
      <c r="AN4623">
        <v>1.0000000293909199</v>
      </c>
    </row>
    <row r="4624" spans="1:40" x14ac:dyDescent="0.25">
      <c r="A4624" t="str">
        <f>"20190303162913217"</f>
        <v>20190303162913217</v>
      </c>
      <c r="B4624" t="str">
        <f>"1551601753206550"</f>
        <v>1551601753206550</v>
      </c>
      <c r="C4624" t="s">
        <v>40</v>
      </c>
      <c r="D4624">
        <v>4.9221259999999996</v>
      </c>
      <c r="E4624">
        <v>0.36961939999999999</v>
      </c>
      <c r="F4624" t="s">
        <v>56</v>
      </c>
      <c r="G4624">
        <v>-407.4846</v>
      </c>
      <c r="H4624" s="1">
        <v>-7.6616600000000004E-6</v>
      </c>
      <c r="I4624">
        <v>136.2397</v>
      </c>
      <c r="J4624">
        <v>-401.71170000000001</v>
      </c>
      <c r="K4624">
        <v>1.1310070000000001</v>
      </c>
      <c r="L4624">
        <v>142.35980000000001</v>
      </c>
      <c r="M4624">
        <v>-0.98712250000000001</v>
      </c>
      <c r="N4624">
        <v>-1.3286869999999999E-2</v>
      </c>
      <c r="O4624">
        <v>-0.15941440000000001</v>
      </c>
      <c r="P4624">
        <v>-0.86731380000000002</v>
      </c>
      <c r="Q4624">
        <v>0.14613309999999999</v>
      </c>
      <c r="R4624">
        <v>-0.47582859999999999</v>
      </c>
      <c r="S4624">
        <v>-2.2783199999999999</v>
      </c>
      <c r="T4624">
        <v>-0.4218943</v>
      </c>
      <c r="U4624">
        <v>-2.3058930000000002</v>
      </c>
      <c r="V4624">
        <v>-0.3352504</v>
      </c>
      <c r="W4624">
        <v>0.1503381</v>
      </c>
      <c r="X4624">
        <v>0.93005680000000002</v>
      </c>
      <c r="Y4624">
        <v>-0.58594230000000003</v>
      </c>
      <c r="Z4624">
        <v>-2.7161299999999999E-2</v>
      </c>
      <c r="AA4624">
        <v>0.80989750000000005</v>
      </c>
      <c r="AB4624">
        <v>35</v>
      </c>
      <c r="AC4624">
        <v>-5.7728999999999902</v>
      </c>
      <c r="AD4624">
        <v>-1.1310146616600001</v>
      </c>
      <c r="AE4624">
        <v>-6.1200999999999999</v>
      </c>
      <c r="AF4624">
        <v>-5.0305427669077796</v>
      </c>
      <c r="AG4624">
        <v>-1.1310146616600001</v>
      </c>
      <c r="AH4624">
        <v>6.5562923445298296</v>
      </c>
      <c r="AI4624">
        <v>97.793242518122995</v>
      </c>
      <c r="AJ4624">
        <v>127.49847475042201</v>
      </c>
      <c r="AK4624">
        <v>8.3408946763233107</v>
      </c>
      <c r="AL4624">
        <v>81.353479664290404</v>
      </c>
      <c r="AM4624">
        <v>109.822321041905</v>
      </c>
      <c r="AN4624">
        <v>1.0000000131190001</v>
      </c>
    </row>
    <row r="4625" spans="1:40" x14ac:dyDescent="0.25">
      <c r="A4625" t="str">
        <f>"20190303162913237"</f>
        <v>20190303162913237</v>
      </c>
      <c r="B4625" t="str">
        <f>"1551601753226070"</f>
        <v>1551601753226070</v>
      </c>
      <c r="C4625" t="s">
        <v>40</v>
      </c>
      <c r="D4625">
        <v>4.8718339999999998</v>
      </c>
      <c r="E4625">
        <v>0.37015009999999998</v>
      </c>
      <c r="F4625" t="s">
        <v>44</v>
      </c>
      <c r="G4625">
        <v>-402.40719999999999</v>
      </c>
      <c r="H4625">
        <v>1.0022899999999999</v>
      </c>
      <c r="I4625">
        <v>141.63839999999999</v>
      </c>
      <c r="J4625">
        <v>-402.03399999999999</v>
      </c>
      <c r="K4625">
        <v>1.1313139999999999</v>
      </c>
      <c r="L4625">
        <v>142.2979</v>
      </c>
      <c r="M4625">
        <v>-0.98525070000000003</v>
      </c>
      <c r="N4625">
        <v>-1.334345E-2</v>
      </c>
      <c r="O4625">
        <v>-0.1705961</v>
      </c>
      <c r="P4625">
        <v>-0.86086130000000005</v>
      </c>
      <c r="Q4625">
        <v>0.14873620000000001</v>
      </c>
      <c r="R4625">
        <v>-0.4866163</v>
      </c>
      <c r="S4625">
        <v>-2.2491150000000002</v>
      </c>
      <c r="T4625">
        <v>-0.41625679999999998</v>
      </c>
      <c r="U4625">
        <v>-2.3330380000000002</v>
      </c>
      <c r="V4625">
        <v>-0.33657199999999998</v>
      </c>
      <c r="W4625">
        <v>0.1526999</v>
      </c>
      <c r="X4625">
        <v>0.92919430000000003</v>
      </c>
      <c r="Y4625">
        <v>-0.58689060000000004</v>
      </c>
      <c r="Z4625">
        <v>-2.5638230000000001E-2</v>
      </c>
      <c r="AA4625">
        <v>0.80926019999999999</v>
      </c>
      <c r="AB4625">
        <v>35</v>
      </c>
      <c r="AC4625">
        <v>-0.37319999999999698</v>
      </c>
      <c r="AD4625">
        <v>-0.129024</v>
      </c>
      <c r="AE4625">
        <v>-0.65950000000000797</v>
      </c>
      <c r="AF4625">
        <v>-0.56964397829504398</v>
      </c>
      <c r="AG4625">
        <v>-0.129024</v>
      </c>
      <c r="AH4625">
        <v>0.466715860651777</v>
      </c>
      <c r="AI4625">
        <v>99.937574750066304</v>
      </c>
      <c r="AJ4625">
        <v>140.67184318310399</v>
      </c>
      <c r="AK4625">
        <v>0.74763971882701297</v>
      </c>
      <c r="AL4625">
        <v>81.216577801010899</v>
      </c>
      <c r="AM4625">
        <v>109.91135845609701</v>
      </c>
      <c r="AN4625">
        <v>1.0000000088982499</v>
      </c>
    </row>
    <row r="4626" spans="1:40" x14ac:dyDescent="0.25">
      <c r="A4626" t="str">
        <f>"20190303162913260"</f>
        <v>20190303162913260</v>
      </c>
      <c r="B4626" t="str">
        <f>"1551601753256326"</f>
        <v>1551601753256326</v>
      </c>
      <c r="C4626" t="s">
        <v>40</v>
      </c>
      <c r="D4626">
        <v>5.0213340000000004</v>
      </c>
      <c r="E4626">
        <v>0.37013770000000001</v>
      </c>
      <c r="F4626" t="s">
        <v>44</v>
      </c>
      <c r="G4626">
        <v>-402.7054</v>
      </c>
      <c r="H4626">
        <v>1.0089889999999999</v>
      </c>
      <c r="I4626">
        <v>141.58529999999999</v>
      </c>
      <c r="J4626">
        <v>-402.3723</v>
      </c>
      <c r="K4626">
        <v>1.1316649999999999</v>
      </c>
      <c r="L4626">
        <v>142.2286</v>
      </c>
      <c r="M4626">
        <v>-0.98307389999999995</v>
      </c>
      <c r="N4626">
        <v>-1.340947E-2</v>
      </c>
      <c r="O4626">
        <v>-0.18271860000000001</v>
      </c>
      <c r="P4626">
        <v>-0.85470970000000002</v>
      </c>
      <c r="Q4626">
        <v>0.1506905</v>
      </c>
      <c r="R4626">
        <v>-0.49675380000000002</v>
      </c>
      <c r="S4626">
        <v>-2.221619</v>
      </c>
      <c r="T4626">
        <v>-0.40474890000000002</v>
      </c>
      <c r="U4626">
        <v>-2.3585660000000002</v>
      </c>
      <c r="V4626">
        <v>-0.33634639999999999</v>
      </c>
      <c r="W4626">
        <v>0.15444279999999999</v>
      </c>
      <c r="X4626">
        <v>0.92898789999999998</v>
      </c>
      <c r="Y4626">
        <v>-0.58657879999999996</v>
      </c>
      <c r="Z4626">
        <v>-2.3672519999999999E-2</v>
      </c>
      <c r="AA4626">
        <v>0.80954609999999905</v>
      </c>
      <c r="AB4626">
        <v>35</v>
      </c>
      <c r="AC4626">
        <v>-0.33310000000000101</v>
      </c>
      <c r="AD4626">
        <v>-0.12267599999999999</v>
      </c>
      <c r="AE4626">
        <v>-0.64330000000000997</v>
      </c>
      <c r="AF4626">
        <v>-0.55566443994239501</v>
      </c>
      <c r="AG4626">
        <v>-0.12267599999999999</v>
      </c>
      <c r="AH4626">
        <v>0.43263801578413902</v>
      </c>
      <c r="AI4626">
        <v>99.8817089086522</v>
      </c>
      <c r="AJ4626">
        <v>142.09582372585101</v>
      </c>
      <c r="AK4626">
        <v>0.71483426295480101</v>
      </c>
      <c r="AL4626">
        <v>81.1155180697573</v>
      </c>
      <c r="AM4626">
        <v>109.90313403464199</v>
      </c>
      <c r="AN4626">
        <v>0.99999999880560497</v>
      </c>
    </row>
    <row r="4627" spans="1:40" x14ac:dyDescent="0.25">
      <c r="A4627" t="str">
        <f>"20190303162913283"</f>
        <v>20190303162913283</v>
      </c>
      <c r="B4627" t="str">
        <f>"1551601753276822"</f>
        <v>1551601753276822</v>
      </c>
      <c r="C4627" t="s">
        <v>40</v>
      </c>
      <c r="D4627">
        <v>4.933249</v>
      </c>
      <c r="E4627">
        <v>0.34447420000000001</v>
      </c>
      <c r="F4627" t="s">
        <v>44</v>
      </c>
      <c r="G4627">
        <v>-403.00659999999999</v>
      </c>
      <c r="H4627">
        <v>1.0181089999999999</v>
      </c>
      <c r="I4627">
        <v>141.5384</v>
      </c>
      <c r="J4627">
        <v>-402.71499999999997</v>
      </c>
      <c r="K4627">
        <v>1.132018</v>
      </c>
      <c r="L4627">
        <v>142.15369999999999</v>
      </c>
      <c r="M4627">
        <v>-0.98062969999999905</v>
      </c>
      <c r="N4627">
        <v>-1.348161E-2</v>
      </c>
      <c r="O4627">
        <v>-0.1954063</v>
      </c>
      <c r="P4627">
        <v>-0.84746809999999995</v>
      </c>
      <c r="Q4627">
        <v>0.15243480000000001</v>
      </c>
      <c r="R4627">
        <v>-0.50848950000000004</v>
      </c>
      <c r="S4627">
        <v>-2.192291</v>
      </c>
      <c r="T4627">
        <v>-0.39243479999999997</v>
      </c>
      <c r="U4627">
        <v>-2.386215</v>
      </c>
      <c r="V4627">
        <v>-0.3373932</v>
      </c>
      <c r="W4627">
        <v>0.1559323</v>
      </c>
      <c r="X4627">
        <v>0.9283593</v>
      </c>
      <c r="Y4627">
        <v>-0.58647389999999999</v>
      </c>
      <c r="Z4627">
        <v>-2.1715290000000002E-2</v>
      </c>
      <c r="AA4627">
        <v>0.80967699999999998</v>
      </c>
      <c r="AB4627">
        <v>35</v>
      </c>
      <c r="AC4627">
        <v>-0.29160000000001601</v>
      </c>
      <c r="AD4627">
        <v>-0.113909</v>
      </c>
      <c r="AE4627">
        <v>-0.61529999999998997</v>
      </c>
      <c r="AF4627">
        <v>-0.53157372234296196</v>
      </c>
      <c r="AG4627">
        <v>-0.113909</v>
      </c>
      <c r="AH4627">
        <v>0.39516278980915598</v>
      </c>
      <c r="AI4627">
        <v>99.757921704566996</v>
      </c>
      <c r="AJ4627">
        <v>143.37352022031999</v>
      </c>
      <c r="AK4627">
        <v>0.67208594168923697</v>
      </c>
      <c r="AL4627">
        <v>81.029129608363405</v>
      </c>
      <c r="AM4627">
        <v>109.972640023411</v>
      </c>
      <c r="AN4627">
        <v>1.0000000217430001</v>
      </c>
    </row>
    <row r="4628" spans="1:40" x14ac:dyDescent="0.25">
      <c r="A4628" t="str">
        <f>"20190303162913305"</f>
        <v>20190303162913305</v>
      </c>
      <c r="B4628" t="str">
        <f>"1551601753296342"</f>
        <v>1551601753296342</v>
      </c>
      <c r="C4628" t="s">
        <v>40</v>
      </c>
      <c r="D4628">
        <v>4.9366000000000003</v>
      </c>
      <c r="E4628">
        <v>0.35215960000000002</v>
      </c>
      <c r="F4628" t="s">
        <v>44</v>
      </c>
      <c r="G4628">
        <v>-403.2826</v>
      </c>
      <c r="H4628">
        <v>1.049374</v>
      </c>
      <c r="I4628">
        <v>141.43049999999999</v>
      </c>
      <c r="J4628">
        <v>-403.03399999999999</v>
      </c>
      <c r="K4628">
        <v>1.1323430000000001</v>
      </c>
      <c r="L4628">
        <v>142.07919999999999</v>
      </c>
      <c r="M4628">
        <v>-0.97811599999999999</v>
      </c>
      <c r="N4628">
        <v>-1.355261E-2</v>
      </c>
      <c r="O4628">
        <v>-0.20761840000000001</v>
      </c>
      <c r="P4628">
        <v>-0.84106289999999995</v>
      </c>
      <c r="Q4628">
        <v>0.15268619999999999</v>
      </c>
      <c r="R4628">
        <v>-0.51894149999999994</v>
      </c>
      <c r="S4628">
        <v>-2.0362550000000001</v>
      </c>
      <c r="T4628">
        <v>-0.2964852</v>
      </c>
      <c r="U4628">
        <v>-2.5949550000000001</v>
      </c>
      <c r="V4628">
        <v>-0.33745209999999998</v>
      </c>
      <c r="W4628">
        <v>0.1559808</v>
      </c>
      <c r="X4628">
        <v>0.92832969999999904</v>
      </c>
      <c r="Y4628">
        <v>-0.63910469999999997</v>
      </c>
      <c r="Z4628">
        <v>-2.070143E-2</v>
      </c>
      <c r="AA4628">
        <v>0.76884110000000006</v>
      </c>
      <c r="AB4628">
        <v>35</v>
      </c>
      <c r="AC4628">
        <v>-0.24860000000001001</v>
      </c>
      <c r="AD4628">
        <v>-8.2969000000000001E-2</v>
      </c>
      <c r="AE4628">
        <v>-0.64869999999999095</v>
      </c>
      <c r="AF4628">
        <v>-0.57474546277446203</v>
      </c>
      <c r="AG4628">
        <v>-8.2969000000000001E-2</v>
      </c>
      <c r="AH4628">
        <v>0.37256228580401701</v>
      </c>
      <c r="AI4628">
        <v>96.906829703240106</v>
      </c>
      <c r="AJ4628">
        <v>147.04783112756499</v>
      </c>
      <c r="AK4628">
        <v>0.68994119948321997</v>
      </c>
      <c r="AL4628">
        <v>81.0263159695795</v>
      </c>
      <c r="AM4628">
        <v>109.976437546165</v>
      </c>
      <c r="AN4628">
        <v>0.99999998083256902</v>
      </c>
    </row>
    <row r="4629" spans="1:40" x14ac:dyDescent="0.25">
      <c r="A4629" t="str">
        <f>"20190303162913326"</f>
        <v>20190303162913326</v>
      </c>
      <c r="B4629" t="str">
        <f>"1551601753316839"</f>
        <v>1551601753316839</v>
      </c>
      <c r="C4629" t="s">
        <v>40</v>
      </c>
      <c r="D4629">
        <v>4.9663149999999998</v>
      </c>
      <c r="E4629">
        <v>0.3495665</v>
      </c>
      <c r="F4629" t="s">
        <v>56</v>
      </c>
      <c r="G4629">
        <v>-418.47539999999998</v>
      </c>
      <c r="H4629" s="1">
        <v>-1.9379020000000002E-6</v>
      </c>
      <c r="I4629">
        <v>122.3404</v>
      </c>
      <c r="J4629">
        <v>-403.3614</v>
      </c>
      <c r="K4629">
        <v>1.1326579999999999</v>
      </c>
      <c r="L4629">
        <v>141.99809999999999</v>
      </c>
      <c r="M4629">
        <v>-0.97528809999999999</v>
      </c>
      <c r="N4629">
        <v>-1.362698E-2</v>
      </c>
      <c r="O4629">
        <v>-0.22051609999999999</v>
      </c>
      <c r="P4629">
        <v>-0.83425199999999999</v>
      </c>
      <c r="Q4629">
        <v>0.1521885</v>
      </c>
      <c r="R4629">
        <v>-0.52996430000000005</v>
      </c>
      <c r="S4629">
        <v>-2.009064</v>
      </c>
      <c r="T4629">
        <v>-0.1473286</v>
      </c>
      <c r="U4629">
        <v>-2.5682070000000001</v>
      </c>
      <c r="V4629">
        <v>-0.3375013</v>
      </c>
      <c r="W4629">
        <v>0.15528789999999901</v>
      </c>
      <c r="X4629">
        <v>0.92842800000000003</v>
      </c>
      <c r="Y4629">
        <v>-0.63163519999999995</v>
      </c>
      <c r="Z4629">
        <v>-1.3453400000000001E-2</v>
      </c>
      <c r="AA4629">
        <v>0.77514899999999998</v>
      </c>
      <c r="AB4629">
        <v>35</v>
      </c>
      <c r="AC4629">
        <v>-15.1139999999999</v>
      </c>
      <c r="AD4629">
        <v>-1.1326599379019999</v>
      </c>
      <c r="AE4629">
        <v>-19.657699999999899</v>
      </c>
      <c r="AF4629">
        <v>-15.807529129355601</v>
      </c>
      <c r="AG4629">
        <v>-1.1326599379019999</v>
      </c>
      <c r="AH4629">
        <v>19.037393710705501</v>
      </c>
      <c r="AI4629">
        <v>92.620818107072097</v>
      </c>
      <c r="AJ4629">
        <v>129.704240671957</v>
      </c>
      <c r="AK4629">
        <v>24.770612729740101</v>
      </c>
      <c r="AL4629">
        <v>81.066506162601996</v>
      </c>
      <c r="AM4629">
        <v>109.977171655775</v>
      </c>
      <c r="AN4629">
        <v>1.00000000528605</v>
      </c>
    </row>
    <row r="4630" spans="1:40" x14ac:dyDescent="0.25">
      <c r="A4630" t="str">
        <f>"20190303162913350"</f>
        <v>20190303162913350</v>
      </c>
      <c r="B4630" t="str">
        <f>"1551601753346118"</f>
        <v>1551601753346118</v>
      </c>
      <c r="C4630" t="s">
        <v>40</v>
      </c>
      <c r="D4630">
        <v>4.4397970000000004</v>
      </c>
      <c r="E4630">
        <v>0.3654404</v>
      </c>
      <c r="F4630" t="s">
        <v>56</v>
      </c>
      <c r="G4630">
        <v>-414.46359999999999</v>
      </c>
      <c r="H4630" s="1">
        <v>-4.8731230000000004E-6</v>
      </c>
      <c r="I4630">
        <v>127.2953</v>
      </c>
      <c r="J4630">
        <v>-403.69560000000001</v>
      </c>
      <c r="K4630">
        <v>1.1329480000000001</v>
      </c>
      <c r="L4630">
        <v>141.9102</v>
      </c>
      <c r="M4630">
        <v>-0.97213740000000004</v>
      </c>
      <c r="N4630">
        <v>-1.370065E-2</v>
      </c>
      <c r="O4630">
        <v>-0.23401140000000001</v>
      </c>
      <c r="P4630">
        <v>-0.82653049999999995</v>
      </c>
      <c r="Q4630">
        <v>0.1506197</v>
      </c>
      <c r="R4630">
        <v>-0.54236689999999999</v>
      </c>
      <c r="S4630">
        <v>-1.972961</v>
      </c>
      <c r="T4630">
        <v>-0.2012842</v>
      </c>
      <c r="U4630">
        <v>-2.6128079999999998</v>
      </c>
      <c r="V4630">
        <v>-0.33850839999999999</v>
      </c>
      <c r="W4630">
        <v>0.15350899999999901</v>
      </c>
      <c r="X4630">
        <v>0.92835719999999999</v>
      </c>
      <c r="Y4630">
        <v>-0.63368919999999995</v>
      </c>
      <c r="Z4630">
        <v>-1.493681E-2</v>
      </c>
      <c r="AA4630">
        <v>0.77344360000000001</v>
      </c>
      <c r="AB4630">
        <v>35</v>
      </c>
      <c r="AC4630">
        <v>-10.767999999999899</v>
      </c>
      <c r="AD4630">
        <v>-1.1329528731229901</v>
      </c>
      <c r="AE4630">
        <v>-14.6149</v>
      </c>
      <c r="AF4630">
        <v>-11.6436002950228</v>
      </c>
      <c r="AG4630">
        <v>-1.1329528731229901</v>
      </c>
      <c r="AH4630">
        <v>13.8354419858042</v>
      </c>
      <c r="AI4630">
        <v>93.585073220649406</v>
      </c>
      <c r="AJ4630">
        <v>130.08321943665101</v>
      </c>
      <c r="AK4630">
        <v>18.118401281170598</v>
      </c>
      <c r="AL4630">
        <v>81.169666805679199</v>
      </c>
      <c r="AM4630">
        <v>110.033455225664</v>
      </c>
      <c r="AN4630">
        <v>1.0000000203716899</v>
      </c>
    </row>
    <row r="4631" spans="1:40" x14ac:dyDescent="0.25">
      <c r="A4631" t="str">
        <f>"20190303162913372"</f>
        <v>20190303162913372</v>
      </c>
      <c r="B4631" t="str">
        <f>"1551601753366615"</f>
        <v>1551601753366615</v>
      </c>
      <c r="C4631" t="s">
        <v>40</v>
      </c>
      <c r="D4631">
        <v>4.9629839999999996</v>
      </c>
      <c r="E4631">
        <v>0.36703809999999998</v>
      </c>
      <c r="F4631" t="s">
        <v>58</v>
      </c>
      <c r="G4631">
        <v>-440.75</v>
      </c>
      <c r="H4631">
        <v>0.94519759999999997</v>
      </c>
      <c r="I4631">
        <v>94.246480000000005</v>
      </c>
      <c r="J4631">
        <v>-404.03379999999999</v>
      </c>
      <c r="K4631">
        <v>1.1332009999999999</v>
      </c>
      <c r="L4631">
        <v>141.816</v>
      </c>
      <c r="M4631">
        <v>-0.96866739999999996</v>
      </c>
      <c r="N4631">
        <v>-1.3770050000000001E-2</v>
      </c>
      <c r="O4631">
        <v>-0.24797959999999999</v>
      </c>
      <c r="P4631">
        <v>-0.8170248</v>
      </c>
      <c r="Q4631">
        <v>0.1474404</v>
      </c>
      <c r="R4631">
        <v>-0.55743350000000003</v>
      </c>
      <c r="S4631">
        <v>-1.969238</v>
      </c>
      <c r="T4631">
        <v>-9.9768640000000002E-3</v>
      </c>
      <c r="U4631">
        <v>-2.5330509999999999</v>
      </c>
      <c r="V4631">
        <v>-0.34204279999999998</v>
      </c>
      <c r="W4631">
        <v>0.15004909999999999</v>
      </c>
      <c r="X4631">
        <v>0.92762710000000004</v>
      </c>
      <c r="Y4631">
        <v>-0.61258020000000002</v>
      </c>
      <c r="Z4631">
        <v>-8.2391280000000001E-3</v>
      </c>
      <c r="AA4631">
        <v>0.79036549999999905</v>
      </c>
      <c r="AB4631">
        <v>35</v>
      </c>
      <c r="AC4631">
        <v>-36.716200000000001</v>
      </c>
      <c r="AD4631">
        <v>-0.18800339999999999</v>
      </c>
      <c r="AE4631">
        <v>-47.569519999999997</v>
      </c>
      <c r="AF4631">
        <v>-36.977318114038397</v>
      </c>
      <c r="AG4631">
        <v>-0.18800339999999999</v>
      </c>
      <c r="AH4631">
        <v>47.366083129647599</v>
      </c>
      <c r="AI4631">
        <v>90.179259061936705</v>
      </c>
      <c r="AJ4631">
        <v>127.97811898382599</v>
      </c>
      <c r="AK4631">
        <v>60.090791567676099</v>
      </c>
      <c r="AL4631">
        <v>81.370228215203895</v>
      </c>
      <c r="AM4631">
        <v>110.240381701164</v>
      </c>
      <c r="AN4631">
        <v>1.00000002304852</v>
      </c>
    </row>
    <row r="4632" spans="1:40" x14ac:dyDescent="0.25">
      <c r="A4632" t="str">
        <f>"20190303162913394"</f>
        <v>20190303162913394</v>
      </c>
      <c r="B4632" t="str">
        <f>"1551601753386134"</f>
        <v>1551601753386134</v>
      </c>
      <c r="C4632" t="s">
        <v>40</v>
      </c>
      <c r="D4632">
        <v>4.9834160000000001</v>
      </c>
      <c r="E4632">
        <v>0.36477189999999998</v>
      </c>
      <c r="F4632" t="s">
        <v>58</v>
      </c>
      <c r="G4632">
        <v>-440.75</v>
      </c>
      <c r="H4632">
        <v>0.95307120000000001</v>
      </c>
      <c r="I4632">
        <v>93.139080000000007</v>
      </c>
      <c r="J4632">
        <v>-404.35860000000002</v>
      </c>
      <c r="K4632">
        <v>1.133408</v>
      </c>
      <c r="L4632">
        <v>141.72059999999999</v>
      </c>
      <c r="M4632">
        <v>-0.96506539999999996</v>
      </c>
      <c r="N4632">
        <v>-1.383127E-2</v>
      </c>
      <c r="O4632">
        <v>-0.26164379999999998</v>
      </c>
      <c r="P4632">
        <v>-0.80596459999999903</v>
      </c>
      <c r="Q4632">
        <v>0.1441287</v>
      </c>
      <c r="R4632">
        <v>-0.57414940000000003</v>
      </c>
      <c r="S4632">
        <v>-1.9288639999999999</v>
      </c>
      <c r="T4632">
        <v>-9.4618800000000006E-3</v>
      </c>
      <c r="U4632">
        <v>-2.5572050000000002</v>
      </c>
      <c r="V4632">
        <v>-0.34788289999999999</v>
      </c>
      <c r="W4632">
        <v>0.14639489999999999</v>
      </c>
      <c r="X4632">
        <v>0.92603780000000002</v>
      </c>
      <c r="Y4632">
        <v>-0.6129346</v>
      </c>
      <c r="Z4632">
        <v>-8.3936380000000001E-3</v>
      </c>
      <c r="AA4632">
        <v>0.79008900000000004</v>
      </c>
      <c r="AB4632">
        <v>35</v>
      </c>
      <c r="AC4632">
        <v>-36.391399999999898</v>
      </c>
      <c r="AD4632">
        <v>-0.18033679999999999</v>
      </c>
      <c r="AE4632">
        <v>-48.581519999999898</v>
      </c>
      <c r="AF4632">
        <v>-37.366004215053401</v>
      </c>
      <c r="AG4632">
        <v>-0.18033679999999999</v>
      </c>
      <c r="AH4632">
        <v>47.835287880489098</v>
      </c>
      <c r="AI4632">
        <v>90.170223838579702</v>
      </c>
      <c r="AJ4632">
        <v>127.99477937176</v>
      </c>
      <c r="AK4632">
        <v>60.699798673225402</v>
      </c>
      <c r="AL4632">
        <v>81.581936831793698</v>
      </c>
      <c r="AM4632">
        <v>110.589599911707</v>
      </c>
      <c r="AN4632">
        <v>0.99999999294362996</v>
      </c>
    </row>
    <row r="4633" spans="1:40" x14ac:dyDescent="0.25">
      <c r="A4633" t="str">
        <f>"20190303162913416"</f>
        <v>20190303162913416</v>
      </c>
      <c r="B4633" t="str">
        <f>"1551601753406631"</f>
        <v>1551601753406631</v>
      </c>
      <c r="C4633" t="s">
        <v>40</v>
      </c>
      <c r="D4633">
        <v>4.9794869999999998</v>
      </c>
      <c r="E4633">
        <v>0.3632591</v>
      </c>
      <c r="F4633" t="s">
        <v>41</v>
      </c>
      <c r="G4633">
        <v>-433.27229999999997</v>
      </c>
      <c r="H4633">
        <v>7.9986340000000003E-2</v>
      </c>
      <c r="I4633">
        <v>101.44670000000001</v>
      </c>
      <c r="J4633">
        <v>-404.67770000000002</v>
      </c>
      <c r="K4633">
        <v>1.133594</v>
      </c>
      <c r="L4633">
        <v>141.62180000000001</v>
      </c>
      <c r="M4633">
        <v>-0.96126400000000001</v>
      </c>
      <c r="N4633">
        <v>-1.388605E-2</v>
      </c>
      <c r="O4633">
        <v>-0.27527929999999901</v>
      </c>
      <c r="P4633">
        <v>-0.79348430000000003</v>
      </c>
      <c r="Q4633">
        <v>0.1427158</v>
      </c>
      <c r="R4633">
        <v>-0.59162099999999995</v>
      </c>
      <c r="S4633">
        <v>-1.8744810000000001</v>
      </c>
      <c r="T4633">
        <v>-6.8293450000000006E-2</v>
      </c>
      <c r="U4633">
        <v>-2.6109619999999998</v>
      </c>
      <c r="V4633">
        <v>-0.35496879999999997</v>
      </c>
      <c r="W4633">
        <v>0.14460499999999901</v>
      </c>
      <c r="X4633">
        <v>0.92362679999999997</v>
      </c>
      <c r="Y4633">
        <v>-0.62014639999999999</v>
      </c>
      <c r="Z4633">
        <v>-9.7131179999999998E-3</v>
      </c>
      <c r="AA4633">
        <v>0.78442599999999996</v>
      </c>
      <c r="AB4633">
        <v>35</v>
      </c>
      <c r="AC4633">
        <v>-28.5945999999999</v>
      </c>
      <c r="AD4633">
        <v>-1.0536076599999999</v>
      </c>
      <c r="AE4633">
        <v>-40.1751</v>
      </c>
      <c r="AF4633">
        <v>-30.736309368638299</v>
      </c>
      <c r="AG4633">
        <v>-1.0536076599999999</v>
      </c>
      <c r="AH4633">
        <v>38.532459520983103</v>
      </c>
      <c r="AI4633">
        <v>91.224558521777695</v>
      </c>
      <c r="AJ4633">
        <v>128.57842496643499</v>
      </c>
      <c r="AK4633">
        <v>49.300925340626797</v>
      </c>
      <c r="AL4633">
        <v>81.685593379205301</v>
      </c>
      <c r="AM4633">
        <v>111.022795871703</v>
      </c>
      <c r="AN4633">
        <v>0.99999996033833904</v>
      </c>
    </row>
    <row r="4634" spans="1:40" x14ac:dyDescent="0.25">
      <c r="A4634" t="str">
        <f>"20190303162913439"</f>
        <v>20190303162913439</v>
      </c>
      <c r="B4634" t="str">
        <f>"1551601753426150"</f>
        <v>1551601753426150</v>
      </c>
      <c r="C4634" t="s">
        <v>40</v>
      </c>
      <c r="D4634">
        <v>5.0396140000000003</v>
      </c>
      <c r="E4634">
        <v>0.36249310000000001</v>
      </c>
      <c r="F4634" t="s">
        <v>41</v>
      </c>
      <c r="G4634">
        <v>-423.47320000000002</v>
      </c>
      <c r="H4634" s="1">
        <v>-2.8594760000000001E-6</v>
      </c>
      <c r="I4634">
        <v>114.1005</v>
      </c>
      <c r="J4634">
        <v>-405.00740000000002</v>
      </c>
      <c r="K4634">
        <v>1.1337649999999999</v>
      </c>
      <c r="L4634">
        <v>141.5146</v>
      </c>
      <c r="M4634">
        <v>-0.95706460000000004</v>
      </c>
      <c r="N4634">
        <v>-1.393661E-2</v>
      </c>
      <c r="O4634">
        <v>-0.28953970000000001</v>
      </c>
      <c r="P4634">
        <v>-0.78065589999999996</v>
      </c>
      <c r="Q4634">
        <v>0.14121230000000001</v>
      </c>
      <c r="R4634">
        <v>-0.60879869999999903</v>
      </c>
      <c r="S4634">
        <v>-1.8168949999999999</v>
      </c>
      <c r="T4634">
        <v>-0.1095811</v>
      </c>
      <c r="U4634">
        <v>-2.6604000000000001</v>
      </c>
      <c r="V4634">
        <v>-0.36133969999999999</v>
      </c>
      <c r="W4634">
        <v>0.1427571</v>
      </c>
      <c r="X4634">
        <v>0.92144130000000002</v>
      </c>
      <c r="Y4634">
        <v>-0.62666299999999997</v>
      </c>
      <c r="Z4634">
        <v>-1.035385E-2</v>
      </c>
      <c r="AA4634">
        <v>0.77922159999999996</v>
      </c>
      <c r="AB4634">
        <v>35</v>
      </c>
      <c r="AC4634">
        <v>-18.465800000000002</v>
      </c>
      <c r="AD4634">
        <v>-1.1337678594759999</v>
      </c>
      <c r="AE4634">
        <v>-27.414100000000001</v>
      </c>
      <c r="AF4634">
        <v>-20.867957610348999</v>
      </c>
      <c r="AG4634">
        <v>-1.1337678594759999</v>
      </c>
      <c r="AH4634">
        <v>25.582819715734701</v>
      </c>
      <c r="AI4634">
        <v>91.966855177182296</v>
      </c>
      <c r="AJ4634">
        <v>129.20419470974301</v>
      </c>
      <c r="AK4634">
        <v>33.0338878879597</v>
      </c>
      <c r="AL4634">
        <v>81.792580846358007</v>
      </c>
      <c r="AM4634">
        <v>111.412439740176</v>
      </c>
      <c r="AN4634">
        <v>1.00000001887109</v>
      </c>
    </row>
    <row r="4635" spans="1:40" x14ac:dyDescent="0.25">
      <c r="A4635" t="str">
        <f>"20190303162913462"</f>
        <v>20190303162913462</v>
      </c>
      <c r="B4635" t="str">
        <f>"1551601753456406"</f>
        <v>1551601753456406</v>
      </c>
      <c r="C4635" t="s">
        <v>40</v>
      </c>
      <c r="D4635">
        <v>5.0516670000000001</v>
      </c>
      <c r="E4635">
        <v>0.36259160000000001</v>
      </c>
      <c r="F4635" t="s">
        <v>56</v>
      </c>
      <c r="G4635">
        <v>-418.94889999999998</v>
      </c>
      <c r="H4635" s="1">
        <v>-4.5872599999999997E-7</v>
      </c>
      <c r="I4635">
        <v>120.11450000000001</v>
      </c>
      <c r="J4635">
        <v>-405.32909999999998</v>
      </c>
      <c r="K4635">
        <v>1.133904</v>
      </c>
      <c r="L4635">
        <v>141.40459999999999</v>
      </c>
      <c r="M4635">
        <v>-0.95269769999999998</v>
      </c>
      <c r="N4635">
        <v>-1.3979780000000001E-2</v>
      </c>
      <c r="O4635">
        <v>-0.30359799999999998</v>
      </c>
      <c r="P4635">
        <v>-0.76924869999999901</v>
      </c>
      <c r="Q4635">
        <v>0.1396289</v>
      </c>
      <c r="R4635">
        <v>-0.62350640000000002</v>
      </c>
      <c r="S4635">
        <v>-1.7608950000000001</v>
      </c>
      <c r="T4635">
        <v>-0.1432021</v>
      </c>
      <c r="U4635">
        <v>-2.7029719999999999</v>
      </c>
      <c r="V4635">
        <v>-0.36518479999999998</v>
      </c>
      <c r="W4635">
        <v>0.14093749999999999</v>
      </c>
      <c r="X4635">
        <v>0.92020480000000004</v>
      </c>
      <c r="Y4635">
        <v>-0.63194079999999997</v>
      </c>
      <c r="Z4635">
        <v>-1.057024E-2</v>
      </c>
      <c r="AA4635">
        <v>0.77494459999999998</v>
      </c>
      <c r="AB4635">
        <v>35</v>
      </c>
      <c r="AC4635">
        <v>-13.6197999999999</v>
      </c>
      <c r="AD4635">
        <v>-1.1339044587260001</v>
      </c>
      <c r="AE4635">
        <v>-21.290099999999899</v>
      </c>
      <c r="AF4635">
        <v>-16.117221270396801</v>
      </c>
      <c r="AG4635">
        <v>-1.1339044587260001</v>
      </c>
      <c r="AH4635">
        <v>19.402029613514902</v>
      </c>
      <c r="AI4635">
        <v>92.574001143749697</v>
      </c>
      <c r="AJ4635">
        <v>129.71633426236099</v>
      </c>
      <c r="AK4635">
        <v>25.248550729183599</v>
      </c>
      <c r="AL4635">
        <v>81.897901826759906</v>
      </c>
      <c r="AM4635">
        <v>111.64573504854999</v>
      </c>
      <c r="AN4635">
        <v>1.00000009550016</v>
      </c>
    </row>
    <row r="4636" spans="1:40" x14ac:dyDescent="0.25">
      <c r="A4636" t="str">
        <f>"20190303162913484"</f>
        <v>20190303162913484</v>
      </c>
      <c r="B4636" t="str">
        <f>"1551601753476902"</f>
        <v>1551601753476902</v>
      </c>
      <c r="C4636" t="s">
        <v>40</v>
      </c>
      <c r="D4636">
        <v>5.0723449999999897</v>
      </c>
      <c r="E4636">
        <v>0.36246200000000001</v>
      </c>
      <c r="F4636" t="s">
        <v>56</v>
      </c>
      <c r="G4636">
        <v>-416.66910000000001</v>
      </c>
      <c r="H4636" s="1">
        <v>-2.802789E-6</v>
      </c>
      <c r="I4636">
        <v>123.30540000000001</v>
      </c>
      <c r="J4636">
        <v>-405.64550000000003</v>
      </c>
      <c r="K4636">
        <v>1.134012</v>
      </c>
      <c r="L4636">
        <v>141.29130000000001</v>
      </c>
      <c r="M4636">
        <v>-0.94814219999999905</v>
      </c>
      <c r="N4636">
        <v>-1.401693E-2</v>
      </c>
      <c r="O4636">
        <v>-0.31753710000000002</v>
      </c>
      <c r="P4636">
        <v>-0.75944909999999999</v>
      </c>
      <c r="Q4636">
        <v>0.1363461</v>
      </c>
      <c r="R4636">
        <v>-0.63611870000000004</v>
      </c>
      <c r="S4636">
        <v>-1.71386699999999</v>
      </c>
      <c r="T4636">
        <v>-0.1713722</v>
      </c>
      <c r="U4636">
        <v>-2.7354129999999999</v>
      </c>
      <c r="V4636">
        <v>-0.36663190000000001</v>
      </c>
      <c r="W4636">
        <v>0.13752349999999999</v>
      </c>
      <c r="X4636">
        <v>0.92014580000000001</v>
      </c>
      <c r="Y4636">
        <v>-0.63409729999999997</v>
      </c>
      <c r="Z4636">
        <v>-1.035079E-2</v>
      </c>
      <c r="AA4636">
        <v>0.77318409999999904</v>
      </c>
      <c r="AB4636">
        <v>35</v>
      </c>
      <c r="AC4636">
        <v>-11.023599999999901</v>
      </c>
      <c r="AD4636">
        <v>-1.134014802789</v>
      </c>
      <c r="AE4636">
        <v>-17.985900000000001</v>
      </c>
      <c r="AF4636">
        <v>-13.515065355859999</v>
      </c>
      <c r="AG4636">
        <v>-1.134014802789</v>
      </c>
      <c r="AH4636">
        <v>16.1181416715858</v>
      </c>
      <c r="AI4636">
        <v>93.085945823235804</v>
      </c>
      <c r="AJ4636">
        <v>129.979840360287</v>
      </c>
      <c r="AK4636">
        <v>21.065077072999799</v>
      </c>
      <c r="AL4636">
        <v>82.095432728526006</v>
      </c>
      <c r="AM4636">
        <v>111.72479914943101</v>
      </c>
      <c r="AN4636">
        <v>0.99999997820374897</v>
      </c>
    </row>
    <row r="4637" spans="1:40" x14ac:dyDescent="0.25">
      <c r="A4637" t="str">
        <f>"20190303162913505"</f>
        <v>20190303162913505</v>
      </c>
      <c r="B4637" t="str">
        <f>"1551601753496423"</f>
        <v>1551601753496423</v>
      </c>
      <c r="C4637" t="s">
        <v>40</v>
      </c>
      <c r="D4637">
        <v>4.9926769999999996</v>
      </c>
      <c r="E4637">
        <v>0.33863710000000002</v>
      </c>
      <c r="F4637" t="s">
        <v>56</v>
      </c>
      <c r="G4637">
        <v>-415.60840000000002</v>
      </c>
      <c r="H4637" s="1">
        <v>-3.8428489999999997E-6</v>
      </c>
      <c r="I4637">
        <v>124.78660000000001</v>
      </c>
      <c r="J4637">
        <v>-405.95389999999998</v>
      </c>
      <c r="K4637">
        <v>1.1340950000000001</v>
      </c>
      <c r="L4637">
        <v>141.1754</v>
      </c>
      <c r="M4637">
        <v>-0.94345069999999998</v>
      </c>
      <c r="N4637">
        <v>-1.4048679999999999E-2</v>
      </c>
      <c r="O4637">
        <v>-0.33121529999999999</v>
      </c>
      <c r="P4637">
        <v>-0.75016910000000003</v>
      </c>
      <c r="Q4637">
        <v>0.13364809999999999</v>
      </c>
      <c r="R4637">
        <v>-0.647599699999999</v>
      </c>
      <c r="S4637">
        <v>-1.6687620000000001</v>
      </c>
      <c r="T4637">
        <v>-0.18994549999999999</v>
      </c>
      <c r="U4637">
        <v>-2.7644959999999998</v>
      </c>
      <c r="V4637">
        <v>-0.36711529999999998</v>
      </c>
      <c r="W4637">
        <v>0.134743</v>
      </c>
      <c r="X4637">
        <v>0.92036439999999997</v>
      </c>
      <c r="Y4637">
        <v>-0.63563879999999995</v>
      </c>
      <c r="Z4637">
        <v>-9.8382450000000007E-3</v>
      </c>
      <c r="AA4637">
        <v>0.77192399999999906</v>
      </c>
      <c r="AB4637">
        <v>35</v>
      </c>
      <c r="AC4637">
        <v>-9.6545000000000396</v>
      </c>
      <c r="AD4637">
        <v>-1.134098842849</v>
      </c>
      <c r="AE4637">
        <v>-16.3887999999999</v>
      </c>
      <c r="AF4637">
        <v>-12.2220676100579</v>
      </c>
      <c r="AG4637">
        <v>-1.134098842849</v>
      </c>
      <c r="AH4637">
        <v>14.4867004785688</v>
      </c>
      <c r="AI4637">
        <v>93.424219787892596</v>
      </c>
      <c r="AJ4637">
        <v>130.15349071791999</v>
      </c>
      <c r="AK4637">
        <v>18.987617217701199</v>
      </c>
      <c r="AL4637">
        <v>82.256240707155996</v>
      </c>
      <c r="AM4637">
        <v>111.746086764637</v>
      </c>
      <c r="AN4637">
        <v>0.99999997416522401</v>
      </c>
    </row>
    <row r="4638" spans="1:40" x14ac:dyDescent="0.25">
      <c r="A4638" t="str">
        <f>"20190303162913527"</f>
        <v>20190303162913527</v>
      </c>
      <c r="B4638" t="str">
        <f>"1551601753516918"</f>
        <v>1551601753516918</v>
      </c>
      <c r="C4638" t="s">
        <v>40</v>
      </c>
      <c r="D4638">
        <v>5.0115639999999999</v>
      </c>
      <c r="E4638">
        <v>0.33192189999999999</v>
      </c>
      <c r="F4638" t="s">
        <v>56</v>
      </c>
      <c r="G4638">
        <v>-410.89069999999998</v>
      </c>
      <c r="H4638" s="1">
        <v>-7.1229299999999996E-6</v>
      </c>
      <c r="I4638">
        <v>131.67230000000001</v>
      </c>
      <c r="J4638">
        <v>-406.26819999999998</v>
      </c>
      <c r="K4638">
        <v>1.1341699999999999</v>
      </c>
      <c r="L4638">
        <v>141.05199999999999</v>
      </c>
      <c r="M4638">
        <v>-0.93841509999999995</v>
      </c>
      <c r="N4638">
        <v>-1.4077249999999999E-2</v>
      </c>
      <c r="O4638">
        <v>-0.34522330000000001</v>
      </c>
      <c r="P4638">
        <v>-0.74070749999999996</v>
      </c>
      <c r="Q4638">
        <v>0.1316997</v>
      </c>
      <c r="R4638">
        <v>-0.65879270000000001</v>
      </c>
      <c r="S4638">
        <v>-1.525879</v>
      </c>
      <c r="T4638">
        <v>-0.35053230000000002</v>
      </c>
      <c r="U4638">
        <v>-2.9372560000000001</v>
      </c>
      <c r="V4638">
        <v>-0.36708560000000001</v>
      </c>
      <c r="W4638">
        <v>0.13273789999999999</v>
      </c>
      <c r="X4638">
        <v>0.92066760000000003</v>
      </c>
      <c r="Y4638">
        <v>-0.67113129999999999</v>
      </c>
      <c r="Z4638">
        <v>-1.170303E-2</v>
      </c>
      <c r="AA4638">
        <v>0.74124609999999902</v>
      </c>
      <c r="AB4638">
        <v>35</v>
      </c>
      <c r="AC4638">
        <v>-4.6224999999999996</v>
      </c>
      <c r="AD4638">
        <v>-1.1341771229299999</v>
      </c>
      <c r="AE4638">
        <v>-9.3797000000000104</v>
      </c>
      <c r="AF4638">
        <v>-7.1231732980276501</v>
      </c>
      <c r="AG4638">
        <v>-1.1341771229299999</v>
      </c>
      <c r="AH4638">
        <v>7.4885687330759296</v>
      </c>
      <c r="AI4638">
        <v>96.262481684831002</v>
      </c>
      <c r="AJ4638">
        <v>133.56750455532901</v>
      </c>
      <c r="AK4638">
        <v>10.3973370268504</v>
      </c>
      <c r="AL4638">
        <v>82.372166190322901</v>
      </c>
      <c r="AM4638">
        <v>111.737998356202</v>
      </c>
      <c r="AN4638">
        <v>1.00000000875676</v>
      </c>
    </row>
    <row r="4639" spans="1:40" x14ac:dyDescent="0.25">
      <c r="A4639" t="str">
        <f>"20190303162913551"</f>
        <v>20190303162913551</v>
      </c>
      <c r="B4639" t="str">
        <f>"1551601753546198"</f>
        <v>1551601753546198</v>
      </c>
      <c r="C4639" t="s">
        <v>40</v>
      </c>
      <c r="D4639">
        <v>4.9445819999999996</v>
      </c>
      <c r="E4639">
        <v>0.33143280000000003</v>
      </c>
      <c r="F4639" t="s">
        <v>56</v>
      </c>
      <c r="G4639">
        <v>-410.66329999999999</v>
      </c>
      <c r="H4639" s="1">
        <v>-7.2666019999999997E-6</v>
      </c>
      <c r="I4639">
        <v>131.95529999999999</v>
      </c>
      <c r="J4639">
        <v>-406.58870000000002</v>
      </c>
      <c r="K4639">
        <v>1.134236</v>
      </c>
      <c r="L4639">
        <v>140.92070000000001</v>
      </c>
      <c r="M4639">
        <v>-0.93301230000000002</v>
      </c>
      <c r="N4639">
        <v>-1.410255E-2</v>
      </c>
      <c r="O4639">
        <v>-0.35956830000000001</v>
      </c>
      <c r="P4639">
        <v>-0.73130969999999995</v>
      </c>
      <c r="Q4639">
        <v>0.13044049999999999</v>
      </c>
      <c r="R4639">
        <v>-0.66945650000000001</v>
      </c>
      <c r="S4639">
        <v>-1.4490970000000001</v>
      </c>
      <c r="T4639">
        <v>-0.37394509999999997</v>
      </c>
      <c r="U4639">
        <v>-2.9992679999999998</v>
      </c>
      <c r="V4639">
        <v>-0.36621759999999998</v>
      </c>
      <c r="W4639">
        <v>0.13146040000000001</v>
      </c>
      <c r="X4639">
        <v>0.92119649999999997</v>
      </c>
      <c r="Y4639">
        <v>-0.68096459999999903</v>
      </c>
      <c r="Z4639">
        <v>-1.106218E-2</v>
      </c>
      <c r="AA4639">
        <v>0.73223269999999996</v>
      </c>
      <c r="AB4639">
        <v>35</v>
      </c>
      <c r="AC4639">
        <v>-4.07459999999997</v>
      </c>
      <c r="AD4639">
        <v>-1.1342432666019999</v>
      </c>
      <c r="AE4639">
        <v>-8.9654000000000096</v>
      </c>
      <c r="AF4639">
        <v>-6.8100772741852698</v>
      </c>
      <c r="AG4639">
        <v>-1.1342432666019999</v>
      </c>
      <c r="AH4639">
        <v>6.9340393964203999</v>
      </c>
      <c r="AI4639">
        <v>96.656550076993597</v>
      </c>
      <c r="AJ4639">
        <v>134.48324697667101</v>
      </c>
      <c r="AK4639">
        <v>9.7849150542719006</v>
      </c>
      <c r="AL4639">
        <v>82.446009208580506</v>
      </c>
      <c r="AM4639">
        <v>111.680076189568</v>
      </c>
      <c r="AN4639">
        <v>1.0000000794650801</v>
      </c>
    </row>
    <row r="4640" spans="1:40" x14ac:dyDescent="0.25">
      <c r="A4640" t="str">
        <f>"20190303162913573"</f>
        <v>20190303162913573</v>
      </c>
      <c r="B4640" t="str">
        <f>"1551601753566694"</f>
        <v>1551601753566694</v>
      </c>
      <c r="C4640" t="s">
        <v>40</v>
      </c>
      <c r="D4640">
        <v>4.9486239999999997</v>
      </c>
      <c r="E4640">
        <v>0.33196979999999998</v>
      </c>
      <c r="F4640" t="s">
        <v>56</v>
      </c>
      <c r="G4640">
        <v>-410.77069999999998</v>
      </c>
      <c r="H4640" s="1">
        <v>-7.2391510000000002E-6</v>
      </c>
      <c r="I4640">
        <v>131.91399999999999</v>
      </c>
      <c r="J4640">
        <v>-406.90649999999999</v>
      </c>
      <c r="K4640">
        <v>1.1342950000000001</v>
      </c>
      <c r="L4640">
        <v>140.78479999999999</v>
      </c>
      <c r="M4640">
        <v>-0.92738909999999997</v>
      </c>
      <c r="N4640">
        <v>-1.412456E-2</v>
      </c>
      <c r="O4640">
        <v>-0.37383169999999999</v>
      </c>
      <c r="P4640">
        <v>-0.72227909999999995</v>
      </c>
      <c r="Q4640">
        <v>0.12898219999999999</v>
      </c>
      <c r="R4640">
        <v>-0.67946819999999997</v>
      </c>
      <c r="S4640">
        <v>-1.403381</v>
      </c>
      <c r="T4640">
        <v>-0.38062669999999998</v>
      </c>
      <c r="U4640">
        <v>-3.0224150000000001</v>
      </c>
      <c r="V4640">
        <v>-0.36466080000000001</v>
      </c>
      <c r="W4640">
        <v>0.13001750000000001</v>
      </c>
      <c r="X4640">
        <v>0.92201840000000002</v>
      </c>
      <c r="Y4640">
        <v>-0.68099390000000004</v>
      </c>
      <c r="Z4640">
        <v>-9.3864580000000003E-3</v>
      </c>
      <c r="AA4640">
        <v>0.73222900000000002</v>
      </c>
      <c r="AB4640">
        <v>34</v>
      </c>
      <c r="AC4640">
        <v>-3.8641999999999799</v>
      </c>
      <c r="AD4640">
        <v>-1.134302239151</v>
      </c>
      <c r="AE4640">
        <v>-8.8707999999999991</v>
      </c>
      <c r="AF4640">
        <v>-6.6908479603444997</v>
      </c>
      <c r="AG4640">
        <v>-1.134302239151</v>
      </c>
      <c r="AH4640">
        <v>6.8069446311082604</v>
      </c>
      <c r="AI4640">
        <v>96.777280844861494</v>
      </c>
      <c r="AJ4640">
        <v>134.50720199780699</v>
      </c>
      <c r="AK4640">
        <v>9.6118980024323406</v>
      </c>
      <c r="AL4640">
        <v>82.5293963469761</v>
      </c>
      <c r="AM4640">
        <v>111.57893262721601</v>
      </c>
      <c r="AN4640">
        <v>0.99999998965072501</v>
      </c>
    </row>
    <row r="4641" spans="1:40" x14ac:dyDescent="0.25">
      <c r="A4641" t="str">
        <f>"20190303162913594"</f>
        <v>20190303162913594</v>
      </c>
      <c r="B4641" t="str">
        <f>"1551601753586214"</f>
        <v>1551601753586214</v>
      </c>
      <c r="C4641" t="s">
        <v>40</v>
      </c>
      <c r="D4641">
        <v>4.923527</v>
      </c>
      <c r="E4641">
        <v>0.33293240000000002</v>
      </c>
      <c r="F4641" t="s">
        <v>56</v>
      </c>
      <c r="G4641">
        <v>-410.96690000000001</v>
      </c>
      <c r="H4641" s="1">
        <v>-7.144564E-6</v>
      </c>
      <c r="I4641">
        <v>131.7371</v>
      </c>
      <c r="J4641">
        <v>-407.20240000000001</v>
      </c>
      <c r="K4641">
        <v>1.134339</v>
      </c>
      <c r="L4641">
        <v>140.65309999999999</v>
      </c>
      <c r="M4641">
        <v>-0.92190850000000002</v>
      </c>
      <c r="N4641">
        <v>-1.4142679999999999E-2</v>
      </c>
      <c r="O4641">
        <v>-0.38714979999999999</v>
      </c>
      <c r="P4641">
        <v>-0.71325109999999903</v>
      </c>
      <c r="Q4641">
        <v>0.12746759999999999</v>
      </c>
      <c r="R4641">
        <v>-0.68922109999999903</v>
      </c>
      <c r="S4641">
        <v>-1.363464</v>
      </c>
      <c r="T4641">
        <v>-0.38089440000000002</v>
      </c>
      <c r="U4641">
        <v>-3.0381930000000001</v>
      </c>
      <c r="V4641">
        <v>-0.36377470000000001</v>
      </c>
      <c r="W4641">
        <v>0.12850210000000001</v>
      </c>
      <c r="X4641">
        <v>0.92258070000000003</v>
      </c>
      <c r="Y4641">
        <v>-0.67994589999999999</v>
      </c>
      <c r="Z4641">
        <v>-7.691715E-3</v>
      </c>
      <c r="AA4641">
        <v>0.73322189999999998</v>
      </c>
      <c r="AB4641">
        <v>34</v>
      </c>
      <c r="AC4641">
        <v>-3.7644999999999902</v>
      </c>
      <c r="AD4641">
        <v>-1.134346144564</v>
      </c>
      <c r="AE4641">
        <v>-8.9159999999999897</v>
      </c>
      <c r="AF4641">
        <v>-6.6713389170347996</v>
      </c>
      <c r="AG4641">
        <v>-1.134346144564</v>
      </c>
      <c r="AH4641">
        <v>6.8292273171847198</v>
      </c>
      <c r="AI4641">
        <v>96.775950520050301</v>
      </c>
      <c r="AJ4641">
        <v>134.329959468986</v>
      </c>
      <c r="AK4641">
        <v>9.6141484215406408</v>
      </c>
      <c r="AL4641">
        <v>82.616956913486106</v>
      </c>
      <c r="AM4641">
        <v>111.51937843287701</v>
      </c>
      <c r="AN4641">
        <v>0.99999998503849397</v>
      </c>
    </row>
    <row r="4642" spans="1:40" x14ac:dyDescent="0.25">
      <c r="A4642" t="str">
        <f>"20190303162913618"</f>
        <v>20190303162913618</v>
      </c>
      <c r="B4642" t="str">
        <f>"1551601753606710"</f>
        <v>1551601753606710</v>
      </c>
      <c r="C4642" t="s">
        <v>40</v>
      </c>
      <c r="D4642">
        <v>4.9106239999999897</v>
      </c>
      <c r="E4642">
        <v>0.33370490000000003</v>
      </c>
      <c r="F4642" t="s">
        <v>56</v>
      </c>
      <c r="G4642">
        <v>-411.1671</v>
      </c>
      <c r="H4642" s="1">
        <v>-7.0394879999999998E-6</v>
      </c>
      <c r="I4642">
        <v>131.5369</v>
      </c>
      <c r="J4642">
        <v>-407.51690000000002</v>
      </c>
      <c r="K4642">
        <v>1.1343859999999999</v>
      </c>
      <c r="L4642">
        <v>140.5076</v>
      </c>
      <c r="M4642">
        <v>-0.9158229</v>
      </c>
      <c r="N4642">
        <v>-1.415987E-2</v>
      </c>
      <c r="O4642">
        <v>-0.40133269999999999</v>
      </c>
      <c r="P4642">
        <v>-0.70231219999999905</v>
      </c>
      <c r="Q4642">
        <v>0.12604460000000001</v>
      </c>
      <c r="R4642">
        <v>-0.70062150000000001</v>
      </c>
      <c r="S4642">
        <v>-1.326538</v>
      </c>
      <c r="T4642">
        <v>-0.37953209999999998</v>
      </c>
      <c r="U4642">
        <v>-3.0501100000000001</v>
      </c>
      <c r="V4642">
        <v>-0.36426629999999999</v>
      </c>
      <c r="W4642">
        <v>0.127027</v>
      </c>
      <c r="X4642">
        <v>0.92259100000000005</v>
      </c>
      <c r="Y4642">
        <v>-0.67723820000000001</v>
      </c>
      <c r="Z4642">
        <v>-5.7416480000000002E-3</v>
      </c>
      <c r="AA4642">
        <v>0.73574139999999999</v>
      </c>
      <c r="AB4642">
        <v>34</v>
      </c>
      <c r="AC4642">
        <v>-3.6501999999999799</v>
      </c>
      <c r="AD4642">
        <v>-1.134393039488</v>
      </c>
      <c r="AE4642">
        <v>-8.9706999999999901</v>
      </c>
      <c r="AF4642">
        <v>-6.6599341194027799</v>
      </c>
      <c r="AG4642">
        <v>-1.134393039488</v>
      </c>
      <c r="AH4642">
        <v>6.8498914496771501</v>
      </c>
      <c r="AI4642">
        <v>96.7714225571724</v>
      </c>
      <c r="AJ4642">
        <v>134.19443548012299</v>
      </c>
      <c r="AK4642">
        <v>9.6209450115456097</v>
      </c>
      <c r="AL4642">
        <v>82.702172231640702</v>
      </c>
      <c r="AM4642">
        <v>111.545577401739</v>
      </c>
      <c r="AN4642">
        <v>0.99999997466284396</v>
      </c>
    </row>
    <row r="4643" spans="1:40" x14ac:dyDescent="0.25">
      <c r="A4643" t="str">
        <f>"20190303162913640"</f>
        <v>20190303162913640</v>
      </c>
      <c r="B4643" t="str">
        <f>"1551601753626230"</f>
        <v>1551601753626230</v>
      </c>
      <c r="C4643" t="s">
        <v>40</v>
      </c>
      <c r="D4643">
        <v>4.9129459999999998</v>
      </c>
      <c r="E4643">
        <v>0.33461940000000001</v>
      </c>
      <c r="F4643" t="s">
        <v>56</v>
      </c>
      <c r="G4643">
        <v>-411.34179999999998</v>
      </c>
      <c r="H4643" s="1">
        <v>-6.9464129999999998E-6</v>
      </c>
      <c r="I4643">
        <v>131.35910000000001</v>
      </c>
      <c r="J4643">
        <v>-407.82190000000003</v>
      </c>
      <c r="K4643">
        <v>1.1344209999999999</v>
      </c>
      <c r="L4643">
        <v>140.36080000000001</v>
      </c>
      <c r="M4643">
        <v>-0.90966069999999999</v>
      </c>
      <c r="N4643">
        <v>-1.4174630000000001E-2</v>
      </c>
      <c r="O4643">
        <v>-0.4151106</v>
      </c>
      <c r="P4643">
        <v>-0.69150749999999905</v>
      </c>
      <c r="Q4643">
        <v>0.12428019999999999</v>
      </c>
      <c r="R4643">
        <v>-0.71159859999999997</v>
      </c>
      <c r="S4643">
        <v>-1.281677</v>
      </c>
      <c r="T4643">
        <v>-0.38012469999999998</v>
      </c>
      <c r="U4643">
        <v>-3.0655670000000002</v>
      </c>
      <c r="V4643">
        <v>-0.3646992</v>
      </c>
      <c r="W4643">
        <v>0.12521860000000001</v>
      </c>
      <c r="X4643">
        <v>0.92266720000000002</v>
      </c>
      <c r="Y4643">
        <v>-0.67667489999999997</v>
      </c>
      <c r="Z4643">
        <v>-4.0019599999999997E-3</v>
      </c>
      <c r="AA4643">
        <v>0.73627109999999996</v>
      </c>
      <c r="AB4643">
        <v>34</v>
      </c>
      <c r="AC4643">
        <v>-3.5198999999999501</v>
      </c>
      <c r="AD4643">
        <v>-1.1344279464129901</v>
      </c>
      <c r="AE4643">
        <v>-9.0016999999999996</v>
      </c>
      <c r="AF4643">
        <v>-6.6365962502715599</v>
      </c>
      <c r="AG4643">
        <v>-1.1344279464129901</v>
      </c>
      <c r="AH4643">
        <v>6.8450171708616798</v>
      </c>
      <c r="AI4643">
        <v>96.785528785216997</v>
      </c>
      <c r="AJ4643">
        <v>134.114298302234</v>
      </c>
      <c r="AK4643">
        <v>9.6013330649505502</v>
      </c>
      <c r="AL4643">
        <v>82.806620051420794</v>
      </c>
      <c r="AM4643">
        <v>111.567214579913</v>
      </c>
      <c r="AN4643">
        <v>0.99999998311121896</v>
      </c>
    </row>
    <row r="4644" spans="1:40" x14ac:dyDescent="0.25">
      <c r="A4644" t="str">
        <f>"20190303162913663"</f>
        <v>20190303162913663</v>
      </c>
      <c r="B4644" t="str">
        <f>"1551601753656486"</f>
        <v>1551601753656486</v>
      </c>
      <c r="C4644" t="s">
        <v>40</v>
      </c>
      <c r="D4644">
        <v>4.8546430000000003</v>
      </c>
      <c r="E4644">
        <v>0.33549000000000001</v>
      </c>
      <c r="F4644" t="s">
        <v>56</v>
      </c>
      <c r="G4644">
        <v>-411.49900000000002</v>
      </c>
      <c r="H4644" s="1">
        <v>-6.8692009999999996E-6</v>
      </c>
      <c r="I4644">
        <v>131.2141</v>
      </c>
      <c r="J4644">
        <v>-408.12970000000001</v>
      </c>
      <c r="K4644">
        <v>1.1344540000000001</v>
      </c>
      <c r="L4644">
        <v>140.20699999999999</v>
      </c>
      <c r="M4644">
        <v>-0.90317749999999997</v>
      </c>
      <c r="N4644">
        <v>-1.418795E-2</v>
      </c>
      <c r="O4644">
        <v>-0.42903289999999999</v>
      </c>
      <c r="P4644">
        <v>-0.68082480000000001</v>
      </c>
      <c r="Q4644">
        <v>0.12345730000000001</v>
      </c>
      <c r="R4644">
        <v>-0.72196660000000001</v>
      </c>
      <c r="S4644">
        <v>-1.2380070000000001</v>
      </c>
      <c r="T4644">
        <v>-0.3819361</v>
      </c>
      <c r="U4644">
        <v>-3.0794980000000001</v>
      </c>
      <c r="V4644">
        <v>-0.36439189999999999</v>
      </c>
      <c r="W4644">
        <v>0.1243841</v>
      </c>
      <c r="X4644">
        <v>0.92290150000000004</v>
      </c>
      <c r="Y4644">
        <v>-0.67555580000000004</v>
      </c>
      <c r="Z4644">
        <v>-2.142634E-3</v>
      </c>
      <c r="AA4644">
        <v>0.73730580000000001</v>
      </c>
      <c r="AB4644">
        <v>34</v>
      </c>
      <c r="AC4644">
        <v>-3.3693</v>
      </c>
      <c r="AD4644">
        <v>-1.1344608692010001</v>
      </c>
      <c r="AE4644">
        <v>-8.9928999999999899</v>
      </c>
      <c r="AF4644">
        <v>-6.5854159177795699</v>
      </c>
      <c r="AG4644">
        <v>-1.1344608692010001</v>
      </c>
      <c r="AH4644">
        <v>6.80702743704878</v>
      </c>
      <c r="AI4644">
        <v>96.830361602553694</v>
      </c>
      <c r="AJ4644">
        <v>134.05198434180301</v>
      </c>
      <c r="AK4644">
        <v>9.5388849873886095</v>
      </c>
      <c r="AL4644">
        <v>82.854810408268705</v>
      </c>
      <c r="AM4644">
        <v>111.545738819229</v>
      </c>
      <c r="AN4644">
        <v>1.0000000199103301</v>
      </c>
    </row>
    <row r="4645" spans="1:40" x14ac:dyDescent="0.25">
      <c r="A4645" t="str">
        <f>"20190303162913684"</f>
        <v>20190303162913684</v>
      </c>
      <c r="B4645" t="str">
        <f>"1551601753676006"</f>
        <v>1551601753676006</v>
      </c>
      <c r="C4645" t="s">
        <v>40</v>
      </c>
      <c r="D4645">
        <v>4.717759</v>
      </c>
      <c r="E4645">
        <v>0.33580179999999998</v>
      </c>
      <c r="F4645" t="s">
        <v>56</v>
      </c>
      <c r="G4645">
        <v>-411.72430000000003</v>
      </c>
      <c r="H4645" s="1">
        <v>-6.72483799999999E-6</v>
      </c>
      <c r="I4645">
        <v>130.89580000000001</v>
      </c>
      <c r="J4645">
        <v>-408.41820000000001</v>
      </c>
      <c r="K4645">
        <v>1.134484</v>
      </c>
      <c r="L4645">
        <v>140.05699999999999</v>
      </c>
      <c r="M4645">
        <v>-0.8968448</v>
      </c>
      <c r="N4645">
        <v>-1.419933E-2</v>
      </c>
      <c r="O4645">
        <v>-0.44211739999999999</v>
      </c>
      <c r="P4645">
        <v>-0.67073629999999995</v>
      </c>
      <c r="Q4645">
        <v>0.1239392</v>
      </c>
      <c r="R4645">
        <v>-0.73126780000000002</v>
      </c>
      <c r="S4645">
        <v>-1.194275</v>
      </c>
      <c r="T4645">
        <v>-0.37690869999999999</v>
      </c>
      <c r="U4645">
        <v>-3.0934910000000002</v>
      </c>
      <c r="V4645">
        <v>-0.3637415</v>
      </c>
      <c r="W4645">
        <v>0.12487089999999899</v>
      </c>
      <c r="X4645">
        <v>0.92309229999999998</v>
      </c>
      <c r="Y4645">
        <v>-0.67513829999999997</v>
      </c>
      <c r="Z4645">
        <v>-6.1072779999999998E-4</v>
      </c>
      <c r="AA4645">
        <v>0.73769099999999999</v>
      </c>
      <c r="AB4645">
        <v>34</v>
      </c>
      <c r="AC4645">
        <v>-3.30610000000001</v>
      </c>
      <c r="AD4645">
        <v>-1.1344907248379901</v>
      </c>
      <c r="AE4645">
        <v>-9.1611999999999991</v>
      </c>
      <c r="AF4645">
        <v>-6.6647413900835897</v>
      </c>
      <c r="AG4645">
        <v>-1.1344907248379901</v>
      </c>
      <c r="AH4645">
        <v>6.9221690853505597</v>
      </c>
      <c r="AI4645">
        <v>96.733395484996393</v>
      </c>
      <c r="AJ4645">
        <v>133.91456148531199</v>
      </c>
      <c r="AK4645">
        <v>9.6758602639568796</v>
      </c>
      <c r="AL4645">
        <v>82.826699570290401</v>
      </c>
      <c r="AM4645">
        <v>111.50675772931901</v>
      </c>
      <c r="AN4645">
        <v>1.0000000074041699</v>
      </c>
    </row>
    <row r="4646" spans="1:40" x14ac:dyDescent="0.25">
      <c r="A4646" t="str">
        <f>"20190303162913707"</f>
        <v>20190303162913707</v>
      </c>
      <c r="B4646" t="str">
        <f>"1551601753696502"</f>
        <v>1551601753696502</v>
      </c>
      <c r="C4646" t="s">
        <v>40</v>
      </c>
      <c r="D4646">
        <v>4.773237</v>
      </c>
      <c r="E4646">
        <v>0.33640360000000002</v>
      </c>
      <c r="F4646" t="s">
        <v>56</v>
      </c>
      <c r="G4646">
        <v>-411.94799999999998</v>
      </c>
      <c r="H4646" s="1">
        <v>-6.5604739999999998E-6</v>
      </c>
      <c r="I4646">
        <v>130.52420000000001</v>
      </c>
      <c r="J4646">
        <v>-408.714</v>
      </c>
      <c r="K4646">
        <v>1.134511</v>
      </c>
      <c r="L4646">
        <v>139.89750000000001</v>
      </c>
      <c r="M4646">
        <v>-0.89009590000000005</v>
      </c>
      <c r="N4646">
        <v>-1.421044E-2</v>
      </c>
      <c r="O4646">
        <v>-0.45555190000000001</v>
      </c>
      <c r="P4646">
        <v>-0.65988389999999997</v>
      </c>
      <c r="Q4646">
        <v>0.124574</v>
      </c>
      <c r="R4646">
        <v>-0.740969199999999</v>
      </c>
      <c r="S4646">
        <v>-1.151276</v>
      </c>
      <c r="T4646">
        <v>-0.37002469999999998</v>
      </c>
      <c r="U4646">
        <v>-3.1092070000000001</v>
      </c>
      <c r="V4646">
        <v>-0.36340600000000001</v>
      </c>
      <c r="W4646">
        <v>0.12549959999999999</v>
      </c>
      <c r="X4646">
        <v>0.92313920000000005</v>
      </c>
      <c r="Y4646">
        <v>-0.67436929999999995</v>
      </c>
      <c r="Z4646">
        <v>8.9054550000000003E-4</v>
      </c>
      <c r="AA4646">
        <v>0.73839370000000004</v>
      </c>
      <c r="AB4646">
        <v>34</v>
      </c>
      <c r="AC4646">
        <v>-3.2340000000000302</v>
      </c>
      <c r="AD4646">
        <v>-1.1345175604739901</v>
      </c>
      <c r="AE4646">
        <v>-9.3733000000000004</v>
      </c>
      <c r="AF4646">
        <v>-6.7817899306696603</v>
      </c>
      <c r="AG4646">
        <v>-1.1345175604739901</v>
      </c>
      <c r="AH4646">
        <v>7.0569297499650698</v>
      </c>
      <c r="AI4646">
        <v>96.612005549307398</v>
      </c>
      <c r="AJ4646">
        <v>133.86100202055201</v>
      </c>
      <c r="AK4646">
        <v>9.8529215086033393</v>
      </c>
      <c r="AL4646">
        <v>82.790392234874304</v>
      </c>
      <c r="AM4646">
        <v>111.48773786706199</v>
      </c>
      <c r="AN4646">
        <v>1.00000002650639</v>
      </c>
    </row>
    <row r="4647" spans="1:40" x14ac:dyDescent="0.25">
      <c r="A4647" t="str">
        <f>"20190303162913729"</f>
        <v>20190303162913729</v>
      </c>
      <c r="B4647" t="str">
        <f>"1551601753716023"</f>
        <v>1551601753716023</v>
      </c>
      <c r="C4647" t="s">
        <v>40</v>
      </c>
      <c r="D4647">
        <v>4.7400219999999997</v>
      </c>
      <c r="E4647">
        <v>0.33707110000000001</v>
      </c>
      <c r="F4647" t="s">
        <v>56</v>
      </c>
      <c r="G4647">
        <v>-412.18430000000001</v>
      </c>
      <c r="H4647" s="1">
        <v>-6.3802119999999998E-6</v>
      </c>
      <c r="I4647">
        <v>130.11529999999999</v>
      </c>
      <c r="J4647">
        <v>-409.00729999999999</v>
      </c>
      <c r="K4647">
        <v>1.134539</v>
      </c>
      <c r="L4647">
        <v>139.7337</v>
      </c>
      <c r="M4647">
        <v>-0.88313539999999902</v>
      </c>
      <c r="N4647">
        <v>-1.422118E-2</v>
      </c>
      <c r="O4647">
        <v>-0.46890300000000001</v>
      </c>
      <c r="P4647">
        <v>-0.64894649999999998</v>
      </c>
      <c r="Q4647">
        <v>0.1245333</v>
      </c>
      <c r="R4647">
        <v>-0.7505735</v>
      </c>
      <c r="S4647">
        <v>-1.10788</v>
      </c>
      <c r="T4647">
        <v>-0.36219289999999998</v>
      </c>
      <c r="U4647">
        <v>-3.1229710000000002</v>
      </c>
      <c r="V4647">
        <v>-0.36305670000000001</v>
      </c>
      <c r="W4647">
        <v>0.1254566</v>
      </c>
      <c r="X4647">
        <v>0.92328239999999995</v>
      </c>
      <c r="Y4647">
        <v>-0.67352190000000001</v>
      </c>
      <c r="Z4647">
        <v>2.3010190000000001E-3</v>
      </c>
      <c r="AA4647">
        <v>0.73916380000000004</v>
      </c>
      <c r="AB4647">
        <v>34</v>
      </c>
      <c r="AC4647">
        <v>-3.17700000000002</v>
      </c>
      <c r="AD4647">
        <v>-1.134545380212</v>
      </c>
      <c r="AE4647">
        <v>-9.6183999999999994</v>
      </c>
      <c r="AF4647">
        <v>-6.9185591357668201</v>
      </c>
      <c r="AG4647">
        <v>-1.134545380212</v>
      </c>
      <c r="AH4647">
        <v>7.2259079667155399</v>
      </c>
      <c r="AI4647">
        <v>96.470216222312999</v>
      </c>
      <c r="AJ4647">
        <v>133.75520088824399</v>
      </c>
      <c r="AK4647">
        <v>10.068137845615</v>
      </c>
      <c r="AL4647">
        <v>82.792875084544903</v>
      </c>
      <c r="AM4647">
        <v>111.46593780350899</v>
      </c>
      <c r="AN4647">
        <v>0.99999995802410402</v>
      </c>
    </row>
    <row r="4648" spans="1:40" x14ac:dyDescent="0.25">
      <c r="A4648" t="str">
        <f>"20190303162913752"</f>
        <v>20190303162913752</v>
      </c>
      <c r="B4648" t="str">
        <f>"1551601753746278"</f>
        <v>1551601753746278</v>
      </c>
      <c r="C4648" t="s">
        <v>40</v>
      </c>
      <c r="D4648">
        <v>4.678839</v>
      </c>
      <c r="E4648">
        <v>0.33735399999999999</v>
      </c>
      <c r="F4648" t="s">
        <v>56</v>
      </c>
      <c r="G4648">
        <v>-412.39429999999999</v>
      </c>
      <c r="H4648" s="1">
        <v>-6.217768E-6</v>
      </c>
      <c r="I4648">
        <v>129.74639999999999</v>
      </c>
      <c r="J4648">
        <v>-409.31040000000002</v>
      </c>
      <c r="K4648">
        <v>1.1345689999999999</v>
      </c>
      <c r="L4648">
        <v>139.5581</v>
      </c>
      <c r="M4648">
        <v>-0.875650499999999</v>
      </c>
      <c r="N4648">
        <v>-1.423223E-2</v>
      </c>
      <c r="O4648">
        <v>-0.482736</v>
      </c>
      <c r="P4648">
        <v>-0.63858760000000003</v>
      </c>
      <c r="Q4648">
        <v>0.1244638</v>
      </c>
      <c r="R4648">
        <v>-0.75941800000000004</v>
      </c>
      <c r="S4648">
        <v>-1.06366</v>
      </c>
      <c r="T4648">
        <v>-0.35629250000000001</v>
      </c>
      <c r="U4648">
        <v>-3.1364139999999998</v>
      </c>
      <c r="V4648">
        <v>-0.36121589999999998</v>
      </c>
      <c r="W4648">
        <v>0.12544379999999999</v>
      </c>
      <c r="X4648">
        <v>0.92400590000000005</v>
      </c>
      <c r="Y4648">
        <v>-0.67231759999999996</v>
      </c>
      <c r="Z4648">
        <v>3.8149920000000001E-3</v>
      </c>
      <c r="AA4648">
        <v>0.74025299999999905</v>
      </c>
      <c r="AB4648">
        <v>34</v>
      </c>
      <c r="AC4648">
        <v>-3.0838999999999701</v>
      </c>
      <c r="AD4648">
        <v>-1.134575217768</v>
      </c>
      <c r="AE4648">
        <v>-9.8117000000000001</v>
      </c>
      <c r="AF4648">
        <v>-7.0182220900610197</v>
      </c>
      <c r="AG4648">
        <v>-1.134575217768</v>
      </c>
      <c r="AH4648">
        <v>7.3482090888876099</v>
      </c>
      <c r="AI4648">
        <v>96.371069659446206</v>
      </c>
      <c r="AJ4648">
        <v>133.68418689895199</v>
      </c>
      <c r="AK4648">
        <v>10.2244256095002</v>
      </c>
      <c r="AL4648">
        <v>82.793614529859198</v>
      </c>
      <c r="AM4648">
        <v>111.351711426579</v>
      </c>
      <c r="AN4648">
        <v>0.99999998830303005</v>
      </c>
    </row>
    <row r="4649" spans="1:40" x14ac:dyDescent="0.25">
      <c r="A4649" t="str">
        <f>"20190303162913774"</f>
        <v>20190303162913774</v>
      </c>
      <c r="B4649" t="str">
        <f>"1551601753766774"</f>
        <v>1551601753766774</v>
      </c>
      <c r="C4649" t="s">
        <v>40</v>
      </c>
      <c r="D4649">
        <v>4.6859539999999997</v>
      </c>
      <c r="E4649">
        <v>0.3377097</v>
      </c>
      <c r="F4649" t="s">
        <v>56</v>
      </c>
      <c r="G4649">
        <v>-412.59949999999998</v>
      </c>
      <c r="H4649" s="1">
        <v>-6.0441960000000004E-6</v>
      </c>
      <c r="I4649">
        <v>129.40299999999999</v>
      </c>
      <c r="J4649">
        <v>-409.59989999999999</v>
      </c>
      <c r="K4649">
        <v>1.1346080000000001</v>
      </c>
      <c r="L4649">
        <v>139.38460000000001</v>
      </c>
      <c r="M4649">
        <v>-0.86821719999999902</v>
      </c>
      <c r="N4649">
        <v>-1.4243209999999999E-2</v>
      </c>
      <c r="O4649">
        <v>-0.49598009999999898</v>
      </c>
      <c r="P4649">
        <v>-0.62912829999999997</v>
      </c>
      <c r="Q4649">
        <v>0.12514249999999999</v>
      </c>
      <c r="R4649">
        <v>-0.76716189999999995</v>
      </c>
      <c r="S4649">
        <v>-1.0202639999999901</v>
      </c>
      <c r="T4649">
        <v>-0.35194750000000002</v>
      </c>
      <c r="U4649">
        <v>-3.1501459999999999</v>
      </c>
      <c r="V4649">
        <v>-0.35856300000000002</v>
      </c>
      <c r="W4649">
        <v>0.12621019999999999</v>
      </c>
      <c r="X4649">
        <v>0.92493429999999999</v>
      </c>
      <c r="Y4649">
        <v>-0.67134389999999999</v>
      </c>
      <c r="Z4649">
        <v>5.2607359999999898E-3</v>
      </c>
      <c r="AA4649">
        <v>0.74112730000000004</v>
      </c>
      <c r="AB4649">
        <v>34</v>
      </c>
      <c r="AC4649">
        <v>-2.9995999999999801</v>
      </c>
      <c r="AD4649">
        <v>-1.134614044196</v>
      </c>
      <c r="AE4649">
        <v>-9.9816000000000091</v>
      </c>
      <c r="AF4649">
        <v>-7.0950998691813698</v>
      </c>
      <c r="AG4649">
        <v>-1.134614044196</v>
      </c>
      <c r="AH4649">
        <v>7.4672521142734896</v>
      </c>
      <c r="AI4649">
        <v>96.285866856914595</v>
      </c>
      <c r="AJ4649">
        <v>133.5360803753</v>
      </c>
      <c r="AK4649">
        <v>10.362801036450801</v>
      </c>
      <c r="AL4649">
        <v>82.749350963687803</v>
      </c>
      <c r="AM4649">
        <v>111.189479477169</v>
      </c>
      <c r="AN4649">
        <v>0.999999949434763</v>
      </c>
    </row>
    <row r="4650" spans="1:40" x14ac:dyDescent="0.25">
      <c r="A4650" t="str">
        <f>"20190303162913808"</f>
        <v>20190303162913808</v>
      </c>
      <c r="B4650" t="str">
        <f>"1551601753796054"</f>
        <v>1551601753796054</v>
      </c>
      <c r="C4650" t="s">
        <v>40</v>
      </c>
      <c r="D4650">
        <v>4.7442859999999998</v>
      </c>
      <c r="E4650">
        <v>0.33881529999999999</v>
      </c>
      <c r="F4650" t="s">
        <v>56</v>
      </c>
      <c r="G4650">
        <v>-412.82839999999999</v>
      </c>
      <c r="H4650" s="1">
        <v>-5.818166E-6</v>
      </c>
      <c r="I4650">
        <v>128.9855</v>
      </c>
      <c r="J4650">
        <v>-410.02730000000003</v>
      </c>
      <c r="K4650">
        <v>1.1346810000000001</v>
      </c>
      <c r="L4650">
        <v>139.1172</v>
      </c>
      <c r="M4650">
        <v>-0.85668750000000005</v>
      </c>
      <c r="N4650">
        <v>-1.4261930000000001E-2</v>
      </c>
      <c r="O4650">
        <v>-0.51563859999999995</v>
      </c>
      <c r="P4650">
        <v>-0.61489469999999902</v>
      </c>
      <c r="Q4650">
        <v>0.1269391</v>
      </c>
      <c r="R4650">
        <v>-0.77832599999999996</v>
      </c>
      <c r="S4650">
        <v>-0.98162839999999996</v>
      </c>
      <c r="T4650">
        <v>-0.34497260000000002</v>
      </c>
      <c r="U4650">
        <v>-3.1618040000000001</v>
      </c>
      <c r="V4650">
        <v>-0.35433530000000002</v>
      </c>
      <c r="W4650">
        <v>0.12814220000000001</v>
      </c>
      <c r="X4650">
        <v>0.92629689999999998</v>
      </c>
      <c r="Y4650">
        <v>-0.66362730000000003</v>
      </c>
      <c r="Z4650">
        <v>7.8008469999999996E-3</v>
      </c>
      <c r="AA4650">
        <v>0.74802270000000004</v>
      </c>
      <c r="AB4650">
        <v>34</v>
      </c>
      <c r="AC4650">
        <v>-2.80109999999996</v>
      </c>
      <c r="AD4650">
        <v>-1.1346868181659999</v>
      </c>
      <c r="AE4650">
        <v>-10.131699999999899</v>
      </c>
      <c r="AF4650">
        <v>-7.1527377477895104</v>
      </c>
      <c r="AG4650">
        <v>-1.1346868181659999</v>
      </c>
      <c r="AH4650">
        <v>7.5369183050850799</v>
      </c>
      <c r="AI4650">
        <v>96.232123624477694</v>
      </c>
      <c r="AJ4650">
        <v>133.50187724859501</v>
      </c>
      <c r="AK4650">
        <v>10.452478605646499</v>
      </c>
      <c r="AL4650">
        <v>82.637749216251606</v>
      </c>
      <c r="AM4650">
        <v>110.933295187471</v>
      </c>
      <c r="AN4650">
        <v>0.999999937598268</v>
      </c>
    </row>
    <row r="4651" spans="1:40" x14ac:dyDescent="0.25">
      <c r="A4651" t="str">
        <f>"20190303162913831"</f>
        <v>20190303162913831</v>
      </c>
      <c r="B4651" t="str">
        <f>"1551601753827287"</f>
        <v>1551601753827287</v>
      </c>
      <c r="C4651" t="s">
        <v>40</v>
      </c>
      <c r="D4651">
        <v>4.538144</v>
      </c>
      <c r="E4651">
        <v>0.35157310000000003</v>
      </c>
      <c r="F4651" t="s">
        <v>56</v>
      </c>
      <c r="G4651">
        <v>-413.2285</v>
      </c>
      <c r="H4651" s="1">
        <v>-5.3701160000000001E-6</v>
      </c>
      <c r="I4651">
        <v>128.15170000000001</v>
      </c>
      <c r="J4651">
        <v>-410.32150000000001</v>
      </c>
      <c r="K4651">
        <v>1.13473</v>
      </c>
      <c r="L4651">
        <v>138.92490000000001</v>
      </c>
      <c r="M4651">
        <v>-0.84833919999999996</v>
      </c>
      <c r="N4651">
        <v>-1.4277659999999999E-2</v>
      </c>
      <c r="O4651">
        <v>-0.52926049999999902</v>
      </c>
      <c r="P4651">
        <v>-0.60456619999999905</v>
      </c>
      <c r="Q4651">
        <v>0.12872980000000001</v>
      </c>
      <c r="R4651">
        <v>-0.78608420000000001</v>
      </c>
      <c r="S4651">
        <v>-0.92706299999999997</v>
      </c>
      <c r="T4651">
        <v>-0.32860149999999999</v>
      </c>
      <c r="U4651">
        <v>-3.175583</v>
      </c>
      <c r="V4651">
        <v>-0.35158739999999999</v>
      </c>
      <c r="W4651">
        <v>0.1300152</v>
      </c>
      <c r="X4651">
        <v>0.92708270000000004</v>
      </c>
      <c r="Y4651">
        <v>-0.66453869999999904</v>
      </c>
      <c r="Z4651">
        <v>8.3146909999999904E-3</v>
      </c>
      <c r="AA4651">
        <v>0.74720759999999997</v>
      </c>
      <c r="AB4651">
        <v>34</v>
      </c>
      <c r="AC4651">
        <v>-2.90699999999998</v>
      </c>
      <c r="AD4651">
        <v>-1.1347353701159999</v>
      </c>
      <c r="AE4651">
        <v>-10.773199999999999</v>
      </c>
      <c r="AF4651">
        <v>-7.5237372789983699</v>
      </c>
      <c r="AG4651">
        <v>-1.1347353701159999</v>
      </c>
      <c r="AH4651">
        <v>8.0851728078803298</v>
      </c>
      <c r="AI4651">
        <v>95.866210595657193</v>
      </c>
      <c r="AJ4651">
        <v>132.94002115995099</v>
      </c>
      <c r="AK4651">
        <v>11.102444160493199</v>
      </c>
      <c r="AL4651">
        <v>82.529529275731093</v>
      </c>
      <c r="AM4651">
        <v>110.76876117552</v>
      </c>
      <c r="AN4651">
        <v>0.99999999235454495</v>
      </c>
    </row>
    <row r="4652" spans="1:40" x14ac:dyDescent="0.25">
      <c r="A4652" t="str">
        <f>"20190303162913853"</f>
        <v>20190303162913853</v>
      </c>
      <c r="B4652" t="str">
        <f>"1551601753846807"</f>
        <v>1551601753846807</v>
      </c>
      <c r="C4652" t="s">
        <v>40</v>
      </c>
      <c r="D4652">
        <v>4.7730959999999998</v>
      </c>
      <c r="E4652">
        <v>0.35157310000000003</v>
      </c>
      <c r="F4652" t="s">
        <v>56</v>
      </c>
      <c r="G4652">
        <v>-414.19099999999997</v>
      </c>
      <c r="H4652" s="1">
        <v>-4.576188E-6</v>
      </c>
      <c r="I4652">
        <v>126.3306</v>
      </c>
      <c r="J4652">
        <v>-410.59649999999999</v>
      </c>
      <c r="K4652">
        <v>1.1347830000000001</v>
      </c>
      <c r="L4652">
        <v>138.7388</v>
      </c>
      <c r="M4652">
        <v>-0.8402174</v>
      </c>
      <c r="N4652">
        <v>-1.429386E-2</v>
      </c>
      <c r="O4652">
        <v>-0.54206149999999997</v>
      </c>
      <c r="P4652">
        <v>-0.5936013</v>
      </c>
      <c r="Q4652">
        <v>0.13052549999999999</v>
      </c>
      <c r="R4652">
        <v>-0.79410389999999997</v>
      </c>
      <c r="S4652">
        <v>-0.95989990000000003</v>
      </c>
      <c r="T4652">
        <v>-0.28148970000000001</v>
      </c>
      <c r="U4652">
        <v>-3.1242070000000002</v>
      </c>
      <c r="V4652">
        <v>-0.35022360000000002</v>
      </c>
      <c r="W4652">
        <v>0.13183900000000001</v>
      </c>
      <c r="X4652">
        <v>0.92734130000000004</v>
      </c>
      <c r="Y4652">
        <v>-0.64285349999999997</v>
      </c>
      <c r="Z4652">
        <v>8.1894710000000003E-3</v>
      </c>
      <c r="AA4652">
        <v>0.7659454</v>
      </c>
      <c r="AB4652">
        <v>34</v>
      </c>
      <c r="AC4652">
        <v>-3.59449999999998</v>
      </c>
      <c r="AD4652">
        <v>-1.134787576188</v>
      </c>
      <c r="AE4652">
        <v>-12.4081999999999</v>
      </c>
      <c r="AF4652">
        <v>-8.4130917049385001</v>
      </c>
      <c r="AG4652">
        <v>-1.134787576188</v>
      </c>
      <c r="AH4652">
        <v>9.6725263617158195</v>
      </c>
      <c r="AI4652">
        <v>95.058687259064897</v>
      </c>
      <c r="AJ4652">
        <v>131.01650413177299</v>
      </c>
      <c r="AK4652">
        <v>12.8695618067152</v>
      </c>
      <c r="AL4652">
        <v>82.424125881083697</v>
      </c>
      <c r="AM4652">
        <v>110.689755179705</v>
      </c>
      <c r="AN4652">
        <v>0.99999998930182499</v>
      </c>
    </row>
    <row r="4653" spans="1:40" x14ac:dyDescent="0.25">
      <c r="A4653" t="str">
        <f>"20190303162913875"</f>
        <v>20190303162913875</v>
      </c>
      <c r="B4653" t="str">
        <f>"1551601753866327"</f>
        <v>1551601753866327</v>
      </c>
      <c r="C4653" t="s">
        <v>40</v>
      </c>
      <c r="D4653">
        <v>4.8984730000000001</v>
      </c>
      <c r="E4653">
        <v>0.35207929999999998</v>
      </c>
      <c r="F4653" t="s">
        <v>56</v>
      </c>
      <c r="G4653">
        <v>-414.39940000000001</v>
      </c>
      <c r="H4653" s="1">
        <v>-4.3290179999999996E-6</v>
      </c>
      <c r="I4653">
        <v>125.7022</v>
      </c>
      <c r="J4653">
        <v>-410.85669999999999</v>
      </c>
      <c r="K4653">
        <v>1.134836</v>
      </c>
      <c r="L4653">
        <v>138.55709999999999</v>
      </c>
      <c r="M4653">
        <v>-0.83223130000000001</v>
      </c>
      <c r="N4653">
        <v>-1.4310079999999999E-2</v>
      </c>
      <c r="O4653">
        <v>-0.55424390000000001</v>
      </c>
      <c r="P4653">
        <v>-0.58312419999999998</v>
      </c>
      <c r="Q4653">
        <v>0.13115839999999901</v>
      </c>
      <c r="R4653">
        <v>-0.80172559999999904</v>
      </c>
      <c r="S4653">
        <v>-0.9154968</v>
      </c>
      <c r="T4653">
        <v>-0.27318389999999998</v>
      </c>
      <c r="U4653">
        <v>-3.138382</v>
      </c>
      <c r="V4653">
        <v>-0.34883900000000001</v>
      </c>
      <c r="W4653">
        <v>0.1325016</v>
      </c>
      <c r="X4653">
        <v>0.92776860000000005</v>
      </c>
      <c r="Y4653">
        <v>-0.64268979999999998</v>
      </c>
      <c r="Z4653">
        <v>8.7092330000000003E-3</v>
      </c>
      <c r="AA4653">
        <v>0.76607700000000001</v>
      </c>
      <c r="AB4653">
        <v>34</v>
      </c>
      <c r="AC4653">
        <v>-3.5427000000000199</v>
      </c>
      <c r="AD4653">
        <v>-1.134840329018</v>
      </c>
      <c r="AE4653">
        <v>-12.854899999999899</v>
      </c>
      <c r="AF4653">
        <v>-8.6728044819794494</v>
      </c>
      <c r="AG4653">
        <v>-1.134840329018</v>
      </c>
      <c r="AH4653">
        <v>10.0016814616028</v>
      </c>
      <c r="AI4653">
        <v>94.8996659847882</v>
      </c>
      <c r="AJ4653">
        <v>130.92969170038199</v>
      </c>
      <c r="AK4653">
        <v>13.2867991711464</v>
      </c>
      <c r="AL4653">
        <v>82.385825377487706</v>
      </c>
      <c r="AM4653">
        <v>110.606152745853</v>
      </c>
      <c r="AN4653">
        <v>0.99999994853475804</v>
      </c>
    </row>
    <row r="4654" spans="1:40" x14ac:dyDescent="0.25">
      <c r="A4654" t="str">
        <f>"20190303162913896"</f>
        <v>20190303162913896</v>
      </c>
      <c r="B4654" t="str">
        <f>"1551601753886823"</f>
        <v>1551601753886823</v>
      </c>
      <c r="C4654" t="s">
        <v>40</v>
      </c>
      <c r="D4654">
        <v>4.7836129999999999</v>
      </c>
      <c r="E4654">
        <v>0.38831320000000003</v>
      </c>
      <c r="F4654" t="s">
        <v>56</v>
      </c>
      <c r="G4654">
        <v>-414.54770000000002</v>
      </c>
      <c r="H4654" s="1">
        <v>-4.1652649999999998E-6</v>
      </c>
      <c r="I4654">
        <v>125.2899</v>
      </c>
      <c r="J4654">
        <v>-411.12329999999997</v>
      </c>
      <c r="K4654">
        <v>1.1348879999999999</v>
      </c>
      <c r="L4654">
        <v>138.36490000000001</v>
      </c>
      <c r="M4654">
        <v>-0.8237274</v>
      </c>
      <c r="N4654">
        <v>-1.4327869999999999E-2</v>
      </c>
      <c r="O4654">
        <v>-0.56680520000000001</v>
      </c>
      <c r="P4654">
        <v>-0.57180739999999997</v>
      </c>
      <c r="Q4654">
        <v>0.1311319</v>
      </c>
      <c r="R4654">
        <v>-0.80984019999999901</v>
      </c>
      <c r="S4654">
        <v>-0.87603759999999997</v>
      </c>
      <c r="T4654">
        <v>-0.26934720000000001</v>
      </c>
      <c r="U4654">
        <v>-3.1488800000000001</v>
      </c>
      <c r="V4654">
        <v>-0.34781260000000003</v>
      </c>
      <c r="W4654">
        <v>0.13248889999999999</v>
      </c>
      <c r="X4654">
        <v>0.92815570000000003</v>
      </c>
      <c r="Y4654">
        <v>-0.64068700000000001</v>
      </c>
      <c r="Z4654">
        <v>9.6747480000000004E-3</v>
      </c>
      <c r="AA4654">
        <v>0.76774119999999901</v>
      </c>
      <c r="AB4654">
        <v>34</v>
      </c>
      <c r="AC4654">
        <v>-3.4244000000000399</v>
      </c>
      <c r="AD4654">
        <v>-1.1348921652649999</v>
      </c>
      <c r="AE4654">
        <v>-13.074999999999999</v>
      </c>
      <c r="AF4654">
        <v>-8.7683530218576902</v>
      </c>
      <c r="AG4654">
        <v>-1.1348921652649999</v>
      </c>
      <c r="AH4654">
        <v>10.1611590688911</v>
      </c>
      <c r="AI4654">
        <v>94.833352708239502</v>
      </c>
      <c r="AJ4654">
        <v>130.79184274923301</v>
      </c>
      <c r="AK4654">
        <v>13.4692668162008</v>
      </c>
      <c r="AL4654">
        <v>82.386559581763194</v>
      </c>
      <c r="AM4654">
        <v>110.542742007748</v>
      </c>
      <c r="AN4654">
        <v>0.99999995839222899</v>
      </c>
    </row>
    <row r="4655" spans="1:40" x14ac:dyDescent="0.25">
      <c r="A4655" t="str">
        <f>"20190303162913920"</f>
        <v>20190303162913920</v>
      </c>
      <c r="B4655" t="str">
        <f>"1551601753906342"</f>
        <v>1551601753906342</v>
      </c>
      <c r="C4655" t="s">
        <v>40</v>
      </c>
      <c r="D4655">
        <v>4.8090400000000004</v>
      </c>
      <c r="E4655">
        <v>0.39986549999999998</v>
      </c>
      <c r="F4655" t="s">
        <v>44</v>
      </c>
      <c r="G4655">
        <v>-411.4545</v>
      </c>
      <c r="H4655">
        <v>1.061267</v>
      </c>
      <c r="I4655">
        <v>137.43379999999999</v>
      </c>
      <c r="J4655">
        <v>-411.3963</v>
      </c>
      <c r="K4655">
        <v>1.134946</v>
      </c>
      <c r="L4655">
        <v>138.1617</v>
      </c>
      <c r="M4655">
        <v>-0.81467719999999999</v>
      </c>
      <c r="N4655">
        <v>-1.434707E-2</v>
      </c>
      <c r="O4655">
        <v>-0.57973719999999995</v>
      </c>
      <c r="P4655">
        <v>-0.55934549999999905</v>
      </c>
      <c r="Q4655">
        <v>0.1319921</v>
      </c>
      <c r="R4655">
        <v>-0.81835899999999995</v>
      </c>
      <c r="S4655">
        <v>-1.0632629999999901</v>
      </c>
      <c r="T4655">
        <v>-0.2364407</v>
      </c>
      <c r="U4655">
        <v>-2.991943</v>
      </c>
      <c r="V4655">
        <v>-0.34730119999999998</v>
      </c>
      <c r="W4655">
        <v>0.1333424</v>
      </c>
      <c r="X4655">
        <v>0.92822499999999997</v>
      </c>
      <c r="Y4655">
        <v>-0.57283709999999999</v>
      </c>
      <c r="Z4655">
        <v>1.2042890000000001E-2</v>
      </c>
      <c r="AA4655">
        <v>0.8195808</v>
      </c>
      <c r="AB4655">
        <v>34</v>
      </c>
      <c r="AC4655">
        <v>-5.8199999999999301E-2</v>
      </c>
      <c r="AD4655">
        <v>-7.3678999999999994E-2</v>
      </c>
      <c r="AE4655">
        <v>-0.72790000000000499</v>
      </c>
      <c r="AF4655">
        <v>-0.55368352674592802</v>
      </c>
      <c r="AG4655">
        <v>-7.3678999999999994E-2</v>
      </c>
      <c r="AH4655">
        <v>0.46472205675810002</v>
      </c>
      <c r="AI4655">
        <v>95.819861600096502</v>
      </c>
      <c r="AJ4655">
        <v>139.992324367001</v>
      </c>
      <c r="AK4655">
        <v>0.72660899586248495</v>
      </c>
      <c r="AL4655">
        <v>82.337220060603201</v>
      </c>
      <c r="AM4655">
        <v>110.513651091445</v>
      </c>
      <c r="AN4655">
        <v>0.99999998489209896</v>
      </c>
    </row>
    <row r="4656" spans="1:40" x14ac:dyDescent="0.25">
      <c r="A4656" t="str">
        <f>"20190303162913941"</f>
        <v>20190303162913941</v>
      </c>
      <c r="B4656" t="str">
        <f>"1551601753936599"</f>
        <v>1551601753936599</v>
      </c>
      <c r="C4656" t="s">
        <v>40</v>
      </c>
      <c r="D4656">
        <v>4.8049530000000003</v>
      </c>
      <c r="E4656">
        <v>0.40780070000000002</v>
      </c>
      <c r="F4656" t="s">
        <v>44</v>
      </c>
      <c r="G4656">
        <v>-411.72030000000001</v>
      </c>
      <c r="H4656">
        <v>1.071572</v>
      </c>
      <c r="I4656">
        <v>137.28450000000001</v>
      </c>
      <c r="J4656">
        <v>-411.66379999999998</v>
      </c>
      <c r="K4656">
        <v>1.1349910000000001</v>
      </c>
      <c r="L4656">
        <v>137.95590000000001</v>
      </c>
      <c r="M4656">
        <v>-0.80545459999999902</v>
      </c>
      <c r="N4656">
        <v>-1.436554E-2</v>
      </c>
      <c r="O4656">
        <v>-0.59248350000000005</v>
      </c>
      <c r="P4656">
        <v>-0.54601650000000002</v>
      </c>
      <c r="Q4656">
        <v>0.1322691</v>
      </c>
      <c r="R4656">
        <v>-0.82726769999999905</v>
      </c>
      <c r="S4656">
        <v>-1.0913389999999901</v>
      </c>
      <c r="T4656">
        <v>-0.21343000000000001</v>
      </c>
      <c r="U4656">
        <v>-2.9543910000000002</v>
      </c>
      <c r="V4656">
        <v>-0.34772229999999998</v>
      </c>
      <c r="W4656">
        <v>0.13357920000000001</v>
      </c>
      <c r="X4656">
        <v>0.92803329999999995</v>
      </c>
      <c r="Y4656">
        <v>-0.54971119999999996</v>
      </c>
      <c r="Z4656">
        <v>1.1798370000000001E-2</v>
      </c>
      <c r="AA4656">
        <v>0.83527149999999994</v>
      </c>
      <c r="AB4656">
        <v>34</v>
      </c>
      <c r="AC4656">
        <v>-5.6500000000028097E-2</v>
      </c>
      <c r="AD4656">
        <v>-6.34190000000001E-2</v>
      </c>
      <c r="AE4656">
        <v>-0.67140000000000499</v>
      </c>
      <c r="AF4656">
        <v>-0.50290371134991696</v>
      </c>
      <c r="AG4656">
        <v>-6.34190000000001E-2</v>
      </c>
      <c r="AH4656">
        <v>0.43945395381749502</v>
      </c>
      <c r="AI4656">
        <v>95.424487938800894</v>
      </c>
      <c r="AJ4656">
        <v>138.85196057981099</v>
      </c>
      <c r="AK4656">
        <v>0.67086055926425603</v>
      </c>
      <c r="AL4656">
        <v>82.323530091075199</v>
      </c>
      <c r="AM4656">
        <v>110.540336545644</v>
      </c>
      <c r="AN4656">
        <v>1.0000000032494001</v>
      </c>
    </row>
    <row r="4657" spans="1:40" x14ac:dyDescent="0.25">
      <c r="A4657" t="str">
        <f>"20190303162913963"</f>
        <v>20190303162913963</v>
      </c>
      <c r="B4657" t="str">
        <f>"1551601753956118"</f>
        <v>1551601753956118</v>
      </c>
      <c r="C4657" t="s">
        <v>40</v>
      </c>
      <c r="D4657">
        <v>4.8225230000000003</v>
      </c>
      <c r="E4657">
        <v>0.41018660000000001</v>
      </c>
      <c r="F4657" t="s">
        <v>44</v>
      </c>
      <c r="G4657">
        <v>-411.97480000000002</v>
      </c>
      <c r="H4657">
        <v>1.078182</v>
      </c>
      <c r="I4657">
        <v>137.12260000000001</v>
      </c>
      <c r="J4657">
        <v>-411.92230000000001</v>
      </c>
      <c r="K4657">
        <v>1.135016</v>
      </c>
      <c r="L4657">
        <v>137.75040000000001</v>
      </c>
      <c r="M4657">
        <v>-0.79620269999999904</v>
      </c>
      <c r="N4657">
        <v>-1.4381659999999999E-2</v>
      </c>
      <c r="O4657">
        <v>-0.60485909999999998</v>
      </c>
      <c r="P4657">
        <v>-0.53300309999999995</v>
      </c>
      <c r="Q4657">
        <v>0.1304872</v>
      </c>
      <c r="R4657">
        <v>-0.83599089999999998</v>
      </c>
      <c r="S4657">
        <v>-1.0954900000000001</v>
      </c>
      <c r="T4657">
        <v>-0.20011989999999999</v>
      </c>
      <c r="U4657">
        <v>-2.9353639999999999</v>
      </c>
      <c r="V4657">
        <v>-0.34807959999999999</v>
      </c>
      <c r="W4657">
        <v>0.13176660000000001</v>
      </c>
      <c r="X4657">
        <v>0.9281585</v>
      </c>
      <c r="Y4657">
        <v>-0.53399540000000001</v>
      </c>
      <c r="Z4657">
        <v>1.188228E-2</v>
      </c>
      <c r="AA4657">
        <v>0.84540389999999999</v>
      </c>
      <c r="AB4657">
        <v>34</v>
      </c>
      <c r="AC4657">
        <v>-5.2500000000008998E-2</v>
      </c>
      <c r="AD4657">
        <v>-5.6834000000000003E-2</v>
      </c>
      <c r="AE4657">
        <v>-0.62780000000000702</v>
      </c>
      <c r="AF4657">
        <v>-0.46437004399945903</v>
      </c>
      <c r="AG4657">
        <v>-5.6834000000000003E-2</v>
      </c>
      <c r="AH4657">
        <v>0.41817145176535903</v>
      </c>
      <c r="AI4657">
        <v>95.196648442805298</v>
      </c>
      <c r="AJ4657">
        <v>137.99653959782501</v>
      </c>
      <c r="AK4657">
        <v>0.62748466466648201</v>
      </c>
      <c r="AL4657">
        <v>82.428310859661394</v>
      </c>
      <c r="AM4657">
        <v>110.557136405818</v>
      </c>
      <c r="AN4657">
        <v>1.0000000229669801</v>
      </c>
    </row>
    <row r="4658" spans="1:40" x14ac:dyDescent="0.25">
      <c r="A4658" t="str">
        <f>"20190303162913985"</f>
        <v>20190303162913985</v>
      </c>
      <c r="B4658" t="str">
        <f>"1551601753976616"</f>
        <v>1551601753976616</v>
      </c>
      <c r="C4658" t="s">
        <v>40</v>
      </c>
      <c r="D4658">
        <v>4.9410499999999997</v>
      </c>
      <c r="E4658">
        <v>0.41209109999999999</v>
      </c>
      <c r="F4658" t="s">
        <v>56</v>
      </c>
      <c r="G4658">
        <v>-418.20780000000002</v>
      </c>
      <c r="H4658" s="1">
        <v>-7.5319100000000001E-7</v>
      </c>
      <c r="I4658">
        <v>120.36920000000001</v>
      </c>
      <c r="J4658">
        <v>-412.18009999999998</v>
      </c>
      <c r="K4658">
        <v>1.13503</v>
      </c>
      <c r="L4658">
        <v>137.53829999999999</v>
      </c>
      <c r="M4658">
        <v>-0.78661639999999999</v>
      </c>
      <c r="N4658">
        <v>-1.439563E-2</v>
      </c>
      <c r="O4658">
        <v>-0.61727430000000005</v>
      </c>
      <c r="P4658">
        <v>-0.51908699999999997</v>
      </c>
      <c r="Q4658">
        <v>0.12875039999999999</v>
      </c>
      <c r="R4658">
        <v>-0.84496919999999898</v>
      </c>
      <c r="S4658">
        <v>-1.063385</v>
      </c>
      <c r="T4658">
        <v>-0.1920229</v>
      </c>
      <c r="U4658">
        <v>-2.9405670000000002</v>
      </c>
      <c r="V4658">
        <v>-0.34904990000000002</v>
      </c>
      <c r="W4658">
        <v>0.12997880000000001</v>
      </c>
      <c r="X4658">
        <v>0.92804620000000004</v>
      </c>
      <c r="Y4658">
        <v>-0.52938960000000002</v>
      </c>
      <c r="Z4658">
        <v>1.191935E-2</v>
      </c>
      <c r="AA4658">
        <v>0.84829509999999897</v>
      </c>
      <c r="AB4658">
        <v>34</v>
      </c>
      <c r="AC4658">
        <v>-6.0277000000000296</v>
      </c>
      <c r="AD4658">
        <v>-1.135030753191</v>
      </c>
      <c r="AE4658">
        <v>-17.169099999999901</v>
      </c>
      <c r="AF4658">
        <v>-9.7478374880103207</v>
      </c>
      <c r="AG4658">
        <v>-1.135030753191</v>
      </c>
      <c r="AH4658">
        <v>15.281662106332</v>
      </c>
      <c r="AI4658">
        <v>93.583134831675807</v>
      </c>
      <c r="AJ4658">
        <v>122.532911173841</v>
      </c>
      <c r="AK4658">
        <v>18.161437917616901</v>
      </c>
      <c r="AL4658">
        <v>82.531633012976101</v>
      </c>
      <c r="AM4658">
        <v>110.611914462098</v>
      </c>
      <c r="AN4658">
        <v>1.00000003523694</v>
      </c>
    </row>
    <row r="4659" spans="1:40" x14ac:dyDescent="0.25">
      <c r="A4659" t="str">
        <f>"20190303162914008"</f>
        <v>20190303162914008</v>
      </c>
      <c r="B4659" t="str">
        <f>"1551601753996135"</f>
        <v>1551601753996135</v>
      </c>
      <c r="C4659" t="s">
        <v>40</v>
      </c>
      <c r="D4659">
        <v>4.85968</v>
      </c>
      <c r="E4659">
        <v>0.41381679999999998</v>
      </c>
      <c r="F4659" t="s">
        <v>44</v>
      </c>
      <c r="G4659">
        <v>-412.55079999999998</v>
      </c>
      <c r="H4659">
        <v>1.066446</v>
      </c>
      <c r="I4659">
        <v>136.47200000000001</v>
      </c>
      <c r="J4659">
        <v>-412.43630000000002</v>
      </c>
      <c r="K4659">
        <v>1.135049</v>
      </c>
      <c r="L4659">
        <v>137.32079999999999</v>
      </c>
      <c r="M4659">
        <v>-0.77674500000000002</v>
      </c>
      <c r="N4659">
        <v>-1.440759E-2</v>
      </c>
      <c r="O4659">
        <v>-0.62965059999999995</v>
      </c>
      <c r="P4659">
        <v>-0.50419749999999997</v>
      </c>
      <c r="Q4659">
        <v>0.12671489999999999</v>
      </c>
      <c r="R4659">
        <v>-0.85424149999999999</v>
      </c>
      <c r="S4659">
        <v>-1.0255430000000001</v>
      </c>
      <c r="T4659">
        <v>-0.1897248</v>
      </c>
      <c r="U4659">
        <v>-2.9493260000000001</v>
      </c>
      <c r="V4659">
        <v>-0.35079860000000002</v>
      </c>
      <c r="W4659">
        <v>0.1278637</v>
      </c>
      <c r="X4659">
        <v>0.92768059999999997</v>
      </c>
      <c r="Y4659">
        <v>-0.52645339999999996</v>
      </c>
      <c r="Z4659">
        <v>1.2549589999999999E-2</v>
      </c>
      <c r="AA4659">
        <v>0.85011139999999996</v>
      </c>
      <c r="AB4659">
        <v>34</v>
      </c>
      <c r="AC4659">
        <v>-0.11449999999996401</v>
      </c>
      <c r="AD4659">
        <v>-6.86029999999999E-2</v>
      </c>
      <c r="AE4659">
        <v>-0.84879999999998201</v>
      </c>
      <c r="AF4659">
        <v>-0.58352333631972497</v>
      </c>
      <c r="AG4659">
        <v>-6.86029999999999E-2</v>
      </c>
      <c r="AH4659">
        <v>0.619475001887279</v>
      </c>
      <c r="AI4659">
        <v>94.608756630891804</v>
      </c>
      <c r="AJ4659">
        <v>133.28822224481499</v>
      </c>
      <c r="AK4659">
        <v>0.85378869376558797</v>
      </c>
      <c r="AL4659">
        <v>82.6538391986291</v>
      </c>
      <c r="AM4659">
        <v>110.71390530247101</v>
      </c>
      <c r="AN4659">
        <v>1.000000039578</v>
      </c>
    </row>
    <row r="4660" spans="1:40" x14ac:dyDescent="0.25">
      <c r="A4660" t="str">
        <f>"20190303162914031"</f>
        <v>20190303162914031</v>
      </c>
      <c r="B4660" t="str">
        <f>"1551601754026390"</f>
        <v>1551601754026390</v>
      </c>
      <c r="C4660" t="s">
        <v>40</v>
      </c>
      <c r="D4660">
        <v>4.9282570000000003</v>
      </c>
      <c r="E4660">
        <v>0.41511130000000002</v>
      </c>
      <c r="F4660" t="s">
        <v>44</v>
      </c>
      <c r="G4660">
        <v>-412.78109999999998</v>
      </c>
      <c r="H4660">
        <v>1.0680799999999999</v>
      </c>
      <c r="I4660">
        <v>136.28659999999999</v>
      </c>
      <c r="J4660">
        <v>-412.69240000000002</v>
      </c>
      <c r="K4660">
        <v>1.1350690000000001</v>
      </c>
      <c r="L4660">
        <v>137.09630000000001</v>
      </c>
      <c r="M4660">
        <v>-0.76651809999999998</v>
      </c>
      <c r="N4660">
        <v>-1.4417559999999999E-2</v>
      </c>
      <c r="O4660">
        <v>-0.64206090000000005</v>
      </c>
      <c r="P4660">
        <v>-0.49008879999999999</v>
      </c>
      <c r="Q4660">
        <v>0.1251825</v>
      </c>
      <c r="R4660">
        <v>-0.86263690000000004</v>
      </c>
      <c r="S4660">
        <v>-0.98553469999999999</v>
      </c>
      <c r="T4660">
        <v>-0.19149720000000001</v>
      </c>
      <c r="U4660">
        <v>-2.9586489999999999</v>
      </c>
      <c r="V4660">
        <v>-0.35125139999999999</v>
      </c>
      <c r="W4660">
        <v>0.12630619999999901</v>
      </c>
      <c r="X4660">
        <v>0.92772259999999995</v>
      </c>
      <c r="Y4660">
        <v>-0.52392539999999999</v>
      </c>
      <c r="Z4660">
        <v>1.3700850000000001E-2</v>
      </c>
      <c r="AA4660">
        <v>0.85165400000000002</v>
      </c>
      <c r="AB4660">
        <v>34</v>
      </c>
      <c r="AC4660">
        <v>-8.86999999999602E-2</v>
      </c>
      <c r="AD4660">
        <v>-6.6989000000000104E-2</v>
      </c>
      <c r="AE4660">
        <v>-0.80970000000001996</v>
      </c>
      <c r="AF4660">
        <v>-0.55997006786214698</v>
      </c>
      <c r="AG4660">
        <v>-6.6989000000000104E-2</v>
      </c>
      <c r="AH4660">
        <v>0.58397816063825803</v>
      </c>
      <c r="AI4660">
        <v>94.733143228322803</v>
      </c>
      <c r="AJ4660">
        <v>133.79770740400599</v>
      </c>
      <c r="AK4660">
        <v>0.81184019063174095</v>
      </c>
      <c r="AL4660">
        <v>82.743806655105502</v>
      </c>
      <c r="AM4660">
        <v>110.737509679968</v>
      </c>
      <c r="AN4660">
        <v>1.0000000123555799</v>
      </c>
    </row>
    <row r="4661" spans="1:40" x14ac:dyDescent="0.25">
      <c r="A4661" t="str">
        <f>"20190303162914054"</f>
        <v>20190303162914054</v>
      </c>
      <c r="B4661" t="str">
        <f>"1551601754046888"</f>
        <v>1551601754046888</v>
      </c>
      <c r="C4661" t="s">
        <v>40</v>
      </c>
      <c r="D4661">
        <v>4.9706939999999999</v>
      </c>
      <c r="E4661">
        <v>0.4161955</v>
      </c>
      <c r="F4661" t="s">
        <v>44</v>
      </c>
      <c r="G4661">
        <v>-413.0102</v>
      </c>
      <c r="H4661">
        <v>1.067685</v>
      </c>
      <c r="I4661">
        <v>136.09889999999999</v>
      </c>
      <c r="J4661">
        <v>-412.95010000000002</v>
      </c>
      <c r="K4661">
        <v>1.1350819999999999</v>
      </c>
      <c r="L4661">
        <v>136.8629</v>
      </c>
      <c r="M4661">
        <v>-0.75584910000000005</v>
      </c>
      <c r="N4661">
        <v>-1.4426059999999999E-2</v>
      </c>
      <c r="O4661">
        <v>-0.65458689999999997</v>
      </c>
      <c r="P4661">
        <v>-0.47775299999999998</v>
      </c>
      <c r="Q4661">
        <v>0.12354519999999999</v>
      </c>
      <c r="R4661">
        <v>-0.86976369999999903</v>
      </c>
      <c r="S4661">
        <v>-0.94622799999999996</v>
      </c>
      <c r="T4661">
        <v>-0.20060749999999999</v>
      </c>
      <c r="U4661">
        <v>-2.9692080000000001</v>
      </c>
      <c r="V4661">
        <v>-0.34932069999999998</v>
      </c>
      <c r="W4661">
        <v>0.124742699999999</v>
      </c>
      <c r="X4661">
        <v>0.92866269999999995</v>
      </c>
      <c r="Y4661">
        <v>-0.52100769999999996</v>
      </c>
      <c r="Z4661">
        <v>1.5922459999999999E-2</v>
      </c>
      <c r="AA4661">
        <v>0.85340339999999903</v>
      </c>
      <c r="AB4661">
        <v>34</v>
      </c>
      <c r="AC4661">
        <v>-6.0099999999977102E-2</v>
      </c>
      <c r="AD4661">
        <v>-6.7396999999999901E-2</v>
      </c>
      <c r="AE4661">
        <v>-0.76400000000001</v>
      </c>
      <c r="AF4661">
        <v>-0.53405357298704403</v>
      </c>
      <c r="AG4661">
        <v>-6.7396999999999901E-2</v>
      </c>
      <c r="AH4661">
        <v>0.54140040444347104</v>
      </c>
      <c r="AI4661">
        <v>95.064575594491799</v>
      </c>
      <c r="AJ4661">
        <v>134.60859702402399</v>
      </c>
      <c r="AK4661">
        <v>0.76345921460205202</v>
      </c>
      <c r="AL4661">
        <v>82.834103092084106</v>
      </c>
      <c r="AM4661">
        <v>110.614018452273</v>
      </c>
      <c r="AN4661">
        <v>1.0000000515115299</v>
      </c>
    </row>
    <row r="4662" spans="1:40" x14ac:dyDescent="0.25">
      <c r="A4662" t="str">
        <f>"20190303162914075"</f>
        <v>20190303162914075</v>
      </c>
      <c r="B4662" t="str">
        <f>"1551601754066406"</f>
        <v>1551601754066406</v>
      </c>
      <c r="C4662" t="s">
        <v>40</v>
      </c>
      <c r="D4662">
        <v>5.0164169999999997</v>
      </c>
      <c r="E4662">
        <v>0.43049419999999999</v>
      </c>
      <c r="F4662" t="s">
        <v>44</v>
      </c>
      <c r="G4662">
        <v>-413.24110000000002</v>
      </c>
      <c r="H4662">
        <v>1.0689869999999999</v>
      </c>
      <c r="I4662">
        <v>135.9111</v>
      </c>
      <c r="J4662">
        <v>-413.17989999999998</v>
      </c>
      <c r="K4662">
        <v>1.135094</v>
      </c>
      <c r="L4662">
        <v>136.64830000000001</v>
      </c>
      <c r="M4662">
        <v>-0.74601019999999996</v>
      </c>
      <c r="N4662">
        <v>-1.443236E-2</v>
      </c>
      <c r="O4662">
        <v>-0.66577819999999899</v>
      </c>
      <c r="P4662">
        <v>-0.46884009999999998</v>
      </c>
      <c r="Q4662">
        <v>0.120604</v>
      </c>
      <c r="R4662">
        <v>-0.87501099999999998</v>
      </c>
      <c r="S4662">
        <v>-0.91003420000000002</v>
      </c>
      <c r="T4662">
        <v>-0.20678579999999999</v>
      </c>
      <c r="U4662">
        <v>-2.9787140000000001</v>
      </c>
      <c r="V4662">
        <v>-0.34516819999999998</v>
      </c>
      <c r="W4662">
        <v>0.1219684</v>
      </c>
      <c r="X4662">
        <v>0.93058189999999996</v>
      </c>
      <c r="Y4662">
        <v>-0.51852889999999996</v>
      </c>
      <c r="Z4662">
        <v>1.7704270000000001E-2</v>
      </c>
      <c r="AA4662">
        <v>0.85487679999999999</v>
      </c>
      <c r="AB4662">
        <v>34</v>
      </c>
      <c r="AC4662">
        <v>-6.1200000000042103E-2</v>
      </c>
      <c r="AD4662">
        <v>-6.6106999999999902E-2</v>
      </c>
      <c r="AE4662">
        <v>-0.73720000000000097</v>
      </c>
      <c r="AF4662">
        <v>-0.50523121405126303</v>
      </c>
      <c r="AG4662">
        <v>-6.6106999999999902E-2</v>
      </c>
      <c r="AH4662">
        <v>0.53227251309931201</v>
      </c>
      <c r="AI4662">
        <v>95.147275295576307</v>
      </c>
      <c r="AJ4662">
        <v>133.50699175920599</v>
      </c>
      <c r="AK4662">
        <v>0.73684648557333299</v>
      </c>
      <c r="AL4662">
        <v>82.994281992187993</v>
      </c>
      <c r="AM4662">
        <v>110.350649330054</v>
      </c>
      <c r="AN4662">
        <v>1.0000000247487</v>
      </c>
    </row>
    <row r="4663" spans="1:40" x14ac:dyDescent="0.25">
      <c r="A4663" t="str">
        <f>"20190303162914097"</f>
        <v>20190303162914097</v>
      </c>
      <c r="B4663" t="str">
        <f>"1551601754086903"</f>
        <v>1551601754086903</v>
      </c>
      <c r="C4663" t="s">
        <v>40</v>
      </c>
      <c r="D4663">
        <v>4.9931979999999996</v>
      </c>
      <c r="E4663">
        <v>0.43110290000000001</v>
      </c>
      <c r="F4663" t="s">
        <v>44</v>
      </c>
      <c r="G4663">
        <v>-413.48570000000001</v>
      </c>
      <c r="H4663">
        <v>1.064581</v>
      </c>
      <c r="I4663">
        <v>135.73169999999999</v>
      </c>
      <c r="J4663">
        <v>-413.41789999999997</v>
      </c>
      <c r="K4663">
        <v>1.1351020000000001</v>
      </c>
      <c r="L4663">
        <v>136.41909999999999</v>
      </c>
      <c r="M4663">
        <v>-0.73548009999999997</v>
      </c>
      <c r="N4663">
        <v>-1.443784E-2</v>
      </c>
      <c r="O4663">
        <v>-0.67739249999999995</v>
      </c>
      <c r="P4663">
        <v>-0.45873700000000001</v>
      </c>
      <c r="Q4663">
        <v>0.1198449</v>
      </c>
      <c r="R4663">
        <v>-0.88045300000000004</v>
      </c>
      <c r="S4663">
        <v>-0.97933959999999998</v>
      </c>
      <c r="T4663">
        <v>-0.22579109999999999</v>
      </c>
      <c r="U4663">
        <v>-2.9349059999999998</v>
      </c>
      <c r="V4663">
        <v>-0.34133520000000001</v>
      </c>
      <c r="W4663">
        <v>0.1213606</v>
      </c>
      <c r="X4663">
        <v>0.93207399999999996</v>
      </c>
      <c r="Y4663">
        <v>-0.48289870000000001</v>
      </c>
      <c r="Z4663">
        <v>2.3049400000000001E-2</v>
      </c>
      <c r="AA4663">
        <v>0.87537279999999995</v>
      </c>
      <c r="AB4663">
        <v>34</v>
      </c>
      <c r="AC4663">
        <v>-6.7800000000033805E-2</v>
      </c>
      <c r="AD4663">
        <v>-7.0521E-2</v>
      </c>
      <c r="AE4663">
        <v>-0.68739999999999601</v>
      </c>
      <c r="AF4663">
        <v>-0.454947573635895</v>
      </c>
      <c r="AG4663">
        <v>-7.0521E-2</v>
      </c>
      <c r="AH4663">
        <v>0.51024039779853203</v>
      </c>
      <c r="AI4663">
        <v>95.8897817728555</v>
      </c>
      <c r="AJ4663">
        <v>131.72127428006499</v>
      </c>
      <c r="AK4663">
        <v>0.68723778253512202</v>
      </c>
      <c r="AL4663">
        <v>83.029367024241495</v>
      </c>
      <c r="AM4663">
        <v>110.113256429655</v>
      </c>
      <c r="AN4663">
        <v>1.00000002773369</v>
      </c>
    </row>
    <row r="4664" spans="1:40" x14ac:dyDescent="0.25">
      <c r="A4664" t="str">
        <f>"20190303162914120"</f>
        <v>20190303162914120</v>
      </c>
      <c r="B4664" t="str">
        <f>"1551601754106423"</f>
        <v>1551601754106423</v>
      </c>
      <c r="C4664" t="s">
        <v>40</v>
      </c>
      <c r="D4664">
        <v>4.9696009999999999</v>
      </c>
      <c r="E4664">
        <v>0.4317378</v>
      </c>
      <c r="F4664" t="s">
        <v>44</v>
      </c>
      <c r="G4664">
        <v>-413.7045</v>
      </c>
      <c r="H4664">
        <v>1.0603720000000001</v>
      </c>
      <c r="I4664">
        <v>135.5318</v>
      </c>
      <c r="J4664">
        <v>-413.65820000000002</v>
      </c>
      <c r="K4664">
        <v>1.1351100000000001</v>
      </c>
      <c r="L4664">
        <v>136.18039999999999</v>
      </c>
      <c r="M4664">
        <v>-0.72448610000000002</v>
      </c>
      <c r="N4664">
        <v>-1.4442480000000001E-2</v>
      </c>
      <c r="O4664">
        <v>-0.68913829999999998</v>
      </c>
      <c r="P4664">
        <v>-0.44741829999999999</v>
      </c>
      <c r="Q4664">
        <v>0.119871699999999</v>
      </c>
      <c r="R4664">
        <v>-0.88625509999999996</v>
      </c>
      <c r="S4664">
        <v>-0.95114140000000003</v>
      </c>
      <c r="T4664">
        <v>-0.24802160000000001</v>
      </c>
      <c r="U4664">
        <v>-2.9454959999999999</v>
      </c>
      <c r="V4664">
        <v>-0.3382771</v>
      </c>
      <c r="W4664">
        <v>0.1215078</v>
      </c>
      <c r="X4664">
        <v>0.93316909999999997</v>
      </c>
      <c r="Y4664">
        <v>-0.47731829999999997</v>
      </c>
      <c r="Z4664">
        <v>2.778541E-2</v>
      </c>
      <c r="AA4664">
        <v>0.87829109999999999</v>
      </c>
      <c r="AB4664">
        <v>34</v>
      </c>
      <c r="AC4664">
        <v>-4.62999999999738E-2</v>
      </c>
      <c r="AD4664">
        <v>-7.4738000000000193E-2</v>
      </c>
      <c r="AE4664">
        <v>-0.64859999999998696</v>
      </c>
      <c r="AF4664">
        <v>-0.43232889229279398</v>
      </c>
      <c r="AG4664">
        <v>-7.4738000000000193E-2</v>
      </c>
      <c r="AH4664">
        <v>0.47430304583084198</v>
      </c>
      <c r="AI4664">
        <v>96.642496110941806</v>
      </c>
      <c r="AJ4664">
        <v>132.349281768867</v>
      </c>
      <c r="AK4664">
        <v>0.64610944818933602</v>
      </c>
      <c r="AL4664">
        <v>83.020870399765698</v>
      </c>
      <c r="AM4664">
        <v>109.925759810172</v>
      </c>
      <c r="AN4664">
        <v>1.0000000555200199</v>
      </c>
    </row>
    <row r="4665" spans="1:40" x14ac:dyDescent="0.25">
      <c r="A4665" t="str">
        <f>"20190303162914143"</f>
        <v>20190303162914143</v>
      </c>
      <c r="B4665" t="str">
        <f>"1551601754136679"</f>
        <v>1551601754136679</v>
      </c>
      <c r="C4665" t="s">
        <v>40</v>
      </c>
      <c r="D4665">
        <v>4.9725109999999999</v>
      </c>
      <c r="E4665">
        <v>0.43240640000000002</v>
      </c>
      <c r="F4665" t="s">
        <v>44</v>
      </c>
      <c r="G4665">
        <v>-413.9228</v>
      </c>
      <c r="H4665">
        <v>1.0596049999999999</v>
      </c>
      <c r="I4665">
        <v>135.33019999999999</v>
      </c>
      <c r="J4665">
        <v>-413.89769999999999</v>
      </c>
      <c r="K4665">
        <v>1.13511299999999</v>
      </c>
      <c r="L4665">
        <v>135.93469999999999</v>
      </c>
      <c r="M4665">
        <v>-0.71315209999999996</v>
      </c>
      <c r="N4665">
        <v>-1.4445929999999999E-2</v>
      </c>
      <c r="O4665">
        <v>-0.7008607</v>
      </c>
      <c r="P4665">
        <v>-0.4351409</v>
      </c>
      <c r="Q4665">
        <v>0.1204601</v>
      </c>
      <c r="R4665">
        <v>-0.89226819999999896</v>
      </c>
      <c r="S4665">
        <v>-0.92028810000000005</v>
      </c>
      <c r="T4665">
        <v>-0.26253379999999998</v>
      </c>
      <c r="U4665">
        <v>-2.9559329999999999</v>
      </c>
      <c r="V4665">
        <v>-0.33590490000000001</v>
      </c>
      <c r="W4665">
        <v>0.1221889</v>
      </c>
      <c r="X4665">
        <v>0.93393669999999995</v>
      </c>
      <c r="Y4665">
        <v>-0.47223979999999999</v>
      </c>
      <c r="Z4665">
        <v>3.145034E-2</v>
      </c>
      <c r="AA4665">
        <v>0.88090889999999999</v>
      </c>
      <c r="AB4665">
        <v>34</v>
      </c>
      <c r="AC4665">
        <v>-2.5100000000009001E-2</v>
      </c>
      <c r="AD4665">
        <v>-7.5507999999999895E-2</v>
      </c>
      <c r="AE4665">
        <v>-0.60450000000000104</v>
      </c>
      <c r="AF4665">
        <v>-0.40720939041714199</v>
      </c>
      <c r="AG4665">
        <v>-7.5507999999999895E-2</v>
      </c>
      <c r="AH4665">
        <v>0.43484346658681</v>
      </c>
      <c r="AI4665">
        <v>97.223504502128606</v>
      </c>
      <c r="AJ4665">
        <v>133.120369897686</v>
      </c>
      <c r="AK4665">
        <v>0.60050794011497899</v>
      </c>
      <c r="AL4665">
        <v>82.9815528518929</v>
      </c>
      <c r="AM4665">
        <v>109.781912854941</v>
      </c>
      <c r="AN4665">
        <v>0.999999994367054</v>
      </c>
    </row>
    <row r="4666" spans="1:40" x14ac:dyDescent="0.25">
      <c r="A4666" t="str">
        <f>"20190303162914164"</f>
        <v>20190303162914164</v>
      </c>
      <c r="B4666" t="str">
        <f>"1551601754156199"</f>
        <v>1551601754156199</v>
      </c>
      <c r="C4666" t="s">
        <v>40</v>
      </c>
      <c r="D4666">
        <v>4.9231150000000001</v>
      </c>
      <c r="E4666">
        <v>0.43318600000000002</v>
      </c>
      <c r="F4666" t="s">
        <v>44</v>
      </c>
      <c r="G4666">
        <v>-414.1542</v>
      </c>
      <c r="H4666">
        <v>1.055167</v>
      </c>
      <c r="I4666">
        <v>135.0778</v>
      </c>
      <c r="J4666">
        <v>-414.11790000000002</v>
      </c>
      <c r="K4666">
        <v>1.1351100000000001</v>
      </c>
      <c r="L4666">
        <v>135.7012</v>
      </c>
      <c r="M4666">
        <v>-0.7023838</v>
      </c>
      <c r="N4666">
        <v>-1.444756E-2</v>
      </c>
      <c r="O4666">
        <v>-0.71165179999999995</v>
      </c>
      <c r="P4666">
        <v>-0.42430390000000001</v>
      </c>
      <c r="Q4666">
        <v>0.12089560000000001</v>
      </c>
      <c r="R4666">
        <v>-0.89741329999999997</v>
      </c>
      <c r="S4666">
        <v>-0.88693239999999995</v>
      </c>
      <c r="T4666">
        <v>-0.2766557</v>
      </c>
      <c r="U4666">
        <v>-2.9670719999999999</v>
      </c>
      <c r="V4666">
        <v>-0.33294459999999998</v>
      </c>
      <c r="W4666">
        <v>0.1227454</v>
      </c>
      <c r="X4666">
        <v>0.93492319999999995</v>
      </c>
      <c r="Y4666">
        <v>-0.46881780000000001</v>
      </c>
      <c r="Z4666">
        <v>3.5032590000000002E-2</v>
      </c>
      <c r="AA4666">
        <v>0.88259989999999999</v>
      </c>
      <c r="AB4666">
        <v>34</v>
      </c>
      <c r="AC4666">
        <v>-3.6299999999982901E-2</v>
      </c>
      <c r="AD4666">
        <v>-7.9943000000000097E-2</v>
      </c>
      <c r="AE4666">
        <v>-0.62340000000000295</v>
      </c>
      <c r="AF4666">
        <v>-0.405431416816742</v>
      </c>
      <c r="AG4666">
        <v>-7.9943000000000097E-2</v>
      </c>
      <c r="AH4666">
        <v>0.46162359692916399</v>
      </c>
      <c r="AI4666">
        <v>97.413582157856496</v>
      </c>
      <c r="AJ4666">
        <v>131.29195548553801</v>
      </c>
      <c r="AK4666">
        <v>0.61956586593585805</v>
      </c>
      <c r="AL4666">
        <v>82.9494257077817</v>
      </c>
      <c r="AM4666">
        <v>109.601817804372</v>
      </c>
      <c r="AN4666">
        <v>0.999999964894279</v>
      </c>
    </row>
    <row r="4667" spans="1:40" x14ac:dyDescent="0.25">
      <c r="A4667" t="str">
        <f>"20190303162914187"</f>
        <v>20190303162914187</v>
      </c>
      <c r="B4667" t="str">
        <f>"1551601754176695"</f>
        <v>1551601754176695</v>
      </c>
      <c r="C4667" t="s">
        <v>40</v>
      </c>
      <c r="D4667">
        <v>4.9735449999999997</v>
      </c>
      <c r="E4667">
        <v>0.43415870000000001</v>
      </c>
      <c r="F4667" t="s">
        <v>44</v>
      </c>
      <c r="G4667">
        <v>-414.4282</v>
      </c>
      <c r="H4667">
        <v>1.036681</v>
      </c>
      <c r="I4667">
        <v>134.624</v>
      </c>
      <c r="J4667">
        <v>-414.34309999999999</v>
      </c>
      <c r="K4667">
        <v>1.1350910000000001</v>
      </c>
      <c r="L4667">
        <v>135.4545</v>
      </c>
      <c r="M4667">
        <v>-0.69101939999999995</v>
      </c>
      <c r="N4667">
        <v>-1.444605E-2</v>
      </c>
      <c r="O4667">
        <v>-0.72269189999999905</v>
      </c>
      <c r="P4667">
        <v>-0.41255249999999999</v>
      </c>
      <c r="Q4667">
        <v>0.12086379999999999</v>
      </c>
      <c r="R4667">
        <v>-0.90288029999999997</v>
      </c>
      <c r="S4667">
        <v>-0.85656739999999998</v>
      </c>
      <c r="T4667">
        <v>-0.2717502</v>
      </c>
      <c r="U4667">
        <v>-2.9745789999999999</v>
      </c>
      <c r="V4667">
        <v>-0.33032929999999999</v>
      </c>
      <c r="W4667">
        <v>0.1228268</v>
      </c>
      <c r="X4667">
        <v>0.9358398</v>
      </c>
      <c r="Y4667">
        <v>-0.46375569999999999</v>
      </c>
      <c r="Z4667">
        <v>3.5519009999999997E-2</v>
      </c>
      <c r="AA4667">
        <v>0.8852508</v>
      </c>
      <c r="AB4667">
        <v>34</v>
      </c>
      <c r="AC4667">
        <v>-8.5100000000011194E-2</v>
      </c>
      <c r="AD4667">
        <v>-9.8410000000000095E-2</v>
      </c>
      <c r="AE4667">
        <v>-0.83050000000000002</v>
      </c>
      <c r="AF4667">
        <v>-0.50542108591811397</v>
      </c>
      <c r="AG4667">
        <v>-9.8410000000000095E-2</v>
      </c>
      <c r="AH4667">
        <v>0.65003775412571396</v>
      </c>
      <c r="AI4667">
        <v>96.815410684204096</v>
      </c>
      <c r="AJ4667">
        <v>127.86598489077799</v>
      </c>
      <c r="AK4667">
        <v>0.82926719697540696</v>
      </c>
      <c r="AL4667">
        <v>82.944726521985004</v>
      </c>
      <c r="AM4667">
        <v>109.44182595653</v>
      </c>
      <c r="AN4667">
        <v>1.0000000002503799</v>
      </c>
    </row>
    <row r="4668" spans="1:40" x14ac:dyDescent="0.25">
      <c r="A4668" t="str">
        <f>"20190303162914209"</f>
        <v>20190303162914209</v>
      </c>
      <c r="B4668" t="str">
        <f>"1551601754196214"</f>
        <v>1551601754196214</v>
      </c>
      <c r="C4668" t="s">
        <v>40</v>
      </c>
      <c r="D4668">
        <v>4.9763769999999896</v>
      </c>
      <c r="E4668">
        <v>0.4350156</v>
      </c>
      <c r="F4668" t="s">
        <v>44</v>
      </c>
      <c r="G4668">
        <v>-414.63150000000002</v>
      </c>
      <c r="H4668">
        <v>1.0406310000000001</v>
      </c>
      <c r="I4668">
        <v>134.41</v>
      </c>
      <c r="J4668">
        <v>-414.56580000000002</v>
      </c>
      <c r="K4668">
        <v>1.1350559999999901</v>
      </c>
      <c r="L4668">
        <v>135.2029</v>
      </c>
      <c r="M4668">
        <v>-0.67943659999999995</v>
      </c>
      <c r="N4668">
        <v>-1.4441280000000001E-2</v>
      </c>
      <c r="O4668">
        <v>-0.73359229999999997</v>
      </c>
      <c r="P4668">
        <v>-0.401279</v>
      </c>
      <c r="Q4668">
        <v>0.11947530000000001</v>
      </c>
      <c r="R4668">
        <v>-0.90813060000000001</v>
      </c>
      <c r="S4668">
        <v>-0.82321169999999999</v>
      </c>
      <c r="T4668">
        <v>-0.2697195</v>
      </c>
      <c r="U4668">
        <v>-2.982666</v>
      </c>
      <c r="V4668">
        <v>-0.32715919999999998</v>
      </c>
      <c r="W4668">
        <v>0.1215793</v>
      </c>
      <c r="X4668">
        <v>0.93711540000000004</v>
      </c>
      <c r="Y4668">
        <v>-0.45949689999999999</v>
      </c>
      <c r="Z4668">
        <v>3.6436080000000003E-2</v>
      </c>
      <c r="AA4668">
        <v>0.88743169999999905</v>
      </c>
      <c r="AB4668">
        <v>34</v>
      </c>
      <c r="AC4668">
        <v>-6.5699999999992501E-2</v>
      </c>
      <c r="AD4668">
        <v>-9.4424999999999898E-2</v>
      </c>
      <c r="AE4668">
        <v>-0.79290000000000205</v>
      </c>
      <c r="AF4668">
        <v>-0.48376537707807998</v>
      </c>
      <c r="AG4668">
        <v>-9.4424999999999898E-2</v>
      </c>
      <c r="AH4668">
        <v>0.61766949260457304</v>
      </c>
      <c r="AI4668">
        <v>96.862716055116195</v>
      </c>
      <c r="AJ4668">
        <v>128.068428405704</v>
      </c>
      <c r="AK4668">
        <v>0.79022820930341997</v>
      </c>
      <c r="AL4668">
        <v>83.016742556967003</v>
      </c>
      <c r="AM4668">
        <v>109.244760261964</v>
      </c>
      <c r="AN4668">
        <v>0.99999997062514401</v>
      </c>
    </row>
    <row r="4669" spans="1:40" x14ac:dyDescent="0.25">
      <c r="A4669" t="str">
        <f>"20190303162914233"</f>
        <v>20190303162914233</v>
      </c>
      <c r="B4669" t="str">
        <f>"1551601754226471"</f>
        <v>1551601754226471</v>
      </c>
      <c r="C4669" t="s">
        <v>40</v>
      </c>
      <c r="D4669">
        <v>4.9758319999999996</v>
      </c>
      <c r="E4669">
        <v>0.43606250000000002</v>
      </c>
      <c r="F4669" t="s">
        <v>44</v>
      </c>
      <c r="G4669">
        <v>-414.83319999999998</v>
      </c>
      <c r="H4669">
        <v>1.043212</v>
      </c>
      <c r="I4669">
        <v>134.19380000000001</v>
      </c>
      <c r="J4669">
        <v>-414.7955</v>
      </c>
      <c r="K4669">
        <v>1.1350100000000001</v>
      </c>
      <c r="L4669">
        <v>134.9348</v>
      </c>
      <c r="M4669">
        <v>-0.66712490000000002</v>
      </c>
      <c r="N4669">
        <v>-1.443317E-2</v>
      </c>
      <c r="O4669">
        <v>-0.74480609999999903</v>
      </c>
      <c r="P4669">
        <v>-0.38870359999999998</v>
      </c>
      <c r="Q4669">
        <v>0.1169987</v>
      </c>
      <c r="R4669">
        <v>-0.91390400000000005</v>
      </c>
      <c r="S4669">
        <v>-0.79156490000000002</v>
      </c>
      <c r="T4669">
        <v>-0.27203110000000003</v>
      </c>
      <c r="U4669">
        <v>-2.9895320000000001</v>
      </c>
      <c r="V4669">
        <v>-0.32460139999999998</v>
      </c>
      <c r="W4669">
        <v>0.1192271</v>
      </c>
      <c r="X4669">
        <v>0.93830639999999998</v>
      </c>
      <c r="Y4669">
        <v>-0.45400459999999898</v>
      </c>
      <c r="Z4669">
        <v>3.8240129999999997E-2</v>
      </c>
      <c r="AA4669">
        <v>0.89017839999999904</v>
      </c>
      <c r="AB4669">
        <v>34</v>
      </c>
      <c r="AC4669">
        <v>-3.7699999999972499E-2</v>
      </c>
      <c r="AD4669">
        <v>-9.1798000000000005E-2</v>
      </c>
      <c r="AE4669">
        <v>-0.740999999999985</v>
      </c>
      <c r="AF4669">
        <v>-0.45927846154954899</v>
      </c>
      <c r="AG4669">
        <v>-9.1798000000000005E-2</v>
      </c>
      <c r="AH4669">
        <v>0.56841100877329698</v>
      </c>
      <c r="AI4669">
        <v>97.159868270257306</v>
      </c>
      <c r="AJ4669">
        <v>128.938355529586</v>
      </c>
      <c r="AK4669">
        <v>0.73651520890067002</v>
      </c>
      <c r="AL4669">
        <v>83.152501806711896</v>
      </c>
      <c r="AM4669">
        <v>109.08275073784</v>
      </c>
      <c r="AN4669">
        <v>1.00000003526866</v>
      </c>
    </row>
    <row r="4670" spans="1:40" x14ac:dyDescent="0.25">
      <c r="A4670" t="str">
        <f>"20190303162914255"</f>
        <v>20190303162914255</v>
      </c>
      <c r="B4670" t="str">
        <f>"1551601754246968"</f>
        <v>1551601754246968</v>
      </c>
      <c r="C4670" t="s">
        <v>40</v>
      </c>
      <c r="D4670">
        <v>4.9116099999999996</v>
      </c>
      <c r="E4670">
        <v>0.43683529999999998</v>
      </c>
      <c r="F4670" t="s">
        <v>44</v>
      </c>
      <c r="G4670">
        <v>-415.03719999999998</v>
      </c>
      <c r="H4670">
        <v>1.0477030000000001</v>
      </c>
      <c r="I4670">
        <v>133.9776</v>
      </c>
      <c r="J4670">
        <v>-415.00650000000002</v>
      </c>
      <c r="K4670">
        <v>1.1349469999999999</v>
      </c>
      <c r="L4670">
        <v>134.6806</v>
      </c>
      <c r="M4670">
        <v>-0.65548809999999902</v>
      </c>
      <c r="N4670">
        <v>-1.4421939999999999E-2</v>
      </c>
      <c r="O4670">
        <v>-0.75506790000000001</v>
      </c>
      <c r="P4670">
        <v>-0.3767143</v>
      </c>
      <c r="Q4670">
        <v>0.1143844</v>
      </c>
      <c r="R4670">
        <v>-0.9192401</v>
      </c>
      <c r="S4670">
        <v>-0.75677490000000003</v>
      </c>
      <c r="T4670">
        <v>-0.27324880000000001</v>
      </c>
      <c r="U4670">
        <v>-2.9957120000000002</v>
      </c>
      <c r="V4670">
        <v>-0.32242330000000002</v>
      </c>
      <c r="W4670">
        <v>0.116729399999999</v>
      </c>
      <c r="X4670">
        <v>0.93937079999999995</v>
      </c>
      <c r="Y4670">
        <v>-0.45034489999999999</v>
      </c>
      <c r="Z4670">
        <v>3.9712289999999997E-2</v>
      </c>
      <c r="AA4670">
        <v>0.89197109999999902</v>
      </c>
      <c r="AB4670">
        <v>34</v>
      </c>
      <c r="AC4670">
        <v>-3.06999999999675E-2</v>
      </c>
      <c r="AD4670">
        <v>-8.7243999999999794E-2</v>
      </c>
      <c r="AE4670">
        <v>-0.70300000000000296</v>
      </c>
      <c r="AF4670">
        <v>-0.43104693584696702</v>
      </c>
      <c r="AG4670">
        <v>-8.7243999999999794E-2</v>
      </c>
      <c r="AH4670">
        <v>0.54265177980749102</v>
      </c>
      <c r="AI4670">
        <v>97.175227971899403</v>
      </c>
      <c r="AJ4670">
        <v>128.461321944253</v>
      </c>
      <c r="AK4670">
        <v>0.69848688646766799</v>
      </c>
      <c r="AL4670">
        <v>83.296615864331102</v>
      </c>
      <c r="AM4670">
        <v>108.94392524829701</v>
      </c>
      <c r="AN4670">
        <v>1.00000001854994</v>
      </c>
    </row>
    <row r="4671" spans="1:40" x14ac:dyDescent="0.25">
      <c r="A4671" t="str">
        <f>"20190303162914276"</f>
        <v>20190303162914276</v>
      </c>
      <c r="B4671" t="str">
        <f>"1551601754266486"</f>
        <v>1551601754266486</v>
      </c>
      <c r="C4671" t="s">
        <v>40</v>
      </c>
      <c r="D4671">
        <v>4.9102079999999999</v>
      </c>
      <c r="E4671">
        <v>0.4371795</v>
      </c>
      <c r="F4671" t="s">
        <v>44</v>
      </c>
      <c r="G4671">
        <v>-415.2296</v>
      </c>
      <c r="H4671">
        <v>1.049309</v>
      </c>
      <c r="I4671">
        <v>133.7535</v>
      </c>
      <c r="J4671">
        <v>-415.20159999999998</v>
      </c>
      <c r="K4671">
        <v>1.1348769999999999</v>
      </c>
      <c r="L4671">
        <v>134.43819999999999</v>
      </c>
      <c r="M4671">
        <v>-0.644451</v>
      </c>
      <c r="N4671">
        <v>-1.440731E-2</v>
      </c>
      <c r="O4671">
        <v>-0.76451009999999997</v>
      </c>
      <c r="P4671">
        <v>-0.36584149999999999</v>
      </c>
      <c r="Q4671">
        <v>0.1121769</v>
      </c>
      <c r="R4671">
        <v>-0.92389209999999999</v>
      </c>
      <c r="S4671">
        <v>-0.72201539999999997</v>
      </c>
      <c r="T4671">
        <v>-0.27721580000000001</v>
      </c>
      <c r="U4671">
        <v>-3.002167</v>
      </c>
      <c r="V4671">
        <v>-0.31993779999999999</v>
      </c>
      <c r="W4671">
        <v>0.1146558</v>
      </c>
      <c r="X4671">
        <v>0.94047530000000001</v>
      </c>
      <c r="Y4671">
        <v>-0.44758609999999999</v>
      </c>
      <c r="Z4671">
        <v>4.1614110000000003E-2</v>
      </c>
      <c r="AA4671">
        <v>0.89327209999999901</v>
      </c>
      <c r="AB4671">
        <v>34</v>
      </c>
      <c r="AC4671">
        <v>-2.8000000000019998E-2</v>
      </c>
      <c r="AD4671">
        <v>-8.5568000000000005E-2</v>
      </c>
      <c r="AE4671">
        <v>-0.68469999999999198</v>
      </c>
      <c r="AF4671">
        <v>-0.413446446273176</v>
      </c>
      <c r="AG4671">
        <v>-8.5568000000000005E-2</v>
      </c>
      <c r="AH4671">
        <v>0.53324652951324303</v>
      </c>
      <c r="AI4671">
        <v>97.227332364575702</v>
      </c>
      <c r="AJ4671">
        <v>127.787791303487</v>
      </c>
      <c r="AK4671">
        <v>0.68015564968456799</v>
      </c>
      <c r="AL4671">
        <v>83.416227271012303</v>
      </c>
      <c r="AM4671">
        <v>108.787654725152</v>
      </c>
      <c r="AN4671">
        <v>0.99999996912628397</v>
      </c>
    </row>
    <row r="4672" spans="1:40" x14ac:dyDescent="0.25">
      <c r="A4672" t="str">
        <f>"20190303162914298"</f>
        <v>20190303162914298</v>
      </c>
      <c r="B4672" t="str">
        <f>"1551601754286008"</f>
        <v>1551601754286008</v>
      </c>
      <c r="C4672" t="s">
        <v>40</v>
      </c>
      <c r="D4672">
        <v>4.8472309999999998</v>
      </c>
      <c r="E4672">
        <v>0.44915539999999998</v>
      </c>
      <c r="F4672" t="s">
        <v>44</v>
      </c>
      <c r="G4672">
        <v>-415.41109999999998</v>
      </c>
      <c r="H4672">
        <v>1.0490200000000001</v>
      </c>
      <c r="I4672">
        <v>133.5213</v>
      </c>
      <c r="J4672">
        <v>-415.40769999999998</v>
      </c>
      <c r="K4672">
        <v>1.1347879999999999</v>
      </c>
      <c r="L4672">
        <v>134.17449999999999</v>
      </c>
      <c r="M4672">
        <v>-0.6325189</v>
      </c>
      <c r="N4672">
        <v>-1.438686E-2</v>
      </c>
      <c r="O4672">
        <v>-0.77441150000000003</v>
      </c>
      <c r="P4672">
        <v>-0.353809599999999</v>
      </c>
      <c r="Q4672">
        <v>0.1104686</v>
      </c>
      <c r="R4672">
        <v>-0.92877129999999997</v>
      </c>
      <c r="S4672">
        <v>-0.68731690000000001</v>
      </c>
      <c r="T4672">
        <v>-0.28175660000000002</v>
      </c>
      <c r="U4672">
        <v>-3.0091860000000001</v>
      </c>
      <c r="V4672">
        <v>-0.3176139</v>
      </c>
      <c r="W4672">
        <v>0.1130859</v>
      </c>
      <c r="X4672">
        <v>0.94145259999999997</v>
      </c>
      <c r="Y4672">
        <v>-0.4439784</v>
      </c>
      <c r="Z4672">
        <v>4.3741090000000003E-2</v>
      </c>
      <c r="AA4672">
        <v>0.89496919999999902</v>
      </c>
      <c r="AB4672">
        <v>34</v>
      </c>
      <c r="AC4672">
        <v>-3.3999999999991802E-3</v>
      </c>
      <c r="AD4672">
        <v>-8.5767999999999803E-2</v>
      </c>
      <c r="AE4672">
        <v>-0.653199999999998</v>
      </c>
      <c r="AF4672">
        <v>-0.40361235075775598</v>
      </c>
      <c r="AG4672">
        <v>-8.5767999999999803E-2</v>
      </c>
      <c r="AH4672">
        <v>0.499438161898554</v>
      </c>
      <c r="AI4672">
        <v>97.607756318113005</v>
      </c>
      <c r="AJ4672">
        <v>128.94281370867799</v>
      </c>
      <c r="AK4672">
        <v>0.64784068803125405</v>
      </c>
      <c r="AL4672">
        <v>83.506765052201203</v>
      </c>
      <c r="AM4672">
        <v>108.642635131635</v>
      </c>
      <c r="AN4672">
        <v>1.0000000041493899</v>
      </c>
    </row>
    <row r="4673" spans="1:40" x14ac:dyDescent="0.25">
      <c r="A4673" t="str">
        <f>"20190303162914322"</f>
        <v>20190303162914322</v>
      </c>
      <c r="B4673" t="str">
        <f>"1551601754306502"</f>
        <v>1551601754306502</v>
      </c>
      <c r="C4673" t="s">
        <v>40</v>
      </c>
      <c r="D4673">
        <v>4.8907119999999997</v>
      </c>
      <c r="E4673">
        <v>0.44962249999999998</v>
      </c>
      <c r="F4673" t="s">
        <v>41</v>
      </c>
      <c r="G4673">
        <v>-419.02600000000001</v>
      </c>
      <c r="H4673" s="1">
        <v>-4.3841710000000001E-6</v>
      </c>
      <c r="I4673">
        <v>119.44970000000001</v>
      </c>
      <c r="J4673">
        <v>-415.61349999999999</v>
      </c>
      <c r="K4673">
        <v>1.134687</v>
      </c>
      <c r="L4673">
        <v>133.90270000000001</v>
      </c>
      <c r="M4673">
        <v>-0.62031979999999998</v>
      </c>
      <c r="N4673">
        <v>-1.4361250000000001E-2</v>
      </c>
      <c r="O4673">
        <v>-0.78421770000000002</v>
      </c>
      <c r="P4673">
        <v>-0.3400455</v>
      </c>
      <c r="Q4673">
        <v>0.109809</v>
      </c>
      <c r="R4673">
        <v>-0.93397609999999998</v>
      </c>
      <c r="S4673">
        <v>-0.73193359999999996</v>
      </c>
      <c r="T4673">
        <v>-0.22954830000000001</v>
      </c>
      <c r="U4673">
        <v>-2.978577</v>
      </c>
      <c r="V4673">
        <v>-0.3167856</v>
      </c>
      <c r="W4673">
        <v>0.1125131</v>
      </c>
      <c r="X4673">
        <v>0.94180019999999998</v>
      </c>
      <c r="Y4673">
        <v>-0.41510259999999999</v>
      </c>
      <c r="Z4673">
        <v>3.5314409999999997E-2</v>
      </c>
      <c r="AA4673">
        <v>0.90908900000000004</v>
      </c>
      <c r="AB4673">
        <v>34</v>
      </c>
      <c r="AC4673">
        <v>-3.4125000000000201</v>
      </c>
      <c r="AD4673">
        <v>-1.134691384171</v>
      </c>
      <c r="AE4673">
        <v>-14.452999999999999</v>
      </c>
      <c r="AF4673">
        <v>-6.2534778192794001</v>
      </c>
      <c r="AG4673">
        <v>-1.134691384171</v>
      </c>
      <c r="AH4673">
        <v>13.374442327196901</v>
      </c>
      <c r="AI4673">
        <v>94.394783612115901</v>
      </c>
      <c r="AJ4673">
        <v>115.059344317083</v>
      </c>
      <c r="AK4673">
        <v>14.807741790598801</v>
      </c>
      <c r="AL4673">
        <v>83.539794627464602</v>
      </c>
      <c r="AM4673">
        <v>108.590972630536</v>
      </c>
      <c r="AN4673">
        <v>0.99999996537950397</v>
      </c>
    </row>
    <row r="4674" spans="1:40" x14ac:dyDescent="0.25">
      <c r="A4674" t="str">
        <f>"20190303162914343"</f>
        <v>20190303162914343</v>
      </c>
      <c r="B4674" t="str">
        <f>"1551601754336759"</f>
        <v>1551601754336759</v>
      </c>
      <c r="C4674" t="s">
        <v>40</v>
      </c>
      <c r="D4674">
        <v>4.8379640000000004</v>
      </c>
      <c r="E4674">
        <v>0.4514512</v>
      </c>
      <c r="F4674" t="s">
        <v>41</v>
      </c>
      <c r="G4674">
        <v>-418.94009999999997</v>
      </c>
      <c r="H4674" s="1">
        <v>-4.4414689999999999E-6</v>
      </c>
      <c r="I4674">
        <v>119.54770000000001</v>
      </c>
      <c r="J4674">
        <v>-415.80900000000003</v>
      </c>
      <c r="K4674">
        <v>1.134566</v>
      </c>
      <c r="L4674">
        <v>133.636</v>
      </c>
      <c r="M4674">
        <v>-0.60846140000000004</v>
      </c>
      <c r="N4674">
        <v>-1.4332930000000001E-2</v>
      </c>
      <c r="O4674">
        <v>-0.7934542</v>
      </c>
      <c r="P4674">
        <v>-0.3281191</v>
      </c>
      <c r="Q4674">
        <v>0.1089252</v>
      </c>
      <c r="R4674">
        <v>-0.93833509999999998</v>
      </c>
      <c r="S4674">
        <v>-0.69238279999999996</v>
      </c>
      <c r="T4674">
        <v>-0.23616580000000001</v>
      </c>
      <c r="U4674">
        <v>-2.9877470000000002</v>
      </c>
      <c r="V4674">
        <v>-0.31462469999999998</v>
      </c>
      <c r="W4674">
        <v>0.111772</v>
      </c>
      <c r="X4674">
        <v>0.94261249999999996</v>
      </c>
      <c r="Y4674">
        <v>-0.41347430000000002</v>
      </c>
      <c r="Z4674">
        <v>3.760086E-2</v>
      </c>
      <c r="AA4674">
        <v>0.90973910000000002</v>
      </c>
      <c r="AB4674">
        <v>34</v>
      </c>
      <c r="AC4674">
        <v>-3.13109999999994</v>
      </c>
      <c r="AD4674">
        <v>-1.1345704414690001</v>
      </c>
      <c r="AE4674">
        <v>-14.088299999999901</v>
      </c>
      <c r="AF4674">
        <v>-6.0510299058236301</v>
      </c>
      <c r="AG4674">
        <v>-1.1345704414690001</v>
      </c>
      <c r="AH4674">
        <v>13.0045450701558</v>
      </c>
      <c r="AI4674">
        <v>94.522708761313098</v>
      </c>
      <c r="AJ4674">
        <v>114.95261352354601</v>
      </c>
      <c r="AK4674">
        <v>14.3882036922453</v>
      </c>
      <c r="AL4674">
        <v>83.582526322248697</v>
      </c>
      <c r="AM4674">
        <v>108.45795127989599</v>
      </c>
      <c r="AN4674">
        <v>1.0000000034951699</v>
      </c>
    </row>
    <row r="4675" spans="1:40" x14ac:dyDescent="0.25">
      <c r="A4675" t="str">
        <f>"20190303162914366"</f>
        <v>20190303162914366</v>
      </c>
      <c r="B4675" t="str">
        <f>"1551601754356279"</f>
        <v>1551601754356279</v>
      </c>
      <c r="C4675" t="s">
        <v>40</v>
      </c>
      <c r="D4675">
        <v>4.8763889999999996</v>
      </c>
      <c r="E4675">
        <v>0.45191779999999998</v>
      </c>
      <c r="F4675" t="s">
        <v>44</v>
      </c>
      <c r="G4675">
        <v>-416.05130000000003</v>
      </c>
      <c r="H4675">
        <v>1.0553429999999999</v>
      </c>
      <c r="I4675">
        <v>132.54839999999999</v>
      </c>
      <c r="J4675">
        <v>-416.00069999999999</v>
      </c>
      <c r="K4675">
        <v>1.1344459999999901</v>
      </c>
      <c r="L4675">
        <v>133.36600000000001</v>
      </c>
      <c r="M4675">
        <v>-0.5965819</v>
      </c>
      <c r="N4675">
        <v>-1.430204E-2</v>
      </c>
      <c r="O4675">
        <v>-0.80242500000000005</v>
      </c>
      <c r="P4675">
        <v>-0.317187099999999</v>
      </c>
      <c r="Q4675">
        <v>0.10915229999999999</v>
      </c>
      <c r="R4675">
        <v>-0.94206060000000003</v>
      </c>
      <c r="S4675">
        <v>-0.66610719999999901</v>
      </c>
      <c r="T4675">
        <v>-0.2177799</v>
      </c>
      <c r="U4675">
        <v>-2.9895170000000002</v>
      </c>
      <c r="V4675">
        <v>-0.31150499999999998</v>
      </c>
      <c r="W4675">
        <v>0.11218</v>
      </c>
      <c r="X4675">
        <v>0.94359959999999998</v>
      </c>
      <c r="Y4675">
        <v>-0.40764479999999997</v>
      </c>
      <c r="Z4675">
        <v>3.464449E-2</v>
      </c>
      <c r="AA4675">
        <v>0.91248309999999999</v>
      </c>
      <c r="AB4675">
        <v>34</v>
      </c>
      <c r="AC4675">
        <v>-5.0600000000031203E-2</v>
      </c>
      <c r="AD4675">
        <v>-7.9102999999999896E-2</v>
      </c>
      <c r="AE4675">
        <v>-0.81760000000002697</v>
      </c>
      <c r="AF4675">
        <v>-0.44307666603435603</v>
      </c>
      <c r="AG4675">
        <v>-7.9102999999999896E-2</v>
      </c>
      <c r="AH4675">
        <v>0.67997905339344999</v>
      </c>
      <c r="AI4675">
        <v>95.566804672487507</v>
      </c>
      <c r="AJ4675">
        <v>123.08840252972701</v>
      </c>
      <c r="AK4675">
        <v>0.81544204554767297</v>
      </c>
      <c r="AL4675">
        <v>83.559001422551503</v>
      </c>
      <c r="AM4675">
        <v>108.269303544324</v>
      </c>
      <c r="AN4675">
        <v>0.99999996127257895</v>
      </c>
    </row>
    <row r="4676" spans="1:40" x14ac:dyDescent="0.25">
      <c r="A4676" t="str">
        <f>"20190303162914388"</f>
        <v>20190303162914388</v>
      </c>
      <c r="B4676" t="str">
        <f>"1551601754376775"</f>
        <v>1551601754376775</v>
      </c>
      <c r="C4676" t="s">
        <v>40</v>
      </c>
      <c r="D4676">
        <v>4.872611</v>
      </c>
      <c r="E4676">
        <v>0.45248070000000001</v>
      </c>
      <c r="F4676" t="s">
        <v>44</v>
      </c>
      <c r="G4676">
        <v>-416.22410000000002</v>
      </c>
      <c r="H4676">
        <v>1.057868</v>
      </c>
      <c r="I4676">
        <v>132.3092</v>
      </c>
      <c r="J4676">
        <v>-416.1891</v>
      </c>
      <c r="K4676">
        <v>1.1343430000000001</v>
      </c>
      <c r="L4676">
        <v>133.09209999999999</v>
      </c>
      <c r="M4676">
        <v>-0.5846325</v>
      </c>
      <c r="N4676">
        <v>-1.42714E-2</v>
      </c>
      <c r="O4676">
        <v>-0.81117280000000003</v>
      </c>
      <c r="P4676">
        <v>-0.30701709999999999</v>
      </c>
      <c r="Q4676">
        <v>0.110408199999999</v>
      </c>
      <c r="R4676">
        <v>-0.94527830000000002</v>
      </c>
      <c r="S4676">
        <v>-0.63327029999999995</v>
      </c>
      <c r="T4676">
        <v>-0.21710499999999999</v>
      </c>
      <c r="U4676">
        <v>-2.996429</v>
      </c>
      <c r="V4676">
        <v>-0.30761620000000001</v>
      </c>
      <c r="W4676">
        <v>0.1136388</v>
      </c>
      <c r="X4676">
        <v>0.94470019999999999</v>
      </c>
      <c r="Y4676">
        <v>-0.40412789999999998</v>
      </c>
      <c r="Z4676">
        <v>3.5338199999999903E-2</v>
      </c>
      <c r="AA4676">
        <v>0.91401960000000004</v>
      </c>
      <c r="AB4676">
        <v>34</v>
      </c>
      <c r="AC4676">
        <v>-3.5000000000024997E-2</v>
      </c>
      <c r="AD4676">
        <v>-7.6475000000000001E-2</v>
      </c>
      <c r="AE4676">
        <v>-0.78289999999998305</v>
      </c>
      <c r="AF4676">
        <v>-0.425311327651066</v>
      </c>
      <c r="AG4676">
        <v>-7.6475000000000001E-2</v>
      </c>
      <c r="AH4676">
        <v>0.64941189933831001</v>
      </c>
      <c r="AI4676">
        <v>95.626253487823405</v>
      </c>
      <c r="AJ4676">
        <v>123.221497691018</v>
      </c>
      <c r="AK4676">
        <v>0.78004741269714095</v>
      </c>
      <c r="AL4676">
        <v>83.4748805581456</v>
      </c>
      <c r="AM4676">
        <v>108.036445601024</v>
      </c>
      <c r="AN4676">
        <v>0.99999998562395997</v>
      </c>
    </row>
    <row r="4677" spans="1:40" x14ac:dyDescent="0.25">
      <c r="A4677" t="str">
        <f>"20190303162914411"</f>
        <v>20190303162914411</v>
      </c>
      <c r="B4677" t="str">
        <f>"1551601754396295"</f>
        <v>1551601754396295</v>
      </c>
      <c r="C4677" t="s">
        <v>40</v>
      </c>
      <c r="D4677">
        <v>5.1298459999999997</v>
      </c>
      <c r="E4677">
        <v>0.45318330000000001</v>
      </c>
      <c r="F4677" t="s">
        <v>44</v>
      </c>
      <c r="G4677">
        <v>-416.39870000000002</v>
      </c>
      <c r="H4677">
        <v>1.0619809999999901</v>
      </c>
      <c r="I4677">
        <v>132.0504</v>
      </c>
      <c r="J4677">
        <v>-416.37979999999999</v>
      </c>
      <c r="K4677">
        <v>1.13425</v>
      </c>
      <c r="L4677">
        <v>132.80590000000001</v>
      </c>
      <c r="M4677">
        <v>-0.57224839999999999</v>
      </c>
      <c r="N4677">
        <v>-1.424157E-2</v>
      </c>
      <c r="O4677">
        <v>-0.81995680000000004</v>
      </c>
      <c r="P4677">
        <v>-0.29616360000000003</v>
      </c>
      <c r="Q4677">
        <v>0.112082</v>
      </c>
      <c r="R4677">
        <v>-0.9485382</v>
      </c>
      <c r="S4677">
        <v>-0.60360719999999901</v>
      </c>
      <c r="T4677">
        <v>-0.2085176</v>
      </c>
      <c r="U4677">
        <v>-3.0019840000000002</v>
      </c>
      <c r="V4677">
        <v>-0.30400440000000001</v>
      </c>
      <c r="W4677">
        <v>0.1155008</v>
      </c>
      <c r="X4677">
        <v>0.94564309999999996</v>
      </c>
      <c r="Y4677">
        <v>-0.39925080000000002</v>
      </c>
      <c r="Z4677">
        <v>3.4272940000000002E-2</v>
      </c>
      <c r="AA4677">
        <v>0.91620089999999998</v>
      </c>
      <c r="AB4677">
        <v>34</v>
      </c>
      <c r="AC4677">
        <v>-1.89000000000305E-2</v>
      </c>
      <c r="AD4677">
        <v>-7.2269000000000097E-2</v>
      </c>
      <c r="AE4677">
        <v>-0.75550000000001205</v>
      </c>
      <c r="AF4677">
        <v>-0.41310108458129002</v>
      </c>
      <c r="AG4677">
        <v>-7.2269000000000097E-2</v>
      </c>
      <c r="AH4677">
        <v>0.62464461177344899</v>
      </c>
      <c r="AI4677">
        <v>95.512073738646805</v>
      </c>
      <c r="AJ4677">
        <v>123.478170305036</v>
      </c>
      <c r="AK4677">
        <v>0.75236706829900601</v>
      </c>
      <c r="AL4677">
        <v>83.367488682506405</v>
      </c>
      <c r="AM4677">
        <v>107.82150775935099</v>
      </c>
      <c r="AN4677">
        <v>0.99999999129880401</v>
      </c>
    </row>
    <row r="4678" spans="1:40" x14ac:dyDescent="0.25">
      <c r="A4678" t="str">
        <f>"20190303162914435"</f>
        <v>20190303162914435</v>
      </c>
      <c r="B4678" t="str">
        <f>"1551601754426551"</f>
        <v>1551601754426551</v>
      </c>
      <c r="C4678" t="s">
        <v>40</v>
      </c>
      <c r="D4678">
        <v>5.0008730000000003</v>
      </c>
      <c r="E4678">
        <v>0.48328339999999997</v>
      </c>
      <c r="F4678" t="s">
        <v>41</v>
      </c>
      <c r="G4678">
        <v>-419.63350000000003</v>
      </c>
      <c r="H4678" s="1">
        <v>-2.6894110000000001E-6</v>
      </c>
      <c r="I4678">
        <v>115.7503</v>
      </c>
      <c r="J4678">
        <v>-416.56549999999999</v>
      </c>
      <c r="K4678">
        <v>1.1341639999999999</v>
      </c>
      <c r="L4678">
        <v>132.51820000000001</v>
      </c>
      <c r="M4678">
        <v>-0.55988780000000005</v>
      </c>
      <c r="N4678">
        <v>-1.4213979999999999E-2</v>
      </c>
      <c r="O4678">
        <v>-0.82844640000000003</v>
      </c>
      <c r="P4678">
        <v>-0.28589979999999998</v>
      </c>
      <c r="Q4678">
        <v>0.1133121</v>
      </c>
      <c r="R4678">
        <v>-0.9515363</v>
      </c>
      <c r="S4678">
        <v>-0.57369999999999999</v>
      </c>
      <c r="T4678">
        <v>-0.19999359999999999</v>
      </c>
      <c r="U4678">
        <v>-3.0072779999999999</v>
      </c>
      <c r="V4678">
        <v>-0.29996070000000002</v>
      </c>
      <c r="W4678">
        <v>0.1169292</v>
      </c>
      <c r="X4678">
        <v>0.94675819999999999</v>
      </c>
      <c r="Y4678">
        <v>-0.39459379999999999</v>
      </c>
      <c r="Z4678">
        <v>3.3120240000000002E-2</v>
      </c>
      <c r="AA4678">
        <v>0.91825849999999998</v>
      </c>
      <c r="AB4678">
        <v>34</v>
      </c>
      <c r="AC4678">
        <v>-3.06800000000004</v>
      </c>
      <c r="AD4678">
        <v>-1.1341666894110001</v>
      </c>
      <c r="AE4678">
        <v>-16.767900000000001</v>
      </c>
      <c r="AF4678">
        <v>-6.8169836121563403</v>
      </c>
      <c r="AG4678">
        <v>-1.1341666894110001</v>
      </c>
      <c r="AH4678">
        <v>15.5418191873209</v>
      </c>
      <c r="AI4678">
        <v>93.823343790242305</v>
      </c>
      <c r="AJ4678">
        <v>113.68331283516299</v>
      </c>
      <c r="AK4678">
        <v>17.008990072874798</v>
      </c>
      <c r="AL4678">
        <v>83.285088935105094</v>
      </c>
      <c r="AM4678">
        <v>107.579725259904</v>
      </c>
      <c r="AN4678">
        <v>0.99999997431218401</v>
      </c>
    </row>
    <row r="4679" spans="1:40" x14ac:dyDescent="0.25">
      <c r="A4679" t="str">
        <f>"20190303162914455"</f>
        <v>20190303162914455</v>
      </c>
      <c r="B4679" t="str">
        <f>"1551601754446071"</f>
        <v>1551601754446071</v>
      </c>
      <c r="C4679" t="s">
        <v>40</v>
      </c>
      <c r="D4679">
        <v>5.0014019999999997</v>
      </c>
      <c r="E4679">
        <v>0.48499140000000002</v>
      </c>
      <c r="F4679" t="s">
        <v>41</v>
      </c>
      <c r="G4679">
        <v>-427.15570000000002</v>
      </c>
      <c r="H4679" s="1">
        <v>-2.8426679999999999E-6</v>
      </c>
      <c r="I4679">
        <v>91.777240000000006</v>
      </c>
      <c r="J4679">
        <v>-416.73540000000003</v>
      </c>
      <c r="K4679">
        <v>1.1340939999999999</v>
      </c>
      <c r="L4679">
        <v>132.2465</v>
      </c>
      <c r="M4679">
        <v>-0.54829119999999998</v>
      </c>
      <c r="N4679">
        <v>-1.4189800000000001E-2</v>
      </c>
      <c r="O4679">
        <v>-0.83616729999999995</v>
      </c>
      <c r="P4679">
        <v>-0.27657989999999999</v>
      </c>
      <c r="Q4679">
        <v>0.1146904</v>
      </c>
      <c r="R4679">
        <v>-0.9541229</v>
      </c>
      <c r="S4679">
        <v>-0.76251219999999997</v>
      </c>
      <c r="T4679">
        <v>-8.1661699999999907E-2</v>
      </c>
      <c r="U4679">
        <v>-2.933411</v>
      </c>
      <c r="V4679">
        <v>-0.29595169999999998</v>
      </c>
      <c r="W4679">
        <v>0.11849469999999999</v>
      </c>
      <c r="X4679">
        <v>0.94782469999999996</v>
      </c>
      <c r="Y4679">
        <v>-0.3202277</v>
      </c>
      <c r="Z4679">
        <v>6.9509810000000002E-3</v>
      </c>
      <c r="AA4679">
        <v>0.94731509999999997</v>
      </c>
      <c r="AB4679">
        <v>34</v>
      </c>
      <c r="AC4679">
        <v>-10.4202999999999</v>
      </c>
      <c r="AD4679">
        <v>-1.134096842668</v>
      </c>
      <c r="AE4679">
        <v>-40.469259999999899</v>
      </c>
      <c r="AF4679">
        <v>-13.4672609922159</v>
      </c>
      <c r="AG4679">
        <v>-1.134096842668</v>
      </c>
      <c r="AH4679">
        <v>39.527294697598698</v>
      </c>
      <c r="AI4679">
        <v>91.555682316199693</v>
      </c>
      <c r="AJ4679">
        <v>108.81438145867401</v>
      </c>
      <c r="AK4679">
        <v>41.773919140916398</v>
      </c>
      <c r="AL4679">
        <v>83.194764821006402</v>
      </c>
      <c r="AM4679">
        <v>107.340612670949</v>
      </c>
      <c r="AN4679">
        <v>1.00000003229553</v>
      </c>
    </row>
    <row r="4680" spans="1:40" x14ac:dyDescent="0.25">
      <c r="A4680" t="str">
        <f>"20190303162914478"</f>
        <v>20190303162914478</v>
      </c>
      <c r="B4680" t="str">
        <f>"1551601754466567"</f>
        <v>1551601754466567</v>
      </c>
      <c r="C4680" t="s">
        <v>40</v>
      </c>
      <c r="D4680">
        <v>5.059247</v>
      </c>
      <c r="E4680">
        <v>0.48613000000000001</v>
      </c>
      <c r="F4680" t="s">
        <v>41</v>
      </c>
      <c r="G4680">
        <v>-427.26979999999998</v>
      </c>
      <c r="H4680" s="1">
        <v>-2.4707879999999998E-6</v>
      </c>
      <c r="I4680">
        <v>90.839669999999998</v>
      </c>
      <c r="J4680">
        <v>-416.90359999999998</v>
      </c>
      <c r="K4680">
        <v>1.1340269999999999</v>
      </c>
      <c r="L4680">
        <v>131.96899999999999</v>
      </c>
      <c r="M4680">
        <v>-0.536516199999999</v>
      </c>
      <c r="N4680">
        <v>-1.416689E-2</v>
      </c>
      <c r="O4680">
        <v>-0.84377119999999906</v>
      </c>
      <c r="P4680">
        <v>-0.26684730000000001</v>
      </c>
      <c r="Q4680">
        <v>0.11663660000000001</v>
      </c>
      <c r="R4680">
        <v>-0.95665469999999997</v>
      </c>
      <c r="S4680">
        <v>-0.7472839</v>
      </c>
      <c r="T4680">
        <v>-8.0450060000000004E-2</v>
      </c>
      <c r="U4680">
        <v>-2.9373019999999999</v>
      </c>
      <c r="V4680">
        <v>-0.29222530000000002</v>
      </c>
      <c r="W4680">
        <v>0.1206137</v>
      </c>
      <c r="X4680">
        <v>0.94871320000000003</v>
      </c>
      <c r="Y4680">
        <v>-0.31185279999999999</v>
      </c>
      <c r="Z4680">
        <v>6.9461289999999997E-3</v>
      </c>
      <c r="AA4680">
        <v>0.95010510000000004</v>
      </c>
      <c r="AB4680">
        <v>34</v>
      </c>
      <c r="AC4680">
        <v>-10.3661999999999</v>
      </c>
      <c r="AD4680">
        <v>-1.1340294707879901</v>
      </c>
      <c r="AE4680">
        <v>-41.129330000000003</v>
      </c>
      <c r="AF4680">
        <v>-13.3116710546287</v>
      </c>
      <c r="AG4680">
        <v>-1.1340294707879901</v>
      </c>
      <c r="AH4680">
        <v>40.2406512366437</v>
      </c>
      <c r="AI4680">
        <v>91.532598812067704</v>
      </c>
      <c r="AJ4680">
        <v>108.304296971151</v>
      </c>
      <c r="AK4680">
        <v>42.400431849881599</v>
      </c>
      <c r="AL4680">
        <v>83.072477830337405</v>
      </c>
      <c r="AM4680">
        <v>107.120025690345</v>
      </c>
      <c r="AN4680">
        <v>1.0000000132210101</v>
      </c>
    </row>
    <row r="4681" spans="1:40" x14ac:dyDescent="0.25">
      <c r="A4681" t="str">
        <f>"20190303162914501"</f>
        <v>20190303162914501</v>
      </c>
      <c r="B4681" t="str">
        <f>"1551601754496823"</f>
        <v>1551601754496823</v>
      </c>
      <c r="C4681" t="s">
        <v>40</v>
      </c>
      <c r="D4681">
        <v>5.0566940000000002</v>
      </c>
      <c r="E4681">
        <v>0.48706100000000002</v>
      </c>
      <c r="F4681" t="s">
        <v>41</v>
      </c>
      <c r="G4681">
        <v>-427.92559999999997</v>
      </c>
      <c r="H4681" s="1">
        <v>-4.9327960000000003E-6</v>
      </c>
      <c r="I4681">
        <v>87.350819999999999</v>
      </c>
      <c r="J4681">
        <v>-417.0763</v>
      </c>
      <c r="K4681">
        <v>1.133956</v>
      </c>
      <c r="L4681">
        <v>131.6748</v>
      </c>
      <c r="M4681">
        <v>-0.52409570000000005</v>
      </c>
      <c r="N4681">
        <v>-1.4144210000000001E-2</v>
      </c>
      <c r="O4681">
        <v>-0.85154209999999997</v>
      </c>
      <c r="P4681">
        <v>-0.25637320000000002</v>
      </c>
      <c r="Q4681">
        <v>0.1181354</v>
      </c>
      <c r="R4681">
        <v>-0.95933179999999996</v>
      </c>
      <c r="S4681">
        <v>-0.72683719999999996</v>
      </c>
      <c r="T4681">
        <v>-7.4782730000000006E-2</v>
      </c>
      <c r="U4681">
        <v>-2.942307</v>
      </c>
      <c r="V4681">
        <v>-0.28861679999999901</v>
      </c>
      <c r="W4681">
        <v>0.12228020000000001</v>
      </c>
      <c r="X4681">
        <v>0.94960409999999995</v>
      </c>
      <c r="Y4681">
        <v>-0.30452659999999998</v>
      </c>
      <c r="Z4681">
        <v>5.7905179999999997E-3</v>
      </c>
      <c r="AA4681">
        <v>0.95248619999999995</v>
      </c>
      <c r="AB4681">
        <v>34</v>
      </c>
      <c r="AC4681">
        <v>-10.8492999999999</v>
      </c>
      <c r="AD4681">
        <v>-1.1339609327960001</v>
      </c>
      <c r="AE4681">
        <v>-44.323979999999999</v>
      </c>
      <c r="AF4681">
        <v>-13.984133785289099</v>
      </c>
      <c r="AG4681">
        <v>-1.1339609327960001</v>
      </c>
      <c r="AH4681">
        <v>43.4073399459404</v>
      </c>
      <c r="AI4681">
        <v>91.424378296231595</v>
      </c>
      <c r="AJ4681">
        <v>107.856894349068</v>
      </c>
      <c r="AK4681">
        <v>45.618406661175698</v>
      </c>
      <c r="AL4681">
        <v>82.9762824448255</v>
      </c>
      <c r="AM4681">
        <v>106.905800604425</v>
      </c>
      <c r="AN4681">
        <v>1.0000000256455399</v>
      </c>
    </row>
    <row r="4682" spans="1:40" x14ac:dyDescent="0.25">
      <c r="A4682" t="str">
        <f>"20190303162914524"</f>
        <v>20190303162914524</v>
      </c>
      <c r="B4682" t="str">
        <f>"1551601754516342"</f>
        <v>1551601754516342</v>
      </c>
      <c r="C4682" t="s">
        <v>40</v>
      </c>
      <c r="D4682">
        <v>5.1115009999999996</v>
      </c>
      <c r="E4682">
        <v>0.48770910000000001</v>
      </c>
      <c r="F4682" t="s">
        <v>41</v>
      </c>
      <c r="G4682">
        <v>-427.7398</v>
      </c>
      <c r="H4682" s="1">
        <v>-4.7530339999999997E-6</v>
      </c>
      <c r="I4682">
        <v>86.919430000000006</v>
      </c>
      <c r="J4682">
        <v>-417.2441</v>
      </c>
      <c r="K4682">
        <v>1.1338820000000001</v>
      </c>
      <c r="L4682">
        <v>131.3792</v>
      </c>
      <c r="M4682">
        <v>-0.5116792</v>
      </c>
      <c r="N4682">
        <v>-1.4122539999999999E-2</v>
      </c>
      <c r="O4682">
        <v>-0.8590605</v>
      </c>
      <c r="P4682">
        <v>-0.24581410000000001</v>
      </c>
      <c r="Q4682">
        <v>0.1186871</v>
      </c>
      <c r="R4682">
        <v>-0.96202310000000002</v>
      </c>
      <c r="S4682">
        <v>-0.70254519999999998</v>
      </c>
      <c r="T4682">
        <v>-7.4708819999999995E-2</v>
      </c>
      <c r="U4682">
        <v>-2.9486240000000001</v>
      </c>
      <c r="V4682">
        <v>-0.28522049999999999</v>
      </c>
      <c r="W4682">
        <v>0.1229915</v>
      </c>
      <c r="X4682">
        <v>0.95053790000000005</v>
      </c>
      <c r="Y4682">
        <v>-0.29858289999999998</v>
      </c>
      <c r="Z4682">
        <v>6.0068760000000004E-3</v>
      </c>
      <c r="AA4682">
        <v>0.95436480000000001</v>
      </c>
      <c r="AB4682">
        <v>34</v>
      </c>
      <c r="AC4682">
        <v>-10.495699999999999</v>
      </c>
      <c r="AD4682">
        <v>-1.133886753034</v>
      </c>
      <c r="AE4682">
        <v>-44.459769999999899</v>
      </c>
      <c r="AF4682">
        <v>-13.725611612187199</v>
      </c>
      <c r="AG4682">
        <v>-1.133886753034</v>
      </c>
      <c r="AH4682">
        <v>43.541582755901103</v>
      </c>
      <c r="AI4682">
        <v>91.422744446754606</v>
      </c>
      <c r="AJ4682">
        <v>107.496413186681</v>
      </c>
      <c r="AK4682">
        <v>45.667795460108401</v>
      </c>
      <c r="AL4682">
        <v>82.935217603748697</v>
      </c>
      <c r="AM4682">
        <v>106.70251407879201</v>
      </c>
      <c r="AN4682">
        <v>0.99999997101445404</v>
      </c>
    </row>
    <row r="4683" spans="1:40" x14ac:dyDescent="0.25">
      <c r="A4683" t="str">
        <f>"20190303162914545"</f>
        <v>20190303162914545</v>
      </c>
      <c r="B4683" t="str">
        <f>"1551601754536840"</f>
        <v>1551601754536840</v>
      </c>
      <c r="C4683" t="s">
        <v>40</v>
      </c>
      <c r="D4683">
        <v>4.8777419999999996</v>
      </c>
      <c r="E4683">
        <v>0.48829850000000002</v>
      </c>
      <c r="F4683" t="s">
        <v>41</v>
      </c>
      <c r="G4683">
        <v>-427.298</v>
      </c>
      <c r="H4683" s="1">
        <v>-4.8071610000000003E-6</v>
      </c>
      <c r="I4683">
        <v>87.308769999999996</v>
      </c>
      <c r="J4683">
        <v>-417.39839999999998</v>
      </c>
      <c r="K4683">
        <v>1.133807</v>
      </c>
      <c r="L4683">
        <v>131.0975</v>
      </c>
      <c r="M4683">
        <v>-0.4999149</v>
      </c>
      <c r="N4683">
        <v>-1.410226E-2</v>
      </c>
      <c r="O4683">
        <v>-0.86595979999999995</v>
      </c>
      <c r="P4683">
        <v>-0.2361713</v>
      </c>
      <c r="Q4683">
        <v>0.1190923</v>
      </c>
      <c r="R4683">
        <v>-0.96438590000000002</v>
      </c>
      <c r="S4683">
        <v>-0.67425539999999995</v>
      </c>
      <c r="T4683">
        <v>-7.6042890000000002E-2</v>
      </c>
      <c r="U4683">
        <v>-2.9555359999999999</v>
      </c>
      <c r="V4683">
        <v>-0.28172799999999998</v>
      </c>
      <c r="W4683">
        <v>0.1235589</v>
      </c>
      <c r="X4683">
        <v>0.95150539999999995</v>
      </c>
      <c r="Y4683">
        <v>-0.29473270000000001</v>
      </c>
      <c r="Z4683">
        <v>6.5539810000000004E-3</v>
      </c>
      <c r="AA4683">
        <v>0.95555730000000005</v>
      </c>
      <c r="AB4683">
        <v>34</v>
      </c>
      <c r="AC4683">
        <v>-9.8996000000000102</v>
      </c>
      <c r="AD4683">
        <v>-1.1338118071609999</v>
      </c>
      <c r="AE4683">
        <v>-43.788730000000001</v>
      </c>
      <c r="AF4683">
        <v>-13.3108162842335</v>
      </c>
      <c r="AG4683">
        <v>-1.1338118071609999</v>
      </c>
      <c r="AH4683">
        <v>42.845169206939701</v>
      </c>
      <c r="AI4683">
        <v>91.447643255678898</v>
      </c>
      <c r="AJ4683">
        <v>107.258583245537</v>
      </c>
      <c r="AK4683">
        <v>44.879526331479603</v>
      </c>
      <c r="AL4683">
        <v>82.902458290038098</v>
      </c>
      <c r="AM4683">
        <v>106.49331576801499</v>
      </c>
      <c r="AN4683">
        <v>0.99999999699118403</v>
      </c>
    </row>
    <row r="4684" spans="1:40" x14ac:dyDescent="0.25">
      <c r="A4684" t="str">
        <f>"20190303162914568"</f>
        <v>20190303162914568</v>
      </c>
      <c r="B4684" t="str">
        <f>"1551601754556359"</f>
        <v>1551601754556359</v>
      </c>
      <c r="C4684" t="s">
        <v>40</v>
      </c>
      <c r="D4684">
        <v>4.8925869999999998</v>
      </c>
      <c r="E4684">
        <v>0.48857909999999999</v>
      </c>
      <c r="F4684" t="s">
        <v>41</v>
      </c>
      <c r="G4684">
        <v>-426.83179999999999</v>
      </c>
      <c r="H4684" s="1">
        <v>-4.9760579999999998E-6</v>
      </c>
      <c r="I4684">
        <v>88.048079999999999</v>
      </c>
      <c r="J4684">
        <v>-417.55250000000001</v>
      </c>
      <c r="K4684">
        <v>1.1337360000000001</v>
      </c>
      <c r="L4684">
        <v>130.80690000000001</v>
      </c>
      <c r="M4684">
        <v>-0.48783140000000003</v>
      </c>
      <c r="N4684">
        <v>-1.4081949999999999E-2</v>
      </c>
      <c r="O4684">
        <v>-0.8728245</v>
      </c>
      <c r="P4684">
        <v>-0.2257642</v>
      </c>
      <c r="Q4684">
        <v>0.1200297</v>
      </c>
      <c r="R4684">
        <v>-0.96675929999999999</v>
      </c>
      <c r="S4684">
        <v>-0.64895630000000004</v>
      </c>
      <c r="T4684">
        <v>-7.7998520000000002E-2</v>
      </c>
      <c r="U4684">
        <v>-2.9615019999999999</v>
      </c>
      <c r="V4684">
        <v>-0.27870089999999997</v>
      </c>
      <c r="W4684">
        <v>0.1246396</v>
      </c>
      <c r="X4684">
        <v>0.95225559999999998</v>
      </c>
      <c r="Y4684">
        <v>-0.28964139999999999</v>
      </c>
      <c r="Z4684">
        <v>7.2860909999999997E-3</v>
      </c>
      <c r="AA4684">
        <v>0.9571075</v>
      </c>
      <c r="AB4684">
        <v>34</v>
      </c>
      <c r="AC4684">
        <v>-9.2792999999999708</v>
      </c>
      <c r="AD4684">
        <v>-1.1337409760579999</v>
      </c>
      <c r="AE4684">
        <v>-42.75882</v>
      </c>
      <c r="AF4684">
        <v>-12.7525952669526</v>
      </c>
      <c r="AG4684">
        <v>-1.1337409760579999</v>
      </c>
      <c r="AH4684">
        <v>41.8237403846584</v>
      </c>
      <c r="AI4684">
        <v>91.485291927330806</v>
      </c>
      <c r="AJ4684">
        <v>106.957136653242</v>
      </c>
      <c r="AK4684">
        <v>43.739448035003903</v>
      </c>
      <c r="AL4684">
        <v>82.840056198081001</v>
      </c>
      <c r="AM4684">
        <v>106.31340594868701</v>
      </c>
      <c r="AN4684">
        <v>0.99999997464016399</v>
      </c>
    </row>
    <row r="4685" spans="1:40" x14ac:dyDescent="0.25">
      <c r="A4685" t="str">
        <f>"20190303162914589"</f>
        <v>20190303162914589</v>
      </c>
      <c r="B4685" t="str">
        <f>"1551601754576856"</f>
        <v>1551601754576856</v>
      </c>
      <c r="C4685" t="s">
        <v>40</v>
      </c>
      <c r="D4685">
        <v>4.9353910000000001</v>
      </c>
      <c r="E4685">
        <v>0.4886527</v>
      </c>
      <c r="F4685" t="s">
        <v>41</v>
      </c>
      <c r="G4685">
        <v>-426.40050000000002</v>
      </c>
      <c r="H4685" s="1">
        <v>-5.0278390000000004E-6</v>
      </c>
      <c r="I4685">
        <v>88.425079999999994</v>
      </c>
      <c r="J4685">
        <v>-417.70139999999998</v>
      </c>
      <c r="K4685">
        <v>1.133661</v>
      </c>
      <c r="L4685">
        <v>130.5164</v>
      </c>
      <c r="M4685">
        <v>-0.47580420000000001</v>
      </c>
      <c r="N4685">
        <v>-1.406249E-2</v>
      </c>
      <c r="O4685">
        <v>-0.87943879999999996</v>
      </c>
      <c r="P4685">
        <v>-0.2157442</v>
      </c>
      <c r="Q4685">
        <v>0.1207445</v>
      </c>
      <c r="R4685">
        <v>-0.96895580000000003</v>
      </c>
      <c r="S4685">
        <v>-0.61968990000000002</v>
      </c>
      <c r="T4685">
        <v>-7.9404119999999995E-2</v>
      </c>
      <c r="U4685">
        <v>-2.9683069999999998</v>
      </c>
      <c r="V4685">
        <v>-0.27543600000000001</v>
      </c>
      <c r="W4685">
        <v>0.1255067</v>
      </c>
      <c r="X4685">
        <v>0.95309129999999997</v>
      </c>
      <c r="Y4685">
        <v>-0.28598519999999999</v>
      </c>
      <c r="Z4685">
        <v>7.8609059999999904E-3</v>
      </c>
      <c r="AA4685">
        <v>0.95820179999999999</v>
      </c>
      <c r="AB4685">
        <v>34</v>
      </c>
      <c r="AC4685">
        <v>-8.6991000000000405</v>
      </c>
      <c r="AD4685">
        <v>-1.1336660278389901</v>
      </c>
      <c r="AE4685">
        <v>-42.091320000000003</v>
      </c>
      <c r="AF4685">
        <v>-12.369519346192501</v>
      </c>
      <c r="AG4685">
        <v>-1.1336660278389901</v>
      </c>
      <c r="AH4685">
        <v>41.131263459958497</v>
      </c>
      <c r="AI4685">
        <v>91.511937936278699</v>
      </c>
      <c r="AJ4685">
        <v>106.737755174637</v>
      </c>
      <c r="AK4685">
        <v>42.9659288428753</v>
      </c>
      <c r="AL4685">
        <v>82.789981812070295</v>
      </c>
      <c r="AM4685">
        <v>106.118884106577</v>
      </c>
      <c r="AN4685">
        <v>0.99999997398828899</v>
      </c>
    </row>
    <row r="4686" spans="1:40" x14ac:dyDescent="0.25">
      <c r="A4686" t="str">
        <f>"20190303162914612"</f>
        <v>20190303162914612</v>
      </c>
      <c r="B4686" t="str">
        <f>"1551601754606135"</f>
        <v>1551601754606135</v>
      </c>
      <c r="C4686" t="s">
        <v>40</v>
      </c>
      <c r="D4686">
        <v>5.1030519999999999</v>
      </c>
      <c r="E4686">
        <v>0.49208970000000002</v>
      </c>
      <c r="F4686" t="s">
        <v>41</v>
      </c>
      <c r="G4686">
        <v>-425.82569999999998</v>
      </c>
      <c r="H4686" s="1">
        <v>-5.2847849999999996E-6</v>
      </c>
      <c r="I4686">
        <v>89.479759999999999</v>
      </c>
      <c r="J4686">
        <v>-417.85379999999998</v>
      </c>
      <c r="K4686">
        <v>1.1335599999999999</v>
      </c>
      <c r="L4686">
        <v>130.20859999999999</v>
      </c>
      <c r="M4686">
        <v>-0.4631265</v>
      </c>
      <c r="N4686">
        <v>-1.404161E-2</v>
      </c>
      <c r="O4686">
        <v>-0.88618109999999894</v>
      </c>
      <c r="P4686">
        <v>-0.20522489999999999</v>
      </c>
      <c r="Q4686">
        <v>0.1200953</v>
      </c>
      <c r="R4686">
        <v>-0.97131869999999998</v>
      </c>
      <c r="S4686">
        <v>-0.58901979999999998</v>
      </c>
      <c r="T4686">
        <v>-8.2192059999999997E-2</v>
      </c>
      <c r="U4686">
        <v>-2.9752040000000002</v>
      </c>
      <c r="V4686">
        <v>-0.27206580000000002</v>
      </c>
      <c r="W4686">
        <v>0.12501950000000001</v>
      </c>
      <c r="X4686">
        <v>0.95412280000000005</v>
      </c>
      <c r="Y4686">
        <v>-0.28215410000000002</v>
      </c>
      <c r="Z4686">
        <v>8.8233110000000003E-3</v>
      </c>
      <c r="AA4686">
        <v>0.95932850000000003</v>
      </c>
      <c r="AB4686">
        <v>34</v>
      </c>
      <c r="AC4686">
        <v>-7.9718999999999998</v>
      </c>
      <c r="AD4686">
        <v>-1.133565284785</v>
      </c>
      <c r="AE4686">
        <v>-40.728839999999899</v>
      </c>
      <c r="AF4686">
        <v>-11.790423596386301</v>
      </c>
      <c r="AG4686">
        <v>-1.133565284785</v>
      </c>
      <c r="AH4686">
        <v>39.7593818025423</v>
      </c>
      <c r="AI4686">
        <v>91.565738484320605</v>
      </c>
      <c r="AJ4686">
        <v>106.51743061813001</v>
      </c>
      <c r="AK4686">
        <v>41.486232658044798</v>
      </c>
      <c r="AL4686">
        <v>82.818118089681604</v>
      </c>
      <c r="AM4686">
        <v>105.91537170463</v>
      </c>
      <c r="AN4686">
        <v>0.99999999619486502</v>
      </c>
    </row>
    <row r="4687" spans="1:40" x14ac:dyDescent="0.25">
      <c r="A4687" t="str">
        <f>"20190303162914635"</f>
        <v>20190303162914635</v>
      </c>
      <c r="B4687" t="str">
        <f>"1551601754626242"</f>
        <v>1551601754626242</v>
      </c>
      <c r="C4687" t="s">
        <v>40</v>
      </c>
      <c r="D4687">
        <v>5.1829619999999998</v>
      </c>
      <c r="E4687">
        <v>0.49351780000000001</v>
      </c>
      <c r="F4687" t="s">
        <v>41</v>
      </c>
      <c r="G4687">
        <v>-422.73689999999999</v>
      </c>
      <c r="H4687" s="1">
        <v>-3.4562780000000001E-6</v>
      </c>
      <c r="I4687">
        <v>105.36279999999999</v>
      </c>
      <c r="J4687">
        <v>-417.99639999999999</v>
      </c>
      <c r="K4687">
        <v>1.1334569999999999</v>
      </c>
      <c r="L4687">
        <v>129.91040000000001</v>
      </c>
      <c r="M4687">
        <v>-0.45092149999999998</v>
      </c>
      <c r="N4687">
        <v>-1.401995E-2</v>
      </c>
      <c r="O4687">
        <v>-0.89245350000000001</v>
      </c>
      <c r="P4687">
        <v>-0.1949372</v>
      </c>
      <c r="Q4687">
        <v>0.1183138</v>
      </c>
      <c r="R4687">
        <v>-0.97365369999999996</v>
      </c>
      <c r="S4687">
        <v>-0.58599849999999998</v>
      </c>
      <c r="T4687">
        <v>-0.1360326</v>
      </c>
      <c r="U4687">
        <v>-2.9816129999999998</v>
      </c>
      <c r="V4687">
        <v>-0.26907330000000002</v>
      </c>
      <c r="W4687">
        <v>0.123389</v>
      </c>
      <c r="X4687">
        <v>0.95518309999999995</v>
      </c>
      <c r="Y4687">
        <v>-0.27031149999999998</v>
      </c>
      <c r="Z4687">
        <v>2.3766039999999999E-2</v>
      </c>
      <c r="AA4687">
        <v>0.96247950000000004</v>
      </c>
      <c r="AB4687">
        <v>34</v>
      </c>
      <c r="AC4687">
        <v>-4.7404999999999902</v>
      </c>
      <c r="AD4687">
        <v>-1.133460456278</v>
      </c>
      <c r="AE4687">
        <v>-24.547599999999999</v>
      </c>
      <c r="AF4687">
        <v>-6.8250089211494203</v>
      </c>
      <c r="AG4687">
        <v>-1.133460456278</v>
      </c>
      <c r="AH4687">
        <v>23.998222730636598</v>
      </c>
      <c r="AI4687">
        <v>92.60113212681</v>
      </c>
      <c r="AJ4687">
        <v>105.87556285070499</v>
      </c>
      <c r="AK4687">
        <v>24.975591556737101</v>
      </c>
      <c r="AL4687">
        <v>82.912268074166505</v>
      </c>
      <c r="AM4687">
        <v>105.732429262263</v>
      </c>
      <c r="AN4687">
        <v>1.0000000203097399</v>
      </c>
    </row>
    <row r="4688" spans="1:40" x14ac:dyDescent="0.25">
      <c r="A4688" t="str">
        <f>"20190303162914657"</f>
        <v>20190303162914657</v>
      </c>
      <c r="B4688" t="str">
        <f>"1551601754646739"</f>
        <v>1551601754646739</v>
      </c>
      <c r="C4688" t="s">
        <v>40</v>
      </c>
      <c r="D4688">
        <v>5.1324079999999999</v>
      </c>
      <c r="E4688">
        <v>0.48804890000000001</v>
      </c>
      <c r="F4688" t="s">
        <v>41</v>
      </c>
      <c r="G4688">
        <v>-422.4015</v>
      </c>
      <c r="H4688" s="1">
        <v>-3.9751409999999999E-6</v>
      </c>
      <c r="I4688">
        <v>106.64919999999999</v>
      </c>
      <c r="J4688">
        <v>-418.13619999999997</v>
      </c>
      <c r="K4688">
        <v>1.133359</v>
      </c>
      <c r="L4688">
        <v>129.6078</v>
      </c>
      <c r="M4688">
        <v>-0.43862649999999997</v>
      </c>
      <c r="N4688">
        <v>-1.399602E-2</v>
      </c>
      <c r="O4688">
        <v>-0.89856049999999998</v>
      </c>
      <c r="P4688">
        <v>-0.18403230000000001</v>
      </c>
      <c r="Q4688">
        <v>0.11734899999999999</v>
      </c>
      <c r="R4688">
        <v>-0.97589000000000004</v>
      </c>
      <c r="S4688">
        <v>-0.56539919999999899</v>
      </c>
      <c r="T4688">
        <v>-0.1454821</v>
      </c>
      <c r="U4688">
        <v>-2.9856259999999999</v>
      </c>
      <c r="V4688">
        <v>-0.26662920000000001</v>
      </c>
      <c r="W4688">
        <v>0.122558</v>
      </c>
      <c r="X4688">
        <v>0.95597509999999997</v>
      </c>
      <c r="Y4688">
        <v>-0.26374629999999999</v>
      </c>
      <c r="Z4688">
        <v>2.6769970000000001E-2</v>
      </c>
      <c r="AA4688">
        <v>0.96422050000000004</v>
      </c>
      <c r="AB4688">
        <v>34</v>
      </c>
      <c r="AC4688">
        <v>-4.2653000000000203</v>
      </c>
      <c r="AD4688">
        <v>-1.1333629751409999</v>
      </c>
      <c r="AE4688">
        <v>-22.958600000000001</v>
      </c>
      <c r="AF4688">
        <v>-6.2235705388455997</v>
      </c>
      <c r="AG4688">
        <v>-1.1333629751409999</v>
      </c>
      <c r="AH4688">
        <v>22.449884045936301</v>
      </c>
      <c r="AI4688">
        <v>92.785206608494804</v>
      </c>
      <c r="AJ4688">
        <v>105.494470126588</v>
      </c>
      <c r="AK4688">
        <v>23.324121324529902</v>
      </c>
      <c r="AL4688">
        <v>82.9602448194847</v>
      </c>
      <c r="AM4688">
        <v>105.584217053404</v>
      </c>
      <c r="AN4688">
        <v>0.99999999273832496</v>
      </c>
    </row>
    <row r="4689" spans="1:40" x14ac:dyDescent="0.25">
      <c r="A4689" t="str">
        <f>"20190303162914679"</f>
        <v>20190303162914679</v>
      </c>
      <c r="B4689" t="str">
        <f>"1551601754666258"</f>
        <v>1551601754666258</v>
      </c>
      <c r="C4689" t="s">
        <v>40</v>
      </c>
      <c r="D4689">
        <v>5.1305040000000002</v>
      </c>
      <c r="E4689">
        <v>0.48498400000000003</v>
      </c>
      <c r="F4689" t="s">
        <v>41</v>
      </c>
      <c r="G4689">
        <v>-422.23059999999998</v>
      </c>
      <c r="H4689" s="1">
        <v>-2.8916399999999998E-6</v>
      </c>
      <c r="I4689">
        <v>104.4533</v>
      </c>
      <c r="J4689">
        <v>-418.2697</v>
      </c>
      <c r="K4689">
        <v>1.133251</v>
      </c>
      <c r="L4689">
        <v>129.3083</v>
      </c>
      <c r="M4689">
        <v>-0.42657349999999999</v>
      </c>
      <c r="N4689">
        <v>-1.3969809999999999E-2</v>
      </c>
      <c r="O4689">
        <v>-0.90434519999999996</v>
      </c>
      <c r="P4689">
        <v>-0.1728537</v>
      </c>
      <c r="Q4689">
        <v>0.1182428</v>
      </c>
      <c r="R4689">
        <v>-0.97782429999999998</v>
      </c>
      <c r="S4689">
        <v>-0.4880371</v>
      </c>
      <c r="T4689">
        <v>-0.1350925</v>
      </c>
      <c r="U4689">
        <v>-2.9983219999999999</v>
      </c>
      <c r="V4689">
        <v>-0.2647272</v>
      </c>
      <c r="W4689">
        <v>0.12356880000000001</v>
      </c>
      <c r="X4689">
        <v>0.95637349999999999</v>
      </c>
      <c r="Y4689">
        <v>-0.27569690000000002</v>
      </c>
      <c r="Z4689">
        <v>2.4055030000000002E-2</v>
      </c>
      <c r="AA4689">
        <v>0.96094360000000001</v>
      </c>
      <c r="AB4689">
        <v>34</v>
      </c>
      <c r="AC4689">
        <v>-3.9608999999999801</v>
      </c>
      <c r="AD4689">
        <v>-1.1332538916399999</v>
      </c>
      <c r="AE4689">
        <v>-24.855</v>
      </c>
      <c r="AF4689">
        <v>-7.00694162057456</v>
      </c>
      <c r="AG4689">
        <v>-1.1332538916399999</v>
      </c>
      <c r="AH4689">
        <v>24.120567658929701</v>
      </c>
      <c r="AI4689">
        <v>92.583303912498295</v>
      </c>
      <c r="AJ4689">
        <v>106.19839854758401</v>
      </c>
      <c r="AK4689">
        <v>25.143255148171701</v>
      </c>
      <c r="AL4689">
        <v>82.9018867394186</v>
      </c>
      <c r="AM4689">
        <v>105.47225621302501</v>
      </c>
      <c r="AN4689">
        <v>1.00000000512776</v>
      </c>
    </row>
    <row r="4690" spans="1:40" x14ac:dyDescent="0.25">
      <c r="A4690" t="str">
        <f>"20190303162914703"</f>
        <v>20190303162914703</v>
      </c>
      <c r="B4690" t="str">
        <f>"1551601754696514"</f>
        <v>1551601754696514</v>
      </c>
      <c r="C4690" t="s">
        <v>40</v>
      </c>
      <c r="D4690">
        <v>5.0639430000000001</v>
      </c>
      <c r="E4690">
        <v>0.48325220000000002</v>
      </c>
      <c r="F4690" t="s">
        <v>41</v>
      </c>
      <c r="G4690">
        <v>-422.25189999999998</v>
      </c>
      <c r="H4690" s="1">
        <v>-1.4152860000000001E-6</v>
      </c>
      <c r="I4690">
        <v>101.3181</v>
      </c>
      <c r="J4690">
        <v>-418.40640000000002</v>
      </c>
      <c r="K4690">
        <v>1.1331180000000001</v>
      </c>
      <c r="L4690">
        <v>128.9905</v>
      </c>
      <c r="M4690">
        <v>-0.41391319999999998</v>
      </c>
      <c r="N4690">
        <v>-1.3938999999999899E-2</v>
      </c>
      <c r="O4690">
        <v>-0.91020979999999996</v>
      </c>
      <c r="P4690">
        <v>-0.16015650000000001</v>
      </c>
      <c r="Q4690">
        <v>0.1193847</v>
      </c>
      <c r="R4690">
        <v>-0.97984559999999998</v>
      </c>
      <c r="S4690">
        <v>-0.42782589999999998</v>
      </c>
      <c r="T4690">
        <v>-0.12175</v>
      </c>
      <c r="U4690">
        <v>-3.0071110000000001</v>
      </c>
      <c r="V4690">
        <v>-0.26371860000000003</v>
      </c>
      <c r="W4690">
        <v>0.1248051</v>
      </c>
      <c r="X4690">
        <v>0.9564916</v>
      </c>
      <c r="Y4690">
        <v>-0.2815241</v>
      </c>
      <c r="Z4690">
        <v>2.0567419999999999E-2</v>
      </c>
      <c r="AA4690">
        <v>0.95933369999999996</v>
      </c>
      <c r="AB4690">
        <v>34</v>
      </c>
      <c r="AC4690">
        <v>-3.8454999999999502</v>
      </c>
      <c r="AD4690">
        <v>-1.133119415286</v>
      </c>
      <c r="AE4690">
        <v>-27.6724</v>
      </c>
      <c r="AF4690">
        <v>-7.9414681458767902</v>
      </c>
      <c r="AG4690">
        <v>-1.133119415286</v>
      </c>
      <c r="AH4690">
        <v>26.738008129485301</v>
      </c>
      <c r="AI4690">
        <v>92.326339647329405</v>
      </c>
      <c r="AJ4690">
        <v>106.541970347529</v>
      </c>
      <c r="AK4690">
        <v>27.915442942100999</v>
      </c>
      <c r="AL4690">
        <v>82.830499282214703</v>
      </c>
      <c r="AM4690">
        <v>105.414303690035</v>
      </c>
      <c r="AN4690">
        <v>0.99999999692126496</v>
      </c>
    </row>
    <row r="4691" spans="1:40" x14ac:dyDescent="0.25">
      <c r="A4691" t="str">
        <f>"20190303162914725"</f>
        <v>20190303162914725</v>
      </c>
      <c r="B4691" t="str">
        <f>"1551601754716753"</f>
        <v>1551601754716753</v>
      </c>
      <c r="C4691" t="s">
        <v>40</v>
      </c>
      <c r="D4691">
        <v>5.1233579999999996</v>
      </c>
      <c r="E4691">
        <v>0.4828499</v>
      </c>
      <c r="F4691" t="s">
        <v>41</v>
      </c>
      <c r="G4691">
        <v>-422.22120000000001</v>
      </c>
      <c r="H4691" s="1">
        <v>-4.2489589999999998E-6</v>
      </c>
      <c r="I4691">
        <v>98.31474</v>
      </c>
      <c r="J4691">
        <v>-418.53100000000001</v>
      </c>
      <c r="K4691">
        <v>1.1329739999999999</v>
      </c>
      <c r="L4691">
        <v>128.68940000000001</v>
      </c>
      <c r="M4691">
        <v>-0.40209139999999999</v>
      </c>
      <c r="N4691">
        <v>-1.390632E-2</v>
      </c>
      <c r="O4691">
        <v>-0.91549400000000003</v>
      </c>
      <c r="P4691">
        <v>-0.14784939999999999</v>
      </c>
      <c r="Q4691">
        <v>0.1193507</v>
      </c>
      <c r="R4691">
        <v>-0.9817823</v>
      </c>
      <c r="S4691">
        <v>-0.37481690000000001</v>
      </c>
      <c r="T4691">
        <v>-0.1113335</v>
      </c>
      <c r="U4691">
        <v>-3.014008</v>
      </c>
      <c r="V4691">
        <v>-0.26328659999999998</v>
      </c>
      <c r="W4691">
        <v>0.12485060000000001</v>
      </c>
      <c r="X4691">
        <v>0.95660469999999997</v>
      </c>
      <c r="Y4691">
        <v>-0.28597810000000001</v>
      </c>
      <c r="Z4691">
        <v>1.7845400000000001E-2</v>
      </c>
      <c r="AA4691">
        <v>0.95806999999999998</v>
      </c>
      <c r="AB4691">
        <v>34</v>
      </c>
      <c r="AC4691">
        <v>-3.6901999999999999</v>
      </c>
      <c r="AD4691">
        <v>-1.1329782489589999</v>
      </c>
      <c r="AE4691">
        <v>-30.374659999999999</v>
      </c>
      <c r="AF4691">
        <v>-8.8237894164193698</v>
      </c>
      <c r="AG4691">
        <v>-1.1329782489589999</v>
      </c>
      <c r="AH4691">
        <v>29.254337751492901</v>
      </c>
      <c r="AI4691">
        <v>92.123475756011004</v>
      </c>
      <c r="AJ4691">
        <v>106.784533870796</v>
      </c>
      <c r="AK4691">
        <v>30.577102162506399</v>
      </c>
      <c r="AL4691">
        <v>82.827872004674305</v>
      </c>
      <c r="AM4691">
        <v>105.38851809557001</v>
      </c>
      <c r="AN4691">
        <v>1.0000000290610001</v>
      </c>
    </row>
    <row r="4692" spans="1:40" x14ac:dyDescent="0.25">
      <c r="A4692" t="str">
        <f>"20190303162914746"</f>
        <v>20190303162914746</v>
      </c>
      <c r="B4692" t="str">
        <f>"1551601754736273"</f>
        <v>1551601754736273</v>
      </c>
      <c r="C4692" t="s">
        <v>40</v>
      </c>
      <c r="D4692">
        <v>5.1949579999999997</v>
      </c>
      <c r="E4692">
        <v>0.48277969999999998</v>
      </c>
      <c r="F4692" t="s">
        <v>41</v>
      </c>
      <c r="G4692">
        <v>-421.9717</v>
      </c>
      <c r="H4692" s="1">
        <v>-3.9573140000000002E-6</v>
      </c>
      <c r="I4692">
        <v>97.590810000000005</v>
      </c>
      <c r="J4692">
        <v>-418.64920000000001</v>
      </c>
      <c r="K4692">
        <v>1.132814</v>
      </c>
      <c r="L4692">
        <v>128.39349999999999</v>
      </c>
      <c r="M4692">
        <v>-0.39063870000000001</v>
      </c>
      <c r="N4692">
        <v>-1.3871710000000001E-2</v>
      </c>
      <c r="O4692">
        <v>-0.92043969999999997</v>
      </c>
      <c r="P4692">
        <v>-0.13624249999999999</v>
      </c>
      <c r="Q4692">
        <v>0.1181191</v>
      </c>
      <c r="R4692">
        <v>-0.9836087</v>
      </c>
      <c r="S4692">
        <v>-0.33398440000000001</v>
      </c>
      <c r="T4692">
        <v>-0.1099774</v>
      </c>
      <c r="U4692">
        <v>-3.018723</v>
      </c>
      <c r="V4692">
        <v>-0.26262229999999998</v>
      </c>
      <c r="W4692">
        <v>0.1237103</v>
      </c>
      <c r="X4692">
        <v>0.95693530000000004</v>
      </c>
      <c r="Y4692">
        <v>-0.28698970000000001</v>
      </c>
      <c r="Z4692">
        <v>1.7681479999999999E-2</v>
      </c>
      <c r="AA4692">
        <v>0.95777049999999997</v>
      </c>
      <c r="AB4692">
        <v>34</v>
      </c>
      <c r="AC4692">
        <v>-3.32249999999999</v>
      </c>
      <c r="AD4692">
        <v>-1.132817957314</v>
      </c>
      <c r="AE4692">
        <v>-30.802689999999899</v>
      </c>
      <c r="AF4692">
        <v>-8.9634405112023394</v>
      </c>
      <c r="AG4692">
        <v>-1.132817957314</v>
      </c>
      <c r="AH4692">
        <v>29.613173361829102</v>
      </c>
      <c r="AI4692">
        <v>92.096855798724306</v>
      </c>
      <c r="AJ4692">
        <v>106.840236047289</v>
      </c>
      <c r="AK4692">
        <v>30.960726394579599</v>
      </c>
      <c r="AL4692">
        <v>82.893716231358098</v>
      </c>
      <c r="AM4692">
        <v>105.346471578357</v>
      </c>
      <c r="AN4692">
        <v>0.99999993958473299</v>
      </c>
    </row>
    <row r="4693" spans="1:40" x14ac:dyDescent="0.25">
      <c r="A4693" t="str">
        <f>"20190303162914769"</f>
        <v>20190303162914769</v>
      </c>
      <c r="B4693" t="str">
        <f>"1551601754756770"</f>
        <v>1551601754756770</v>
      </c>
      <c r="C4693" t="s">
        <v>40</v>
      </c>
      <c r="D4693">
        <v>5.0594020000000004</v>
      </c>
      <c r="E4693">
        <v>0.4829272</v>
      </c>
      <c r="F4693" t="s">
        <v>41</v>
      </c>
      <c r="G4693">
        <v>-421.61799999999999</v>
      </c>
      <c r="H4693" s="1">
        <v>-4.1187589999999998E-6</v>
      </c>
      <c r="I4693">
        <v>98.246579999999994</v>
      </c>
      <c r="J4693">
        <v>-418.76960000000003</v>
      </c>
      <c r="K4693">
        <v>1.1326499999999999</v>
      </c>
      <c r="L4693">
        <v>128.0804</v>
      </c>
      <c r="M4693">
        <v>-0.3786813</v>
      </c>
      <c r="N4693">
        <v>-1.3834040000000001E-2</v>
      </c>
      <c r="O4693">
        <v>-0.92542380000000002</v>
      </c>
      <c r="P4693">
        <v>-0.12516099999999999</v>
      </c>
      <c r="Q4693">
        <v>0.11814180000000001</v>
      </c>
      <c r="R4693">
        <v>-0.98507710000000004</v>
      </c>
      <c r="S4693">
        <v>-0.29763790000000001</v>
      </c>
      <c r="T4693">
        <v>-0.11357150000000001</v>
      </c>
      <c r="U4693">
        <v>-3.0224000000000002</v>
      </c>
      <c r="V4693">
        <v>-0.26094329999999999</v>
      </c>
      <c r="W4693">
        <v>0.12385739999999899</v>
      </c>
      <c r="X4693">
        <v>0.95737550000000005</v>
      </c>
      <c r="Y4693">
        <v>-0.28610000000000002</v>
      </c>
      <c r="Z4693">
        <v>1.8955920000000001E-2</v>
      </c>
      <c r="AA4693">
        <v>0.95801219999999998</v>
      </c>
      <c r="AB4693">
        <v>34</v>
      </c>
      <c r="AC4693">
        <v>-2.8484000000000198</v>
      </c>
      <c r="AD4693">
        <v>-1.132654118759</v>
      </c>
      <c r="AE4693">
        <v>-29.8338199999999</v>
      </c>
      <c r="AF4693">
        <v>-8.6500057519182398</v>
      </c>
      <c r="AG4693">
        <v>-1.132654118759</v>
      </c>
      <c r="AH4693">
        <v>28.649385246778799</v>
      </c>
      <c r="AI4693">
        <v>92.167470854787496</v>
      </c>
      <c r="AJ4693">
        <v>106.800451563723</v>
      </c>
      <c r="AK4693">
        <v>29.948168222435701</v>
      </c>
      <c r="AL4693">
        <v>82.885222807574806</v>
      </c>
      <c r="AM4693">
        <v>105.246255398877</v>
      </c>
      <c r="AN4693">
        <v>0.99999995467494895</v>
      </c>
    </row>
    <row r="4694" spans="1:40" x14ac:dyDescent="0.25">
      <c r="A4694" t="str">
        <f>"20190303162914791"</f>
        <v>20190303162914791</v>
      </c>
      <c r="B4694" t="str">
        <f>"1551601754787026"</f>
        <v>1551601754787026</v>
      </c>
      <c r="C4694" t="s">
        <v>40</v>
      </c>
      <c r="D4694">
        <v>5.1215359999999999</v>
      </c>
      <c r="E4694">
        <v>0.4833344</v>
      </c>
      <c r="F4694" t="s">
        <v>41</v>
      </c>
      <c r="G4694">
        <v>-421.45269999999999</v>
      </c>
      <c r="H4694" s="1">
        <v>-3.683288E-6</v>
      </c>
      <c r="I4694">
        <v>97.273960000000002</v>
      </c>
      <c r="J4694">
        <v>-418.88720000000001</v>
      </c>
      <c r="K4694">
        <v>1.1324879999999999</v>
      </c>
      <c r="L4694">
        <v>127.7633</v>
      </c>
      <c r="M4694">
        <v>-0.36674449999999997</v>
      </c>
      <c r="N4694">
        <v>-1.3797230000000001E-2</v>
      </c>
      <c r="O4694">
        <v>-0.93021960000000004</v>
      </c>
      <c r="P4694">
        <v>-0.1135284</v>
      </c>
      <c r="Q4694">
        <v>0.11841649999999999</v>
      </c>
      <c r="R4694">
        <v>-0.98645289999999997</v>
      </c>
      <c r="S4694">
        <v>-0.26348880000000002</v>
      </c>
      <c r="T4694">
        <v>-0.1112311</v>
      </c>
      <c r="U4694">
        <v>-3.0253139999999998</v>
      </c>
      <c r="V4694">
        <v>-0.25986670000000001</v>
      </c>
      <c r="W4694">
        <v>0.1242355</v>
      </c>
      <c r="X4694">
        <v>0.95761940000000001</v>
      </c>
      <c r="Y4694">
        <v>-0.2845857</v>
      </c>
      <c r="Z4694">
        <v>1.8537270000000002E-2</v>
      </c>
      <c r="AA4694">
        <v>0.95847139999999997</v>
      </c>
      <c r="AB4694">
        <v>34</v>
      </c>
      <c r="AC4694">
        <v>-2.5654999999999801</v>
      </c>
      <c r="AD4694">
        <v>-1.1324916832880001</v>
      </c>
      <c r="AE4694">
        <v>-30.489339999999999</v>
      </c>
      <c r="AF4694">
        <v>-8.7841209505628406</v>
      </c>
      <c r="AG4694">
        <v>-1.1324916832880001</v>
      </c>
      <c r="AH4694">
        <v>29.265355792707499</v>
      </c>
      <c r="AI4694">
        <v>92.122625641676095</v>
      </c>
      <c r="AJ4694">
        <v>106.707352087793</v>
      </c>
      <c r="AK4694">
        <v>30.576205911796698</v>
      </c>
      <c r="AL4694">
        <v>82.863391249112198</v>
      </c>
      <c r="AM4694">
        <v>105.182573581724</v>
      </c>
      <c r="AN4694">
        <v>1.0000000382427401</v>
      </c>
    </row>
    <row r="4695" spans="1:40" x14ac:dyDescent="0.25">
      <c r="A4695" t="str">
        <f>"20190303162914815"</f>
        <v>20190303162914815</v>
      </c>
      <c r="B4695" t="str">
        <f>"1551601754806545"</f>
        <v>1551601754806545</v>
      </c>
      <c r="C4695" t="s">
        <v>40</v>
      </c>
      <c r="D4695">
        <v>5.051482</v>
      </c>
      <c r="E4695">
        <v>0.48387350000000001</v>
      </c>
      <c r="F4695" t="s">
        <v>41</v>
      </c>
      <c r="G4695">
        <v>-421.28250000000003</v>
      </c>
      <c r="H4695" s="1">
        <v>-3.1966789999999999E-6</v>
      </c>
      <c r="I4695">
        <v>96.245220000000003</v>
      </c>
      <c r="J4695">
        <v>-419.0027</v>
      </c>
      <c r="K4695">
        <v>1.13232</v>
      </c>
      <c r="L4695">
        <v>127.4395</v>
      </c>
      <c r="M4695">
        <v>-0.35474410000000001</v>
      </c>
      <c r="N4695">
        <v>-1.3760140000000001E-2</v>
      </c>
      <c r="O4695">
        <v>-0.93486219999999998</v>
      </c>
      <c r="P4695">
        <v>-0.10219499999999999</v>
      </c>
      <c r="Q4695">
        <v>0.1183208</v>
      </c>
      <c r="R4695">
        <v>-0.98770250000000004</v>
      </c>
      <c r="S4695">
        <v>-0.23010249999999999</v>
      </c>
      <c r="T4695">
        <v>-0.10879229999999999</v>
      </c>
      <c r="U4695">
        <v>-3.027771</v>
      </c>
      <c r="V4695">
        <v>-0.25848589999999999</v>
      </c>
      <c r="W4695">
        <v>0.1242535</v>
      </c>
      <c r="X4695">
        <v>0.95799060000000003</v>
      </c>
      <c r="Y4695">
        <v>-0.2828176</v>
      </c>
      <c r="Z4695">
        <v>1.8078500000000001E-2</v>
      </c>
      <c r="AA4695">
        <v>0.9590033</v>
      </c>
      <c r="AB4695">
        <v>34</v>
      </c>
      <c r="AC4695">
        <v>-2.2798000000000198</v>
      </c>
      <c r="AD4695">
        <v>-1.1323231966789999</v>
      </c>
      <c r="AE4695">
        <v>-31.194279999999999</v>
      </c>
      <c r="AF4695">
        <v>-8.9238379100983902</v>
      </c>
      <c r="AG4695">
        <v>-1.1323231966789999</v>
      </c>
      <c r="AH4695">
        <v>29.934702780184001</v>
      </c>
      <c r="AI4695">
        <v>92.076060567066904</v>
      </c>
      <c r="AJ4695">
        <v>106.59985134112701</v>
      </c>
      <c r="AK4695">
        <v>31.257054714182601</v>
      </c>
      <c r="AL4695">
        <v>82.862351175558203</v>
      </c>
      <c r="AM4695">
        <v>105.100011050958</v>
      </c>
      <c r="AN4695">
        <v>0.99999994122470803</v>
      </c>
    </row>
    <row r="4696" spans="1:40" x14ac:dyDescent="0.25">
      <c r="A4696" t="str">
        <f>"20190303162914836"</f>
        <v>20190303162914836</v>
      </c>
      <c r="B4696" t="str">
        <f>"1551601754826574"</f>
        <v>1551601754826574</v>
      </c>
      <c r="C4696" t="s">
        <v>40</v>
      </c>
      <c r="D4696">
        <v>5.0609029999999997</v>
      </c>
      <c r="E4696">
        <v>0.48451430000000001</v>
      </c>
      <c r="F4696" t="s">
        <v>41</v>
      </c>
      <c r="G4696">
        <v>-421.08539999999999</v>
      </c>
      <c r="H4696" s="1">
        <v>-2.9339890000000001E-6</v>
      </c>
      <c r="I4696">
        <v>95.755099999999999</v>
      </c>
      <c r="J4696">
        <v>-419.1062</v>
      </c>
      <c r="K4696">
        <v>1.1321699999999999</v>
      </c>
      <c r="L4696">
        <v>127.13800000000001</v>
      </c>
      <c r="M4696">
        <v>-0.34374519999999997</v>
      </c>
      <c r="N4696">
        <v>-1.372486E-2</v>
      </c>
      <c r="O4696">
        <v>-0.93896270000000004</v>
      </c>
      <c r="P4696">
        <v>-9.391236E-2</v>
      </c>
      <c r="Q4696">
        <v>0.11766069999999999</v>
      </c>
      <c r="R4696">
        <v>-0.98860320000000002</v>
      </c>
      <c r="S4696">
        <v>-0.19915769999999999</v>
      </c>
      <c r="T4696">
        <v>-0.1082742</v>
      </c>
      <c r="U4696">
        <v>-3.029709</v>
      </c>
      <c r="V4696">
        <v>-0.25522349999999999</v>
      </c>
      <c r="W4696">
        <v>0.12376189999999999</v>
      </c>
      <c r="X4696">
        <v>0.95892849999999996</v>
      </c>
      <c r="Y4696">
        <v>-0.28135100000000002</v>
      </c>
      <c r="Z4696">
        <v>1.8146829999999999E-2</v>
      </c>
      <c r="AA4696">
        <v>0.95943330000000004</v>
      </c>
      <c r="AB4696">
        <v>34</v>
      </c>
      <c r="AC4696">
        <v>-1.9791999999999901</v>
      </c>
      <c r="AD4696">
        <v>-1.1321729339890001</v>
      </c>
      <c r="AE4696">
        <v>-31.3828999999999</v>
      </c>
      <c r="AF4696">
        <v>-8.9186055577867993</v>
      </c>
      <c r="AG4696">
        <v>-1.1321729339890001</v>
      </c>
      <c r="AH4696">
        <v>30.111517152315798</v>
      </c>
      <c r="AI4696">
        <v>92.064690462832004</v>
      </c>
      <c r="AJ4696">
        <v>106.49854426392299</v>
      </c>
      <c r="AK4696">
        <v>31.424939234023299</v>
      </c>
      <c r="AL4696">
        <v>82.890736986636099</v>
      </c>
      <c r="AM4696">
        <v>104.904037253691</v>
      </c>
      <c r="AN4696">
        <v>0.99999995547805398</v>
      </c>
    </row>
    <row r="4697" spans="1:40" x14ac:dyDescent="0.25">
      <c r="A4697" t="str">
        <f>"20190303162914870"</f>
        <v>20190303162914870</v>
      </c>
      <c r="B4697" t="str">
        <f>"1551601754856829"</f>
        <v>1551601754856829</v>
      </c>
      <c r="C4697" t="s">
        <v>40</v>
      </c>
      <c r="D4697">
        <v>4.828551</v>
      </c>
      <c r="E4697">
        <v>0.48565199999999997</v>
      </c>
      <c r="F4697" t="s">
        <v>41</v>
      </c>
      <c r="G4697">
        <v>-420.95240000000001</v>
      </c>
      <c r="H4697" s="1">
        <v>-2.8773660000000001E-6</v>
      </c>
      <c r="I4697">
        <v>95.705590000000001</v>
      </c>
      <c r="J4697">
        <v>-419.26069999999999</v>
      </c>
      <c r="K4697">
        <v>1.1319349999999999</v>
      </c>
      <c r="L4697">
        <v>126.6658</v>
      </c>
      <c r="M4697">
        <v>-0.32687080000000002</v>
      </c>
      <c r="N4697">
        <v>-1.366824E-2</v>
      </c>
      <c r="O4697">
        <v>-0.94497039999999999</v>
      </c>
      <c r="P4697">
        <v>-8.3101709999999995E-2</v>
      </c>
      <c r="Q4697">
        <v>0.1184249</v>
      </c>
      <c r="R4697">
        <v>-0.98947960000000001</v>
      </c>
      <c r="S4697">
        <v>-0.178009</v>
      </c>
      <c r="T4697">
        <v>-0.1091627</v>
      </c>
      <c r="U4697">
        <v>-3.0306700000000002</v>
      </c>
      <c r="V4697">
        <v>-0.2484239</v>
      </c>
      <c r="W4697">
        <v>0.1248368</v>
      </c>
      <c r="X4697">
        <v>0.96057340000000002</v>
      </c>
      <c r="Y4697">
        <v>-0.27083859999999998</v>
      </c>
      <c r="Z4697">
        <v>1.8810839999999999E-2</v>
      </c>
      <c r="AA4697">
        <v>0.96244099999999999</v>
      </c>
      <c r="AB4697">
        <v>34</v>
      </c>
      <c r="AC4697">
        <v>-1.69170000000002</v>
      </c>
      <c r="AD4697">
        <v>-1.131937877366</v>
      </c>
      <c r="AE4697">
        <v>-30.96021</v>
      </c>
      <c r="AF4697">
        <v>-8.5108339313911507</v>
      </c>
      <c r="AG4697">
        <v>-1.131937877366</v>
      </c>
      <c r="AH4697">
        <v>29.772549520357298</v>
      </c>
      <c r="AI4697">
        <v>92.093529306720797</v>
      </c>
      <c r="AJ4697">
        <v>105.953208476439</v>
      </c>
      <c r="AK4697">
        <v>30.985807759489902</v>
      </c>
      <c r="AL4697">
        <v>82.828668414320802</v>
      </c>
      <c r="AM4697">
        <v>104.50015250035101</v>
      </c>
      <c r="AN4697">
        <v>0.99999995875650405</v>
      </c>
    </row>
    <row r="4698" spans="1:40" x14ac:dyDescent="0.25">
      <c r="A4698" t="str">
        <f>"20190303162914890"</f>
        <v>20190303162914890</v>
      </c>
      <c r="B4698" t="str">
        <f>"1551601754876349"</f>
        <v>1551601754876349</v>
      </c>
      <c r="C4698" t="s">
        <v>40</v>
      </c>
      <c r="D4698">
        <v>4.7911390000000003</v>
      </c>
      <c r="E4698">
        <v>0.48607840000000002</v>
      </c>
      <c r="F4698" t="s">
        <v>41</v>
      </c>
      <c r="G4698">
        <v>-420.88940000000002</v>
      </c>
      <c r="H4698" s="1">
        <v>-2.1651860000000001E-6</v>
      </c>
      <c r="I4698">
        <v>94.084599999999995</v>
      </c>
      <c r="J4698">
        <v>-419.35629999999998</v>
      </c>
      <c r="K4698">
        <v>1.1317740000000001</v>
      </c>
      <c r="L4698">
        <v>126.35850000000001</v>
      </c>
      <c r="M4698">
        <v>-0.31610749999999999</v>
      </c>
      <c r="N4698">
        <v>-1.3631549999999999E-2</v>
      </c>
      <c r="O4698">
        <v>-0.94862559999999996</v>
      </c>
      <c r="P4698">
        <v>-7.7772709999999995E-2</v>
      </c>
      <c r="Q4698">
        <v>0.1187546</v>
      </c>
      <c r="R4698">
        <v>-0.98987329999999996</v>
      </c>
      <c r="S4698">
        <v>-0.1515503</v>
      </c>
      <c r="T4698">
        <v>-0.1053293</v>
      </c>
      <c r="U4698">
        <v>-3.0317539999999998</v>
      </c>
      <c r="V4698">
        <v>-0.24260860000000001</v>
      </c>
      <c r="W4698">
        <v>0.1254065</v>
      </c>
      <c r="X4698">
        <v>0.96198459999999997</v>
      </c>
      <c r="Y4698">
        <v>-0.26829239999999999</v>
      </c>
      <c r="Z4698">
        <v>1.7885270000000002E-2</v>
      </c>
      <c r="AA4698">
        <v>0.96317149999999996</v>
      </c>
      <c r="AB4698">
        <v>34</v>
      </c>
      <c r="AC4698">
        <v>-1.5331000000000401</v>
      </c>
      <c r="AD4698">
        <v>-1.1317761651860001</v>
      </c>
      <c r="AE4698">
        <v>-32.273899999999998</v>
      </c>
      <c r="AF4698">
        <v>-8.73777436338281</v>
      </c>
      <c r="AG4698">
        <v>-1.1317761651860001</v>
      </c>
      <c r="AH4698">
        <v>31.065240844326802</v>
      </c>
      <c r="AI4698">
        <v>92.008615750129493</v>
      </c>
      <c r="AJ4698">
        <v>105.709792155592</v>
      </c>
      <c r="AK4698">
        <v>32.290537419335401</v>
      </c>
      <c r="AL4698">
        <v>82.795769097476096</v>
      </c>
      <c r="AM4698">
        <v>104.15459858989701</v>
      </c>
      <c r="AN4698">
        <v>1.0000000468366801</v>
      </c>
    </row>
    <row r="4699" spans="1:40" x14ac:dyDescent="0.25">
      <c r="A4699" t="str">
        <f>"20190303162914913"</f>
        <v>20190303162914913</v>
      </c>
      <c r="B4699" t="str">
        <f>"1551601754906605"</f>
        <v>1551601754906605</v>
      </c>
      <c r="C4699" t="s">
        <v>40</v>
      </c>
      <c r="D4699">
        <v>4.7361979999999999</v>
      </c>
      <c r="E4699">
        <v>0.4868384</v>
      </c>
      <c r="F4699" t="s">
        <v>41</v>
      </c>
      <c r="G4699">
        <v>-420.83859999999999</v>
      </c>
      <c r="H4699" s="1">
        <v>-1.9647960000000001E-6</v>
      </c>
      <c r="I4699">
        <v>93.648989999999998</v>
      </c>
      <c r="J4699">
        <v>-419.45299999999997</v>
      </c>
      <c r="K4699">
        <v>1.1316120000000001</v>
      </c>
      <c r="L4699">
        <v>126.0352</v>
      </c>
      <c r="M4699">
        <v>-0.30494270000000001</v>
      </c>
      <c r="N4699">
        <v>-1.359484E-2</v>
      </c>
      <c r="O4699">
        <v>-0.95227390000000001</v>
      </c>
      <c r="P4699">
        <v>-7.1577180000000004E-2</v>
      </c>
      <c r="Q4699">
        <v>0.1182212</v>
      </c>
      <c r="R4699">
        <v>-0.99040439999999996</v>
      </c>
      <c r="S4699">
        <v>-0.13742070000000001</v>
      </c>
      <c r="T4699">
        <v>-0.1049259</v>
      </c>
      <c r="U4699">
        <v>-3.0324710000000001</v>
      </c>
      <c r="V4699">
        <v>-0.2372708</v>
      </c>
      <c r="W4699">
        <v>0.12509509999999999</v>
      </c>
      <c r="X4699">
        <v>0.96335550000000003</v>
      </c>
      <c r="Y4699">
        <v>-0.26146209999999998</v>
      </c>
      <c r="Z4699">
        <v>1.800386E-2</v>
      </c>
      <c r="AA4699">
        <v>0.96504579999999995</v>
      </c>
      <c r="AB4699">
        <v>34</v>
      </c>
      <c r="AC4699">
        <v>-1.38559999999995</v>
      </c>
      <c r="AD4699">
        <v>-1.131613964796</v>
      </c>
      <c r="AE4699">
        <v>-32.386209999999998</v>
      </c>
      <c r="AF4699">
        <v>-8.5468408050119606</v>
      </c>
      <c r="AG4699">
        <v>-1.131613964796</v>
      </c>
      <c r="AH4699">
        <v>31.227897327754</v>
      </c>
      <c r="AI4699">
        <v>92.001777808156703</v>
      </c>
      <c r="AJ4699">
        <v>105.306580001925</v>
      </c>
      <c r="AK4699">
        <v>32.396151151398897</v>
      </c>
      <c r="AL4699">
        <v>82.813752412205503</v>
      </c>
      <c r="AM4699">
        <v>103.836341085653</v>
      </c>
      <c r="AN4699">
        <v>1.0000000179784401</v>
      </c>
    </row>
    <row r="4700" spans="1:40" x14ac:dyDescent="0.25">
      <c r="A4700" t="str">
        <f>"20190303162914935"</f>
        <v>20190303162914935</v>
      </c>
      <c r="B4700" t="str">
        <f>"1551601754926457"</f>
        <v>1551601754926457</v>
      </c>
      <c r="C4700" t="s">
        <v>40</v>
      </c>
      <c r="D4700">
        <v>4.9371679999999998</v>
      </c>
      <c r="E4700">
        <v>0.48712369999999999</v>
      </c>
      <c r="F4700" t="s">
        <v>41</v>
      </c>
      <c r="G4700">
        <v>-420.76639999999998</v>
      </c>
      <c r="H4700" s="1">
        <v>-2.0781130000000002E-6</v>
      </c>
      <c r="I4700">
        <v>93.957920000000001</v>
      </c>
      <c r="J4700">
        <v>-419.54039999999998</v>
      </c>
      <c r="K4700">
        <v>1.1314610000000001</v>
      </c>
      <c r="L4700">
        <v>125.7307</v>
      </c>
      <c r="M4700">
        <v>-0.29459619999999997</v>
      </c>
      <c r="N4700">
        <v>-1.356169E-2</v>
      </c>
      <c r="O4700">
        <v>-0.95552579999999998</v>
      </c>
      <c r="P4700">
        <v>-6.648192E-2</v>
      </c>
      <c r="Q4700">
        <v>0.1189023</v>
      </c>
      <c r="R4700">
        <v>-0.99067799999999995</v>
      </c>
      <c r="S4700">
        <v>-0.12417599999999999</v>
      </c>
      <c r="T4700">
        <v>-0.1069928</v>
      </c>
      <c r="U4700">
        <v>-3.032867</v>
      </c>
      <c r="V4700">
        <v>-0.23171040000000001</v>
      </c>
      <c r="W4700">
        <v>0.12599679999999999</v>
      </c>
      <c r="X4700">
        <v>0.96459059999999996</v>
      </c>
      <c r="Y4700">
        <v>-0.25520189999999998</v>
      </c>
      <c r="Z4700">
        <v>1.884359E-2</v>
      </c>
      <c r="AA4700">
        <v>0.96670409999999996</v>
      </c>
      <c r="AB4700">
        <v>34</v>
      </c>
      <c r="AC4700">
        <v>-1.22599999999999</v>
      </c>
      <c r="AD4700">
        <v>-1.131463078113</v>
      </c>
      <c r="AE4700">
        <v>-31.772780000000001</v>
      </c>
      <c r="AF4700">
        <v>-8.17906028634793</v>
      </c>
      <c r="AG4700">
        <v>-1.131463078113</v>
      </c>
      <c r="AH4700">
        <v>30.6848502589527</v>
      </c>
      <c r="AI4700">
        <v>92.040565967109202</v>
      </c>
      <c r="AJ4700">
        <v>104.925199722022</v>
      </c>
      <c r="AK4700">
        <v>31.776363405512502</v>
      </c>
      <c r="AL4700">
        <v>82.761676384032597</v>
      </c>
      <c r="AM4700">
        <v>103.507451664602</v>
      </c>
      <c r="AN4700">
        <v>0.99999996434337901</v>
      </c>
    </row>
    <row r="4701" spans="1:40" x14ac:dyDescent="0.25">
      <c r="A4701" t="str">
        <f>"20190303162914958"</f>
        <v>20190303162914958</v>
      </c>
      <c r="B4701" t="str">
        <f>"1551601754946952"</f>
        <v>1551601754946952</v>
      </c>
      <c r="C4701" t="s">
        <v>40</v>
      </c>
      <c r="D4701">
        <v>4.7380899999999997</v>
      </c>
      <c r="E4701">
        <v>0.48694159999999997</v>
      </c>
      <c r="F4701" t="s">
        <v>41</v>
      </c>
      <c r="G4701">
        <v>-420.7466</v>
      </c>
      <c r="H4701" s="1">
        <v>-1.5740150000000001E-6</v>
      </c>
      <c r="I4701">
        <v>92.795140000000004</v>
      </c>
      <c r="J4701">
        <v>-419.6302</v>
      </c>
      <c r="K4701">
        <v>1.131294</v>
      </c>
      <c r="L4701">
        <v>125.4046</v>
      </c>
      <c r="M4701">
        <v>-0.28369680000000003</v>
      </c>
      <c r="N4701">
        <v>-1.3525809999999999E-2</v>
      </c>
      <c r="O4701">
        <v>-0.95881879999999997</v>
      </c>
      <c r="P4701">
        <v>-6.1336509999999997E-2</v>
      </c>
      <c r="Q4701">
        <v>0.120016899999999</v>
      </c>
      <c r="R4701">
        <v>-0.99087539999999996</v>
      </c>
      <c r="S4701">
        <v>-0.111084</v>
      </c>
      <c r="T4701">
        <v>-0.1042047</v>
      </c>
      <c r="U4701">
        <v>-3.0332789999999998</v>
      </c>
      <c r="V4701">
        <v>-0.225658</v>
      </c>
      <c r="W4701">
        <v>0.12734719999999999</v>
      </c>
      <c r="X4701">
        <v>0.96584740000000002</v>
      </c>
      <c r="Y4701">
        <v>-0.24836140000000001</v>
      </c>
      <c r="Z4701">
        <v>1.8223550000000002E-2</v>
      </c>
      <c r="AA4701">
        <v>0.96849600000000002</v>
      </c>
      <c r="AB4701">
        <v>34</v>
      </c>
      <c r="AC4701">
        <v>-1.1163999999999901</v>
      </c>
      <c r="AD4701">
        <v>-1.1312955740149999</v>
      </c>
      <c r="AE4701">
        <v>-32.609459999999999</v>
      </c>
      <c r="AF4701">
        <v>-8.1716977396598693</v>
      </c>
      <c r="AG4701">
        <v>-1.1312955740149999</v>
      </c>
      <c r="AH4701">
        <v>31.548241399174199</v>
      </c>
      <c r="AI4701">
        <v>91.988145507511604</v>
      </c>
      <c r="AJ4701">
        <v>104.521732149763</v>
      </c>
      <c r="AK4701">
        <v>32.609017295906298</v>
      </c>
      <c r="AL4701">
        <v>82.683676251441398</v>
      </c>
      <c r="AM4701">
        <v>103.15053915171301</v>
      </c>
      <c r="AN4701">
        <v>1.0000000211992901</v>
      </c>
    </row>
    <row r="4702" spans="1:40" x14ac:dyDescent="0.25">
      <c r="A4702" t="str">
        <f>"20190303162914981"</f>
        <v>20190303162914981</v>
      </c>
      <c r="B4702" t="str">
        <f>"1551601754966473"</f>
        <v>1551601754966473</v>
      </c>
      <c r="C4702" t="s">
        <v>40</v>
      </c>
      <c r="D4702">
        <v>4.8815720000000002</v>
      </c>
      <c r="E4702">
        <v>0.4767555</v>
      </c>
      <c r="F4702" t="s">
        <v>41</v>
      </c>
      <c r="G4702">
        <v>-420.69850000000002</v>
      </c>
      <c r="H4702" s="1">
        <v>-7.3970839999999996E-7</v>
      </c>
      <c r="I4702">
        <v>90.880160000000004</v>
      </c>
      <c r="J4702">
        <v>-419.71609999999998</v>
      </c>
      <c r="K4702">
        <v>1.1311150000000001</v>
      </c>
      <c r="L4702">
        <v>125.0792</v>
      </c>
      <c r="M4702">
        <v>-0.27302179999999998</v>
      </c>
      <c r="N4702">
        <v>-1.3488669999999999E-2</v>
      </c>
      <c r="O4702">
        <v>-0.96191340000000003</v>
      </c>
      <c r="P4702">
        <v>-5.7017909999999998E-2</v>
      </c>
      <c r="Q4702">
        <v>0.12154139999999999</v>
      </c>
      <c r="R4702">
        <v>-0.99094749999999998</v>
      </c>
      <c r="S4702">
        <v>-9.3872070000000002E-2</v>
      </c>
      <c r="T4702">
        <v>-9.9412319999999998E-2</v>
      </c>
      <c r="U4702">
        <v>-3.0338289999999999</v>
      </c>
      <c r="V4702">
        <v>-0.21904570000000001</v>
      </c>
      <c r="W4702">
        <v>0.12912199999999999</v>
      </c>
      <c r="X4702">
        <v>0.96713320000000003</v>
      </c>
      <c r="Y4702">
        <v>-0.24308969999999999</v>
      </c>
      <c r="Z4702">
        <v>1.6961830000000001E-2</v>
      </c>
      <c r="AA4702">
        <v>0.96985549999999998</v>
      </c>
      <c r="AB4702">
        <v>34</v>
      </c>
      <c r="AC4702">
        <v>-0.98240000000004002</v>
      </c>
      <c r="AD4702">
        <v>-1.1311157397084</v>
      </c>
      <c r="AE4702">
        <v>-34.199039999999997</v>
      </c>
      <c r="AF4702">
        <v>-8.3836987441905109</v>
      </c>
      <c r="AG4702">
        <v>-1.1311157397084</v>
      </c>
      <c r="AH4702">
        <v>33.131531591714797</v>
      </c>
      <c r="AI4702">
        <v>91.895625677079394</v>
      </c>
      <c r="AJ4702">
        <v>104.200215191675</v>
      </c>
      <c r="AK4702">
        <v>34.194505597577397</v>
      </c>
      <c r="AL4702">
        <v>82.581141495487998</v>
      </c>
      <c r="AM4702">
        <v>102.761597769752</v>
      </c>
      <c r="AN4702">
        <v>1.00000006805736</v>
      </c>
    </row>
    <row r="4703" spans="1:40" x14ac:dyDescent="0.25">
      <c r="A4703" t="str">
        <f>"20190303162915003"</f>
        <v>20190303162915003</v>
      </c>
      <c r="B4703" t="str">
        <f>"1551601754996729"</f>
        <v>1551601754996729</v>
      </c>
      <c r="C4703" t="s">
        <v>40</v>
      </c>
      <c r="D4703">
        <v>4.8084239999999996</v>
      </c>
      <c r="E4703">
        <v>0.47851589999999999</v>
      </c>
      <c r="F4703" t="s">
        <v>41</v>
      </c>
      <c r="G4703">
        <v>-419.66559999999998</v>
      </c>
      <c r="H4703" s="1">
        <v>-8.2977839999999998E-7</v>
      </c>
      <c r="I4703">
        <v>41.428750000000001</v>
      </c>
      <c r="J4703">
        <v>-419.79930000000002</v>
      </c>
      <c r="K4703">
        <v>1.130924</v>
      </c>
      <c r="L4703">
        <v>124.7499</v>
      </c>
      <c r="M4703">
        <v>-0.26244339999999999</v>
      </c>
      <c r="N4703">
        <v>-1.3449630000000001E-2</v>
      </c>
      <c r="O4703">
        <v>-0.96485359999999998</v>
      </c>
      <c r="P4703">
        <v>-5.240641E-2</v>
      </c>
      <c r="Q4703">
        <v>0.1225112</v>
      </c>
      <c r="R4703">
        <v>-0.99108240000000003</v>
      </c>
      <c r="S4703">
        <v>1.8310550000000001E-3</v>
      </c>
      <c r="T4703">
        <v>-4.1005489999999999E-2</v>
      </c>
      <c r="U4703">
        <v>-3.0325160000000002</v>
      </c>
      <c r="V4703">
        <v>-0.21284059999999999</v>
      </c>
      <c r="W4703">
        <v>0.13033149999999999</v>
      </c>
      <c r="X4703">
        <v>0.96835559999999998</v>
      </c>
      <c r="Y4703">
        <v>-0.26300119999999999</v>
      </c>
      <c r="Z4703">
        <v>-8.7897179999999896E-4</v>
      </c>
      <c r="AA4703">
        <v>0.96479510000000002</v>
      </c>
      <c r="AB4703">
        <v>34</v>
      </c>
      <c r="AC4703">
        <v>0.13370000000003299</v>
      </c>
      <c r="AD4703">
        <v>-1.13092482977839</v>
      </c>
      <c r="AE4703">
        <v>-83.321149999999903</v>
      </c>
      <c r="AF4703">
        <v>-21.994025738997799</v>
      </c>
      <c r="AG4703">
        <v>-1.13092482977839</v>
      </c>
      <c r="AH4703">
        <v>80.350093152205901</v>
      </c>
      <c r="AI4703">
        <v>90.777774824443895</v>
      </c>
      <c r="AJ4703">
        <v>105.308443507989</v>
      </c>
      <c r="AK4703">
        <v>83.313586099426004</v>
      </c>
      <c r="AL4703">
        <v>82.5112511119667</v>
      </c>
      <c r="AM4703">
        <v>102.396264374029</v>
      </c>
      <c r="AN4703">
        <v>0.99999999447598498</v>
      </c>
    </row>
    <row r="4704" spans="1:40" x14ac:dyDescent="0.25">
      <c r="A4704" t="str">
        <f>"20190303162915025"</f>
        <v>20190303162915025</v>
      </c>
      <c r="B4704" t="str">
        <f>"1551601755016249"</f>
        <v>1551601755016249</v>
      </c>
      <c r="C4704" t="s">
        <v>40</v>
      </c>
      <c r="D4704">
        <v>4.8757349999999997</v>
      </c>
      <c r="E4704">
        <v>0.47929179999999999</v>
      </c>
      <c r="F4704" t="s">
        <v>57</v>
      </c>
      <c r="G4704">
        <v>-419.76819999999998</v>
      </c>
      <c r="H4704" s="1">
        <v>-6.8454739999999996E-6</v>
      </c>
      <c r="I4704">
        <v>25.099930000000001</v>
      </c>
      <c r="J4704">
        <v>-419.87459999999999</v>
      </c>
      <c r="K4704">
        <v>1.130735</v>
      </c>
      <c r="L4704">
        <v>124.4376</v>
      </c>
      <c r="M4704">
        <v>-0.25264599999999998</v>
      </c>
      <c r="N4704">
        <v>-1.3410770000000001E-2</v>
      </c>
      <c r="O4704">
        <v>-0.96746580000000004</v>
      </c>
      <c r="P4704">
        <v>-4.756838E-2</v>
      </c>
      <c r="Q4704">
        <v>0.12420109999999999</v>
      </c>
      <c r="R4704">
        <v>-0.99111610000000006</v>
      </c>
      <c r="S4704">
        <v>9.4604490000000003E-4</v>
      </c>
      <c r="T4704">
        <v>-3.4402250000000002E-2</v>
      </c>
      <c r="U4704">
        <v>-3.0312960000000002</v>
      </c>
      <c r="V4704">
        <v>-0.2076578</v>
      </c>
      <c r="W4704">
        <v>0.13222799999999901</v>
      </c>
      <c r="X4704">
        <v>0.96922339999999996</v>
      </c>
      <c r="Y4704">
        <v>-0.25292809999999999</v>
      </c>
      <c r="Z4704">
        <v>-2.7999399999999999E-3</v>
      </c>
      <c r="AA4704">
        <v>0.96748100000000004</v>
      </c>
      <c r="AB4704">
        <v>34</v>
      </c>
      <c r="AC4704">
        <v>0.106400000000007</v>
      </c>
      <c r="AD4704">
        <v>-1.1307418454739999</v>
      </c>
      <c r="AE4704">
        <v>-99.337669999999903</v>
      </c>
      <c r="AF4704">
        <v>-25.199205692860598</v>
      </c>
      <c r="AG4704">
        <v>-1.1307418454739999</v>
      </c>
      <c r="AH4704">
        <v>96.075113203673197</v>
      </c>
      <c r="AI4704">
        <v>90.652242936938805</v>
      </c>
      <c r="AJ4704">
        <v>104.69685950606799</v>
      </c>
      <c r="AK4704">
        <v>99.331293768735506</v>
      </c>
      <c r="AL4704">
        <v>82.401641073661295</v>
      </c>
      <c r="AM4704">
        <v>102.09289594634799</v>
      </c>
      <c r="AN4704">
        <v>1.0000000024961999</v>
      </c>
    </row>
    <row r="4705" spans="1:40" x14ac:dyDescent="0.25">
      <c r="A4705" t="str">
        <f>"20190303162915048"</f>
        <v>20190303162915048</v>
      </c>
      <c r="B4705" t="str">
        <f>"1551601755036745"</f>
        <v>1551601755036745</v>
      </c>
      <c r="C4705" t="s">
        <v>40</v>
      </c>
      <c r="D4705">
        <v>4.8703070000000004</v>
      </c>
      <c r="E4705">
        <v>0.47932059999999999</v>
      </c>
      <c r="F4705" t="s">
        <v>59</v>
      </c>
      <c r="G4705">
        <v>-419.5351</v>
      </c>
      <c r="H4705">
        <v>9.9270940000000002E-2</v>
      </c>
      <c r="I4705">
        <v>0.48211670000000001</v>
      </c>
      <c r="J4705">
        <v>-419.95119999999997</v>
      </c>
      <c r="K4705">
        <v>1.1305339999999999</v>
      </c>
      <c r="L4705">
        <v>124.10590000000001</v>
      </c>
      <c r="M4705">
        <v>-0.24245079999999999</v>
      </c>
      <c r="N4705">
        <v>-1.336997E-2</v>
      </c>
      <c r="O4705">
        <v>-0.97007169999999998</v>
      </c>
      <c r="P4705">
        <v>-4.1129949999999998E-2</v>
      </c>
      <c r="Q4705">
        <v>0.12629599999999999</v>
      </c>
      <c r="R4705">
        <v>-0.99113980000000002</v>
      </c>
      <c r="S4705">
        <v>8.3007810000000001E-3</v>
      </c>
      <c r="T4705">
        <v>-2.521777E-2</v>
      </c>
      <c r="U4705">
        <v>-3.0304570000000002</v>
      </c>
      <c r="V4705">
        <v>-0.20366039999999999</v>
      </c>
      <c r="W4705">
        <v>0.13449349999999999</v>
      </c>
      <c r="X4705">
        <v>0.9697597</v>
      </c>
      <c r="Y4705">
        <v>-0.24509300000000001</v>
      </c>
      <c r="Z4705">
        <v>-5.5529990000000003E-3</v>
      </c>
      <c r="AA4705">
        <v>0.96948369999999995</v>
      </c>
      <c r="AB4705">
        <v>34</v>
      </c>
      <c r="AC4705">
        <v>0.41609999999997099</v>
      </c>
      <c r="AD4705">
        <v>-1.0312630599999999</v>
      </c>
      <c r="AE4705">
        <v>-123.623783299999</v>
      </c>
      <c r="AF4705">
        <v>-30.376929694621001</v>
      </c>
      <c r="AG4705">
        <v>-1.0312630599999999</v>
      </c>
      <c r="AH4705">
        <v>119.82540754758099</v>
      </c>
      <c r="AI4705">
        <v>90.477977825348702</v>
      </c>
      <c r="AJ4705">
        <v>104.22536067021601</v>
      </c>
      <c r="AK4705">
        <v>123.620183041099</v>
      </c>
      <c r="AL4705">
        <v>82.270667273640598</v>
      </c>
      <c r="AM4705">
        <v>101.860393823767</v>
      </c>
      <c r="AN4705">
        <v>0.99999996790724899</v>
      </c>
    </row>
    <row r="4706" spans="1:40" x14ac:dyDescent="0.25">
      <c r="A4706" t="str">
        <f>"20190303162915070"</f>
        <v>20190303162915070</v>
      </c>
      <c r="B4706" t="str">
        <f>"1551601755056265"</f>
        <v>1551601755056265</v>
      </c>
      <c r="C4706" t="s">
        <v>40</v>
      </c>
      <c r="D4706">
        <v>4.9293990000000001</v>
      </c>
      <c r="E4706">
        <v>0.4794369</v>
      </c>
      <c r="F4706" t="s">
        <v>59</v>
      </c>
      <c r="G4706">
        <v>-418.84699999999998</v>
      </c>
      <c r="H4706">
        <v>0.30015170000000002</v>
      </c>
      <c r="I4706">
        <v>0.48911290000000002</v>
      </c>
      <c r="J4706">
        <v>-420.02319999999997</v>
      </c>
      <c r="K4706">
        <v>1.1303379999999901</v>
      </c>
      <c r="L4706">
        <v>123.7792</v>
      </c>
      <c r="M4706">
        <v>-0.23263590000000001</v>
      </c>
      <c r="N4706">
        <v>-1.333176E-2</v>
      </c>
      <c r="O4706">
        <v>-0.97247269999999997</v>
      </c>
      <c r="P4706">
        <v>-3.3481629999999998E-2</v>
      </c>
      <c r="Q4706">
        <v>0.12890470000000001</v>
      </c>
      <c r="R4706">
        <v>-0.99109170000000002</v>
      </c>
      <c r="S4706">
        <v>2.7069090000000001E-2</v>
      </c>
      <c r="T4706">
        <v>-2.03582E-2</v>
      </c>
      <c r="U4706">
        <v>-3.0305629999999999</v>
      </c>
      <c r="V4706">
        <v>-0.20125029999999999</v>
      </c>
      <c r="W4706">
        <v>0.13722690000000001</v>
      </c>
      <c r="X4706">
        <v>0.96987990000000002</v>
      </c>
      <c r="Y4706">
        <v>-0.24130119999999999</v>
      </c>
      <c r="Z4706">
        <v>-7.0045749999999999E-3</v>
      </c>
      <c r="AA4706">
        <v>0.97042499999999998</v>
      </c>
      <c r="AB4706">
        <v>34</v>
      </c>
      <c r="AC4706">
        <v>1.1761999999999899</v>
      </c>
      <c r="AD4706">
        <v>-0.83018629999999904</v>
      </c>
      <c r="AE4706">
        <v>-123.29008709999999</v>
      </c>
      <c r="AF4706">
        <v>-29.8268161610529</v>
      </c>
      <c r="AG4706">
        <v>-0.83018629999999904</v>
      </c>
      <c r="AH4706">
        <v>119.62780503047701</v>
      </c>
      <c r="AI4706">
        <v>90.385801043859402</v>
      </c>
      <c r="AJ4706">
        <v>104.000114735564</v>
      </c>
      <c r="AK4706">
        <v>123.292902910134</v>
      </c>
      <c r="AL4706">
        <v>82.112589195720403</v>
      </c>
      <c r="AM4706">
        <v>101.72253347262399</v>
      </c>
      <c r="AN4706">
        <v>0.99999996287885395</v>
      </c>
    </row>
    <row r="4707" spans="1:40" x14ac:dyDescent="0.25">
      <c r="A4707" t="str">
        <f>"20190303162915093"</f>
        <v>20190303162915093</v>
      </c>
      <c r="B4707" t="str">
        <f>"1551601755086521"</f>
        <v>1551601755086521</v>
      </c>
      <c r="C4707" t="s">
        <v>40</v>
      </c>
      <c r="D4707">
        <v>4.8711219999999997</v>
      </c>
      <c r="E4707">
        <v>0.47962090000000002</v>
      </c>
      <c r="F4707" t="s">
        <v>59</v>
      </c>
      <c r="G4707">
        <v>-418.04289999999997</v>
      </c>
      <c r="H4707">
        <v>0.60175599999999996</v>
      </c>
      <c r="I4707">
        <v>0.4972916</v>
      </c>
      <c r="J4707">
        <v>-420.09199999999998</v>
      </c>
      <c r="K4707">
        <v>1.130142</v>
      </c>
      <c r="L4707">
        <v>123.4524</v>
      </c>
      <c r="M4707">
        <v>-0.22306200000000001</v>
      </c>
      <c r="N4707">
        <v>-1.3293620000000001E-2</v>
      </c>
      <c r="O4707">
        <v>-0.97471359999999996</v>
      </c>
      <c r="P4707">
        <v>-2.4935929999999999E-2</v>
      </c>
      <c r="Q4707">
        <v>0.13151379999999999</v>
      </c>
      <c r="R4707">
        <v>-0.99100049999999995</v>
      </c>
      <c r="S4707">
        <v>4.8675540000000003E-2</v>
      </c>
      <c r="T4707">
        <v>-1.2993340000000001E-2</v>
      </c>
      <c r="U4707">
        <v>-3.0303040000000001</v>
      </c>
      <c r="V4707">
        <v>-0.19998150000000001</v>
      </c>
      <c r="W4707">
        <v>0.13993229999999901</v>
      </c>
      <c r="X4707">
        <v>0.96975579999999995</v>
      </c>
      <c r="Y4707">
        <v>-0.23868049999999999</v>
      </c>
      <c r="Z4707">
        <v>-9.2546490000000002E-3</v>
      </c>
      <c r="AA4707">
        <v>0.97105410000000003</v>
      </c>
      <c r="AB4707">
        <v>34</v>
      </c>
      <c r="AC4707">
        <v>2.0491000000000099</v>
      </c>
      <c r="AD4707">
        <v>-0.52838599999999902</v>
      </c>
      <c r="AE4707">
        <v>-122.9551084</v>
      </c>
      <c r="AF4707">
        <v>-29.425955319006</v>
      </c>
      <c r="AG4707">
        <v>-0.52838599999999902</v>
      </c>
      <c r="AH4707">
        <v>119.39728756535</v>
      </c>
      <c r="AI4707">
        <v>90.246191129824496</v>
      </c>
      <c r="AJ4707">
        <v>103.844872226238</v>
      </c>
      <c r="AK4707">
        <v>122.97104665800001</v>
      </c>
      <c r="AL4707">
        <v>81.956071079890506</v>
      </c>
      <c r="AM4707">
        <v>101.65210450162</v>
      </c>
      <c r="AN4707">
        <v>0.99999998027958903</v>
      </c>
    </row>
    <row r="4708" spans="1:40" x14ac:dyDescent="0.25">
      <c r="A4708" t="str">
        <f>"20190303162915114"</f>
        <v>20190303162915114</v>
      </c>
      <c r="B4708" t="str">
        <f>"1551601755106041"</f>
        <v>1551601755106041</v>
      </c>
      <c r="C4708" t="s">
        <v>40</v>
      </c>
      <c r="D4708">
        <v>6.4646280000000003</v>
      </c>
      <c r="E4708">
        <v>0.48001070000000001</v>
      </c>
      <c r="F4708" t="s">
        <v>59</v>
      </c>
      <c r="G4708">
        <v>-417.1884</v>
      </c>
      <c r="H4708">
        <v>0.74276140000000002</v>
      </c>
      <c r="I4708">
        <v>0.50598140000000003</v>
      </c>
      <c r="J4708">
        <v>-420.15449999999998</v>
      </c>
      <c r="K4708">
        <v>1.129948</v>
      </c>
      <c r="L4708">
        <v>123.14190000000001</v>
      </c>
      <c r="M4708">
        <v>-0.21420719999999999</v>
      </c>
      <c r="N4708">
        <v>-1.3255869999999999E-2</v>
      </c>
      <c r="O4708">
        <v>-0.97669830000000002</v>
      </c>
      <c r="P4708">
        <v>-1.7467549999999998E-2</v>
      </c>
      <c r="Q4708">
        <v>0.13293740000000001</v>
      </c>
      <c r="R4708">
        <v>-0.99097060000000003</v>
      </c>
      <c r="S4708">
        <v>7.1563719999999997E-2</v>
      </c>
      <c r="T4708">
        <v>-9.5486640000000001E-3</v>
      </c>
      <c r="U4708">
        <v>-3.0303040000000001</v>
      </c>
      <c r="V4708">
        <v>-0.19840160000000001</v>
      </c>
      <c r="W4708">
        <v>0.14146049999999999</v>
      </c>
      <c r="X4708">
        <v>0.96985860000000002</v>
      </c>
      <c r="Y4708">
        <v>-0.23720050000000001</v>
      </c>
      <c r="Z4708">
        <v>-1.02942E-2</v>
      </c>
      <c r="AA4708">
        <v>0.9714062</v>
      </c>
      <c r="AB4708">
        <v>34</v>
      </c>
      <c r="AC4708">
        <v>2.96609999999998</v>
      </c>
      <c r="AD4708">
        <v>-0.38718659999999999</v>
      </c>
      <c r="AE4708">
        <v>-122.6359186</v>
      </c>
      <c r="AF4708">
        <v>-29.1687536922635</v>
      </c>
      <c r="AG4708">
        <v>-0.38718659999999999</v>
      </c>
      <c r="AH4708">
        <v>119.15221469057801</v>
      </c>
      <c r="AI4708">
        <v>90.180842773302402</v>
      </c>
      <c r="AJ4708">
        <v>103.75562217881701</v>
      </c>
      <c r="AK4708">
        <v>122.671171719735</v>
      </c>
      <c r="AL4708">
        <v>81.867631982318699</v>
      </c>
      <c r="AM4708">
        <v>101.56134605867901</v>
      </c>
      <c r="AN4708">
        <v>0.99999998596838402</v>
      </c>
    </row>
    <row r="4709" spans="1:40" x14ac:dyDescent="0.25">
      <c r="A4709" t="str">
        <f>"20190303162915136"</f>
        <v>20190303162915136</v>
      </c>
      <c r="B4709" t="str">
        <f>"1551601755126069"</f>
        <v>1551601755126069</v>
      </c>
      <c r="C4709" t="s">
        <v>40</v>
      </c>
      <c r="D4709">
        <v>4.9328209999999997</v>
      </c>
      <c r="E4709">
        <v>0.48049380000000003</v>
      </c>
      <c r="F4709" t="s">
        <v>59</v>
      </c>
      <c r="G4709">
        <v>-416.49799999999999</v>
      </c>
      <c r="H4709">
        <v>0.82683130000000005</v>
      </c>
      <c r="I4709">
        <v>1.2754589999999999</v>
      </c>
      <c r="J4709">
        <v>-420.2167</v>
      </c>
      <c r="K4709">
        <v>1.129723</v>
      </c>
      <c r="L4709">
        <v>122.819</v>
      </c>
      <c r="M4709">
        <v>-0.2052552</v>
      </c>
      <c r="N4709">
        <v>-1.3215289999999999E-2</v>
      </c>
      <c r="O4709">
        <v>-0.97861929999999997</v>
      </c>
      <c r="P4709">
        <v>-1.069873E-2</v>
      </c>
      <c r="Q4709">
        <v>0.13430220000000001</v>
      </c>
      <c r="R4709">
        <v>-0.9908825</v>
      </c>
      <c r="S4709">
        <v>9.0911870000000006E-2</v>
      </c>
      <c r="T4709">
        <v>-7.5370069999999897E-3</v>
      </c>
      <c r="U4709">
        <v>-3.0299529999999999</v>
      </c>
      <c r="V4709">
        <v>-0.1960499</v>
      </c>
      <c r="W4709">
        <v>0.14295289999999999</v>
      </c>
      <c r="X4709">
        <v>0.97011800000000004</v>
      </c>
      <c r="Y4709">
        <v>-0.23450689999999999</v>
      </c>
      <c r="Z4709">
        <v>-1.088391E-2</v>
      </c>
      <c r="AA4709">
        <v>0.97205350000000001</v>
      </c>
      <c r="AB4709">
        <v>34</v>
      </c>
      <c r="AC4709">
        <v>3.7186999999999499</v>
      </c>
      <c r="AD4709">
        <v>-0.30289169999999999</v>
      </c>
      <c r="AE4709">
        <v>-121.543540999999</v>
      </c>
      <c r="AF4709">
        <v>-28.5889535186346</v>
      </c>
      <c r="AG4709">
        <v>-0.30289169999999999</v>
      </c>
      <c r="AH4709">
        <v>118.19115593039</v>
      </c>
      <c r="AI4709">
        <v>90.142717339806794</v>
      </c>
      <c r="AJ4709">
        <v>103.597940791464</v>
      </c>
      <c r="AK4709">
        <v>121.600038432701</v>
      </c>
      <c r="AL4709">
        <v>81.781246042471096</v>
      </c>
      <c r="AM4709">
        <v>101.424957802115</v>
      </c>
      <c r="AN4709">
        <v>1.00000001441621</v>
      </c>
    </row>
    <row r="4710" spans="1:40" x14ac:dyDescent="0.25">
      <c r="A4710" t="str">
        <f>"20190303162915159"</f>
        <v>20190303162915159</v>
      </c>
      <c r="B4710" t="str">
        <f>"1551601755146565"</f>
        <v>1551601755146565</v>
      </c>
      <c r="C4710" t="s">
        <v>40</v>
      </c>
      <c r="D4710">
        <v>4.7534340000000004</v>
      </c>
      <c r="E4710">
        <v>0.4809447</v>
      </c>
      <c r="F4710" t="s">
        <v>59</v>
      </c>
      <c r="G4710">
        <v>-415.87400000000002</v>
      </c>
      <c r="H4710">
        <v>0.90179569999999998</v>
      </c>
      <c r="I4710">
        <v>1.277922</v>
      </c>
      <c r="J4710">
        <v>-420.27730000000003</v>
      </c>
      <c r="K4710">
        <v>1.1294869999999999</v>
      </c>
      <c r="L4710">
        <v>122.489</v>
      </c>
      <c r="M4710">
        <v>-0.19636960000000001</v>
      </c>
      <c r="N4710">
        <v>-1.3173870000000001E-2</v>
      </c>
      <c r="O4710">
        <v>-0.98044149999999997</v>
      </c>
      <c r="P4710">
        <v>-4.1335340000000003E-3</v>
      </c>
      <c r="Q4710">
        <v>0.13529559999999999</v>
      </c>
      <c r="R4710">
        <v>-0.99079680000000003</v>
      </c>
      <c r="S4710">
        <v>0.1082458</v>
      </c>
      <c r="T4710">
        <v>-5.6819919999999899E-3</v>
      </c>
      <c r="U4710">
        <v>-3.029541</v>
      </c>
      <c r="V4710">
        <v>-0.1935799</v>
      </c>
      <c r="W4710">
        <v>0.14407890000000001</v>
      </c>
      <c r="X4710">
        <v>0.97044739999999996</v>
      </c>
      <c r="Y4710">
        <v>-0.23124810000000001</v>
      </c>
      <c r="Z4710">
        <v>-1.142606E-2</v>
      </c>
      <c r="AA4710">
        <v>0.97282769999999996</v>
      </c>
      <c r="AB4710">
        <v>34</v>
      </c>
      <c r="AC4710">
        <v>4.4032999999999998</v>
      </c>
      <c r="AD4710">
        <v>-0.22769130000000001</v>
      </c>
      <c r="AE4710">
        <v>-121.211078</v>
      </c>
      <c r="AF4710">
        <v>-28.121688759994299</v>
      </c>
      <c r="AG4710">
        <v>-0.22769130000000001</v>
      </c>
      <c r="AH4710">
        <v>117.98551358531201</v>
      </c>
      <c r="AI4710">
        <v>90.107557672969705</v>
      </c>
      <c r="AJ4710">
        <v>103.406237865229</v>
      </c>
      <c r="AK4710">
        <v>121.29081844077101</v>
      </c>
      <c r="AL4710">
        <v>81.716056290600093</v>
      </c>
      <c r="AM4710">
        <v>101.28100080505401</v>
      </c>
      <c r="AN4710">
        <v>1.00000003163798</v>
      </c>
    </row>
    <row r="4711" spans="1:40" x14ac:dyDescent="0.25">
      <c r="A4711" t="str">
        <f>"20190303162915183"</f>
        <v>20190303162915183</v>
      </c>
      <c r="B4711" t="str">
        <f>"1551601755176821"</f>
        <v>1551601755176821</v>
      </c>
      <c r="C4711" t="s">
        <v>40</v>
      </c>
      <c r="D4711">
        <v>4.9439580000000003</v>
      </c>
      <c r="E4711">
        <v>0.48677409999999999</v>
      </c>
      <c r="F4711" t="s">
        <v>59</v>
      </c>
      <c r="G4711">
        <v>-415.29829999999998</v>
      </c>
      <c r="H4711">
        <v>0.98396170000000005</v>
      </c>
      <c r="I4711">
        <v>1.2801990000000001</v>
      </c>
      <c r="J4711">
        <v>-420.3381</v>
      </c>
      <c r="K4711">
        <v>1.1292310000000001</v>
      </c>
      <c r="L4711">
        <v>122.1418</v>
      </c>
      <c r="M4711">
        <v>-0.18729760000000001</v>
      </c>
      <c r="N4711">
        <v>-1.3131749999999999E-2</v>
      </c>
      <c r="O4711">
        <v>-0.98221559999999997</v>
      </c>
      <c r="P4711">
        <v>3.1517860000000002E-3</v>
      </c>
      <c r="Q4711">
        <v>0.13477229999999901</v>
      </c>
      <c r="R4711">
        <v>-0.99087179999999997</v>
      </c>
      <c r="S4711">
        <v>0.12442019999999999</v>
      </c>
      <c r="T4711">
        <v>-3.6371950000000002E-3</v>
      </c>
      <c r="U4711">
        <v>-3.0289000000000001</v>
      </c>
      <c r="V4711">
        <v>-0.19165189999999999</v>
      </c>
      <c r="W4711">
        <v>0.143678799999999</v>
      </c>
      <c r="X4711">
        <v>0.97088929999999996</v>
      </c>
      <c r="Y4711">
        <v>-0.22744819999999999</v>
      </c>
      <c r="Z4711">
        <v>-1.20302E-2</v>
      </c>
      <c r="AA4711">
        <v>0.97371589999999997</v>
      </c>
      <c r="AB4711">
        <v>34</v>
      </c>
      <c r="AC4711">
        <v>5.0398000000000103</v>
      </c>
      <c r="AD4711">
        <v>-0.14526929999999899</v>
      </c>
      <c r="AE4711">
        <v>-120.86160099999999</v>
      </c>
      <c r="AF4711">
        <v>-27.589592714666601</v>
      </c>
      <c r="AG4711">
        <v>-0.14526929999999899</v>
      </c>
      <c r="AH4711">
        <v>117.77817432748</v>
      </c>
      <c r="AI4711">
        <v>90.068806790869999</v>
      </c>
      <c r="AJ4711">
        <v>103.18384702300099</v>
      </c>
      <c r="AK4711">
        <v>120.966545281102</v>
      </c>
      <c r="AL4711">
        <v>81.739221431293402</v>
      </c>
      <c r="AM4711">
        <v>101.16652807171</v>
      </c>
      <c r="AN4711">
        <v>1.0000000405987599</v>
      </c>
    </row>
    <row r="4712" spans="1:40" x14ac:dyDescent="0.25">
      <c r="A4712" t="str">
        <f>"20190303162915205"</f>
        <v>20190303162915205</v>
      </c>
      <c r="B4712" t="str">
        <f>"1551601755196341"</f>
        <v>1551601755196341</v>
      </c>
      <c r="C4712" t="s">
        <v>40</v>
      </c>
      <c r="D4712">
        <v>4.7946679999999997</v>
      </c>
      <c r="E4712">
        <v>0.48644890000000002</v>
      </c>
      <c r="F4712" t="s">
        <v>59</v>
      </c>
      <c r="G4712">
        <v>-416.33960000000002</v>
      </c>
      <c r="H4712">
        <v>0.24044209999999999</v>
      </c>
      <c r="I4712">
        <v>1.2760830000000001</v>
      </c>
      <c r="J4712">
        <v>-420.39049999999997</v>
      </c>
      <c r="K4712">
        <v>1.1290150000000001</v>
      </c>
      <c r="L4712">
        <v>121.8267</v>
      </c>
      <c r="M4712">
        <v>-0.17931529999999901</v>
      </c>
      <c r="N4712">
        <v>-1.3095269999999999E-2</v>
      </c>
      <c r="O4712">
        <v>-0.98370469999999999</v>
      </c>
      <c r="P4712">
        <v>9.0640600000000005E-3</v>
      </c>
      <c r="Q4712">
        <v>0.13418640000000001</v>
      </c>
      <c r="R4712">
        <v>-0.99091490000000004</v>
      </c>
      <c r="S4712">
        <v>0.1002502</v>
      </c>
      <c r="T4712">
        <v>-2.2284390000000001E-2</v>
      </c>
      <c r="U4712">
        <v>-3.0303499999999999</v>
      </c>
      <c r="V4712">
        <v>-0.18948119999999999</v>
      </c>
      <c r="W4712">
        <v>0.1432088</v>
      </c>
      <c r="X4712">
        <v>0.97138460000000004</v>
      </c>
      <c r="Y4712">
        <v>-0.21173149999999999</v>
      </c>
      <c r="Z4712">
        <v>-6.0454899999999997E-3</v>
      </c>
      <c r="AA4712">
        <v>0.97730919999999999</v>
      </c>
      <c r="AB4712">
        <v>34</v>
      </c>
      <c r="AC4712">
        <v>4.0508999999999498</v>
      </c>
      <c r="AD4712">
        <v>-0.888572899999999</v>
      </c>
      <c r="AE4712">
        <v>-120.55061699999899</v>
      </c>
      <c r="AF4712">
        <v>-25.602260307319099</v>
      </c>
      <c r="AG4712">
        <v>-0.888572899999999</v>
      </c>
      <c r="AH4712">
        <v>117.86350716819901</v>
      </c>
      <c r="AI4712">
        <v>90.422101513675997</v>
      </c>
      <c r="AJ4712">
        <v>102.255377749522</v>
      </c>
      <c r="AK4712">
        <v>120.61538714704</v>
      </c>
      <c r="AL4712">
        <v>81.766431203690502</v>
      </c>
      <c r="AM4712">
        <v>101.03768669571799</v>
      </c>
      <c r="AN4712">
        <v>0.99999996333401897</v>
      </c>
    </row>
    <row r="4713" spans="1:40" x14ac:dyDescent="0.25">
      <c r="A4713" t="str">
        <f>"20190303162915226"</f>
        <v>20190303162915226</v>
      </c>
      <c r="B4713" t="str">
        <f>"1551601755216368"</f>
        <v>1551601755216368</v>
      </c>
      <c r="C4713" t="s">
        <v>40</v>
      </c>
      <c r="D4713">
        <v>4.7668470000000003</v>
      </c>
      <c r="E4713">
        <v>0.48576540000000001</v>
      </c>
      <c r="F4713" t="s">
        <v>57</v>
      </c>
      <c r="G4713">
        <v>-416.5788</v>
      </c>
      <c r="H4713" s="1">
        <v>-8.1502049999999905E-6</v>
      </c>
      <c r="I4713">
        <v>26.746590000000001</v>
      </c>
      <c r="J4713">
        <v>-420.44080000000002</v>
      </c>
      <c r="K4713">
        <v>1.128824</v>
      </c>
      <c r="L4713">
        <v>121.5091</v>
      </c>
      <c r="M4713">
        <v>-0.17147009999999999</v>
      </c>
      <c r="N4713">
        <v>-1.306094E-2</v>
      </c>
      <c r="O4713">
        <v>-0.98510279999999995</v>
      </c>
      <c r="P4713">
        <v>1.457753E-2</v>
      </c>
      <c r="Q4713">
        <v>0.13404089999999999</v>
      </c>
      <c r="R4713">
        <v>-0.99086859999999999</v>
      </c>
      <c r="S4713">
        <v>0.121521</v>
      </c>
      <c r="T4713">
        <v>-3.5994409999999998E-2</v>
      </c>
      <c r="U4713">
        <v>-3.03125</v>
      </c>
      <c r="V4713">
        <v>-0.18706970000000001</v>
      </c>
      <c r="W4713">
        <v>0.1431743</v>
      </c>
      <c r="X4713">
        <v>0.97185699999999997</v>
      </c>
      <c r="Y4713">
        <v>-0.2107764</v>
      </c>
      <c r="Z4713">
        <v>-1.6347929999999901E-3</v>
      </c>
      <c r="AA4713">
        <v>0.97753290000000004</v>
      </c>
      <c r="AB4713">
        <v>34</v>
      </c>
      <c r="AC4713">
        <v>3.8620000000000201</v>
      </c>
      <c r="AD4713">
        <v>-1.1288321502050001</v>
      </c>
      <c r="AE4713">
        <v>-94.762509999999907</v>
      </c>
      <c r="AF4713">
        <v>-20.052272912159701</v>
      </c>
      <c r="AG4713">
        <v>-1.1288321502050001</v>
      </c>
      <c r="AH4713">
        <v>92.683368054712503</v>
      </c>
      <c r="AI4713">
        <v>90.682018393258303</v>
      </c>
      <c r="AJ4713">
        <v>102.207925030731</v>
      </c>
      <c r="AK4713">
        <v>94.834459058574097</v>
      </c>
      <c r="AL4713">
        <v>81.768428716570398</v>
      </c>
      <c r="AM4713">
        <v>100.895426043672</v>
      </c>
      <c r="AN4713">
        <v>0.99999999064378897</v>
      </c>
    </row>
    <row r="4714" spans="1:40" x14ac:dyDescent="0.25">
      <c r="A4714" t="str">
        <f>"20190303162915249"</f>
        <v>20190303162915249</v>
      </c>
      <c r="B4714" t="str">
        <f>"1551601755236863"</f>
        <v>1551601755236863</v>
      </c>
      <c r="C4714" t="s">
        <v>40</v>
      </c>
      <c r="D4714">
        <v>4.6964030000000001</v>
      </c>
      <c r="E4714">
        <v>0.48546539999999999</v>
      </c>
      <c r="F4714" t="s">
        <v>41</v>
      </c>
      <c r="G4714">
        <v>-417.02690000000001</v>
      </c>
      <c r="H4714" s="1">
        <v>-9.8136580000000007E-7</v>
      </c>
      <c r="I4714">
        <v>50.207250000000002</v>
      </c>
      <c r="J4714">
        <v>-420.49180000000001</v>
      </c>
      <c r="K4714">
        <v>1.1286449999999999</v>
      </c>
      <c r="L4714">
        <v>121.1692</v>
      </c>
      <c r="M4714">
        <v>-0.1632507</v>
      </c>
      <c r="N4714">
        <v>-1.30277E-2</v>
      </c>
      <c r="O4714">
        <v>-0.9864986</v>
      </c>
      <c r="P4714">
        <v>2.0036809999999999E-2</v>
      </c>
      <c r="Q4714">
        <v>0.13370589999999999</v>
      </c>
      <c r="R4714">
        <v>-0.99081859999999999</v>
      </c>
      <c r="S4714">
        <v>0.1451721</v>
      </c>
      <c r="T4714">
        <v>-4.8001530000000001E-2</v>
      </c>
      <c r="U4714">
        <v>-3.0319980000000002</v>
      </c>
      <c r="V4714">
        <v>-0.18425179999999999</v>
      </c>
      <c r="W4714">
        <v>0.1429501</v>
      </c>
      <c r="X4714">
        <v>0.97242810000000002</v>
      </c>
      <c r="Y4714">
        <v>-0.2102213</v>
      </c>
      <c r="Z4714">
        <v>2.2463119999999999E-3</v>
      </c>
      <c r="AA4714">
        <v>0.97765119999999905</v>
      </c>
      <c r="AB4714">
        <v>34</v>
      </c>
      <c r="AC4714">
        <v>3.4649000000000001</v>
      </c>
      <c r="AD4714">
        <v>-1.1286459813658001</v>
      </c>
      <c r="AE4714">
        <v>-70.961950000000002</v>
      </c>
      <c r="AF4714">
        <v>-15.000194776752901</v>
      </c>
      <c r="AG4714">
        <v>-1.1286459813658001</v>
      </c>
      <c r="AH4714">
        <v>69.426589409726105</v>
      </c>
      <c r="AI4714">
        <v>90.910354992550594</v>
      </c>
      <c r="AJ4714">
        <v>102.191827677821</v>
      </c>
      <c r="AK4714">
        <v>71.037532348459806</v>
      </c>
      <c r="AL4714">
        <v>81.781407463970197</v>
      </c>
      <c r="AM4714">
        <v>100.728988142443</v>
      </c>
      <c r="AN4714">
        <v>0.999999933281427</v>
      </c>
    </row>
    <row r="4715" spans="1:40" x14ac:dyDescent="0.25">
      <c r="A4715" t="str">
        <f>"20190303162915272"</f>
        <v>20190303162915272</v>
      </c>
      <c r="B4715" t="str">
        <f>"1551601755267120"</f>
        <v>1551601755267120</v>
      </c>
      <c r="C4715" t="s">
        <v>40</v>
      </c>
      <c r="D4715">
        <v>4.7896549999999998</v>
      </c>
      <c r="E4715">
        <v>0.48557359999999999</v>
      </c>
      <c r="F4715" t="s">
        <v>41</v>
      </c>
      <c r="G4715">
        <v>-417.16050000000001</v>
      </c>
      <c r="H4715" s="1">
        <v>-8.8752529999999995E-7</v>
      </c>
      <c r="I4715">
        <v>60.035980000000002</v>
      </c>
      <c r="J4715">
        <v>-420.54050000000001</v>
      </c>
      <c r="K4715">
        <v>1.1284970000000001</v>
      </c>
      <c r="L4715">
        <v>120.8267</v>
      </c>
      <c r="M4715">
        <v>-0.1551138</v>
      </c>
      <c r="N4715">
        <v>-1.299817E-2</v>
      </c>
      <c r="O4715">
        <v>-0.98781129999999995</v>
      </c>
      <c r="P4715">
        <v>2.568515E-2</v>
      </c>
      <c r="Q4715">
        <v>0.13386380000000001</v>
      </c>
      <c r="R4715">
        <v>-0.99066710000000002</v>
      </c>
      <c r="S4715">
        <v>0.16522220000000001</v>
      </c>
      <c r="T4715">
        <v>-5.5977230000000003E-2</v>
      </c>
      <c r="U4715">
        <v>-3.0320130000000001</v>
      </c>
      <c r="V4715">
        <v>-0.1817202</v>
      </c>
      <c r="W4715">
        <v>0.14320069999999999</v>
      </c>
      <c r="X4715">
        <v>0.9728675</v>
      </c>
      <c r="Y4715">
        <v>-0.2086066</v>
      </c>
      <c r="Z4715">
        <v>4.8541309999999898E-3</v>
      </c>
      <c r="AA4715">
        <v>0.97798759999999996</v>
      </c>
      <c r="AB4715">
        <v>34</v>
      </c>
      <c r="AC4715">
        <v>3.3799999999999901</v>
      </c>
      <c r="AD4715">
        <v>-1.12849788752529</v>
      </c>
      <c r="AE4715">
        <v>-60.790719999999901</v>
      </c>
      <c r="AF4715">
        <v>-12.764972556181499</v>
      </c>
      <c r="AG4715">
        <v>-1.12849788752529</v>
      </c>
      <c r="AH4715">
        <v>59.510047981184101</v>
      </c>
      <c r="AI4715">
        <v>91.062221900546604</v>
      </c>
      <c r="AJ4715">
        <v>102.106557121816</v>
      </c>
      <c r="AK4715">
        <v>60.874163998900698</v>
      </c>
      <c r="AL4715">
        <v>81.766899790582798</v>
      </c>
      <c r="AM4715">
        <v>100.580253908754</v>
      </c>
      <c r="AN4715">
        <v>0.99999992206238697</v>
      </c>
    </row>
    <row r="4716" spans="1:40" x14ac:dyDescent="0.25">
      <c r="A4716" t="str">
        <f>"20190303162915296"</f>
        <v>20190303162915296</v>
      </c>
      <c r="B4716" t="str">
        <f>"1551601755286640"</f>
        <v>1551601755286640</v>
      </c>
      <c r="C4716" t="s">
        <v>40</v>
      </c>
      <c r="D4716">
        <v>5.0456810000000001</v>
      </c>
      <c r="E4716">
        <v>0.48592950000000001</v>
      </c>
      <c r="F4716" t="s">
        <v>41</v>
      </c>
      <c r="G4716">
        <v>-417.29300000000001</v>
      </c>
      <c r="H4716" s="1">
        <v>-3.5777149999999998E-6</v>
      </c>
      <c r="I4716">
        <v>66.853229999999996</v>
      </c>
      <c r="J4716">
        <v>-420.5856</v>
      </c>
      <c r="K4716">
        <v>1.128377</v>
      </c>
      <c r="L4716">
        <v>120.4906</v>
      </c>
      <c r="M4716">
        <v>-0.1472405</v>
      </c>
      <c r="N4716">
        <v>-1.297221E-2</v>
      </c>
      <c r="O4716">
        <v>-0.9890158</v>
      </c>
      <c r="P4716">
        <v>3.0537749999999999E-2</v>
      </c>
      <c r="Q4716">
        <v>0.135054799999999</v>
      </c>
      <c r="R4716">
        <v>-0.99036749999999996</v>
      </c>
      <c r="S4716">
        <v>0.18243409999999999</v>
      </c>
      <c r="T4716">
        <v>-6.3396220000000003E-2</v>
      </c>
      <c r="U4716">
        <v>-3.032089</v>
      </c>
      <c r="V4716">
        <v>-0.17868339999999999</v>
      </c>
      <c r="W4716">
        <v>0.14448229999999901</v>
      </c>
      <c r="X4716">
        <v>0.97324049999999995</v>
      </c>
      <c r="Y4716">
        <v>-0.20634420000000001</v>
      </c>
      <c r="Z4716">
        <v>7.2893230000000003E-3</v>
      </c>
      <c r="AA4716">
        <v>0.97845230000000005</v>
      </c>
      <c r="AB4716">
        <v>34</v>
      </c>
      <c r="AC4716">
        <v>3.29259999999999</v>
      </c>
      <c r="AD4716">
        <v>-1.128380577715</v>
      </c>
      <c r="AE4716">
        <v>-53.637369999999898</v>
      </c>
      <c r="AF4716">
        <v>-11.150047472935601</v>
      </c>
      <c r="AG4716">
        <v>-1.128380577715</v>
      </c>
      <c r="AH4716">
        <v>52.544650672651002</v>
      </c>
      <c r="AI4716">
        <v>91.203432107931505</v>
      </c>
      <c r="AJ4716">
        <v>101.98052796872101</v>
      </c>
      <c r="AK4716">
        <v>53.726502916975797</v>
      </c>
      <c r="AL4716">
        <v>81.692698361521195</v>
      </c>
      <c r="AM4716">
        <v>100.403436642134</v>
      </c>
      <c r="AN4716">
        <v>0.99999998164454895</v>
      </c>
    </row>
    <row r="4717" spans="1:40" x14ac:dyDescent="0.25">
      <c r="A4717" t="str">
        <f>"20190303162915316"</f>
        <v>20190303162915316</v>
      </c>
      <c r="B4717" t="str">
        <f>"1551601755306160"</f>
        <v>1551601755306160</v>
      </c>
      <c r="C4717" t="s">
        <v>40</v>
      </c>
      <c r="D4717">
        <v>5.0453419999999998</v>
      </c>
      <c r="E4717">
        <v>0.48614049999999998</v>
      </c>
      <c r="F4717" t="s">
        <v>41</v>
      </c>
      <c r="G4717">
        <v>-417.13490000000002</v>
      </c>
      <c r="H4717" s="1">
        <v>-3.5029649999999998E-6</v>
      </c>
      <c r="I4717">
        <v>66.613579999999999</v>
      </c>
      <c r="J4717">
        <v>-420.62430000000001</v>
      </c>
      <c r="K4717">
        <v>1.128285</v>
      </c>
      <c r="L4717">
        <v>120.1841</v>
      </c>
      <c r="M4717">
        <v>-0.14014199999999999</v>
      </c>
      <c r="N4717">
        <v>-1.295061E-2</v>
      </c>
      <c r="O4717">
        <v>-0.99004669999999895</v>
      </c>
      <c r="P4717">
        <v>3.3676789999999998E-2</v>
      </c>
      <c r="Q4717">
        <v>0.135875</v>
      </c>
      <c r="R4717">
        <v>-0.99015350000000002</v>
      </c>
      <c r="S4717">
        <v>0.1941833</v>
      </c>
      <c r="T4717">
        <v>-6.3497899999999996E-2</v>
      </c>
      <c r="U4717">
        <v>-3.0318450000000001</v>
      </c>
      <c r="V4717">
        <v>-0.17474029999999999</v>
      </c>
      <c r="W4717">
        <v>0.14540420000000001</v>
      </c>
      <c r="X4717">
        <v>0.97381899999999999</v>
      </c>
      <c r="Y4717">
        <v>-0.2031066</v>
      </c>
      <c r="Z4717">
        <v>7.381533E-3</v>
      </c>
      <c r="AA4717">
        <v>0.97912880000000002</v>
      </c>
      <c r="AB4717">
        <v>34</v>
      </c>
      <c r="AC4717">
        <v>3.4893999999999799</v>
      </c>
      <c r="AD4717">
        <v>-1.1282885029650001</v>
      </c>
      <c r="AE4717">
        <v>-53.570519999999902</v>
      </c>
      <c r="AF4717">
        <v>-10.958227843948601</v>
      </c>
      <c r="AG4717">
        <v>-1.1282885029650001</v>
      </c>
      <c r="AH4717">
        <v>52.529509649830104</v>
      </c>
      <c r="AI4717">
        <v>91.204551522670997</v>
      </c>
      <c r="AJ4717">
        <v>101.783529485882</v>
      </c>
      <c r="AK4717">
        <v>53.672201151782502</v>
      </c>
      <c r="AL4717">
        <v>81.639313783647907</v>
      </c>
      <c r="AM4717">
        <v>100.172790463994</v>
      </c>
      <c r="AN4717">
        <v>0.99999999929136396</v>
      </c>
    </row>
    <row r="4718" spans="1:40" x14ac:dyDescent="0.25">
      <c r="A4718" t="str">
        <f>"20190303162915338"</f>
        <v>20190303162915338</v>
      </c>
      <c r="B4718" t="str">
        <f>"1551601755326187"</f>
        <v>1551601755326187</v>
      </c>
      <c r="C4718" t="s">
        <v>40</v>
      </c>
      <c r="D4718">
        <v>4.988302</v>
      </c>
      <c r="E4718">
        <v>0.48646270000000003</v>
      </c>
      <c r="F4718" t="s">
        <v>41</v>
      </c>
      <c r="G4718">
        <v>-417.03590000000003</v>
      </c>
      <c r="H4718" s="1">
        <v>-3.487535E-6</v>
      </c>
      <c r="I4718">
        <v>66.536670000000001</v>
      </c>
      <c r="J4718">
        <v>-420.66370000000001</v>
      </c>
      <c r="K4718">
        <v>1.128193</v>
      </c>
      <c r="L4718">
        <v>119.85420000000001</v>
      </c>
      <c r="M4718">
        <v>-0.13257469999999999</v>
      </c>
      <c r="N4718">
        <v>-1.292914E-2</v>
      </c>
      <c r="O4718">
        <v>-0.99108870000000004</v>
      </c>
      <c r="P4718">
        <v>3.5836850000000003E-2</v>
      </c>
      <c r="Q4718">
        <v>0.137242</v>
      </c>
      <c r="R4718">
        <v>-0.98988920000000002</v>
      </c>
      <c r="S4718">
        <v>0.20278930000000001</v>
      </c>
      <c r="T4718">
        <v>-6.3760880000000006E-2</v>
      </c>
      <c r="U4718">
        <v>-3.0316770000000002</v>
      </c>
      <c r="V4718">
        <v>-0.16937569999999999</v>
      </c>
      <c r="W4718">
        <v>0.14689820000000001</v>
      </c>
      <c r="X4718">
        <v>0.97454240000000003</v>
      </c>
      <c r="Y4718">
        <v>-0.19839619999999999</v>
      </c>
      <c r="Z4718">
        <v>7.5305069999999997E-3</v>
      </c>
      <c r="AA4718">
        <v>0.98009299999999999</v>
      </c>
      <c r="AB4718">
        <v>34</v>
      </c>
      <c r="AC4718">
        <v>3.6277999999999699</v>
      </c>
      <c r="AD4718">
        <v>-1.1281964875349999</v>
      </c>
      <c r="AE4718">
        <v>-53.317529999999998</v>
      </c>
      <c r="AF4718">
        <v>-10.6601673954821</v>
      </c>
      <c r="AG4718">
        <v>-1.1281964875349999</v>
      </c>
      <c r="AH4718">
        <v>52.342495311398302</v>
      </c>
      <c r="AI4718">
        <v>91.209938541458001</v>
      </c>
      <c r="AJ4718">
        <v>101.51152653064599</v>
      </c>
      <c r="AK4718">
        <v>53.428913629587697</v>
      </c>
      <c r="AL4718">
        <v>81.552785178737594</v>
      </c>
      <c r="AM4718">
        <v>99.859533232884203</v>
      </c>
      <c r="AN4718">
        <v>1.0000000491557399</v>
      </c>
    </row>
    <row r="4719" spans="1:40" x14ac:dyDescent="0.25">
      <c r="A4719" t="str">
        <f>"20190303162915361"</f>
        <v>20190303162915361</v>
      </c>
      <c r="B4719" t="str">
        <f>"1551601755346684"</f>
        <v>1551601755346684</v>
      </c>
      <c r="C4719" t="s">
        <v>40</v>
      </c>
      <c r="D4719">
        <v>4.8648619999999996</v>
      </c>
      <c r="E4719">
        <v>0.48683480000000001</v>
      </c>
      <c r="F4719" t="s">
        <v>41</v>
      </c>
      <c r="G4719">
        <v>-416.90410000000003</v>
      </c>
      <c r="H4719" s="1">
        <v>-2.8376830000000001E-6</v>
      </c>
      <c r="I4719">
        <v>64.967359999999999</v>
      </c>
      <c r="J4719">
        <v>-420.7011</v>
      </c>
      <c r="K4719">
        <v>1.1281060000000001</v>
      </c>
      <c r="L4719">
        <v>119.5201</v>
      </c>
      <c r="M4719">
        <v>-0.12497999999999999</v>
      </c>
      <c r="N4719">
        <v>-1.290872E-2</v>
      </c>
      <c r="O4719">
        <v>-0.99207529999999999</v>
      </c>
      <c r="P4719">
        <v>3.6555129999999998E-2</v>
      </c>
      <c r="Q4719">
        <v>0.13843829999999999</v>
      </c>
      <c r="R4719">
        <v>-0.98969629999999997</v>
      </c>
      <c r="S4719">
        <v>0.2076721</v>
      </c>
      <c r="T4719">
        <v>-6.231809E-2</v>
      </c>
      <c r="U4719">
        <v>-3.031784</v>
      </c>
      <c r="V4719">
        <v>-0.1625656</v>
      </c>
      <c r="W4719">
        <v>0.14824699999999999</v>
      </c>
      <c r="X4719">
        <v>0.97549739999999996</v>
      </c>
      <c r="Y4719">
        <v>-0.19245689999999999</v>
      </c>
      <c r="Z4719">
        <v>7.1296869999999896E-3</v>
      </c>
      <c r="AA4719">
        <v>0.98127949999999997</v>
      </c>
      <c r="AB4719">
        <v>34</v>
      </c>
      <c r="AC4719">
        <v>3.7969999999999602</v>
      </c>
      <c r="AD4719">
        <v>-1.128108837683</v>
      </c>
      <c r="AE4719">
        <v>-54.55274</v>
      </c>
      <c r="AF4719">
        <v>-10.581290116560201</v>
      </c>
      <c r="AG4719">
        <v>-1.128108837683</v>
      </c>
      <c r="AH4719">
        <v>53.627523854184801</v>
      </c>
      <c r="AI4719">
        <v>91.182308391678902</v>
      </c>
      <c r="AJ4719">
        <v>101.161702979697</v>
      </c>
      <c r="AK4719">
        <v>54.673097999030901</v>
      </c>
      <c r="AL4719">
        <v>81.474648389465798</v>
      </c>
      <c r="AM4719">
        <v>99.461333553303604</v>
      </c>
      <c r="AN4719">
        <v>0.99999996235955901</v>
      </c>
    </row>
    <row r="4720" spans="1:40" x14ac:dyDescent="0.25">
      <c r="A4720" t="str">
        <f>"20190303162915383"</f>
        <v>20190303162915383</v>
      </c>
      <c r="B4720" t="str">
        <f>"1551601755376939"</f>
        <v>1551601755376939</v>
      </c>
      <c r="C4720" t="s">
        <v>40</v>
      </c>
      <c r="D4720">
        <v>5.032959</v>
      </c>
      <c r="E4720">
        <v>0.48739130000000003</v>
      </c>
      <c r="F4720" t="s">
        <v>41</v>
      </c>
      <c r="G4720">
        <v>-416.83620000000002</v>
      </c>
      <c r="H4720" s="1">
        <v>-2.1405059999999998E-6</v>
      </c>
      <c r="I4720">
        <v>63.314140000000002</v>
      </c>
      <c r="J4720">
        <v>-420.73630000000003</v>
      </c>
      <c r="K4720">
        <v>1.1280059999999901</v>
      </c>
      <c r="L4720">
        <v>119.1825</v>
      </c>
      <c r="M4720">
        <v>-0.11739380000000001</v>
      </c>
      <c r="N4720">
        <v>-1.2888719999999999E-2</v>
      </c>
      <c r="O4720">
        <v>-0.99300189999999999</v>
      </c>
      <c r="P4720">
        <v>3.8768589999999999E-2</v>
      </c>
      <c r="Q4720">
        <v>0.13762240000000001</v>
      </c>
      <c r="R4720">
        <v>-0.98972559999999998</v>
      </c>
      <c r="S4720">
        <v>0.20849609999999999</v>
      </c>
      <c r="T4720">
        <v>-6.0856100000000003E-2</v>
      </c>
      <c r="U4720">
        <v>-3.0320429999999998</v>
      </c>
      <c r="V4720">
        <v>-0.15724009999999999</v>
      </c>
      <c r="W4720">
        <v>0.14755699999999999</v>
      </c>
      <c r="X4720">
        <v>0.97647450000000002</v>
      </c>
      <c r="Y4720">
        <v>-0.18521370000000001</v>
      </c>
      <c r="Z4720">
        <v>6.7216949999999998E-3</v>
      </c>
      <c r="AA4720">
        <v>0.98267530000000003</v>
      </c>
      <c r="AB4720">
        <v>34</v>
      </c>
      <c r="AC4720">
        <v>3.9001000000000001</v>
      </c>
      <c r="AD4720">
        <v>-1.1280081405059901</v>
      </c>
      <c r="AE4720">
        <v>-55.868359999999903</v>
      </c>
      <c r="AF4720">
        <v>-10.4280408740275</v>
      </c>
      <c r="AG4720">
        <v>-1.1280081405059901</v>
      </c>
      <c r="AH4720">
        <v>55.0017921127886</v>
      </c>
      <c r="AI4720">
        <v>91.154331856098906</v>
      </c>
      <c r="AJ4720">
        <v>100.735545106716</v>
      </c>
      <c r="AK4720">
        <v>55.992977903071399</v>
      </c>
      <c r="AL4720">
        <v>81.514622288171907</v>
      </c>
      <c r="AM4720">
        <v>99.147718380339398</v>
      </c>
      <c r="AN4720">
        <v>0.99999998322362904</v>
      </c>
    </row>
    <row r="4721" spans="1:40" x14ac:dyDescent="0.25">
      <c r="A4721" t="str">
        <f>"20190303162915405"</f>
        <v>20190303162915405</v>
      </c>
      <c r="B4721" t="str">
        <f>"1551601755396459"</f>
        <v>1551601755396459</v>
      </c>
      <c r="C4721" t="s">
        <v>40</v>
      </c>
      <c r="D4721">
        <v>5.0318610000000001</v>
      </c>
      <c r="E4721">
        <v>0.48750670000000002</v>
      </c>
      <c r="F4721" t="s">
        <v>41</v>
      </c>
      <c r="G4721">
        <v>-417.11669999999998</v>
      </c>
      <c r="H4721" s="1">
        <v>-3.8187590000000001E-6</v>
      </c>
      <c r="I4721">
        <v>67.342190000000002</v>
      </c>
      <c r="J4721">
        <v>-420.76690000000002</v>
      </c>
      <c r="K4721">
        <v>1.127904</v>
      </c>
      <c r="L4721">
        <v>118.8648</v>
      </c>
      <c r="M4721">
        <v>-0.1103628</v>
      </c>
      <c r="N4721">
        <v>-1.2869480000000001E-2</v>
      </c>
      <c r="O4721">
        <v>-0.99380800000000002</v>
      </c>
      <c r="P4721">
        <v>3.7094490000000001E-2</v>
      </c>
      <c r="Q4721">
        <v>0.13707649999999999</v>
      </c>
      <c r="R4721">
        <v>-0.98986549999999995</v>
      </c>
      <c r="S4721">
        <v>0.21170040000000001</v>
      </c>
      <c r="T4721">
        <v>-6.5974829999999998E-2</v>
      </c>
      <c r="U4721">
        <v>-3.0320279999999999</v>
      </c>
      <c r="V4721">
        <v>-0.14861460000000001</v>
      </c>
      <c r="W4721">
        <v>0.1471981</v>
      </c>
      <c r="X4721">
        <v>0.97787849999999998</v>
      </c>
      <c r="Y4721">
        <v>-0.17928759999999999</v>
      </c>
      <c r="Z4721">
        <v>8.4343460000000006E-3</v>
      </c>
      <c r="AA4721">
        <v>0.98376050000000004</v>
      </c>
      <c r="AB4721">
        <v>34</v>
      </c>
      <c r="AC4721">
        <v>3.6502000000000399</v>
      </c>
      <c r="AD4721">
        <v>-1.1279078187589999</v>
      </c>
      <c r="AE4721">
        <v>-51.52261</v>
      </c>
      <c r="AF4721">
        <v>-9.3101097822597492</v>
      </c>
      <c r="AG4721">
        <v>-1.1279078187589999</v>
      </c>
      <c r="AH4721">
        <v>50.780730831041403</v>
      </c>
      <c r="AI4721">
        <v>91.251552745459406</v>
      </c>
      <c r="AJ4721">
        <v>100.38919526362901</v>
      </c>
      <c r="AK4721">
        <v>51.639451429503197</v>
      </c>
      <c r="AL4721">
        <v>81.535412659939993</v>
      </c>
      <c r="AM4721">
        <v>98.641489287703607</v>
      </c>
      <c r="AN4721">
        <v>0.99999997036950905</v>
      </c>
    </row>
    <row r="4722" spans="1:40" x14ac:dyDescent="0.25">
      <c r="A4722" t="str">
        <f>"20190303162915427"</f>
        <v>20190303162915427</v>
      </c>
      <c r="B4722" t="str">
        <f>"1551601755416956"</f>
        <v>1551601755416956</v>
      </c>
      <c r="C4722" t="s">
        <v>40</v>
      </c>
      <c r="D4722">
        <v>5.0332660000000002</v>
      </c>
      <c r="E4722">
        <v>0.49062850000000002</v>
      </c>
      <c r="F4722" t="s">
        <v>41</v>
      </c>
      <c r="G4722">
        <v>-417.36900000000003</v>
      </c>
      <c r="H4722" s="1">
        <v>-4.462553E-6</v>
      </c>
      <c r="I4722">
        <v>68.947199999999995</v>
      </c>
      <c r="J4722">
        <v>-420.79640000000001</v>
      </c>
      <c r="K4722">
        <v>1.1277999999999999</v>
      </c>
      <c r="L4722">
        <v>118.53570000000001</v>
      </c>
      <c r="M4722">
        <v>-0.103183399999999</v>
      </c>
      <c r="N4722">
        <v>-1.284919E-2</v>
      </c>
      <c r="O4722">
        <v>-0.99457949999999995</v>
      </c>
      <c r="P4722">
        <v>3.5024609999999998E-2</v>
      </c>
      <c r="Q4722">
        <v>0.1384888</v>
      </c>
      <c r="R4722">
        <v>-0.98974470000000003</v>
      </c>
      <c r="S4722">
        <v>0.20642089999999999</v>
      </c>
      <c r="T4722">
        <v>-6.851923E-2</v>
      </c>
      <c r="U4722">
        <v>-3.0324399999999998</v>
      </c>
      <c r="V4722">
        <v>-0.1394455</v>
      </c>
      <c r="W4722">
        <v>0.1487996</v>
      </c>
      <c r="X4722">
        <v>0.97898600000000002</v>
      </c>
      <c r="Y4722">
        <v>-0.1704629</v>
      </c>
      <c r="Z4722">
        <v>9.3245250000000002E-3</v>
      </c>
      <c r="AA4722">
        <v>0.98531999999999997</v>
      </c>
      <c r="AB4722">
        <v>34</v>
      </c>
      <c r="AC4722">
        <v>3.4273999999999698</v>
      </c>
      <c r="AD4722">
        <v>-1.1278044625529999</v>
      </c>
      <c r="AE4722">
        <v>-49.588500000000003</v>
      </c>
      <c r="AF4722">
        <v>-8.5218473968384103</v>
      </c>
      <c r="AG4722">
        <v>-1.1278044625529999</v>
      </c>
      <c r="AH4722">
        <v>48.944893473914497</v>
      </c>
      <c r="AI4722">
        <v>91.300437632671802</v>
      </c>
      <c r="AJ4722">
        <v>99.876819134429695</v>
      </c>
      <c r="AK4722">
        <v>49.694028042950997</v>
      </c>
      <c r="AL4722">
        <v>81.442631776889499</v>
      </c>
      <c r="AM4722">
        <v>98.106605861948793</v>
      </c>
      <c r="AN4722">
        <v>0.99999997831320397</v>
      </c>
    </row>
    <row r="4723" spans="1:40" x14ac:dyDescent="0.25">
      <c r="A4723" t="str">
        <f>"20190303162915450"</f>
        <v>20190303162915450</v>
      </c>
      <c r="B4723" t="str">
        <f>"1551601755436475"</f>
        <v>1551601755436475</v>
      </c>
      <c r="C4723" t="s">
        <v>40</v>
      </c>
      <c r="D4723">
        <v>4.8226950000000004</v>
      </c>
      <c r="E4723">
        <v>0.49032019999999998</v>
      </c>
      <c r="F4723" t="s">
        <v>41</v>
      </c>
      <c r="G4723">
        <v>-418.69569999999999</v>
      </c>
      <c r="H4723" s="1">
        <v>-1.4175969999999999E-6</v>
      </c>
      <c r="I4723">
        <v>82.397930000000002</v>
      </c>
      <c r="J4723">
        <v>-420.82400000000001</v>
      </c>
      <c r="K4723">
        <v>1.1276809999999999</v>
      </c>
      <c r="L4723">
        <v>118.2032</v>
      </c>
      <c r="M4723">
        <v>-9.6086969999999994E-2</v>
      </c>
      <c r="N4723">
        <v>-1.28283999999999E-2</v>
      </c>
      <c r="O4723">
        <v>-0.99529040000000002</v>
      </c>
      <c r="P4723">
        <v>3.230015E-2</v>
      </c>
      <c r="Q4723">
        <v>0.143298799999999</v>
      </c>
      <c r="R4723">
        <v>-0.98915229999999998</v>
      </c>
      <c r="S4723">
        <v>0.17660519999999999</v>
      </c>
      <c r="T4723">
        <v>-9.4814300000000004E-2</v>
      </c>
      <c r="U4723">
        <v>-3.0381010000000002</v>
      </c>
      <c r="V4723">
        <v>-0.12970570000000001</v>
      </c>
      <c r="W4723">
        <v>0.15380160000000001</v>
      </c>
      <c r="X4723">
        <v>0.97955170000000003</v>
      </c>
      <c r="Y4723">
        <v>-0.15364349999999999</v>
      </c>
      <c r="Z4723">
        <v>1.7904759999999999E-2</v>
      </c>
      <c r="AA4723">
        <v>0.98796410000000001</v>
      </c>
      <c r="AB4723">
        <v>34</v>
      </c>
      <c r="AC4723">
        <v>2.1283000000000198</v>
      </c>
      <c r="AD4723">
        <v>-1.1276824175969999</v>
      </c>
      <c r="AE4723">
        <v>-35.805269999999901</v>
      </c>
      <c r="AF4723">
        <v>-5.5536637707639596</v>
      </c>
      <c r="AG4723">
        <v>-1.1276824175969999</v>
      </c>
      <c r="AH4723">
        <v>35.400060311131298</v>
      </c>
      <c r="AI4723">
        <v>91.802529401942806</v>
      </c>
      <c r="AJ4723">
        <v>98.916053457688093</v>
      </c>
      <c r="AK4723">
        <v>35.8507896558135</v>
      </c>
      <c r="AL4723">
        <v>81.152700547437306</v>
      </c>
      <c r="AM4723">
        <v>97.542845426719396</v>
      </c>
      <c r="AN4723">
        <v>1.00000001687397</v>
      </c>
    </row>
    <row r="4724" spans="1:40" x14ac:dyDescent="0.25">
      <c r="A4724" t="str">
        <f>"20190303162915473"</f>
        <v>20190303162915473</v>
      </c>
      <c r="B4724" t="str">
        <f>"1551601755466732"</f>
        <v>1551601755466732</v>
      </c>
      <c r="C4724" t="s">
        <v>40</v>
      </c>
      <c r="D4724">
        <v>4.8778100000000002</v>
      </c>
      <c r="E4724">
        <v>0.49025839999999998</v>
      </c>
      <c r="F4724" t="s">
        <v>41</v>
      </c>
      <c r="G4724">
        <v>-418.29860000000002</v>
      </c>
      <c r="H4724" s="1">
        <v>-1.9422830000000002E-6</v>
      </c>
      <c r="I4724">
        <v>73.456789999999998</v>
      </c>
      <c r="J4724">
        <v>-420.8503</v>
      </c>
      <c r="K4724">
        <v>1.127526</v>
      </c>
      <c r="L4724">
        <v>117.8569</v>
      </c>
      <c r="M4724">
        <v>-8.8932949999999997E-2</v>
      </c>
      <c r="N4724">
        <v>-1.28042E-2</v>
      </c>
      <c r="O4724">
        <v>-0.99595549999999999</v>
      </c>
      <c r="P4724">
        <v>3.1594650000000002E-2</v>
      </c>
      <c r="Q4724">
        <v>0.1487096</v>
      </c>
      <c r="R4724">
        <v>-0.98837609999999998</v>
      </c>
      <c r="S4724">
        <v>0.1714783</v>
      </c>
      <c r="T4724">
        <v>-7.6572779999999993E-2</v>
      </c>
      <c r="U4724">
        <v>-3.0384060000000002</v>
      </c>
      <c r="V4724">
        <v>-0.12189510000000001</v>
      </c>
      <c r="W4724">
        <v>0.15937109999999999</v>
      </c>
      <c r="X4724">
        <v>0.97966439999999999</v>
      </c>
      <c r="Y4724">
        <v>-0.1448834</v>
      </c>
      <c r="Z4724">
        <v>1.205666E-2</v>
      </c>
      <c r="AA4724">
        <v>0.98937529999999996</v>
      </c>
      <c r="AB4724">
        <v>34</v>
      </c>
      <c r="AC4724">
        <v>2.5516999999999799</v>
      </c>
      <c r="AD4724">
        <v>-1.127527942283</v>
      </c>
      <c r="AE4724">
        <v>-44.400109999999998</v>
      </c>
      <c r="AF4724">
        <v>-6.4863740347231804</v>
      </c>
      <c r="AG4724">
        <v>-1.127527942283</v>
      </c>
      <c r="AH4724">
        <v>43.968940215276298</v>
      </c>
      <c r="AI4724">
        <v>91.453234803027101</v>
      </c>
      <c r="AJ4724">
        <v>98.3918454186867</v>
      </c>
      <c r="AK4724">
        <v>44.4591056031664</v>
      </c>
      <c r="AL4724">
        <v>80.829605022899798</v>
      </c>
      <c r="AM4724">
        <v>97.092596393234004</v>
      </c>
      <c r="AN4724">
        <v>0.99999994977328799</v>
      </c>
    </row>
    <row r="4725" spans="1:40" x14ac:dyDescent="0.25">
      <c r="A4725" t="str">
        <f>"20190303162915496"</f>
        <v>20190303162915496</v>
      </c>
      <c r="B4725" t="str">
        <f>"1551601755486251"</f>
        <v>1551601755486251</v>
      </c>
      <c r="C4725" t="s">
        <v>40</v>
      </c>
      <c r="D4725">
        <v>5.0020300000000004</v>
      </c>
      <c r="E4725">
        <v>0.49909249999999999</v>
      </c>
      <c r="F4725" t="s">
        <v>41</v>
      </c>
      <c r="G4725">
        <v>-417.7235</v>
      </c>
      <c r="H4725" s="1">
        <v>-1.162518E-6</v>
      </c>
      <c r="I4725">
        <v>61.284260000000003</v>
      </c>
      <c r="J4725">
        <v>-420.8741</v>
      </c>
      <c r="K4725">
        <v>1.1273010000000001</v>
      </c>
      <c r="L4725">
        <v>117.51609999999999</v>
      </c>
      <c r="M4725">
        <v>-8.2218799999999995E-2</v>
      </c>
      <c r="N4725">
        <v>-1.2775979999999999E-2</v>
      </c>
      <c r="O4725">
        <v>-0.99653239999999998</v>
      </c>
      <c r="P4725">
        <v>3.3424410000000002E-2</v>
      </c>
      <c r="Q4725">
        <v>0.1524384</v>
      </c>
      <c r="R4725">
        <v>-0.98774759999999995</v>
      </c>
      <c r="S4725">
        <v>0.167968799999999</v>
      </c>
      <c r="T4725">
        <v>-6.0569520000000002E-2</v>
      </c>
      <c r="U4725">
        <v>-3.0390169999999999</v>
      </c>
      <c r="V4725">
        <v>-0.1170118</v>
      </c>
      <c r="W4725">
        <v>0.16321629999999901</v>
      </c>
      <c r="X4725">
        <v>0.97962680000000002</v>
      </c>
      <c r="Y4725">
        <v>-0.13706989999999999</v>
      </c>
      <c r="Z4725">
        <v>6.9121679999999998E-3</v>
      </c>
      <c r="AA4725">
        <v>0.99053729999999995</v>
      </c>
      <c r="AB4725">
        <v>34</v>
      </c>
      <c r="AC4725">
        <v>3.1505999999999901</v>
      </c>
      <c r="AD4725">
        <v>-1.127302162518</v>
      </c>
      <c r="AE4725">
        <v>-56.231839999999998</v>
      </c>
      <c r="AF4725">
        <v>-7.76051392056939</v>
      </c>
      <c r="AG4725">
        <v>-1.127302162518</v>
      </c>
      <c r="AH4725">
        <v>55.760025467189898</v>
      </c>
      <c r="AI4725">
        <v>91.147138877103203</v>
      </c>
      <c r="AJ4725">
        <v>97.9233580741098</v>
      </c>
      <c r="AK4725">
        <v>56.308763319563603</v>
      </c>
      <c r="AL4725">
        <v>80.606368591758695</v>
      </c>
      <c r="AM4725">
        <v>96.811439573312498</v>
      </c>
      <c r="AN4725">
        <v>0.99999999460158495</v>
      </c>
    </row>
    <row r="4726" spans="1:40" x14ac:dyDescent="0.25">
      <c r="A4726" t="str">
        <f>"20190303162915517"</f>
        <v>20190303162915517</v>
      </c>
      <c r="B4726" t="str">
        <f>"1551601755506748"</f>
        <v>1551601755506748</v>
      </c>
      <c r="C4726" t="s">
        <v>40</v>
      </c>
      <c r="D4726">
        <v>4.8744649999999998</v>
      </c>
      <c r="E4726">
        <v>0.50012769999999995</v>
      </c>
      <c r="F4726" t="s">
        <v>59</v>
      </c>
      <c r="G4726">
        <v>-417.0129</v>
      </c>
      <c r="H4726">
        <v>0.55694840000000001</v>
      </c>
      <c r="I4726">
        <v>0.50776480000000002</v>
      </c>
      <c r="J4726">
        <v>-420.89440000000002</v>
      </c>
      <c r="K4726">
        <v>1.1270230000000001</v>
      </c>
      <c r="L4726">
        <v>117.20269999999999</v>
      </c>
      <c r="M4726">
        <v>-7.6409550000000007E-2</v>
      </c>
      <c r="N4726">
        <v>-1.274606E-2</v>
      </c>
      <c r="O4726">
        <v>-0.99699499999999996</v>
      </c>
      <c r="P4726">
        <v>3.5327009999999999E-2</v>
      </c>
      <c r="Q4726">
        <v>0.1537596</v>
      </c>
      <c r="R4726">
        <v>-0.98747669999999999</v>
      </c>
      <c r="S4726">
        <v>0.10018920000000001</v>
      </c>
      <c r="T4726">
        <v>-1.480019E-2</v>
      </c>
      <c r="U4726">
        <v>-3.0361180000000001</v>
      </c>
      <c r="V4726">
        <v>-0.1130705</v>
      </c>
      <c r="W4726">
        <v>0.16464719999999999</v>
      </c>
      <c r="X4726">
        <v>0.9798502</v>
      </c>
      <c r="Y4726">
        <v>-0.1092456</v>
      </c>
      <c r="Z4726">
        <v>-7.9250439999999991E-3</v>
      </c>
      <c r="AA4726">
        <v>0.99398319999999996</v>
      </c>
      <c r="AB4726">
        <v>34</v>
      </c>
      <c r="AC4726">
        <v>3.8815000000000102</v>
      </c>
      <c r="AD4726">
        <v>-0.57007459999999899</v>
      </c>
      <c r="AE4726">
        <v>-116.6949352</v>
      </c>
      <c r="AF4726">
        <v>-12.7871781001381</v>
      </c>
      <c r="AG4726">
        <v>-0.57007459999999899</v>
      </c>
      <c r="AH4726">
        <v>116.054349651183</v>
      </c>
      <c r="AI4726">
        <v>90.279749364499196</v>
      </c>
      <c r="AJ4726">
        <v>96.287639372348494</v>
      </c>
      <c r="AK4726">
        <v>116.758078871542</v>
      </c>
      <c r="AL4726">
        <v>80.5232600340793</v>
      </c>
      <c r="AM4726">
        <v>96.582571427583005</v>
      </c>
      <c r="AN4726">
        <v>1.0000000264390601</v>
      </c>
    </row>
    <row r="4727" spans="1:40" x14ac:dyDescent="0.25">
      <c r="A4727" t="str">
        <f>"20190303162915538"</f>
        <v>20190303162915538</v>
      </c>
      <c r="B4727" t="str">
        <f>"1551601755526269"</f>
        <v>1551601755526269</v>
      </c>
      <c r="C4727" t="s">
        <v>40</v>
      </c>
      <c r="D4727">
        <v>4.8851899999999997</v>
      </c>
      <c r="E4727">
        <v>0.50028989999999995</v>
      </c>
      <c r="F4727" t="s">
        <v>59</v>
      </c>
      <c r="G4727">
        <v>-417.25639999999999</v>
      </c>
      <c r="H4727">
        <v>0.38306820000000003</v>
      </c>
      <c r="I4727">
        <v>0.50529099999999905</v>
      </c>
      <c r="J4727">
        <v>-420.91379999999998</v>
      </c>
      <c r="K4727">
        <v>1.1266609999999999</v>
      </c>
      <c r="L4727">
        <v>116.879</v>
      </c>
      <c r="M4727">
        <v>-7.0844009999999999E-2</v>
      </c>
      <c r="N4727">
        <v>-1.2712569999999999E-2</v>
      </c>
      <c r="O4727">
        <v>-0.99740640000000003</v>
      </c>
      <c r="P4727">
        <v>3.7141529999999999E-2</v>
      </c>
      <c r="Q4727">
        <v>0.1536566</v>
      </c>
      <c r="R4727">
        <v>-0.98742589999999997</v>
      </c>
      <c r="S4727">
        <v>9.4696039999999995E-2</v>
      </c>
      <c r="T4727">
        <v>-1.9366149999999999E-2</v>
      </c>
      <c r="U4727">
        <v>-3.037674</v>
      </c>
      <c r="V4727">
        <v>-0.1092506</v>
      </c>
      <c r="W4727">
        <v>0.16466510000000001</v>
      </c>
      <c r="X4727">
        <v>0.98028040000000005</v>
      </c>
      <c r="Y4727">
        <v>-0.1018828</v>
      </c>
      <c r="Z4727">
        <v>-6.393859E-3</v>
      </c>
      <c r="AA4727">
        <v>0.99477590000000005</v>
      </c>
      <c r="AB4727">
        <v>34</v>
      </c>
      <c r="AC4727">
        <v>3.6573999999999902</v>
      </c>
      <c r="AD4727">
        <v>-0.74359280000000005</v>
      </c>
      <c r="AE4727">
        <v>-116.37370900000001</v>
      </c>
      <c r="AF4727">
        <v>-11.8927703006112</v>
      </c>
      <c r="AG4727">
        <v>-0.74359280000000005</v>
      </c>
      <c r="AH4727">
        <v>115.817412088615</v>
      </c>
      <c r="AI4727">
        <v>90.365931979814704</v>
      </c>
      <c r="AJ4727">
        <v>95.862897355516495</v>
      </c>
      <c r="AK4727">
        <v>116.42879308220699</v>
      </c>
      <c r="AL4727">
        <v>80.522219762226698</v>
      </c>
      <c r="AM4727">
        <v>96.359275853269807</v>
      </c>
      <c r="AN4727">
        <v>0.99999997569126398</v>
      </c>
    </row>
    <row r="4728" spans="1:40" x14ac:dyDescent="0.25">
      <c r="A4728" t="str">
        <f>"20190303162915563"</f>
        <v>20190303162915563</v>
      </c>
      <c r="B4728" t="str">
        <f>"1551601755556523"</f>
        <v>1551601755556523</v>
      </c>
      <c r="C4728" t="s">
        <v>40</v>
      </c>
      <c r="D4728">
        <v>4.8906039999999997</v>
      </c>
      <c r="E4728">
        <v>0.5004343</v>
      </c>
      <c r="F4728" t="s">
        <v>42</v>
      </c>
      <c r="G4728">
        <v>-416.79450000000003</v>
      </c>
      <c r="H4728">
        <v>-0.05</v>
      </c>
      <c r="I4728">
        <v>-11.266999999999999</v>
      </c>
      <c r="J4728">
        <v>-420.93349999999998</v>
      </c>
      <c r="K4728">
        <v>1.1262190000000001</v>
      </c>
      <c r="L4728">
        <v>116.526</v>
      </c>
      <c r="M4728">
        <v>-6.5316139999999995E-2</v>
      </c>
      <c r="N4728">
        <v>-1.267536E-2</v>
      </c>
      <c r="O4728">
        <v>-0.99778429999999996</v>
      </c>
      <c r="P4728">
        <v>3.8989889999999999E-2</v>
      </c>
      <c r="Q4728">
        <v>0.15166009999999999</v>
      </c>
      <c r="R4728">
        <v>-0.98766350000000003</v>
      </c>
      <c r="S4728">
        <v>9.7686770000000006E-2</v>
      </c>
      <c r="T4728">
        <v>-2.7903560000000001E-2</v>
      </c>
      <c r="U4728">
        <v>-3.0388790000000001</v>
      </c>
      <c r="V4728">
        <v>-0.105463</v>
      </c>
      <c r="W4728">
        <v>0.16280420000000001</v>
      </c>
      <c r="X4728">
        <v>0.98100580000000004</v>
      </c>
      <c r="Y4728">
        <v>-9.7334400000000001E-2</v>
      </c>
      <c r="Z4728">
        <v>-3.5606650000000002E-3</v>
      </c>
      <c r="AA4728">
        <v>0.9952453</v>
      </c>
      <c r="AB4728">
        <v>34</v>
      </c>
      <c r="AC4728">
        <v>4.1389999999999496</v>
      </c>
      <c r="AD4728">
        <v>-1.1762189999999999</v>
      </c>
      <c r="AE4728">
        <v>-127.792999999999</v>
      </c>
      <c r="AF4728">
        <v>-12.476718921487</v>
      </c>
      <c r="AG4728">
        <v>-1.1762189999999999</v>
      </c>
      <c r="AH4728">
        <v>127.238936744548</v>
      </c>
      <c r="AI4728">
        <v>90.527109189154103</v>
      </c>
      <c r="AJ4728">
        <v>95.600371124269302</v>
      </c>
      <c r="AK4728">
        <v>127.85460112981799</v>
      </c>
      <c r="AL4728">
        <v>80.630300484273107</v>
      </c>
      <c r="AM4728">
        <v>96.136014898930398</v>
      </c>
      <c r="AN4728">
        <v>1.0000000157701301</v>
      </c>
    </row>
    <row r="4729" spans="1:40" x14ac:dyDescent="0.25">
      <c r="A4729" t="str">
        <f>"20190303162915584"</f>
        <v>20190303162915584</v>
      </c>
      <c r="B4729" t="str">
        <f>"1551601755577020"</f>
        <v>1551601755577020</v>
      </c>
      <c r="C4729" t="s">
        <v>40</v>
      </c>
      <c r="D4729">
        <v>5.026173</v>
      </c>
      <c r="E4729">
        <v>0.50032169999999998</v>
      </c>
      <c r="F4729" t="s">
        <v>41</v>
      </c>
      <c r="G4729">
        <v>-418.46530000000001</v>
      </c>
      <c r="H4729" s="1">
        <v>-1.426293E-6</v>
      </c>
      <c r="I4729">
        <v>42.322929999999999</v>
      </c>
      <c r="J4729">
        <v>-420.9504</v>
      </c>
      <c r="K4729">
        <v>1.1257779999999999</v>
      </c>
      <c r="L4729">
        <v>116.2</v>
      </c>
      <c r="M4729">
        <v>-6.0805209999999998E-2</v>
      </c>
      <c r="N4729">
        <v>-1.264178E-2</v>
      </c>
      <c r="O4729">
        <v>-0.99806969999999995</v>
      </c>
      <c r="P4729">
        <v>3.995953E-2</v>
      </c>
      <c r="Q4729">
        <v>0.14863119999999999</v>
      </c>
      <c r="R4729">
        <v>-0.98808510000000005</v>
      </c>
      <c r="S4729">
        <v>0.1011353</v>
      </c>
      <c r="T4729">
        <v>-4.6148179999999997E-2</v>
      </c>
      <c r="U4729">
        <v>-3.0405579999999999</v>
      </c>
      <c r="V4729">
        <v>-0.101803</v>
      </c>
      <c r="W4729">
        <v>0.15990489999999999</v>
      </c>
      <c r="X4729">
        <v>0.98186890000000004</v>
      </c>
      <c r="Y4729">
        <v>-9.3941990000000003E-2</v>
      </c>
      <c r="Z4729">
        <v>2.4415940000000001E-3</v>
      </c>
      <c r="AA4729">
        <v>0.99557470000000003</v>
      </c>
      <c r="AB4729">
        <v>34</v>
      </c>
      <c r="AC4729">
        <v>2.4850999999999801</v>
      </c>
      <c r="AD4729">
        <v>-1.1257794262929901</v>
      </c>
      <c r="AE4729">
        <v>-73.877069999999904</v>
      </c>
      <c r="AF4729">
        <v>-6.9713532215809497</v>
      </c>
      <c r="AG4729">
        <v>-1.1257794262929901</v>
      </c>
      <c r="AH4729">
        <v>73.572165599894802</v>
      </c>
      <c r="AI4729">
        <v>90.872745943740298</v>
      </c>
      <c r="AJ4729">
        <v>95.412917764684906</v>
      </c>
      <c r="AK4729">
        <v>73.910288161493796</v>
      </c>
      <c r="AL4729">
        <v>80.798623513436695</v>
      </c>
      <c r="AM4729">
        <v>95.9194405652771</v>
      </c>
      <c r="AN4729">
        <v>0.999999982320109</v>
      </c>
    </row>
    <row r="4730" spans="1:40" x14ac:dyDescent="0.25">
      <c r="A4730" t="str">
        <f>"20190303162915606"</f>
        <v>20190303162915606</v>
      </c>
      <c r="B4730" t="str">
        <f>"1551601755596539"</f>
        <v>1551601755596539</v>
      </c>
      <c r="C4730" t="s">
        <v>40</v>
      </c>
      <c r="D4730">
        <v>4.9040970000000002</v>
      </c>
      <c r="E4730">
        <v>0.50155340000000004</v>
      </c>
      <c r="F4730" t="s">
        <v>41</v>
      </c>
      <c r="G4730">
        <v>-419.0154</v>
      </c>
      <c r="H4730" s="1">
        <v>-4.7049799999999998E-7</v>
      </c>
      <c r="I4730">
        <v>60.260820000000002</v>
      </c>
      <c r="J4730">
        <v>-420.96620000000001</v>
      </c>
      <c r="K4730">
        <v>1.125345</v>
      </c>
      <c r="L4730">
        <v>115.8762</v>
      </c>
      <c r="M4730">
        <v>-5.6871579999999998E-2</v>
      </c>
      <c r="N4730">
        <v>-1.261021E-2</v>
      </c>
      <c r="O4730">
        <v>-0.99830209999999997</v>
      </c>
      <c r="P4730">
        <v>3.9569300000000002E-2</v>
      </c>
      <c r="Q4730">
        <v>0.1473063</v>
      </c>
      <c r="R4730">
        <v>-0.9882995</v>
      </c>
      <c r="S4730">
        <v>0.1051941</v>
      </c>
      <c r="T4730">
        <v>-6.1203E-2</v>
      </c>
      <c r="U4730">
        <v>-3.0411380000000001</v>
      </c>
      <c r="V4730">
        <v>-9.7362409999999996E-2</v>
      </c>
      <c r="W4730">
        <v>0.15871060000000001</v>
      </c>
      <c r="X4730">
        <v>0.98251279999999996</v>
      </c>
      <c r="Y4730">
        <v>-9.1336020000000004E-2</v>
      </c>
      <c r="Z4730">
        <v>7.402385E-3</v>
      </c>
      <c r="AA4730">
        <v>0.99579260000000003</v>
      </c>
      <c r="AB4730">
        <v>34</v>
      </c>
      <c r="AC4730">
        <v>1.9508000000000101</v>
      </c>
      <c r="AD4730">
        <v>-1.1253454704979999</v>
      </c>
      <c r="AE4730">
        <v>-55.615380000000002</v>
      </c>
      <c r="AF4730">
        <v>-5.1087383110588398</v>
      </c>
      <c r="AG4730">
        <v>-1.1253454704979999</v>
      </c>
      <c r="AH4730">
        <v>55.391747164689797</v>
      </c>
      <c r="AI4730">
        <v>91.158950551186607</v>
      </c>
      <c r="AJ4730">
        <v>95.269438472817598</v>
      </c>
      <c r="AK4730">
        <v>55.638217652219701</v>
      </c>
      <c r="AL4730">
        <v>80.867936756207399</v>
      </c>
      <c r="AM4730">
        <v>95.659266823430897</v>
      </c>
      <c r="AN4730">
        <v>0.99999994779860202</v>
      </c>
    </row>
    <row r="4731" spans="1:40" x14ac:dyDescent="0.25">
      <c r="A4731" t="str">
        <f>"20190303162915628"</f>
        <v>20190303162915628</v>
      </c>
      <c r="B4731" t="str">
        <f>"1551601755617036"</f>
        <v>1551601755617036</v>
      </c>
      <c r="C4731" t="s">
        <v>40</v>
      </c>
      <c r="D4731">
        <v>4.8504360000000002</v>
      </c>
      <c r="E4731">
        <v>0.50171619999999995</v>
      </c>
      <c r="F4731" t="s">
        <v>41</v>
      </c>
      <c r="G4731">
        <v>-419.52019999999999</v>
      </c>
      <c r="H4731" s="1">
        <v>-2.528823E-7</v>
      </c>
      <c r="I4731">
        <v>70.016009999999994</v>
      </c>
      <c r="J4731">
        <v>-420.98140000000001</v>
      </c>
      <c r="K4731">
        <v>1.124957</v>
      </c>
      <c r="L4731">
        <v>115.5472</v>
      </c>
      <c r="M4731">
        <v>-5.3316139999999998E-2</v>
      </c>
      <c r="N4731">
        <v>-1.258072E-2</v>
      </c>
      <c r="O4731">
        <v>-0.99849849999999996</v>
      </c>
      <c r="P4731">
        <v>3.838747E-2</v>
      </c>
      <c r="Q4731">
        <v>0.14777100000000001</v>
      </c>
      <c r="R4731">
        <v>-0.9882763</v>
      </c>
      <c r="S4731">
        <v>9.5947270000000001E-2</v>
      </c>
      <c r="T4731">
        <v>-7.4666860000000002E-2</v>
      </c>
      <c r="U4731">
        <v>-3.0428310000000001</v>
      </c>
      <c r="V4731">
        <v>-9.2525579999999996E-2</v>
      </c>
      <c r="W4731">
        <v>0.15928870000000001</v>
      </c>
      <c r="X4731">
        <v>0.98288660000000005</v>
      </c>
      <c r="Y4731">
        <v>-8.4743570000000004E-2</v>
      </c>
      <c r="Z4731">
        <v>1.1839239999999999E-2</v>
      </c>
      <c r="AA4731">
        <v>0.99633249999999995</v>
      </c>
      <c r="AB4731">
        <v>34</v>
      </c>
      <c r="AC4731">
        <v>1.46120000000001</v>
      </c>
      <c r="AD4731">
        <v>-1.1249572528823</v>
      </c>
      <c r="AE4731">
        <v>-45.531190000000002</v>
      </c>
      <c r="AF4731">
        <v>-3.8844917747727399</v>
      </c>
      <c r="AG4731">
        <v>-1.1249572528823</v>
      </c>
      <c r="AH4731">
        <v>45.360845975883102</v>
      </c>
      <c r="AI4731">
        <v>91.415476036523899</v>
      </c>
      <c r="AJ4731">
        <v>94.894602541984995</v>
      </c>
      <c r="AK4731">
        <v>45.540763638929903</v>
      </c>
      <c r="AL4731">
        <v>80.834387480185896</v>
      </c>
      <c r="AM4731">
        <v>95.377780502704397</v>
      </c>
      <c r="AN4731">
        <v>0.99999997068079205</v>
      </c>
    </row>
    <row r="4732" spans="1:40" x14ac:dyDescent="0.25">
      <c r="A4732" t="str">
        <f>"20190303162915652"</f>
        <v>20190303162915652</v>
      </c>
      <c r="B4732" t="str">
        <f>"1551601755646316"</f>
        <v>1551601755646316</v>
      </c>
      <c r="C4732" t="s">
        <v>40</v>
      </c>
      <c r="D4732">
        <v>4.9558730000000004</v>
      </c>
      <c r="E4732">
        <v>0.50223850000000003</v>
      </c>
      <c r="F4732" t="s">
        <v>41</v>
      </c>
      <c r="G4732">
        <v>-419.69240000000002</v>
      </c>
      <c r="H4732" s="1">
        <v>-1.672275E-6</v>
      </c>
      <c r="I4732">
        <v>73.403710000000004</v>
      </c>
      <c r="J4732">
        <v>-420.99700000000001</v>
      </c>
      <c r="K4732">
        <v>1.124595</v>
      </c>
      <c r="L4732">
        <v>115.19110000000001</v>
      </c>
      <c r="M4732">
        <v>-4.9927270000000003E-2</v>
      </c>
      <c r="N4732">
        <v>-1.255153E-2</v>
      </c>
      <c r="O4732">
        <v>-0.99867399999999995</v>
      </c>
      <c r="P4732">
        <v>3.7522979999999997E-2</v>
      </c>
      <c r="Q4732">
        <v>0.14874599999999999</v>
      </c>
      <c r="R4732">
        <v>-0.98816340000000003</v>
      </c>
      <c r="S4732">
        <v>9.3109129999999998E-2</v>
      </c>
      <c r="T4732">
        <v>-8.1258540000000004E-2</v>
      </c>
      <c r="U4732">
        <v>-3.0441280000000002</v>
      </c>
      <c r="V4732">
        <v>-8.8177259999999993E-2</v>
      </c>
      <c r="W4732">
        <v>0.16035769999999999</v>
      </c>
      <c r="X4732">
        <v>0.98311249999999994</v>
      </c>
      <c r="Y4732">
        <v>-8.0419060000000001E-2</v>
      </c>
      <c r="Z4732">
        <v>1.4025920000000001E-2</v>
      </c>
      <c r="AA4732">
        <v>0.99666239999999995</v>
      </c>
      <c r="AB4732">
        <v>34</v>
      </c>
      <c r="AC4732">
        <v>1.30459999999993</v>
      </c>
      <c r="AD4732">
        <v>-1.124596672275</v>
      </c>
      <c r="AE4732">
        <v>-41.787390000000002</v>
      </c>
      <c r="AF4732">
        <v>-3.3870166100804302</v>
      </c>
      <c r="AG4732">
        <v>-1.124596672275</v>
      </c>
      <c r="AH4732">
        <v>41.639997238114503</v>
      </c>
      <c r="AI4732">
        <v>91.541955695322102</v>
      </c>
      <c r="AJ4732">
        <v>94.650227482961697</v>
      </c>
      <c r="AK4732">
        <v>41.792654488347999</v>
      </c>
      <c r="AL4732">
        <v>80.772341030129596</v>
      </c>
      <c r="AM4732">
        <v>95.125254933947602</v>
      </c>
      <c r="AN4732">
        <v>1.0000000043933199</v>
      </c>
    </row>
    <row r="4733" spans="1:40" x14ac:dyDescent="0.25">
      <c r="A4733" t="str">
        <f>"20190303162915675"</f>
        <v>20190303162915675</v>
      </c>
      <c r="B4733" t="str">
        <f>"1551601755666814"</f>
        <v>1551601755666814</v>
      </c>
      <c r="C4733" t="s">
        <v>40</v>
      </c>
      <c r="D4733">
        <v>5.2171500000000002</v>
      </c>
      <c r="E4733">
        <v>0.5020481</v>
      </c>
      <c r="F4733" t="s">
        <v>41</v>
      </c>
      <c r="G4733">
        <v>-419.8621</v>
      </c>
      <c r="H4733" s="1">
        <v>-2.7670630000000002E-6</v>
      </c>
      <c r="I4733">
        <v>76.025850000000005</v>
      </c>
      <c r="J4733">
        <v>-421.01100000000002</v>
      </c>
      <c r="K4733">
        <v>1.124285</v>
      </c>
      <c r="L4733">
        <v>114.85339999999999</v>
      </c>
      <c r="M4733">
        <v>-4.711506E-2</v>
      </c>
      <c r="N4733">
        <v>-1.252551E-2</v>
      </c>
      <c r="O4733">
        <v>-0.99881089999999995</v>
      </c>
      <c r="P4733">
        <v>3.7028690000000003E-2</v>
      </c>
      <c r="Q4733">
        <v>0.14922650000000001</v>
      </c>
      <c r="R4733">
        <v>-0.98810949999999997</v>
      </c>
      <c r="S4733">
        <v>8.8256840000000003E-2</v>
      </c>
      <c r="T4733">
        <v>-8.7456110000000004E-2</v>
      </c>
      <c r="U4733">
        <v>-3.0457459999999998</v>
      </c>
      <c r="V4733">
        <v>-8.4785340000000001E-2</v>
      </c>
      <c r="W4733">
        <v>0.16090929999999901</v>
      </c>
      <c r="X4733">
        <v>0.98332070000000005</v>
      </c>
      <c r="Y4733">
        <v>-7.6008350000000002E-2</v>
      </c>
      <c r="Z4733">
        <v>1.6075860000000001E-2</v>
      </c>
      <c r="AA4733">
        <v>0.99697760000000002</v>
      </c>
      <c r="AB4733">
        <v>34</v>
      </c>
      <c r="AC4733">
        <v>1.1488999999999601</v>
      </c>
      <c r="AD4733">
        <v>-1.124287767063</v>
      </c>
      <c r="AE4733">
        <v>-38.827549999999903</v>
      </c>
      <c r="AF4733">
        <v>-2.9746379500944702</v>
      </c>
      <c r="AG4733">
        <v>-1.124287767063</v>
      </c>
      <c r="AH4733">
        <v>38.697871600780601</v>
      </c>
      <c r="AI4733">
        <v>91.659251884599001</v>
      </c>
      <c r="AJ4733">
        <v>94.395582883364</v>
      </c>
      <c r="AK4733">
        <v>38.828311324957397</v>
      </c>
      <c r="AL4733">
        <v>80.740320620262693</v>
      </c>
      <c r="AM4733">
        <v>94.928053520381894</v>
      </c>
      <c r="AN4733">
        <v>0.99999997787694705</v>
      </c>
    </row>
    <row r="4734" spans="1:40" x14ac:dyDescent="0.25">
      <c r="A4734" t="str">
        <f>"20190303162915697"</f>
        <v>20190303162915697</v>
      </c>
      <c r="B4734" t="str">
        <f>"1551601755686332"</f>
        <v>1551601755686332</v>
      </c>
      <c r="C4734" t="s">
        <v>40</v>
      </c>
      <c r="D4734">
        <v>4.9584619999999999</v>
      </c>
      <c r="E4734">
        <v>0.50183310000000003</v>
      </c>
      <c r="F4734" t="s">
        <v>41</v>
      </c>
      <c r="G4734">
        <v>-419.82069999999999</v>
      </c>
      <c r="H4734" s="1">
        <v>-2.274164E-6</v>
      </c>
      <c r="I4734">
        <v>74.859790000000004</v>
      </c>
      <c r="J4734">
        <v>-421.02359999999999</v>
      </c>
      <c r="K4734">
        <v>1.1240059999999901</v>
      </c>
      <c r="L4734">
        <v>114.5326</v>
      </c>
      <c r="M4734">
        <v>-4.4768299999999997E-2</v>
      </c>
      <c r="N4734">
        <v>-1.2501959999999999E-2</v>
      </c>
      <c r="O4734">
        <v>-0.99891940000000001</v>
      </c>
      <c r="P4734">
        <v>3.5698529999999999E-2</v>
      </c>
      <c r="Q4734">
        <v>0.149587</v>
      </c>
      <c r="R4734">
        <v>-0.98810410000000004</v>
      </c>
      <c r="S4734">
        <v>9.0637209999999996E-2</v>
      </c>
      <c r="T4734">
        <v>-8.5617540000000006E-2</v>
      </c>
      <c r="U4734">
        <v>-3.0456240000000001</v>
      </c>
      <c r="V4734">
        <v>-8.1028890000000006E-2</v>
      </c>
      <c r="W4734">
        <v>0.16133520000000001</v>
      </c>
      <c r="X4734">
        <v>0.98356770000000004</v>
      </c>
      <c r="Y4734">
        <v>-7.4446300000000007E-2</v>
      </c>
      <c r="Z4734">
        <v>1.550556E-2</v>
      </c>
      <c r="AA4734">
        <v>0.99710449999999995</v>
      </c>
      <c r="AB4734">
        <v>34</v>
      </c>
      <c r="AC4734">
        <v>1.2028999999999901</v>
      </c>
      <c r="AD4734">
        <v>-1.1240082741639901</v>
      </c>
      <c r="AE4734">
        <v>-39.672809999999998</v>
      </c>
      <c r="AF4734">
        <v>-2.9755301786324102</v>
      </c>
      <c r="AG4734">
        <v>-1.1240082741639901</v>
      </c>
      <c r="AH4734">
        <v>39.547456163442298</v>
      </c>
      <c r="AI4734">
        <v>91.623422443485495</v>
      </c>
      <c r="AJ4734">
        <v>94.302797732105901</v>
      </c>
      <c r="AK4734">
        <v>39.6751617948022</v>
      </c>
      <c r="AL4734">
        <v>80.715596198757396</v>
      </c>
      <c r="AM4734">
        <v>94.709541599595994</v>
      </c>
      <c r="AN4734">
        <v>1.00000007412847</v>
      </c>
    </row>
    <row r="4735" spans="1:40" x14ac:dyDescent="0.25">
      <c r="A4735" t="str">
        <f>"20190303162915718"</f>
        <v>20190303162915718</v>
      </c>
      <c r="B4735" t="str">
        <f>"1551601755706827"</f>
        <v>1551601755706827</v>
      </c>
      <c r="C4735" t="s">
        <v>40</v>
      </c>
      <c r="D4735">
        <v>5.1424070000000004</v>
      </c>
      <c r="E4735">
        <v>0.50170559999999997</v>
      </c>
      <c r="F4735" t="s">
        <v>41</v>
      </c>
      <c r="G4735">
        <v>-419.8383</v>
      </c>
      <c r="H4735" s="1">
        <v>-1.7732490000000001E-6</v>
      </c>
      <c r="I4735">
        <v>73.699380000000005</v>
      </c>
      <c r="J4735">
        <v>-421.03579999999999</v>
      </c>
      <c r="K4735">
        <v>1.1237280000000001</v>
      </c>
      <c r="L4735">
        <v>114.2094</v>
      </c>
      <c r="M4735">
        <v>-4.2672880000000003E-2</v>
      </c>
      <c r="N4735">
        <v>-1.247974E-2</v>
      </c>
      <c r="O4735">
        <v>-0.99901130000000005</v>
      </c>
      <c r="P4735">
        <v>3.4924459999999997E-2</v>
      </c>
      <c r="Q4735">
        <v>0.1509606</v>
      </c>
      <c r="R4735">
        <v>-0.987923</v>
      </c>
      <c r="S4735">
        <v>8.8409420000000002E-2</v>
      </c>
      <c r="T4735">
        <v>-8.38362E-2</v>
      </c>
      <c r="U4735">
        <v>-3.0456240000000001</v>
      </c>
      <c r="V4735">
        <v>-7.8075450000000005E-2</v>
      </c>
      <c r="W4735">
        <v>0.162761299999999</v>
      </c>
      <c r="X4735">
        <v>0.98357150000000004</v>
      </c>
      <c r="Y4735">
        <v>-7.1626770000000006E-2</v>
      </c>
      <c r="Z4735">
        <v>1.4952750000000001E-2</v>
      </c>
      <c r="AA4735">
        <v>0.99731939999999997</v>
      </c>
      <c r="AB4735">
        <v>34</v>
      </c>
      <c r="AC4735">
        <v>1.19749999999999</v>
      </c>
      <c r="AD4735">
        <v>-1.1237297732489999</v>
      </c>
      <c r="AE4735">
        <v>-40.510019999999997</v>
      </c>
      <c r="AF4735">
        <v>-2.92297540720473</v>
      </c>
      <c r="AG4735">
        <v>-1.1237297732489999</v>
      </c>
      <c r="AH4735">
        <v>40.390955840643201</v>
      </c>
      <c r="AI4735">
        <v>91.589478753742796</v>
      </c>
      <c r="AJ4735">
        <v>94.139112642429396</v>
      </c>
      <c r="AK4735">
        <v>40.512169376067703</v>
      </c>
      <c r="AL4735">
        <v>80.6327911375989</v>
      </c>
      <c r="AM4735">
        <v>94.538595667393906</v>
      </c>
      <c r="AN4735">
        <v>0.99999995614131998</v>
      </c>
    </row>
    <row r="4736" spans="1:40" x14ac:dyDescent="0.25">
      <c r="A4736" t="str">
        <f>"20190303162915740"</f>
        <v>20190303162915740</v>
      </c>
      <c r="B4736" t="str">
        <f>"1551601755726348"</f>
        <v>1551601755726348</v>
      </c>
      <c r="C4736" t="s">
        <v>40</v>
      </c>
      <c r="D4736">
        <v>4.9458570000000002</v>
      </c>
      <c r="E4736">
        <v>0.50170209999999904</v>
      </c>
      <c r="F4736" t="s">
        <v>41</v>
      </c>
      <c r="G4736">
        <v>-419.80360000000002</v>
      </c>
      <c r="H4736" s="1">
        <v>-5.0909410000000001E-7</v>
      </c>
      <c r="I4736">
        <v>70.738259999999997</v>
      </c>
      <c r="J4736">
        <v>-421.04829999999998</v>
      </c>
      <c r="K4736">
        <v>1.123443</v>
      </c>
      <c r="L4736">
        <v>113.8669</v>
      </c>
      <c r="M4736">
        <v>-4.0699609999999997E-2</v>
      </c>
      <c r="N4736">
        <v>-1.245827E-2</v>
      </c>
      <c r="O4736">
        <v>-0.99909389999999998</v>
      </c>
      <c r="P4736">
        <v>3.5431150000000002E-2</v>
      </c>
      <c r="Q4736">
        <v>0.15211939999999999</v>
      </c>
      <c r="R4736">
        <v>-0.98772700000000002</v>
      </c>
      <c r="S4736">
        <v>8.6334229999999998E-2</v>
      </c>
      <c r="T4736">
        <v>-7.8730110000000006E-2</v>
      </c>
      <c r="U4736">
        <v>-3.0456539999999999</v>
      </c>
      <c r="V4736">
        <v>-7.6517870000000002E-2</v>
      </c>
      <c r="W4736">
        <v>0.16396189999999999</v>
      </c>
      <c r="X4736">
        <v>0.98349450000000005</v>
      </c>
      <c r="Y4736">
        <v>-6.8979260000000001E-2</v>
      </c>
      <c r="Z4736">
        <v>1.3309980000000001E-2</v>
      </c>
      <c r="AA4736">
        <v>0.99752929999999995</v>
      </c>
      <c r="AB4736">
        <v>34</v>
      </c>
      <c r="AC4736">
        <v>1.2446999999999599</v>
      </c>
      <c r="AD4736">
        <v>-1.1234435090941</v>
      </c>
      <c r="AE4736">
        <v>-43.128639999999997</v>
      </c>
      <c r="AF4736">
        <v>-2.9970913944503002</v>
      </c>
      <c r="AG4736">
        <v>-1.1234435090941</v>
      </c>
      <c r="AH4736">
        <v>43.013075030749803</v>
      </c>
      <c r="AI4736">
        <v>91.492531162339603</v>
      </c>
      <c r="AJ4736">
        <v>93.985848182317696</v>
      </c>
      <c r="AK4736">
        <v>43.131998629158403</v>
      </c>
      <c r="AL4736">
        <v>80.563065175784502</v>
      </c>
      <c r="AM4736">
        <v>94.448766123529495</v>
      </c>
      <c r="AN4736">
        <v>0.99999996030559701</v>
      </c>
    </row>
    <row r="4737" spans="1:40" x14ac:dyDescent="0.25">
      <c r="A4737" t="str">
        <f>"20190303162915764"</f>
        <v>20190303162915764</v>
      </c>
      <c r="B4737" t="str">
        <f>"1551601755756604"</f>
        <v>1551601755756604</v>
      </c>
      <c r="C4737" t="s">
        <v>40</v>
      </c>
      <c r="D4737">
        <v>5.1367699999999896</v>
      </c>
      <c r="E4737">
        <v>0.50163199999999997</v>
      </c>
      <c r="F4737" t="s">
        <v>41</v>
      </c>
      <c r="G4737">
        <v>-419.74509999999998</v>
      </c>
      <c r="H4737" s="1">
        <v>-3.6301810000000001E-6</v>
      </c>
      <c r="I4737">
        <v>67.989400000000003</v>
      </c>
      <c r="J4737">
        <v>-421.06049999999999</v>
      </c>
      <c r="K4737">
        <v>1.1231629999999999</v>
      </c>
      <c r="L4737">
        <v>113.5168</v>
      </c>
      <c r="M4737">
        <v>-3.8933139999999998E-2</v>
      </c>
      <c r="N4737">
        <v>-1.243855E-2</v>
      </c>
      <c r="O4737">
        <v>-0.99916450000000001</v>
      </c>
      <c r="P4737">
        <v>3.5687759999999999E-2</v>
      </c>
      <c r="Q4737">
        <v>0.15211669999999999</v>
      </c>
      <c r="R4737">
        <v>-0.98771830000000005</v>
      </c>
      <c r="S4737">
        <v>8.6517330000000003E-2</v>
      </c>
      <c r="T4737">
        <v>-7.4582220000000005E-2</v>
      </c>
      <c r="U4737">
        <v>-3.0456699999999999</v>
      </c>
      <c r="V4737">
        <v>-7.4919990000000006E-2</v>
      </c>
      <c r="W4737">
        <v>0.16400049999999999</v>
      </c>
      <c r="X4737">
        <v>0.98361109999999896</v>
      </c>
      <c r="Y4737">
        <v>-6.7276649999999993E-2</v>
      </c>
      <c r="Z4737">
        <v>1.1976530000000001E-2</v>
      </c>
      <c r="AA4737">
        <v>0.99766250000000001</v>
      </c>
      <c r="AB4737">
        <v>34</v>
      </c>
      <c r="AC4737">
        <v>1.3154000000000099</v>
      </c>
      <c r="AD4737">
        <v>-1.1231666301809999</v>
      </c>
      <c r="AE4737">
        <v>-45.5274</v>
      </c>
      <c r="AF4737">
        <v>-3.0851879999281602</v>
      </c>
      <c r="AG4737">
        <v>-1.1231666301809999</v>
      </c>
      <c r="AH4737">
        <v>45.414043377469802</v>
      </c>
      <c r="AI4737">
        <v>91.413476793014695</v>
      </c>
      <c r="AJ4737">
        <v>93.886398419747906</v>
      </c>
      <c r="AK4737">
        <v>45.532573221428699</v>
      </c>
      <c r="AL4737">
        <v>80.5608234213081</v>
      </c>
      <c r="AM4737">
        <v>94.355712004276199</v>
      </c>
      <c r="AN4737">
        <v>0.99999998247252897</v>
      </c>
    </row>
    <row r="4738" spans="1:40" x14ac:dyDescent="0.25">
      <c r="A4738" t="str">
        <f>"20190303162915785"</f>
        <v>20190303162915785</v>
      </c>
      <c r="B4738" t="str">
        <f>"1551601755776123"</f>
        <v>1551601755776123</v>
      </c>
      <c r="C4738" t="s">
        <v>40</v>
      </c>
      <c r="D4738">
        <v>4.8440620000000001</v>
      </c>
      <c r="E4738">
        <v>0.50165609999999905</v>
      </c>
      <c r="F4738" t="s">
        <v>41</v>
      </c>
      <c r="G4738">
        <v>-419.74040000000002</v>
      </c>
      <c r="H4738" s="1">
        <v>-3.3723030000000002E-6</v>
      </c>
      <c r="I4738">
        <v>67.386340000000004</v>
      </c>
      <c r="J4738">
        <v>-421.07139999999998</v>
      </c>
      <c r="K4738">
        <v>1.1229260000000001</v>
      </c>
      <c r="L4738">
        <v>113.1974</v>
      </c>
      <c r="M4738">
        <v>-3.7538120000000001E-2</v>
      </c>
      <c r="N4738">
        <v>-1.242235E-2</v>
      </c>
      <c r="O4738">
        <v>-0.99921789999999999</v>
      </c>
      <c r="P4738">
        <v>3.441321E-2</v>
      </c>
      <c r="Q4738">
        <v>0.15201770000000001</v>
      </c>
      <c r="R4738">
        <v>-0.9877785</v>
      </c>
      <c r="S4738">
        <v>8.7158200000000005E-2</v>
      </c>
      <c r="T4738">
        <v>-7.4152590000000004E-2</v>
      </c>
      <c r="U4738">
        <v>-3.0455779999999999</v>
      </c>
      <c r="V4738">
        <v>-7.2178950000000006E-2</v>
      </c>
      <c r="W4738">
        <v>0.16394210000000001</v>
      </c>
      <c r="X4738">
        <v>0.98382579999999997</v>
      </c>
      <c r="Y4738">
        <v>-6.6094630000000001E-2</v>
      </c>
      <c r="Z4738">
        <v>1.1855879999999999E-2</v>
      </c>
      <c r="AA4738">
        <v>0.99774300000000005</v>
      </c>
      <c r="AB4738">
        <v>34</v>
      </c>
      <c r="AC4738">
        <v>1.33099999999996</v>
      </c>
      <c r="AD4738">
        <v>-1.1229293723030001</v>
      </c>
      <c r="AE4738">
        <v>-45.811059999999998</v>
      </c>
      <c r="AF4738">
        <v>-3.0480258154075699</v>
      </c>
      <c r="AG4738">
        <v>-1.1229293723030001</v>
      </c>
      <c r="AH4738">
        <v>45.701363726049401</v>
      </c>
      <c r="AI4738">
        <v>91.404414045121896</v>
      </c>
      <c r="AJ4738">
        <v>93.815657780039899</v>
      </c>
      <c r="AK4738">
        <v>45.816657212931197</v>
      </c>
      <c r="AL4738">
        <v>80.564215656287303</v>
      </c>
      <c r="AM4738">
        <v>94.196020473894094</v>
      </c>
      <c r="AN4738">
        <v>1.0000000088605701</v>
      </c>
    </row>
    <row r="4739" spans="1:40" x14ac:dyDescent="0.25">
      <c r="A4739" t="str">
        <f>"20190303162915808"</f>
        <v>20190303162915808</v>
      </c>
      <c r="B4739" t="str">
        <f>"1551601755796620"</f>
        <v>1551601755796620</v>
      </c>
      <c r="C4739" t="s">
        <v>40</v>
      </c>
      <c r="D4739">
        <v>4.9044689999999997</v>
      </c>
      <c r="E4739">
        <v>0.50160090000000002</v>
      </c>
      <c r="F4739" t="s">
        <v>41</v>
      </c>
      <c r="G4739">
        <v>-419.81900000000002</v>
      </c>
      <c r="H4739" s="1">
        <v>-3.3187539999999999E-6</v>
      </c>
      <c r="I4739">
        <v>67.29401</v>
      </c>
      <c r="J4739">
        <v>-421.08260000000001</v>
      </c>
      <c r="K4739">
        <v>1.1227149999999999</v>
      </c>
      <c r="L4739">
        <v>112.861</v>
      </c>
      <c r="M4739">
        <v>-3.6228459999999997E-2</v>
      </c>
      <c r="N4739">
        <v>-1.24069E-2</v>
      </c>
      <c r="O4739">
        <v>-0.99926680000000001</v>
      </c>
      <c r="P4739">
        <v>3.3277580000000001E-2</v>
      </c>
      <c r="Q4739">
        <v>0.15232889999999999</v>
      </c>
      <c r="R4739">
        <v>-0.98776980000000003</v>
      </c>
      <c r="S4739">
        <v>8.3099370000000006E-2</v>
      </c>
      <c r="T4739">
        <v>-7.4506279999999994E-2</v>
      </c>
      <c r="U4739">
        <v>-3.0456850000000002</v>
      </c>
      <c r="V4739">
        <v>-6.9670510000000005E-2</v>
      </c>
      <c r="W4739">
        <v>0.16428499999999999</v>
      </c>
      <c r="X4739">
        <v>0.98394939999999997</v>
      </c>
      <c r="Y4739">
        <v>-6.3457529999999998E-2</v>
      </c>
      <c r="Z4739">
        <v>1.1991119999999999E-2</v>
      </c>
      <c r="AA4739">
        <v>0.99791249999999998</v>
      </c>
      <c r="AB4739">
        <v>34</v>
      </c>
      <c r="AC4739">
        <v>1.2635999999999901</v>
      </c>
      <c r="AD4739">
        <v>-1.122718318754</v>
      </c>
      <c r="AE4739">
        <v>-45.566989999999997</v>
      </c>
      <c r="AF4739">
        <v>-2.9119524277302999</v>
      </c>
      <c r="AG4739">
        <v>-1.122718318754</v>
      </c>
      <c r="AH4739">
        <v>45.463711846421702</v>
      </c>
      <c r="AI4739">
        <v>91.411730013475506</v>
      </c>
      <c r="AJ4739">
        <v>93.664790782645696</v>
      </c>
      <c r="AK4739">
        <v>45.570703946933897</v>
      </c>
      <c r="AL4739">
        <v>80.544298629862396</v>
      </c>
      <c r="AM4739">
        <v>94.050182858621199</v>
      </c>
      <c r="AN4739">
        <v>0.99999998147450897</v>
      </c>
    </row>
    <row r="4740" spans="1:40" x14ac:dyDescent="0.25">
      <c r="A4740" t="str">
        <f>"20190303162915830"</f>
        <v>20190303162915830</v>
      </c>
      <c r="B4740" t="str">
        <f>"1551601755817115"</f>
        <v>1551601755817115</v>
      </c>
      <c r="C4740" t="s">
        <v>40</v>
      </c>
      <c r="D4740">
        <v>4.8746419999999997</v>
      </c>
      <c r="E4740">
        <v>0.50159609999999899</v>
      </c>
      <c r="F4740" t="s">
        <v>41</v>
      </c>
      <c r="G4740">
        <v>-419.83969999999999</v>
      </c>
      <c r="H4740" s="1">
        <v>-2.8210390000000002E-6</v>
      </c>
      <c r="I4740">
        <v>66.142409999999998</v>
      </c>
      <c r="J4740">
        <v>-421.09350000000001</v>
      </c>
      <c r="K4740">
        <v>1.122544</v>
      </c>
      <c r="L4740">
        <v>112.5226</v>
      </c>
      <c r="M4740">
        <v>-3.5055540000000003E-2</v>
      </c>
      <c r="N4740">
        <v>-1.239288E-2</v>
      </c>
      <c r="O4740">
        <v>-0.99930850000000004</v>
      </c>
      <c r="P4740">
        <v>3.1836200000000002E-2</v>
      </c>
      <c r="Q4740">
        <v>0.15318399999999999</v>
      </c>
      <c r="R4740">
        <v>-0.98768500000000004</v>
      </c>
      <c r="S4740">
        <v>8.1024170000000006E-2</v>
      </c>
      <c r="T4740">
        <v>-7.3192720000000003E-2</v>
      </c>
      <c r="U4740">
        <v>-3.0457000000000001</v>
      </c>
      <c r="V4740">
        <v>-6.7002829999999999E-2</v>
      </c>
      <c r="W4740">
        <v>0.16516549999999999</v>
      </c>
      <c r="X4740">
        <v>0.98398730000000001</v>
      </c>
      <c r="Y4740">
        <v>-6.1607200000000001E-2</v>
      </c>
      <c r="Z4740">
        <v>1.1578420000000001E-2</v>
      </c>
      <c r="AA4740">
        <v>0.99803330000000001</v>
      </c>
      <c r="AB4740">
        <v>34</v>
      </c>
      <c r="AC4740">
        <v>1.25380000000001</v>
      </c>
      <c r="AD4740">
        <v>-1.1225468210389999</v>
      </c>
      <c r="AE4740">
        <v>-46.380189999999999</v>
      </c>
      <c r="AF4740">
        <v>-2.8773524651970299</v>
      </c>
      <c r="AG4740">
        <v>-1.1225468210389999</v>
      </c>
      <c r="AH4740">
        <v>46.280631694965201</v>
      </c>
      <c r="AI4740">
        <v>91.386772660045196</v>
      </c>
      <c r="AJ4740">
        <v>93.557605508394602</v>
      </c>
      <c r="AK4740">
        <v>46.3835761736783</v>
      </c>
      <c r="AL4740">
        <v>80.493151303395393</v>
      </c>
      <c r="AM4740">
        <v>93.895438946429906</v>
      </c>
      <c r="AN4740">
        <v>1.00000001408977</v>
      </c>
    </row>
    <row r="4741" spans="1:40" x14ac:dyDescent="0.25">
      <c r="A4741" t="str">
        <f>"20190303162915854"</f>
        <v>20190303162915854</v>
      </c>
      <c r="B4741" t="str">
        <f>"1551601755846395"</f>
        <v>1551601755846395</v>
      </c>
      <c r="C4741" t="s">
        <v>40</v>
      </c>
      <c r="D4741">
        <v>4.9218099999999998</v>
      </c>
      <c r="E4741">
        <v>0.50161309999999903</v>
      </c>
      <c r="F4741" t="s">
        <v>41</v>
      </c>
      <c r="G4741">
        <v>-419.8417</v>
      </c>
      <c r="H4741" s="1">
        <v>-1.690762E-6</v>
      </c>
      <c r="I4741">
        <v>63.508519999999997</v>
      </c>
      <c r="J4741">
        <v>-421.1046</v>
      </c>
      <c r="K4741">
        <v>1.1223959999999999</v>
      </c>
      <c r="L4741">
        <v>112.1743</v>
      </c>
      <c r="M4741">
        <v>-3.3984809999999997E-2</v>
      </c>
      <c r="N4741">
        <v>-1.237983E-2</v>
      </c>
      <c r="O4741">
        <v>-0.9993457</v>
      </c>
      <c r="P4741">
        <v>2.9961620000000001E-2</v>
      </c>
      <c r="Q4741">
        <v>0.15320610000000001</v>
      </c>
      <c r="R4741">
        <v>-0.98774010000000001</v>
      </c>
      <c r="S4741">
        <v>7.778931E-2</v>
      </c>
      <c r="T4741">
        <v>-6.9754479999999994E-2</v>
      </c>
      <c r="U4741">
        <v>-3.045715</v>
      </c>
      <c r="V4741">
        <v>-6.4012719999999995E-2</v>
      </c>
      <c r="W4741">
        <v>0.1652111</v>
      </c>
      <c r="X4741">
        <v>0.98417869999999996</v>
      </c>
      <c r="Y4741">
        <v>-5.9479450000000003E-2</v>
      </c>
      <c r="Z4741">
        <v>1.0468949999999999E-2</v>
      </c>
      <c r="AA4741">
        <v>0.99817460000000002</v>
      </c>
      <c r="AB4741">
        <v>34</v>
      </c>
      <c r="AC4741">
        <v>1.2628999999999999</v>
      </c>
      <c r="AD4741">
        <v>-1.1223976907619999</v>
      </c>
      <c r="AE4741">
        <v>-48.665779999999998</v>
      </c>
      <c r="AF4741">
        <v>-2.9146450530091199</v>
      </c>
      <c r="AG4741">
        <v>-1.1223976907619999</v>
      </c>
      <c r="AH4741">
        <v>48.568923788832599</v>
      </c>
      <c r="AI4741">
        <v>91.321457810819496</v>
      </c>
      <c r="AJ4741">
        <v>93.434229400667704</v>
      </c>
      <c r="AK4741">
        <v>48.669243782564401</v>
      </c>
      <c r="AL4741">
        <v>80.490502324869198</v>
      </c>
      <c r="AM4741">
        <v>93.721376873268497</v>
      </c>
      <c r="AN4741">
        <v>1.0000000247093399</v>
      </c>
    </row>
    <row r="4742" spans="1:40" x14ac:dyDescent="0.25">
      <c r="A4742" t="str">
        <f>"20190303162915875"</f>
        <v>20190303162915875</v>
      </c>
      <c r="B4742" t="str">
        <f>"1551601755866892"</f>
        <v>1551601755866892</v>
      </c>
      <c r="C4742" t="s">
        <v>40</v>
      </c>
      <c r="D4742">
        <v>4.9000629999999896</v>
      </c>
      <c r="E4742">
        <v>0.5110422</v>
      </c>
      <c r="F4742" t="s">
        <v>41</v>
      </c>
      <c r="G4742">
        <v>-419.9348</v>
      </c>
      <c r="H4742" s="1">
        <v>-1.356834E-6</v>
      </c>
      <c r="I4742">
        <v>62.768630000000002</v>
      </c>
      <c r="J4742">
        <v>-421.11450000000002</v>
      </c>
      <c r="K4742">
        <v>1.122271</v>
      </c>
      <c r="L4742">
        <v>111.8519</v>
      </c>
      <c r="M4742">
        <v>-3.3100879999999999E-2</v>
      </c>
      <c r="N4742">
        <v>-1.236892E-2</v>
      </c>
      <c r="O4742">
        <v>-0.99937549999999997</v>
      </c>
      <c r="P4742">
        <v>2.7703809999999999E-2</v>
      </c>
      <c r="Q4742">
        <v>0.15279039999999999</v>
      </c>
      <c r="R4742">
        <v>-0.98787040000000004</v>
      </c>
      <c r="S4742">
        <v>7.2113040000000003E-2</v>
      </c>
      <c r="T4742">
        <v>-6.9193840000000006E-2</v>
      </c>
      <c r="U4742">
        <v>-3.045776</v>
      </c>
      <c r="V4742">
        <v>-6.0835149999999998E-2</v>
      </c>
      <c r="W4742">
        <v>0.16481609999999999</v>
      </c>
      <c r="X4742">
        <v>0.98444640000000005</v>
      </c>
      <c r="Y4742">
        <v>-5.6737360000000001E-2</v>
      </c>
      <c r="Z4742">
        <v>1.029965E-2</v>
      </c>
      <c r="AA4742">
        <v>0.998336</v>
      </c>
      <c r="AB4742">
        <v>34</v>
      </c>
      <c r="AC4742">
        <v>1.17970000000002</v>
      </c>
      <c r="AD4742">
        <v>-1.1222723568340001</v>
      </c>
      <c r="AE4742">
        <v>-49.083269999999999</v>
      </c>
      <c r="AF4742">
        <v>-2.80241289545254</v>
      </c>
      <c r="AG4742">
        <v>-1.1222723568340001</v>
      </c>
      <c r="AH4742">
        <v>48.991719201417197</v>
      </c>
      <c r="AI4742">
        <v>91.310126294415099</v>
      </c>
      <c r="AJ4742">
        <v>93.273852199507701</v>
      </c>
      <c r="AK4742">
        <v>49.084636736865299</v>
      </c>
      <c r="AL4742">
        <v>80.513448375057806</v>
      </c>
      <c r="AM4742">
        <v>93.536170751308006</v>
      </c>
      <c r="AN4742">
        <v>0.99999998838384596</v>
      </c>
    </row>
    <row r="4743" spans="1:40" x14ac:dyDescent="0.25">
      <c r="A4743" t="str">
        <f>"20190303162915898"</f>
        <v>20190303162915898</v>
      </c>
      <c r="B4743" t="str">
        <f>"1551601755886412"</f>
        <v>1551601755886412</v>
      </c>
      <c r="C4743" t="s">
        <v>40</v>
      </c>
      <c r="D4743">
        <v>4.8734869999999999</v>
      </c>
      <c r="E4743">
        <v>0.50966219999999995</v>
      </c>
      <c r="F4743" t="s">
        <v>41</v>
      </c>
      <c r="G4743">
        <v>-421.20280000000002</v>
      </c>
      <c r="H4743" s="1">
        <v>-1.764576E-6</v>
      </c>
      <c r="I4743">
        <v>82.95635</v>
      </c>
      <c r="J4743">
        <v>-421.12439999999998</v>
      </c>
      <c r="K4743">
        <v>1.1221589999999999</v>
      </c>
      <c r="L4743">
        <v>111.5245</v>
      </c>
      <c r="M4743">
        <v>-3.2283510000000001E-2</v>
      </c>
      <c r="N4743">
        <v>-1.2358940000000001E-2</v>
      </c>
      <c r="O4743">
        <v>-0.99940229999999997</v>
      </c>
      <c r="P4743">
        <v>2.3269539999999998E-2</v>
      </c>
      <c r="Q4743">
        <v>0.15068199999999901</v>
      </c>
      <c r="R4743">
        <v>-0.98830839999999998</v>
      </c>
      <c r="S4743">
        <v>-9.3383790000000008E-3</v>
      </c>
      <c r="T4743">
        <v>-0.1186706</v>
      </c>
      <c r="U4743">
        <v>-3.05545</v>
      </c>
      <c r="V4743">
        <v>-5.5558679999999999E-2</v>
      </c>
      <c r="W4743">
        <v>0.16273599999999999</v>
      </c>
      <c r="X4743">
        <v>0.98510419999999999</v>
      </c>
      <c r="Y4743">
        <v>-2.9222950000000001E-2</v>
      </c>
      <c r="Z4743">
        <v>2.6419020000000001E-2</v>
      </c>
      <c r="AA4743">
        <v>0.99922370000000005</v>
      </c>
      <c r="AB4743">
        <v>34</v>
      </c>
      <c r="AC4743">
        <v>-7.8400000000044601E-2</v>
      </c>
      <c r="AD4743">
        <v>-1.1221607645759999</v>
      </c>
      <c r="AE4743">
        <v>-28.568149999999999</v>
      </c>
      <c r="AF4743">
        <v>-0.84269130377904999</v>
      </c>
      <c r="AG4743">
        <v>-1.1221607645759999</v>
      </c>
      <c r="AH4743">
        <v>28.511796498112101</v>
      </c>
      <c r="AI4743">
        <v>92.252888113581406</v>
      </c>
      <c r="AJ4743">
        <v>91.692934480607093</v>
      </c>
      <c r="AK4743">
        <v>28.546311722616199</v>
      </c>
      <c r="AL4743">
        <v>80.6342609945644</v>
      </c>
      <c r="AM4743">
        <v>93.227992691927497</v>
      </c>
      <c r="AN4743">
        <v>1.00000002873849</v>
      </c>
    </row>
    <row r="4744" spans="1:40" x14ac:dyDescent="0.25">
      <c r="A4744" t="str">
        <f>"20190303162915931"</f>
        <v>20190303162915931</v>
      </c>
      <c r="B4744" t="str">
        <f>"1551601755916668"</f>
        <v>1551601755916668</v>
      </c>
      <c r="C4744" t="s">
        <v>40</v>
      </c>
      <c r="D4744">
        <v>4.8344550000000002</v>
      </c>
      <c r="E4744">
        <v>0.51107709999999995</v>
      </c>
      <c r="F4744" t="s">
        <v>41</v>
      </c>
      <c r="G4744">
        <v>-421.22840000000002</v>
      </c>
      <c r="H4744" s="1">
        <v>-1.8227600000000001E-6</v>
      </c>
      <c r="I4744">
        <v>83.076099999999997</v>
      </c>
      <c r="J4744">
        <v>-421.13900000000001</v>
      </c>
      <c r="K4744">
        <v>1.1220190000000001</v>
      </c>
      <c r="L4744">
        <v>111.0274</v>
      </c>
      <c r="M4744">
        <v>-3.115631E-2</v>
      </c>
      <c r="N4744">
        <v>-1.2345979999999999E-2</v>
      </c>
      <c r="O4744">
        <v>-0.99943820000000005</v>
      </c>
      <c r="P4744">
        <v>2.0464699999999999E-2</v>
      </c>
      <c r="Q4744">
        <v>0.148317</v>
      </c>
      <c r="R4744">
        <v>-0.9887281</v>
      </c>
      <c r="S4744">
        <v>-1.1169429999999999E-2</v>
      </c>
      <c r="T4744">
        <v>-0.1204712</v>
      </c>
      <c r="U4744">
        <v>-3.0541230000000001</v>
      </c>
      <c r="V4744">
        <v>-5.1593519999999997E-2</v>
      </c>
      <c r="W4744">
        <v>0.16039249999999999</v>
      </c>
      <c r="X4744">
        <v>0.98570400000000002</v>
      </c>
      <c r="Y4744">
        <v>-2.749565E-2</v>
      </c>
      <c r="Z4744">
        <v>2.7039830000000001E-2</v>
      </c>
      <c r="AA4744">
        <v>0.99925609999999998</v>
      </c>
      <c r="AB4744">
        <v>34</v>
      </c>
      <c r="AC4744">
        <v>-8.9400000000011901E-2</v>
      </c>
      <c r="AD4744">
        <v>-1.1220208227599999</v>
      </c>
      <c r="AE4744">
        <v>-27.9513</v>
      </c>
      <c r="AF4744">
        <v>-0.78031185081925403</v>
      </c>
      <c r="AG4744">
        <v>-1.1220208227599999</v>
      </c>
      <c r="AH4744">
        <v>27.895563961785001</v>
      </c>
      <c r="AI4744">
        <v>92.302420809577697</v>
      </c>
      <c r="AJ4744">
        <v>91.602294912964894</v>
      </c>
      <c r="AK4744">
        <v>27.9290226477275</v>
      </c>
      <c r="AL4744">
        <v>80.770321046651404</v>
      </c>
      <c r="AM4744">
        <v>92.996229912760001</v>
      </c>
      <c r="AN4744">
        <v>1.00000001048912</v>
      </c>
    </row>
    <row r="4745" spans="1:40" x14ac:dyDescent="0.25">
      <c r="A4745" t="str">
        <f>"20190303162915953"</f>
        <v>20190303162915953</v>
      </c>
      <c r="B4745" t="str">
        <f>"1551601755946924"</f>
        <v>1551601755946924</v>
      </c>
      <c r="C4745" t="s">
        <v>40</v>
      </c>
      <c r="D4745">
        <v>4.8832279999999999</v>
      </c>
      <c r="E4745">
        <v>0.51035929999999996</v>
      </c>
      <c r="F4745" t="s">
        <v>41</v>
      </c>
      <c r="G4745">
        <v>-421.41160000000002</v>
      </c>
      <c r="H4745" s="1">
        <v>-1.875457E-6</v>
      </c>
      <c r="I4745">
        <v>83.085309999999893</v>
      </c>
      <c r="J4745">
        <v>-421.149</v>
      </c>
      <c r="K4745">
        <v>1.121937</v>
      </c>
      <c r="L4745">
        <v>110.68389999999999</v>
      </c>
      <c r="M4745">
        <v>-3.044902E-2</v>
      </c>
      <c r="N4745">
        <v>-1.2338200000000001E-2</v>
      </c>
      <c r="O4745">
        <v>-0.99946020000000002</v>
      </c>
      <c r="P4745">
        <v>1.9411390000000001E-2</v>
      </c>
      <c r="Q4745">
        <v>0.1478882</v>
      </c>
      <c r="R4745">
        <v>-0.98881359999999996</v>
      </c>
      <c r="S4745">
        <v>-2.9785160000000001E-2</v>
      </c>
      <c r="T4745">
        <v>-0.12260160000000001</v>
      </c>
      <c r="U4745">
        <v>-3.0531920000000001</v>
      </c>
      <c r="V4745">
        <v>-4.981269E-2</v>
      </c>
      <c r="W4745">
        <v>0.15997120000000001</v>
      </c>
      <c r="X4745">
        <v>0.98586399999999996</v>
      </c>
      <c r="Y4745">
        <v>-2.069652E-2</v>
      </c>
      <c r="Z4745">
        <v>2.7760259999999998E-2</v>
      </c>
      <c r="AA4745">
        <v>0.99940030000000002</v>
      </c>
      <c r="AB4745">
        <v>34</v>
      </c>
      <c r="AC4745">
        <v>-0.26260000000001998</v>
      </c>
      <c r="AD4745">
        <v>-1.1219388754569899</v>
      </c>
      <c r="AE4745">
        <v>-27.598590000000002</v>
      </c>
      <c r="AF4745">
        <v>-0.57698231530908495</v>
      </c>
      <c r="AG4745">
        <v>-1.1219388754569899</v>
      </c>
      <c r="AH4745">
        <v>27.548265875738899</v>
      </c>
      <c r="AI4745">
        <v>92.331645354816899</v>
      </c>
      <c r="AJ4745">
        <v>91.199851163479494</v>
      </c>
      <c r="AK4745">
        <v>27.577139231487401</v>
      </c>
      <c r="AL4745">
        <v>80.794775036332993</v>
      </c>
      <c r="AM4745">
        <v>92.892520511374002</v>
      </c>
      <c r="AN4745">
        <v>0.99999995770523697</v>
      </c>
    </row>
    <row r="4746" spans="1:40" x14ac:dyDescent="0.25">
      <c r="A4746" t="str">
        <f>"20190303162915975"</f>
        <v>20190303162915975</v>
      </c>
      <c r="B4746" t="str">
        <f>"1551601755966444"</f>
        <v>1551601755966444</v>
      </c>
      <c r="C4746" t="s">
        <v>40</v>
      </c>
      <c r="D4746">
        <v>4.892048</v>
      </c>
      <c r="E4746">
        <v>0.50992040000000005</v>
      </c>
      <c r="F4746" t="s">
        <v>41</v>
      </c>
      <c r="G4746">
        <v>-421.38420000000002</v>
      </c>
      <c r="H4746" s="1">
        <v>-2.1947689999999999E-6</v>
      </c>
      <c r="I4746">
        <v>83.84666</v>
      </c>
      <c r="J4746">
        <v>-421.15809999999999</v>
      </c>
      <c r="K4746">
        <v>1.1218669999999999</v>
      </c>
      <c r="L4746">
        <v>110.3608</v>
      </c>
      <c r="M4746">
        <v>-2.9843399999999999E-2</v>
      </c>
      <c r="N4746">
        <v>-1.233164E-2</v>
      </c>
      <c r="O4746">
        <v>-0.99947870000000005</v>
      </c>
      <c r="P4746">
        <v>1.9137310000000001E-2</v>
      </c>
      <c r="Q4746">
        <v>0.14880060000000001</v>
      </c>
      <c r="R4746">
        <v>-0.98868239999999996</v>
      </c>
      <c r="S4746">
        <v>-2.676392E-2</v>
      </c>
      <c r="T4746">
        <v>-0.12765509999999999</v>
      </c>
      <c r="U4746">
        <v>-3.0535580000000002</v>
      </c>
      <c r="V4746">
        <v>-4.8911179999999999E-2</v>
      </c>
      <c r="W4746">
        <v>0.16088569999999999</v>
      </c>
      <c r="X4746">
        <v>0.98576030000000003</v>
      </c>
      <c r="Y4746">
        <v>-2.1080689999999999E-2</v>
      </c>
      <c r="Z4746">
        <v>2.9413109999999999E-2</v>
      </c>
      <c r="AA4746">
        <v>0.99934500000000004</v>
      </c>
      <c r="AB4746">
        <v>34</v>
      </c>
      <c r="AC4746">
        <v>-0.22610000000003</v>
      </c>
      <c r="AD4746">
        <v>-1.121869194769</v>
      </c>
      <c r="AE4746">
        <v>-26.514140000000001</v>
      </c>
      <c r="AF4746">
        <v>-0.56432259213156899</v>
      </c>
      <c r="AG4746">
        <v>-1.121869194769</v>
      </c>
      <c r="AH4746">
        <v>26.461705224922</v>
      </c>
      <c r="AI4746">
        <v>92.427104134857899</v>
      </c>
      <c r="AJ4746">
        <v>91.221705183419502</v>
      </c>
      <c r="AK4746">
        <v>26.4914871966227</v>
      </c>
      <c r="AL4746">
        <v>80.741690301790001</v>
      </c>
      <c r="AM4746">
        <v>92.840556484951506</v>
      </c>
      <c r="AN4746">
        <v>0.99999994052478403</v>
      </c>
    </row>
    <row r="4747" spans="1:40" x14ac:dyDescent="0.25">
      <c r="A4747" t="str">
        <f>"20190303162915996"</f>
        <v>20190303162915996</v>
      </c>
      <c r="B4747" t="str">
        <f>"1551601755986940"</f>
        <v>1551601755986940</v>
      </c>
      <c r="C4747" t="s">
        <v>40</v>
      </c>
      <c r="D4747">
        <v>4.9295460000000002</v>
      </c>
      <c r="E4747">
        <v>0.50981339999999997</v>
      </c>
      <c r="F4747" t="s">
        <v>41</v>
      </c>
      <c r="G4747">
        <v>-421.36759999999998</v>
      </c>
      <c r="H4747" s="1">
        <v>-1.807527E-6</v>
      </c>
      <c r="I4747">
        <v>82.954259999999906</v>
      </c>
      <c r="J4747">
        <v>-421.16719999999998</v>
      </c>
      <c r="K4747">
        <v>1.1217809999999999</v>
      </c>
      <c r="L4747">
        <v>110.0365</v>
      </c>
      <c r="M4747">
        <v>-2.9328549999999998E-2</v>
      </c>
      <c r="N4747">
        <v>-1.2325920000000001E-2</v>
      </c>
      <c r="O4747">
        <v>-0.99949410000000005</v>
      </c>
      <c r="P4747">
        <v>2.0193949999999999E-2</v>
      </c>
      <c r="Q4747">
        <v>0.14930060000000001</v>
      </c>
      <c r="R4747">
        <v>-0.98858599999999996</v>
      </c>
      <c r="S4747">
        <v>-2.3345950000000001E-2</v>
      </c>
      <c r="T4747">
        <v>-0.12499739999999999</v>
      </c>
      <c r="U4747">
        <v>-3.053604</v>
      </c>
      <c r="V4747">
        <v>-4.9424120000000002E-2</v>
      </c>
      <c r="W4747">
        <v>0.16138839999999999</v>
      </c>
      <c r="X4747">
        <v>0.98565259999999999</v>
      </c>
      <c r="Y4747">
        <v>-2.1684060000000002E-2</v>
      </c>
      <c r="Z4747">
        <v>2.8551010000000002E-2</v>
      </c>
      <c r="AA4747">
        <v>0.9993571</v>
      </c>
      <c r="AB4747">
        <v>34</v>
      </c>
      <c r="AC4747">
        <v>-0.20040000000000099</v>
      </c>
      <c r="AD4747">
        <v>-1.121782807527</v>
      </c>
      <c r="AE4747">
        <v>-27.082239999999999</v>
      </c>
      <c r="AF4747">
        <v>-0.59301178503485497</v>
      </c>
      <c r="AG4747">
        <v>-1.121782807527</v>
      </c>
      <c r="AH4747">
        <v>27.030092292214299</v>
      </c>
      <c r="AI4747">
        <v>92.375912056142099</v>
      </c>
      <c r="AJ4747">
        <v>91.256807503209998</v>
      </c>
      <c r="AK4747">
        <v>27.059858628050399</v>
      </c>
      <c r="AL4747">
        <v>80.712506927333095</v>
      </c>
      <c r="AM4747">
        <v>92.870609440744204</v>
      </c>
      <c r="AN4747">
        <v>1.00000000358954</v>
      </c>
    </row>
    <row r="4748" spans="1:40" x14ac:dyDescent="0.25">
      <c r="A4748" t="str">
        <f>"20190303162916019"</f>
        <v>20190303162916019</v>
      </c>
      <c r="B4748" t="str">
        <f>"1551601756006460"</f>
        <v>1551601756006460</v>
      </c>
      <c r="C4748" t="s">
        <v>40</v>
      </c>
      <c r="D4748">
        <v>4.8925919999999996</v>
      </c>
      <c r="E4748">
        <v>0.52304170000000005</v>
      </c>
      <c r="F4748" t="s">
        <v>41</v>
      </c>
      <c r="G4748">
        <v>-421.34390000000002</v>
      </c>
      <c r="H4748" s="1">
        <v>-1.432207E-6</v>
      </c>
      <c r="I4748">
        <v>82.094059999999999</v>
      </c>
      <c r="J4748">
        <v>-421.17649999999998</v>
      </c>
      <c r="K4748">
        <v>1.1216660000000001</v>
      </c>
      <c r="L4748">
        <v>109.69840000000001</v>
      </c>
      <c r="M4748">
        <v>-2.8915059999999999E-2</v>
      </c>
      <c r="N4748">
        <v>-1.232072E-2</v>
      </c>
      <c r="O4748">
        <v>-0.9995058</v>
      </c>
      <c r="P4748">
        <v>2.2750570000000001E-2</v>
      </c>
      <c r="Q4748">
        <v>0.14864820000000001</v>
      </c>
      <c r="R4748">
        <v>-0.98862839999999996</v>
      </c>
      <c r="S4748">
        <v>-1.9317629999999999E-2</v>
      </c>
      <c r="T4748">
        <v>-0.12258860000000001</v>
      </c>
      <c r="U4748">
        <v>-3.0535580000000002</v>
      </c>
      <c r="V4748">
        <v>-5.1527570000000002E-2</v>
      </c>
      <c r="W4748">
        <v>0.160741299999999</v>
      </c>
      <c r="X4748">
        <v>0.98565060000000004</v>
      </c>
      <c r="Y4748">
        <v>-2.258833E-2</v>
      </c>
      <c r="Z4748">
        <v>2.777046E-2</v>
      </c>
      <c r="AA4748">
        <v>0.99935909999999994</v>
      </c>
      <c r="AB4748">
        <v>34</v>
      </c>
      <c r="AC4748">
        <v>-0.16740000000004299</v>
      </c>
      <c r="AD4748">
        <v>-1.1216674322069999</v>
      </c>
      <c r="AE4748">
        <v>-27.604340000000001</v>
      </c>
      <c r="AF4748">
        <v>-0.62987190772742896</v>
      </c>
      <c r="AG4748">
        <v>-1.1216674322069999</v>
      </c>
      <c r="AH4748">
        <v>27.5521471637846</v>
      </c>
      <c r="AI4748">
        <v>92.330656148532398</v>
      </c>
      <c r="AJ4748">
        <v>91.309615423030195</v>
      </c>
      <c r="AK4748">
        <v>27.582162529132098</v>
      </c>
      <c r="AL4748">
        <v>80.750073288446899</v>
      </c>
      <c r="AM4748">
        <v>92.9925687395029</v>
      </c>
      <c r="AN4748">
        <v>0.99999998063807705</v>
      </c>
    </row>
    <row r="4749" spans="1:40" x14ac:dyDescent="0.25">
      <c r="A4749" t="str">
        <f>"20190303162916042"</f>
        <v>20190303162916042</v>
      </c>
      <c r="B4749" t="str">
        <f>"1551601756036716"</f>
        <v>1551601756036716</v>
      </c>
      <c r="C4749" t="s">
        <v>40</v>
      </c>
      <c r="D4749">
        <v>4.9018940000000004</v>
      </c>
      <c r="E4749">
        <v>0.52628199999999903</v>
      </c>
      <c r="F4749" t="s">
        <v>41</v>
      </c>
      <c r="G4749">
        <v>-422.20460000000003</v>
      </c>
      <c r="H4749" s="1">
        <v>-2.2077590000000002E-6</v>
      </c>
      <c r="I4749">
        <v>83.368080000000006</v>
      </c>
      <c r="J4749">
        <v>-421.18619999999999</v>
      </c>
      <c r="K4749">
        <v>1.121526</v>
      </c>
      <c r="L4749">
        <v>109.351</v>
      </c>
      <c r="M4749">
        <v>-2.8620690000000001E-2</v>
      </c>
      <c r="N4749">
        <v>-1.2316189999999999E-2</v>
      </c>
      <c r="O4749">
        <v>-0.99951449999999997</v>
      </c>
      <c r="P4749">
        <v>2.6090729999999999E-2</v>
      </c>
      <c r="Q4749">
        <v>0.1466092</v>
      </c>
      <c r="R4749">
        <v>-0.98885009999999995</v>
      </c>
      <c r="S4749">
        <v>-0.11935419999999999</v>
      </c>
      <c r="T4749">
        <v>-0.13022049999999999</v>
      </c>
      <c r="U4749">
        <v>-3.0568240000000002</v>
      </c>
      <c r="V4749">
        <v>-5.4528050000000002E-2</v>
      </c>
      <c r="W4749">
        <v>0.15871289999999999</v>
      </c>
      <c r="X4749">
        <v>0.98581790000000002</v>
      </c>
      <c r="Y4749">
        <v>1.037707E-2</v>
      </c>
      <c r="Z4749">
        <v>3.02165E-2</v>
      </c>
      <c r="AA4749">
        <v>0.99948950000000003</v>
      </c>
      <c r="AB4749">
        <v>34</v>
      </c>
      <c r="AC4749">
        <v>-1.0184000000000399</v>
      </c>
      <c r="AD4749">
        <v>-1.1215282077590001</v>
      </c>
      <c r="AE4749">
        <v>-25.98292</v>
      </c>
      <c r="AF4749">
        <v>0.273767977478095</v>
      </c>
      <c r="AG4749">
        <v>-1.1215282077590001</v>
      </c>
      <c r="AH4749">
        <v>25.953143791901802</v>
      </c>
      <c r="AI4749">
        <v>92.474278676053899</v>
      </c>
      <c r="AJ4749">
        <v>89.395635147489202</v>
      </c>
      <c r="AK4749">
        <v>25.978807653728499</v>
      </c>
      <c r="AL4749">
        <v>80.867803879252506</v>
      </c>
      <c r="AM4749">
        <v>93.165946574842195</v>
      </c>
      <c r="AN4749">
        <v>1.00000001241181</v>
      </c>
    </row>
    <row r="4750" spans="1:40" x14ac:dyDescent="0.25">
      <c r="A4750" t="str">
        <f>"20190303162916065"</f>
        <v>20190303162916065</v>
      </c>
      <c r="B4750" t="str">
        <f>"1551601756056236"</f>
        <v>1551601756056236</v>
      </c>
      <c r="C4750" t="s">
        <v>40</v>
      </c>
      <c r="D4750">
        <v>4.8820110000000003</v>
      </c>
      <c r="E4750">
        <v>0.52728219999999904</v>
      </c>
      <c r="F4750" t="s">
        <v>41</v>
      </c>
      <c r="G4750">
        <v>-422.25490000000002</v>
      </c>
      <c r="H4750" s="1">
        <v>-3.192281E-6</v>
      </c>
      <c r="I4750">
        <v>85.631869999999907</v>
      </c>
      <c r="J4750">
        <v>-421.19549999999998</v>
      </c>
      <c r="K4750">
        <v>1.121383</v>
      </c>
      <c r="L4750">
        <v>109.0198</v>
      </c>
      <c r="M4750">
        <v>-2.8481300000000001E-2</v>
      </c>
      <c r="N4750">
        <v>-1.231258E-2</v>
      </c>
      <c r="O4750">
        <v>-0.99951849999999998</v>
      </c>
      <c r="P4750">
        <v>2.8192269999999998E-2</v>
      </c>
      <c r="Q4750">
        <v>0.14552399999999999</v>
      </c>
      <c r="R4750">
        <v>-0.98895310000000003</v>
      </c>
      <c r="S4750">
        <v>-0.13781740000000001</v>
      </c>
      <c r="T4750">
        <v>-0.14463709999999999</v>
      </c>
      <c r="U4750">
        <v>-3.0589140000000001</v>
      </c>
      <c r="V4750">
        <v>-5.6443449999999999E-2</v>
      </c>
      <c r="W4750">
        <v>0.15764129999999901</v>
      </c>
      <c r="X4750">
        <v>0.98588200000000004</v>
      </c>
      <c r="Y4750">
        <v>1.6502380000000001E-2</v>
      </c>
      <c r="Z4750">
        <v>3.4880689999999999E-2</v>
      </c>
      <c r="AA4750">
        <v>0.99925520000000001</v>
      </c>
      <c r="AB4750">
        <v>34</v>
      </c>
      <c r="AC4750">
        <v>-1.0594000000000301</v>
      </c>
      <c r="AD4750">
        <v>-1.121386192281</v>
      </c>
      <c r="AE4750">
        <v>-23.387930000000001</v>
      </c>
      <c r="AF4750">
        <v>0.391901907926684</v>
      </c>
      <c r="AG4750">
        <v>-1.121386192281</v>
      </c>
      <c r="AH4750">
        <v>23.355034266303601</v>
      </c>
      <c r="AI4750">
        <v>92.748545158434993</v>
      </c>
      <c r="AJ4750">
        <v>89.038656167939195</v>
      </c>
      <c r="AK4750">
        <v>23.385224388016699</v>
      </c>
      <c r="AL4750">
        <v>80.929984555879301</v>
      </c>
      <c r="AM4750">
        <v>93.276705532887505</v>
      </c>
      <c r="AN4750">
        <v>0.99999998021879599</v>
      </c>
    </row>
    <row r="4751" spans="1:40" x14ac:dyDescent="0.25">
      <c r="A4751" t="str">
        <f>"20190303162916087"</f>
        <v>20190303162916087</v>
      </c>
      <c r="B4751" t="str">
        <f>"1551601756076732"</f>
        <v>1551601756076732</v>
      </c>
      <c r="C4751" t="s">
        <v>40</v>
      </c>
      <c r="D4751">
        <v>4.8831610000000003</v>
      </c>
      <c r="E4751">
        <v>0.52769960000000005</v>
      </c>
      <c r="F4751" t="s">
        <v>41</v>
      </c>
      <c r="G4751">
        <v>-422.22430000000003</v>
      </c>
      <c r="H4751" s="1">
        <v>-3.5634690000000001E-6</v>
      </c>
      <c r="I4751">
        <v>86.516059999999996</v>
      </c>
      <c r="J4751">
        <v>-421.20499999999998</v>
      </c>
      <c r="K4751">
        <v>1.121243</v>
      </c>
      <c r="L4751">
        <v>108.6845</v>
      </c>
      <c r="M4751">
        <v>-2.8485159999999999E-2</v>
      </c>
      <c r="N4751">
        <v>-1.2309489999999999E-2</v>
      </c>
      <c r="O4751">
        <v>-0.99951849999999998</v>
      </c>
      <c r="P4751">
        <v>3.0532690000000001E-2</v>
      </c>
      <c r="Q4751">
        <v>0.144645</v>
      </c>
      <c r="R4751">
        <v>-0.98901249999999996</v>
      </c>
      <c r="S4751">
        <v>-0.13989260000000001</v>
      </c>
      <c r="T4751">
        <v>-0.152479799999999</v>
      </c>
      <c r="U4751">
        <v>-3.0599370000000001</v>
      </c>
      <c r="V4751">
        <v>-5.8740439999999998E-2</v>
      </c>
      <c r="W4751">
        <v>0.15677530000000001</v>
      </c>
      <c r="X4751">
        <v>0.98588589999999998</v>
      </c>
      <c r="Y4751">
        <v>1.7155090000000001E-2</v>
      </c>
      <c r="Z4751">
        <v>3.7419429999999997E-2</v>
      </c>
      <c r="AA4751">
        <v>0.99915240000000005</v>
      </c>
      <c r="AB4751">
        <v>34</v>
      </c>
      <c r="AC4751">
        <v>-1.0193000000000401</v>
      </c>
      <c r="AD4751">
        <v>-1.1212465634690001</v>
      </c>
      <c r="AE4751">
        <v>-22.16844</v>
      </c>
      <c r="AF4751">
        <v>0.386380616577777</v>
      </c>
      <c r="AG4751">
        <v>-1.1212465634690001</v>
      </c>
      <c r="AH4751">
        <v>22.131981886238702</v>
      </c>
      <c r="AI4751">
        <v>92.899787997161397</v>
      </c>
      <c r="AJ4751">
        <v>88.9998306500095</v>
      </c>
      <c r="AK4751">
        <v>22.163734027680299</v>
      </c>
      <c r="AL4751">
        <v>80.980227365864394</v>
      </c>
      <c r="AM4751">
        <v>93.409730501752193</v>
      </c>
      <c r="AN4751">
        <v>0.99999997090014603</v>
      </c>
    </row>
    <row r="4752" spans="1:40" x14ac:dyDescent="0.25">
      <c r="A4752" t="str">
        <f>"20190303162916108"</f>
        <v>20190303162916108</v>
      </c>
      <c r="B4752" t="str">
        <f>"1551601756096252"</f>
        <v>1551601756096252</v>
      </c>
      <c r="C4752" t="s">
        <v>40</v>
      </c>
      <c r="D4752">
        <v>4.9352280000000004</v>
      </c>
      <c r="E4752">
        <v>0.52832279999999998</v>
      </c>
      <c r="F4752" t="s">
        <v>41</v>
      </c>
      <c r="G4752">
        <v>-422.18009999999998</v>
      </c>
      <c r="H4752" s="1">
        <v>-3.8019270000000001E-6</v>
      </c>
      <c r="I4752">
        <v>87.099329999999995</v>
      </c>
      <c r="J4752">
        <v>-421.21449999999999</v>
      </c>
      <c r="K4752">
        <v>1.1211329999999999</v>
      </c>
      <c r="L4752">
        <v>108.3532</v>
      </c>
      <c r="M4752">
        <v>-2.860145E-2</v>
      </c>
      <c r="N4752">
        <v>-1.230679E-2</v>
      </c>
      <c r="O4752">
        <v>-0.9995153</v>
      </c>
      <c r="P4752">
        <v>3.1592050000000003E-2</v>
      </c>
      <c r="Q4752">
        <v>0.14378260000000001</v>
      </c>
      <c r="R4752">
        <v>-0.98910509999999996</v>
      </c>
      <c r="S4752">
        <v>-0.13827509999999901</v>
      </c>
      <c r="T4752">
        <v>-0.15899779999999999</v>
      </c>
      <c r="U4752">
        <v>-3.060867</v>
      </c>
      <c r="V4752">
        <v>-5.987725E-2</v>
      </c>
      <c r="W4752">
        <v>0.15592609999999901</v>
      </c>
      <c r="X4752">
        <v>0.98595219999999995</v>
      </c>
      <c r="Y4752">
        <v>1.6494390000000001E-2</v>
      </c>
      <c r="Z4752">
        <v>3.9527489999999998E-2</v>
      </c>
      <c r="AA4752">
        <v>0.99908229999999998</v>
      </c>
      <c r="AB4752">
        <v>34</v>
      </c>
      <c r="AC4752">
        <v>-0.96559999999999402</v>
      </c>
      <c r="AD4752">
        <v>-1.1211368019269901</v>
      </c>
      <c r="AE4752">
        <v>-21.2538699999999</v>
      </c>
      <c r="AF4752">
        <v>0.35627815441521998</v>
      </c>
      <c r="AG4752">
        <v>-1.1211368019269901</v>
      </c>
      <c r="AH4752">
        <v>21.213886396101799</v>
      </c>
      <c r="AI4752">
        <v>93.024795593388106</v>
      </c>
      <c r="AJ4752">
        <v>89.037832328886907</v>
      </c>
      <c r="AK4752">
        <v>21.2464787171583</v>
      </c>
      <c r="AL4752">
        <v>81.029488928768401</v>
      </c>
      <c r="AM4752">
        <v>93.475326012216499</v>
      </c>
      <c r="AN4752">
        <v>0.99999998720680605</v>
      </c>
    </row>
    <row r="4753" spans="1:40" x14ac:dyDescent="0.25">
      <c r="A4753" t="str">
        <f>"20190303162916132"</f>
        <v>20190303162916132</v>
      </c>
      <c r="B4753" t="str">
        <f>"1551601756126508"</f>
        <v>1551601756126508</v>
      </c>
      <c r="C4753" t="s">
        <v>40</v>
      </c>
      <c r="D4753">
        <v>5.0314569999999996</v>
      </c>
      <c r="E4753">
        <v>0.52854730000000005</v>
      </c>
      <c r="F4753" t="s">
        <v>41</v>
      </c>
      <c r="G4753">
        <v>-422.19170000000003</v>
      </c>
      <c r="H4753" s="1">
        <v>-3.8830839999999997E-6</v>
      </c>
      <c r="I4753">
        <v>87.281300000000002</v>
      </c>
      <c r="J4753">
        <v>-421.22460000000001</v>
      </c>
      <c r="K4753">
        <v>1.1210439999999999</v>
      </c>
      <c r="L4753">
        <v>108.0094</v>
      </c>
      <c r="M4753">
        <v>-2.881411E-2</v>
      </c>
      <c r="N4753">
        <v>-1.230415E-2</v>
      </c>
      <c r="O4753">
        <v>-0.99950910000000004</v>
      </c>
      <c r="P4753">
        <v>3.0934650000000001E-2</v>
      </c>
      <c r="Q4753">
        <v>0.1432339</v>
      </c>
      <c r="R4753">
        <v>-0.98920520000000001</v>
      </c>
      <c r="S4753">
        <v>-0.14196779999999901</v>
      </c>
      <c r="T4753">
        <v>-0.16287550000000001</v>
      </c>
      <c r="U4753">
        <v>-3.061264</v>
      </c>
      <c r="V4753">
        <v>-5.94014E-2</v>
      </c>
      <c r="W4753">
        <v>0.15538829999999901</v>
      </c>
      <c r="X4753">
        <v>0.98606590000000005</v>
      </c>
      <c r="Y4753">
        <v>1.7475560000000001E-2</v>
      </c>
      <c r="Z4753">
        <v>4.0782020000000002E-2</v>
      </c>
      <c r="AA4753">
        <v>0.99901519999999999</v>
      </c>
      <c r="AB4753">
        <v>34</v>
      </c>
      <c r="AC4753">
        <v>-0.96710000000001595</v>
      </c>
      <c r="AD4753">
        <v>-1.1210478830840001</v>
      </c>
      <c r="AE4753">
        <v>-20.728100000000001</v>
      </c>
      <c r="AF4753">
        <v>0.368316449626998</v>
      </c>
      <c r="AG4753">
        <v>-1.1210478830840001</v>
      </c>
      <c r="AH4753">
        <v>20.686981890405502</v>
      </c>
      <c r="AI4753">
        <v>93.101390034265805</v>
      </c>
      <c r="AJ4753">
        <v>88.979998687032904</v>
      </c>
      <c r="AK4753">
        <v>20.720608704794302</v>
      </c>
      <c r="AL4753">
        <v>81.060682974889403</v>
      </c>
      <c r="AM4753">
        <v>93.447377574662298</v>
      </c>
      <c r="AN4753">
        <v>1.0000000046208299</v>
      </c>
    </row>
    <row r="4754" spans="1:40" x14ac:dyDescent="0.25">
      <c r="A4754" t="str">
        <f>"20190303162916153"</f>
        <v>20190303162916153</v>
      </c>
      <c r="B4754" t="str">
        <f>"1551601756147004"</f>
        <v>1551601756147004</v>
      </c>
      <c r="C4754" t="s">
        <v>40</v>
      </c>
      <c r="D4754">
        <v>5.0811989999999998</v>
      </c>
      <c r="E4754">
        <v>0.53601919999999903</v>
      </c>
      <c r="F4754" t="s">
        <v>41</v>
      </c>
      <c r="G4754">
        <v>-422.19650000000001</v>
      </c>
      <c r="H4754" s="1">
        <v>-3.9801789999999997E-6</v>
      </c>
      <c r="I4754">
        <v>87.537790000000001</v>
      </c>
      <c r="J4754">
        <v>-421.23439999999999</v>
      </c>
      <c r="K4754">
        <v>1.120981</v>
      </c>
      <c r="L4754">
        <v>107.676</v>
      </c>
      <c r="M4754">
        <v>-2.9072589999999999E-2</v>
      </c>
      <c r="N4754">
        <v>-1.230177E-2</v>
      </c>
      <c r="O4754">
        <v>-0.99950190000000005</v>
      </c>
      <c r="P4754">
        <v>2.7520349999999999E-2</v>
      </c>
      <c r="Q4754">
        <v>0.141474499999999</v>
      </c>
      <c r="R4754">
        <v>-0.98955950000000004</v>
      </c>
      <c r="S4754">
        <v>-0.14535519999999999</v>
      </c>
      <c r="T4754">
        <v>-0.167655</v>
      </c>
      <c r="U4754">
        <v>-3.061569</v>
      </c>
      <c r="V4754">
        <v>-5.6232049999999999E-2</v>
      </c>
      <c r="W4754">
        <v>0.15364</v>
      </c>
      <c r="X4754">
        <v>0.9865256</v>
      </c>
      <c r="Y4754">
        <v>1.8311750000000002E-2</v>
      </c>
      <c r="Z4754">
        <v>4.233029E-2</v>
      </c>
      <c r="AA4754">
        <v>0.99893580000000004</v>
      </c>
      <c r="AB4754">
        <v>34</v>
      </c>
      <c r="AC4754">
        <v>-0.96210000000002005</v>
      </c>
      <c r="AD4754">
        <v>-1.1209849801789999</v>
      </c>
      <c r="AE4754">
        <v>-20.138210000000001</v>
      </c>
      <c r="AF4754">
        <v>0.37501983855742699</v>
      </c>
      <c r="AG4754">
        <v>-1.1209849801789999</v>
      </c>
      <c r="AH4754">
        <v>20.095544043221398</v>
      </c>
      <c r="AI4754">
        <v>93.192253279713</v>
      </c>
      <c r="AJ4754">
        <v>88.930879399597899</v>
      </c>
      <c r="AK4754">
        <v>20.130279123702</v>
      </c>
      <c r="AL4754">
        <v>81.162071001999095</v>
      </c>
      <c r="AM4754">
        <v>93.262334641838905</v>
      </c>
      <c r="AN4754">
        <v>1.00000002625128</v>
      </c>
    </row>
    <row r="4755" spans="1:40" x14ac:dyDescent="0.25">
      <c r="A4755" t="str">
        <f>"20190303162916175"</f>
        <v>20190303162916175</v>
      </c>
      <c r="B4755" t="str">
        <f>"1551601756166524"</f>
        <v>1551601756166524</v>
      </c>
      <c r="C4755" t="s">
        <v>40</v>
      </c>
      <c r="D4755">
        <v>5.0345050000000002</v>
      </c>
      <c r="E4755">
        <v>0.53742919999999905</v>
      </c>
      <c r="F4755" t="s">
        <v>44</v>
      </c>
      <c r="G4755">
        <v>-421.29329999999999</v>
      </c>
      <c r="H4755">
        <v>0.99139619999999995</v>
      </c>
      <c r="I4755">
        <v>106.83669999999999</v>
      </c>
      <c r="J4755">
        <v>-421.2439</v>
      </c>
      <c r="K4755">
        <v>1.1209309999999999</v>
      </c>
      <c r="L4755">
        <v>107.35980000000001</v>
      </c>
      <c r="M4755">
        <v>-2.933038E-2</v>
      </c>
      <c r="N4755">
        <v>-1.229976E-2</v>
      </c>
      <c r="O4755">
        <v>-0.99949429999999995</v>
      </c>
      <c r="P4755">
        <v>2.20558E-2</v>
      </c>
      <c r="Q4755">
        <v>0.13926229999999901</v>
      </c>
      <c r="R4755">
        <v>-0.99001039999999996</v>
      </c>
      <c r="S4755">
        <v>-0.21704100000000001</v>
      </c>
      <c r="T4755">
        <v>-0.4795507</v>
      </c>
      <c r="U4755">
        <v>-3.1062470000000002</v>
      </c>
      <c r="V4755">
        <v>-5.1023510000000001E-2</v>
      </c>
      <c r="W4755">
        <v>0.1514364</v>
      </c>
      <c r="X4755">
        <v>0.98714919999999995</v>
      </c>
      <c r="Y4755">
        <v>3.9682759999999997E-2</v>
      </c>
      <c r="Z4755">
        <v>0.14008139999999999</v>
      </c>
      <c r="AA4755">
        <v>0.98934449999999996</v>
      </c>
      <c r="AB4755">
        <v>34</v>
      </c>
      <c r="AC4755">
        <v>-4.9399999999991402E-2</v>
      </c>
      <c r="AD4755">
        <v>-0.12953479999999901</v>
      </c>
      <c r="AE4755">
        <v>-0.523100000000013</v>
      </c>
      <c r="AF4755">
        <v>3.2084808966125797E-2</v>
      </c>
      <c r="AG4755">
        <v>-0.12953479999999901</v>
      </c>
      <c r="AH4755">
        <v>0.49428237668523001</v>
      </c>
      <c r="AI4755">
        <v>104.65554746094401</v>
      </c>
      <c r="AJ4755">
        <v>86.286032489007098</v>
      </c>
      <c r="AK4755">
        <v>0.511980241102166</v>
      </c>
      <c r="AL4755">
        <v>81.289822454522806</v>
      </c>
      <c r="AM4755">
        <v>92.958856177987499</v>
      </c>
      <c r="AN4755">
        <v>0.99999996243915901</v>
      </c>
    </row>
    <row r="4756" spans="1:40" x14ac:dyDescent="0.25">
      <c r="A4756" t="str">
        <f>"20190303162916197"</f>
        <v>20190303162916197</v>
      </c>
      <c r="B4756" t="str">
        <f>"1551601756187021"</f>
        <v>1551601756187021</v>
      </c>
      <c r="C4756" t="s">
        <v>40</v>
      </c>
      <c r="D4756">
        <v>5.0478249999999996</v>
      </c>
      <c r="E4756">
        <v>0.5353038</v>
      </c>
      <c r="F4756" t="s">
        <v>44</v>
      </c>
      <c r="G4756">
        <v>-421.30369999999999</v>
      </c>
      <c r="H4756">
        <v>0.86498489999999995</v>
      </c>
      <c r="I4756">
        <v>106.59529999999999</v>
      </c>
      <c r="J4756">
        <v>-421.25409999999999</v>
      </c>
      <c r="K4756">
        <v>1.120911</v>
      </c>
      <c r="L4756">
        <v>107.0224</v>
      </c>
      <c r="M4756">
        <v>-2.958715E-2</v>
      </c>
      <c r="N4756">
        <v>-1.2297809999999999E-2</v>
      </c>
      <c r="O4756">
        <v>-0.99948669999999995</v>
      </c>
      <c r="P4756">
        <v>1.688187E-2</v>
      </c>
      <c r="Q4756">
        <v>0.1379379</v>
      </c>
      <c r="R4756">
        <v>-0.99029739999999999</v>
      </c>
      <c r="S4756">
        <v>-0.24780269999999999</v>
      </c>
      <c r="T4756">
        <v>-1.0665899999999999</v>
      </c>
      <c r="U4756">
        <v>-3.1858219999999999</v>
      </c>
      <c r="V4756">
        <v>-4.6109129999999998E-2</v>
      </c>
      <c r="W4756">
        <v>0.15011550000000001</v>
      </c>
      <c r="X4756">
        <v>0.98759260000000004</v>
      </c>
      <c r="Y4756">
        <v>4.421891E-2</v>
      </c>
      <c r="Z4756">
        <v>0.30501790000000001</v>
      </c>
      <c r="AA4756">
        <v>0.95131949999999998</v>
      </c>
      <c r="AB4756">
        <v>34</v>
      </c>
      <c r="AC4756">
        <v>-4.9599999999998E-2</v>
      </c>
      <c r="AD4756">
        <v>-0.25592609999999899</v>
      </c>
      <c r="AE4756">
        <v>-0.42710000000000897</v>
      </c>
      <c r="AF4756">
        <v>2.72768833608781E-2</v>
      </c>
      <c r="AG4756">
        <v>-0.25592609999999899</v>
      </c>
      <c r="AH4756">
        <v>0.31631512216377999</v>
      </c>
      <c r="AI4756">
        <v>128.872089604059</v>
      </c>
      <c r="AJ4756">
        <v>85.071390829932099</v>
      </c>
      <c r="AK4756">
        <v>0.40779584786579098</v>
      </c>
      <c r="AL4756">
        <v>81.366379376143101</v>
      </c>
      <c r="AM4756">
        <v>92.673107789004604</v>
      </c>
      <c r="AN4756">
        <v>0.99999992939218096</v>
      </c>
    </row>
    <row r="4757" spans="1:40" x14ac:dyDescent="0.25">
      <c r="A4757" t="str">
        <f>"20190303162916221"</f>
        <v>20190303162916221</v>
      </c>
      <c r="B4757" t="str">
        <f>"1551601756216300"</f>
        <v>1551601756216300</v>
      </c>
      <c r="C4757" t="s">
        <v>40</v>
      </c>
      <c r="D4757">
        <v>5.0765779999999996</v>
      </c>
      <c r="E4757">
        <v>0.53531119999999899</v>
      </c>
      <c r="F4757" t="s">
        <v>44</v>
      </c>
      <c r="G4757">
        <v>-421.3091</v>
      </c>
      <c r="H4757">
        <v>0.85427929999999996</v>
      </c>
      <c r="I4757">
        <v>106.29989999999999</v>
      </c>
      <c r="J4757">
        <v>-421.2645</v>
      </c>
      <c r="K4757">
        <v>1.1209180000000001</v>
      </c>
      <c r="L4757">
        <v>106.6801</v>
      </c>
      <c r="M4757">
        <v>-2.98059E-2</v>
      </c>
      <c r="N4757">
        <v>-1.229597E-2</v>
      </c>
      <c r="O4757">
        <v>-0.99948029999999999</v>
      </c>
      <c r="P4757">
        <v>1.211361E-2</v>
      </c>
      <c r="Q4757">
        <v>0.13796729999999999</v>
      </c>
      <c r="R4757">
        <v>-0.99036290000000005</v>
      </c>
      <c r="S4757">
        <v>-0.2433777</v>
      </c>
      <c r="T4757">
        <v>-1.1800569999999999</v>
      </c>
      <c r="U4757">
        <v>-3.1979220000000002</v>
      </c>
      <c r="V4757">
        <v>-4.1564570000000002E-2</v>
      </c>
      <c r="W4757">
        <v>0.1501429</v>
      </c>
      <c r="X4757">
        <v>0.98779019999999995</v>
      </c>
      <c r="Y4757">
        <v>4.1670819999999997E-2</v>
      </c>
      <c r="Z4757">
        <v>0.33383469999999998</v>
      </c>
      <c r="AA4757">
        <v>0.94171009999999999</v>
      </c>
      <c r="AB4757">
        <v>34</v>
      </c>
      <c r="AC4757">
        <v>-4.4600000000002603E-2</v>
      </c>
      <c r="AD4757">
        <v>-0.26663870000000001</v>
      </c>
      <c r="AE4757">
        <v>-0.38020000000000198</v>
      </c>
      <c r="AF4757">
        <v>2.2386196234088201E-2</v>
      </c>
      <c r="AG4757">
        <v>-0.26663870000000001</v>
      </c>
      <c r="AH4757">
        <v>0.25678043303332199</v>
      </c>
      <c r="AI4757">
        <v>135.97061534558401</v>
      </c>
      <c r="AJ4757">
        <v>85.017533957623002</v>
      </c>
      <c r="AK4757">
        <v>0.37085513196975101</v>
      </c>
      <c r="AL4757">
        <v>81.364792015928302</v>
      </c>
      <c r="AM4757">
        <v>92.409489782382593</v>
      </c>
      <c r="AN4757">
        <v>0.99999999155786701</v>
      </c>
    </row>
    <row r="4758" spans="1:40" x14ac:dyDescent="0.25">
      <c r="A4758" t="str">
        <f>"20190303162916243"</f>
        <v>20190303162916243</v>
      </c>
      <c r="B4758" t="str">
        <f>"1551601756236796"</f>
        <v>1551601756236796</v>
      </c>
      <c r="C4758" t="s">
        <v>40</v>
      </c>
      <c r="D4758">
        <v>5.0826989999999999</v>
      </c>
      <c r="E4758">
        <v>0.53540480000000001</v>
      </c>
      <c r="F4758" t="s">
        <v>44</v>
      </c>
      <c r="G4758">
        <v>-421.31959999999998</v>
      </c>
      <c r="H4758">
        <v>0.86597380000000002</v>
      </c>
      <c r="I4758">
        <v>105.9956</v>
      </c>
      <c r="J4758">
        <v>-421.2747</v>
      </c>
      <c r="K4758">
        <v>1.1209359999999999</v>
      </c>
      <c r="L4758">
        <v>106.3428</v>
      </c>
      <c r="M4758">
        <v>-2.9979599999999999E-2</v>
      </c>
      <c r="N4758">
        <v>-1.2294340000000001E-2</v>
      </c>
      <c r="O4758">
        <v>-0.999475</v>
      </c>
      <c r="P4758">
        <v>8.5366219999999902E-3</v>
      </c>
      <c r="Q4758">
        <v>0.1367391</v>
      </c>
      <c r="R4758">
        <v>-0.99057070000000003</v>
      </c>
      <c r="S4758">
        <v>-0.25576779999999999</v>
      </c>
      <c r="T4758">
        <v>-1.19119</v>
      </c>
      <c r="U4758">
        <v>-3.1982729999999999</v>
      </c>
      <c r="V4758">
        <v>-3.8175960000000002E-2</v>
      </c>
      <c r="W4758">
        <v>0.14891279999999901</v>
      </c>
      <c r="X4758">
        <v>0.98811320000000002</v>
      </c>
      <c r="Y4758">
        <v>4.5027520000000001E-2</v>
      </c>
      <c r="Z4758">
        <v>0.33660689999999999</v>
      </c>
      <c r="AA4758">
        <v>0.94056810000000002</v>
      </c>
      <c r="AB4758">
        <v>34</v>
      </c>
      <c r="AC4758">
        <v>-4.4899999999984098E-2</v>
      </c>
      <c r="AD4758">
        <v>-0.25496220000000003</v>
      </c>
      <c r="AE4758">
        <v>-0.34720000000000001</v>
      </c>
      <c r="AF4758">
        <v>2.2523853781696499E-2</v>
      </c>
      <c r="AG4758">
        <v>-0.25496220000000003</v>
      </c>
      <c r="AH4758">
        <v>0.227649032335945</v>
      </c>
      <c r="AI4758">
        <v>138.10048703494601</v>
      </c>
      <c r="AJ4758">
        <v>84.349480920868601</v>
      </c>
      <c r="AK4758">
        <v>0.34254507636442699</v>
      </c>
      <c r="AL4758">
        <v>81.436073533387997</v>
      </c>
      <c r="AM4758">
        <v>92.212533986348305</v>
      </c>
      <c r="AN4758">
        <v>1.0000000609699899</v>
      </c>
    </row>
    <row r="4759" spans="1:40" x14ac:dyDescent="0.25">
      <c r="A4759" t="str">
        <f>"20190303162916265"</f>
        <v>20190303162916265</v>
      </c>
      <c r="B4759" t="str">
        <f>"1551601756256316"</f>
        <v>1551601756256316</v>
      </c>
      <c r="C4759" t="s">
        <v>40</v>
      </c>
      <c r="D4759">
        <v>5.0900080000000001</v>
      </c>
      <c r="E4759">
        <v>0.53532709999999994</v>
      </c>
      <c r="F4759" t="s">
        <v>44</v>
      </c>
      <c r="G4759">
        <v>-421.32909999999998</v>
      </c>
      <c r="H4759">
        <v>0.87789300000000003</v>
      </c>
      <c r="I4759">
        <v>105.691</v>
      </c>
      <c r="J4759">
        <v>-421.28449999999998</v>
      </c>
      <c r="K4759">
        <v>1.120957</v>
      </c>
      <c r="L4759">
        <v>106.0211</v>
      </c>
      <c r="M4759">
        <v>-3.0110609999999999E-2</v>
      </c>
      <c r="N4759">
        <v>-1.229306E-2</v>
      </c>
      <c r="O4759">
        <v>-0.9994712</v>
      </c>
      <c r="P4759">
        <v>7.0368669999999996E-3</v>
      </c>
      <c r="Q4759">
        <v>0.13582179999999999</v>
      </c>
      <c r="R4759">
        <v>-0.99070860000000005</v>
      </c>
      <c r="S4759">
        <v>-0.26535029999999998</v>
      </c>
      <c r="T4759">
        <v>-1.1913609999999999</v>
      </c>
      <c r="U4759">
        <v>-3.1953130000000001</v>
      </c>
      <c r="V4759">
        <v>-3.6818919999999998E-2</v>
      </c>
      <c r="W4759">
        <v>0.14799419999999999</v>
      </c>
      <c r="X4759">
        <v>0.98830260000000003</v>
      </c>
      <c r="Y4759">
        <v>4.7753160000000003E-2</v>
      </c>
      <c r="Z4759">
        <v>0.3368757</v>
      </c>
      <c r="AA4759">
        <v>0.94033739999999999</v>
      </c>
      <c r="AB4759">
        <v>34</v>
      </c>
      <c r="AC4759">
        <v>-4.4600000000002603E-2</v>
      </c>
      <c r="AD4759">
        <v>-0.243063999999999</v>
      </c>
      <c r="AE4759">
        <v>-0.330100000000001</v>
      </c>
      <c r="AF4759">
        <v>2.2603738942913901E-2</v>
      </c>
      <c r="AG4759">
        <v>-0.243063999999999</v>
      </c>
      <c r="AH4759">
        <v>0.216182834364327</v>
      </c>
      <c r="AI4759">
        <v>138.19514947316301</v>
      </c>
      <c r="AJ4759">
        <v>84.030932090765205</v>
      </c>
      <c r="AK4759">
        <v>0.32607676241031602</v>
      </c>
      <c r="AL4759">
        <v>81.489294405985305</v>
      </c>
      <c r="AM4759">
        <v>92.133550562623</v>
      </c>
      <c r="AN4759">
        <v>0.99999997263518203</v>
      </c>
    </row>
    <row r="4760" spans="1:40" x14ac:dyDescent="0.25">
      <c r="A4760" t="str">
        <f>"20190303162916288"</f>
        <v>20190303162916288</v>
      </c>
      <c r="B4760" t="str">
        <f>"1551601756276614"</f>
        <v>1551601756276614</v>
      </c>
      <c r="C4760" t="s">
        <v>40</v>
      </c>
      <c r="D4760">
        <v>5.0768089999999999</v>
      </c>
      <c r="E4760">
        <v>0.53552709999999903</v>
      </c>
      <c r="F4760" t="s">
        <v>44</v>
      </c>
      <c r="G4760">
        <v>-421.35950000000003</v>
      </c>
      <c r="H4760">
        <v>0.78829780000000005</v>
      </c>
      <c r="I4760">
        <v>105.12860000000001</v>
      </c>
      <c r="J4760">
        <v>-421.2953</v>
      </c>
      <c r="K4760">
        <v>1.120986</v>
      </c>
      <c r="L4760">
        <v>105.66800000000001</v>
      </c>
      <c r="M4760">
        <v>-3.022729E-2</v>
      </c>
      <c r="N4760">
        <v>-1.2291720000000001E-2</v>
      </c>
      <c r="O4760">
        <v>-0.99946760000000001</v>
      </c>
      <c r="P4760">
        <v>5.8543290000000001E-3</v>
      </c>
      <c r="Q4760">
        <v>0.1363355</v>
      </c>
      <c r="R4760">
        <v>-0.99064589999999997</v>
      </c>
      <c r="S4760">
        <v>-0.26806639999999998</v>
      </c>
      <c r="T4760">
        <v>-1.1901389999999901</v>
      </c>
      <c r="U4760">
        <v>-3.193222</v>
      </c>
      <c r="V4760">
        <v>-3.575532E-2</v>
      </c>
      <c r="W4760">
        <v>0.1485049</v>
      </c>
      <c r="X4760">
        <v>0.98826510000000001</v>
      </c>
      <c r="Y4760">
        <v>4.8483890000000002E-2</v>
      </c>
      <c r="Z4760">
        <v>0.33674359999999998</v>
      </c>
      <c r="AA4760">
        <v>0.9403473</v>
      </c>
      <c r="AB4760">
        <v>34</v>
      </c>
      <c r="AC4760">
        <v>-6.4200000000027999E-2</v>
      </c>
      <c r="AD4760">
        <v>-0.33268819999999999</v>
      </c>
      <c r="AE4760">
        <v>-0.539399999999986</v>
      </c>
      <c r="AF4760">
        <v>3.4808323836101399E-2</v>
      </c>
      <c r="AG4760">
        <v>-0.33268819999999999</v>
      </c>
      <c r="AH4760">
        <v>0.39349524768254401</v>
      </c>
      <c r="AI4760">
        <v>130.10343933490199</v>
      </c>
      <c r="AJ4760">
        <v>84.9448123430235</v>
      </c>
      <c r="AK4760">
        <v>0.51646061590044301</v>
      </c>
      <c r="AL4760">
        <v>81.459706980266105</v>
      </c>
      <c r="AM4760">
        <v>92.072051070294606</v>
      </c>
      <c r="AN4760">
        <v>1.00000002805516</v>
      </c>
    </row>
    <row r="4761" spans="1:40" x14ac:dyDescent="0.25">
      <c r="A4761" t="str">
        <f>"20190303162916310"</f>
        <v>20190303162916310</v>
      </c>
      <c r="B4761" t="str">
        <f>"1551601756306870"</f>
        <v>1551601756306870</v>
      </c>
      <c r="C4761" t="s">
        <v>40</v>
      </c>
      <c r="D4761">
        <v>5.0683059999999998</v>
      </c>
      <c r="E4761">
        <v>0.53583479999999994</v>
      </c>
      <c r="F4761" t="s">
        <v>44</v>
      </c>
      <c r="G4761">
        <v>-421.36739999999998</v>
      </c>
      <c r="H4761">
        <v>0.80591880000000005</v>
      </c>
      <c r="I4761">
        <v>104.82210000000001</v>
      </c>
      <c r="J4761">
        <v>-421.30540000000002</v>
      </c>
      <c r="K4761">
        <v>1.1210020000000001</v>
      </c>
      <c r="L4761">
        <v>105.3378</v>
      </c>
      <c r="M4761">
        <v>-3.032075E-2</v>
      </c>
      <c r="N4761">
        <v>-1.229062E-2</v>
      </c>
      <c r="O4761">
        <v>-0.99946480000000004</v>
      </c>
      <c r="P4761">
        <v>5.097117E-3</v>
      </c>
      <c r="Q4761">
        <v>0.13756499999999999</v>
      </c>
      <c r="R4761">
        <v>-0.99047989999999997</v>
      </c>
      <c r="S4761">
        <v>-0.27096559999999997</v>
      </c>
      <c r="T4761">
        <v>-1.1894819999999999</v>
      </c>
      <c r="U4761">
        <v>-3.1936339999999999</v>
      </c>
      <c r="V4761">
        <v>-3.5087599999999997E-2</v>
      </c>
      <c r="W4761">
        <v>0.14973040000000001</v>
      </c>
      <c r="X4761">
        <v>0.98810410000000004</v>
      </c>
      <c r="Y4761">
        <v>4.923317E-2</v>
      </c>
      <c r="Z4761">
        <v>0.33651629999999999</v>
      </c>
      <c r="AA4761">
        <v>0.94038980000000005</v>
      </c>
      <c r="AB4761">
        <v>34</v>
      </c>
      <c r="AC4761">
        <v>-6.1999999999954897E-2</v>
      </c>
      <c r="AD4761">
        <v>-0.31508320000000001</v>
      </c>
      <c r="AE4761">
        <v>-0.51569999999999505</v>
      </c>
      <c r="AF4761">
        <v>3.3870312417119297E-2</v>
      </c>
      <c r="AG4761">
        <v>-0.31508320000000001</v>
      </c>
      <c r="AH4761">
        <v>0.37818023543643198</v>
      </c>
      <c r="AI4761">
        <v>129.687064255211</v>
      </c>
      <c r="AJ4761">
        <v>84.882170278425505</v>
      </c>
      <c r="AK4761">
        <v>0.49340136953623098</v>
      </c>
      <c r="AL4761">
        <v>81.388697021531996</v>
      </c>
      <c r="AM4761">
        <v>92.033719960758603</v>
      </c>
      <c r="AN4761">
        <v>1.00000002239736</v>
      </c>
    </row>
    <row r="4762" spans="1:40" x14ac:dyDescent="0.25">
      <c r="A4762" t="str">
        <f>"20190303162916332"</f>
        <v>20190303162916332</v>
      </c>
      <c r="B4762" t="str">
        <f>"1551601756326390"</f>
        <v>1551601756326390</v>
      </c>
      <c r="C4762" t="s">
        <v>40</v>
      </c>
      <c r="D4762">
        <v>5.0956219999999997</v>
      </c>
      <c r="E4762">
        <v>0.53605389999999997</v>
      </c>
      <c r="F4762" t="s">
        <v>44</v>
      </c>
      <c r="G4762">
        <v>-421.37450000000001</v>
      </c>
      <c r="H4762">
        <v>0.81843809999999995</v>
      </c>
      <c r="I4762">
        <v>104.5177</v>
      </c>
      <c r="J4762">
        <v>-421.31569999999999</v>
      </c>
      <c r="K4762">
        <v>1.121003</v>
      </c>
      <c r="L4762">
        <v>105.002</v>
      </c>
      <c r="M4762">
        <v>-3.0409240000000001E-2</v>
      </c>
      <c r="N4762">
        <v>-1.2289670000000001E-2</v>
      </c>
      <c r="O4762">
        <v>-0.99946190000000001</v>
      </c>
      <c r="P4762">
        <v>3.6194650000000001E-3</v>
      </c>
      <c r="Q4762">
        <v>0.13797400000000001</v>
      </c>
      <c r="R4762">
        <v>-0.99042929999999996</v>
      </c>
      <c r="S4762">
        <v>-0.26895140000000001</v>
      </c>
      <c r="T4762">
        <v>-1.1783110000000001</v>
      </c>
      <c r="U4762">
        <v>-3.1938780000000002</v>
      </c>
      <c r="V4762">
        <v>-3.3697400000000002E-2</v>
      </c>
      <c r="W4762">
        <v>0.1501382</v>
      </c>
      <c r="X4762">
        <v>0.98809060000000004</v>
      </c>
      <c r="Y4762">
        <v>4.8639080000000001E-2</v>
      </c>
      <c r="Z4762">
        <v>0.33361580000000002</v>
      </c>
      <c r="AA4762">
        <v>0.94145350000000005</v>
      </c>
      <c r="AB4762">
        <v>34</v>
      </c>
      <c r="AC4762">
        <v>-5.8800000000019198E-2</v>
      </c>
      <c r="AD4762">
        <v>-0.30256490000000003</v>
      </c>
      <c r="AE4762">
        <v>-0.48430000000000401</v>
      </c>
      <c r="AF4762">
        <v>3.1809377345985899E-2</v>
      </c>
      <c r="AG4762">
        <v>-0.30256490000000003</v>
      </c>
      <c r="AH4762">
        <v>0.350896011077517</v>
      </c>
      <c r="AI4762">
        <v>130.654087044004</v>
      </c>
      <c r="AJ4762">
        <v>84.820188664610598</v>
      </c>
      <c r="AK4762">
        <v>0.46441938567340502</v>
      </c>
      <c r="AL4762">
        <v>81.365064587437303</v>
      </c>
      <c r="AM4762">
        <v>91.953232642302297</v>
      </c>
      <c r="AN4762">
        <v>1.0000000138371801</v>
      </c>
    </row>
    <row r="4763" spans="1:40" x14ac:dyDescent="0.25">
      <c r="A4763" t="str">
        <f>"20190303162916354"</f>
        <v>20190303162916354</v>
      </c>
      <c r="B4763" t="str">
        <f>"1551601756346887"</f>
        <v>1551601756346887</v>
      </c>
      <c r="C4763" t="s">
        <v>40</v>
      </c>
      <c r="D4763">
        <v>5.0542699999999998</v>
      </c>
      <c r="E4763">
        <v>0.53644650000000005</v>
      </c>
      <c r="F4763" t="s">
        <v>44</v>
      </c>
      <c r="G4763">
        <v>-421.38260000000002</v>
      </c>
      <c r="H4763">
        <v>0.83166369999999901</v>
      </c>
      <c r="I4763">
        <v>104.21299999999999</v>
      </c>
      <c r="J4763">
        <v>-421.32589999999999</v>
      </c>
      <c r="K4763">
        <v>1.1210020000000001</v>
      </c>
      <c r="L4763">
        <v>104.67100000000001</v>
      </c>
      <c r="M4763">
        <v>-3.0501799999999999E-2</v>
      </c>
      <c r="N4763">
        <v>-1.228886E-2</v>
      </c>
      <c r="O4763">
        <v>-0.99945930000000005</v>
      </c>
      <c r="P4763">
        <v>2.0548369999999999E-3</v>
      </c>
      <c r="Q4763">
        <v>0.138468799999999</v>
      </c>
      <c r="R4763">
        <v>-0.99036489999999999</v>
      </c>
      <c r="S4763">
        <v>-0.26965329999999998</v>
      </c>
      <c r="T4763">
        <v>-1.170884</v>
      </c>
      <c r="U4763">
        <v>-3.193085</v>
      </c>
      <c r="V4763">
        <v>-3.2222550000000003E-2</v>
      </c>
      <c r="W4763">
        <v>0.1506313</v>
      </c>
      <c r="X4763">
        <v>0.98806479999999997</v>
      </c>
      <c r="Y4763">
        <v>4.8827099999999998E-2</v>
      </c>
      <c r="Z4763">
        <v>0.33175959999999899</v>
      </c>
      <c r="AA4763">
        <v>0.94209949999999998</v>
      </c>
      <c r="AB4763">
        <v>34</v>
      </c>
      <c r="AC4763">
        <v>-5.6700000000034799E-2</v>
      </c>
      <c r="AD4763">
        <v>-0.28933829999999999</v>
      </c>
      <c r="AE4763">
        <v>-0.45800000000001201</v>
      </c>
      <c r="AF4763">
        <v>3.0653583153184501E-2</v>
      </c>
      <c r="AG4763">
        <v>-0.28933829999999999</v>
      </c>
      <c r="AH4763">
        <v>0.32985768000100701</v>
      </c>
      <c r="AI4763">
        <v>131.13389222876901</v>
      </c>
      <c r="AJ4763">
        <v>84.690767380391193</v>
      </c>
      <c r="AK4763">
        <v>0.439843589316322</v>
      </c>
      <c r="AL4763">
        <v>81.336487489681701</v>
      </c>
      <c r="AM4763">
        <v>91.8678552627226</v>
      </c>
      <c r="AN4763">
        <v>1.0000000651336101</v>
      </c>
    </row>
    <row r="4764" spans="1:40" x14ac:dyDescent="0.25">
      <c r="A4764" t="str">
        <f>"20190303162916376"</f>
        <v>20190303162916376</v>
      </c>
      <c r="B4764" t="str">
        <f>"1551601756366407"</f>
        <v>1551601756366407</v>
      </c>
      <c r="C4764" t="s">
        <v>40</v>
      </c>
      <c r="D4764">
        <v>5.047752</v>
      </c>
      <c r="E4764">
        <v>0.53686469999999997</v>
      </c>
      <c r="F4764" t="s">
        <v>44</v>
      </c>
      <c r="G4764">
        <v>-421.39019999999999</v>
      </c>
      <c r="H4764">
        <v>0.84357130000000002</v>
      </c>
      <c r="I4764">
        <v>103.9088</v>
      </c>
      <c r="J4764">
        <v>-421.33589999999998</v>
      </c>
      <c r="K4764">
        <v>1.120989</v>
      </c>
      <c r="L4764">
        <v>104.3479</v>
      </c>
      <c r="M4764">
        <v>-3.0608590000000001E-2</v>
      </c>
      <c r="N4764">
        <v>-1.228811E-2</v>
      </c>
      <c r="O4764">
        <v>-0.99945620000000002</v>
      </c>
      <c r="P4764">
        <v>-3.7036339999999999E-4</v>
      </c>
      <c r="Q4764">
        <v>0.13838800000000001</v>
      </c>
      <c r="R4764">
        <v>-0.9903786</v>
      </c>
      <c r="S4764">
        <v>-0.26910400000000001</v>
      </c>
      <c r="T4764">
        <v>-1.1620090000000001</v>
      </c>
      <c r="U4764">
        <v>-3.1922000000000001</v>
      </c>
      <c r="V4764">
        <v>-2.990292E-2</v>
      </c>
      <c r="W4764">
        <v>0.1505502</v>
      </c>
      <c r="X4764">
        <v>0.98814999999999997</v>
      </c>
      <c r="Y4764">
        <v>4.86481E-2</v>
      </c>
      <c r="Z4764">
        <v>0.32953769999999999</v>
      </c>
      <c r="AA4764">
        <v>0.94288830000000001</v>
      </c>
      <c r="AB4764">
        <v>34</v>
      </c>
      <c r="AC4764">
        <v>-5.4300000000011998E-2</v>
      </c>
      <c r="AD4764">
        <v>-0.27741769999999999</v>
      </c>
      <c r="AE4764">
        <v>-0.43909999999999599</v>
      </c>
      <c r="AF4764">
        <v>2.9310211319713401E-2</v>
      </c>
      <c r="AG4764">
        <v>-0.27741769999999999</v>
      </c>
      <c r="AH4764">
        <v>0.31623203833695601</v>
      </c>
      <c r="AI4764">
        <v>131.137730639978</v>
      </c>
      <c r="AJ4764">
        <v>84.7046253070543</v>
      </c>
      <c r="AK4764">
        <v>0.42168989889685798</v>
      </c>
      <c r="AL4764">
        <v>81.3411870784212</v>
      </c>
      <c r="AM4764">
        <v>91.733328345525294</v>
      </c>
      <c r="AN4764">
        <v>0.99999998492228304</v>
      </c>
    </row>
    <row r="4765" spans="1:40" x14ac:dyDescent="0.25">
      <c r="A4765" t="str">
        <f>"20190303162916412"</f>
        <v>20190303162916412</v>
      </c>
      <c r="B4765" t="str">
        <f>"1551601756406422"</f>
        <v>1551601756406422</v>
      </c>
      <c r="C4765" t="s">
        <v>40</v>
      </c>
      <c r="D4765">
        <v>4.9750290000000001</v>
      </c>
      <c r="E4765">
        <v>0.53753859999999998</v>
      </c>
      <c r="F4765" t="s">
        <v>44</v>
      </c>
      <c r="G4765">
        <v>-421.39929999999998</v>
      </c>
      <c r="H4765">
        <v>0.85191130000000004</v>
      </c>
      <c r="I4765">
        <v>103.6061</v>
      </c>
      <c r="J4765">
        <v>-421.34629999999999</v>
      </c>
      <c r="K4765">
        <v>1.12097</v>
      </c>
      <c r="L4765">
        <v>104.01349999999999</v>
      </c>
      <c r="M4765">
        <v>-3.0748689999999999E-2</v>
      </c>
      <c r="N4765">
        <v>-1.2287340000000001E-2</v>
      </c>
      <c r="O4765">
        <v>-0.9994516</v>
      </c>
      <c r="P4765">
        <v>-3.8315620000000002E-3</v>
      </c>
      <c r="Q4765">
        <v>0.1366724</v>
      </c>
      <c r="R4765">
        <v>-0.99060899999999996</v>
      </c>
      <c r="S4765">
        <v>-0.27212520000000001</v>
      </c>
      <c r="T4765">
        <v>-1.157281</v>
      </c>
      <c r="U4765">
        <v>-3.1907350000000001</v>
      </c>
      <c r="V4765">
        <v>-2.6585029999999999E-2</v>
      </c>
      <c r="W4765">
        <v>0.14883829999999901</v>
      </c>
      <c r="X4765">
        <v>0.9885041</v>
      </c>
      <c r="Y4765">
        <v>4.946234E-2</v>
      </c>
      <c r="Z4765">
        <v>0.32842359999999998</v>
      </c>
      <c r="AA4765">
        <v>0.94323460000000003</v>
      </c>
      <c r="AB4765">
        <v>33</v>
      </c>
      <c r="AC4765">
        <v>-5.2999999999997202E-2</v>
      </c>
      <c r="AD4765">
        <v>-0.26905869999999898</v>
      </c>
      <c r="AE4765">
        <v>-0.40739999999999499</v>
      </c>
      <c r="AF4765">
        <v>2.8306226139031301E-2</v>
      </c>
      <c r="AG4765">
        <v>-0.26905869999999898</v>
      </c>
      <c r="AH4765">
        <v>0.286118727900882</v>
      </c>
      <c r="AI4765">
        <v>133.10068459025501</v>
      </c>
      <c r="AJ4765">
        <v>84.350013527873003</v>
      </c>
      <c r="AK4765">
        <v>0.39377373317622699</v>
      </c>
      <c r="AL4765">
        <v>81.440389471368206</v>
      </c>
      <c r="AM4765">
        <v>91.540552974461804</v>
      </c>
      <c r="AN4765">
        <v>0.99999997954190001</v>
      </c>
    </row>
    <row r="4766" spans="1:40" x14ac:dyDescent="0.25">
      <c r="A4766" t="str">
        <f>"20190303162916426"</f>
        <v>20190303162916426</v>
      </c>
      <c r="B4766" t="str">
        <f>"1551601756416182"</f>
        <v>1551601756416182</v>
      </c>
      <c r="C4766" t="s">
        <v>40</v>
      </c>
      <c r="D4766">
        <v>4.9436169999999997</v>
      </c>
      <c r="E4766">
        <v>0.53762739999999998</v>
      </c>
      <c r="F4766" t="s">
        <v>44</v>
      </c>
      <c r="G4766">
        <v>-421.4092</v>
      </c>
      <c r="H4766">
        <v>0.86418909999999904</v>
      </c>
      <c r="I4766">
        <v>103.3017</v>
      </c>
      <c r="J4766">
        <v>-421.35939999999999</v>
      </c>
      <c r="K4766">
        <v>1.120922</v>
      </c>
      <c r="L4766">
        <v>103.5968</v>
      </c>
      <c r="M4766">
        <v>-3.0997009999999998E-2</v>
      </c>
      <c r="N4766">
        <v>-1.228662E-2</v>
      </c>
      <c r="O4766">
        <v>-0.999444</v>
      </c>
      <c r="P4766">
        <v>-4.7408720000000001E-3</v>
      </c>
      <c r="Q4766">
        <v>0.13584170000000001</v>
      </c>
      <c r="R4766">
        <v>-0.99071949999999998</v>
      </c>
      <c r="S4766">
        <v>-0.2817383</v>
      </c>
      <c r="T4766">
        <v>-1.14924</v>
      </c>
      <c r="U4766">
        <v>-3.1859130000000002</v>
      </c>
      <c r="V4766">
        <v>-2.591094E-2</v>
      </c>
      <c r="W4766">
        <v>0.1480107</v>
      </c>
      <c r="X4766">
        <v>0.98864629999999998</v>
      </c>
      <c r="Y4766">
        <v>5.2206339999999997E-2</v>
      </c>
      <c r="Z4766">
        <v>0.32671159999999999</v>
      </c>
      <c r="AA4766">
        <v>0.94368110000000005</v>
      </c>
      <c r="AB4766">
        <v>33</v>
      </c>
      <c r="AC4766">
        <v>-4.9800000000004702E-2</v>
      </c>
      <c r="AD4766">
        <v>-0.25673289999999999</v>
      </c>
      <c r="AE4766">
        <v>-0.29510000000000403</v>
      </c>
      <c r="AF4766">
        <v>2.3404424859385001E-2</v>
      </c>
      <c r="AG4766">
        <v>-0.25673289999999999</v>
      </c>
      <c r="AH4766">
        <v>0.17080413460993599</v>
      </c>
      <c r="AI4766">
        <v>146.11801951814499</v>
      </c>
      <c r="AJ4766">
        <v>82.197639547794296</v>
      </c>
      <c r="AK4766">
        <v>0.30924682932126801</v>
      </c>
      <c r="AL4766">
        <v>81.488338949898804</v>
      </c>
      <c r="AM4766">
        <v>91.501292961176901</v>
      </c>
      <c r="AN4766">
        <v>1.0000000253149299</v>
      </c>
    </row>
    <row r="4767" spans="1:40" x14ac:dyDescent="0.25">
      <c r="A4767" t="str">
        <f>"20190303162916444"</f>
        <v>20190303162916444</v>
      </c>
      <c r="B4767" t="str">
        <f>"1551601756436678"</f>
        <v>1551601756436678</v>
      </c>
      <c r="C4767" t="s">
        <v>40</v>
      </c>
      <c r="D4767">
        <v>4.8793230000000003</v>
      </c>
      <c r="E4767">
        <v>0.53782549999999996</v>
      </c>
      <c r="F4767" t="s">
        <v>44</v>
      </c>
      <c r="G4767">
        <v>-421.4384</v>
      </c>
      <c r="H4767">
        <v>0.80724980000000002</v>
      </c>
      <c r="I4767">
        <v>102.7259</v>
      </c>
      <c r="J4767">
        <v>-421.36790000000002</v>
      </c>
      <c r="K4767">
        <v>1.120886</v>
      </c>
      <c r="L4767">
        <v>103.3292</v>
      </c>
      <c r="M4767">
        <v>-3.122053E-2</v>
      </c>
      <c r="N4767">
        <v>-1.22863E-2</v>
      </c>
      <c r="O4767">
        <v>-0.99943720000000003</v>
      </c>
      <c r="P4767">
        <v>-5.2183439999999998E-3</v>
      </c>
      <c r="Q4767">
        <v>0.13618160000000001</v>
      </c>
      <c r="R4767">
        <v>-0.99067070000000002</v>
      </c>
      <c r="S4767">
        <v>-0.28836060000000002</v>
      </c>
      <c r="T4767">
        <v>-1.146706</v>
      </c>
      <c r="U4767">
        <v>-3.1839599999999999</v>
      </c>
      <c r="V4767">
        <v>-2.5636659999999999E-2</v>
      </c>
      <c r="W4767">
        <v>0.14835309999999999</v>
      </c>
      <c r="X4767">
        <v>0.98860210000000004</v>
      </c>
      <c r="Y4767">
        <v>5.3993430000000002E-2</v>
      </c>
      <c r="Z4767">
        <v>0.32618560000000002</v>
      </c>
      <c r="AA4767">
        <v>0.94376249999999995</v>
      </c>
      <c r="AB4767">
        <v>33</v>
      </c>
      <c r="AC4767">
        <v>-7.04999999999813E-2</v>
      </c>
      <c r="AD4767">
        <v>-0.31363619999999998</v>
      </c>
      <c r="AE4767">
        <v>-0.60330000000000406</v>
      </c>
      <c r="AF4767">
        <v>4.0761080412832398E-2</v>
      </c>
      <c r="AG4767">
        <v>-0.31363619999999998</v>
      </c>
      <c r="AH4767">
        <v>0.47781206852952901</v>
      </c>
      <c r="AI4767">
        <v>123.185699689449</v>
      </c>
      <c r="AJ4767">
        <v>85.124030299687306</v>
      </c>
      <c r="AK4767">
        <v>0.57300393057930099</v>
      </c>
      <c r="AL4767">
        <v>81.468501627758002</v>
      </c>
      <c r="AM4767">
        <v>91.485474579523498</v>
      </c>
      <c r="AN4767">
        <v>0.99999999636998704</v>
      </c>
    </row>
    <row r="4768" spans="1:40" x14ac:dyDescent="0.25">
      <c r="A4768" t="str">
        <f>"20190303162916460"</f>
        <v>20190303162916460</v>
      </c>
      <c r="B4768" t="str">
        <f>"1551601756456198"</f>
        <v>1551601756456198</v>
      </c>
      <c r="C4768" t="s">
        <v>40</v>
      </c>
      <c r="D4768">
        <v>5.1182109999999996</v>
      </c>
      <c r="E4768">
        <v>0.5379273</v>
      </c>
      <c r="F4768" t="s">
        <v>44</v>
      </c>
      <c r="G4768">
        <v>-421.45150000000001</v>
      </c>
      <c r="H4768">
        <v>0.79986420000000003</v>
      </c>
      <c r="I4768">
        <v>102.4295</v>
      </c>
      <c r="J4768">
        <v>-421.37549999999999</v>
      </c>
      <c r="K4768">
        <v>1.120841</v>
      </c>
      <c r="L4768">
        <v>103.0916</v>
      </c>
      <c r="M4768">
        <v>-3.1463310000000001E-2</v>
      </c>
      <c r="N4768">
        <v>-1.2286149999999999E-2</v>
      </c>
      <c r="O4768">
        <v>-0.99942960000000003</v>
      </c>
      <c r="P4768">
        <v>-5.2205400000000001E-3</v>
      </c>
      <c r="Q4768">
        <v>0.13712170000000001</v>
      </c>
      <c r="R4768">
        <v>-0.99054089999999995</v>
      </c>
      <c r="S4768">
        <v>-0.2944946</v>
      </c>
      <c r="T4768">
        <v>-1.1355820000000001</v>
      </c>
      <c r="U4768">
        <v>-3.1827999999999999</v>
      </c>
      <c r="V4768">
        <v>-2.585262E-2</v>
      </c>
      <c r="W4768">
        <v>0.14929429999999999</v>
      </c>
      <c r="X4768">
        <v>0.98845479999999997</v>
      </c>
      <c r="Y4768">
        <v>5.567333E-2</v>
      </c>
      <c r="Z4768">
        <v>0.32333000000000001</v>
      </c>
      <c r="AA4768">
        <v>0.94464709999999996</v>
      </c>
      <c r="AB4768">
        <v>33</v>
      </c>
      <c r="AC4768">
        <v>-7.60000000000218E-2</v>
      </c>
      <c r="AD4768">
        <v>-0.32097679999999901</v>
      </c>
      <c r="AE4768">
        <v>-0.66209999999999503</v>
      </c>
      <c r="AF4768">
        <v>4.4748928471247902E-2</v>
      </c>
      <c r="AG4768">
        <v>-0.32097679999999901</v>
      </c>
      <c r="AH4768">
        <v>0.53911078171103799</v>
      </c>
      <c r="AI4768">
        <v>120.682410125556</v>
      </c>
      <c r="AJ4768">
        <v>85.255037177155799</v>
      </c>
      <c r="AK4768">
        <v>0.62902226327424304</v>
      </c>
      <c r="AL4768">
        <v>81.413967726225195</v>
      </c>
      <c r="AM4768">
        <v>91.498205481108002</v>
      </c>
      <c r="AN4768">
        <v>1.0000000188081899</v>
      </c>
    </row>
    <row r="4769" spans="1:40" x14ac:dyDescent="0.25">
      <c r="A4769" t="str">
        <f>"20190303162916477"</f>
        <v>20190303162916477</v>
      </c>
      <c r="B4769" t="str">
        <f>"1551601756466935"</f>
        <v>1551601756466935</v>
      </c>
      <c r="C4769" t="s">
        <v>40</v>
      </c>
      <c r="D4769">
        <v>4.826155</v>
      </c>
      <c r="E4769">
        <v>0.52871169999999901</v>
      </c>
      <c r="F4769" t="s">
        <v>44</v>
      </c>
      <c r="G4769">
        <v>-421.44060000000002</v>
      </c>
      <c r="H4769">
        <v>0.87493109999999996</v>
      </c>
      <c r="I4769">
        <v>102.39919999999999</v>
      </c>
      <c r="J4769">
        <v>-421.38369999999998</v>
      </c>
      <c r="K4769">
        <v>1.120787</v>
      </c>
      <c r="L4769">
        <v>102.8391</v>
      </c>
      <c r="M4769">
        <v>-3.1793519999999999E-2</v>
      </c>
      <c r="N4769">
        <v>-1.2286139999999999E-2</v>
      </c>
      <c r="O4769">
        <v>-0.9994189</v>
      </c>
      <c r="P4769">
        <v>-4.3551060000000001E-3</v>
      </c>
      <c r="Q4769">
        <v>0.13905439999999999</v>
      </c>
      <c r="R4769">
        <v>-0.99027509999999996</v>
      </c>
      <c r="S4769">
        <v>-0.29779050000000001</v>
      </c>
      <c r="T4769">
        <v>-1.1305320000000001</v>
      </c>
      <c r="U4769">
        <v>-3.1835939999999998</v>
      </c>
      <c r="V4769">
        <v>-2.7010650000000001E-2</v>
      </c>
      <c r="W4769">
        <v>0.15122849999999999</v>
      </c>
      <c r="X4769">
        <v>0.9881297</v>
      </c>
      <c r="Y4769">
        <v>5.6335929999999999E-2</v>
      </c>
      <c r="Z4769">
        <v>0.32190269999999999</v>
      </c>
      <c r="AA4769">
        <v>0.94509520000000002</v>
      </c>
      <c r="AB4769">
        <v>33</v>
      </c>
      <c r="AC4769">
        <v>-5.6900000000041397E-2</v>
      </c>
      <c r="AD4769">
        <v>-0.24585589999999999</v>
      </c>
      <c r="AE4769">
        <v>-0.43990000000000801</v>
      </c>
      <c r="AF4769">
        <v>3.2805689720122398E-2</v>
      </c>
      <c r="AG4769">
        <v>-0.24585589999999999</v>
      </c>
      <c r="AH4769">
        <v>0.337729894245203</v>
      </c>
      <c r="AI4769">
        <v>125.925428192708</v>
      </c>
      <c r="AJ4769">
        <v>84.451929857893205</v>
      </c>
      <c r="AK4769">
        <v>0.41902603536021299</v>
      </c>
      <c r="AL4769">
        <v>81.301873094497395</v>
      </c>
      <c r="AM4769">
        <v>91.565797445699701</v>
      </c>
      <c r="AN4769">
        <v>0.99999996922388001</v>
      </c>
    </row>
    <row r="4770" spans="1:40" x14ac:dyDescent="0.25">
      <c r="A4770" t="str">
        <f>"20190303162916501"</f>
        <v>20190303162916501</v>
      </c>
      <c r="B4770" t="str">
        <f>"1551601756486455"</f>
        <v>1551601756486455</v>
      </c>
      <c r="C4770" t="s">
        <v>40</v>
      </c>
      <c r="D4770">
        <v>4.9836070000000001</v>
      </c>
      <c r="E4770">
        <v>0.48756450000000001</v>
      </c>
      <c r="F4770" t="s">
        <v>44</v>
      </c>
      <c r="G4770">
        <v>-421.4402</v>
      </c>
      <c r="H4770">
        <v>0.93688289999999996</v>
      </c>
      <c r="I4770">
        <v>102.0714</v>
      </c>
      <c r="J4770">
        <v>-421.39550000000003</v>
      </c>
      <c r="K4770">
        <v>1.120662</v>
      </c>
      <c r="L4770">
        <v>102.48699999999999</v>
      </c>
      <c r="M4770">
        <v>-3.2425580000000002E-2</v>
      </c>
      <c r="N4770">
        <v>-1.228653E-2</v>
      </c>
      <c r="O4770">
        <v>-0.99939889999999998</v>
      </c>
      <c r="P4770">
        <v>-2.917663E-3</v>
      </c>
      <c r="Q4770">
        <v>0.14033419999999999</v>
      </c>
      <c r="R4770">
        <v>-0.99010030000000004</v>
      </c>
      <c r="S4770">
        <v>-0.22940060000000001</v>
      </c>
      <c r="T4770">
        <v>-0.7506526</v>
      </c>
      <c r="U4770">
        <v>-3.1338499999999998</v>
      </c>
      <c r="V4770">
        <v>-2.9019530000000002E-2</v>
      </c>
      <c r="W4770">
        <v>0.15251609999999999</v>
      </c>
      <c r="X4770">
        <v>0.9878749</v>
      </c>
      <c r="Y4770">
        <v>3.8767620000000003E-2</v>
      </c>
      <c r="Z4770">
        <v>0.2204284</v>
      </c>
      <c r="AA4770">
        <v>0.97463239999999995</v>
      </c>
      <c r="AB4770">
        <v>33</v>
      </c>
      <c r="AC4770">
        <v>-4.4699999999977501E-2</v>
      </c>
      <c r="AD4770">
        <v>-0.1837791</v>
      </c>
      <c r="AE4770">
        <v>-0.41560000000001202</v>
      </c>
      <c r="AF4770">
        <v>2.61453461694224E-2</v>
      </c>
      <c r="AG4770">
        <v>-0.1837791</v>
      </c>
      <c r="AH4770">
        <v>0.34930759710244802</v>
      </c>
      <c r="AI4770">
        <v>117.684035773836</v>
      </c>
      <c r="AJ4770">
        <v>85.719446475929999</v>
      </c>
      <c r="AK4770">
        <v>0.39556811564712202</v>
      </c>
      <c r="AL4770">
        <v>81.227233994627596</v>
      </c>
      <c r="AM4770">
        <v>91.682620516958394</v>
      </c>
      <c r="AN4770">
        <v>1.0000000559653099</v>
      </c>
    </row>
    <row r="4771" spans="1:40" x14ac:dyDescent="0.25">
      <c r="A4771" t="str">
        <f>"20190303162916523"</f>
        <v>20190303162916523</v>
      </c>
      <c r="B4771" t="str">
        <f>"1551601756516711"</f>
        <v>1551601756516711</v>
      </c>
      <c r="C4771" t="s">
        <v>40</v>
      </c>
      <c r="D4771">
        <v>4.8454389999999998</v>
      </c>
      <c r="E4771">
        <v>0.48125689999999999</v>
      </c>
      <c r="F4771" t="s">
        <v>41</v>
      </c>
      <c r="G4771">
        <v>-420.56849999999997</v>
      </c>
      <c r="H4771" s="1">
        <v>-2.886492E-6</v>
      </c>
      <c r="I4771">
        <v>75.96499</v>
      </c>
      <c r="J4771">
        <v>-421.40719999999999</v>
      </c>
      <c r="K4771">
        <v>1.1205020000000001</v>
      </c>
      <c r="L4771">
        <v>102.1506</v>
      </c>
      <c r="M4771">
        <v>-3.3265759999999998E-2</v>
      </c>
      <c r="N4771">
        <v>-1.228803E-2</v>
      </c>
      <c r="O4771">
        <v>-0.99937100000000001</v>
      </c>
      <c r="P4771">
        <v>-2.8992770000000001E-4</v>
      </c>
      <c r="Q4771">
        <v>0.140021799999999</v>
      </c>
      <c r="R4771">
        <v>-0.99014829999999998</v>
      </c>
      <c r="S4771">
        <v>9.5062259999999996E-2</v>
      </c>
      <c r="T4771">
        <v>-0.12881409999999999</v>
      </c>
      <c r="U4771">
        <v>-3.0485530000000001</v>
      </c>
      <c r="V4771">
        <v>-3.2419509999999999E-2</v>
      </c>
      <c r="W4771">
        <v>0.15222160000000001</v>
      </c>
      <c r="X4771">
        <v>0.98781450000000004</v>
      </c>
      <c r="Y4771">
        <v>-6.4366969999999996E-2</v>
      </c>
      <c r="Z4771">
        <v>2.9840829999999999E-2</v>
      </c>
      <c r="AA4771">
        <v>0.99748000000000003</v>
      </c>
      <c r="AB4771">
        <v>33</v>
      </c>
      <c r="AC4771">
        <v>0.83870000000001699</v>
      </c>
      <c r="AD4771">
        <v>-1.120504886492</v>
      </c>
      <c r="AE4771">
        <v>-26.18561</v>
      </c>
      <c r="AF4771">
        <v>-1.7062646654961799</v>
      </c>
      <c r="AG4771">
        <v>-1.120504886492</v>
      </c>
      <c r="AH4771">
        <v>26.0954796903704</v>
      </c>
      <c r="AI4771">
        <v>92.453461016110595</v>
      </c>
      <c r="AJ4771">
        <v>93.740985129301706</v>
      </c>
      <c r="AK4771">
        <v>26.175196858474798</v>
      </c>
      <c r="AL4771">
        <v>81.244306131796293</v>
      </c>
      <c r="AM4771">
        <v>91.879740187474297</v>
      </c>
      <c r="AN4771">
        <v>0.999999963272724</v>
      </c>
    </row>
    <row r="4772" spans="1:40" x14ac:dyDescent="0.25">
      <c r="A4772" t="str">
        <f>"20190303162916545"</f>
        <v>20190303162916545</v>
      </c>
      <c r="B4772" t="str">
        <f>"1551601756536230"</f>
        <v>1551601756536230</v>
      </c>
      <c r="C4772" t="s">
        <v>40</v>
      </c>
      <c r="D4772">
        <v>4.725676</v>
      </c>
      <c r="E4772">
        <v>0.48089690000000002</v>
      </c>
      <c r="F4772" t="s">
        <v>59</v>
      </c>
      <c r="G4772">
        <v>-416.39729999999997</v>
      </c>
      <c r="H4772">
        <v>0.80491420000000002</v>
      </c>
      <c r="I4772">
        <v>1.2758560000000001</v>
      </c>
      <c r="J4772">
        <v>-421.41890000000001</v>
      </c>
      <c r="K4772">
        <v>1.120323</v>
      </c>
      <c r="L4772">
        <v>101.8302</v>
      </c>
      <c r="M4772">
        <v>-3.4305599999999999E-2</v>
      </c>
      <c r="N4772">
        <v>-1.229076E-2</v>
      </c>
      <c r="O4772">
        <v>-0.99933609999999995</v>
      </c>
      <c r="P4772">
        <v>2.6253259999999999E-3</v>
      </c>
      <c r="Q4772">
        <v>0.14108409999999999</v>
      </c>
      <c r="R4772">
        <v>-0.98999459999999995</v>
      </c>
      <c r="S4772">
        <v>0.15054319999999999</v>
      </c>
      <c r="T4772">
        <v>-9.4840529999999992E-3</v>
      </c>
      <c r="U4772">
        <v>-3.03125</v>
      </c>
      <c r="V4772">
        <v>-3.6288250000000001E-2</v>
      </c>
      <c r="W4772">
        <v>0.15330450000000001</v>
      </c>
      <c r="X4772">
        <v>0.98751250000000002</v>
      </c>
      <c r="Y4772">
        <v>-8.3829340000000002E-2</v>
      </c>
      <c r="Z4772">
        <v>-9.1828510000000006E-3</v>
      </c>
      <c r="AA4772">
        <v>0.99643780000000004</v>
      </c>
      <c r="AB4772">
        <v>33</v>
      </c>
      <c r="AC4772">
        <v>5.0216000000000296</v>
      </c>
      <c r="AD4772">
        <v>-0.31540879999999899</v>
      </c>
      <c r="AE4772">
        <v>-100.554344</v>
      </c>
      <c r="AF4772">
        <v>-8.4683973647721906</v>
      </c>
      <c r="AG4772">
        <v>-0.31540879999999899</v>
      </c>
      <c r="AH4772">
        <v>100.321881199514</v>
      </c>
      <c r="AI4772">
        <v>90.179497154896595</v>
      </c>
      <c r="AJ4772">
        <v>94.825028165712595</v>
      </c>
      <c r="AK4772">
        <v>100.67915913458999</v>
      </c>
      <c r="AL4772">
        <v>81.181524162718503</v>
      </c>
      <c r="AM4772">
        <v>92.104508511220402</v>
      </c>
      <c r="AN4772">
        <v>1.00000002223228</v>
      </c>
    </row>
    <row r="4773" spans="1:40" x14ac:dyDescent="0.25">
      <c r="A4773" t="str">
        <f>"20190303162916567"</f>
        <v>20190303162916567</v>
      </c>
      <c r="B4773" t="str">
        <f>"1551601756556727"</f>
        <v>1551601756556727</v>
      </c>
      <c r="C4773" t="s">
        <v>40</v>
      </c>
      <c r="D4773">
        <v>4.87845</v>
      </c>
      <c r="E4773">
        <v>0.48118309999999997</v>
      </c>
      <c r="F4773" t="s">
        <v>59</v>
      </c>
      <c r="G4773">
        <v>-416.0806</v>
      </c>
      <c r="H4773">
        <v>0.9601035</v>
      </c>
      <c r="I4773">
        <v>1.277107</v>
      </c>
      <c r="J4773">
        <v>-421.43150000000003</v>
      </c>
      <c r="K4773">
        <v>1.120134</v>
      </c>
      <c r="L4773">
        <v>101.4966</v>
      </c>
      <c r="M4773">
        <v>-3.5611869999999997E-2</v>
      </c>
      <c r="N4773">
        <v>-1.2294279999999999E-2</v>
      </c>
      <c r="O4773">
        <v>-0.99929020000000002</v>
      </c>
      <c r="P4773">
        <v>5.4750160000000001E-3</v>
      </c>
      <c r="Q4773">
        <v>0.1434385</v>
      </c>
      <c r="R4773">
        <v>-0.98964419999999997</v>
      </c>
      <c r="S4773">
        <v>0.1608887</v>
      </c>
      <c r="T4773">
        <v>-4.8296449999999996E-3</v>
      </c>
      <c r="U4773">
        <v>-3.0305789999999999</v>
      </c>
      <c r="V4773">
        <v>-4.0338800000000001E-2</v>
      </c>
      <c r="W4773">
        <v>0.15568309999999999</v>
      </c>
      <c r="X4773">
        <v>0.9869831</v>
      </c>
      <c r="Y4773">
        <v>-8.8534039999999994E-2</v>
      </c>
      <c r="Z4773">
        <v>-1.0718139999999999E-2</v>
      </c>
      <c r="AA4773">
        <v>0.99601550000000005</v>
      </c>
      <c r="AB4773">
        <v>33</v>
      </c>
      <c r="AC4773">
        <v>5.3509000000000198</v>
      </c>
      <c r="AD4773">
        <v>-0.16003049999999899</v>
      </c>
      <c r="AE4773">
        <v>-100.219493</v>
      </c>
      <c r="AF4773">
        <v>-8.9167555720301692</v>
      </c>
      <c r="AG4773">
        <v>-0.16003049999999899</v>
      </c>
      <c r="AH4773">
        <v>99.965089700000703</v>
      </c>
      <c r="AI4773">
        <v>90.091359937024606</v>
      </c>
      <c r="AJ4773">
        <v>95.0972188232235</v>
      </c>
      <c r="AK4773">
        <v>100.362110870693</v>
      </c>
      <c r="AL4773">
        <v>81.043584437328803</v>
      </c>
      <c r="AM4773">
        <v>92.340422405330798</v>
      </c>
      <c r="AN4773">
        <v>1.00000004304832</v>
      </c>
    </row>
    <row r="4774" spans="1:40" x14ac:dyDescent="0.25">
      <c r="A4774" t="str">
        <f>"20190303162916589"</f>
        <v>20190303162916589</v>
      </c>
      <c r="B4774" t="str">
        <f>"1551601756576247"</f>
        <v>1551601756576247</v>
      </c>
      <c r="C4774" t="s">
        <v>40</v>
      </c>
      <c r="D4774">
        <v>4.8671689999999996</v>
      </c>
      <c r="E4774">
        <v>0.4817941</v>
      </c>
      <c r="F4774" t="s">
        <v>59</v>
      </c>
      <c r="G4774">
        <v>-415.92349999999999</v>
      </c>
      <c r="H4774">
        <v>1.08385</v>
      </c>
      <c r="I4774">
        <v>1.2777270000000001</v>
      </c>
      <c r="J4774">
        <v>-421.44490000000002</v>
      </c>
      <c r="K4774">
        <v>1.119969</v>
      </c>
      <c r="L4774">
        <v>101.1627</v>
      </c>
      <c r="M4774">
        <v>-3.7102700000000002E-2</v>
      </c>
      <c r="N4774">
        <v>-1.229742E-2</v>
      </c>
      <c r="O4774">
        <v>-0.99923580000000001</v>
      </c>
      <c r="P4774">
        <v>7.6661790000000004E-3</v>
      </c>
      <c r="Q4774">
        <v>0.1453304</v>
      </c>
      <c r="R4774">
        <v>-0.9893537</v>
      </c>
      <c r="S4774">
        <v>0.16656489999999999</v>
      </c>
      <c r="T4774">
        <v>-1.0980370000000001E-3</v>
      </c>
      <c r="U4774">
        <v>-3.03064</v>
      </c>
      <c r="V4774">
        <v>-4.392298E-2</v>
      </c>
      <c r="W4774">
        <v>0.15759989999999999</v>
      </c>
      <c r="X4774">
        <v>0.98652580000000001</v>
      </c>
      <c r="Y4774">
        <v>-9.187824E-2</v>
      </c>
      <c r="Z4774">
        <v>-1.1949090000000001E-2</v>
      </c>
      <c r="AA4774">
        <v>0.99569859999999999</v>
      </c>
      <c r="AB4774">
        <v>33</v>
      </c>
      <c r="AC4774">
        <v>5.5214000000000203</v>
      </c>
      <c r="AD4774">
        <v>-3.6118999999999998E-2</v>
      </c>
      <c r="AE4774">
        <v>-99.884973000000002</v>
      </c>
      <c r="AF4774">
        <v>-9.2238789091790991</v>
      </c>
      <c r="AG4774">
        <v>-3.6118999999999998E-2</v>
      </c>
      <c r="AH4774">
        <v>99.611300251907707</v>
      </c>
      <c r="AI4774">
        <v>90.020686914786907</v>
      </c>
      <c r="AJ4774">
        <v>95.290429300189302</v>
      </c>
      <c r="AK4774">
        <v>100.037454908594</v>
      </c>
      <c r="AL4774">
        <v>80.932387314796699</v>
      </c>
      <c r="AM4774">
        <v>92.549290121537695</v>
      </c>
      <c r="AN4774">
        <v>1.0000000553588599</v>
      </c>
    </row>
    <row r="4775" spans="1:40" x14ac:dyDescent="0.25">
      <c r="A4775" t="str">
        <f>"20190303162916612"</f>
        <v>20190303162916612</v>
      </c>
      <c r="B4775" t="str">
        <f>"1551601756606502"</f>
        <v>1551601756606502</v>
      </c>
      <c r="C4775" t="s">
        <v>40</v>
      </c>
      <c r="D4775">
        <v>4.7033579999999997</v>
      </c>
      <c r="E4775">
        <v>0.48259600000000002</v>
      </c>
      <c r="F4775" t="s">
        <v>59</v>
      </c>
      <c r="G4775">
        <v>-415.89940000000001</v>
      </c>
      <c r="H4775">
        <v>1.2465919999999999</v>
      </c>
      <c r="I4775">
        <v>1.2778240000000001</v>
      </c>
      <c r="J4775">
        <v>-421.45920000000001</v>
      </c>
      <c r="K4775">
        <v>1.1198239999999999</v>
      </c>
      <c r="L4775">
        <v>100.8227</v>
      </c>
      <c r="M4775">
        <v>-3.8776600000000001E-2</v>
      </c>
      <c r="N4775">
        <v>-1.2299589999999999E-2</v>
      </c>
      <c r="O4775">
        <v>-0.99917239999999996</v>
      </c>
      <c r="P4775">
        <v>8.7961959999999992E-3</v>
      </c>
      <c r="Q4775">
        <v>0.1465272</v>
      </c>
      <c r="R4775">
        <v>-0.98916780000000004</v>
      </c>
      <c r="S4775">
        <v>0.16824339999999999</v>
      </c>
      <c r="T4775">
        <v>3.8408040000000002E-3</v>
      </c>
      <c r="U4775">
        <v>-3.0303960000000001</v>
      </c>
      <c r="V4775">
        <v>-4.6643370000000003E-2</v>
      </c>
      <c r="W4775">
        <v>0.15881890000000001</v>
      </c>
      <c r="X4775">
        <v>0.98620529999999995</v>
      </c>
      <c r="Y4775">
        <v>-9.409998E-2</v>
      </c>
      <c r="Z4775">
        <v>-1.3574940000000001E-2</v>
      </c>
      <c r="AA4775">
        <v>0.99547019999999997</v>
      </c>
      <c r="AB4775">
        <v>33</v>
      </c>
      <c r="AC4775">
        <v>5.5597999999999903</v>
      </c>
      <c r="AD4775">
        <v>0.12676799999999999</v>
      </c>
      <c r="AE4775">
        <v>-99.544876000000002</v>
      </c>
      <c r="AF4775">
        <v>-9.4159057382508795</v>
      </c>
      <c r="AG4775">
        <v>0.12676799999999999</v>
      </c>
      <c r="AH4775">
        <v>99.254230604292303</v>
      </c>
      <c r="AI4775">
        <v>89.927148667514899</v>
      </c>
      <c r="AJ4775">
        <v>95.419234274718093</v>
      </c>
      <c r="AK4775">
        <v>99.699938033318205</v>
      </c>
      <c r="AL4775">
        <v>80.861652116610102</v>
      </c>
      <c r="AM4775">
        <v>92.707831968074998</v>
      </c>
      <c r="AN4775">
        <v>0.999999970355128</v>
      </c>
    </row>
    <row r="4776" spans="1:40" x14ac:dyDescent="0.25">
      <c r="A4776" t="str">
        <f>"20190303162916633"</f>
        <v>20190303162916633</v>
      </c>
      <c r="B4776" t="str">
        <f>"1551601756626999"</f>
        <v>1551601756626999</v>
      </c>
      <c r="C4776" t="s">
        <v>40</v>
      </c>
      <c r="D4776">
        <v>4.8027350000000002</v>
      </c>
      <c r="E4776">
        <v>0.48300710000000002</v>
      </c>
      <c r="F4776" t="s">
        <v>59</v>
      </c>
      <c r="G4776">
        <v>-416.01010000000002</v>
      </c>
      <c r="H4776">
        <v>1.287725</v>
      </c>
      <c r="I4776">
        <v>1.2773840000000001</v>
      </c>
      <c r="J4776">
        <v>-421.47379999999998</v>
      </c>
      <c r="K4776">
        <v>1.119715</v>
      </c>
      <c r="L4776">
        <v>100.4896</v>
      </c>
      <c r="M4776">
        <v>-4.052733E-2</v>
      </c>
      <c r="N4776">
        <v>-1.2300820000000001E-2</v>
      </c>
      <c r="O4776">
        <v>-0.99910279999999996</v>
      </c>
      <c r="P4776">
        <v>9.177737E-3</v>
      </c>
      <c r="Q4776">
        <v>0.14751549999999999</v>
      </c>
      <c r="R4776">
        <v>-0.98901709999999998</v>
      </c>
      <c r="S4776">
        <v>0.1658936</v>
      </c>
      <c r="T4776">
        <v>5.1108600000000001E-3</v>
      </c>
      <c r="U4776">
        <v>-3.0306090000000001</v>
      </c>
      <c r="V4776">
        <v>-4.8706289999999999E-2</v>
      </c>
      <c r="W4776">
        <v>0.15982389999999999</v>
      </c>
      <c r="X4776">
        <v>0.98594320000000002</v>
      </c>
      <c r="Y4776">
        <v>-9.5070849999999998E-2</v>
      </c>
      <c r="Z4776">
        <v>-1.399357E-2</v>
      </c>
      <c r="AA4776">
        <v>0.99537220000000004</v>
      </c>
      <c r="AB4776">
        <v>33</v>
      </c>
      <c r="AC4776">
        <v>5.4636999999999496</v>
      </c>
      <c r="AD4776">
        <v>0.16800999999999999</v>
      </c>
      <c r="AE4776">
        <v>-99.212215999999998</v>
      </c>
      <c r="AF4776">
        <v>-9.4802934915246002</v>
      </c>
      <c r="AG4776">
        <v>0.16800999999999999</v>
      </c>
      <c r="AH4776">
        <v>98.908965226399502</v>
      </c>
      <c r="AI4776">
        <v>89.903119610777694</v>
      </c>
      <c r="AJ4776">
        <v>95.474999344100297</v>
      </c>
      <c r="AK4776">
        <v>99.362405336237003</v>
      </c>
      <c r="AL4776">
        <v>80.803324986292793</v>
      </c>
      <c r="AM4776">
        <v>92.828152808934306</v>
      </c>
      <c r="AN4776">
        <v>0.99999998766150699</v>
      </c>
    </row>
    <row r="4777" spans="1:40" x14ac:dyDescent="0.25">
      <c r="A4777" t="str">
        <f>"20190303162916656"</f>
        <v>20190303162916656</v>
      </c>
      <c r="B4777" t="str">
        <f>"1551601756646518"</f>
        <v>1551601756646518</v>
      </c>
      <c r="C4777" t="s">
        <v>40</v>
      </c>
      <c r="D4777">
        <v>4.6344649999999996</v>
      </c>
      <c r="E4777">
        <v>0.4835893</v>
      </c>
      <c r="F4777" t="s">
        <v>59</v>
      </c>
      <c r="G4777">
        <v>-416.07709999999997</v>
      </c>
      <c r="H4777">
        <v>1.351272</v>
      </c>
      <c r="I4777">
        <v>1.277121</v>
      </c>
      <c r="J4777">
        <v>-421.4889</v>
      </c>
      <c r="K4777">
        <v>1.119648</v>
      </c>
      <c r="L4777">
        <v>100.1619</v>
      </c>
      <c r="M4777">
        <v>-4.2313200000000002E-2</v>
      </c>
      <c r="N4777">
        <v>-1.2301640000000001E-2</v>
      </c>
      <c r="O4777">
        <v>-0.99902869999999999</v>
      </c>
      <c r="P4777">
        <v>8.1782109999999995E-3</v>
      </c>
      <c r="Q4777">
        <v>0.147705</v>
      </c>
      <c r="R4777">
        <v>-0.98899780000000004</v>
      </c>
      <c r="S4777">
        <v>0.164856</v>
      </c>
      <c r="T4777">
        <v>7.0728060000000001E-3</v>
      </c>
      <c r="U4777">
        <v>-3.0307309999999998</v>
      </c>
      <c r="V4777">
        <v>-4.9444170000000003E-2</v>
      </c>
      <c r="W4777">
        <v>0.16002439999999901</v>
      </c>
      <c r="X4777">
        <v>0.98587389999999997</v>
      </c>
      <c r="Y4777">
        <v>-9.6508040000000003E-2</v>
      </c>
      <c r="Z4777">
        <v>-1.4638979999999999E-2</v>
      </c>
      <c r="AA4777">
        <v>0.99522449999999996</v>
      </c>
      <c r="AB4777">
        <v>33</v>
      </c>
      <c r="AC4777">
        <v>5.4118000000000199</v>
      </c>
      <c r="AD4777">
        <v>0.231624</v>
      </c>
      <c r="AE4777">
        <v>-98.884778999999995</v>
      </c>
      <c r="AF4777">
        <v>-9.5913478576612192</v>
      </c>
      <c r="AG4777">
        <v>0.231624</v>
      </c>
      <c r="AH4777">
        <v>98.566656861830495</v>
      </c>
      <c r="AI4777">
        <v>89.865992563068403</v>
      </c>
      <c r="AJ4777">
        <v>95.5578532743761</v>
      </c>
      <c r="AK4777">
        <v>99.032486832967507</v>
      </c>
      <c r="AL4777">
        <v>80.791686961574399</v>
      </c>
      <c r="AM4777">
        <v>92.871128468183997</v>
      </c>
      <c r="AN4777">
        <v>0.99999994062177699</v>
      </c>
    </row>
    <row r="4778" spans="1:40" x14ac:dyDescent="0.25">
      <c r="A4778" t="str">
        <f>"20190303162916678"</f>
        <v>20190303162916678</v>
      </c>
      <c r="B4778" t="str">
        <f>"1551601756667016"</f>
        <v>1551601756667016</v>
      </c>
      <c r="C4778" t="s">
        <v>40</v>
      </c>
      <c r="D4778">
        <v>4.6415819999999997</v>
      </c>
      <c r="E4778">
        <v>0.48405429999999999</v>
      </c>
      <c r="F4778" t="s">
        <v>59</v>
      </c>
      <c r="G4778">
        <v>-416.30290000000002</v>
      </c>
      <c r="H4778">
        <v>1.305347</v>
      </c>
      <c r="I4778">
        <v>1.27623</v>
      </c>
      <c r="J4778">
        <v>-421.50470000000001</v>
      </c>
      <c r="K4778">
        <v>1.1196010000000001</v>
      </c>
      <c r="L4778">
        <v>99.830169999999995</v>
      </c>
      <c r="M4778">
        <v>-4.4141689999999997E-2</v>
      </c>
      <c r="N4778">
        <v>-1.2302199999999999E-2</v>
      </c>
      <c r="O4778">
        <v>-0.99894959999999999</v>
      </c>
      <c r="P4778">
        <v>6.9823230000000003E-3</v>
      </c>
      <c r="Q4778">
        <v>0.14756610000000001</v>
      </c>
      <c r="R4778">
        <v>-0.98902789999999996</v>
      </c>
      <c r="S4778">
        <v>0.1589661</v>
      </c>
      <c r="T4778">
        <v>5.6915280000000004E-3</v>
      </c>
      <c r="U4778">
        <v>-3.0311889999999999</v>
      </c>
      <c r="V4778">
        <v>-5.0041790000000003E-2</v>
      </c>
      <c r="W4778">
        <v>0.15989410000000001</v>
      </c>
      <c r="X4778">
        <v>0.98586490000000004</v>
      </c>
      <c r="Y4778">
        <v>-9.6393439999999997E-2</v>
      </c>
      <c r="Z4778">
        <v>-1.418553E-2</v>
      </c>
      <c r="AA4778">
        <v>0.99524219999999997</v>
      </c>
      <c r="AB4778">
        <v>33</v>
      </c>
      <c r="AC4778">
        <v>5.2017999999999898</v>
      </c>
      <c r="AD4778">
        <v>0.18574599999999999</v>
      </c>
      <c r="AE4778">
        <v>-98.553939999999997</v>
      </c>
      <c r="AF4778">
        <v>-9.5473615255367008</v>
      </c>
      <c r="AG4778">
        <v>0.18574599999999999</v>
      </c>
      <c r="AH4778">
        <v>98.227881468948993</v>
      </c>
      <c r="AI4778">
        <v>89.892163685640298</v>
      </c>
      <c r="AJ4778">
        <v>95.551485193150896</v>
      </c>
      <c r="AK4778">
        <v>98.690948478336693</v>
      </c>
      <c r="AL4778">
        <v>80.799250096798502</v>
      </c>
      <c r="AM4778">
        <v>92.905798481381396</v>
      </c>
      <c r="AN4778">
        <v>0.999999952506611</v>
      </c>
    </row>
    <row r="4779" spans="1:40" x14ac:dyDescent="0.25">
      <c r="A4779" t="str">
        <f>"20190303162916701"</f>
        <v>20190303162916701</v>
      </c>
      <c r="B4779" t="str">
        <f>"1551601756686535"</f>
        <v>1551601756686535</v>
      </c>
      <c r="C4779" t="s">
        <v>40</v>
      </c>
      <c r="D4779">
        <v>4.801558</v>
      </c>
      <c r="E4779">
        <v>0.48448940000000001</v>
      </c>
      <c r="F4779" t="s">
        <v>59</v>
      </c>
      <c r="G4779">
        <v>-416.55739999999997</v>
      </c>
      <c r="H4779">
        <v>1.1983220000000001</v>
      </c>
      <c r="I4779">
        <v>1.275223</v>
      </c>
      <c r="J4779">
        <v>-421.52190000000002</v>
      </c>
      <c r="K4779">
        <v>1.1195949999999999</v>
      </c>
      <c r="L4779">
        <v>99.483890000000002</v>
      </c>
      <c r="M4779">
        <v>-4.6029189999999998E-2</v>
      </c>
      <c r="N4779">
        <v>-1.230236E-2</v>
      </c>
      <c r="O4779">
        <v>-0.99886439999999999</v>
      </c>
      <c r="P4779">
        <v>7.1418710000000002E-3</v>
      </c>
      <c r="Q4779">
        <v>0.1489115</v>
      </c>
      <c r="R4779">
        <v>-0.9888247</v>
      </c>
      <c r="S4779">
        <v>0.1521912</v>
      </c>
      <c r="T4779">
        <v>2.4209019999999999E-3</v>
      </c>
      <c r="U4779">
        <v>-3.0318299999999998</v>
      </c>
      <c r="V4779">
        <v>-5.2045389999999997E-2</v>
      </c>
      <c r="W4779">
        <v>0.16124579999999999</v>
      </c>
      <c r="X4779">
        <v>0.985541</v>
      </c>
      <c r="Y4779">
        <v>-9.6045199999999997E-2</v>
      </c>
      <c r="Z4779">
        <v>-1.31114E-2</v>
      </c>
      <c r="AA4779">
        <v>0.99529060000000003</v>
      </c>
      <c r="AB4779">
        <v>33</v>
      </c>
      <c r="AC4779">
        <v>4.9645000000000401</v>
      </c>
      <c r="AD4779">
        <v>7.87269999999997E-2</v>
      </c>
      <c r="AE4779">
        <v>-98.208667000000005</v>
      </c>
      <c r="AF4779">
        <v>-9.4800384629569301</v>
      </c>
      <c r="AG4779">
        <v>7.87269999999997E-2</v>
      </c>
      <c r="AH4779">
        <v>97.875967474342801</v>
      </c>
      <c r="AI4779">
        <v>89.954128544204806</v>
      </c>
      <c r="AJ4779">
        <v>95.532278761679194</v>
      </c>
      <c r="AK4779">
        <v>98.334034475548094</v>
      </c>
      <c r="AL4779">
        <v>80.720785671249999</v>
      </c>
      <c r="AM4779">
        <v>93.022922216088801</v>
      </c>
      <c r="AN4779">
        <v>0.99999999665944606</v>
      </c>
    </row>
    <row r="4780" spans="1:40" x14ac:dyDescent="0.25">
      <c r="A4780" t="str">
        <f>"20190303162916725"</f>
        <v>20190303162916725</v>
      </c>
      <c r="B4780" t="str">
        <f>"1551601756716791"</f>
        <v>1551601756716791</v>
      </c>
      <c r="C4780" t="s">
        <v>40</v>
      </c>
      <c r="D4780">
        <v>4.6295929999999998</v>
      </c>
      <c r="E4780">
        <v>0.48485909999999899</v>
      </c>
      <c r="F4780" t="s">
        <v>59</v>
      </c>
      <c r="G4780">
        <v>-416.7011</v>
      </c>
      <c r="H4780">
        <v>1.2683629999999999</v>
      </c>
      <c r="I4780">
        <v>1.2746519999999999</v>
      </c>
      <c r="J4780">
        <v>-421.53960000000001</v>
      </c>
      <c r="K4780">
        <v>1.1196170000000001</v>
      </c>
      <c r="L4780">
        <v>99.138949999999994</v>
      </c>
      <c r="M4780">
        <v>-4.7849559999999999E-2</v>
      </c>
      <c r="N4780">
        <v>-1.230206E-2</v>
      </c>
      <c r="O4780">
        <v>-0.99877879999999997</v>
      </c>
      <c r="P4780">
        <v>7.7955400000000001E-3</v>
      </c>
      <c r="Q4780">
        <v>0.15269279999999999</v>
      </c>
      <c r="R4780">
        <v>-0.98824299999999998</v>
      </c>
      <c r="S4780">
        <v>0.1488342</v>
      </c>
      <c r="T4780">
        <v>4.5922990000000002E-3</v>
      </c>
      <c r="U4780">
        <v>-3.0321349999999998</v>
      </c>
      <c r="V4780">
        <v>-5.4459590000000002E-2</v>
      </c>
      <c r="W4780">
        <v>0.1650259</v>
      </c>
      <c r="X4780">
        <v>0.98478449999999995</v>
      </c>
      <c r="Y4780">
        <v>-9.6754980000000004E-2</v>
      </c>
      <c r="Z4780">
        <v>-1.382387E-2</v>
      </c>
      <c r="AA4780">
        <v>0.99521219999999999</v>
      </c>
      <c r="AB4780">
        <v>33</v>
      </c>
      <c r="AC4780">
        <v>4.8385000000000096</v>
      </c>
      <c r="AD4780">
        <v>0.14874599999999899</v>
      </c>
      <c r="AE4780">
        <v>-97.864298000000005</v>
      </c>
      <c r="AF4780">
        <v>-9.5160529456677292</v>
      </c>
      <c r="AG4780">
        <v>0.14874599999999899</v>
      </c>
      <c r="AH4780">
        <v>97.5204203796619</v>
      </c>
      <c r="AI4780">
        <v>89.913021049644399</v>
      </c>
      <c r="AJ4780">
        <v>95.573283551125797</v>
      </c>
      <c r="AK4780">
        <v>97.983722015767697</v>
      </c>
      <c r="AL4780">
        <v>80.501260494702606</v>
      </c>
      <c r="AM4780">
        <v>93.165291130273104</v>
      </c>
      <c r="AN4780">
        <v>0.99999995302701195</v>
      </c>
    </row>
    <row r="4781" spans="1:40" x14ac:dyDescent="0.25">
      <c r="A4781" t="str">
        <f>"20190303162916746"</f>
        <v>20190303162916746</v>
      </c>
      <c r="B4781" t="str">
        <f>"1551601756736294"</f>
        <v>1551601756736294</v>
      </c>
      <c r="C4781" t="s">
        <v>40</v>
      </c>
      <c r="D4781">
        <v>4.5639719999999997</v>
      </c>
      <c r="E4781">
        <v>0.48536249999999997</v>
      </c>
      <c r="F4781" t="s">
        <v>59</v>
      </c>
      <c r="G4781">
        <v>-416.79349999999999</v>
      </c>
      <c r="H4781">
        <v>1.5430950000000001</v>
      </c>
      <c r="I4781">
        <v>1.0300499999999999</v>
      </c>
      <c r="J4781">
        <v>-421.5564</v>
      </c>
      <c r="K4781">
        <v>1.1196699999999999</v>
      </c>
      <c r="L4781">
        <v>98.820589999999996</v>
      </c>
      <c r="M4781">
        <v>-4.9449649999999998E-2</v>
      </c>
      <c r="N4781">
        <v>-1.2301339999999999E-2</v>
      </c>
      <c r="O4781">
        <v>-0.99870099999999995</v>
      </c>
      <c r="P4781">
        <v>8.9168909999999997E-3</v>
      </c>
      <c r="Q4781">
        <v>0.1554094</v>
      </c>
      <c r="R4781">
        <v>-0.98780999999999997</v>
      </c>
      <c r="S4781">
        <v>0.146698</v>
      </c>
      <c r="T4781">
        <v>1.30887E-2</v>
      </c>
      <c r="U4781">
        <v>-3.0325009999999999</v>
      </c>
      <c r="V4781">
        <v>-5.7141860000000003E-2</v>
      </c>
      <c r="W4781">
        <v>0.16773929999999901</v>
      </c>
      <c r="X4781">
        <v>0.98417399999999999</v>
      </c>
      <c r="Y4781">
        <v>-9.7643779999999999E-2</v>
      </c>
      <c r="Z4781">
        <v>-1.6610969999999999E-2</v>
      </c>
      <c r="AA4781">
        <v>0.99508280000000005</v>
      </c>
      <c r="AB4781">
        <v>33</v>
      </c>
      <c r="AC4781">
        <v>4.7629000000000001</v>
      </c>
      <c r="AD4781">
        <v>0.423425</v>
      </c>
      <c r="AE4781">
        <v>-97.790539999999993</v>
      </c>
      <c r="AF4781">
        <v>-9.5929660684262892</v>
      </c>
      <c r="AG4781">
        <v>0.423425</v>
      </c>
      <c r="AH4781">
        <v>97.433522796367498</v>
      </c>
      <c r="AI4781">
        <v>89.752204625548501</v>
      </c>
      <c r="AJ4781">
        <v>95.623020807100204</v>
      </c>
      <c r="AK4781">
        <v>97.905544537737399</v>
      </c>
      <c r="AL4781">
        <v>80.343597507144395</v>
      </c>
      <c r="AM4781">
        <v>93.322904193324305</v>
      </c>
      <c r="AN4781">
        <v>1.00000006360237</v>
      </c>
    </row>
    <row r="4782" spans="1:40" x14ac:dyDescent="0.25">
      <c r="A4782" t="str">
        <f>"20190303162916768"</f>
        <v>20190303162916768</v>
      </c>
      <c r="B4782" t="str">
        <f>"1551601756756791"</f>
        <v>1551601756756791</v>
      </c>
      <c r="C4782" t="s">
        <v>40</v>
      </c>
      <c r="D4782">
        <v>4.576047</v>
      </c>
      <c r="E4782">
        <v>0.48573080000000002</v>
      </c>
      <c r="F4782" t="s">
        <v>59</v>
      </c>
      <c r="G4782">
        <v>-416.85340000000002</v>
      </c>
      <c r="H4782">
        <v>1.725703</v>
      </c>
      <c r="I4782">
        <v>0.75659940000000003</v>
      </c>
      <c r="J4782">
        <v>-421.57490000000001</v>
      </c>
      <c r="K4782">
        <v>1.119729</v>
      </c>
      <c r="L4782">
        <v>98.480620000000002</v>
      </c>
      <c r="M4782">
        <v>-5.10795E-2</v>
      </c>
      <c r="N4782">
        <v>-1.2300429999999999E-2</v>
      </c>
      <c r="O4782">
        <v>-0.99861909999999998</v>
      </c>
      <c r="P4782">
        <v>9.9040139999999992E-3</v>
      </c>
      <c r="Q4782">
        <v>0.15742210000000001</v>
      </c>
      <c r="R4782">
        <v>-0.98748210000000003</v>
      </c>
      <c r="S4782">
        <v>0.14544679999999999</v>
      </c>
      <c r="T4782">
        <v>1.874149E-2</v>
      </c>
      <c r="U4782">
        <v>-3.0327449999999998</v>
      </c>
      <c r="V4782">
        <v>-5.973241E-2</v>
      </c>
      <c r="W4782">
        <v>0.16974810000000001</v>
      </c>
      <c r="X4782">
        <v>0.98367559999999998</v>
      </c>
      <c r="Y4782">
        <v>-9.8853999999999997E-2</v>
      </c>
      <c r="Z4782">
        <v>-1.846362E-2</v>
      </c>
      <c r="AA4782">
        <v>0.9949306</v>
      </c>
      <c r="AB4782">
        <v>33</v>
      </c>
      <c r="AC4782">
        <v>4.72149999999999</v>
      </c>
      <c r="AD4782">
        <v>0.60597399999999901</v>
      </c>
      <c r="AE4782">
        <v>-97.724020599999903</v>
      </c>
      <c r="AF4782">
        <v>-9.7070336751830304</v>
      </c>
      <c r="AG4782">
        <v>0.60597399999999901</v>
      </c>
      <c r="AH4782">
        <v>97.351506896338407</v>
      </c>
      <c r="AI4782">
        <v>89.645121159351703</v>
      </c>
      <c r="AJ4782">
        <v>95.694208373443701</v>
      </c>
      <c r="AK4782">
        <v>97.836136484673403</v>
      </c>
      <c r="AL4782">
        <v>80.226826930813303</v>
      </c>
      <c r="AM4782">
        <v>93.474944086789094</v>
      </c>
      <c r="AN4782">
        <v>1.00000003214668</v>
      </c>
    </row>
    <row r="4783" spans="1:40" x14ac:dyDescent="0.25">
      <c r="A4783" t="str">
        <f>"20190303162916790"</f>
        <v>20190303162916790</v>
      </c>
      <c r="B4783" t="str">
        <f>"1551601756776310"</f>
        <v>1551601756776310</v>
      </c>
      <c r="C4783" t="s">
        <v>40</v>
      </c>
      <c r="D4783">
        <v>4.5703709999999997</v>
      </c>
      <c r="E4783">
        <v>0.48603940000000001</v>
      </c>
      <c r="F4783" t="s">
        <v>59</v>
      </c>
      <c r="G4783">
        <v>-416.9083</v>
      </c>
      <c r="H4783">
        <v>1.8262640000000001</v>
      </c>
      <c r="I4783">
        <v>0.50883290000000003</v>
      </c>
      <c r="J4783">
        <v>-421.5933</v>
      </c>
      <c r="K4783">
        <v>1.119794</v>
      </c>
      <c r="L4783">
        <v>98.150880000000001</v>
      </c>
      <c r="M4783">
        <v>-5.2565059999999997E-2</v>
      </c>
      <c r="N4783">
        <v>-1.229946E-2</v>
      </c>
      <c r="O4783">
        <v>-0.99854180000000003</v>
      </c>
      <c r="P4783">
        <v>1.1313770000000001E-2</v>
      </c>
      <c r="Q4783">
        <v>0.16000919999999999</v>
      </c>
      <c r="R4783">
        <v>-0.98705089999999995</v>
      </c>
      <c r="S4783">
        <v>0.14447019999999999</v>
      </c>
      <c r="T4783">
        <v>2.1872639999999999E-2</v>
      </c>
      <c r="U4783">
        <v>-3.0330810000000001</v>
      </c>
      <c r="V4783">
        <v>-6.2597749999999994E-2</v>
      </c>
      <c r="W4783">
        <v>0.17232829999999999</v>
      </c>
      <c r="X4783">
        <v>0.98304860000000005</v>
      </c>
      <c r="Y4783">
        <v>-0.1000091</v>
      </c>
      <c r="Z4783">
        <v>-1.9488080000000001E-2</v>
      </c>
      <c r="AA4783">
        <v>0.99479569999999995</v>
      </c>
      <c r="AB4783">
        <v>33</v>
      </c>
      <c r="AC4783">
        <v>4.6849999999999996</v>
      </c>
      <c r="AD4783">
        <v>0.70646999999999904</v>
      </c>
      <c r="AE4783">
        <v>-97.6420470999999</v>
      </c>
      <c r="AF4783">
        <v>-9.8109576938308294</v>
      </c>
      <c r="AG4783">
        <v>0.70646999999999904</v>
      </c>
      <c r="AH4783">
        <v>97.255671168751306</v>
      </c>
      <c r="AI4783">
        <v>89.585909509588504</v>
      </c>
      <c r="AJ4783">
        <v>95.760396470712195</v>
      </c>
      <c r="AK4783">
        <v>97.751826403476002</v>
      </c>
      <c r="AL4783">
        <v>80.076781341616197</v>
      </c>
      <c r="AM4783">
        <v>93.6435136906899</v>
      </c>
      <c r="AN4783">
        <v>1.00000003562395</v>
      </c>
    </row>
    <row r="4784" spans="1:40" x14ac:dyDescent="0.25">
      <c r="A4784" t="str">
        <f>"20190303162916814"</f>
        <v>20190303162916814</v>
      </c>
      <c r="B4784" t="str">
        <f>"1551601756806566"</f>
        <v>1551601756806566</v>
      </c>
      <c r="C4784" t="s">
        <v>40</v>
      </c>
      <c r="D4784">
        <v>4.5683339999999903</v>
      </c>
      <c r="E4784">
        <v>0.48645389999999999</v>
      </c>
      <c r="F4784" t="s">
        <v>59</v>
      </c>
      <c r="G4784">
        <v>-416.92320000000001</v>
      </c>
      <c r="H4784">
        <v>1.9826779999999999</v>
      </c>
      <c r="I4784">
        <v>0.50868029999999997</v>
      </c>
      <c r="J4784">
        <v>-421.61320000000001</v>
      </c>
      <c r="K4784">
        <v>1.119874</v>
      </c>
      <c r="L4784">
        <v>97.801640000000006</v>
      </c>
      <c r="M4784">
        <v>-5.4012129999999998E-2</v>
      </c>
      <c r="N4784">
        <v>-1.2298190000000001E-2</v>
      </c>
      <c r="O4784">
        <v>-0.99846480000000004</v>
      </c>
      <c r="P4784">
        <v>1.269239E-2</v>
      </c>
      <c r="Q4784">
        <v>0.16201860000000001</v>
      </c>
      <c r="R4784">
        <v>-0.98670630000000004</v>
      </c>
      <c r="S4784">
        <v>0.1450806</v>
      </c>
      <c r="T4784">
        <v>2.6805639999999999E-2</v>
      </c>
      <c r="U4784">
        <v>-3.0333559999999999</v>
      </c>
      <c r="V4784">
        <v>-6.54082E-2</v>
      </c>
      <c r="W4784">
        <v>0.1743275</v>
      </c>
      <c r="X4784">
        <v>0.98251299999999997</v>
      </c>
      <c r="Y4784">
        <v>-0.10164579999999999</v>
      </c>
      <c r="Z4784">
        <v>-2.1102280000000001E-2</v>
      </c>
      <c r="AA4784">
        <v>0.99459679999999995</v>
      </c>
      <c r="AB4784">
        <v>33</v>
      </c>
      <c r="AC4784">
        <v>4.6899999999999897</v>
      </c>
      <c r="AD4784">
        <v>0.86280399999999902</v>
      </c>
      <c r="AE4784">
        <v>-97.292959699999997</v>
      </c>
      <c r="AF4784">
        <v>-9.9377692345113502</v>
      </c>
      <c r="AG4784">
        <v>0.86280399999999902</v>
      </c>
      <c r="AH4784">
        <v>96.889979685984301</v>
      </c>
      <c r="AI4784">
        <v>89.492457892962804</v>
      </c>
      <c r="AJ4784">
        <v>95.856209871122402</v>
      </c>
      <c r="AK4784">
        <v>97.402114205243294</v>
      </c>
      <c r="AL4784">
        <v>79.960475383915593</v>
      </c>
      <c r="AM4784">
        <v>93.808694804696998</v>
      </c>
      <c r="AN4784">
        <v>1.00000005252624</v>
      </c>
    </row>
    <row r="4785" spans="1:40" x14ac:dyDescent="0.25">
      <c r="A4785" t="str">
        <f>"20190303162916834"</f>
        <v>20190303162916834</v>
      </c>
      <c r="B4785" t="str">
        <f>"1551601756827062"</f>
        <v>1551601756827062</v>
      </c>
      <c r="C4785" t="s">
        <v>40</v>
      </c>
      <c r="D4785">
        <v>4.51098</v>
      </c>
      <c r="E4785">
        <v>0.4866857</v>
      </c>
      <c r="F4785" t="s">
        <v>59</v>
      </c>
      <c r="G4785">
        <v>-416.94600000000003</v>
      </c>
      <c r="H4785">
        <v>2.0209109999999999</v>
      </c>
      <c r="I4785">
        <v>0.50845149999999995</v>
      </c>
      <c r="J4785">
        <v>-421.6318</v>
      </c>
      <c r="K4785">
        <v>1.1199730000000001</v>
      </c>
      <c r="L4785">
        <v>97.481110000000001</v>
      </c>
      <c r="M4785">
        <v>-5.5201279999999998E-2</v>
      </c>
      <c r="N4785">
        <v>-1.229684E-2</v>
      </c>
      <c r="O4785">
        <v>-0.99839960000000005</v>
      </c>
      <c r="P4785">
        <v>1.3718320000000001E-2</v>
      </c>
      <c r="Q4785">
        <v>0.1632035</v>
      </c>
      <c r="R4785">
        <v>-0.98649710000000002</v>
      </c>
      <c r="S4785">
        <v>0.14553829999999901</v>
      </c>
      <c r="T4785">
        <v>2.809656E-2</v>
      </c>
      <c r="U4785">
        <v>-3.0339360000000002</v>
      </c>
      <c r="V4785">
        <v>-6.7628930000000004E-2</v>
      </c>
      <c r="W4785">
        <v>0.17549879999999901</v>
      </c>
      <c r="X4785">
        <v>0.98215399999999997</v>
      </c>
      <c r="Y4785">
        <v>-0.10297099999999999</v>
      </c>
      <c r="Z4785">
        <v>-2.1521169999999999E-2</v>
      </c>
      <c r="AA4785">
        <v>0.99445150000000004</v>
      </c>
      <c r="AB4785">
        <v>33</v>
      </c>
      <c r="AC4785">
        <v>4.6858000000000199</v>
      </c>
      <c r="AD4785">
        <v>0.90093799999999902</v>
      </c>
      <c r="AE4785">
        <v>-96.972658499999994</v>
      </c>
      <c r="AF4785">
        <v>-10.031209621282001</v>
      </c>
      <c r="AG4785">
        <v>0.90093799999999902</v>
      </c>
      <c r="AH4785">
        <v>96.557780022344105</v>
      </c>
      <c r="AI4785">
        <v>89.468275418272</v>
      </c>
      <c r="AJ4785">
        <v>95.931076352303705</v>
      </c>
      <c r="AK4785">
        <v>97.081624103582797</v>
      </c>
      <c r="AL4785">
        <v>79.892313417375107</v>
      </c>
      <c r="AM4785">
        <v>93.939041698941907</v>
      </c>
      <c r="AN4785">
        <v>0.99999999034519205</v>
      </c>
    </row>
    <row r="4786" spans="1:40" x14ac:dyDescent="0.25">
      <c r="A4786" t="str">
        <f>"20190303162916857"</f>
        <v>20190303162916857</v>
      </c>
      <c r="B4786" t="str">
        <f>"1551601756846582"</f>
        <v>1551601756846582</v>
      </c>
      <c r="C4786" t="s">
        <v>40</v>
      </c>
      <c r="D4786">
        <v>4.5152010000000002</v>
      </c>
      <c r="E4786">
        <v>0.4869289</v>
      </c>
      <c r="F4786" t="s">
        <v>59</v>
      </c>
      <c r="G4786">
        <v>-416.95819999999998</v>
      </c>
      <c r="H4786">
        <v>2.0217890000000001</v>
      </c>
      <c r="I4786">
        <v>0.50832940000000004</v>
      </c>
      <c r="J4786">
        <v>-421.6508</v>
      </c>
      <c r="K4786">
        <v>1.1201049999999999</v>
      </c>
      <c r="L4786">
        <v>97.159000000000006</v>
      </c>
      <c r="M4786">
        <v>-5.6232589999999999E-2</v>
      </c>
      <c r="N4786">
        <v>-1.22953E-2</v>
      </c>
      <c r="O4786">
        <v>-0.99834210000000001</v>
      </c>
      <c r="P4786">
        <v>1.4762849999999999E-2</v>
      </c>
      <c r="Q4786">
        <v>0.16384389999999999</v>
      </c>
      <c r="R4786">
        <v>-0.98637620000000004</v>
      </c>
      <c r="S4786">
        <v>0.14624019999999999</v>
      </c>
      <c r="T4786">
        <v>2.821779E-2</v>
      </c>
      <c r="U4786">
        <v>-3.0343629999999999</v>
      </c>
      <c r="V4786">
        <v>-6.9731680000000004E-2</v>
      </c>
      <c r="W4786">
        <v>0.17612030000000001</v>
      </c>
      <c r="X4786">
        <v>0.98189570000000004</v>
      </c>
      <c r="Y4786">
        <v>-0.1042212</v>
      </c>
      <c r="Z4786">
        <v>-2.155698E-2</v>
      </c>
      <c r="AA4786">
        <v>0.99432050000000005</v>
      </c>
      <c r="AB4786">
        <v>33</v>
      </c>
      <c r="AC4786">
        <v>4.6926000000000201</v>
      </c>
      <c r="AD4786">
        <v>0.90168400000000004</v>
      </c>
      <c r="AE4786">
        <v>-96.650670599999899</v>
      </c>
      <c r="AF4786">
        <v>-10.1196228307504</v>
      </c>
      <c r="AG4786">
        <v>0.90168400000000004</v>
      </c>
      <c r="AH4786">
        <v>96.225464403385899</v>
      </c>
      <c r="AI4786">
        <v>89.466067964111502</v>
      </c>
      <c r="AJ4786">
        <v>96.003485824540803</v>
      </c>
      <c r="AK4786">
        <v>96.760321412859</v>
      </c>
      <c r="AL4786">
        <v>79.8561409377036</v>
      </c>
      <c r="AM4786">
        <v>94.062177312861706</v>
      </c>
      <c r="AN4786">
        <v>1.0000000164731</v>
      </c>
    </row>
    <row r="4787" spans="1:40" x14ac:dyDescent="0.25">
      <c r="A4787" t="str">
        <f>"20190303162916879"</f>
        <v>20190303162916879</v>
      </c>
      <c r="B4787" t="str">
        <f>"1551601756867078"</f>
        <v>1551601756867078</v>
      </c>
      <c r="C4787" t="s">
        <v>40</v>
      </c>
      <c r="D4787">
        <v>4.4912340000000004</v>
      </c>
      <c r="E4787">
        <v>0.48718119999999998</v>
      </c>
      <c r="F4787" t="s">
        <v>59</v>
      </c>
      <c r="G4787">
        <v>-416.9699</v>
      </c>
      <c r="H4787">
        <v>1.988157</v>
      </c>
      <c r="I4787">
        <v>0.50820920000000003</v>
      </c>
      <c r="J4787">
        <v>-421.6712</v>
      </c>
      <c r="K4787">
        <v>1.1202620000000001</v>
      </c>
      <c r="L4787">
        <v>96.814059999999998</v>
      </c>
      <c r="M4787">
        <v>-5.7139629999999997E-2</v>
      </c>
      <c r="N4787">
        <v>-1.229364E-2</v>
      </c>
      <c r="O4787">
        <v>-0.99829049999999997</v>
      </c>
      <c r="P4787">
        <v>1.514184E-2</v>
      </c>
      <c r="Q4787">
        <v>0.16441220000000001</v>
      </c>
      <c r="R4787">
        <v>-0.98627560000000003</v>
      </c>
      <c r="S4787">
        <v>0.14697270000000001</v>
      </c>
      <c r="T4787">
        <v>2.7255060000000001E-2</v>
      </c>
      <c r="U4787">
        <v>-3.034729</v>
      </c>
      <c r="V4787">
        <v>-7.1064139999999998E-2</v>
      </c>
      <c r="W4787">
        <v>0.17666099999999901</v>
      </c>
      <c r="X4787">
        <v>0.98170299999999999</v>
      </c>
      <c r="Y4787">
        <v>-0.10535849999999999</v>
      </c>
      <c r="Z4787">
        <v>-2.123794E-2</v>
      </c>
      <c r="AA4787">
        <v>0.99420750000000002</v>
      </c>
      <c r="AB4787">
        <v>33</v>
      </c>
      <c r="AC4787">
        <v>4.7012999999999998</v>
      </c>
      <c r="AD4787">
        <v>0.86789499999999897</v>
      </c>
      <c r="AE4787">
        <v>-96.305850799999902</v>
      </c>
      <c r="AF4787">
        <v>-10.196088327696501</v>
      </c>
      <c r="AG4787">
        <v>0.86789499999999897</v>
      </c>
      <c r="AH4787">
        <v>95.872063722536296</v>
      </c>
      <c r="AI4787">
        <v>89.484244643249099</v>
      </c>
      <c r="AJ4787">
        <v>96.070643760344694</v>
      </c>
      <c r="AK4787">
        <v>96.416627514839405</v>
      </c>
      <c r="AL4787">
        <v>79.824667452120494</v>
      </c>
      <c r="AM4787">
        <v>94.140341385505096</v>
      </c>
      <c r="AN4787">
        <v>1.00000000056196</v>
      </c>
    </row>
    <row r="4788" spans="1:40" x14ac:dyDescent="0.25">
      <c r="A4788" t="str">
        <f>"20190303162916905"</f>
        <v>20190303162916905</v>
      </c>
      <c r="B4788" t="str">
        <f>"1551601756896358"</f>
        <v>1551601756896358</v>
      </c>
      <c r="C4788" t="s">
        <v>40</v>
      </c>
      <c r="D4788">
        <v>4.517055</v>
      </c>
      <c r="E4788">
        <v>0.48754769999999997</v>
      </c>
      <c r="F4788" t="s">
        <v>59</v>
      </c>
      <c r="G4788">
        <v>-417.03480000000002</v>
      </c>
      <c r="H4788">
        <v>1.9427220000000001</v>
      </c>
      <c r="I4788">
        <v>0.50754929999999998</v>
      </c>
      <c r="J4788">
        <v>-421.69310000000002</v>
      </c>
      <c r="K4788">
        <v>1.120458</v>
      </c>
      <c r="L4788">
        <v>96.445189999999997</v>
      </c>
      <c r="M4788">
        <v>-5.7861019999999999E-2</v>
      </c>
      <c r="N4788">
        <v>-1.229207E-2</v>
      </c>
      <c r="O4788">
        <v>-0.9982491</v>
      </c>
      <c r="P4788">
        <v>1.4831240000000001E-2</v>
      </c>
      <c r="Q4788">
        <v>0.16507959999999999</v>
      </c>
      <c r="R4788">
        <v>-0.98616890000000001</v>
      </c>
      <c r="S4788">
        <v>0.1461182</v>
      </c>
      <c r="T4788">
        <v>2.59198E-2</v>
      </c>
      <c r="U4788">
        <v>-3.0351870000000001</v>
      </c>
      <c r="V4788">
        <v>-7.1540380000000001E-2</v>
      </c>
      <c r="W4788">
        <v>0.1772927</v>
      </c>
      <c r="X4788">
        <v>0.9815545</v>
      </c>
      <c r="Y4788">
        <v>-0.1057907</v>
      </c>
      <c r="Z4788">
        <v>-2.0797220000000002E-2</v>
      </c>
      <c r="AA4788">
        <v>0.99417089999999997</v>
      </c>
      <c r="AB4788">
        <v>33</v>
      </c>
      <c r="AC4788">
        <v>4.6582999999999899</v>
      </c>
      <c r="AD4788">
        <v>0.82226399999999999</v>
      </c>
      <c r="AE4788">
        <v>-95.937640700000003</v>
      </c>
      <c r="AF4788">
        <v>-10.2012153665427</v>
      </c>
      <c r="AG4788">
        <v>0.82226399999999999</v>
      </c>
      <c r="AH4788">
        <v>95.500333923405805</v>
      </c>
      <c r="AI4788">
        <v>89.509482236623199</v>
      </c>
      <c r="AJ4788">
        <v>96.097137239316098</v>
      </c>
      <c r="AK4788">
        <v>96.047148278969203</v>
      </c>
      <c r="AL4788">
        <v>79.787893034893003</v>
      </c>
      <c r="AM4788">
        <v>94.168618991466701</v>
      </c>
      <c r="AN4788">
        <v>0.99999998195704198</v>
      </c>
    </row>
    <row r="4789" spans="1:40" x14ac:dyDescent="0.25">
      <c r="A4789" t="str">
        <f>"20190303162916926"</f>
        <v>20190303162916926</v>
      </c>
      <c r="B4789" t="str">
        <f>"1551601756916854"</f>
        <v>1551601756916854</v>
      </c>
      <c r="C4789" t="s">
        <v>40</v>
      </c>
      <c r="D4789">
        <v>4.4905080000000002</v>
      </c>
      <c r="E4789">
        <v>0.48765839999999999</v>
      </c>
      <c r="F4789" t="s">
        <v>59</v>
      </c>
      <c r="G4789">
        <v>-417.17290000000003</v>
      </c>
      <c r="H4789">
        <v>1.884633</v>
      </c>
      <c r="I4789">
        <v>0.50614359999999903</v>
      </c>
      <c r="J4789">
        <v>-421.71249999999998</v>
      </c>
      <c r="K4789">
        <v>1.1206400000000001</v>
      </c>
      <c r="L4789">
        <v>96.12012</v>
      </c>
      <c r="M4789">
        <v>-5.826158E-2</v>
      </c>
      <c r="N4789">
        <v>-1.229099E-2</v>
      </c>
      <c r="O4789">
        <v>-0.9982259</v>
      </c>
      <c r="P4789">
        <v>1.439037E-2</v>
      </c>
      <c r="Q4789">
        <v>0.1652855</v>
      </c>
      <c r="R4789">
        <v>-0.98614080000000004</v>
      </c>
      <c r="S4789">
        <v>0.14303589999999999</v>
      </c>
      <c r="T4789">
        <v>2.4180770000000001E-2</v>
      </c>
      <c r="U4789">
        <v>-3.0358890000000001</v>
      </c>
      <c r="V4789">
        <v>-7.1569919999999995E-2</v>
      </c>
      <c r="W4789">
        <v>0.1774654</v>
      </c>
      <c r="X4789">
        <v>0.98152119999999998</v>
      </c>
      <c r="Y4789">
        <v>-0.1051718</v>
      </c>
      <c r="Z4789">
        <v>-2.0224820000000001E-2</v>
      </c>
      <c r="AA4789">
        <v>0.99424840000000003</v>
      </c>
      <c r="AB4789">
        <v>33</v>
      </c>
      <c r="AC4789">
        <v>4.5395999999999503</v>
      </c>
      <c r="AD4789">
        <v>0.76399300000000003</v>
      </c>
      <c r="AE4789">
        <v>-95.613976399999999</v>
      </c>
      <c r="AF4789">
        <v>-10.102285073158701</v>
      </c>
      <c r="AG4789">
        <v>0.76399300000000003</v>
      </c>
      <c r="AH4789">
        <v>95.180969885843695</v>
      </c>
      <c r="AI4789">
        <v>89.542680066751601</v>
      </c>
      <c r="AJ4789">
        <v>96.058557408017194</v>
      </c>
      <c r="AK4789">
        <v>95.718633909042495</v>
      </c>
      <c r="AL4789">
        <v>79.777839256176605</v>
      </c>
      <c r="AM4789">
        <v>94.170475186947598</v>
      </c>
      <c r="AN4789">
        <v>1.0000000438476999</v>
      </c>
    </row>
    <row r="4790" spans="1:40" x14ac:dyDescent="0.25">
      <c r="A4790" t="str">
        <f>"20190303162916956"</f>
        <v>20190303162916956</v>
      </c>
      <c r="B4790" t="str">
        <f>"1551601756946134"</f>
        <v>1551601756946134</v>
      </c>
      <c r="C4790" t="s">
        <v>40</v>
      </c>
      <c r="D4790">
        <v>4.4067530000000001</v>
      </c>
      <c r="E4790">
        <v>0.50498149999999997</v>
      </c>
      <c r="F4790" t="s">
        <v>59</v>
      </c>
      <c r="G4790">
        <v>-417.26179999999999</v>
      </c>
      <c r="H4790">
        <v>1.8597410000000001</v>
      </c>
      <c r="I4790">
        <v>0.50523949999999995</v>
      </c>
      <c r="J4790">
        <v>-421.74009999999998</v>
      </c>
      <c r="K4790">
        <v>1.1208670000000001</v>
      </c>
      <c r="L4790">
        <v>95.655519999999996</v>
      </c>
      <c r="M4790">
        <v>-5.8511229999999997E-2</v>
      </c>
      <c r="N4790">
        <v>-1.228983E-2</v>
      </c>
      <c r="O4790">
        <v>-0.99821139999999997</v>
      </c>
      <c r="P4790">
        <v>1.184283E-2</v>
      </c>
      <c r="Q4790">
        <v>0.16422400000000001</v>
      </c>
      <c r="R4790">
        <v>-0.98635229999999996</v>
      </c>
      <c r="S4790">
        <v>0.14132690000000001</v>
      </c>
      <c r="T4790">
        <v>2.3468849999999999E-2</v>
      </c>
      <c r="U4790">
        <v>-3.0361630000000002</v>
      </c>
      <c r="V4790">
        <v>-6.9387260000000006E-2</v>
      </c>
      <c r="W4790">
        <v>0.17636489999999999</v>
      </c>
      <c r="X4790">
        <v>0.98187619999999998</v>
      </c>
      <c r="Y4790">
        <v>-0.1048579</v>
      </c>
      <c r="Z4790">
        <v>-1.998983E-2</v>
      </c>
      <c r="AA4790">
        <v>0.99428629999999996</v>
      </c>
      <c r="AB4790">
        <v>33</v>
      </c>
      <c r="AC4790">
        <v>4.4782999999999902</v>
      </c>
      <c r="AD4790">
        <v>0.73887400000000003</v>
      </c>
      <c r="AE4790">
        <v>-95.150280499999994</v>
      </c>
      <c r="AF4790">
        <v>-10.037801214878399</v>
      </c>
      <c r="AG4790">
        <v>0.73887400000000003</v>
      </c>
      <c r="AH4790">
        <v>94.719490211084107</v>
      </c>
      <c r="AI4790">
        <v>89.555553103939403</v>
      </c>
      <c r="AJ4790">
        <v>96.049283664775004</v>
      </c>
      <c r="AK4790">
        <v>95.252743865281701</v>
      </c>
      <c r="AL4790">
        <v>79.841903574774406</v>
      </c>
      <c r="AM4790">
        <v>94.042260016137902</v>
      </c>
      <c r="AN4790">
        <v>1.00000002096437</v>
      </c>
    </row>
    <row r="4791" spans="1:40" x14ac:dyDescent="0.25">
      <c r="A4791" t="str">
        <f>"20190303162916979"</f>
        <v>20190303162916979</v>
      </c>
      <c r="B4791" t="str">
        <f>"1551601756966630"</f>
        <v>1551601756966630</v>
      </c>
      <c r="C4791" t="s">
        <v>40</v>
      </c>
      <c r="D4791">
        <v>4.4846059999999897</v>
      </c>
      <c r="E4791">
        <v>0.50780729999999996</v>
      </c>
      <c r="F4791" t="s">
        <v>41</v>
      </c>
      <c r="G4791">
        <v>-421.76960000000003</v>
      </c>
      <c r="H4791" s="1">
        <v>-1.4526850000000001E-6</v>
      </c>
      <c r="I4791">
        <v>41.877780000000001</v>
      </c>
      <c r="J4791">
        <v>-421.75959999999998</v>
      </c>
      <c r="K4791">
        <v>1.1210370000000001</v>
      </c>
      <c r="L4791">
        <v>95.322999999999993</v>
      </c>
      <c r="M4791">
        <v>-5.8409969999999999E-2</v>
      </c>
      <c r="N4791">
        <v>-1.2289059999999999E-2</v>
      </c>
      <c r="O4791">
        <v>-0.99821720000000003</v>
      </c>
      <c r="P4791">
        <v>1.053107E-2</v>
      </c>
      <c r="Q4791">
        <v>0.162958399999999</v>
      </c>
      <c r="R4791">
        <v>-0.98657689999999998</v>
      </c>
      <c r="S4791">
        <v>-1.6784669999999999E-3</v>
      </c>
      <c r="T4791">
        <v>-6.3614249999999997E-2</v>
      </c>
      <c r="U4791">
        <v>-3.0521240000000001</v>
      </c>
      <c r="V4791">
        <v>-6.8069760000000007E-2</v>
      </c>
      <c r="W4791">
        <v>0.1750707</v>
      </c>
      <c r="X4791">
        <v>0.98219999999999996</v>
      </c>
      <c r="Y4791">
        <v>-5.7853599999999901E-2</v>
      </c>
      <c r="Z4791">
        <v>8.4795100000000009E-3</v>
      </c>
      <c r="AA4791">
        <v>0.99828899999999998</v>
      </c>
      <c r="AB4791">
        <v>33</v>
      </c>
      <c r="AC4791">
        <v>-1.00000000000477E-2</v>
      </c>
      <c r="AD4791">
        <v>-1.1210384526849999</v>
      </c>
      <c r="AE4791">
        <v>-53.4452199999999</v>
      </c>
      <c r="AF4791">
        <v>-3.1106174382128899</v>
      </c>
      <c r="AG4791">
        <v>-1.1210384526849999</v>
      </c>
      <c r="AH4791">
        <v>53.331078213099403</v>
      </c>
      <c r="AI4791">
        <v>91.202158035632294</v>
      </c>
      <c r="AJ4791">
        <v>93.338082817955097</v>
      </c>
      <c r="AK4791">
        <v>53.433478002382003</v>
      </c>
      <c r="AL4791">
        <v>79.917227983079798</v>
      </c>
      <c r="AM4791">
        <v>93.964451104035703</v>
      </c>
      <c r="AN4791">
        <v>1.0000000411124701</v>
      </c>
    </row>
    <row r="4792" spans="1:40" x14ac:dyDescent="0.25">
      <c r="A4792" t="str">
        <f>"20190303162917003"</f>
        <v>20190303162917003</v>
      </c>
      <c r="B4792" t="str">
        <f>"1551601756996886"</f>
        <v>1551601756996886</v>
      </c>
      <c r="C4792" t="s">
        <v>40</v>
      </c>
      <c r="D4792">
        <v>4.4800230000000001</v>
      </c>
      <c r="E4792">
        <v>0.50994859999999997</v>
      </c>
      <c r="F4792" t="s">
        <v>41</v>
      </c>
      <c r="G4792">
        <v>-422.15640000000002</v>
      </c>
      <c r="H4792" s="1">
        <v>-4.5421019999999997E-6</v>
      </c>
      <c r="I4792">
        <v>49.20993</v>
      </c>
      <c r="J4792">
        <v>-421.77980000000002</v>
      </c>
      <c r="K4792">
        <v>1.1212819999999999</v>
      </c>
      <c r="L4792">
        <v>94.972350000000006</v>
      </c>
      <c r="M4792">
        <v>-5.7973200000000003E-2</v>
      </c>
      <c r="N4792">
        <v>-1.228892E-2</v>
      </c>
      <c r="O4792">
        <v>-0.99824259999999998</v>
      </c>
      <c r="P4792">
        <v>1.135624E-2</v>
      </c>
      <c r="Q4792">
        <v>0.1624118</v>
      </c>
      <c r="R4792">
        <v>-0.98665800000000004</v>
      </c>
      <c r="S4792">
        <v>-2.6275630000000001E-2</v>
      </c>
      <c r="T4792">
        <v>-7.4229719999999999E-2</v>
      </c>
      <c r="U4792">
        <v>-3.053375</v>
      </c>
      <c r="V4792">
        <v>-6.8570629999999994E-2</v>
      </c>
      <c r="W4792">
        <v>0.17448429999999901</v>
      </c>
      <c r="X4792">
        <v>0.98226950000000002</v>
      </c>
      <c r="Y4792">
        <v>-4.9374269999999998E-2</v>
      </c>
      <c r="Z4792">
        <v>1.1942889999999999E-2</v>
      </c>
      <c r="AA4792">
        <v>0.99870899999999996</v>
      </c>
      <c r="AB4792">
        <v>33</v>
      </c>
      <c r="AC4792">
        <v>-0.37659999999999599</v>
      </c>
      <c r="AD4792">
        <v>-1.121286542102</v>
      </c>
      <c r="AE4792">
        <v>-45.762419999999999</v>
      </c>
      <c r="AF4792">
        <v>-2.2758612412060901</v>
      </c>
      <c r="AG4792">
        <v>-1.121286542102</v>
      </c>
      <c r="AH4792">
        <v>45.679854016077996</v>
      </c>
      <c r="AI4792">
        <v>91.4043947767357</v>
      </c>
      <c r="AJ4792">
        <v>92.852231362681593</v>
      </c>
      <c r="AK4792">
        <v>45.750255636760301</v>
      </c>
      <c r="AL4792">
        <v>79.951351409885604</v>
      </c>
      <c r="AM4792">
        <v>93.993246585942302</v>
      </c>
      <c r="AN4792">
        <v>1.00000003643766</v>
      </c>
    </row>
    <row r="4793" spans="1:40" x14ac:dyDescent="0.25">
      <c r="A4793" t="str">
        <f>"20190303162917025"</f>
        <v>20190303162917025</v>
      </c>
      <c r="B4793" t="str">
        <f>"1551601757016406"</f>
        <v>1551601757016406</v>
      </c>
      <c r="C4793" t="s">
        <v>40</v>
      </c>
      <c r="D4793">
        <v>4.5016080000000001</v>
      </c>
      <c r="E4793">
        <v>0.51040229999999998</v>
      </c>
      <c r="F4793" t="s">
        <v>41</v>
      </c>
      <c r="G4793">
        <v>-422.27730000000003</v>
      </c>
      <c r="H4793" s="1">
        <v>-3.4359279999999999E-6</v>
      </c>
      <c r="I4793">
        <v>56.185920000000003</v>
      </c>
      <c r="J4793">
        <v>-421.79829999999998</v>
      </c>
      <c r="K4793">
        <v>1.1215820000000001</v>
      </c>
      <c r="L4793">
        <v>94.643069999999994</v>
      </c>
      <c r="M4793">
        <v>-5.7167679999999998E-2</v>
      </c>
      <c r="N4793">
        <v>-1.2291109999999999E-2</v>
      </c>
      <c r="O4793">
        <v>-0.99828879999999998</v>
      </c>
      <c r="P4793">
        <v>1.359892E-2</v>
      </c>
      <c r="Q4793">
        <v>0.16308020000000001</v>
      </c>
      <c r="R4793">
        <v>-0.98651929999999999</v>
      </c>
      <c r="S4793">
        <v>-3.9184570000000002E-2</v>
      </c>
      <c r="T4793">
        <v>-8.8333369999999994E-2</v>
      </c>
      <c r="U4793">
        <v>-3.055542</v>
      </c>
      <c r="V4793">
        <v>-7.0133219999999996E-2</v>
      </c>
      <c r="W4793">
        <v>0.17510209999999901</v>
      </c>
      <c r="X4793">
        <v>0.98204919999999996</v>
      </c>
      <c r="Y4793">
        <v>-4.4355739999999998E-2</v>
      </c>
      <c r="Z4793">
        <v>1.6527219999999999E-2</v>
      </c>
      <c r="AA4793">
        <v>0.99887910000000002</v>
      </c>
      <c r="AB4793">
        <v>33</v>
      </c>
      <c r="AC4793">
        <v>-0.479000000000041</v>
      </c>
      <c r="AD4793">
        <v>-1.121585435928</v>
      </c>
      <c r="AE4793">
        <v>-38.457149999999999</v>
      </c>
      <c r="AF4793">
        <v>-1.7189939918438499</v>
      </c>
      <c r="AG4793">
        <v>-1.121585435928</v>
      </c>
      <c r="AH4793">
        <v>38.388985201513698</v>
      </c>
      <c r="AI4793">
        <v>91.671822318676504</v>
      </c>
      <c r="AJ4793">
        <v>92.563895638965406</v>
      </c>
      <c r="AK4793">
        <v>38.4438171756671</v>
      </c>
      <c r="AL4793">
        <v>79.915400480615205</v>
      </c>
      <c r="AM4793">
        <v>94.084853379237202</v>
      </c>
      <c r="AN4793">
        <v>1.0000000225962999</v>
      </c>
    </row>
    <row r="4794" spans="1:40" x14ac:dyDescent="0.25">
      <c r="A4794" t="str">
        <f>"20190303162917046"</f>
        <v>20190303162917046</v>
      </c>
      <c r="B4794" t="str">
        <f>"1551601757036903"</f>
        <v>1551601757036903</v>
      </c>
      <c r="C4794" t="s">
        <v>40</v>
      </c>
      <c r="D4794">
        <v>4.5452589999999997</v>
      </c>
      <c r="E4794">
        <v>0.51058029999999999</v>
      </c>
      <c r="F4794" t="s">
        <v>41</v>
      </c>
      <c r="G4794">
        <v>-422.22120000000001</v>
      </c>
      <c r="H4794" s="1">
        <v>-3.6378280000000001E-6</v>
      </c>
      <c r="I4794">
        <v>56.691299999999998</v>
      </c>
      <c r="J4794">
        <v>-421.81569999999999</v>
      </c>
      <c r="K4794">
        <v>1.12191</v>
      </c>
      <c r="L4794">
        <v>94.322019999999995</v>
      </c>
      <c r="M4794">
        <v>-5.6034380000000002E-2</v>
      </c>
      <c r="N4794">
        <v>-1.2295830000000001E-2</v>
      </c>
      <c r="O4794">
        <v>-0.99835320000000005</v>
      </c>
      <c r="P4794">
        <v>1.6301329999999999E-2</v>
      </c>
      <c r="Q4794">
        <v>0.16434770000000001</v>
      </c>
      <c r="R4794">
        <v>-0.98626800000000003</v>
      </c>
      <c r="S4794">
        <v>-3.4057619999999997E-2</v>
      </c>
      <c r="T4794">
        <v>-9.0325470000000005E-2</v>
      </c>
      <c r="U4794">
        <v>-3.0563959999999999</v>
      </c>
      <c r="V4794">
        <v>-7.1838739999999998E-2</v>
      </c>
      <c r="W4794">
        <v>0.17631269999999999</v>
      </c>
      <c r="X4794">
        <v>0.98170919999999895</v>
      </c>
      <c r="Y4794">
        <v>-4.4900349999999999E-2</v>
      </c>
      <c r="Z4794">
        <v>1.7165759999999999E-2</v>
      </c>
      <c r="AA4794">
        <v>0.99884399999999995</v>
      </c>
      <c r="AB4794">
        <v>33</v>
      </c>
      <c r="AC4794">
        <v>-0.40550000000001701</v>
      </c>
      <c r="AD4794">
        <v>-1.1219136378279999</v>
      </c>
      <c r="AE4794">
        <v>-37.630719999999997</v>
      </c>
      <c r="AF4794">
        <v>-1.70239750371287</v>
      </c>
      <c r="AG4794">
        <v>-1.1219136378279999</v>
      </c>
      <c r="AH4794">
        <v>37.5609282676239</v>
      </c>
      <c r="AI4794">
        <v>91.709115016331694</v>
      </c>
      <c r="AJ4794">
        <v>92.595076551047597</v>
      </c>
      <c r="AK4794">
        <v>37.616222295666198</v>
      </c>
      <c r="AL4794">
        <v>79.844941434085101</v>
      </c>
      <c r="AM4794">
        <v>94.185285310401198</v>
      </c>
      <c r="AN4794">
        <v>0.99999996305535699</v>
      </c>
    </row>
    <row r="4795" spans="1:40" x14ac:dyDescent="0.25">
      <c r="A4795" t="str">
        <f>"20190303162917069"</f>
        <v>20190303162917069</v>
      </c>
      <c r="B4795" t="str">
        <f>"1551601757056422"</f>
        <v>1551601757056422</v>
      </c>
      <c r="C4795" t="s">
        <v>40</v>
      </c>
      <c r="D4795">
        <v>4.5680519999999998</v>
      </c>
      <c r="E4795">
        <v>0.51081270000000001</v>
      </c>
      <c r="F4795" t="s">
        <v>41</v>
      </c>
      <c r="G4795">
        <v>-422.1327</v>
      </c>
      <c r="H4795" s="1">
        <v>-3.5019299999999999E-6</v>
      </c>
      <c r="I4795">
        <v>56.429430000000004</v>
      </c>
      <c r="J4795">
        <v>-421.8329</v>
      </c>
      <c r="K4795">
        <v>1.1222259999999999</v>
      </c>
      <c r="L4795">
        <v>93.992400000000004</v>
      </c>
      <c r="M4795">
        <v>-5.4559629999999998E-2</v>
      </c>
      <c r="N4795">
        <v>-1.230184E-2</v>
      </c>
      <c r="O4795">
        <v>-0.99843490000000001</v>
      </c>
      <c r="P4795">
        <v>1.8286480000000001E-2</v>
      </c>
      <c r="Q4795">
        <v>0.164985299999999</v>
      </c>
      <c r="R4795">
        <v>-0.98612679999999997</v>
      </c>
      <c r="S4795">
        <v>-2.5573729999999999E-2</v>
      </c>
      <c r="T4795">
        <v>-9.051824E-2</v>
      </c>
      <c r="U4795">
        <v>-3.0572509999999999</v>
      </c>
      <c r="V4795">
        <v>-7.2495210000000004E-2</v>
      </c>
      <c r="W4795">
        <v>0.17689849999999999</v>
      </c>
      <c r="X4795">
        <v>0.98155559999999997</v>
      </c>
      <c r="Y4795">
        <v>-4.6198969999999999E-2</v>
      </c>
      <c r="Z4795">
        <v>1.7216450000000001E-2</v>
      </c>
      <c r="AA4795">
        <v>0.99878389999999995</v>
      </c>
      <c r="AB4795">
        <v>33</v>
      </c>
      <c r="AC4795">
        <v>-0.29980000000000401</v>
      </c>
      <c r="AD4795">
        <v>-1.1222295019299999</v>
      </c>
      <c r="AE4795">
        <v>-37.56297</v>
      </c>
      <c r="AF4795">
        <v>-1.74866239769503</v>
      </c>
      <c r="AG4795">
        <v>-1.1222295019299999</v>
      </c>
      <c r="AH4795">
        <v>37.489909910022099</v>
      </c>
      <c r="AI4795">
        <v>91.712728856294206</v>
      </c>
      <c r="AJ4795">
        <v>92.670542845811696</v>
      </c>
      <c r="AK4795">
        <v>37.547444177968899</v>
      </c>
      <c r="AL4795">
        <v>79.810842111077093</v>
      </c>
      <c r="AM4795">
        <v>94.224051636994901</v>
      </c>
      <c r="AN4795">
        <v>1.00000001533327</v>
      </c>
    </row>
    <row r="4796" spans="1:40" x14ac:dyDescent="0.25">
      <c r="A4796" t="str">
        <f>"20190303162917092"</f>
        <v>20190303162917092</v>
      </c>
      <c r="B4796" t="str">
        <f>"1551601757086678"</f>
        <v>1551601757086678</v>
      </c>
      <c r="C4796" t="s">
        <v>40</v>
      </c>
      <c r="D4796">
        <v>4.5658370000000001</v>
      </c>
      <c r="E4796">
        <v>0.51085720000000001</v>
      </c>
      <c r="F4796" t="s">
        <v>41</v>
      </c>
      <c r="G4796">
        <v>-422.08159999999998</v>
      </c>
      <c r="H4796" s="1">
        <v>-3.4726169999999998E-6</v>
      </c>
      <c r="I4796">
        <v>56.392769999999999</v>
      </c>
      <c r="J4796">
        <v>-421.85059999999999</v>
      </c>
      <c r="K4796">
        <v>1.1225339999999999</v>
      </c>
      <c r="L4796">
        <v>93.631709999999998</v>
      </c>
      <c r="M4796">
        <v>-5.2583329999999998E-2</v>
      </c>
      <c r="N4796">
        <v>-1.23073E-2</v>
      </c>
      <c r="O4796">
        <v>-0.99854080000000001</v>
      </c>
      <c r="P4796">
        <v>2.0542850000000001E-2</v>
      </c>
      <c r="Q4796">
        <v>0.16594539999999999</v>
      </c>
      <c r="R4796">
        <v>-0.98592109999999999</v>
      </c>
      <c r="S4796">
        <v>-2.0233149999999998E-2</v>
      </c>
      <c r="T4796">
        <v>-9.1267470000000003E-2</v>
      </c>
      <c r="U4796">
        <v>-3.0578609999999999</v>
      </c>
      <c r="V4796">
        <v>-7.2925390000000007E-2</v>
      </c>
      <c r="W4796">
        <v>0.17780699999999999</v>
      </c>
      <c r="X4796">
        <v>0.98135950000000005</v>
      </c>
      <c r="Y4796">
        <v>-4.5967760000000003E-2</v>
      </c>
      <c r="Z4796">
        <v>1.7453610000000001E-2</v>
      </c>
      <c r="AA4796">
        <v>0.99879039999999997</v>
      </c>
      <c r="AB4796">
        <v>33</v>
      </c>
      <c r="AC4796">
        <v>-0.23099999999999399</v>
      </c>
      <c r="AD4796">
        <v>-1.1225374726170001</v>
      </c>
      <c r="AE4796">
        <v>-37.238939999999999</v>
      </c>
      <c r="AF4796">
        <v>-1.72604686427883</v>
      </c>
      <c r="AG4796">
        <v>-1.1225374726170001</v>
      </c>
      <c r="AH4796">
        <v>37.165791065550302</v>
      </c>
      <c r="AI4796">
        <v>91.728146376222199</v>
      </c>
      <c r="AJ4796">
        <v>92.659009512486406</v>
      </c>
      <c r="AK4796">
        <v>37.222780037004902</v>
      </c>
      <c r="AL4796">
        <v>79.757949795984104</v>
      </c>
      <c r="AM4796">
        <v>94.249871197393901</v>
      </c>
      <c r="AN4796">
        <v>0.99999995499795002</v>
      </c>
    </row>
    <row r="4797" spans="1:40" x14ac:dyDescent="0.25">
      <c r="A4797" t="str">
        <f>"20190303162917114"</f>
        <v>20190303162917114</v>
      </c>
      <c r="B4797" t="str">
        <f>"1551601757106198"</f>
        <v>1551601757106198</v>
      </c>
      <c r="C4797" t="s">
        <v>40</v>
      </c>
      <c r="D4797">
        <v>4.6398210000000004</v>
      </c>
      <c r="E4797">
        <v>0.51124759999999903</v>
      </c>
      <c r="F4797" t="s">
        <v>41</v>
      </c>
      <c r="G4797">
        <v>-422.00139999999999</v>
      </c>
      <c r="H4797" s="1">
        <v>-3.582056E-6</v>
      </c>
      <c r="I4797">
        <v>56.697670000000002</v>
      </c>
      <c r="J4797">
        <v>-421.86540000000002</v>
      </c>
      <c r="K4797">
        <v>1.122789</v>
      </c>
      <c r="L4797">
        <v>93.313569999999999</v>
      </c>
      <c r="M4797">
        <v>-5.0547910000000001E-2</v>
      </c>
      <c r="N4797">
        <v>-1.231139E-2</v>
      </c>
      <c r="O4797">
        <v>-0.99864569999999997</v>
      </c>
      <c r="P4797">
        <v>2.2221749999999998E-2</v>
      </c>
      <c r="Q4797">
        <v>0.1671907</v>
      </c>
      <c r="R4797">
        <v>-0.98567400000000005</v>
      </c>
      <c r="S4797">
        <v>-1.248169E-2</v>
      </c>
      <c r="T4797">
        <v>-9.2964530000000004E-2</v>
      </c>
      <c r="U4797">
        <v>-3.0587460000000002</v>
      </c>
      <c r="V4797">
        <v>-7.2693519999999998E-2</v>
      </c>
      <c r="W4797">
        <v>0.17901239999999999</v>
      </c>
      <c r="X4797">
        <v>0.98115759999999996</v>
      </c>
      <c r="Y4797">
        <v>-4.6464350000000001E-2</v>
      </c>
      <c r="Z4797">
        <v>1.799746E-2</v>
      </c>
      <c r="AA4797">
        <v>0.99875780000000003</v>
      </c>
      <c r="AB4797">
        <v>33</v>
      </c>
      <c r="AC4797">
        <v>-0.13599999999996701</v>
      </c>
      <c r="AD4797">
        <v>-1.1227925820559901</v>
      </c>
      <c r="AE4797">
        <v>-36.615900000000003</v>
      </c>
      <c r="AF4797">
        <v>-1.7135602682434099</v>
      </c>
      <c r="AG4797">
        <v>-1.1227925820559901</v>
      </c>
      <c r="AH4797">
        <v>36.541600475341802</v>
      </c>
      <c r="AI4797">
        <v>91.758009843872401</v>
      </c>
      <c r="AJ4797">
        <v>92.684827684854994</v>
      </c>
      <c r="AK4797">
        <v>36.598982462286102</v>
      </c>
      <c r="AL4797">
        <v>79.687759930319601</v>
      </c>
      <c r="AM4797">
        <v>94.237276370469402</v>
      </c>
      <c r="AN4797">
        <v>1.0000000116207499</v>
      </c>
    </row>
    <row r="4798" spans="1:40" x14ac:dyDescent="0.25">
      <c r="A4798" t="str">
        <f>"20190303162917136"</f>
        <v>20190303162917136</v>
      </c>
      <c r="B4798" t="str">
        <f>"1551601757126695"</f>
        <v>1551601757126695</v>
      </c>
      <c r="C4798" t="s">
        <v>40</v>
      </c>
      <c r="D4798">
        <v>4.6753410000000004</v>
      </c>
      <c r="E4798">
        <v>0.52371199999999996</v>
      </c>
      <c r="F4798" t="s">
        <v>41</v>
      </c>
      <c r="G4798">
        <v>-421.99169999999998</v>
      </c>
      <c r="H4798" s="1">
        <v>-3.0834310000000002E-6</v>
      </c>
      <c r="I4798">
        <v>55.541369999999901</v>
      </c>
      <c r="J4798">
        <v>-421.87990000000002</v>
      </c>
      <c r="K4798">
        <v>1.1230119999999999</v>
      </c>
      <c r="L4798">
        <v>92.984470000000002</v>
      </c>
      <c r="M4798">
        <v>-4.8203599999999999E-2</v>
      </c>
      <c r="N4798">
        <v>-1.231559E-2</v>
      </c>
      <c r="O4798">
        <v>-0.99876169999999997</v>
      </c>
      <c r="P4798">
        <v>2.406457E-2</v>
      </c>
      <c r="Q4798">
        <v>0.168657</v>
      </c>
      <c r="R4798">
        <v>-0.98538119999999996</v>
      </c>
      <c r="S4798">
        <v>-1.0223390000000001E-2</v>
      </c>
      <c r="T4798">
        <v>-9.0937729999999994E-2</v>
      </c>
      <c r="U4798">
        <v>-3.0592649999999999</v>
      </c>
      <c r="V4798">
        <v>-7.2312639999999997E-2</v>
      </c>
      <c r="W4798">
        <v>0.18044350000000001</v>
      </c>
      <c r="X4798">
        <v>0.98092360000000001</v>
      </c>
      <c r="Y4798">
        <v>-4.485799E-2</v>
      </c>
      <c r="Z4798">
        <v>1.7333970000000001E-2</v>
      </c>
      <c r="AA4798">
        <v>0.99884300000000004</v>
      </c>
      <c r="AB4798">
        <v>33</v>
      </c>
      <c r="AC4798">
        <v>-0.111799999999959</v>
      </c>
      <c r="AD4798">
        <v>-1.123015083431</v>
      </c>
      <c r="AE4798">
        <v>-37.443100000000001</v>
      </c>
      <c r="AF4798">
        <v>-1.6918370301836501</v>
      </c>
      <c r="AG4798">
        <v>-1.123015083431</v>
      </c>
      <c r="AH4798">
        <v>37.371339257582001</v>
      </c>
      <c r="AI4798">
        <v>91.719469886962202</v>
      </c>
      <c r="AJ4798">
        <v>92.592066088492899</v>
      </c>
      <c r="AK4798">
        <v>37.426467550646599</v>
      </c>
      <c r="AL4798">
        <v>79.604406955123693</v>
      </c>
      <c r="AM4798">
        <v>94.216157159163998</v>
      </c>
      <c r="AN4798">
        <v>1.0000000418164801</v>
      </c>
    </row>
    <row r="4799" spans="1:40" x14ac:dyDescent="0.25">
      <c r="A4799" t="str">
        <f>"20190303162917158"</f>
        <v>20190303162917158</v>
      </c>
      <c r="B4799" t="str">
        <f>"1551601757136455"</f>
        <v>1551601757136455</v>
      </c>
      <c r="C4799" t="s">
        <v>40</v>
      </c>
      <c r="D4799">
        <v>4.063072</v>
      </c>
      <c r="E4799">
        <v>0.52371199999999996</v>
      </c>
      <c r="F4799" t="s">
        <v>41</v>
      </c>
      <c r="G4799">
        <v>-423.61079999999998</v>
      </c>
      <c r="H4799" s="1">
        <v>-2.3122219999999998E-6</v>
      </c>
      <c r="I4799">
        <v>42.739420000000003</v>
      </c>
      <c r="J4799">
        <v>-421.89330000000001</v>
      </c>
      <c r="K4799">
        <v>1.1231880000000001</v>
      </c>
      <c r="L4799">
        <v>92.65643</v>
      </c>
      <c r="M4799">
        <v>-4.5694520000000002E-2</v>
      </c>
      <c r="N4799">
        <v>-1.231937E-2</v>
      </c>
      <c r="O4799">
        <v>-0.99887969999999904</v>
      </c>
      <c r="P4799">
        <v>2.6913619999999999E-2</v>
      </c>
      <c r="Q4799">
        <v>0.1694956</v>
      </c>
      <c r="R4799">
        <v>-0.98516369999999998</v>
      </c>
      <c r="S4799">
        <v>-0.1053772</v>
      </c>
      <c r="T4799">
        <v>-6.8365930000000005E-2</v>
      </c>
      <c r="U4799">
        <v>-3.0587770000000001</v>
      </c>
      <c r="V4799">
        <v>-7.2762380000000002E-2</v>
      </c>
      <c r="W4799">
        <v>0.18124960000000001</v>
      </c>
      <c r="X4799">
        <v>0.98074170000000005</v>
      </c>
      <c r="Y4799">
        <v>-1.1275830000000001E-2</v>
      </c>
      <c r="Z4799">
        <v>9.9945429999999998E-3</v>
      </c>
      <c r="AA4799">
        <v>0.99988650000000001</v>
      </c>
      <c r="AB4799">
        <v>33</v>
      </c>
      <c r="AC4799">
        <v>-1.7174999999999701</v>
      </c>
      <c r="AD4799">
        <v>-1.1231903122219999</v>
      </c>
      <c r="AE4799">
        <v>-49.917009999999998</v>
      </c>
      <c r="AF4799">
        <v>-0.56511493653064104</v>
      </c>
      <c r="AG4799">
        <v>-1.1231903122219999</v>
      </c>
      <c r="AH4799">
        <v>49.918104314703001</v>
      </c>
      <c r="AI4799">
        <v>91.288892815608705</v>
      </c>
      <c r="AJ4799">
        <v>90.648608718622896</v>
      </c>
      <c r="AK4799">
        <v>49.933936854032801</v>
      </c>
      <c r="AL4799">
        <v>79.557446406356206</v>
      </c>
      <c r="AM4799">
        <v>94.243067569598907</v>
      </c>
      <c r="AN4799">
        <v>1.0000000317811499</v>
      </c>
    </row>
    <row r="4800" spans="1:40" x14ac:dyDescent="0.25">
      <c r="A4800" t="str">
        <f>"20190303162917270"</f>
        <v>20190303162917270</v>
      </c>
      <c r="B4800" t="str">
        <f>"1551601757266262"</f>
        <v>1551601757266262</v>
      </c>
      <c r="C4800" t="s">
        <v>40</v>
      </c>
      <c r="D4800">
        <v>4.7548089999999998</v>
      </c>
      <c r="E4800">
        <v>0.52797649999999996</v>
      </c>
      <c r="F4800" t="s">
        <v>41</v>
      </c>
      <c r="G4800">
        <v>-423.59289999999999</v>
      </c>
      <c r="H4800" s="1">
        <v>-1.0878429999999999E-6</v>
      </c>
      <c r="I4800">
        <v>39.896500000000003</v>
      </c>
      <c r="J4800">
        <v>-421.94729999999998</v>
      </c>
      <c r="K4800">
        <v>1.123454</v>
      </c>
      <c r="L4800">
        <v>90.995909999999995</v>
      </c>
      <c r="M4800">
        <v>-3.2402540000000001E-2</v>
      </c>
      <c r="N4800">
        <v>-1.232048E-2</v>
      </c>
      <c r="O4800">
        <v>-0.99939889999999998</v>
      </c>
      <c r="P4800">
        <v>5.3338799999999999E-2</v>
      </c>
      <c r="Q4800">
        <v>0.16906689999999999</v>
      </c>
      <c r="R4800">
        <v>-0.98416020000000004</v>
      </c>
      <c r="S4800">
        <v>-9.8541260000000006E-2</v>
      </c>
      <c r="T4800">
        <v>-6.5123799999999996E-2</v>
      </c>
      <c r="U4800">
        <v>-3.0590820000000001</v>
      </c>
      <c r="V4800">
        <v>-8.6179320000000004E-2</v>
      </c>
      <c r="W4800">
        <v>0.18068880000000001</v>
      </c>
      <c r="X4800">
        <v>0.97975749999999995</v>
      </c>
      <c r="Y4800">
        <v>-2.10373E-4</v>
      </c>
      <c r="Z4800">
        <v>8.9486970000000002E-3</v>
      </c>
      <c r="AA4800">
        <v>0.99995990000000001</v>
      </c>
      <c r="AB4800">
        <v>33</v>
      </c>
      <c r="AC4800">
        <v>-1.6456</v>
      </c>
      <c r="AD4800">
        <v>-1.1234550878430001</v>
      </c>
      <c r="AE4800">
        <v>-51.099409999999899</v>
      </c>
      <c r="AF4800">
        <v>-1.1135316006648299E-2</v>
      </c>
      <c r="AG4800">
        <v>-1.1234550878430001</v>
      </c>
      <c r="AH4800">
        <v>51.101224077604499</v>
      </c>
      <c r="AI4800">
        <v>91.259438829460606</v>
      </c>
      <c r="AJ4800">
        <v>90.012485152990806</v>
      </c>
      <c r="AK4800">
        <v>51.113573320197602</v>
      </c>
      <c r="AL4800">
        <v>79.590117383849005</v>
      </c>
      <c r="AM4800">
        <v>95.026790667042405</v>
      </c>
      <c r="AN4800">
        <v>1.00000003822367</v>
      </c>
    </row>
    <row r="4801" spans="1:40" x14ac:dyDescent="0.25">
      <c r="A4801" t="str">
        <f>"20190303162917293"</f>
        <v>20190303162917293</v>
      </c>
      <c r="B4801" t="str">
        <f>"1551601757286759"</f>
        <v>1551601757286759</v>
      </c>
      <c r="C4801" t="s">
        <v>40</v>
      </c>
      <c r="D4801">
        <v>4.8128609999999998</v>
      </c>
      <c r="E4801">
        <v>0.52294989999999997</v>
      </c>
      <c r="F4801" t="s">
        <v>44</v>
      </c>
      <c r="G4801">
        <v>-421.96230000000003</v>
      </c>
      <c r="H4801">
        <v>0.97562550000000003</v>
      </c>
      <c r="I4801">
        <v>90.103179999999995</v>
      </c>
      <c r="J4801">
        <v>-421.95600000000002</v>
      </c>
      <c r="K4801">
        <v>1.123394</v>
      </c>
      <c r="L4801">
        <v>90.649630000000002</v>
      </c>
      <c r="M4801">
        <v>-2.9857740000000001E-2</v>
      </c>
      <c r="N4801">
        <v>-1.231835E-2</v>
      </c>
      <c r="O4801">
        <v>-0.99947859999999999</v>
      </c>
      <c r="P4801">
        <v>5.7232669999999999E-2</v>
      </c>
      <c r="Q4801">
        <v>0.16977390000000001</v>
      </c>
      <c r="R4801">
        <v>-0.98382029999999998</v>
      </c>
      <c r="S4801">
        <v>-5.2246090000000002E-2</v>
      </c>
      <c r="T4801">
        <v>-0.52012230000000004</v>
      </c>
      <c r="U4801">
        <v>-3.1404719999999999</v>
      </c>
      <c r="V4801">
        <v>-8.7538359999999996E-2</v>
      </c>
      <c r="W4801">
        <v>0.18139640000000001</v>
      </c>
      <c r="X4801">
        <v>0.97950619999999999</v>
      </c>
      <c r="Y4801">
        <v>-1.340586E-2</v>
      </c>
      <c r="Z4801">
        <v>0.1511043</v>
      </c>
      <c r="AA4801">
        <v>0.9884269</v>
      </c>
      <c r="AB4801">
        <v>33</v>
      </c>
      <c r="AC4801">
        <v>-6.3000000000670298E-3</v>
      </c>
      <c r="AD4801">
        <v>-0.1477685</v>
      </c>
      <c r="AE4801">
        <v>-0.546449999999993</v>
      </c>
      <c r="AF4801">
        <v>-9.33712200983596E-3</v>
      </c>
      <c r="AG4801">
        <v>-0.1477685</v>
      </c>
      <c r="AH4801">
        <v>0.50916683256186801</v>
      </c>
      <c r="AI4801">
        <v>106.181010468431</v>
      </c>
      <c r="AJ4801">
        <v>91.050574573505997</v>
      </c>
      <c r="AK4801">
        <v>0.53025802664435195</v>
      </c>
      <c r="AL4801">
        <v>79.548893350994604</v>
      </c>
      <c r="AM4801">
        <v>95.106949907704902</v>
      </c>
      <c r="AN4801">
        <v>1.0000000071214401</v>
      </c>
    </row>
    <row r="4802" spans="1:40" x14ac:dyDescent="0.25">
      <c r="A4802" t="str">
        <f>"20190303162917315"</f>
        <v>20190303162917315</v>
      </c>
      <c r="B4802" t="str">
        <f>"1551601757306278"</f>
        <v>1551601757306278</v>
      </c>
      <c r="C4802" t="s">
        <v>40</v>
      </c>
      <c r="D4802">
        <v>5.3485480000000001</v>
      </c>
      <c r="E4802">
        <v>0.51770450000000001</v>
      </c>
      <c r="F4802" t="s">
        <v>44</v>
      </c>
      <c r="G4802">
        <v>-421.95679999999999</v>
      </c>
      <c r="H4802">
        <v>1.015568</v>
      </c>
      <c r="I4802">
        <v>89.785519999999906</v>
      </c>
      <c r="J4802">
        <v>-421.96339999999998</v>
      </c>
      <c r="K4802">
        <v>1.1233089999999999</v>
      </c>
      <c r="L4802">
        <v>90.327029999999993</v>
      </c>
      <c r="M4802">
        <v>-2.7655010000000001E-2</v>
      </c>
      <c r="N4802">
        <v>-1.2315639999999999E-2</v>
      </c>
      <c r="O4802">
        <v>-0.99954160000000003</v>
      </c>
      <c r="P4802">
        <v>5.9051079999999999E-2</v>
      </c>
      <c r="Q4802">
        <v>0.17025650000000001</v>
      </c>
      <c r="R4802">
        <v>-0.98362870000000002</v>
      </c>
      <c r="S4802">
        <v>-1.34277299999999E-3</v>
      </c>
      <c r="T4802">
        <v>-0.38910689999999998</v>
      </c>
      <c r="U4802">
        <v>-3.1165470000000002</v>
      </c>
      <c r="V4802">
        <v>-8.7148089999999998E-2</v>
      </c>
      <c r="W4802">
        <v>0.18189720000000001</v>
      </c>
      <c r="X4802">
        <v>0.97944810000000004</v>
      </c>
      <c r="Y4802">
        <v>-2.720616E-2</v>
      </c>
      <c r="Z4802">
        <v>0.1115662</v>
      </c>
      <c r="AA4802">
        <v>0.9933845</v>
      </c>
      <c r="AB4802">
        <v>33</v>
      </c>
      <c r="AC4802">
        <v>6.5999999999917201E-3</v>
      </c>
      <c r="AD4802">
        <v>-0.107741</v>
      </c>
      <c r="AE4802">
        <v>-0.54151000000001603</v>
      </c>
      <c r="AF4802">
        <v>-2.0752669270649001E-2</v>
      </c>
      <c r="AG4802">
        <v>-0.107741</v>
      </c>
      <c r="AH4802">
        <v>0.52051780911094003</v>
      </c>
      <c r="AI4802">
        <v>101.685371895022</v>
      </c>
      <c r="AJ4802">
        <v>92.283132153194202</v>
      </c>
      <c r="AK4802">
        <v>0.53195637599760903</v>
      </c>
      <c r="AL4802">
        <v>79.519713916127401</v>
      </c>
      <c r="AM4802">
        <v>95.084601341427799</v>
      </c>
      <c r="AN4802">
        <v>0.99999998077604801</v>
      </c>
    </row>
    <row r="4803" spans="1:40" x14ac:dyDescent="0.25">
      <c r="A4803" t="str">
        <f>"20190303162917337"</f>
        <v>20190303162917337</v>
      </c>
      <c r="B4803" t="str">
        <f>"1551601757326775"</f>
        <v>1551601757326775</v>
      </c>
      <c r="C4803" t="s">
        <v>40</v>
      </c>
      <c r="D4803">
        <v>4.8629300000000004</v>
      </c>
      <c r="E4803">
        <v>0.51463139999999996</v>
      </c>
      <c r="F4803" t="s">
        <v>41</v>
      </c>
      <c r="G4803">
        <v>-421.77629999999999</v>
      </c>
      <c r="H4803" s="1">
        <v>-3.9423639999999996E-6</v>
      </c>
      <c r="I4803">
        <v>77.677120000000002</v>
      </c>
      <c r="J4803">
        <v>-421.97059999999999</v>
      </c>
      <c r="K4803">
        <v>1.1231899999999999</v>
      </c>
      <c r="L4803">
        <v>89.995000000000005</v>
      </c>
      <c r="M4803">
        <v>-2.5580200000000001E-2</v>
      </c>
      <c r="N4803">
        <v>-1.231262E-2</v>
      </c>
      <c r="O4803">
        <v>-0.99959699999999996</v>
      </c>
      <c r="P4803">
        <v>5.9350680000000003E-2</v>
      </c>
      <c r="Q4803">
        <v>0.1709521</v>
      </c>
      <c r="R4803">
        <v>-0.98349039999999999</v>
      </c>
      <c r="S4803">
        <v>4.5776369999999997E-2</v>
      </c>
      <c r="T4803">
        <v>-0.27481499999999998</v>
      </c>
      <c r="U4803">
        <v>-3.094757</v>
      </c>
      <c r="V4803">
        <v>-8.5353090000000006E-2</v>
      </c>
      <c r="W4803">
        <v>0.18262539999999999</v>
      </c>
      <c r="X4803">
        <v>0.97947070000000003</v>
      </c>
      <c r="Y4803">
        <v>-4.0296449999999998E-2</v>
      </c>
      <c r="Z4803">
        <v>7.6094620000000002E-2</v>
      </c>
      <c r="AA4803">
        <v>0.996286</v>
      </c>
      <c r="AB4803">
        <v>33</v>
      </c>
      <c r="AC4803">
        <v>0.194299999999998</v>
      </c>
      <c r="AD4803">
        <v>-1.1231939423639901</v>
      </c>
      <c r="AE4803">
        <v>-12.317880000000001</v>
      </c>
      <c r="AF4803">
        <v>-0.50515503324606603</v>
      </c>
      <c r="AG4803">
        <v>-1.1231939423639901</v>
      </c>
      <c r="AH4803">
        <v>12.207404487922499</v>
      </c>
      <c r="AI4803">
        <v>95.252469559047796</v>
      </c>
      <c r="AJ4803">
        <v>92.369606714889997</v>
      </c>
      <c r="AK4803">
        <v>12.2693712378234</v>
      </c>
      <c r="AL4803">
        <v>79.477280782612397</v>
      </c>
      <c r="AM4803">
        <v>94.980291077582095</v>
      </c>
      <c r="AN4803">
        <v>1.00000001942809</v>
      </c>
    </row>
    <row r="4804" spans="1:40" x14ac:dyDescent="0.25">
      <c r="A4804" t="str">
        <f>"20190303162917359"</f>
        <v>20190303162917359</v>
      </c>
      <c r="B4804" t="str">
        <f>"1551601757357030"</f>
        <v>1551601757357030</v>
      </c>
      <c r="C4804" t="s">
        <v>40</v>
      </c>
      <c r="D4804">
        <v>4.795941</v>
      </c>
      <c r="E4804">
        <v>0.51201129999999995</v>
      </c>
      <c r="F4804" t="s">
        <v>41</v>
      </c>
      <c r="G4804">
        <v>-421.56939999999997</v>
      </c>
      <c r="H4804" s="1">
        <v>-1.808687E-6</v>
      </c>
      <c r="I4804">
        <v>72.831829999999997</v>
      </c>
      <c r="J4804">
        <v>-421.97710000000001</v>
      </c>
      <c r="K4804">
        <v>1.1230469999999999</v>
      </c>
      <c r="L4804">
        <v>89.666529999999995</v>
      </c>
      <c r="M4804">
        <v>-2.3735280000000001E-2</v>
      </c>
      <c r="N4804">
        <v>-1.230967E-2</v>
      </c>
      <c r="O4804">
        <v>-0.99964249999999999</v>
      </c>
      <c r="P4804">
        <v>5.8953789999999999E-2</v>
      </c>
      <c r="Q4804">
        <v>0.17295720000000001</v>
      </c>
      <c r="R4804">
        <v>-0.98316360000000003</v>
      </c>
      <c r="S4804">
        <v>7.2021479999999999E-2</v>
      </c>
      <c r="T4804">
        <v>-0.20163020000000001</v>
      </c>
      <c r="U4804">
        <v>-3.0810550000000001</v>
      </c>
      <c r="V4804">
        <v>-8.3079739999999999E-2</v>
      </c>
      <c r="W4804">
        <v>0.1846662</v>
      </c>
      <c r="X4804">
        <v>0.97928349999999997</v>
      </c>
      <c r="Y4804">
        <v>-4.7037910000000002E-2</v>
      </c>
      <c r="Z4804">
        <v>5.2937919999999999E-2</v>
      </c>
      <c r="AA4804">
        <v>0.99748930000000002</v>
      </c>
      <c r="AB4804">
        <v>33</v>
      </c>
      <c r="AC4804">
        <v>0.40770000000003298</v>
      </c>
      <c r="AD4804">
        <v>-1.1230488086870001</v>
      </c>
      <c r="AE4804">
        <v>-16.834699999999899</v>
      </c>
      <c r="AF4804">
        <v>-0.80361749636672597</v>
      </c>
      <c r="AG4804">
        <v>-1.1230488086870001</v>
      </c>
      <c r="AH4804">
        <v>16.745799308865902</v>
      </c>
      <c r="AI4804">
        <v>93.832370858318995</v>
      </c>
      <c r="AJ4804">
        <v>92.747470753715405</v>
      </c>
      <c r="AK4804">
        <v>16.802643666994001</v>
      </c>
      <c r="AL4804">
        <v>79.358328360271301</v>
      </c>
      <c r="AM4804">
        <v>94.849206006359907</v>
      </c>
      <c r="AN4804">
        <v>1.0000000109965701</v>
      </c>
    </row>
    <row r="4805" spans="1:40" x14ac:dyDescent="0.25">
      <c r="A4805" t="str">
        <f>"20190303162917516"</f>
        <v>20190303162917516</v>
      </c>
      <c r="B4805" t="str">
        <f>"1551601757506358"</f>
        <v>1551601757506358</v>
      </c>
      <c r="C4805" t="s">
        <v>40</v>
      </c>
      <c r="D4805">
        <v>4.2087899999999996</v>
      </c>
      <c r="E4805">
        <v>0.51219650000000005</v>
      </c>
      <c r="F4805" t="s">
        <v>41</v>
      </c>
      <c r="G4805">
        <v>-421.24040000000002</v>
      </c>
      <c r="H4805" s="1">
        <v>-2.7272240000000001E-6</v>
      </c>
      <c r="I4805">
        <v>65.177019999999999</v>
      </c>
      <c r="J4805">
        <v>-422.01459999999997</v>
      </c>
      <c r="K4805">
        <v>1.1222289999999999</v>
      </c>
      <c r="L4805">
        <v>87.332549999999998</v>
      </c>
      <c r="M4805">
        <v>-1.5592190000000001E-2</v>
      </c>
      <c r="N4805">
        <v>-1.2292610000000001E-2</v>
      </c>
      <c r="O4805">
        <v>-0.99980279999999999</v>
      </c>
      <c r="P4805">
        <v>4.978519E-2</v>
      </c>
      <c r="Q4805">
        <v>0.18048810000000001</v>
      </c>
      <c r="R4805">
        <v>-0.98231630000000003</v>
      </c>
      <c r="S4805">
        <v>9.2376710000000001E-2</v>
      </c>
      <c r="T4805">
        <v>-0.140812299999999</v>
      </c>
      <c r="U4805">
        <v>-3.0705870000000002</v>
      </c>
      <c r="V4805">
        <v>-6.5540189999999998E-2</v>
      </c>
      <c r="W4805">
        <v>0.19238820000000001</v>
      </c>
      <c r="X4805">
        <v>0.97912779999999999</v>
      </c>
      <c r="Y4805">
        <v>-4.5620260000000003E-2</v>
      </c>
      <c r="Z4805">
        <v>3.3481700000000003E-2</v>
      </c>
      <c r="AA4805">
        <v>0.9983976</v>
      </c>
      <c r="AB4805">
        <v>33</v>
      </c>
      <c r="AC4805">
        <v>0.77419999999995004</v>
      </c>
      <c r="AD4805">
        <v>-1.1222317272239899</v>
      </c>
      <c r="AE4805">
        <v>-22.155529999999999</v>
      </c>
      <c r="AF4805">
        <v>-1.1167235800362101</v>
      </c>
      <c r="AG4805">
        <v>-1.1222317272239899</v>
      </c>
      <c r="AH4805">
        <v>22.084172260160599</v>
      </c>
      <c r="AI4805">
        <v>92.905340648614597</v>
      </c>
      <c r="AJ4805">
        <v>92.894792508937698</v>
      </c>
      <c r="AK4805">
        <v>22.140847771037201</v>
      </c>
      <c r="AL4805">
        <v>78.907810178427496</v>
      </c>
      <c r="AM4805">
        <v>93.829513183299497</v>
      </c>
      <c r="AN4805">
        <v>0.999999992368658</v>
      </c>
    </row>
    <row r="4806" spans="1:40" x14ac:dyDescent="0.25">
      <c r="A4806" t="str">
        <f>"20190303162917539"</f>
        <v>20190303162917539</v>
      </c>
      <c r="B4806" t="str">
        <f>"1551601757526855"</f>
        <v>1551601757526855</v>
      </c>
      <c r="C4806" t="s">
        <v>40</v>
      </c>
      <c r="D4806">
        <v>5.5627440000000004</v>
      </c>
      <c r="E4806">
        <v>0.50346000000000002</v>
      </c>
      <c r="F4806" t="s">
        <v>41</v>
      </c>
      <c r="G4806">
        <v>-421.25029999999998</v>
      </c>
      <c r="H4806" s="1">
        <v>-1.497083E-6</v>
      </c>
      <c r="I4806">
        <v>52.303379999999997</v>
      </c>
      <c r="J4806">
        <v>-422.01889999999997</v>
      </c>
      <c r="K4806">
        <v>1.1221950000000001</v>
      </c>
      <c r="L4806">
        <v>86.99606</v>
      </c>
      <c r="M4806">
        <v>-1.472031E-2</v>
      </c>
      <c r="N4806">
        <v>-1.229093E-2</v>
      </c>
      <c r="O4806">
        <v>-0.99981640000000005</v>
      </c>
      <c r="P4806">
        <v>4.8419700000000003E-2</v>
      </c>
      <c r="Q4806">
        <v>0.18150060000000001</v>
      </c>
      <c r="R4806">
        <v>-0.98219849999999997</v>
      </c>
      <c r="S4806">
        <v>6.6955570000000006E-2</v>
      </c>
      <c r="T4806">
        <v>-9.8311899999999994E-2</v>
      </c>
      <c r="U4806">
        <v>-3.068695</v>
      </c>
      <c r="V4806">
        <v>-6.3300499999999996E-2</v>
      </c>
      <c r="W4806">
        <v>0.1934101</v>
      </c>
      <c r="X4806">
        <v>0.97907379999999999</v>
      </c>
      <c r="Y4806">
        <v>-3.6515079999999998E-2</v>
      </c>
      <c r="Z4806">
        <v>1.9711909999999999E-2</v>
      </c>
      <c r="AA4806">
        <v>0.99913870000000005</v>
      </c>
      <c r="AB4806">
        <v>33</v>
      </c>
      <c r="AC4806">
        <v>0.76859999999999196</v>
      </c>
      <c r="AD4806">
        <v>-1.1221964970829901</v>
      </c>
      <c r="AE4806">
        <v>-34.692679999999903</v>
      </c>
      <c r="AF4806">
        <v>-1.2779057074533</v>
      </c>
      <c r="AG4806">
        <v>-1.1221964970829901</v>
      </c>
      <c r="AH4806">
        <v>34.641377629889</v>
      </c>
      <c r="AI4806">
        <v>91.854169535347097</v>
      </c>
      <c r="AJ4806">
        <v>92.112658987565894</v>
      </c>
      <c r="AK4806">
        <v>34.683099804829801</v>
      </c>
      <c r="AL4806">
        <v>78.848138575094396</v>
      </c>
      <c r="AM4806">
        <v>93.699221275815006</v>
      </c>
      <c r="AN4806">
        <v>0.99999996296434901</v>
      </c>
    </row>
    <row r="4807" spans="1:40" x14ac:dyDescent="0.25">
      <c r="A4807" t="str">
        <f>"20190303162917561"</f>
        <v>20190303162917561</v>
      </c>
      <c r="B4807" t="str">
        <f>"1551601757557111"</f>
        <v>1551601757557111</v>
      </c>
      <c r="C4807" t="s">
        <v>40</v>
      </c>
      <c r="D4807">
        <v>4.9147169999999996</v>
      </c>
      <c r="E4807">
        <v>0.49165439999999999</v>
      </c>
      <c r="F4807" t="s">
        <v>44</v>
      </c>
      <c r="G4807">
        <v>-421.98399999999998</v>
      </c>
      <c r="H4807">
        <v>0.90602830000000001</v>
      </c>
      <c r="I4807">
        <v>86.257130000000004</v>
      </c>
      <c r="J4807">
        <v>-422.02289999999999</v>
      </c>
      <c r="K4807">
        <v>1.1221669999999999</v>
      </c>
      <c r="L4807">
        <v>86.658749999999998</v>
      </c>
      <c r="M4807">
        <v>-1.3835999999999999E-2</v>
      </c>
      <c r="N4807">
        <v>-1.2289380000000001E-2</v>
      </c>
      <c r="O4807">
        <v>-0.99982890000000002</v>
      </c>
      <c r="P4807">
        <v>4.7024169999999997E-2</v>
      </c>
      <c r="Q4807">
        <v>0.18216969999999999</v>
      </c>
      <c r="R4807">
        <v>-0.98214230000000002</v>
      </c>
      <c r="S4807">
        <v>0.15359500000000001</v>
      </c>
      <c r="T4807">
        <v>-0.94234870000000004</v>
      </c>
      <c r="U4807">
        <v>-3.2209469999999998</v>
      </c>
      <c r="V4807">
        <v>-6.1024929999999998E-2</v>
      </c>
      <c r="W4807">
        <v>0.19408700000000001</v>
      </c>
      <c r="X4807">
        <v>0.97908439999999997</v>
      </c>
      <c r="Y4807">
        <v>-5.9586060000000003E-2</v>
      </c>
      <c r="Z4807">
        <v>0.26854</v>
      </c>
      <c r="AA4807">
        <v>0.96142380000000005</v>
      </c>
      <c r="AB4807">
        <v>33</v>
      </c>
      <c r="AC4807">
        <v>3.8899999999955498E-2</v>
      </c>
      <c r="AD4807">
        <v>-0.21613869999999899</v>
      </c>
      <c r="AE4807">
        <v>-0.40161999999999398</v>
      </c>
      <c r="AF4807">
        <v>-3.4542234088620102E-2</v>
      </c>
      <c r="AG4807">
        <v>-0.21613869999999899</v>
      </c>
      <c r="AH4807">
        <v>0.31162739420382202</v>
      </c>
      <c r="AI4807">
        <v>124.58077036290901</v>
      </c>
      <c r="AJ4807">
        <v>96.325111236383805</v>
      </c>
      <c r="AK4807">
        <v>0.38081588253615001</v>
      </c>
      <c r="AL4807">
        <v>78.808606770026699</v>
      </c>
      <c r="AM4807">
        <v>93.566550241204695</v>
      </c>
      <c r="AN4807">
        <v>1.0000000339869299</v>
      </c>
    </row>
    <row r="4808" spans="1:40" x14ac:dyDescent="0.25">
      <c r="A4808" t="str">
        <f>"20190303162917584"</f>
        <v>20190303162917584</v>
      </c>
      <c r="B4808" t="str">
        <f>"1551601757576630"</f>
        <v>1551601757576630</v>
      </c>
      <c r="C4808" t="s">
        <v>40</v>
      </c>
      <c r="D4808">
        <v>5.0153059999999998</v>
      </c>
      <c r="E4808">
        <v>0.49072959999999899</v>
      </c>
      <c r="F4808" t="s">
        <v>41</v>
      </c>
      <c r="G4808">
        <v>-419.07299999999998</v>
      </c>
      <c r="H4808" s="1">
        <v>-2.9943549999999999E-6</v>
      </c>
      <c r="I4808">
        <v>46.229399999999998</v>
      </c>
      <c r="J4808">
        <v>-422.0265</v>
      </c>
      <c r="K4808">
        <v>1.122147</v>
      </c>
      <c r="L4808">
        <v>86.325469999999996</v>
      </c>
      <c r="M4808">
        <v>-1.294496E-2</v>
      </c>
      <c r="N4808">
        <v>-1.22881E-2</v>
      </c>
      <c r="O4808">
        <v>-0.99984099999999998</v>
      </c>
      <c r="P4808">
        <v>4.6088400000000002E-2</v>
      </c>
      <c r="Q4808">
        <v>0.18224499999999999</v>
      </c>
      <c r="R4808">
        <v>-0.98217279999999996</v>
      </c>
      <c r="S4808">
        <v>0.22323609999999999</v>
      </c>
      <c r="T4808">
        <v>-8.4923269999999995E-2</v>
      </c>
      <c r="U4808">
        <v>-3.0596009999999998</v>
      </c>
      <c r="V4808">
        <v>-5.9207299999999997E-2</v>
      </c>
      <c r="W4808">
        <v>0.19416839999999999</v>
      </c>
      <c r="X4808">
        <v>0.97917989999999999</v>
      </c>
      <c r="Y4808">
        <v>-8.5644979999999996E-2</v>
      </c>
      <c r="Z4808">
        <v>1.5363190000000001E-2</v>
      </c>
      <c r="AA4808">
        <v>0.99620719999999996</v>
      </c>
      <c r="AB4808">
        <v>33</v>
      </c>
      <c r="AC4808">
        <v>2.95349999999996</v>
      </c>
      <c r="AD4808">
        <v>-1.122149994355</v>
      </c>
      <c r="AE4808">
        <v>-40.096069999999997</v>
      </c>
      <c r="AF4808">
        <v>-3.4696306410498901</v>
      </c>
      <c r="AG4808">
        <v>-1.122149994355</v>
      </c>
      <c r="AH4808">
        <v>40.023295135547698</v>
      </c>
      <c r="AI4808">
        <v>91.600007380543303</v>
      </c>
      <c r="AJ4808">
        <v>94.954600303582296</v>
      </c>
      <c r="AK4808">
        <v>40.189074521594797</v>
      </c>
      <c r="AL4808">
        <v>78.803852905393697</v>
      </c>
      <c r="AM4808">
        <v>93.460245814318398</v>
      </c>
      <c r="AN4808">
        <v>1.00000007424792</v>
      </c>
    </row>
    <row r="4809" spans="1:40" x14ac:dyDescent="0.25">
      <c r="A4809" t="str">
        <f>"20190303162917605"</f>
        <v>20190303162917605</v>
      </c>
      <c r="B4809" t="str">
        <f>"1551601757597127"</f>
        <v>1551601757597127</v>
      </c>
      <c r="C4809" t="s">
        <v>40</v>
      </c>
      <c r="D4809">
        <v>5.2061409999999997</v>
      </c>
      <c r="E4809">
        <v>0.48891420000000002</v>
      </c>
      <c r="F4809" t="s">
        <v>41</v>
      </c>
      <c r="G4809">
        <v>-418.79109999999997</v>
      </c>
      <c r="H4809" s="1">
        <v>-1.6044240000000001E-6</v>
      </c>
      <c r="I4809">
        <v>42.872860000000003</v>
      </c>
      <c r="J4809">
        <v>-422.02969999999999</v>
      </c>
      <c r="K4809">
        <v>1.122139</v>
      </c>
      <c r="L4809">
        <v>85.999510000000001</v>
      </c>
      <c r="M4809">
        <v>-1.205729E-2</v>
      </c>
      <c r="N4809">
        <v>-1.228694E-2</v>
      </c>
      <c r="O4809">
        <v>-0.99985190000000002</v>
      </c>
      <c r="P4809">
        <v>4.6074480000000001E-2</v>
      </c>
      <c r="Q4809">
        <v>0.1828091</v>
      </c>
      <c r="R4809">
        <v>-0.98206839999999995</v>
      </c>
      <c r="S4809">
        <v>0.22772220000000001</v>
      </c>
      <c r="T4809">
        <v>-7.8983189999999995E-2</v>
      </c>
      <c r="U4809">
        <v>-3.0584410000000002</v>
      </c>
      <c r="V4809">
        <v>-5.8318160000000001E-2</v>
      </c>
      <c r="W4809">
        <v>0.1947334</v>
      </c>
      <c r="X4809">
        <v>0.97912100000000002</v>
      </c>
      <c r="Y4809">
        <v>-8.6244100000000004E-2</v>
      </c>
      <c r="Z4809">
        <v>1.343925E-2</v>
      </c>
      <c r="AA4809">
        <v>0.99618340000000005</v>
      </c>
      <c r="AB4809">
        <v>33</v>
      </c>
      <c r="AC4809">
        <v>3.2386000000000101</v>
      </c>
      <c r="AD4809">
        <v>-1.1221406044239901</v>
      </c>
      <c r="AE4809">
        <v>-43.126649999999998</v>
      </c>
      <c r="AF4809">
        <v>-3.7558657359313701</v>
      </c>
      <c r="AG4809">
        <v>-1.1221406044239901</v>
      </c>
      <c r="AH4809">
        <v>43.055476824448697</v>
      </c>
      <c r="AI4809">
        <v>91.487297303496803</v>
      </c>
      <c r="AJ4809">
        <v>94.985472183504001</v>
      </c>
      <c r="AK4809">
        <v>43.233549606099601</v>
      </c>
      <c r="AL4809">
        <v>78.770850225925599</v>
      </c>
      <c r="AM4809">
        <v>93.408609891480594</v>
      </c>
      <c r="AN4809">
        <v>1.00000001875117</v>
      </c>
    </row>
    <row r="4810" spans="1:40" x14ac:dyDescent="0.25">
      <c r="A4810" t="str">
        <f>"20190303162917627"</f>
        <v>20190303162917627</v>
      </c>
      <c r="B4810" t="str">
        <f>"1551601757616647"</f>
        <v>1551601757616647</v>
      </c>
      <c r="C4810" t="s">
        <v>40</v>
      </c>
      <c r="D4810">
        <v>4.9077520000000003</v>
      </c>
      <c r="E4810">
        <v>0.4875294</v>
      </c>
      <c r="F4810" t="s">
        <v>41</v>
      </c>
      <c r="G4810">
        <v>-418.41809999999998</v>
      </c>
      <c r="H4810" s="1">
        <v>-5.6049000000000001E-7</v>
      </c>
      <c r="I4810">
        <v>40.058210000000003</v>
      </c>
      <c r="J4810">
        <v>-422.03269999999998</v>
      </c>
      <c r="K4810">
        <v>1.1221350000000001</v>
      </c>
      <c r="L4810">
        <v>85.673069999999996</v>
      </c>
      <c r="M4810">
        <v>-1.11559E-2</v>
      </c>
      <c r="N4810">
        <v>-1.2285849999999999E-2</v>
      </c>
      <c r="O4810">
        <v>-0.99986260000000005</v>
      </c>
      <c r="P4810">
        <v>4.6762159999999997E-2</v>
      </c>
      <c r="Q4810">
        <v>0.1836293</v>
      </c>
      <c r="R4810">
        <v>-0.98188299999999995</v>
      </c>
      <c r="S4810">
        <v>0.2403564</v>
      </c>
      <c r="T4810">
        <v>-7.4678659999999994E-2</v>
      </c>
      <c r="U4810">
        <v>-3.057404</v>
      </c>
      <c r="V4810">
        <v>-5.8117540000000002E-2</v>
      </c>
      <c r="W4810">
        <v>0.19555230000000001</v>
      </c>
      <c r="X4810">
        <v>0.97896970000000005</v>
      </c>
      <c r="Y4810">
        <v>-8.9464509999999997E-2</v>
      </c>
      <c r="Z4810">
        <v>1.204008E-2</v>
      </c>
      <c r="AA4810">
        <v>0.99591730000000001</v>
      </c>
      <c r="AB4810">
        <v>33</v>
      </c>
      <c r="AC4810">
        <v>3.61459999999999</v>
      </c>
      <c r="AD4810">
        <v>-1.1221355604899901</v>
      </c>
      <c r="AE4810">
        <v>-45.61486</v>
      </c>
      <c r="AF4810">
        <v>-4.1208098707541403</v>
      </c>
      <c r="AG4810">
        <v>-1.1221355604899901</v>
      </c>
      <c r="AH4810">
        <v>45.544303766142903</v>
      </c>
      <c r="AI4810">
        <v>91.405647141515402</v>
      </c>
      <c r="AJ4810">
        <v>95.1699960522932</v>
      </c>
      <c r="AK4810">
        <v>45.744112929968601</v>
      </c>
      <c r="AL4810">
        <v>78.723010917051099</v>
      </c>
      <c r="AM4810">
        <v>93.397435219640101</v>
      </c>
      <c r="AN4810">
        <v>1.0000000120045101</v>
      </c>
    </row>
    <row r="4811" spans="1:40" x14ac:dyDescent="0.25">
      <c r="A4811" t="str">
        <f>"20190303162917649"</f>
        <v>20190303162917649</v>
      </c>
      <c r="B4811" t="str">
        <f>"1551601757637143"</f>
        <v>1551601757637143</v>
      </c>
      <c r="C4811" t="s">
        <v>40</v>
      </c>
      <c r="D4811">
        <v>5.2018620000000002</v>
      </c>
      <c r="E4811">
        <v>0.4867976</v>
      </c>
      <c r="F4811" t="s">
        <v>57</v>
      </c>
      <c r="G4811">
        <v>-418.0625</v>
      </c>
      <c r="H4811" s="1">
        <v>-1.7359810000000001E-6</v>
      </c>
      <c r="I4811">
        <v>37.67606</v>
      </c>
      <c r="J4811">
        <v>-422.03539999999998</v>
      </c>
      <c r="K4811">
        <v>1.1221319999999999</v>
      </c>
      <c r="L4811">
        <v>85.340969999999999</v>
      </c>
      <c r="M4811">
        <v>-1.0229429999999999E-2</v>
      </c>
      <c r="N4811">
        <v>-1.228484E-2</v>
      </c>
      <c r="O4811">
        <v>-0.99987230000000005</v>
      </c>
      <c r="P4811">
        <v>4.7648879999999998E-2</v>
      </c>
      <c r="Q4811">
        <v>0.18494650000000001</v>
      </c>
      <c r="R4811">
        <v>-0.98159300000000005</v>
      </c>
      <c r="S4811">
        <v>0.25283810000000001</v>
      </c>
      <c r="T4811">
        <v>-7.1462869999999998E-2</v>
      </c>
      <c r="U4811">
        <v>-3.0566710000000001</v>
      </c>
      <c r="V4811">
        <v>-5.8092169999999999E-2</v>
      </c>
      <c r="W4811">
        <v>0.19686619999999999</v>
      </c>
      <c r="X4811">
        <v>0.97870780000000002</v>
      </c>
      <c r="Y4811">
        <v>-9.2601180000000005E-2</v>
      </c>
      <c r="Z4811">
        <v>1.0992709999999999E-2</v>
      </c>
      <c r="AA4811">
        <v>0.99564260000000004</v>
      </c>
      <c r="AB4811">
        <v>33</v>
      </c>
      <c r="AC4811">
        <v>3.9728999999999801</v>
      </c>
      <c r="AD4811">
        <v>-1.122133735981</v>
      </c>
      <c r="AE4811">
        <v>-47.664909999999999</v>
      </c>
      <c r="AF4811">
        <v>-4.4578600700238997</v>
      </c>
      <c r="AG4811">
        <v>-1.122133735981</v>
      </c>
      <c r="AH4811">
        <v>47.595575138267499</v>
      </c>
      <c r="AI4811">
        <v>91.344696649547302</v>
      </c>
      <c r="AJ4811">
        <v>95.350783120201498</v>
      </c>
      <c r="AK4811">
        <v>47.817052118128402</v>
      </c>
      <c r="AL4811">
        <v>78.646237296654206</v>
      </c>
      <c r="AM4811">
        <v>93.3968622342543</v>
      </c>
      <c r="AN4811">
        <v>0.99999997934929397</v>
      </c>
    </row>
    <row r="4812" spans="1:40" x14ac:dyDescent="0.25">
      <c r="A4812" t="str">
        <f>"20190303162917673"</f>
        <v>20190303162917673</v>
      </c>
      <c r="B4812" t="str">
        <f>"1551601757666423"</f>
        <v>1551601757666423</v>
      </c>
      <c r="C4812" t="s">
        <v>40</v>
      </c>
      <c r="D4812">
        <v>5.2111369999999999</v>
      </c>
      <c r="E4812">
        <v>0.4866356</v>
      </c>
      <c r="F4812" t="s">
        <v>57</v>
      </c>
      <c r="G4812">
        <v>-417.57159999999999</v>
      </c>
      <c r="H4812" s="1">
        <v>-4.4267609999999997E-6</v>
      </c>
      <c r="I4812">
        <v>33.201090000000001</v>
      </c>
      <c r="J4812">
        <v>-422.03800000000001</v>
      </c>
      <c r="K4812">
        <v>1.1221299999999901</v>
      </c>
      <c r="L4812">
        <v>84.987179999999995</v>
      </c>
      <c r="M4812">
        <v>-9.2352000000000007E-3</v>
      </c>
      <c r="N4812">
        <v>-1.228391E-2</v>
      </c>
      <c r="O4812">
        <v>-0.99988180000000004</v>
      </c>
      <c r="P4812">
        <v>4.8657970000000002E-2</v>
      </c>
      <c r="Q4812">
        <v>0.18636330000000001</v>
      </c>
      <c r="R4812">
        <v>-0.98127509999999996</v>
      </c>
      <c r="S4812">
        <v>0.2616272</v>
      </c>
      <c r="T4812">
        <v>-6.5768839999999995E-2</v>
      </c>
      <c r="U4812">
        <v>-3.055939</v>
      </c>
      <c r="V4812">
        <v>-5.8122880000000002E-2</v>
      </c>
      <c r="W4812">
        <v>0.19827919999999999</v>
      </c>
      <c r="X4812">
        <v>0.97842070000000003</v>
      </c>
      <c r="Y4812">
        <v>-9.4476169999999998E-2</v>
      </c>
      <c r="Z4812">
        <v>9.1404510000000008E-3</v>
      </c>
      <c r="AA4812">
        <v>0.99548519999999896</v>
      </c>
      <c r="AB4812">
        <v>33</v>
      </c>
      <c r="AC4812">
        <v>4.4664000000000197</v>
      </c>
      <c r="AD4812">
        <v>-1.1221344267609901</v>
      </c>
      <c r="AE4812">
        <v>-51.786090000000002</v>
      </c>
      <c r="AF4812">
        <v>-4.9421971568704404</v>
      </c>
      <c r="AG4812">
        <v>-1.1221344267609901</v>
      </c>
      <c r="AH4812">
        <v>51.718525905663199</v>
      </c>
      <c r="AI4812">
        <v>91.237314079369597</v>
      </c>
      <c r="AJ4812">
        <v>95.4585818310224</v>
      </c>
      <c r="AK4812">
        <v>51.966243083985397</v>
      </c>
      <c r="AL4812">
        <v>78.563650520924398</v>
      </c>
      <c r="AM4812">
        <v>93.399648687627007</v>
      </c>
      <c r="AN4812">
        <v>0.999999988260312</v>
      </c>
    </row>
    <row r="4813" spans="1:40" x14ac:dyDescent="0.25">
      <c r="A4813" t="str">
        <f>"20190303162917694"</f>
        <v>20190303162917694</v>
      </c>
      <c r="B4813" t="str">
        <f>"1551601757686919"</f>
        <v>1551601757686919</v>
      </c>
      <c r="C4813" t="s">
        <v>40</v>
      </c>
      <c r="D4813">
        <v>5.2091779999999996</v>
      </c>
      <c r="E4813">
        <v>0.48661769999999999</v>
      </c>
      <c r="F4813" t="s">
        <v>57</v>
      </c>
      <c r="G4813">
        <v>-416.82589999999999</v>
      </c>
      <c r="H4813" s="1">
        <v>-7.8858190000000003E-6</v>
      </c>
      <c r="I4813">
        <v>25.167179999999998</v>
      </c>
      <c r="J4813">
        <v>-422.04</v>
      </c>
      <c r="K4813">
        <v>1.1221449999999999</v>
      </c>
      <c r="L4813">
        <v>84.667299999999997</v>
      </c>
      <c r="M4813">
        <v>-8.3331189999999999E-3</v>
      </c>
      <c r="N4813">
        <v>-1.228316E-2</v>
      </c>
      <c r="O4813">
        <v>-0.9998899</v>
      </c>
      <c r="P4813">
        <v>4.9737009999999998E-2</v>
      </c>
      <c r="Q4813">
        <v>0.18790090000000001</v>
      </c>
      <c r="R4813">
        <v>-0.98092789999999996</v>
      </c>
      <c r="S4813">
        <v>0.26617429999999997</v>
      </c>
      <c r="T4813">
        <v>-5.7306169999999997E-2</v>
      </c>
      <c r="U4813">
        <v>-3.054932</v>
      </c>
      <c r="V4813">
        <v>-5.8316159999999999E-2</v>
      </c>
      <c r="W4813">
        <v>0.19981199999999999</v>
      </c>
      <c r="X4813">
        <v>0.97809729999999995</v>
      </c>
      <c r="Y4813">
        <v>-9.5079990000000003E-2</v>
      </c>
      <c r="Z4813">
        <v>6.3895879999999999E-3</v>
      </c>
      <c r="AA4813">
        <v>0.99544909999999998</v>
      </c>
      <c r="AB4813">
        <v>33</v>
      </c>
      <c r="AC4813">
        <v>5.2141000000000304</v>
      </c>
      <c r="AD4813">
        <v>-1.122152885819</v>
      </c>
      <c r="AE4813">
        <v>-59.500120000000003</v>
      </c>
      <c r="AF4813">
        <v>-5.7077631828707904</v>
      </c>
      <c r="AG4813">
        <v>-1.122152885819</v>
      </c>
      <c r="AH4813">
        <v>59.433622108033497</v>
      </c>
      <c r="AI4813">
        <v>91.076707626957898</v>
      </c>
      <c r="AJ4813">
        <v>95.485630285689794</v>
      </c>
      <c r="AK4813">
        <v>59.717612347877797</v>
      </c>
      <c r="AL4813">
        <v>78.474034115410305</v>
      </c>
      <c r="AM4813">
        <v>93.412052256631</v>
      </c>
      <c r="AN4813">
        <v>0.99999996906421695</v>
      </c>
    </row>
    <row r="4814" spans="1:40" x14ac:dyDescent="0.25">
      <c r="A4814" t="str">
        <f>"20190303162917718"</f>
        <v>20190303162917718</v>
      </c>
      <c r="B4814" t="str">
        <f>"1551601757706438"</f>
        <v>1551601757706438</v>
      </c>
      <c r="C4814" t="s">
        <v>40</v>
      </c>
      <c r="D4814">
        <v>5.2658399999999999</v>
      </c>
      <c r="E4814">
        <v>0.48651499999999998</v>
      </c>
      <c r="F4814" t="s">
        <v>57</v>
      </c>
      <c r="G4814">
        <v>-416.14949999999999</v>
      </c>
      <c r="H4814" s="1">
        <v>-1.20249399999999E-5</v>
      </c>
      <c r="I4814">
        <v>18.16066</v>
      </c>
      <c r="J4814">
        <v>-422.04180000000002</v>
      </c>
      <c r="K4814">
        <v>1.1221570000000001</v>
      </c>
      <c r="L4814">
        <v>84.331299999999999</v>
      </c>
      <c r="M4814">
        <v>-7.3848100000000003E-3</v>
      </c>
      <c r="N4814">
        <v>-1.228248E-2</v>
      </c>
      <c r="O4814">
        <v>-0.99989749999999999</v>
      </c>
      <c r="P4814">
        <v>5.0653330000000003E-2</v>
      </c>
      <c r="Q4814">
        <v>0.18970290000000001</v>
      </c>
      <c r="R4814">
        <v>-0.98053409999999996</v>
      </c>
      <c r="S4814">
        <v>0.27053829999999901</v>
      </c>
      <c r="T4814">
        <v>-5.1538229999999997E-2</v>
      </c>
      <c r="U4814">
        <v>-3.0545040000000001</v>
      </c>
      <c r="V4814">
        <v>-5.830217E-2</v>
      </c>
      <c r="W4814">
        <v>0.20160900000000001</v>
      </c>
      <c r="X4814">
        <v>0.97772930000000002</v>
      </c>
      <c r="Y4814">
        <v>-9.5561140000000003E-2</v>
      </c>
      <c r="Z4814">
        <v>4.5122859999999999E-3</v>
      </c>
      <c r="AA4814">
        <v>0.9954134</v>
      </c>
      <c r="AB4814">
        <v>33</v>
      </c>
      <c r="AC4814">
        <v>5.8923000000000298</v>
      </c>
      <c r="AD4814">
        <v>-1.12216902494</v>
      </c>
      <c r="AE4814">
        <v>-66.170639999999906</v>
      </c>
      <c r="AF4814">
        <v>-6.3790135136035202</v>
      </c>
      <c r="AG4814">
        <v>-1.12216902494</v>
      </c>
      <c r="AH4814">
        <v>66.106456074874799</v>
      </c>
      <c r="AI4814">
        <v>90.968017256692605</v>
      </c>
      <c r="AJ4814">
        <v>95.511752537170807</v>
      </c>
      <c r="AK4814">
        <v>66.4229976100644</v>
      </c>
      <c r="AL4814">
        <v>78.368934742815597</v>
      </c>
      <c r="AM4814">
        <v>93.412516536290397</v>
      </c>
      <c r="AN4814">
        <v>0.99999995799309804</v>
      </c>
    </row>
    <row r="4815" spans="1:40" x14ac:dyDescent="0.25">
      <c r="A4815" t="str">
        <f>"20190303162917740"</f>
        <v>20190303162917740</v>
      </c>
      <c r="B4815" t="str">
        <f>"1551601757736695"</f>
        <v>1551601757736695</v>
      </c>
      <c r="C4815" t="s">
        <v>40</v>
      </c>
      <c r="D4815">
        <v>5.2640609999999999</v>
      </c>
      <c r="E4815">
        <v>0.48641240000000002</v>
      </c>
      <c r="F4815" t="s">
        <v>57</v>
      </c>
      <c r="G4815">
        <v>-415.31799999999998</v>
      </c>
      <c r="H4815">
        <v>2.5880009999999998E-2</v>
      </c>
      <c r="I4815">
        <v>9.6162679999999998</v>
      </c>
      <c r="J4815">
        <v>-422.04329999999999</v>
      </c>
      <c r="K4815">
        <v>1.122166</v>
      </c>
      <c r="L4815">
        <v>83.989649999999997</v>
      </c>
      <c r="M4815">
        <v>-6.421614E-3</v>
      </c>
      <c r="N4815">
        <v>-1.228184E-2</v>
      </c>
      <c r="O4815">
        <v>-0.99990420000000002</v>
      </c>
      <c r="P4815">
        <v>5.1477040000000002E-2</v>
      </c>
      <c r="Q4815">
        <v>0.1918474</v>
      </c>
      <c r="R4815">
        <v>-0.980074</v>
      </c>
      <c r="S4815">
        <v>0.27484130000000001</v>
      </c>
      <c r="T4815">
        <v>-4.4810889999999999E-2</v>
      </c>
      <c r="U4815">
        <v>-3.0540159999999998</v>
      </c>
      <c r="V4815">
        <v>-5.8182610000000003E-2</v>
      </c>
      <c r="W4815">
        <v>0.2037485</v>
      </c>
      <c r="X4815">
        <v>0.97729279999999996</v>
      </c>
      <c r="Y4815">
        <v>-9.6009540000000004E-2</v>
      </c>
      <c r="Z4815">
        <v>2.3221769999999999E-3</v>
      </c>
      <c r="AA4815">
        <v>0.99537770000000003</v>
      </c>
      <c r="AB4815">
        <v>33</v>
      </c>
      <c r="AC4815">
        <v>6.7252999999999403</v>
      </c>
      <c r="AD4815">
        <v>-1.0962859899999999</v>
      </c>
      <c r="AE4815">
        <v>-74.373381999999907</v>
      </c>
      <c r="AF4815">
        <v>-7.2012424009434204</v>
      </c>
      <c r="AG4815">
        <v>-1.0962859899999999</v>
      </c>
      <c r="AH4815">
        <v>74.312642322599103</v>
      </c>
      <c r="AI4815">
        <v>90.841245924838901</v>
      </c>
      <c r="AJ4815">
        <v>95.534946690648098</v>
      </c>
      <c r="AK4815">
        <v>74.668792303448697</v>
      </c>
      <c r="AL4815">
        <v>78.243752073745</v>
      </c>
      <c r="AM4815">
        <v>93.407052463692906</v>
      </c>
      <c r="AN4815">
        <v>0.99999994214524901</v>
      </c>
    </row>
    <row r="4816" spans="1:40" x14ac:dyDescent="0.25">
      <c r="A4816" t="str">
        <f>"20190303162917764"</f>
        <v>20190303162917764</v>
      </c>
      <c r="B4816" t="str">
        <f>"1551601757757191"</f>
        <v>1551601757757191</v>
      </c>
      <c r="C4816" t="s">
        <v>40</v>
      </c>
      <c r="D4816">
        <v>5.2646280000000001</v>
      </c>
      <c r="E4816">
        <v>0.48632500000000001</v>
      </c>
      <c r="F4816" t="s">
        <v>42</v>
      </c>
      <c r="G4816">
        <v>-413.62380000000002</v>
      </c>
      <c r="H4816">
        <v>-0.05</v>
      </c>
      <c r="I4816">
        <v>-8.3151399999999995</v>
      </c>
      <c r="J4816">
        <v>-422.0446</v>
      </c>
      <c r="K4816">
        <v>1.1221730000000001</v>
      </c>
      <c r="L4816">
        <v>83.647710000000004</v>
      </c>
      <c r="M4816">
        <v>-5.4583679999999999E-3</v>
      </c>
      <c r="N4816">
        <v>-1.2281210000000001E-2</v>
      </c>
      <c r="O4816">
        <v>-0.99990979999999996</v>
      </c>
      <c r="P4816">
        <v>5.2263480000000001E-2</v>
      </c>
      <c r="Q4816">
        <v>0.19387499999999999</v>
      </c>
      <c r="R4816">
        <v>-0.97963350000000005</v>
      </c>
      <c r="S4816">
        <v>0.27856449999999999</v>
      </c>
      <c r="T4816">
        <v>-3.8781759999999998E-2</v>
      </c>
      <c r="U4816">
        <v>-3.0539550000000002</v>
      </c>
      <c r="V4816">
        <v>-5.8026099999999997E-2</v>
      </c>
      <c r="W4816">
        <v>0.20577090000000001</v>
      </c>
      <c r="X4816">
        <v>0.97687829999999998</v>
      </c>
      <c r="Y4816">
        <v>-9.6257369999999995E-2</v>
      </c>
      <c r="Z4816">
        <v>3.5760739999999999E-4</v>
      </c>
      <c r="AA4816">
        <v>0.99535640000000003</v>
      </c>
      <c r="AB4816">
        <v>33</v>
      </c>
      <c r="AC4816">
        <v>8.4207999999999803</v>
      </c>
      <c r="AD4816">
        <v>-1.1721729999999999</v>
      </c>
      <c r="AE4816">
        <v>-91.962850000000003</v>
      </c>
      <c r="AF4816">
        <v>-8.9212420819455804</v>
      </c>
      <c r="AG4816">
        <v>-1.1721729999999999</v>
      </c>
      <c r="AH4816">
        <v>91.900706076486799</v>
      </c>
      <c r="AI4816">
        <v>90.727336629124906</v>
      </c>
      <c r="AJ4816">
        <v>95.544602976446399</v>
      </c>
      <c r="AK4816">
        <v>92.3401447214775</v>
      </c>
      <c r="AL4816">
        <v>78.125368908345493</v>
      </c>
      <c r="AM4816">
        <v>93.399347455912306</v>
      </c>
      <c r="AN4816">
        <v>0.99999995228945304</v>
      </c>
    </row>
    <row r="4817" spans="1:40" x14ac:dyDescent="0.25">
      <c r="A4817" t="str">
        <f>"20190303162917785"</f>
        <v>20190303162917785</v>
      </c>
      <c r="B4817" t="str">
        <f>"1551601757776712"</f>
        <v>1551601757776712</v>
      </c>
      <c r="C4817" t="s">
        <v>40</v>
      </c>
      <c r="D4817">
        <v>5.3228859999999996</v>
      </c>
      <c r="E4817">
        <v>0.48609180000000002</v>
      </c>
      <c r="F4817" t="s">
        <v>59</v>
      </c>
      <c r="G4817">
        <v>-414.36919999999998</v>
      </c>
      <c r="H4817">
        <v>0.18496750000000001</v>
      </c>
      <c r="I4817">
        <v>0.53465079999999998</v>
      </c>
      <c r="J4817">
        <v>-422.0453</v>
      </c>
      <c r="K4817">
        <v>1.1221890000000001</v>
      </c>
      <c r="L4817">
        <v>83.326599999999999</v>
      </c>
      <c r="M4817">
        <v>-4.5541069999999999E-3</v>
      </c>
      <c r="N4817">
        <v>-1.228069E-2</v>
      </c>
      <c r="O4817">
        <v>-0.99991430000000003</v>
      </c>
      <c r="P4817">
        <v>5.2704199999999903E-2</v>
      </c>
      <c r="Q4817">
        <v>0.19562589999999999</v>
      </c>
      <c r="R4817">
        <v>-0.97926139999999995</v>
      </c>
      <c r="S4817">
        <v>0.2820435</v>
      </c>
      <c r="T4817">
        <v>-3.4440279999999997E-2</v>
      </c>
      <c r="U4817">
        <v>-3.054138</v>
      </c>
      <c r="V4817">
        <v>-5.7583290000000002E-2</v>
      </c>
      <c r="W4817">
        <v>0.20751849999999999</v>
      </c>
      <c r="X4817">
        <v>0.97653480000000004</v>
      </c>
      <c r="Y4817">
        <v>-9.6476950000000006E-2</v>
      </c>
      <c r="Z4817">
        <v>-1.057809E-3</v>
      </c>
      <c r="AA4817">
        <v>0.99533470000000002</v>
      </c>
      <c r="AB4817">
        <v>33</v>
      </c>
      <c r="AC4817">
        <v>7.6761000000000097</v>
      </c>
      <c r="AD4817">
        <v>-0.93722150000000004</v>
      </c>
      <c r="AE4817">
        <v>-82.791949200000005</v>
      </c>
      <c r="AF4817">
        <v>-8.0520691330282297</v>
      </c>
      <c r="AG4817">
        <v>-0.93722150000000004</v>
      </c>
      <c r="AH4817">
        <v>82.745616879047702</v>
      </c>
      <c r="AI4817">
        <v>90.645884539873094</v>
      </c>
      <c r="AJ4817">
        <v>95.558017092695493</v>
      </c>
      <c r="AK4817">
        <v>83.141754336538199</v>
      </c>
      <c r="AL4817">
        <v>78.023030354790905</v>
      </c>
      <c r="AM4817">
        <v>93.374650312333003</v>
      </c>
      <c r="AN4817">
        <v>0.99999998937025703</v>
      </c>
    </row>
    <row r="4818" spans="1:40" x14ac:dyDescent="0.25">
      <c r="A4818" t="str">
        <f>"20190303162917806"</f>
        <v>20190303162917806</v>
      </c>
      <c r="B4818" t="str">
        <f>"1551601757797207"</f>
        <v>1551601757797207</v>
      </c>
      <c r="C4818" t="s">
        <v>40</v>
      </c>
      <c r="D4818">
        <v>5.3290439999999997</v>
      </c>
      <c r="E4818">
        <v>0.48583369999999998</v>
      </c>
      <c r="F4818" t="s">
        <v>59</v>
      </c>
      <c r="G4818">
        <v>-414.2971</v>
      </c>
      <c r="H4818">
        <v>0.27046439999999999</v>
      </c>
      <c r="I4818">
        <v>0.53538509999999995</v>
      </c>
      <c r="J4818">
        <v>-422.04590000000002</v>
      </c>
      <c r="K4818">
        <v>1.1221920000000001</v>
      </c>
      <c r="L4818">
        <v>83.001279999999994</v>
      </c>
      <c r="M4818">
        <v>-3.6388150000000001E-3</v>
      </c>
      <c r="N4818">
        <v>-1.228017E-2</v>
      </c>
      <c r="O4818">
        <v>-0.99991790000000003</v>
      </c>
      <c r="P4818">
        <v>5.3389720000000002E-2</v>
      </c>
      <c r="Q4818">
        <v>0.19666910000000001</v>
      </c>
      <c r="R4818">
        <v>-0.97901510000000003</v>
      </c>
      <c r="S4818">
        <v>0.28585820000000001</v>
      </c>
      <c r="T4818">
        <v>-3.1423810000000003E-2</v>
      </c>
      <c r="U4818">
        <v>-3.054443</v>
      </c>
      <c r="V4818">
        <v>-5.7372869999999999E-2</v>
      </c>
      <c r="W4818">
        <v>0.20855860000000001</v>
      </c>
      <c r="X4818">
        <v>0.97632560000000002</v>
      </c>
      <c r="Y4818">
        <v>-9.6789550000000002E-2</v>
      </c>
      <c r="Z4818">
        <v>-2.041653E-3</v>
      </c>
      <c r="AA4818">
        <v>0.99530280000000004</v>
      </c>
      <c r="AB4818">
        <v>33</v>
      </c>
      <c r="AC4818">
        <v>7.7488000000000099</v>
      </c>
      <c r="AD4818">
        <v>-0.85172760000000003</v>
      </c>
      <c r="AE4818">
        <v>-82.465894899999995</v>
      </c>
      <c r="AF4818">
        <v>-8.0479984908769602</v>
      </c>
      <c r="AG4818">
        <v>-0.85172760000000003</v>
      </c>
      <c r="AH4818">
        <v>82.428434375941194</v>
      </c>
      <c r="AI4818">
        <v>90.589210896300003</v>
      </c>
      <c r="AJ4818">
        <v>95.576466753758396</v>
      </c>
      <c r="AK4818">
        <v>82.824769925926105</v>
      </c>
      <c r="AL4818">
        <v>77.962104189477699</v>
      </c>
      <c r="AM4818">
        <v>93.363065865459205</v>
      </c>
      <c r="AN4818">
        <v>1.00000000653067</v>
      </c>
    </row>
    <row r="4819" spans="1:40" x14ac:dyDescent="0.25">
      <c r="A4819" t="str">
        <f>"20190303162917829"</f>
        <v>20190303162917829</v>
      </c>
      <c r="B4819" t="str">
        <f>"1551601757817703"</f>
        <v>1551601757817703</v>
      </c>
      <c r="C4819" t="s">
        <v>40</v>
      </c>
      <c r="D4819">
        <v>5.329561</v>
      </c>
      <c r="E4819">
        <v>0.48565999999999998</v>
      </c>
      <c r="F4819" t="s">
        <v>59</v>
      </c>
      <c r="G4819">
        <v>-414.2319</v>
      </c>
      <c r="H4819">
        <v>0.27392139999999998</v>
      </c>
      <c r="I4819">
        <v>0.53604700000000005</v>
      </c>
      <c r="J4819">
        <v>-422.04610000000002</v>
      </c>
      <c r="K4819">
        <v>1.12219</v>
      </c>
      <c r="L4819">
        <v>82.664789999999996</v>
      </c>
      <c r="M4819">
        <v>-2.6921850000000002E-3</v>
      </c>
      <c r="N4819">
        <v>-1.2279760000000001E-2</v>
      </c>
      <c r="O4819">
        <v>-0.99992130000000001</v>
      </c>
      <c r="P4819">
        <v>5.4989009999999998E-2</v>
      </c>
      <c r="Q4819">
        <v>0.19685169999999999</v>
      </c>
      <c r="R4819">
        <v>-0.97889029999999999</v>
      </c>
      <c r="S4819">
        <v>0.28945920000000003</v>
      </c>
      <c r="T4819">
        <v>-3.1424279999999999E-2</v>
      </c>
      <c r="U4819">
        <v>-3.05484</v>
      </c>
      <c r="V4819">
        <v>-5.8045609999999997E-2</v>
      </c>
      <c r="W4819">
        <v>0.20873910000000001</v>
      </c>
      <c r="X4819">
        <v>0.97624730000000004</v>
      </c>
      <c r="Y4819">
        <v>-9.6998230000000005E-2</v>
      </c>
      <c r="Z4819">
        <v>-2.0425019999999999E-3</v>
      </c>
      <c r="AA4819">
        <v>0.99528249999999996</v>
      </c>
      <c r="AB4819">
        <v>33</v>
      </c>
      <c r="AC4819">
        <v>7.81420000000002</v>
      </c>
      <c r="AD4819">
        <v>-0.84826859999999904</v>
      </c>
      <c r="AE4819">
        <v>-82.128743</v>
      </c>
      <c r="AF4819">
        <v>-8.0344446364005293</v>
      </c>
      <c r="AG4819">
        <v>-0.84826859999999904</v>
      </c>
      <c r="AH4819">
        <v>82.098726888639206</v>
      </c>
      <c r="AI4819">
        <v>90.589161725276099</v>
      </c>
      <c r="AJ4819">
        <v>95.589350571137004</v>
      </c>
      <c r="AK4819">
        <v>82.495289665340906</v>
      </c>
      <c r="AL4819">
        <v>77.951530064199105</v>
      </c>
      <c r="AM4819">
        <v>93.402680481648503</v>
      </c>
      <c r="AN4819">
        <v>1.0000000477331801</v>
      </c>
    </row>
    <row r="4820" spans="1:40" x14ac:dyDescent="0.25">
      <c r="A4820" t="str">
        <f>"20190303162917851"</f>
        <v>20190303162917851</v>
      </c>
      <c r="B4820" t="str">
        <f>"1551601757846983"</f>
        <v>1551601757846983</v>
      </c>
      <c r="C4820" t="s">
        <v>40</v>
      </c>
      <c r="D4820">
        <v>5.326778</v>
      </c>
      <c r="E4820">
        <v>0.48539690000000002</v>
      </c>
      <c r="F4820" t="s">
        <v>59</v>
      </c>
      <c r="G4820">
        <v>-414.1103</v>
      </c>
      <c r="H4820">
        <v>0.20197950000000001</v>
      </c>
      <c r="I4820">
        <v>0.53728489999999995</v>
      </c>
      <c r="J4820">
        <v>-422.04599999999999</v>
      </c>
      <c r="K4820">
        <v>1.122185</v>
      </c>
      <c r="L4820">
        <v>82.326319999999996</v>
      </c>
      <c r="M4820">
        <v>-1.740566E-3</v>
      </c>
      <c r="N4820">
        <v>-1.227936E-2</v>
      </c>
      <c r="O4820">
        <v>-0.99992329999999996</v>
      </c>
      <c r="P4820">
        <v>5.6999210000000002E-2</v>
      </c>
      <c r="Q4820">
        <v>0.1968434</v>
      </c>
      <c r="R4820">
        <v>-0.97877709999999996</v>
      </c>
      <c r="S4820">
        <v>0.29519649999999997</v>
      </c>
      <c r="T4820">
        <v>-3.4231070000000002E-2</v>
      </c>
      <c r="U4820">
        <v>-3.0549930000000001</v>
      </c>
      <c r="V4820">
        <v>-5.9124320000000001E-2</v>
      </c>
      <c r="W4820">
        <v>0.20872750000000001</v>
      </c>
      <c r="X4820">
        <v>0.97618499999999997</v>
      </c>
      <c r="Y4820">
        <v>-9.7897979999999996E-2</v>
      </c>
      <c r="Z4820">
        <v>-1.1291070000000001E-3</v>
      </c>
      <c r="AA4820">
        <v>0.99519579999999996</v>
      </c>
      <c r="AB4820">
        <v>33</v>
      </c>
      <c r="AC4820">
        <v>7.93569999999999</v>
      </c>
      <c r="AD4820">
        <v>-0.92020550000000001</v>
      </c>
      <c r="AE4820">
        <v>-81.789035099999893</v>
      </c>
      <c r="AF4820">
        <v>-8.0770450043256599</v>
      </c>
      <c r="AG4820">
        <v>-0.92020550000000001</v>
      </c>
      <c r="AH4820">
        <v>81.764843932258302</v>
      </c>
      <c r="AI4820">
        <v>90.641673321214199</v>
      </c>
      <c r="AJ4820">
        <v>95.641593758708197</v>
      </c>
      <c r="AK4820">
        <v>82.167969047742005</v>
      </c>
      <c r="AL4820">
        <v>77.952209134513296</v>
      </c>
      <c r="AM4820">
        <v>93.465983243561794</v>
      </c>
      <c r="AN4820">
        <v>1.0000000043483499</v>
      </c>
    </row>
    <row r="4821" spans="1:40" x14ac:dyDescent="0.25">
      <c r="A4821" t="str">
        <f>"20190303162917875"</f>
        <v>20190303162917875</v>
      </c>
      <c r="B4821" t="str">
        <f>"1551601757866503"</f>
        <v>1551601757866503</v>
      </c>
      <c r="C4821" t="s">
        <v>40</v>
      </c>
      <c r="D4821">
        <v>5.3203389999999997</v>
      </c>
      <c r="E4821">
        <v>0.48528949999999998</v>
      </c>
      <c r="F4821" t="s">
        <v>42</v>
      </c>
      <c r="G4821">
        <v>-412.904</v>
      </c>
      <c r="H4821">
        <v>-0.05</v>
      </c>
      <c r="I4821">
        <v>-10.159129999999999</v>
      </c>
      <c r="J4821">
        <v>-422.04559999999998</v>
      </c>
      <c r="K4821">
        <v>1.122185</v>
      </c>
      <c r="L4821">
        <v>81.988190000000003</v>
      </c>
      <c r="M4821">
        <v>-7.8934899999999995E-4</v>
      </c>
      <c r="N4821">
        <v>-1.227898E-2</v>
      </c>
      <c r="O4821">
        <v>-0.99992429999999999</v>
      </c>
      <c r="P4821">
        <v>5.8807529999999997E-2</v>
      </c>
      <c r="Q4821">
        <v>0.1972872</v>
      </c>
      <c r="R4821">
        <v>-0.97858049999999996</v>
      </c>
      <c r="S4821">
        <v>0.30200199999999999</v>
      </c>
      <c r="T4821">
        <v>-3.872287E-2</v>
      </c>
      <c r="U4821">
        <v>-3.055237</v>
      </c>
      <c r="V4821">
        <v>-6.0002010000000001E-2</v>
      </c>
      <c r="W4821">
        <v>0.2091672</v>
      </c>
      <c r="X4821">
        <v>0.9760373</v>
      </c>
      <c r="Y4821">
        <v>-9.9138359999999995E-2</v>
      </c>
      <c r="Z4821">
        <v>3.3187009999999999E-4</v>
      </c>
      <c r="AA4821">
        <v>0.9950736</v>
      </c>
      <c r="AB4821">
        <v>33</v>
      </c>
      <c r="AC4821">
        <v>9.1415999999999809</v>
      </c>
      <c r="AD4821">
        <v>-1.172185</v>
      </c>
      <c r="AE4821">
        <v>-92.147319999999993</v>
      </c>
      <c r="AF4821">
        <v>-9.2128627525327698</v>
      </c>
      <c r="AG4821">
        <v>-1.172185</v>
      </c>
      <c r="AH4821">
        <v>92.125312583879705</v>
      </c>
      <c r="AI4821">
        <v>90.725363624566995</v>
      </c>
      <c r="AJ4821">
        <v>95.710797263342599</v>
      </c>
      <c r="AK4821">
        <v>92.592246308472099</v>
      </c>
      <c r="AL4821">
        <v>77.926447303050494</v>
      </c>
      <c r="AM4821">
        <v>93.517837843638205</v>
      </c>
      <c r="AN4821">
        <v>0.99999998487558495</v>
      </c>
    </row>
    <row r="4822" spans="1:40" x14ac:dyDescent="0.25">
      <c r="A4822" t="str">
        <f>"20190303162917895"</f>
        <v>20190303162917895</v>
      </c>
      <c r="B4822" t="str">
        <f>"1551601757887000"</f>
        <v>1551601757887000</v>
      </c>
      <c r="C4822" t="s">
        <v>40</v>
      </c>
      <c r="D4822">
        <v>5.2620639999999996</v>
      </c>
      <c r="E4822">
        <v>0.48523470000000002</v>
      </c>
      <c r="F4822" t="s">
        <v>42</v>
      </c>
      <c r="G4822">
        <v>-413.20100000000002</v>
      </c>
      <c r="H4822">
        <v>-0.05</v>
      </c>
      <c r="I4822">
        <v>-5.7645869999999997</v>
      </c>
      <c r="J4822">
        <v>-422.04489999999998</v>
      </c>
      <c r="K4822">
        <v>1.1221749999999999</v>
      </c>
      <c r="L4822">
        <v>81.677800000000005</v>
      </c>
      <c r="M4822" s="1">
        <v>8.3787830000000006E-5</v>
      </c>
      <c r="N4822">
        <v>-1.227865E-2</v>
      </c>
      <c r="O4822">
        <v>-0.99992479999999995</v>
      </c>
      <c r="P4822">
        <v>6.0873740000000003E-2</v>
      </c>
      <c r="Q4822">
        <v>0.1971927</v>
      </c>
      <c r="R4822">
        <v>-0.97847309999999998</v>
      </c>
      <c r="S4822">
        <v>0.30795289999999997</v>
      </c>
      <c r="T4822">
        <v>-4.0813330000000002E-2</v>
      </c>
      <c r="U4822">
        <v>-3.0553889999999999</v>
      </c>
      <c r="V4822">
        <v>-6.1213339999999998E-2</v>
      </c>
      <c r="W4822">
        <v>0.20906930000000001</v>
      </c>
      <c r="X4822">
        <v>0.97598309999999999</v>
      </c>
      <c r="Y4822">
        <v>-0.10018290000000001</v>
      </c>
      <c r="Z4822">
        <v>1.010859E-3</v>
      </c>
      <c r="AA4822">
        <v>0.99496850000000003</v>
      </c>
      <c r="AB4822">
        <v>33</v>
      </c>
      <c r="AC4822">
        <v>8.8439000000000192</v>
      </c>
      <c r="AD4822">
        <v>-1.172175</v>
      </c>
      <c r="AE4822">
        <v>-87.442386999999997</v>
      </c>
      <c r="AF4822">
        <v>-8.8350012623766307</v>
      </c>
      <c r="AG4822">
        <v>-1.172175</v>
      </c>
      <c r="AH4822">
        <v>87.427576363149498</v>
      </c>
      <c r="AI4822">
        <v>90.764248509910502</v>
      </c>
      <c r="AJ4822">
        <v>95.770440313508502</v>
      </c>
      <c r="AK4822">
        <v>87.880671084551693</v>
      </c>
      <c r="AL4822">
        <v>77.932183915035793</v>
      </c>
      <c r="AM4822">
        <v>93.588871513258894</v>
      </c>
      <c r="AN4822">
        <v>1.00000002834102</v>
      </c>
    </row>
    <row r="4823" spans="1:40" x14ac:dyDescent="0.25">
      <c r="A4823" t="str">
        <f>"20190303162917918"</f>
        <v>20190303162917918</v>
      </c>
      <c r="B4823" t="str">
        <f>"1551601757906519"</f>
        <v>1551601757906519</v>
      </c>
      <c r="C4823" t="s">
        <v>40</v>
      </c>
      <c r="D4823">
        <v>5.0285799999999998</v>
      </c>
      <c r="E4823">
        <v>0.4850816</v>
      </c>
      <c r="F4823" t="s">
        <v>57</v>
      </c>
      <c r="G4823">
        <v>-414.63990000000001</v>
      </c>
      <c r="H4823">
        <v>7.3076160000000001E-2</v>
      </c>
      <c r="I4823">
        <v>9.593178</v>
      </c>
      <c r="J4823">
        <v>-422.04390000000001</v>
      </c>
      <c r="K4823">
        <v>1.1221699999999999</v>
      </c>
      <c r="L4823">
        <v>81.343959999999996</v>
      </c>
      <c r="M4823">
        <v>1.022858E-3</v>
      </c>
      <c r="N4823">
        <v>-1.2278320000000001E-2</v>
      </c>
      <c r="O4823">
        <v>-0.99992429999999999</v>
      </c>
      <c r="P4823">
        <v>6.3037629999999997E-2</v>
      </c>
      <c r="Q4823">
        <v>0.1964264</v>
      </c>
      <c r="R4823">
        <v>-0.97849030000000004</v>
      </c>
      <c r="S4823">
        <v>0.31387330000000002</v>
      </c>
      <c r="T4823">
        <v>-4.4467689999999997E-2</v>
      </c>
      <c r="U4823">
        <v>-3.0554199999999998</v>
      </c>
      <c r="V4823">
        <v>-6.2456100000000001E-2</v>
      </c>
      <c r="W4823">
        <v>0.20830119999999999</v>
      </c>
      <c r="X4823">
        <v>0.97606859999999995</v>
      </c>
      <c r="Y4823">
        <v>-0.10115449999999999</v>
      </c>
      <c r="Z4823">
        <v>2.1992819999999999E-3</v>
      </c>
      <c r="AA4823">
        <v>0.99486830000000004</v>
      </c>
      <c r="AB4823">
        <v>33</v>
      </c>
      <c r="AC4823">
        <v>7.4039999999999901</v>
      </c>
      <c r="AD4823">
        <v>-1.0490938400000001</v>
      </c>
      <c r="AE4823">
        <v>-71.750782000000001</v>
      </c>
      <c r="AF4823">
        <v>-7.3290494212510602</v>
      </c>
      <c r="AG4823">
        <v>-1.0490938400000001</v>
      </c>
      <c r="AH4823">
        <v>71.743142324957006</v>
      </c>
      <c r="AI4823">
        <v>90.833434615789798</v>
      </c>
      <c r="AJ4823">
        <v>95.832918514252498</v>
      </c>
      <c r="AK4823">
        <v>72.124157076275793</v>
      </c>
      <c r="AL4823">
        <v>77.977183625489303</v>
      </c>
      <c r="AM4823">
        <v>93.661217064522404</v>
      </c>
      <c r="AN4823">
        <v>1.0000000331273</v>
      </c>
    </row>
    <row r="4824" spans="1:40" x14ac:dyDescent="0.25">
      <c r="A4824" t="str">
        <f>"20190303162917964"</f>
        <v>20190303162917964</v>
      </c>
      <c r="B4824" t="str">
        <f>"1551601757956295"</f>
        <v>1551601757956295</v>
      </c>
      <c r="C4824" t="s">
        <v>40</v>
      </c>
      <c r="D4824">
        <v>4.9834589999999999</v>
      </c>
      <c r="E4824">
        <v>0.48500300000000002</v>
      </c>
      <c r="F4824" t="s">
        <v>57</v>
      </c>
      <c r="G4824">
        <v>-414.7663</v>
      </c>
      <c r="H4824" s="1">
        <v>-1.2834529999999999E-5</v>
      </c>
      <c r="I4824">
        <v>12.1731</v>
      </c>
      <c r="J4824">
        <v>-422.04079999999999</v>
      </c>
      <c r="K4824">
        <v>1.1221589999999999</v>
      </c>
      <c r="L4824">
        <v>80.663880000000006</v>
      </c>
      <c r="M4824">
        <v>2.9356460000000001E-3</v>
      </c>
      <c r="N4824">
        <v>-1.227752E-2</v>
      </c>
      <c r="O4824">
        <v>-0.99992020000000004</v>
      </c>
      <c r="P4824">
        <v>6.7437460000000005E-2</v>
      </c>
      <c r="Q4824">
        <v>0.19529299999999999</v>
      </c>
      <c r="R4824">
        <v>-0.97842370000000001</v>
      </c>
      <c r="S4824">
        <v>0.3214417</v>
      </c>
      <c r="T4824">
        <v>-4.9565199999999997E-2</v>
      </c>
      <c r="U4824">
        <v>-3.0551759999999999</v>
      </c>
      <c r="V4824">
        <v>-6.4981979999999995E-2</v>
      </c>
      <c r="W4824">
        <v>0.20716309999999999</v>
      </c>
      <c r="X4824">
        <v>0.97614590000000001</v>
      </c>
      <c r="Y4824">
        <v>-0.10169590000000001</v>
      </c>
      <c r="Z4824">
        <v>3.8593099999999999E-3</v>
      </c>
      <c r="AA4824">
        <v>0.99480800000000003</v>
      </c>
      <c r="AB4824">
        <v>33</v>
      </c>
      <c r="AC4824">
        <v>7.2744999999999802</v>
      </c>
      <c r="AD4824">
        <v>-1.12217183452999</v>
      </c>
      <c r="AE4824">
        <v>-68.490780000000001</v>
      </c>
      <c r="AF4824">
        <v>-7.0715116526035802</v>
      </c>
      <c r="AG4824">
        <v>-1.12217183452999</v>
      </c>
      <c r="AH4824">
        <v>68.493660154919397</v>
      </c>
      <c r="AI4824">
        <v>90.933664434216993</v>
      </c>
      <c r="AJ4824">
        <v>95.894521092677607</v>
      </c>
      <c r="AK4824">
        <v>68.866879035547399</v>
      </c>
      <c r="AL4824">
        <v>78.0438459019134</v>
      </c>
      <c r="AM4824">
        <v>93.808557642332403</v>
      </c>
      <c r="AN4824">
        <v>1.00000001290657</v>
      </c>
    </row>
    <row r="4825" spans="1:40" x14ac:dyDescent="0.25">
      <c r="A4825" t="str">
        <f>"20190303162917995"</f>
        <v>20190303162917995</v>
      </c>
      <c r="B4825" t="str">
        <f>"1551601757986551"</f>
        <v>1551601757986551</v>
      </c>
      <c r="C4825" t="s">
        <v>40</v>
      </c>
      <c r="D4825">
        <v>5.0872539999999997</v>
      </c>
      <c r="E4825">
        <v>0.48509600000000003</v>
      </c>
      <c r="F4825" t="s">
        <v>57</v>
      </c>
      <c r="G4825">
        <v>-415.47629999999998</v>
      </c>
      <c r="H4825" s="1">
        <v>-7.9166279999999997E-6</v>
      </c>
      <c r="I4825">
        <v>20.86833</v>
      </c>
      <c r="J4825">
        <v>-422.0378</v>
      </c>
      <c r="K4825">
        <v>1.1221490000000001</v>
      </c>
      <c r="L4825">
        <v>80.182130000000001</v>
      </c>
      <c r="M4825">
        <v>4.2904329999999997E-3</v>
      </c>
      <c r="N4825">
        <v>-1.2277150000000001E-2</v>
      </c>
      <c r="O4825">
        <v>-0.99991569999999996</v>
      </c>
      <c r="P4825">
        <v>6.9746569999999994E-2</v>
      </c>
      <c r="Q4825">
        <v>0.19340930000000001</v>
      </c>
      <c r="R4825">
        <v>-0.97863630000000001</v>
      </c>
      <c r="S4825">
        <v>0.33532709999999999</v>
      </c>
      <c r="T4825">
        <v>-5.7322499999999998E-2</v>
      </c>
      <c r="U4825">
        <v>-3.0544739999999999</v>
      </c>
      <c r="V4825">
        <v>-6.5960089999999999E-2</v>
      </c>
      <c r="W4825">
        <v>0.20528089999999999</v>
      </c>
      <c r="X4825">
        <v>0.97647790000000001</v>
      </c>
      <c r="Y4825">
        <v>-0.1048385</v>
      </c>
      <c r="Z4825">
        <v>6.3819289999999997E-3</v>
      </c>
      <c r="AA4825">
        <v>0.99446880000000004</v>
      </c>
      <c r="AB4825">
        <v>33</v>
      </c>
      <c r="AC4825">
        <v>6.5615000000000201</v>
      </c>
      <c r="AD4825">
        <v>-1.1221569166280001</v>
      </c>
      <c r="AE4825">
        <v>-59.313800000000001</v>
      </c>
      <c r="AF4825">
        <v>-6.3047092522657602</v>
      </c>
      <c r="AG4825">
        <v>-1.1221569166280001</v>
      </c>
      <c r="AH4825">
        <v>59.320432034961897</v>
      </c>
      <c r="AI4825">
        <v>91.077659528783499</v>
      </c>
      <c r="AJ4825">
        <v>96.066749853931796</v>
      </c>
      <c r="AK4825">
        <v>59.665084025044898</v>
      </c>
      <c r="AL4825">
        <v>78.154057266476599</v>
      </c>
      <c r="AM4825">
        <v>93.864401244937298</v>
      </c>
      <c r="AN4825">
        <v>1.0000000352830101</v>
      </c>
    </row>
    <row r="4826" spans="1:40" x14ac:dyDescent="0.25">
      <c r="A4826" t="str">
        <f>"20190303162918018"</f>
        <v>20190303162918018</v>
      </c>
      <c r="B4826" t="str">
        <f>"1551601758007047"</f>
        <v>1551601758007047</v>
      </c>
      <c r="C4826" t="s">
        <v>40</v>
      </c>
      <c r="D4826">
        <v>4.899718</v>
      </c>
      <c r="E4826">
        <v>0.4851241</v>
      </c>
      <c r="F4826" t="s">
        <v>57</v>
      </c>
      <c r="G4826">
        <v>-416.28100000000001</v>
      </c>
      <c r="H4826" s="1">
        <v>-8.4569299999999905E-6</v>
      </c>
      <c r="I4826">
        <v>28.544270000000001</v>
      </c>
      <c r="J4826">
        <v>-422.03539999999998</v>
      </c>
      <c r="K4826">
        <v>1.1221410000000001</v>
      </c>
      <c r="L4826">
        <v>79.847380000000001</v>
      </c>
      <c r="M4826">
        <v>5.2319439999999997E-3</v>
      </c>
      <c r="N4826">
        <v>-1.2277059999999999E-2</v>
      </c>
      <c r="O4826">
        <v>-0.99991110000000005</v>
      </c>
      <c r="P4826">
        <v>7.1373539999999999E-2</v>
      </c>
      <c r="Q4826">
        <v>0.1916167</v>
      </c>
      <c r="R4826">
        <v>-0.97887139999999995</v>
      </c>
      <c r="S4826">
        <v>0.34051510000000001</v>
      </c>
      <c r="T4826">
        <v>-6.6375020000000007E-2</v>
      </c>
      <c r="U4826">
        <v>-3.0543520000000002</v>
      </c>
      <c r="V4826">
        <v>-6.6660230000000001E-2</v>
      </c>
      <c r="W4826">
        <v>0.20349039999999999</v>
      </c>
      <c r="X4826">
        <v>0.97680500000000003</v>
      </c>
      <c r="Y4826">
        <v>-0.1055705</v>
      </c>
      <c r="Z4826">
        <v>9.3259080000000008E-3</v>
      </c>
      <c r="AA4826">
        <v>0.99436809999999998</v>
      </c>
      <c r="AB4826">
        <v>33</v>
      </c>
      <c r="AC4826">
        <v>5.7543999999999702</v>
      </c>
      <c r="AD4826">
        <v>-1.1221494569299999</v>
      </c>
      <c r="AE4826">
        <v>-51.303109999999997</v>
      </c>
      <c r="AF4826">
        <v>-5.4832952887511404</v>
      </c>
      <c r="AG4826">
        <v>-1.1221494569299999</v>
      </c>
      <c r="AH4826">
        <v>51.3082745056658</v>
      </c>
      <c r="AI4826">
        <v>91.245809015841004</v>
      </c>
      <c r="AJ4826">
        <v>96.100024897116</v>
      </c>
      <c r="AK4826">
        <v>51.6126416624463</v>
      </c>
      <c r="AL4826">
        <v>78.2588568674512</v>
      </c>
      <c r="AM4826">
        <v>93.903990346130598</v>
      </c>
      <c r="AN4826">
        <v>0.99999996859040596</v>
      </c>
    </row>
    <row r="4827" spans="1:40" x14ac:dyDescent="0.25">
      <c r="A4827" t="str">
        <f>"20190303162918042"</f>
        <v>20190303162918042</v>
      </c>
      <c r="B4827" t="str">
        <f>"1551601758036327"</f>
        <v>1551601758036327</v>
      </c>
      <c r="C4827" t="s">
        <v>40</v>
      </c>
      <c r="D4827">
        <v>5.1367919999999998</v>
      </c>
      <c r="E4827">
        <v>0.48518650000000002</v>
      </c>
      <c r="F4827" t="s">
        <v>57</v>
      </c>
      <c r="G4827">
        <v>-416.78550000000001</v>
      </c>
      <c r="H4827" s="1">
        <v>-4.5487150000000004E-6</v>
      </c>
      <c r="I4827">
        <v>33.303789999999999</v>
      </c>
      <c r="J4827">
        <v>-422.0326</v>
      </c>
      <c r="K4827">
        <v>1.122134</v>
      </c>
      <c r="L4827">
        <v>79.499759999999995</v>
      </c>
      <c r="M4827">
        <v>6.2090540000000003E-3</v>
      </c>
      <c r="N4827">
        <v>-1.227698E-2</v>
      </c>
      <c r="O4827">
        <v>-0.99990540000000006</v>
      </c>
      <c r="P4827">
        <v>7.2204900000000002E-2</v>
      </c>
      <c r="Q4827">
        <v>0.18987100000000001</v>
      </c>
      <c r="R4827">
        <v>-0.97915039999999998</v>
      </c>
      <c r="S4827">
        <v>0.34448240000000002</v>
      </c>
      <c r="T4827">
        <v>-7.3631760000000004E-2</v>
      </c>
      <c r="U4827">
        <v>-3.0540470000000002</v>
      </c>
      <c r="V4827">
        <v>-6.6529580000000005E-2</v>
      </c>
      <c r="W4827">
        <v>0.2017496</v>
      </c>
      <c r="X4827">
        <v>0.97717500000000002</v>
      </c>
      <c r="Y4827">
        <v>-0.105881</v>
      </c>
      <c r="Z4827">
        <v>1.168725E-2</v>
      </c>
      <c r="AA4827">
        <v>0.99431009999999997</v>
      </c>
      <c r="AB4827">
        <v>33</v>
      </c>
      <c r="AC4827">
        <v>5.2470999999999801</v>
      </c>
      <c r="AD4827">
        <v>-1.122138548715</v>
      </c>
      <c r="AE4827">
        <v>-46.195970000000003</v>
      </c>
      <c r="AF4827">
        <v>-4.9572562144712604</v>
      </c>
      <c r="AG4827">
        <v>-1.122138548715</v>
      </c>
      <c r="AH4827">
        <v>46.200748072681797</v>
      </c>
      <c r="AI4827">
        <v>91.383407058431999</v>
      </c>
      <c r="AJ4827">
        <v>96.124301803037099</v>
      </c>
      <c r="AK4827">
        <v>46.479486943961</v>
      </c>
      <c r="AL4827">
        <v>78.360710839217703</v>
      </c>
      <c r="AM4827">
        <v>93.894891567118194</v>
      </c>
      <c r="AN4827">
        <v>1.00000003337006</v>
      </c>
    </row>
    <row r="4828" spans="1:40" x14ac:dyDescent="0.25">
      <c r="A4828" t="str">
        <f>"20190303162918064"</f>
        <v>20190303162918064</v>
      </c>
      <c r="B4828" t="str">
        <f>"1551601758056823"</f>
        <v>1551601758056823</v>
      </c>
      <c r="C4828" t="s">
        <v>40</v>
      </c>
      <c r="D4828">
        <v>5.1445270000000001</v>
      </c>
      <c r="E4828">
        <v>0.4852844</v>
      </c>
      <c r="F4828" t="s">
        <v>57</v>
      </c>
      <c r="G4828">
        <v>-417.19869999999997</v>
      </c>
      <c r="H4828" s="1">
        <v>-2.392994E-6</v>
      </c>
      <c r="I4828">
        <v>37.004019999999997</v>
      </c>
      <c r="J4828">
        <v>-422.02949999999998</v>
      </c>
      <c r="K4828">
        <v>1.1221270000000001</v>
      </c>
      <c r="L4828">
        <v>79.166319999999999</v>
      </c>
      <c r="M4828">
        <v>7.1448359999999999E-3</v>
      </c>
      <c r="N4828">
        <v>-1.227692E-2</v>
      </c>
      <c r="O4828">
        <v>-0.99989910000000004</v>
      </c>
      <c r="P4828">
        <v>7.2520580000000001E-2</v>
      </c>
      <c r="Q4828">
        <v>0.18874669999999999</v>
      </c>
      <c r="R4828">
        <v>-0.97934449999999995</v>
      </c>
      <c r="S4828">
        <v>0.34738160000000001</v>
      </c>
      <c r="T4828">
        <v>-8.0640669999999998E-2</v>
      </c>
      <c r="U4828">
        <v>-3.0538940000000001</v>
      </c>
      <c r="V4828">
        <v>-6.5924860000000002E-2</v>
      </c>
      <c r="W4828">
        <v>0.20063</v>
      </c>
      <c r="X4828">
        <v>0.97744640000000005</v>
      </c>
      <c r="Y4828">
        <v>-0.10588309999999999</v>
      </c>
      <c r="Z4828">
        <v>1.3967240000000001E-2</v>
      </c>
      <c r="AA4828">
        <v>0.99428050000000001</v>
      </c>
      <c r="AB4828">
        <v>33</v>
      </c>
      <c r="AC4828">
        <v>4.8308000000000098</v>
      </c>
      <c r="AD4828">
        <v>-1.1221293929939999</v>
      </c>
      <c r="AE4828">
        <v>-42.162300000000002</v>
      </c>
      <c r="AF4828">
        <v>-4.5262467053216104</v>
      </c>
      <c r="AG4828">
        <v>-1.1221293929939999</v>
      </c>
      <c r="AH4828">
        <v>42.166260808320601</v>
      </c>
      <c r="AI4828">
        <v>91.515693489634401</v>
      </c>
      <c r="AJ4828">
        <v>96.1268321533489</v>
      </c>
      <c r="AK4828">
        <v>42.4233383194601</v>
      </c>
      <c r="AL4828">
        <v>78.426197573229501</v>
      </c>
      <c r="AM4828">
        <v>93.858528049067203</v>
      </c>
      <c r="AN4828">
        <v>0.99999997446948896</v>
      </c>
    </row>
    <row r="4829" spans="1:40" x14ac:dyDescent="0.25">
      <c r="A4829" t="str">
        <f>"20190303162918085"</f>
        <v>20190303162918085</v>
      </c>
      <c r="B4829" t="str">
        <f>"1551601758076344"</f>
        <v>1551601758076344</v>
      </c>
      <c r="C4829" t="s">
        <v>40</v>
      </c>
      <c r="D4829">
        <v>5.0127370000000004</v>
      </c>
      <c r="E4829">
        <v>0.4853616</v>
      </c>
      <c r="F4829" t="s">
        <v>57</v>
      </c>
      <c r="G4829">
        <v>-417.45389999999998</v>
      </c>
      <c r="H4829" s="1">
        <v>-1.123717E-6</v>
      </c>
      <c r="I4829">
        <v>38.894080000000002</v>
      </c>
      <c r="J4829">
        <v>-422.02629999999999</v>
      </c>
      <c r="K4829">
        <v>1.1221190000000001</v>
      </c>
      <c r="L4829">
        <v>78.850920000000002</v>
      </c>
      <c r="M4829">
        <v>8.0247349999999999E-3</v>
      </c>
      <c r="N4829">
        <v>-1.227674E-2</v>
      </c>
      <c r="O4829">
        <v>-0.99989249999999996</v>
      </c>
      <c r="P4829">
        <v>7.3398690000000003E-2</v>
      </c>
      <c r="Q4829">
        <v>0.18653140000000001</v>
      </c>
      <c r="R4829">
        <v>-0.9797034</v>
      </c>
      <c r="S4829">
        <v>0.34698489999999999</v>
      </c>
      <c r="T4829">
        <v>-8.5094929999999999E-2</v>
      </c>
      <c r="U4829">
        <v>-3.0539860000000001</v>
      </c>
      <c r="V4829">
        <v>-6.5931829999999997E-2</v>
      </c>
      <c r="W4829">
        <v>0.19841990000000001</v>
      </c>
      <c r="X4829">
        <v>0.97789700000000002</v>
      </c>
      <c r="Y4829">
        <v>-0.104874</v>
      </c>
      <c r="Z4829">
        <v>1.5417109999999999E-2</v>
      </c>
      <c r="AA4829">
        <v>0.99436599999999997</v>
      </c>
      <c r="AB4829">
        <v>33</v>
      </c>
      <c r="AC4829">
        <v>4.5724000000000098</v>
      </c>
      <c r="AD4829">
        <v>-1.122120123717</v>
      </c>
      <c r="AE4829">
        <v>-39.95684</v>
      </c>
      <c r="AF4829">
        <v>-4.2482783636081596</v>
      </c>
      <c r="AG4829">
        <v>-1.122120123717</v>
      </c>
      <c r="AH4829">
        <v>39.961139447804499</v>
      </c>
      <c r="AI4829">
        <v>91.599450787086298</v>
      </c>
      <c r="AJ4829">
        <v>96.068335446599093</v>
      </c>
      <c r="AK4829">
        <v>40.2019861274742</v>
      </c>
      <c r="AL4829">
        <v>78.555425754518197</v>
      </c>
      <c r="AM4829">
        <v>93.857161995483693</v>
      </c>
      <c r="AN4829">
        <v>1.00000000276607</v>
      </c>
    </row>
    <row r="4830" spans="1:40" x14ac:dyDescent="0.25">
      <c r="A4830" t="str">
        <f>"20190303162918108"</f>
        <v>20190303162918108</v>
      </c>
      <c r="B4830" t="str">
        <f>"1551601758096839"</f>
        <v>1551601758096839</v>
      </c>
      <c r="C4830" t="s">
        <v>40</v>
      </c>
      <c r="D4830">
        <v>5.0161309999999997</v>
      </c>
      <c r="E4830">
        <v>0.50499899999999998</v>
      </c>
      <c r="F4830" t="s">
        <v>41</v>
      </c>
      <c r="G4830">
        <v>-417.80099999999999</v>
      </c>
      <c r="H4830" s="1">
        <v>-1.3457749999999901E-6</v>
      </c>
      <c r="I4830">
        <v>41.860529999999997</v>
      </c>
      <c r="J4830">
        <v>-422.02260000000001</v>
      </c>
      <c r="K4830">
        <v>1.1221139999999901</v>
      </c>
      <c r="L4830">
        <v>78.513759999999905</v>
      </c>
      <c r="M4830">
        <v>8.9595089999999992E-3</v>
      </c>
      <c r="N4830">
        <v>-1.2276509999999999E-2</v>
      </c>
      <c r="O4830">
        <v>-0.99988449999999995</v>
      </c>
      <c r="P4830">
        <v>7.3983129999999994E-2</v>
      </c>
      <c r="Q4830">
        <v>0.18591489999999999</v>
      </c>
      <c r="R4830">
        <v>-0.97977689999999995</v>
      </c>
      <c r="S4830">
        <v>0.34881590000000001</v>
      </c>
      <c r="T4830">
        <v>-9.2633839999999995E-2</v>
      </c>
      <c r="U4830">
        <v>-3.0536500000000002</v>
      </c>
      <c r="V4830">
        <v>-6.5595520000000004E-2</v>
      </c>
      <c r="W4830">
        <v>0.1978067</v>
      </c>
      <c r="X4830">
        <v>0.97804389999999997</v>
      </c>
      <c r="Y4830">
        <v>-0.1045391</v>
      </c>
      <c r="Z4830">
        <v>1.78718E-2</v>
      </c>
      <c r="AA4830">
        <v>0.99436020000000003</v>
      </c>
      <c r="AB4830">
        <v>33</v>
      </c>
      <c r="AC4830">
        <v>4.22160000000002</v>
      </c>
      <c r="AD4830">
        <v>-1.1221153457749999</v>
      </c>
      <c r="AE4830">
        <v>-36.653229999999901</v>
      </c>
      <c r="AF4830">
        <v>-3.8894132509577499</v>
      </c>
      <c r="AG4830">
        <v>-1.1221153457749999</v>
      </c>
      <c r="AH4830">
        <v>36.655679567534598</v>
      </c>
      <c r="AI4830">
        <v>91.743627222611806</v>
      </c>
      <c r="AJ4830">
        <v>96.056803578287003</v>
      </c>
      <c r="AK4830">
        <v>36.878523870183898</v>
      </c>
      <c r="AL4830">
        <v>78.591270728805995</v>
      </c>
      <c r="AM4830">
        <v>93.836971365359602</v>
      </c>
      <c r="AN4830">
        <v>1.0000000665680799</v>
      </c>
    </row>
    <row r="4831" spans="1:40" x14ac:dyDescent="0.25">
      <c r="A4831" t="str">
        <f>"20190303162918131"</f>
        <v>20190303162918131</v>
      </c>
      <c r="B4831" t="str">
        <f>"1551601758127095"</f>
        <v>1551601758127095</v>
      </c>
      <c r="C4831" t="s">
        <v>40</v>
      </c>
      <c r="D4831">
        <v>4.9740080000000004</v>
      </c>
      <c r="E4831">
        <v>0.51260879999999998</v>
      </c>
      <c r="F4831" t="s">
        <v>41</v>
      </c>
      <c r="G4831">
        <v>-420.91140000000001</v>
      </c>
      <c r="H4831" s="1">
        <v>-8.83201E-7</v>
      </c>
      <c r="I4831">
        <v>61.082599999999999</v>
      </c>
      <c r="J4831">
        <v>-422.01859999999999</v>
      </c>
      <c r="K4831">
        <v>1.122104</v>
      </c>
      <c r="L4831">
        <v>78.171359999999893</v>
      </c>
      <c r="M4831">
        <v>9.8968790000000008E-3</v>
      </c>
      <c r="N4831">
        <v>-1.227615E-2</v>
      </c>
      <c r="O4831">
        <v>-0.99987599999999999</v>
      </c>
      <c r="P4831">
        <v>7.3575550000000003E-2</v>
      </c>
      <c r="Q4831">
        <v>0.1858863</v>
      </c>
      <c r="R4831">
        <v>-0.97981320000000005</v>
      </c>
      <c r="S4831">
        <v>0.19665530000000001</v>
      </c>
      <c r="T4831">
        <v>-0.19857759999999999</v>
      </c>
      <c r="U4831">
        <v>-3.0847470000000001</v>
      </c>
      <c r="V4831">
        <v>-6.4264299999999996E-2</v>
      </c>
      <c r="W4831">
        <v>0.1977824</v>
      </c>
      <c r="X4831">
        <v>0.97813709999999998</v>
      </c>
      <c r="Y4831">
        <v>-5.363018E-2</v>
      </c>
      <c r="Z4831">
        <v>5.1873530000000001E-2</v>
      </c>
      <c r="AA4831">
        <v>0.9972126</v>
      </c>
      <c r="AB4831">
        <v>33</v>
      </c>
      <c r="AC4831">
        <v>1.10719999999997</v>
      </c>
      <c r="AD4831">
        <v>-1.1221048832010001</v>
      </c>
      <c r="AE4831">
        <v>-17.088759999999901</v>
      </c>
      <c r="AF4831">
        <v>-0.933997430740798</v>
      </c>
      <c r="AG4831">
        <v>-1.1221048832010001</v>
      </c>
      <c r="AH4831">
        <v>17.0257788818531</v>
      </c>
      <c r="AI4831">
        <v>93.765050911573496</v>
      </c>
      <c r="AJ4831">
        <v>93.139975355837194</v>
      </c>
      <c r="AK4831">
        <v>17.088259627688501</v>
      </c>
      <c r="AL4831">
        <v>78.592690101938402</v>
      </c>
      <c r="AM4831">
        <v>93.758970855123195</v>
      </c>
      <c r="AN4831">
        <v>0.99999998220032904</v>
      </c>
    </row>
    <row r="4832" spans="1:40" x14ac:dyDescent="0.25">
      <c r="A4832" t="str">
        <f>"20190303162918154"</f>
        <v>20190303162918154</v>
      </c>
      <c r="B4832" t="str">
        <f>"1551601758146615"</f>
        <v>1551601758146615</v>
      </c>
      <c r="C4832" t="s">
        <v>40</v>
      </c>
      <c r="D4832">
        <v>4.999352</v>
      </c>
      <c r="E4832">
        <v>0.51433269999999998</v>
      </c>
      <c r="F4832" t="s">
        <v>41</v>
      </c>
      <c r="G4832">
        <v>-421.4228</v>
      </c>
      <c r="H4832" s="1">
        <v>-2.577281E-6</v>
      </c>
      <c r="I4832">
        <v>64.714359999999999</v>
      </c>
      <c r="J4832">
        <v>-422.01420000000002</v>
      </c>
      <c r="K4832">
        <v>1.122088</v>
      </c>
      <c r="L4832">
        <v>77.825779999999995</v>
      </c>
      <c r="M4832">
        <v>1.0823289999999999E-2</v>
      </c>
      <c r="N4832">
        <v>-1.2275629999999999E-2</v>
      </c>
      <c r="O4832">
        <v>-0.99986609999999998</v>
      </c>
      <c r="P4832">
        <v>7.2928989999999999E-2</v>
      </c>
      <c r="Q4832">
        <v>0.1844758</v>
      </c>
      <c r="R4832">
        <v>-0.98012750000000004</v>
      </c>
      <c r="S4832">
        <v>0.1372681</v>
      </c>
      <c r="T4832">
        <v>-0.25853860000000001</v>
      </c>
      <c r="U4832">
        <v>-3.1005549999999999</v>
      </c>
      <c r="V4832">
        <v>-6.2697359999999994E-2</v>
      </c>
      <c r="W4832">
        <v>0.19638079999999999</v>
      </c>
      <c r="X4832">
        <v>0.97852110000000003</v>
      </c>
      <c r="Y4832">
        <v>-3.3282150000000003E-2</v>
      </c>
      <c r="Z4832">
        <v>7.0789019999999994E-2</v>
      </c>
      <c r="AA4832">
        <v>0.99693589999999999</v>
      </c>
      <c r="AB4832">
        <v>33</v>
      </c>
      <c r="AC4832">
        <v>0.59140000000002102</v>
      </c>
      <c r="AD4832">
        <v>-1.1220905772809999</v>
      </c>
      <c r="AE4832">
        <v>-13.111420000000001</v>
      </c>
      <c r="AF4832">
        <v>-0.44618468185002003</v>
      </c>
      <c r="AG4832">
        <v>-1.1220905772809999</v>
      </c>
      <c r="AH4832">
        <v>13.021872962564199</v>
      </c>
      <c r="AI4832">
        <v>94.922118777695204</v>
      </c>
      <c r="AJ4832">
        <v>91.962429037524402</v>
      </c>
      <c r="AK4832">
        <v>13.077742293190401</v>
      </c>
      <c r="AL4832">
        <v>78.674602163903103</v>
      </c>
      <c r="AM4832">
        <v>93.666134765864797</v>
      </c>
      <c r="AN4832">
        <v>0.99999996035240901</v>
      </c>
    </row>
    <row r="4833" spans="1:40" x14ac:dyDescent="0.25">
      <c r="A4833" t="str">
        <f>"20190303162918176"</f>
        <v>20190303162918176</v>
      </c>
      <c r="B4833" t="str">
        <f>"1551601758167112"</f>
        <v>1551601758167112</v>
      </c>
      <c r="C4833" t="s">
        <v>40</v>
      </c>
      <c r="D4833">
        <v>5.0095559999999999</v>
      </c>
      <c r="E4833">
        <v>0.51463809999999999</v>
      </c>
      <c r="F4833" t="s">
        <v>41</v>
      </c>
      <c r="G4833">
        <v>-421.51769999999999</v>
      </c>
      <c r="H4833" s="1">
        <v>-2.8198870000000002E-6</v>
      </c>
      <c r="I4833">
        <v>65.221019999999996</v>
      </c>
      <c r="J4833">
        <v>-422.00970000000001</v>
      </c>
      <c r="K4833">
        <v>1.1220589999999999</v>
      </c>
      <c r="L4833">
        <v>77.495940000000004</v>
      </c>
      <c r="M4833">
        <v>1.167996E-2</v>
      </c>
      <c r="N4833">
        <v>-1.227514E-2</v>
      </c>
      <c r="O4833">
        <v>-0.99985670000000004</v>
      </c>
      <c r="P4833">
        <v>7.2461750000000005E-2</v>
      </c>
      <c r="Q4833">
        <v>0.18256459999999999</v>
      </c>
      <c r="R4833">
        <v>-0.98052039999999996</v>
      </c>
      <c r="S4833">
        <v>0.122253399999999</v>
      </c>
      <c r="T4833">
        <v>-0.27629759999999998</v>
      </c>
      <c r="U4833">
        <v>-3.103729</v>
      </c>
      <c r="V4833">
        <v>-6.1372070000000001E-2</v>
      </c>
      <c r="W4833">
        <v>0.19448080000000001</v>
      </c>
      <c r="X4833">
        <v>0.97898450000000004</v>
      </c>
      <c r="Y4833">
        <v>-2.755208E-2</v>
      </c>
      <c r="Z4833">
        <v>7.6379890000000006E-2</v>
      </c>
      <c r="AA4833">
        <v>0.99669799999999997</v>
      </c>
      <c r="AB4833">
        <v>33</v>
      </c>
      <c r="AC4833">
        <v>0.49200000000001798</v>
      </c>
      <c r="AD4833">
        <v>-1.1220618198869901</v>
      </c>
      <c r="AE4833">
        <v>-12.27492</v>
      </c>
      <c r="AF4833">
        <v>-0.34570106407858198</v>
      </c>
      <c r="AG4833">
        <v>-1.1220618198869901</v>
      </c>
      <c r="AH4833">
        <v>12.178231966920899</v>
      </c>
      <c r="AI4833">
        <v>95.262072326336295</v>
      </c>
      <c r="AJ4833">
        <v>91.626007312284798</v>
      </c>
      <c r="AK4833">
        <v>12.2346992522696</v>
      </c>
      <c r="AL4833">
        <v>78.785604817868503</v>
      </c>
      <c r="AM4833">
        <v>93.587150785360805</v>
      </c>
      <c r="AN4833">
        <v>0.99999998189248696</v>
      </c>
    </row>
    <row r="4834" spans="1:40" x14ac:dyDescent="0.25">
      <c r="A4834" t="str">
        <f>"20190303162918197"</f>
        <v>20190303162918197</v>
      </c>
      <c r="B4834" t="str">
        <f>"1551601758186632"</f>
        <v>1551601758186632</v>
      </c>
      <c r="C4834" t="s">
        <v>40</v>
      </c>
      <c r="D4834">
        <v>5.0304669999999998</v>
      </c>
      <c r="E4834">
        <v>0.51484449999999904</v>
      </c>
      <c r="F4834" t="s">
        <v>41</v>
      </c>
      <c r="G4834">
        <v>-421.53980000000001</v>
      </c>
      <c r="H4834" s="1">
        <v>-2.809748E-6</v>
      </c>
      <c r="I4834">
        <v>65.18365</v>
      </c>
      <c r="J4834">
        <v>-422.0052</v>
      </c>
      <c r="K4834">
        <v>1.1220220000000001</v>
      </c>
      <c r="L4834">
        <v>77.183719999999994</v>
      </c>
      <c r="M4834">
        <v>1.245227E-2</v>
      </c>
      <c r="N4834">
        <v>-1.227465E-2</v>
      </c>
      <c r="O4834">
        <v>-0.99984729999999999</v>
      </c>
      <c r="P4834">
        <v>7.1963830000000006E-2</v>
      </c>
      <c r="Q4834">
        <v>0.18059539999999999</v>
      </c>
      <c r="R4834">
        <v>-0.98092140000000005</v>
      </c>
      <c r="S4834">
        <v>0.11843869999999999</v>
      </c>
      <c r="T4834">
        <v>-0.28283409999999998</v>
      </c>
      <c r="U4834">
        <v>-3.1035159999999999</v>
      </c>
      <c r="V4834">
        <v>-6.0094189999999999E-2</v>
      </c>
      <c r="W4834">
        <v>0.192523</v>
      </c>
      <c r="X4834">
        <v>0.97945059999999995</v>
      </c>
      <c r="Y4834">
        <v>-2.5554049999999998E-2</v>
      </c>
      <c r="Z4834">
        <v>7.8471319999999997E-2</v>
      </c>
      <c r="AA4834">
        <v>0.99658880000000005</v>
      </c>
      <c r="AB4834">
        <v>33</v>
      </c>
      <c r="AC4834">
        <v>0.46539999999998799</v>
      </c>
      <c r="AD4834">
        <v>-1.1220248097479999</v>
      </c>
      <c r="AE4834">
        <v>-12.0000699999999</v>
      </c>
      <c r="AF4834">
        <v>-0.31319059975124403</v>
      </c>
      <c r="AG4834">
        <v>-1.1220248097479999</v>
      </c>
      <c r="AH4834">
        <v>11.901046141117799</v>
      </c>
      <c r="AI4834">
        <v>95.384044914868497</v>
      </c>
      <c r="AJ4834">
        <v>91.507460655712407</v>
      </c>
      <c r="AK4834">
        <v>11.9579232008939</v>
      </c>
      <c r="AL4834">
        <v>78.899939067517593</v>
      </c>
      <c r="AM4834">
        <v>93.510981253265996</v>
      </c>
      <c r="AN4834">
        <v>0.99999994752055599</v>
      </c>
    </row>
    <row r="4835" spans="1:40" x14ac:dyDescent="0.25">
      <c r="A4835" t="str">
        <f>"20190303162918219"</f>
        <v>20190303162918219</v>
      </c>
      <c r="B4835" t="str">
        <f>"1551601758207128"</f>
        <v>1551601758207128</v>
      </c>
      <c r="C4835" t="s">
        <v>40</v>
      </c>
      <c r="D4835">
        <v>5.0027910000000002</v>
      </c>
      <c r="E4835">
        <v>0.51492360000000004</v>
      </c>
      <c r="F4835" t="s">
        <v>41</v>
      </c>
      <c r="G4835">
        <v>-421.5641</v>
      </c>
      <c r="H4835" s="1">
        <v>-2.8614249999999999E-6</v>
      </c>
      <c r="I4835">
        <v>65.289019999999994</v>
      </c>
      <c r="J4835">
        <v>-422.00020000000001</v>
      </c>
      <c r="K4835">
        <v>1.121974</v>
      </c>
      <c r="L4835">
        <v>76.848240000000004</v>
      </c>
      <c r="M4835">
        <v>1.322399E-2</v>
      </c>
      <c r="N4835">
        <v>-1.227398E-2</v>
      </c>
      <c r="O4835">
        <v>-0.99983730000000004</v>
      </c>
      <c r="P4835">
        <v>7.0847830000000001E-2</v>
      </c>
      <c r="Q4835">
        <v>0.17801500000000001</v>
      </c>
      <c r="R4835">
        <v>-0.98147410000000002</v>
      </c>
      <c r="S4835">
        <v>0.1150818</v>
      </c>
      <c r="T4835">
        <v>-0.29278290000000001</v>
      </c>
      <c r="U4835">
        <v>-3.1038209999999999</v>
      </c>
      <c r="V4835">
        <v>-5.8188740000000003E-2</v>
      </c>
      <c r="W4835">
        <v>0.18995860000000001</v>
      </c>
      <c r="X4835">
        <v>0.9800662</v>
      </c>
      <c r="Y4835">
        <v>-2.369365E-2</v>
      </c>
      <c r="Z4835">
        <v>8.1631709999999996E-2</v>
      </c>
      <c r="AA4835">
        <v>0.99638090000000001</v>
      </c>
      <c r="AB4835">
        <v>33</v>
      </c>
      <c r="AC4835">
        <v>0.43610000000000998</v>
      </c>
      <c r="AD4835">
        <v>-1.1219768614250001</v>
      </c>
      <c r="AE4835">
        <v>-11.55922</v>
      </c>
      <c r="AF4835">
        <v>-0.28055194111888299</v>
      </c>
      <c r="AG4835">
        <v>-1.1219768614250001</v>
      </c>
      <c r="AH4835">
        <v>11.4561976724238</v>
      </c>
      <c r="AI4835">
        <v>95.591829189150303</v>
      </c>
      <c r="AJ4835">
        <v>91.402841536910699</v>
      </c>
      <c r="AK4835">
        <v>11.514426020383601</v>
      </c>
      <c r="AL4835">
        <v>79.049631600851697</v>
      </c>
      <c r="AM4835">
        <v>93.397790880214401</v>
      </c>
      <c r="AN4835">
        <v>0.99999997777959304</v>
      </c>
    </row>
    <row r="4836" spans="1:40" x14ac:dyDescent="0.25">
      <c r="A4836" t="str">
        <f>"20190303162918242"</f>
        <v>20190303162918242</v>
      </c>
      <c r="B4836" t="str">
        <f>"1551601758236818"</f>
        <v>1551601758236818</v>
      </c>
      <c r="C4836" t="s">
        <v>40</v>
      </c>
      <c r="D4836">
        <v>5.0817809999999897</v>
      </c>
      <c r="E4836">
        <v>0.51452330000000002</v>
      </c>
      <c r="F4836" t="s">
        <v>41</v>
      </c>
      <c r="G4836">
        <v>-421.59019999999998</v>
      </c>
      <c r="H4836" s="1">
        <v>-2.8807720000000001E-6</v>
      </c>
      <c r="I4836">
        <v>65.317959999999999</v>
      </c>
      <c r="J4836">
        <v>-421.995</v>
      </c>
      <c r="K4836">
        <v>1.121896</v>
      </c>
      <c r="L4836">
        <v>76.507630000000006</v>
      </c>
      <c r="M4836">
        <v>1.3921640000000001E-2</v>
      </c>
      <c r="N4836">
        <v>-1.227319E-2</v>
      </c>
      <c r="O4836">
        <v>-0.99982780000000004</v>
      </c>
      <c r="P4836">
        <v>6.9005209999999997E-2</v>
      </c>
      <c r="Q4836">
        <v>0.175615299999999</v>
      </c>
      <c r="R4836">
        <v>-0.98203750000000001</v>
      </c>
      <c r="S4836">
        <v>0.11035159999999999</v>
      </c>
      <c r="T4836">
        <v>-0.3019849</v>
      </c>
      <c r="U4836">
        <v>-3.103424</v>
      </c>
      <c r="V4836">
        <v>-5.5621219999999999E-2</v>
      </c>
      <c r="W4836">
        <v>0.18757840000000001</v>
      </c>
      <c r="X4836">
        <v>0.98067360000000003</v>
      </c>
      <c r="Y4836">
        <v>-2.14764E-2</v>
      </c>
      <c r="Z4836">
        <v>8.457431E-2</v>
      </c>
      <c r="AA4836">
        <v>0.99618569999999995</v>
      </c>
      <c r="AB4836">
        <v>33</v>
      </c>
      <c r="AC4836">
        <v>0.40480000000002198</v>
      </c>
      <c r="AD4836">
        <v>-1.1218988807720001</v>
      </c>
      <c r="AE4836">
        <v>-11.18967</v>
      </c>
      <c r="AF4836">
        <v>-0.246495825216896</v>
      </c>
      <c r="AG4836">
        <v>-1.1218988807720001</v>
      </c>
      <c r="AH4836">
        <v>11.082955853696999</v>
      </c>
      <c r="AI4836">
        <v>95.778794162036505</v>
      </c>
      <c r="AJ4836">
        <v>91.274104363605602</v>
      </c>
      <c r="AK4836">
        <v>11.1423214702109</v>
      </c>
      <c r="AL4836">
        <v>79.188504466011295</v>
      </c>
      <c r="AM4836">
        <v>93.246187630641401</v>
      </c>
      <c r="AN4836">
        <v>1.0000000429989</v>
      </c>
    </row>
    <row r="4837" spans="1:40" x14ac:dyDescent="0.25">
      <c r="A4837" t="str">
        <f>"20190303162918265"</f>
        <v>20190303162918265</v>
      </c>
      <c r="B4837" t="str">
        <f>"1551601758256338"</f>
        <v>1551601758256338</v>
      </c>
      <c r="C4837" t="s">
        <v>40</v>
      </c>
      <c r="D4837">
        <v>5.0060599999999997</v>
      </c>
      <c r="E4837">
        <v>0.51413620000000004</v>
      </c>
      <c r="F4837" t="s">
        <v>41</v>
      </c>
      <c r="G4837">
        <v>-421.60410000000002</v>
      </c>
      <c r="H4837" s="1">
        <v>-2.8224299999999998E-6</v>
      </c>
      <c r="I4837">
        <v>65.173379999999995</v>
      </c>
      <c r="J4837">
        <v>-421.98989999999998</v>
      </c>
      <c r="K4837">
        <v>1.121812</v>
      </c>
      <c r="L4837">
        <v>76.186070000000001</v>
      </c>
      <c r="M4837">
        <v>1.4467229999999999E-2</v>
      </c>
      <c r="N4837">
        <v>-1.2272419999999999E-2</v>
      </c>
      <c r="O4837">
        <v>-0.99982009999999999</v>
      </c>
      <c r="P4837">
        <v>6.6349130000000006E-2</v>
      </c>
      <c r="Q4837">
        <v>0.17333229999999999</v>
      </c>
      <c r="R4837">
        <v>-0.98262609999999995</v>
      </c>
      <c r="S4837">
        <v>0.1069946</v>
      </c>
      <c r="T4837">
        <v>-0.3070717</v>
      </c>
      <c r="U4837">
        <v>-3.1022639999999999</v>
      </c>
      <c r="V4837">
        <v>-5.2381200000000003E-2</v>
      </c>
      <c r="W4837">
        <v>0.1853166</v>
      </c>
      <c r="X4837">
        <v>0.98128179999999998</v>
      </c>
      <c r="Y4837">
        <v>-1.9863370000000002E-2</v>
      </c>
      <c r="Z4837">
        <v>8.6230500000000002E-2</v>
      </c>
      <c r="AA4837">
        <v>0.9960772</v>
      </c>
      <c r="AB4837">
        <v>33</v>
      </c>
      <c r="AC4837">
        <v>0.38579999999996001</v>
      </c>
      <c r="AD4837">
        <v>-1.12181482242999</v>
      </c>
      <c r="AE4837">
        <v>-11.0126899999999</v>
      </c>
      <c r="AF4837">
        <v>-0.22410194257721799</v>
      </c>
      <c r="AG4837">
        <v>-1.12181482242999</v>
      </c>
      <c r="AH4837">
        <v>10.9041101482435</v>
      </c>
      <c r="AI4837">
        <v>95.872692557740706</v>
      </c>
      <c r="AJ4837">
        <v>91.177380633819894</v>
      </c>
      <c r="AK4837">
        <v>10.9639549571092</v>
      </c>
      <c r="AL4837">
        <v>79.320408596185302</v>
      </c>
      <c r="AM4837">
        <v>93.055570707346902</v>
      </c>
      <c r="AN4837">
        <v>1.0000000016801101</v>
      </c>
    </row>
    <row r="4838" spans="1:40" x14ac:dyDescent="0.25">
      <c r="A4838" t="str">
        <f>"20190303162918287"</f>
        <v>20190303162918287</v>
      </c>
      <c r="B4838" t="str">
        <f>"1551601758276836"</f>
        <v>1551601758276836</v>
      </c>
      <c r="C4838" t="s">
        <v>40</v>
      </c>
      <c r="D4838">
        <v>5.0497909999999999</v>
      </c>
      <c r="E4838">
        <v>0.51469330000000002</v>
      </c>
      <c r="F4838" t="s">
        <v>44</v>
      </c>
      <c r="G4838">
        <v>-421.95710000000003</v>
      </c>
      <c r="H4838">
        <v>1.0209889999999999</v>
      </c>
      <c r="I4838">
        <v>75.183490000000006</v>
      </c>
      <c r="J4838">
        <v>-421.98450000000003</v>
      </c>
      <c r="K4838">
        <v>1.1217170000000001</v>
      </c>
      <c r="L4838">
        <v>75.849329999999995</v>
      </c>
      <c r="M4838">
        <v>1.4911290000000001E-2</v>
      </c>
      <c r="N4838">
        <v>-1.227168E-2</v>
      </c>
      <c r="O4838">
        <v>-0.99981359999999997</v>
      </c>
      <c r="P4838">
        <v>6.3867060000000003E-2</v>
      </c>
      <c r="Q4838">
        <v>0.1729927</v>
      </c>
      <c r="R4838">
        <v>-0.98285040000000001</v>
      </c>
      <c r="S4838">
        <v>0.10177609999999999</v>
      </c>
      <c r="T4838">
        <v>-0.31188739999999998</v>
      </c>
      <c r="U4838">
        <v>-3.1011959999999998</v>
      </c>
      <c r="V4838">
        <v>-4.9414180000000002E-2</v>
      </c>
      <c r="W4838">
        <v>0.18499470000000001</v>
      </c>
      <c r="X4838">
        <v>0.98149640000000005</v>
      </c>
      <c r="Y4838">
        <v>-1.775361E-2</v>
      </c>
      <c r="Z4838">
        <v>8.7799459999999996E-2</v>
      </c>
      <c r="AA4838">
        <v>0.99597999999999998</v>
      </c>
      <c r="AB4838">
        <v>33</v>
      </c>
      <c r="AC4838">
        <v>2.7400000000000001E-2</v>
      </c>
      <c r="AD4838">
        <v>-0.100728</v>
      </c>
      <c r="AE4838">
        <v>-0.66584000000000199</v>
      </c>
      <c r="AF4838">
        <v>-1.7077506300802299E-2</v>
      </c>
      <c r="AG4838">
        <v>-0.100728</v>
      </c>
      <c r="AH4838">
        <v>0.65129454902716499</v>
      </c>
      <c r="AI4838">
        <v>98.788630560407</v>
      </c>
      <c r="AJ4838">
        <v>91.5020007246641</v>
      </c>
      <c r="AK4838">
        <v>0.65925894821227304</v>
      </c>
      <c r="AL4838">
        <v>79.339176514216106</v>
      </c>
      <c r="AM4838">
        <v>92.882165942488101</v>
      </c>
      <c r="AN4838">
        <v>0.99999999171306098</v>
      </c>
    </row>
    <row r="4839" spans="1:40" x14ac:dyDescent="0.25">
      <c r="A4839" t="str">
        <f>"20190303162918309"</f>
        <v>20190303162918309</v>
      </c>
      <c r="B4839" t="str">
        <f>"1551601758296354"</f>
        <v>1551601758296354</v>
      </c>
      <c r="C4839" t="s">
        <v>40</v>
      </c>
      <c r="D4839">
        <v>5.0710519999999999</v>
      </c>
      <c r="E4839">
        <v>0.51531419999999994</v>
      </c>
      <c r="F4839" t="s">
        <v>44</v>
      </c>
      <c r="G4839">
        <v>-421.95710000000003</v>
      </c>
      <c r="H4839">
        <v>1.02485</v>
      </c>
      <c r="I4839">
        <v>74.883830000000003</v>
      </c>
      <c r="J4839">
        <v>-421.97930000000002</v>
      </c>
      <c r="K4839">
        <v>1.1216269999999999</v>
      </c>
      <c r="L4839">
        <v>75.525509999999997</v>
      </c>
      <c r="M4839">
        <v>1.523733E-2</v>
      </c>
      <c r="N4839">
        <v>-1.227114E-2</v>
      </c>
      <c r="O4839">
        <v>-0.9998089</v>
      </c>
      <c r="P4839">
        <v>6.2651369999999998E-2</v>
      </c>
      <c r="Q4839">
        <v>0.17437459999999999</v>
      </c>
      <c r="R4839">
        <v>-0.98268489999999997</v>
      </c>
      <c r="S4839">
        <v>8.9355470000000006E-2</v>
      </c>
      <c r="T4839">
        <v>-0.31118800000000002</v>
      </c>
      <c r="U4839">
        <v>-3.1012879999999998</v>
      </c>
      <c r="V4839">
        <v>-4.783954E-2</v>
      </c>
      <c r="W4839">
        <v>0.1863872</v>
      </c>
      <c r="X4839">
        <v>0.98131100000000004</v>
      </c>
      <c r="Y4839">
        <v>-1.3444899999999999E-2</v>
      </c>
      <c r="Z4839">
        <v>8.7583179999999997E-2</v>
      </c>
      <c r="AA4839">
        <v>0.99606649999999997</v>
      </c>
      <c r="AB4839">
        <v>33</v>
      </c>
      <c r="AC4839">
        <v>2.2199999999997999E-2</v>
      </c>
      <c r="AD4839">
        <v>-9.6777000000000099E-2</v>
      </c>
      <c r="AE4839">
        <v>-0.64167999999999303</v>
      </c>
      <c r="AF4839">
        <v>-1.21433159661471E-2</v>
      </c>
      <c r="AG4839">
        <v>-9.6777000000000099E-2</v>
      </c>
      <c r="AH4839">
        <v>0.62768349244627597</v>
      </c>
      <c r="AI4839">
        <v>98.763300383973899</v>
      </c>
      <c r="AJ4839">
        <v>91.108319685941098</v>
      </c>
      <c r="AK4839">
        <v>0.63521635254550002</v>
      </c>
      <c r="AL4839">
        <v>79.2579805508974</v>
      </c>
      <c r="AM4839">
        <v>92.790996311111698</v>
      </c>
      <c r="AN4839">
        <v>1.0000000443161201</v>
      </c>
    </row>
    <row r="4840" spans="1:40" x14ac:dyDescent="0.25">
      <c r="A4840" t="str">
        <f>"20190303162918332"</f>
        <v>20190303162918332</v>
      </c>
      <c r="B4840" t="str">
        <f>"1551601758326610"</f>
        <v>1551601758326610</v>
      </c>
      <c r="C4840" t="s">
        <v>40</v>
      </c>
      <c r="D4840">
        <v>5.0707620000000002</v>
      </c>
      <c r="E4840">
        <v>0.5157678</v>
      </c>
      <c r="F4840" t="s">
        <v>44</v>
      </c>
      <c r="G4840">
        <v>-421.95510000000002</v>
      </c>
      <c r="H4840">
        <v>1.030251</v>
      </c>
      <c r="I4840">
        <v>74.582210000000003</v>
      </c>
      <c r="J4840">
        <v>-421.97370000000001</v>
      </c>
      <c r="K4840">
        <v>1.121534</v>
      </c>
      <c r="L4840">
        <v>75.177430000000001</v>
      </c>
      <c r="M4840">
        <v>1.546721E-2</v>
      </c>
      <c r="N4840">
        <v>-1.227054E-2</v>
      </c>
      <c r="O4840">
        <v>-0.99980519999999995</v>
      </c>
      <c r="P4840">
        <v>6.3020870000000007E-2</v>
      </c>
      <c r="Q4840">
        <v>0.1756257</v>
      </c>
      <c r="R4840">
        <v>-0.98243769999999997</v>
      </c>
      <c r="S4840">
        <v>7.9315189999999994E-2</v>
      </c>
      <c r="T4840">
        <v>-0.30039389999999999</v>
      </c>
      <c r="U4840">
        <v>-3.1011350000000002</v>
      </c>
      <c r="V4840">
        <v>-4.7944830000000001E-2</v>
      </c>
      <c r="W4840">
        <v>0.18764539999999999</v>
      </c>
      <c r="X4840">
        <v>0.98106599999999999</v>
      </c>
      <c r="Y4840">
        <v>-1.0003980000000001E-2</v>
      </c>
      <c r="Z4840">
        <v>8.4161029999999998E-2</v>
      </c>
      <c r="AA4840">
        <v>0.99640200000000001</v>
      </c>
      <c r="AB4840">
        <v>33</v>
      </c>
      <c r="AC4840">
        <v>1.8599999999992099E-2</v>
      </c>
      <c r="AD4840">
        <v>-9.1283000000000003E-2</v>
      </c>
      <c r="AE4840">
        <v>-0.59521999999999697</v>
      </c>
      <c r="AF4840">
        <v>-9.1751080536961495E-3</v>
      </c>
      <c r="AG4840">
        <v>-9.1283000000000003E-2</v>
      </c>
      <c r="AH4840">
        <v>0.58176707965382901</v>
      </c>
      <c r="AI4840">
        <v>98.916279243689999</v>
      </c>
      <c r="AJ4840">
        <v>90.903542685689501</v>
      </c>
      <c r="AK4840">
        <v>0.58895645311494904</v>
      </c>
      <c r="AL4840">
        <v>79.184595776798005</v>
      </c>
      <c r="AM4840">
        <v>92.797826680475495</v>
      </c>
      <c r="AN4840">
        <v>0.99999999961044395</v>
      </c>
    </row>
    <row r="4841" spans="1:40" x14ac:dyDescent="0.25">
      <c r="A4841" t="str">
        <f>"20190303162918354"</f>
        <v>20190303162918354</v>
      </c>
      <c r="B4841" t="str">
        <f>"1551601758347106"</f>
        <v>1551601758347106</v>
      </c>
      <c r="C4841" t="s">
        <v>40</v>
      </c>
      <c r="D4841">
        <v>5.0286039999999996</v>
      </c>
      <c r="E4841">
        <v>0.51583000000000001</v>
      </c>
      <c r="F4841" t="s">
        <v>44</v>
      </c>
      <c r="G4841">
        <v>-421.95229999999998</v>
      </c>
      <c r="H4841">
        <v>1.0378050000000001</v>
      </c>
      <c r="I4841">
        <v>74.278409999999994</v>
      </c>
      <c r="J4841">
        <v>-421.9683</v>
      </c>
      <c r="K4841">
        <v>1.1214550000000001</v>
      </c>
      <c r="L4841">
        <v>74.836060000000003</v>
      </c>
      <c r="M4841">
        <v>1.558378E-2</v>
      </c>
      <c r="N4841">
        <v>-1.226997E-2</v>
      </c>
      <c r="O4841">
        <v>-0.99980340000000001</v>
      </c>
      <c r="P4841">
        <v>6.3445310000000005E-2</v>
      </c>
      <c r="Q4841">
        <v>0.17646800000000001</v>
      </c>
      <c r="R4841">
        <v>-0.98225989999999996</v>
      </c>
      <c r="S4841">
        <v>7.4829099999999996E-2</v>
      </c>
      <c r="T4841">
        <v>-0.28878959999999998</v>
      </c>
      <c r="U4841">
        <v>-3.1004640000000001</v>
      </c>
      <c r="V4841">
        <v>-4.8218940000000002E-2</v>
      </c>
      <c r="W4841">
        <v>0.188495</v>
      </c>
      <c r="X4841">
        <v>0.98088969999999998</v>
      </c>
      <c r="Y4841">
        <v>-8.4606330000000004E-3</v>
      </c>
      <c r="Z4841">
        <v>8.048893E-2</v>
      </c>
      <c r="AA4841">
        <v>0.99671960000000004</v>
      </c>
      <c r="AB4841">
        <v>33</v>
      </c>
      <c r="AC4841">
        <v>1.6000000000019499E-2</v>
      </c>
      <c r="AD4841">
        <v>-8.3650000000000002E-2</v>
      </c>
      <c r="AE4841">
        <v>-0.55765000000000897</v>
      </c>
      <c r="AF4841">
        <v>-7.1464364949912398E-3</v>
      </c>
      <c r="AG4841">
        <v>-8.3650000000000002E-2</v>
      </c>
      <c r="AH4841">
        <v>0.54556576515317301</v>
      </c>
      <c r="AI4841">
        <v>98.7163700270346</v>
      </c>
      <c r="AJ4841">
        <v>90.750481901327802</v>
      </c>
      <c r="AK4841">
        <v>0.55198767935683501</v>
      </c>
      <c r="AL4841">
        <v>79.135033055173693</v>
      </c>
      <c r="AM4841">
        <v>92.814301695081895</v>
      </c>
      <c r="AN4841">
        <v>1.0000000173829</v>
      </c>
    </row>
    <row r="4842" spans="1:40" x14ac:dyDescent="0.25">
      <c r="A4842" t="str">
        <f>"20190303162918397"</f>
        <v>20190303162918397</v>
      </c>
      <c r="B4842" t="str">
        <f>"1551601758387122"</f>
        <v>1551601758387122</v>
      </c>
      <c r="C4842" t="s">
        <v>40</v>
      </c>
      <c r="D4842">
        <v>5.0226949999999997</v>
      </c>
      <c r="E4842">
        <v>0.51598239999999995</v>
      </c>
      <c r="F4842" t="s">
        <v>41</v>
      </c>
      <c r="G4842">
        <v>-421.66980000000001</v>
      </c>
      <c r="H4842" s="1">
        <v>-1.708169E-6</v>
      </c>
      <c r="I4842">
        <v>62.535249999999998</v>
      </c>
      <c r="J4842">
        <v>-421.9581</v>
      </c>
      <c r="K4842">
        <v>1.1213360000000001</v>
      </c>
      <c r="L4842">
        <v>74.197479999999999</v>
      </c>
      <c r="M4842">
        <v>1.557323E-2</v>
      </c>
      <c r="N4842">
        <v>-1.2268960000000001E-2</v>
      </c>
      <c r="O4842">
        <v>-0.99980349999999996</v>
      </c>
      <c r="P4842">
        <v>6.1659600000000002E-2</v>
      </c>
      <c r="Q4842">
        <v>0.17982579999999901</v>
      </c>
      <c r="R4842">
        <v>-0.98176439999999998</v>
      </c>
      <c r="S4842">
        <v>7.5225829999999994E-2</v>
      </c>
      <c r="T4842">
        <v>-0.28263389999999999</v>
      </c>
      <c r="U4842">
        <v>-3.100098</v>
      </c>
      <c r="V4842">
        <v>-4.6391969999999998E-2</v>
      </c>
      <c r="W4842">
        <v>0.19186039999999999</v>
      </c>
      <c r="X4842">
        <v>0.98032520000000001</v>
      </c>
      <c r="Y4842">
        <v>-8.6052960000000001E-3</v>
      </c>
      <c r="Z4842">
        <v>7.85386E-2</v>
      </c>
      <c r="AA4842">
        <v>0.99687389999999998</v>
      </c>
      <c r="AB4842">
        <v>33</v>
      </c>
      <c r="AC4842">
        <v>0.28829999999999201</v>
      </c>
      <c r="AD4842">
        <v>-1.1213377081689999</v>
      </c>
      <c r="AE4842">
        <v>-11.662229999999999</v>
      </c>
      <c r="AF4842">
        <v>-0.10565657533787599</v>
      </c>
      <c r="AG4842">
        <v>-1.1213377081689999</v>
      </c>
      <c r="AH4842">
        <v>11.5585117573511</v>
      </c>
      <c r="AI4842">
        <v>95.540923423631</v>
      </c>
      <c r="AJ4842">
        <v>90.523727221005998</v>
      </c>
      <c r="AK4842">
        <v>11.613257751918599</v>
      </c>
      <c r="AL4842">
        <v>78.938625741852505</v>
      </c>
      <c r="AM4842">
        <v>92.709389218724297</v>
      </c>
      <c r="AN4842">
        <v>1.00000006286183</v>
      </c>
    </row>
    <row r="4843" spans="1:40" x14ac:dyDescent="0.25">
      <c r="A4843" t="str">
        <f>"20190303162918421"</f>
        <v>20190303162918421</v>
      </c>
      <c r="B4843" t="str">
        <f>"1551601758406643"</f>
        <v>1551601758406643</v>
      </c>
      <c r="C4843" t="s">
        <v>40</v>
      </c>
      <c r="D4843">
        <v>4.9969679999999999</v>
      </c>
      <c r="E4843">
        <v>0.51600590000000002</v>
      </c>
      <c r="F4843" t="s">
        <v>41</v>
      </c>
      <c r="G4843">
        <v>-421.6499</v>
      </c>
      <c r="H4843" s="1">
        <v>-1.112435E-6</v>
      </c>
      <c r="I4843">
        <v>61.158880000000003</v>
      </c>
      <c r="J4843">
        <v>-421.95280000000002</v>
      </c>
      <c r="K4843">
        <v>1.121283</v>
      </c>
      <c r="L4843">
        <v>73.855130000000003</v>
      </c>
      <c r="M4843">
        <v>1.5487620000000001E-2</v>
      </c>
      <c r="N4843">
        <v>-1.2268360000000001E-2</v>
      </c>
      <c r="O4843">
        <v>-0.99980500000000005</v>
      </c>
      <c r="P4843">
        <v>5.9500940000000002E-2</v>
      </c>
      <c r="Q4843">
        <v>0.18038760000000001</v>
      </c>
      <c r="R4843">
        <v>-0.98179450000000001</v>
      </c>
      <c r="S4843">
        <v>7.3272710000000005E-2</v>
      </c>
      <c r="T4843">
        <v>-0.26660200000000001</v>
      </c>
      <c r="U4843">
        <v>-3.0999759999999998</v>
      </c>
      <c r="V4843">
        <v>-4.4291249999999997E-2</v>
      </c>
      <c r="W4843">
        <v>0.19242799999999999</v>
      </c>
      <c r="X4843">
        <v>0.98031100000000004</v>
      </c>
      <c r="Y4843">
        <v>-8.0739560000000002E-3</v>
      </c>
      <c r="Z4843">
        <v>7.3428939999999998E-2</v>
      </c>
      <c r="AA4843">
        <v>0.99726780000000004</v>
      </c>
      <c r="AB4843">
        <v>33</v>
      </c>
      <c r="AC4843">
        <v>0.30290000000002198</v>
      </c>
      <c r="AD4843">
        <v>-1.1212841124349999</v>
      </c>
      <c r="AE4843">
        <v>-12.696249999999999</v>
      </c>
      <c r="AF4843">
        <v>-0.105392642395706</v>
      </c>
      <c r="AG4843">
        <v>-1.1212841124349999</v>
      </c>
      <c r="AH4843">
        <v>12.601188384374799</v>
      </c>
      <c r="AI4843">
        <v>95.084747272774806</v>
      </c>
      <c r="AJ4843">
        <v>90.479193915731301</v>
      </c>
      <c r="AK4843">
        <v>12.6514162989118</v>
      </c>
      <c r="AL4843">
        <v>78.905485948113196</v>
      </c>
      <c r="AM4843">
        <v>92.586910749980902</v>
      </c>
      <c r="AN4843">
        <v>0.99999995336577996</v>
      </c>
    </row>
    <row r="4844" spans="1:40" x14ac:dyDescent="0.25">
      <c r="A4844" t="str">
        <f>"20190303162918443"</f>
        <v>20190303162918443</v>
      </c>
      <c r="B4844" t="str">
        <f>"1551601758436900"</f>
        <v>1551601758436900</v>
      </c>
      <c r="C4844" t="s">
        <v>40</v>
      </c>
      <c r="D4844">
        <v>4.9199840000000004</v>
      </c>
      <c r="E4844">
        <v>0.51608859999999901</v>
      </c>
      <c r="F4844" t="s">
        <v>41</v>
      </c>
      <c r="G4844">
        <v>-421.65940000000001</v>
      </c>
      <c r="H4844" s="1">
        <v>-8.9102750000000004E-7</v>
      </c>
      <c r="I4844">
        <v>60.63693</v>
      </c>
      <c r="J4844">
        <v>-421.94760000000002</v>
      </c>
      <c r="K4844">
        <v>1.1212420000000001</v>
      </c>
      <c r="L4844">
        <v>73.516269999999906</v>
      </c>
      <c r="M4844">
        <v>1.538056E-2</v>
      </c>
      <c r="N4844">
        <v>-1.2267739999999999E-2</v>
      </c>
      <c r="O4844">
        <v>-0.99980659999999999</v>
      </c>
      <c r="P4844">
        <v>5.732831E-2</v>
      </c>
      <c r="Q4844">
        <v>0.18053</v>
      </c>
      <c r="R4844">
        <v>-0.98189769999999998</v>
      </c>
      <c r="S4844">
        <v>6.8817139999999999E-2</v>
      </c>
      <c r="T4844">
        <v>-0.26294899999999999</v>
      </c>
      <c r="U4844">
        <v>-3.0997620000000001</v>
      </c>
      <c r="V4844">
        <v>-4.2202290000000003E-2</v>
      </c>
      <c r="W4844">
        <v>0.19257489999999999</v>
      </c>
      <c r="X4844">
        <v>0.98037430000000003</v>
      </c>
      <c r="Y4844">
        <v>-6.7526690000000002E-3</v>
      </c>
      <c r="Z4844">
        <v>7.2270829999999994E-2</v>
      </c>
      <c r="AA4844">
        <v>0.99736219999999998</v>
      </c>
      <c r="AB4844">
        <v>33</v>
      </c>
      <c r="AC4844">
        <v>0.288200000000017</v>
      </c>
      <c r="AD4844">
        <v>-1.1212428910275001</v>
      </c>
      <c r="AE4844">
        <v>-12.8793399999999</v>
      </c>
      <c r="AF4844">
        <v>-8.9382473095502096E-2</v>
      </c>
      <c r="AG4844">
        <v>-1.1212428910275001</v>
      </c>
      <c r="AH4844">
        <v>12.785397220622899</v>
      </c>
      <c r="AI4844">
        <v>95.0117325651877</v>
      </c>
      <c r="AJ4844">
        <v>90.400547198760805</v>
      </c>
      <c r="AK4844">
        <v>12.834779193125501</v>
      </c>
      <c r="AL4844">
        <v>78.896908701736095</v>
      </c>
      <c r="AM4844">
        <v>92.4648965105972</v>
      </c>
      <c r="AN4844">
        <v>0.99999994674587001</v>
      </c>
    </row>
    <row r="4845" spans="1:40" x14ac:dyDescent="0.25">
      <c r="A4845" t="str">
        <f>"20190303162918465"</f>
        <v>20190303162918465</v>
      </c>
      <c r="B4845" t="str">
        <f>"1551601758456418"</f>
        <v>1551601758456418</v>
      </c>
      <c r="C4845" t="s">
        <v>40</v>
      </c>
      <c r="D4845">
        <v>4.9265150000000002</v>
      </c>
      <c r="E4845">
        <v>0.51617590000000002</v>
      </c>
      <c r="F4845" t="s">
        <v>44</v>
      </c>
      <c r="G4845">
        <v>-421.92739999999998</v>
      </c>
      <c r="H4845">
        <v>1.0360290000000001</v>
      </c>
      <c r="I4845">
        <v>72.492909999999995</v>
      </c>
      <c r="J4845">
        <v>-421.94279999999998</v>
      </c>
      <c r="K4845">
        <v>1.1212169999999999</v>
      </c>
      <c r="L4845">
        <v>73.196469999999906</v>
      </c>
      <c r="M4845">
        <v>1.527295E-2</v>
      </c>
      <c r="N4845">
        <v>-1.226724E-2</v>
      </c>
      <c r="O4845">
        <v>-0.99980840000000004</v>
      </c>
      <c r="P4845">
        <v>5.6061880000000001E-2</v>
      </c>
      <c r="Q4845">
        <v>0.1804615</v>
      </c>
      <c r="R4845">
        <v>-0.98198319999999995</v>
      </c>
      <c r="S4845">
        <v>6.2011719999999999E-2</v>
      </c>
      <c r="T4845">
        <v>-0.25807249999999998</v>
      </c>
      <c r="U4845">
        <v>-3.0991209999999998</v>
      </c>
      <c r="V4845">
        <v>-4.1026609999999998E-2</v>
      </c>
      <c r="W4845">
        <v>0.1925094</v>
      </c>
      <c r="X4845">
        <v>0.98043709999999995</v>
      </c>
      <c r="Y4845">
        <v>-4.6791949999999997E-3</v>
      </c>
      <c r="Z4845">
        <v>7.0733089999999998E-2</v>
      </c>
      <c r="AA4845">
        <v>0.99748429999999999</v>
      </c>
      <c r="AB4845">
        <v>33</v>
      </c>
      <c r="AC4845">
        <v>1.53999999999996E-2</v>
      </c>
      <c r="AD4845">
        <v>-8.5187999999999806E-2</v>
      </c>
      <c r="AE4845">
        <v>-0.70355999999999597</v>
      </c>
      <c r="AF4845">
        <v>-4.5847774996129204E-3</v>
      </c>
      <c r="AG4845">
        <v>-8.5187999999999806E-2</v>
      </c>
      <c r="AH4845">
        <v>0.693550089527878</v>
      </c>
      <c r="AI4845">
        <v>97.002351658346797</v>
      </c>
      <c r="AJ4845">
        <v>90.378753572830107</v>
      </c>
      <c r="AK4845">
        <v>0.698777319475131</v>
      </c>
      <c r="AL4845">
        <v>78.900733503066306</v>
      </c>
      <c r="AM4845">
        <v>92.396156801455007</v>
      </c>
      <c r="AN4845">
        <v>0.99999997943643004</v>
      </c>
    </row>
    <row r="4846" spans="1:40" x14ac:dyDescent="0.25">
      <c r="A4846" t="str">
        <f>"20190303162918487"</f>
        <v>20190303162918487</v>
      </c>
      <c r="B4846" t="str">
        <f>"1551601758476915"</f>
        <v>1551601758476915</v>
      </c>
      <c r="C4846" t="s">
        <v>40</v>
      </c>
      <c r="D4846">
        <v>4.8268930000000001</v>
      </c>
      <c r="E4846">
        <v>0.51615059999999902</v>
      </c>
      <c r="F4846" t="s">
        <v>44</v>
      </c>
      <c r="G4846">
        <v>-421.92419999999998</v>
      </c>
      <c r="H4846">
        <v>1.0387660000000001</v>
      </c>
      <c r="I4846">
        <v>72.192959999999999</v>
      </c>
      <c r="J4846">
        <v>-421.93770000000001</v>
      </c>
      <c r="K4846">
        <v>1.1211949999999999</v>
      </c>
      <c r="L4846">
        <v>72.858729999999994</v>
      </c>
      <c r="M4846">
        <v>1.51582E-2</v>
      </c>
      <c r="N4846">
        <v>-1.226674E-2</v>
      </c>
      <c r="O4846">
        <v>-0.99980999999999998</v>
      </c>
      <c r="P4846">
        <v>5.5700189999999997E-2</v>
      </c>
      <c r="Q4846">
        <v>0.1804037</v>
      </c>
      <c r="R4846">
        <v>-0.98201439999999995</v>
      </c>
      <c r="S4846">
        <v>5.7281489999999997E-2</v>
      </c>
      <c r="T4846">
        <v>-0.25458570000000003</v>
      </c>
      <c r="U4846">
        <v>-3.0985719999999999</v>
      </c>
      <c r="V4846">
        <v>-4.0768060000000002E-2</v>
      </c>
      <c r="W4846">
        <v>0.19245370000000001</v>
      </c>
      <c r="X4846">
        <v>0.98045890000000002</v>
      </c>
      <c r="Y4846">
        <v>-3.277594E-3</v>
      </c>
      <c r="Z4846">
        <v>6.963511E-2</v>
      </c>
      <c r="AA4846">
        <v>0.99756710000000004</v>
      </c>
      <c r="AB4846">
        <v>33</v>
      </c>
      <c r="AC4846">
        <v>1.35000000000218E-2</v>
      </c>
      <c r="AD4846">
        <v>-8.2429000000000002E-2</v>
      </c>
      <c r="AE4846">
        <v>-0.66577000000000897</v>
      </c>
      <c r="AF4846">
        <v>-3.3544174890732799E-3</v>
      </c>
      <c r="AG4846">
        <v>-8.2429000000000002E-2</v>
      </c>
      <c r="AH4846">
        <v>0.65584882423689295</v>
      </c>
      <c r="AI4846">
        <v>97.163447244922097</v>
      </c>
      <c r="AJ4846">
        <v>90.293043582428894</v>
      </c>
      <c r="AK4846">
        <v>0.66101699857916296</v>
      </c>
      <c r="AL4846">
        <v>78.903986574581495</v>
      </c>
      <c r="AM4846">
        <v>92.381020757682407</v>
      </c>
      <c r="AN4846">
        <v>1.0000000579745301</v>
      </c>
    </row>
    <row r="4847" spans="1:40" x14ac:dyDescent="0.25">
      <c r="A4847" t="str">
        <f>"20190303162918533"</f>
        <v>20190303162918533</v>
      </c>
      <c r="B4847" t="str">
        <f>"1551601758526690"</f>
        <v>1551601758526690</v>
      </c>
      <c r="C4847" t="s">
        <v>40</v>
      </c>
      <c r="D4847">
        <v>4.7321689999999998</v>
      </c>
      <c r="E4847">
        <v>0.5113683</v>
      </c>
      <c r="F4847" t="s">
        <v>41</v>
      </c>
      <c r="G4847">
        <v>-421.69659999999999</v>
      </c>
      <c r="H4847" s="1">
        <v>-4.4150589999999998E-6</v>
      </c>
      <c r="I4847">
        <v>59.076270000000001</v>
      </c>
      <c r="J4847">
        <v>-421.92770000000002</v>
      </c>
      <c r="K4847">
        <v>1.1211850000000001</v>
      </c>
      <c r="L4847">
        <v>72.180300000000003</v>
      </c>
      <c r="M4847">
        <v>1.4938150000000001E-2</v>
      </c>
      <c r="N4847">
        <v>-1.22659E-2</v>
      </c>
      <c r="O4847">
        <v>-0.99981310000000001</v>
      </c>
      <c r="P4847">
        <v>5.611969E-2</v>
      </c>
      <c r="Q4847">
        <v>0.1813032</v>
      </c>
      <c r="R4847">
        <v>-0.98182469999999999</v>
      </c>
      <c r="S4847">
        <v>5.4199219999999999E-2</v>
      </c>
      <c r="T4847">
        <v>-0.25203550000000002</v>
      </c>
      <c r="U4847">
        <v>-3.0981749999999999</v>
      </c>
      <c r="V4847">
        <v>-4.1400640000000002E-2</v>
      </c>
      <c r="W4847">
        <v>0.1933511</v>
      </c>
      <c r="X4847">
        <v>0.98025569999999895</v>
      </c>
      <c r="Y4847">
        <v>-2.5093479999999998E-3</v>
      </c>
      <c r="Z4847">
        <v>6.8831959999999998E-2</v>
      </c>
      <c r="AA4847">
        <v>0.99762510000000004</v>
      </c>
      <c r="AB4847">
        <v>33</v>
      </c>
      <c r="AC4847">
        <v>0.23110000000002601</v>
      </c>
      <c r="AD4847">
        <v>-1.121189415059</v>
      </c>
      <c r="AE4847">
        <v>-13.10403</v>
      </c>
      <c r="AF4847">
        <v>-3.5052970961909298E-2</v>
      </c>
      <c r="AG4847">
        <v>-1.121189415059</v>
      </c>
      <c r="AH4847">
        <v>13.010802489019399</v>
      </c>
      <c r="AI4847">
        <v>94.925206020284406</v>
      </c>
      <c r="AJ4847">
        <v>90.154362687312698</v>
      </c>
      <c r="AK4847">
        <v>13.0590687196097</v>
      </c>
      <c r="AL4847">
        <v>78.851583907608898</v>
      </c>
      <c r="AM4847">
        <v>92.418423115388194</v>
      </c>
      <c r="AN4847">
        <v>0.99999994912305301</v>
      </c>
    </row>
    <row r="4848" spans="1:40" x14ac:dyDescent="0.25">
      <c r="A4848" t="str">
        <f>"20190303162918554"</f>
        <v>20190303162918554</v>
      </c>
      <c r="B4848" t="str">
        <f>"1551601758547186"</f>
        <v>1551601758547186</v>
      </c>
      <c r="C4848" t="s">
        <v>40</v>
      </c>
      <c r="D4848">
        <v>4.7483700000000004</v>
      </c>
      <c r="E4848">
        <v>0.51126380000000005</v>
      </c>
      <c r="F4848" t="s">
        <v>41</v>
      </c>
      <c r="G4848">
        <v>-421.15989999999999</v>
      </c>
      <c r="H4848" s="1">
        <v>-2.9174779999999998E-6</v>
      </c>
      <c r="I4848">
        <v>45.67042</v>
      </c>
      <c r="J4848">
        <v>-421.923</v>
      </c>
      <c r="K4848">
        <v>1.121189</v>
      </c>
      <c r="L4848">
        <v>71.853579999999994</v>
      </c>
      <c r="M4848">
        <v>1.4839450000000001E-2</v>
      </c>
      <c r="N4848">
        <v>-1.226557E-2</v>
      </c>
      <c r="O4848">
        <v>-0.9998146</v>
      </c>
      <c r="P4848">
        <v>5.6594699999999998E-2</v>
      </c>
      <c r="Q4848">
        <v>0.18200849999999999</v>
      </c>
      <c r="R4848">
        <v>-0.98166690000000001</v>
      </c>
      <c r="S4848">
        <v>8.9050290000000004E-2</v>
      </c>
      <c r="T4848">
        <v>-0.13002900000000001</v>
      </c>
      <c r="U4848">
        <v>-3.0744630000000002</v>
      </c>
      <c r="V4848">
        <v>-4.1974770000000002E-2</v>
      </c>
      <c r="W4848">
        <v>0.19405420000000001</v>
      </c>
      <c r="X4848">
        <v>0.98009239999999997</v>
      </c>
      <c r="Y4848">
        <v>-1.409709E-2</v>
      </c>
      <c r="Z4848">
        <v>2.9982379999999999E-2</v>
      </c>
      <c r="AA4848">
        <v>0.99945099999999998</v>
      </c>
      <c r="AB4848">
        <v>33</v>
      </c>
      <c r="AC4848">
        <v>0.76310000000000799</v>
      </c>
      <c r="AD4848">
        <v>-1.1211919174779901</v>
      </c>
      <c r="AE4848">
        <v>-26.183160000000001</v>
      </c>
      <c r="AF4848">
        <v>-0.37375825687993602</v>
      </c>
      <c r="AG4848">
        <v>-1.1211919174779901</v>
      </c>
      <c r="AH4848">
        <v>26.143703710408399</v>
      </c>
      <c r="AI4848">
        <v>92.455416204511195</v>
      </c>
      <c r="AJ4848">
        <v>90.819061910522905</v>
      </c>
      <c r="AK4848">
        <v>26.170403326048</v>
      </c>
      <c r="AL4848">
        <v>78.810522258465099</v>
      </c>
      <c r="AM4848">
        <v>92.452328366053294</v>
      </c>
      <c r="AN4848">
        <v>1.0000000131959701</v>
      </c>
    </row>
    <row r="4849" spans="1:40" x14ac:dyDescent="0.25">
      <c r="A4849" t="str">
        <f>"20190303162918577"</f>
        <v>20190303162918577</v>
      </c>
      <c r="B4849" t="str">
        <f>"1551601758566706"</f>
        <v>1551601758566706</v>
      </c>
      <c r="C4849" t="s">
        <v>40</v>
      </c>
      <c r="D4849">
        <v>4.7379800000000003</v>
      </c>
      <c r="E4849">
        <v>0.5116385</v>
      </c>
      <c r="F4849" t="s">
        <v>41</v>
      </c>
      <c r="G4849">
        <v>-421.10919999999999</v>
      </c>
      <c r="H4849" s="1">
        <v>-2.4178660000000001E-6</v>
      </c>
      <c r="I4849">
        <v>44.537269999999999</v>
      </c>
      <c r="J4849">
        <v>-421.91809999999998</v>
      </c>
      <c r="K4849">
        <v>1.121189</v>
      </c>
      <c r="L4849">
        <v>71.52216</v>
      </c>
      <c r="M4849">
        <v>1.474486E-2</v>
      </c>
      <c r="N4849">
        <v>-1.226529E-2</v>
      </c>
      <c r="O4849">
        <v>-0.99981600000000004</v>
      </c>
      <c r="P4849">
        <v>5.7237429999999999E-2</v>
      </c>
      <c r="Q4849">
        <v>0.1824993</v>
      </c>
      <c r="R4849">
        <v>-0.98153840000000003</v>
      </c>
      <c r="S4849">
        <v>9.1583250000000005E-2</v>
      </c>
      <c r="T4849">
        <v>-0.12617680000000001</v>
      </c>
      <c r="U4849">
        <v>-3.0741269999999998</v>
      </c>
      <c r="V4849">
        <v>-4.2711279999999997E-2</v>
      </c>
      <c r="W4849">
        <v>0.19454350000000001</v>
      </c>
      <c r="X4849">
        <v>0.97996349999999999</v>
      </c>
      <c r="Y4849">
        <v>-1.501854E-2</v>
      </c>
      <c r="Z4849">
        <v>2.87368E-2</v>
      </c>
      <c r="AA4849">
        <v>0.99947419999999998</v>
      </c>
      <c r="AB4849">
        <v>33</v>
      </c>
      <c r="AC4849">
        <v>0.80889999999999396</v>
      </c>
      <c r="AD4849">
        <v>-1.1211914178659901</v>
      </c>
      <c r="AE4849">
        <v>-26.98489</v>
      </c>
      <c r="AF4849">
        <v>-0.41018619758543201</v>
      </c>
      <c r="AG4849">
        <v>-1.1211914178659901</v>
      </c>
      <c r="AH4849">
        <v>26.947406255779502</v>
      </c>
      <c r="AI4849">
        <v>92.382235879482593</v>
      </c>
      <c r="AJ4849">
        <v>90.872073654272</v>
      </c>
      <c r="AK4849">
        <v>26.973839675252201</v>
      </c>
      <c r="AL4849">
        <v>78.781941991377806</v>
      </c>
      <c r="AM4849">
        <v>92.495632012819797</v>
      </c>
      <c r="AN4849">
        <v>0.99999994408186699</v>
      </c>
    </row>
    <row r="4850" spans="1:40" x14ac:dyDescent="0.25">
      <c r="A4850" t="str">
        <f>"20190303162918598"</f>
        <v>20190303162918598</v>
      </c>
      <c r="B4850" t="str">
        <f>"1551601758587203"</f>
        <v>1551601758587203</v>
      </c>
      <c r="C4850" t="s">
        <v>40</v>
      </c>
      <c r="D4850">
        <v>4.6433289999999996</v>
      </c>
      <c r="E4850">
        <v>0.51187799999999894</v>
      </c>
      <c r="F4850" t="s">
        <v>41</v>
      </c>
      <c r="G4850">
        <v>-421.09399999999999</v>
      </c>
      <c r="H4850" s="1">
        <v>-2.1345259999999999E-6</v>
      </c>
      <c r="I4850">
        <v>43.886200000000002</v>
      </c>
      <c r="J4850">
        <v>-421.9135</v>
      </c>
      <c r="K4850">
        <v>1.1211850000000001</v>
      </c>
      <c r="L4850">
        <v>71.198880000000003</v>
      </c>
      <c r="M4850">
        <v>1.4656819999999999E-2</v>
      </c>
      <c r="N4850">
        <v>-1.226503E-2</v>
      </c>
      <c r="O4850">
        <v>-0.99981770000000003</v>
      </c>
      <c r="P4850">
        <v>5.7583309999999999E-2</v>
      </c>
      <c r="Q4850">
        <v>0.18118570000000001</v>
      </c>
      <c r="R4850">
        <v>-0.98176209999999997</v>
      </c>
      <c r="S4850">
        <v>9.1674800000000001E-2</v>
      </c>
      <c r="T4850">
        <v>-0.1247224</v>
      </c>
      <c r="U4850">
        <v>-3.074249</v>
      </c>
      <c r="V4850">
        <v>-4.3140419999999999E-2</v>
      </c>
      <c r="W4850">
        <v>0.19323270000000001</v>
      </c>
      <c r="X4850">
        <v>0.98020399999999996</v>
      </c>
      <c r="Y4850">
        <v>-1.5135549999999999E-2</v>
      </c>
      <c r="Z4850">
        <v>2.826352E-2</v>
      </c>
      <c r="AA4850">
        <v>0.99948590000000004</v>
      </c>
      <c r="AB4850">
        <v>33</v>
      </c>
      <c r="AC4850">
        <v>0.819500000000005</v>
      </c>
      <c r="AD4850">
        <v>-1.1211871345260001</v>
      </c>
      <c r="AE4850">
        <v>-27.31268</v>
      </c>
      <c r="AF4850">
        <v>-0.41836059972873602</v>
      </c>
      <c r="AG4850">
        <v>-1.1211871345260001</v>
      </c>
      <c r="AH4850">
        <v>27.275836507200498</v>
      </c>
      <c r="AI4850">
        <v>92.3535705023031</v>
      </c>
      <c r="AJ4850">
        <v>90.878741783005793</v>
      </c>
      <c r="AK4850">
        <v>27.302075806604201</v>
      </c>
      <c r="AL4850">
        <v>78.858497870632306</v>
      </c>
      <c r="AM4850">
        <v>92.5200569334486</v>
      </c>
      <c r="AN4850">
        <v>0.99999992690152995</v>
      </c>
    </row>
    <row r="4851" spans="1:40" x14ac:dyDescent="0.25">
      <c r="A4851" t="str">
        <f>"20190303162918622"</f>
        <v>20190303162918622</v>
      </c>
      <c r="B4851" t="str">
        <f>"1551601758616482"</f>
        <v>1551601758616482</v>
      </c>
      <c r="C4851" t="s">
        <v>40</v>
      </c>
      <c r="D4851">
        <v>4.6474409999999997</v>
      </c>
      <c r="E4851">
        <v>0.51201629999999998</v>
      </c>
      <c r="F4851" t="s">
        <v>41</v>
      </c>
      <c r="G4851">
        <v>-421.11349999999999</v>
      </c>
      <c r="H4851" s="1">
        <v>-2.337358E-6</v>
      </c>
      <c r="I4851">
        <v>44.346939999999996</v>
      </c>
      <c r="J4851">
        <v>-421.90839999999997</v>
      </c>
      <c r="K4851">
        <v>1.121165</v>
      </c>
      <c r="L4851">
        <v>70.849209999999999</v>
      </c>
      <c r="M4851">
        <v>1.4563319999999999E-2</v>
      </c>
      <c r="N4851">
        <v>-1.22647E-2</v>
      </c>
      <c r="O4851">
        <v>-0.9998186</v>
      </c>
      <c r="P4851">
        <v>5.7174759999999998E-2</v>
      </c>
      <c r="Q4851">
        <v>0.17964369999999999</v>
      </c>
      <c r="R4851">
        <v>-0.98206899999999997</v>
      </c>
      <c r="S4851">
        <v>9.1583250000000005E-2</v>
      </c>
      <c r="T4851">
        <v>-0.12835450000000001</v>
      </c>
      <c r="U4851">
        <v>-3.074036</v>
      </c>
      <c r="V4851">
        <v>-4.2818920000000003E-2</v>
      </c>
      <c r="W4851">
        <v>0.19169420000000001</v>
      </c>
      <c r="X4851">
        <v>0.98052019999999995</v>
      </c>
      <c r="Y4851">
        <v>-1.520024E-2</v>
      </c>
      <c r="Z4851">
        <v>2.9445269999999999E-2</v>
      </c>
      <c r="AA4851">
        <v>0.99945079999999997</v>
      </c>
      <c r="AB4851">
        <v>33</v>
      </c>
      <c r="AC4851">
        <v>0.79489999999998395</v>
      </c>
      <c r="AD4851">
        <v>-1.121167337358</v>
      </c>
      <c r="AE4851">
        <v>-26.502269999999999</v>
      </c>
      <c r="AF4851">
        <v>-0.40809586438601703</v>
      </c>
      <c r="AG4851">
        <v>-1.121167337358</v>
      </c>
      <c r="AH4851">
        <v>26.463717300972601</v>
      </c>
      <c r="AI4851">
        <v>92.425666073595707</v>
      </c>
      <c r="AJ4851">
        <v>90.883485762471693</v>
      </c>
      <c r="AK4851">
        <v>26.490600065281399</v>
      </c>
      <c r="AL4851">
        <v>78.948327629953098</v>
      </c>
      <c r="AM4851">
        <v>92.500494783581601</v>
      </c>
      <c r="AN4851">
        <v>0.99999999441582299</v>
      </c>
    </row>
    <row r="4852" spans="1:40" x14ac:dyDescent="0.25">
      <c r="A4852" t="str">
        <f>"20190303162918644"</f>
        <v>20190303162918644</v>
      </c>
      <c r="B4852" t="str">
        <f>"1551601758636978"</f>
        <v>1551601758636978</v>
      </c>
      <c r="C4852" t="s">
        <v>40</v>
      </c>
      <c r="D4852">
        <v>4.6323480000000004</v>
      </c>
      <c r="E4852">
        <v>0.51406079999999998</v>
      </c>
      <c r="F4852" t="s">
        <v>41</v>
      </c>
      <c r="G4852">
        <v>-421.16469999999998</v>
      </c>
      <c r="H4852" s="1">
        <v>-2.7725020000000002E-6</v>
      </c>
      <c r="I4852">
        <v>45.329520000000002</v>
      </c>
      <c r="J4852">
        <v>-421.90390000000002</v>
      </c>
      <c r="K4852">
        <v>1.121164</v>
      </c>
      <c r="L4852">
        <v>70.525970000000001</v>
      </c>
      <c r="M4852">
        <v>1.44767E-2</v>
      </c>
      <c r="N4852">
        <v>-1.2264209999999999E-2</v>
      </c>
      <c r="O4852">
        <v>-0.9998203</v>
      </c>
      <c r="P4852">
        <v>5.5703549999999998E-2</v>
      </c>
      <c r="Q4852">
        <v>0.1792378</v>
      </c>
      <c r="R4852">
        <v>-0.98222779999999998</v>
      </c>
      <c r="S4852">
        <v>8.9599609999999996E-2</v>
      </c>
      <c r="T4852">
        <v>-0.135062299999999</v>
      </c>
      <c r="U4852">
        <v>-3.074249</v>
      </c>
      <c r="V4852">
        <v>-4.1430790000000002E-2</v>
      </c>
      <c r="W4852">
        <v>0.1912894</v>
      </c>
      <c r="X4852">
        <v>0.9806589</v>
      </c>
      <c r="Y4852">
        <v>-1.463852E-2</v>
      </c>
      <c r="Z4852">
        <v>3.161945E-2</v>
      </c>
      <c r="AA4852">
        <v>0.99939270000000002</v>
      </c>
      <c r="AB4852">
        <v>33</v>
      </c>
      <c r="AC4852">
        <v>0.73920000000003905</v>
      </c>
      <c r="AD4852">
        <v>-1.121166772502</v>
      </c>
      <c r="AE4852">
        <v>-25.196449999999999</v>
      </c>
      <c r="AF4852">
        <v>-0.37359467990748602</v>
      </c>
      <c r="AG4852">
        <v>-1.121166772502</v>
      </c>
      <c r="AH4852">
        <v>25.154748000190299</v>
      </c>
      <c r="AI4852">
        <v>92.551747597709493</v>
      </c>
      <c r="AJ4852">
        <v>90.850886073865894</v>
      </c>
      <c r="AK4852">
        <v>25.182492626221499</v>
      </c>
      <c r="AL4852">
        <v>78.971958456428297</v>
      </c>
      <c r="AM4852">
        <v>92.419188357018399</v>
      </c>
      <c r="AN4852">
        <v>1.0000000115307901</v>
      </c>
    </row>
    <row r="4853" spans="1:40" x14ac:dyDescent="0.25">
      <c r="A4853" t="str">
        <f>"20190303162918666"</f>
        <v>20190303162918666</v>
      </c>
      <c r="B4853" t="str">
        <f>"1551601758656498"</f>
        <v>1551601758656498</v>
      </c>
      <c r="C4853" t="s">
        <v>40</v>
      </c>
      <c r="D4853">
        <v>4.6813640000000003</v>
      </c>
      <c r="E4853">
        <v>0.51768899999999995</v>
      </c>
      <c r="F4853" t="s">
        <v>44</v>
      </c>
      <c r="G4853">
        <v>-421.88099999999997</v>
      </c>
      <c r="H4853">
        <v>1.0367519999999999</v>
      </c>
      <c r="I4853">
        <v>69.513660000000002</v>
      </c>
      <c r="J4853">
        <v>-421.89920000000001</v>
      </c>
      <c r="K4853">
        <v>1.1211610000000001</v>
      </c>
      <c r="L4853">
        <v>70.2012</v>
      </c>
      <c r="M4853">
        <v>1.4388420000000001E-2</v>
      </c>
      <c r="N4853">
        <v>-1.2263980000000001E-2</v>
      </c>
      <c r="O4853">
        <v>-0.99982150000000003</v>
      </c>
      <c r="P4853">
        <v>5.4030250000000002E-2</v>
      </c>
      <c r="Q4853">
        <v>0.1785205</v>
      </c>
      <c r="R4853">
        <v>-0.98245190000000004</v>
      </c>
      <c r="S4853">
        <v>7.1502689999999994E-2</v>
      </c>
      <c r="T4853">
        <v>-0.25832490000000002</v>
      </c>
      <c r="U4853">
        <v>-3.0973820000000001</v>
      </c>
      <c r="V4853">
        <v>-3.9841359999999999E-2</v>
      </c>
      <c r="W4853">
        <v>0.19057370000000001</v>
      </c>
      <c r="X4853">
        <v>0.98086399999999996</v>
      </c>
      <c r="Y4853">
        <v>-8.6275669999999992E-3</v>
      </c>
      <c r="Z4853">
        <v>7.0861300000000002E-2</v>
      </c>
      <c r="AA4853">
        <v>0.99744889999999997</v>
      </c>
      <c r="AB4853">
        <v>33</v>
      </c>
      <c r="AC4853">
        <v>1.8200000000035702E-2</v>
      </c>
      <c r="AD4853">
        <v>-8.4408999999999901E-2</v>
      </c>
      <c r="AE4853">
        <v>-0.68753999999999804</v>
      </c>
      <c r="AF4853">
        <v>-8.1815309317730296E-3</v>
      </c>
      <c r="AG4853">
        <v>-8.4408999999999901E-2</v>
      </c>
      <c r="AH4853">
        <v>0.67752593358206303</v>
      </c>
      <c r="AI4853">
        <v>97.101043449042905</v>
      </c>
      <c r="AJ4853">
        <v>90.691847183825999</v>
      </c>
      <c r="AK4853">
        <v>0.68281271766541796</v>
      </c>
      <c r="AL4853">
        <v>79.013732636958196</v>
      </c>
      <c r="AM4853">
        <v>92.325997903307993</v>
      </c>
      <c r="AN4853">
        <v>0.99999992779716695</v>
      </c>
    </row>
    <row r="4854" spans="1:40" x14ac:dyDescent="0.25">
      <c r="A4854" t="str">
        <f>"20190303162918688"</f>
        <v>20190303162918688</v>
      </c>
      <c r="B4854" t="str">
        <f>"1551601758676995"</f>
        <v>1551601758676995</v>
      </c>
      <c r="C4854" t="s">
        <v>40</v>
      </c>
      <c r="D4854">
        <v>4.6758280000000001</v>
      </c>
      <c r="E4854">
        <v>0.52068049999999999</v>
      </c>
      <c r="F4854" t="s">
        <v>44</v>
      </c>
      <c r="G4854">
        <v>-421.88670000000002</v>
      </c>
      <c r="H4854">
        <v>0.99103839999999999</v>
      </c>
      <c r="I4854">
        <v>69.241600000000005</v>
      </c>
      <c r="J4854">
        <v>-421.89460000000003</v>
      </c>
      <c r="K4854">
        <v>1.121159</v>
      </c>
      <c r="L4854">
        <v>69.872249999999994</v>
      </c>
      <c r="M4854">
        <v>1.429799E-2</v>
      </c>
      <c r="N4854">
        <v>-1.2263929999999999E-2</v>
      </c>
      <c r="O4854">
        <v>-0.9998224</v>
      </c>
      <c r="P4854">
        <v>5.2134050000000001E-2</v>
      </c>
      <c r="Q4854">
        <v>0.17701220000000001</v>
      </c>
      <c r="R4854">
        <v>-0.9828268</v>
      </c>
      <c r="S4854">
        <v>4.1564940000000002E-2</v>
      </c>
      <c r="T4854">
        <v>-0.42423149999999998</v>
      </c>
      <c r="U4854">
        <v>-3.128387</v>
      </c>
      <c r="V4854">
        <v>-3.8028939999999997E-2</v>
      </c>
      <c r="W4854">
        <v>0.18906999999999999</v>
      </c>
      <c r="X4854">
        <v>0.98122699999999996</v>
      </c>
      <c r="Y4854">
        <v>1.112601E-3</v>
      </c>
      <c r="Z4854">
        <v>0.1221892</v>
      </c>
      <c r="AA4854">
        <v>0.99250620000000001</v>
      </c>
      <c r="AB4854">
        <v>33</v>
      </c>
      <c r="AC4854">
        <v>7.9000000000064505E-3</v>
      </c>
      <c r="AD4854">
        <v>-0.1301206</v>
      </c>
      <c r="AE4854">
        <v>-0.63064999999998805</v>
      </c>
      <c r="AF4854">
        <v>1.07284947389797E-3</v>
      </c>
      <c r="AG4854">
        <v>-0.1301206</v>
      </c>
      <c r="AH4854">
        <v>0.60494915051447695</v>
      </c>
      <c r="AI4854">
        <v>102.138979285703</v>
      </c>
      <c r="AJ4854">
        <v>89.898388678765102</v>
      </c>
      <c r="AK4854">
        <v>0.61878590502575304</v>
      </c>
      <c r="AL4854">
        <v>79.101485055928407</v>
      </c>
      <c r="AM4854">
        <v>92.219473977967496</v>
      </c>
      <c r="AN4854">
        <v>1.00000004535326</v>
      </c>
    </row>
    <row r="4855" spans="1:40" x14ac:dyDescent="0.25">
      <c r="A4855" t="str">
        <f>"20190303162918711"</f>
        <v>20190303162918711</v>
      </c>
      <c r="B4855" t="str">
        <f>"1551601758707250"</f>
        <v>1551601758707250</v>
      </c>
      <c r="C4855" t="s">
        <v>40</v>
      </c>
      <c r="D4855">
        <v>4.5990820000000001</v>
      </c>
      <c r="E4855">
        <v>0.53204039999999997</v>
      </c>
      <c r="F4855" t="s">
        <v>44</v>
      </c>
      <c r="G4855">
        <v>-421.8913</v>
      </c>
      <c r="H4855">
        <v>0.98155130000000002</v>
      </c>
      <c r="I4855">
        <v>68.948589999999996</v>
      </c>
      <c r="J4855">
        <v>-421.88979999999998</v>
      </c>
      <c r="K4855">
        <v>1.121146</v>
      </c>
      <c r="L4855">
        <v>69.529750000000007</v>
      </c>
      <c r="M4855">
        <v>1.420368E-2</v>
      </c>
      <c r="N4855">
        <v>-1.2263899999999999E-2</v>
      </c>
      <c r="O4855">
        <v>-0.99982409999999999</v>
      </c>
      <c r="P4855">
        <v>5.1205529999999999E-2</v>
      </c>
      <c r="Q4855">
        <v>0.17567829999999901</v>
      </c>
      <c r="R4855">
        <v>-0.98311530000000003</v>
      </c>
      <c r="S4855">
        <v>1.287842E-2</v>
      </c>
      <c r="T4855">
        <v>-0.47419670000000003</v>
      </c>
      <c r="U4855">
        <v>-3.137146</v>
      </c>
      <c r="V4855">
        <v>-3.7189380000000001E-2</v>
      </c>
      <c r="W4855">
        <v>0.18773909999999999</v>
      </c>
      <c r="X4855">
        <v>0.98151460000000001</v>
      </c>
      <c r="Y4855">
        <v>1.0128740000000001E-2</v>
      </c>
      <c r="Z4855">
        <v>0.13729369999999999</v>
      </c>
      <c r="AA4855">
        <v>0.99047859999999999</v>
      </c>
      <c r="AB4855">
        <v>33</v>
      </c>
      <c r="AC4855">
        <v>-1.5000000000213701E-3</v>
      </c>
      <c r="AD4855">
        <v>-0.13959469999999899</v>
      </c>
      <c r="AE4855">
        <v>-0.581160000000011</v>
      </c>
      <c r="AF4855">
        <v>9.2229537167476706E-3</v>
      </c>
      <c r="AG4855">
        <v>-0.13959469999999899</v>
      </c>
      <c r="AH4855">
        <v>0.54938301412326396</v>
      </c>
      <c r="AI4855">
        <v>104.254851659659</v>
      </c>
      <c r="AJ4855">
        <v>89.038218011693701</v>
      </c>
      <c r="AK4855">
        <v>0.56691572508664201</v>
      </c>
      <c r="AL4855">
        <v>79.179129643417099</v>
      </c>
      <c r="AM4855">
        <v>92.169886940401</v>
      </c>
      <c r="AN4855">
        <v>0.99999996483337605</v>
      </c>
    </row>
    <row r="4856" spans="1:40" x14ac:dyDescent="0.25">
      <c r="A4856" t="str">
        <f>"20190303162918733"</f>
        <v>20190303162918733</v>
      </c>
      <c r="B4856" t="str">
        <f>"1551601758726770"</f>
        <v>1551601758726770</v>
      </c>
      <c r="C4856" t="s">
        <v>40</v>
      </c>
      <c r="D4856">
        <v>4.6261979999999996</v>
      </c>
      <c r="E4856">
        <v>0.53183279999999999</v>
      </c>
      <c r="F4856" t="s">
        <v>44</v>
      </c>
      <c r="G4856">
        <v>-421.91</v>
      </c>
      <c r="H4856">
        <v>0.91770050000000003</v>
      </c>
      <c r="I4856">
        <v>68.681430000000006</v>
      </c>
      <c r="J4856">
        <v>-421.88529999999997</v>
      </c>
      <c r="K4856">
        <v>1.1211409999999999</v>
      </c>
      <c r="L4856">
        <v>69.199460000000002</v>
      </c>
      <c r="M4856">
        <v>1.4111749999999999E-2</v>
      </c>
      <c r="N4856">
        <v>-1.2266060000000001E-2</v>
      </c>
      <c r="O4856">
        <v>-0.99982510000000002</v>
      </c>
      <c r="P4856">
        <v>5.1148659999999999E-2</v>
      </c>
      <c r="Q4856">
        <v>0.1750679</v>
      </c>
      <c r="R4856">
        <v>-0.98322659999999995</v>
      </c>
      <c r="S4856">
        <v>-7.4859620000000002E-2</v>
      </c>
      <c r="T4856">
        <v>-0.7655594</v>
      </c>
      <c r="U4856">
        <v>-3.1922299999999999</v>
      </c>
      <c r="V4856">
        <v>-3.7220900000000001E-2</v>
      </c>
      <c r="W4856">
        <v>0.18713199999999999</v>
      </c>
      <c r="X4856">
        <v>0.98162939999999999</v>
      </c>
      <c r="Y4856">
        <v>3.6913000000000001E-2</v>
      </c>
      <c r="Z4856">
        <v>0.22111500000000001</v>
      </c>
      <c r="AA4856">
        <v>0.97454890000000005</v>
      </c>
      <c r="AB4856">
        <v>33</v>
      </c>
      <c r="AC4856">
        <v>-2.4700000000052499E-2</v>
      </c>
      <c r="AD4856">
        <v>-0.2034405</v>
      </c>
      <c r="AE4856">
        <v>-0.51802999999999599</v>
      </c>
      <c r="AF4856">
        <v>2.7739829057374401E-2</v>
      </c>
      <c r="AG4856">
        <v>-0.2034405</v>
      </c>
      <c r="AH4856">
        <v>0.44859982150231698</v>
      </c>
      <c r="AI4856">
        <v>114.353243833268</v>
      </c>
      <c r="AJ4856">
        <v>86.461536768747095</v>
      </c>
      <c r="AK4856">
        <v>0.49335518139398599</v>
      </c>
      <c r="AL4856">
        <v>79.214542231169702</v>
      </c>
      <c r="AM4856">
        <v>92.171470539517401</v>
      </c>
      <c r="AN4856">
        <v>1.00000002988258</v>
      </c>
    </row>
    <row r="4857" spans="1:40" x14ac:dyDescent="0.25">
      <c r="A4857" t="str">
        <f>"20190303162918755"</f>
        <v>20190303162918755</v>
      </c>
      <c r="B4857" t="str">
        <f>"1551601758746290"</f>
        <v>1551601758746290</v>
      </c>
      <c r="C4857" t="s">
        <v>40</v>
      </c>
      <c r="D4857">
        <v>4.6619029999999997</v>
      </c>
      <c r="E4857">
        <v>0.53185879999999996</v>
      </c>
      <c r="F4857" t="s">
        <v>44</v>
      </c>
      <c r="G4857">
        <v>-421.90449999999998</v>
      </c>
      <c r="H4857">
        <v>0.92042619999999997</v>
      </c>
      <c r="I4857">
        <v>68.382509999999996</v>
      </c>
      <c r="J4857">
        <v>-421.88080000000002</v>
      </c>
      <c r="K4857">
        <v>1.1211409999999999</v>
      </c>
      <c r="L4857">
        <v>68.87527</v>
      </c>
      <c r="M4857">
        <v>1.4018320000000001E-2</v>
      </c>
      <c r="N4857">
        <v>-1.2272740000000001E-2</v>
      </c>
      <c r="O4857">
        <v>-0.99982629999999995</v>
      </c>
      <c r="P4857">
        <v>5.1855390000000001E-2</v>
      </c>
      <c r="Q4857">
        <v>0.17478150000000001</v>
      </c>
      <c r="R4857">
        <v>-0.98324029999999996</v>
      </c>
      <c r="S4857">
        <v>-7.3303220000000002E-2</v>
      </c>
      <c r="T4857">
        <v>-0.78490380000000004</v>
      </c>
      <c r="U4857">
        <v>-3.194763</v>
      </c>
      <c r="V4857">
        <v>-3.8018679999999999E-2</v>
      </c>
      <c r="W4857">
        <v>0.18685289999999999</v>
      </c>
      <c r="X4857">
        <v>0.98165199999999997</v>
      </c>
      <c r="Y4857">
        <v>3.6298209999999997E-2</v>
      </c>
      <c r="Z4857">
        <v>0.2265076</v>
      </c>
      <c r="AA4857">
        <v>0.9733328</v>
      </c>
      <c r="AB4857">
        <v>33</v>
      </c>
      <c r="AC4857">
        <v>-2.3699999999962501E-2</v>
      </c>
      <c r="AD4857">
        <v>-0.2007148</v>
      </c>
      <c r="AE4857">
        <v>-0.49276000000000397</v>
      </c>
      <c r="AF4857">
        <v>2.6259111452619499E-2</v>
      </c>
      <c r="AG4857">
        <v>-0.2007148</v>
      </c>
      <c r="AH4857">
        <v>0.42244993537884301</v>
      </c>
      <c r="AI4857">
        <v>115.370574167904</v>
      </c>
      <c r="AJ4857">
        <v>86.443121671480199</v>
      </c>
      <c r="AK4857">
        <v>0.46844414797807998</v>
      </c>
      <c r="AL4857">
        <v>79.230820696471099</v>
      </c>
      <c r="AM4857">
        <v>92.2179160860385</v>
      </c>
      <c r="AN4857">
        <v>1.0000000376856699</v>
      </c>
    </row>
    <row r="4858" spans="1:40" x14ac:dyDescent="0.25">
      <c r="A4858" t="str">
        <f>"20190303162918778"</f>
        <v>20190303162918778</v>
      </c>
      <c r="B4858" t="str">
        <f>"1551601758766787"</f>
        <v>1551601758766787</v>
      </c>
      <c r="C4858" t="s">
        <v>40</v>
      </c>
      <c r="D4858">
        <v>4.6506280000000002</v>
      </c>
      <c r="E4858">
        <v>0.53167640000000005</v>
      </c>
      <c r="F4858" t="s">
        <v>44</v>
      </c>
      <c r="G4858">
        <v>-421.89830000000001</v>
      </c>
      <c r="H4858">
        <v>0.92413440000000002</v>
      </c>
      <c r="I4858">
        <v>68.083159999999907</v>
      </c>
      <c r="J4858">
        <v>-421.87599999999998</v>
      </c>
      <c r="K4858">
        <v>1.12114</v>
      </c>
      <c r="L4858">
        <v>68.5304</v>
      </c>
      <c r="M4858">
        <v>1.3917570000000001E-2</v>
      </c>
      <c r="N4858">
        <v>-1.228225E-2</v>
      </c>
      <c r="O4858">
        <v>-0.99982789999999999</v>
      </c>
      <c r="P4858">
        <v>5.331259E-2</v>
      </c>
      <c r="Q4858">
        <v>0.1746045</v>
      </c>
      <c r="R4858">
        <v>-0.98319449999999997</v>
      </c>
      <c r="S4858">
        <v>-7.0220950000000004E-2</v>
      </c>
      <c r="T4858">
        <v>-0.79491829999999997</v>
      </c>
      <c r="U4858">
        <v>-3.1961360000000001</v>
      </c>
      <c r="V4858">
        <v>-3.9574440000000002E-2</v>
      </c>
      <c r="W4858">
        <v>0.18668509999999999</v>
      </c>
      <c r="X4858">
        <v>0.98162240000000001</v>
      </c>
      <c r="Y4858">
        <v>3.5236429999999999E-2</v>
      </c>
      <c r="Z4858">
        <v>0.2292826</v>
      </c>
      <c r="AA4858">
        <v>0.97272190000000003</v>
      </c>
      <c r="AB4858">
        <v>33</v>
      </c>
      <c r="AC4858">
        <v>-2.2300000000029699E-2</v>
      </c>
      <c r="AD4858">
        <v>-0.197005599999999</v>
      </c>
      <c r="AE4858">
        <v>-0.44724000000000702</v>
      </c>
      <c r="AF4858">
        <v>2.3897412206219399E-2</v>
      </c>
      <c r="AG4858">
        <v>-0.197005599999999</v>
      </c>
      <c r="AH4858">
        <v>0.37441713615766697</v>
      </c>
      <c r="AI4858">
        <v>117.703857645387</v>
      </c>
      <c r="AJ4858">
        <v>86.348014047708901</v>
      </c>
      <c r="AK4858">
        <v>0.42375757761958999</v>
      </c>
      <c r="AL4858">
        <v>79.240606715899801</v>
      </c>
      <c r="AM4858">
        <v>92.308648556861101</v>
      </c>
      <c r="AN4858">
        <v>0.99999999952254104</v>
      </c>
    </row>
    <row r="4859" spans="1:40" x14ac:dyDescent="0.25">
      <c r="A4859" t="str">
        <f>"20190303162918801"</f>
        <v>20190303162918801</v>
      </c>
      <c r="B4859" t="str">
        <f>"1551601758797043"</f>
        <v>1551601758797043</v>
      </c>
      <c r="C4859" t="s">
        <v>40</v>
      </c>
      <c r="D4859">
        <v>4.6372970000000002</v>
      </c>
      <c r="E4859">
        <v>0.53488809999999998</v>
      </c>
      <c r="F4859" t="s">
        <v>44</v>
      </c>
      <c r="G4859">
        <v>-421.89150000000001</v>
      </c>
      <c r="H4859">
        <v>0.93407819999999997</v>
      </c>
      <c r="I4859">
        <v>67.78098</v>
      </c>
      <c r="J4859">
        <v>-421.87150000000003</v>
      </c>
      <c r="K4859">
        <v>1.12114</v>
      </c>
      <c r="L4859">
        <v>68.19547</v>
      </c>
      <c r="M4859">
        <v>1.381985E-2</v>
      </c>
      <c r="N4859">
        <v>-1.2291440000000001E-2</v>
      </c>
      <c r="O4859">
        <v>-0.99982939999999998</v>
      </c>
      <c r="P4859">
        <v>5.4618390000000003E-2</v>
      </c>
      <c r="Q4859">
        <v>0.1744415</v>
      </c>
      <c r="R4859">
        <v>-0.98315200000000003</v>
      </c>
      <c r="S4859">
        <v>-6.4605709999999997E-2</v>
      </c>
      <c r="T4859">
        <v>-0.79787059999999999</v>
      </c>
      <c r="U4859">
        <v>-3.196472</v>
      </c>
      <c r="V4859">
        <v>-4.0977029999999998E-2</v>
      </c>
      <c r="W4859">
        <v>0.18653149999999999</v>
      </c>
      <c r="X4859">
        <v>0.98159399999999997</v>
      </c>
      <c r="Y4859">
        <v>3.3427220000000001E-2</v>
      </c>
      <c r="Z4859">
        <v>0.23010810000000001</v>
      </c>
      <c r="AA4859">
        <v>0.97259079999999998</v>
      </c>
      <c r="AB4859">
        <v>33</v>
      </c>
      <c r="AC4859">
        <v>-1.99999999999818E-2</v>
      </c>
      <c r="AD4859">
        <v>-0.1870618</v>
      </c>
      <c r="AE4859">
        <v>-0.41449000000000003</v>
      </c>
      <c r="AF4859">
        <v>2.1381836166884299E-2</v>
      </c>
      <c r="AG4859">
        <v>-0.1870618</v>
      </c>
      <c r="AH4859">
        <v>0.34422592777068101</v>
      </c>
      <c r="AI4859">
        <v>118.474609605016</v>
      </c>
      <c r="AJ4859">
        <v>86.445598957879596</v>
      </c>
      <c r="AK4859">
        <v>0.39235288871969998</v>
      </c>
      <c r="AL4859">
        <v>79.249564152163799</v>
      </c>
      <c r="AM4859">
        <v>92.390447042322407</v>
      </c>
      <c r="AN4859">
        <v>0.999999949157934</v>
      </c>
    </row>
    <row r="4860" spans="1:40" x14ac:dyDescent="0.25">
      <c r="A4860" t="str">
        <f>"20190303162918825"</f>
        <v>20190303162918825</v>
      </c>
      <c r="B4860" t="str">
        <f>"1551601758816563"</f>
        <v>1551601758816563</v>
      </c>
      <c r="C4860" t="s">
        <v>40</v>
      </c>
      <c r="D4860">
        <v>4.6112199999999897</v>
      </c>
      <c r="E4860">
        <v>0.53495099999999995</v>
      </c>
      <c r="F4860" t="s">
        <v>44</v>
      </c>
      <c r="G4860">
        <v>-421.8897</v>
      </c>
      <c r="H4860">
        <v>0.90760039999999997</v>
      </c>
      <c r="I4860">
        <v>67.495379999999997</v>
      </c>
      <c r="J4860">
        <v>-421.86680000000001</v>
      </c>
      <c r="K4860">
        <v>1.1211420000000001</v>
      </c>
      <c r="L4860">
        <v>67.851069999999893</v>
      </c>
      <c r="M4860">
        <v>1.3719540000000001E-2</v>
      </c>
      <c r="N4860">
        <v>-1.230028E-2</v>
      </c>
      <c r="O4860">
        <v>-0.99983029999999995</v>
      </c>
      <c r="P4860">
        <v>5.526238E-2</v>
      </c>
      <c r="Q4860">
        <v>0.17359160000000001</v>
      </c>
      <c r="R4860">
        <v>-0.98326610000000003</v>
      </c>
      <c r="S4860">
        <v>-8.3740229999999999E-2</v>
      </c>
      <c r="T4860">
        <v>-0.98548270000000004</v>
      </c>
      <c r="U4860">
        <v>-3.2309269999999999</v>
      </c>
      <c r="V4860">
        <v>-4.1717690000000002E-2</v>
      </c>
      <c r="W4860">
        <v>0.185692</v>
      </c>
      <c r="X4860">
        <v>0.98172199999999998</v>
      </c>
      <c r="Y4860">
        <v>3.8512669999999999E-2</v>
      </c>
      <c r="Z4860">
        <v>0.27976210000000001</v>
      </c>
      <c r="AA4860">
        <v>0.95929660000000005</v>
      </c>
      <c r="AB4860">
        <v>33</v>
      </c>
      <c r="AC4860">
        <v>-2.2899999999992801E-2</v>
      </c>
      <c r="AD4860">
        <v>-0.2135416</v>
      </c>
      <c r="AE4860">
        <v>-0.35568999999998102</v>
      </c>
      <c r="AF4860">
        <v>2.0440975630123599E-2</v>
      </c>
      <c r="AG4860">
        <v>-0.2135416</v>
      </c>
      <c r="AH4860">
        <v>0.26148438362453502</v>
      </c>
      <c r="AI4860">
        <v>129.151362865908</v>
      </c>
      <c r="AJ4860">
        <v>85.530116820055298</v>
      </c>
      <c r="AK4860">
        <v>0.33821876248187999</v>
      </c>
      <c r="AL4860">
        <v>79.298519665686797</v>
      </c>
      <c r="AM4860">
        <v>92.433285976766399</v>
      </c>
      <c r="AN4860">
        <v>0.99999998490346698</v>
      </c>
    </row>
    <row r="4861" spans="1:40" x14ac:dyDescent="0.25">
      <c r="A4861" t="str">
        <f>"20190303162918844"</f>
        <v>20190303162918844</v>
      </c>
      <c r="B4861" t="str">
        <f>"1551601758837059"</f>
        <v>1551601758837059</v>
      </c>
      <c r="C4861" t="s">
        <v>40</v>
      </c>
      <c r="D4861">
        <v>4.624104</v>
      </c>
      <c r="E4861">
        <v>0.53569270000000002</v>
      </c>
      <c r="F4861" t="s">
        <v>44</v>
      </c>
      <c r="G4861">
        <v>-421.89019999999999</v>
      </c>
      <c r="H4861">
        <v>0.82491399999999904</v>
      </c>
      <c r="I4861">
        <v>66.935199999999995</v>
      </c>
      <c r="J4861">
        <v>-421.86270000000002</v>
      </c>
      <c r="K4861">
        <v>1.121143</v>
      </c>
      <c r="L4861">
        <v>67.54495</v>
      </c>
      <c r="M4861">
        <v>1.362992E-2</v>
      </c>
      <c r="N4861">
        <v>-1.230766E-2</v>
      </c>
      <c r="O4861">
        <v>-0.99983169999999999</v>
      </c>
      <c r="P4861">
        <v>5.5695880000000003E-2</v>
      </c>
      <c r="Q4861">
        <v>0.17318149999999999</v>
      </c>
      <c r="R4861">
        <v>-0.98331409999999997</v>
      </c>
      <c r="S4861">
        <v>-8.2733150000000005E-2</v>
      </c>
      <c r="T4861">
        <v>-1.0481819999999999</v>
      </c>
      <c r="U4861">
        <v>-3.2407840000000001</v>
      </c>
      <c r="V4861">
        <v>-4.2239159999999998E-2</v>
      </c>
      <c r="W4861">
        <v>0.18528990000000001</v>
      </c>
      <c r="X4861">
        <v>0.98177570000000003</v>
      </c>
      <c r="Y4861">
        <v>3.7923320000000003E-2</v>
      </c>
      <c r="Z4861">
        <v>0.295803599999999</v>
      </c>
      <c r="AA4861">
        <v>0.95449569999999995</v>
      </c>
      <c r="AB4861">
        <v>33</v>
      </c>
      <c r="AC4861">
        <v>-2.7499999999974899E-2</v>
      </c>
      <c r="AD4861">
        <v>-0.29622900000000002</v>
      </c>
      <c r="AE4861">
        <v>-0.60975000000000501</v>
      </c>
      <c r="AF4861">
        <v>2.89823451417675E-2</v>
      </c>
      <c r="AG4861">
        <v>-0.29622900000000002</v>
      </c>
      <c r="AH4861">
        <v>0.49315872341147698</v>
      </c>
      <c r="AI4861">
        <v>120.94867909249299</v>
      </c>
      <c r="AJ4861">
        <v>86.636664441798303</v>
      </c>
      <c r="AK4861">
        <v>0.57601833586072104</v>
      </c>
      <c r="AL4861">
        <v>79.321965437737802</v>
      </c>
      <c r="AM4861">
        <v>92.463530150866006</v>
      </c>
      <c r="AN4861">
        <v>1.0000000093949999</v>
      </c>
    </row>
    <row r="4862" spans="1:40" x14ac:dyDescent="0.25">
      <c r="A4862" t="str">
        <f>"20190303162918867"</f>
        <v>20190303162918867</v>
      </c>
      <c r="B4862" t="str">
        <f>"1551601758856579"</f>
        <v>1551601758856579</v>
      </c>
      <c r="C4862" t="s">
        <v>40</v>
      </c>
      <c r="D4862">
        <v>4.654871</v>
      </c>
      <c r="E4862">
        <v>0.53572949999999997</v>
      </c>
      <c r="F4862" t="s">
        <v>44</v>
      </c>
      <c r="G4862">
        <v>-421.88740000000001</v>
      </c>
      <c r="H4862">
        <v>0.82519789999999904</v>
      </c>
      <c r="I4862">
        <v>66.637600000000006</v>
      </c>
      <c r="J4862">
        <v>-421.85829999999999</v>
      </c>
      <c r="K4862">
        <v>1.1211409999999999</v>
      </c>
      <c r="L4862">
        <v>67.214510000000004</v>
      </c>
      <c r="M4862">
        <v>1.3533409999999999E-2</v>
      </c>
      <c r="N4862">
        <v>-1.2315090000000001E-2</v>
      </c>
      <c r="O4862">
        <v>-0.99983270000000002</v>
      </c>
      <c r="P4862">
        <v>5.6283859999999998E-2</v>
      </c>
      <c r="Q4862">
        <v>0.17279</v>
      </c>
      <c r="R4862">
        <v>-0.98334920000000003</v>
      </c>
      <c r="S4862">
        <v>-8.7524409999999997E-2</v>
      </c>
      <c r="T4862">
        <v>-1.057447</v>
      </c>
      <c r="U4862">
        <v>-3.2420960000000001</v>
      </c>
      <c r="V4862">
        <v>-4.2922050000000003E-2</v>
      </c>
      <c r="W4862">
        <v>0.1849066</v>
      </c>
      <c r="X4862">
        <v>0.98181830000000003</v>
      </c>
      <c r="Y4862">
        <v>3.9203519999999999E-2</v>
      </c>
      <c r="Z4862">
        <v>0.2981375</v>
      </c>
      <c r="AA4862">
        <v>0.9537175</v>
      </c>
      <c r="AB4862">
        <v>33</v>
      </c>
      <c r="AC4862">
        <v>-2.91000000000281E-2</v>
      </c>
      <c r="AD4862">
        <v>-0.29594309999999902</v>
      </c>
      <c r="AE4862">
        <v>-0.57690999999999704</v>
      </c>
      <c r="AF4862">
        <v>2.9232523539961801E-2</v>
      </c>
      <c r="AG4862">
        <v>-0.29594309999999902</v>
      </c>
      <c r="AH4862">
        <v>0.45661172081682899</v>
      </c>
      <c r="AI4862">
        <v>122.894967108762</v>
      </c>
      <c r="AJ4862">
        <v>86.3368930458996</v>
      </c>
      <c r="AK4862">
        <v>0.54491386700783195</v>
      </c>
      <c r="AL4862">
        <v>79.344312583654499</v>
      </c>
      <c r="AM4862">
        <v>92.503199855193998</v>
      </c>
      <c r="AN4862">
        <v>0.99999996365732502</v>
      </c>
    </row>
    <row r="4863" spans="1:40" x14ac:dyDescent="0.25">
      <c r="A4863" t="str">
        <f>"20190303162918889"</f>
        <v>20190303162918889</v>
      </c>
      <c r="B4863" t="str">
        <f>"1551601758877074"</f>
        <v>1551601758877074</v>
      </c>
      <c r="C4863" t="s">
        <v>40</v>
      </c>
      <c r="D4863">
        <v>4.6658419999999996</v>
      </c>
      <c r="E4863">
        <v>0.53588290000000005</v>
      </c>
      <c r="F4863" t="s">
        <v>44</v>
      </c>
      <c r="G4863">
        <v>-421.8818</v>
      </c>
      <c r="H4863">
        <v>0.83227050000000002</v>
      </c>
      <c r="I4863">
        <v>66.337389999999999</v>
      </c>
      <c r="J4863">
        <v>-421.85390000000001</v>
      </c>
      <c r="K4863">
        <v>1.12114</v>
      </c>
      <c r="L4863">
        <v>66.876649999999998</v>
      </c>
      <c r="M4863">
        <v>1.3435809999999999E-2</v>
      </c>
      <c r="N4863">
        <v>-1.2322E-2</v>
      </c>
      <c r="O4863">
        <v>-0.99983390000000005</v>
      </c>
      <c r="P4863">
        <v>5.7199659999999999E-2</v>
      </c>
      <c r="Q4863">
        <v>0.17303479999999999</v>
      </c>
      <c r="R4863">
        <v>-0.98325340000000006</v>
      </c>
      <c r="S4863">
        <v>-8.6578370000000002E-2</v>
      </c>
      <c r="T4863">
        <v>-1.0681799999999999</v>
      </c>
      <c r="U4863">
        <v>-3.243439</v>
      </c>
      <c r="V4863">
        <v>-4.3934910000000001E-2</v>
      </c>
      <c r="W4863">
        <v>0.1851573</v>
      </c>
      <c r="X4863">
        <v>0.98172630000000005</v>
      </c>
      <c r="Y4863">
        <v>3.8794530000000001E-2</v>
      </c>
      <c r="Z4863">
        <v>0.30086800000000002</v>
      </c>
      <c r="AA4863">
        <v>0.95287639999999996</v>
      </c>
      <c r="AB4863">
        <v>33</v>
      </c>
      <c r="AC4863">
        <v>-2.7899999999988202E-2</v>
      </c>
      <c r="AD4863">
        <v>-0.2888695</v>
      </c>
      <c r="AE4863">
        <v>-0.53925999999999796</v>
      </c>
      <c r="AF4863">
        <v>2.73237839341781E-2</v>
      </c>
      <c r="AG4863">
        <v>-0.2888695</v>
      </c>
      <c r="AH4863">
        <v>0.41894180537422299</v>
      </c>
      <c r="AI4863">
        <v>124.53030135738901</v>
      </c>
      <c r="AJ4863">
        <v>86.268399776516006</v>
      </c>
      <c r="AK4863">
        <v>0.50961202251217097</v>
      </c>
      <c r="AL4863">
        <v>79.329696697009993</v>
      </c>
      <c r="AM4863">
        <v>92.562431493805605</v>
      </c>
      <c r="AN4863">
        <v>1.0000000150858399</v>
      </c>
    </row>
    <row r="4864" spans="1:40" x14ac:dyDescent="0.25">
      <c r="A4864" t="str">
        <f>"20190303162918913"</f>
        <v>20190303162918913</v>
      </c>
      <c r="B4864" t="str">
        <f>"1551601758906354"</f>
        <v>1551601758906354</v>
      </c>
      <c r="C4864" t="s">
        <v>40</v>
      </c>
      <c r="D4864">
        <v>4.6718159999999997</v>
      </c>
      <c r="E4864">
        <v>0.53614010000000001</v>
      </c>
      <c r="F4864" t="s">
        <v>44</v>
      </c>
      <c r="G4864">
        <v>-421.8766</v>
      </c>
      <c r="H4864">
        <v>0.84388859999999999</v>
      </c>
      <c r="I4864">
        <v>66.035250000000005</v>
      </c>
      <c r="J4864">
        <v>-421.84930000000003</v>
      </c>
      <c r="K4864">
        <v>1.1211450000000001</v>
      </c>
      <c r="L4864">
        <v>66.531459999999996</v>
      </c>
      <c r="M4864">
        <v>1.3336580000000001E-2</v>
      </c>
      <c r="N4864">
        <v>-1.23283E-2</v>
      </c>
      <c r="O4864">
        <v>-0.99983529999999998</v>
      </c>
      <c r="P4864">
        <v>5.7851189999999997E-2</v>
      </c>
      <c r="Q4864">
        <v>0.1742281</v>
      </c>
      <c r="R4864">
        <v>-0.98300469999999895</v>
      </c>
      <c r="S4864">
        <v>-8.6181640000000004E-2</v>
      </c>
      <c r="T4864">
        <v>-1.0689879999999901</v>
      </c>
      <c r="U4864">
        <v>-3.2442319999999998</v>
      </c>
      <c r="V4864">
        <v>-4.468718E-2</v>
      </c>
      <c r="W4864">
        <v>0.18635350000000001</v>
      </c>
      <c r="X4864">
        <v>0.9814659</v>
      </c>
      <c r="Y4864">
        <v>3.8571910000000001E-2</v>
      </c>
      <c r="Z4864">
        <v>0.30100929999999998</v>
      </c>
      <c r="AA4864">
        <v>0.95284080000000004</v>
      </c>
      <c r="AB4864">
        <v>33</v>
      </c>
      <c r="AC4864">
        <v>-2.7299999999968301E-2</v>
      </c>
      <c r="AD4864">
        <v>-0.27725640000000001</v>
      </c>
      <c r="AE4864">
        <v>-0.49620999999998999</v>
      </c>
      <c r="AF4864">
        <v>2.5865112085178901E-2</v>
      </c>
      <c r="AG4864">
        <v>-0.27725640000000001</v>
      </c>
      <c r="AH4864">
        <v>0.37811171045143999</v>
      </c>
      <c r="AI4864">
        <v>126.187568454635</v>
      </c>
      <c r="AJ4864">
        <v>86.086720850818395</v>
      </c>
      <c r="AK4864">
        <v>0.46958341212680499</v>
      </c>
      <c r="AL4864">
        <v>79.259944738923707</v>
      </c>
      <c r="AM4864">
        <v>92.606936946734905</v>
      </c>
      <c r="AN4864">
        <v>0.99999994194070396</v>
      </c>
    </row>
    <row r="4865" spans="1:40" x14ac:dyDescent="0.25">
      <c r="A4865" t="str">
        <f>"20190303162918934"</f>
        <v>20190303162918934</v>
      </c>
      <c r="B4865" t="str">
        <f>"1551601758926851"</f>
        <v>1551601758926851</v>
      </c>
      <c r="C4865" t="s">
        <v>40</v>
      </c>
      <c r="D4865">
        <v>4.6997280000000003</v>
      </c>
      <c r="E4865">
        <v>0.53633359999999997</v>
      </c>
      <c r="F4865" t="s">
        <v>44</v>
      </c>
      <c r="G4865">
        <v>-421.87060000000002</v>
      </c>
      <c r="H4865">
        <v>0.85892590000000002</v>
      </c>
      <c r="I4865">
        <v>65.731669999999994</v>
      </c>
      <c r="J4865">
        <v>-421.84519999999998</v>
      </c>
      <c r="K4865">
        <v>1.1211439999999999</v>
      </c>
      <c r="L4865">
        <v>66.21396</v>
      </c>
      <c r="M4865">
        <v>1.3245359999999999E-2</v>
      </c>
      <c r="N4865">
        <v>-1.233336E-2</v>
      </c>
      <c r="O4865">
        <v>-0.99983650000000002</v>
      </c>
      <c r="P4865">
        <v>5.7882540000000003E-2</v>
      </c>
      <c r="Q4865">
        <v>0.174112299999999</v>
      </c>
      <c r="R4865">
        <v>-0.98302350000000005</v>
      </c>
      <c r="S4865">
        <v>-8.6151119999999998E-2</v>
      </c>
      <c r="T4865">
        <v>-1.0640590000000001</v>
      </c>
      <c r="U4865">
        <v>-3.245514</v>
      </c>
      <c r="V4865">
        <v>-4.480841E-2</v>
      </c>
      <c r="W4865">
        <v>0.18624289999999999</v>
      </c>
      <c r="X4865">
        <v>0.98148139999999995</v>
      </c>
      <c r="Y4865">
        <v>3.8474260000000003E-2</v>
      </c>
      <c r="Z4865">
        <v>0.2995872</v>
      </c>
      <c r="AA4865">
        <v>0.95329280000000005</v>
      </c>
      <c r="AB4865">
        <v>33</v>
      </c>
      <c r="AC4865">
        <v>-2.5400000000047301E-2</v>
      </c>
      <c r="AD4865">
        <v>-0.26221810000000001</v>
      </c>
      <c r="AE4865">
        <v>-0.48229000000000599</v>
      </c>
      <c r="AF4865">
        <v>2.45495209289417E-2</v>
      </c>
      <c r="AG4865">
        <v>-0.26221810000000001</v>
      </c>
      <c r="AH4865">
        <v>0.37219391240891198</v>
      </c>
      <c r="AI4865">
        <v>125.106933259228</v>
      </c>
      <c r="AJ4865">
        <v>86.226296617661902</v>
      </c>
      <c r="AK4865">
        <v>0.45594881223631201</v>
      </c>
      <c r="AL4865">
        <v>79.266394926888793</v>
      </c>
      <c r="AM4865">
        <v>92.613958177449604</v>
      </c>
      <c r="AN4865">
        <v>0.99999997497654802</v>
      </c>
    </row>
    <row r="4866" spans="1:40" x14ac:dyDescent="0.25">
      <c r="A4866" t="str">
        <f>"20190303162918957"</f>
        <v>20190303162918957</v>
      </c>
      <c r="B4866" t="str">
        <f>"1551601758946371"</f>
        <v>1551601758946371</v>
      </c>
      <c r="C4866" t="s">
        <v>40</v>
      </c>
      <c r="D4866">
        <v>4.6939950000000001</v>
      </c>
      <c r="E4866">
        <v>0.53668389999999999</v>
      </c>
      <c r="F4866" t="s">
        <v>44</v>
      </c>
      <c r="G4866">
        <v>-421.86610000000002</v>
      </c>
      <c r="H4866">
        <v>0.86474660000000003</v>
      </c>
      <c r="I4866">
        <v>65.431929999999994</v>
      </c>
      <c r="J4866">
        <v>-421.8408</v>
      </c>
      <c r="K4866">
        <v>1.121135</v>
      </c>
      <c r="L4866">
        <v>65.875609999999995</v>
      </c>
      <c r="M4866">
        <v>1.314829E-2</v>
      </c>
      <c r="N4866">
        <v>-1.233804E-2</v>
      </c>
      <c r="O4866">
        <v>-0.99983770000000005</v>
      </c>
      <c r="P4866">
        <v>5.7398709999999999E-2</v>
      </c>
      <c r="Q4866">
        <v>0.17326730000000001</v>
      </c>
      <c r="R4866">
        <v>-0.98320110000000005</v>
      </c>
      <c r="S4866">
        <v>-8.5723880000000002E-2</v>
      </c>
      <c r="T4866">
        <v>-1.0639940000000001</v>
      </c>
      <c r="U4866">
        <v>-3.2452999999999999</v>
      </c>
      <c r="V4866">
        <v>-4.4417760000000001E-2</v>
      </c>
      <c r="W4866">
        <v>0.18540470000000001</v>
      </c>
      <c r="X4866">
        <v>0.98165789999999997</v>
      </c>
      <c r="Y4866">
        <v>3.8253950000000002E-2</v>
      </c>
      <c r="Z4866">
        <v>0.29958669999999998</v>
      </c>
      <c r="AA4866">
        <v>0.95330179999999998</v>
      </c>
      <c r="AB4866">
        <v>33</v>
      </c>
      <c r="AC4866">
        <v>-2.5300000000015602E-2</v>
      </c>
      <c r="AD4866">
        <v>-0.25638840000000002</v>
      </c>
      <c r="AE4866">
        <v>-0.44367999999998597</v>
      </c>
      <c r="AF4866">
        <v>2.3357402178976701E-2</v>
      </c>
      <c r="AG4866">
        <v>-0.25638840000000002</v>
      </c>
      <c r="AH4866">
        <v>0.33260255865871002</v>
      </c>
      <c r="AI4866">
        <v>127.558892600153</v>
      </c>
      <c r="AJ4866">
        <v>85.982932146140399</v>
      </c>
      <c r="AK4866">
        <v>0.42060081064761501</v>
      </c>
      <c r="AL4866">
        <v>79.315272196002496</v>
      </c>
      <c r="AM4866">
        <v>92.5907350300388</v>
      </c>
      <c r="AN4866">
        <v>1.0000000364089501</v>
      </c>
    </row>
    <row r="4867" spans="1:40" x14ac:dyDescent="0.25">
      <c r="A4867" t="str">
        <f>"20190303162918980"</f>
        <v>20190303162918980</v>
      </c>
      <c r="B4867" t="str">
        <f>"1551601758976628"</f>
        <v>1551601758976628</v>
      </c>
      <c r="C4867" t="s">
        <v>40</v>
      </c>
      <c r="D4867">
        <v>4.6954399999999996</v>
      </c>
      <c r="E4867">
        <v>0.53718060000000001</v>
      </c>
      <c r="F4867" t="s">
        <v>44</v>
      </c>
      <c r="G4867">
        <v>-421.86149999999998</v>
      </c>
      <c r="H4867">
        <v>0.8764113</v>
      </c>
      <c r="I4867">
        <v>65.129580000000004</v>
      </c>
      <c r="J4867">
        <v>-421.8365</v>
      </c>
      <c r="K4867">
        <v>1.1211359999999999</v>
      </c>
      <c r="L4867">
        <v>65.538759999999996</v>
      </c>
      <c r="M4867">
        <v>1.3051470000000001E-2</v>
      </c>
      <c r="N4867">
        <v>-1.234205E-2</v>
      </c>
      <c r="O4867">
        <v>-0.99983869999999997</v>
      </c>
      <c r="P4867">
        <v>5.7455979999999997E-2</v>
      </c>
      <c r="Q4867">
        <v>0.17241619999999999</v>
      </c>
      <c r="R4867">
        <v>-0.98334719999999998</v>
      </c>
      <c r="S4867">
        <v>-8.9874270000000006E-2</v>
      </c>
      <c r="T4867">
        <v>-1.0641620000000001</v>
      </c>
      <c r="U4867">
        <v>-3.244049</v>
      </c>
      <c r="V4867">
        <v>-4.4568679999999999E-2</v>
      </c>
      <c r="W4867">
        <v>0.18455930000000001</v>
      </c>
      <c r="X4867">
        <v>0.98181030000000002</v>
      </c>
      <c r="Y4867">
        <v>3.9381899999999997E-2</v>
      </c>
      <c r="Z4867">
        <v>0.29972490000000002</v>
      </c>
      <c r="AA4867">
        <v>0.95321250000000002</v>
      </c>
      <c r="AB4867">
        <v>33</v>
      </c>
      <c r="AC4867">
        <v>-2.49999999999772E-2</v>
      </c>
      <c r="AD4867">
        <v>-0.24472469999999999</v>
      </c>
      <c r="AE4867">
        <v>-0.40917999999999199</v>
      </c>
      <c r="AF4867">
        <v>2.2367451153788E-2</v>
      </c>
      <c r="AG4867">
        <v>-0.24472469999999999</v>
      </c>
      <c r="AH4867">
        <v>0.30140520426191603</v>
      </c>
      <c r="AI4867">
        <v>128.99775813781699</v>
      </c>
      <c r="AJ4867">
        <v>85.755827477889497</v>
      </c>
      <c r="AK4867">
        <v>0.38889018863604002</v>
      </c>
      <c r="AL4867">
        <v>79.364560107025596</v>
      </c>
      <c r="AM4867">
        <v>92.599122665515694</v>
      </c>
      <c r="AN4867">
        <v>0.99999998381976096</v>
      </c>
    </row>
    <row r="4868" spans="1:40" x14ac:dyDescent="0.25">
      <c r="A4868" t="str">
        <f>"20190303162919002"</f>
        <v>20190303162919002</v>
      </c>
      <c r="B4868" t="str">
        <f>"1551601758997123"</f>
        <v>1551601758997123</v>
      </c>
      <c r="C4868" t="s">
        <v>40</v>
      </c>
      <c r="D4868">
        <v>4.7257669999999896</v>
      </c>
      <c r="E4868">
        <v>0.53738940000000002</v>
      </c>
      <c r="F4868" t="s">
        <v>44</v>
      </c>
      <c r="G4868">
        <v>-421.858</v>
      </c>
      <c r="H4868">
        <v>0.8880614</v>
      </c>
      <c r="I4868">
        <v>64.827250000000006</v>
      </c>
      <c r="J4868">
        <v>-421.8322</v>
      </c>
      <c r="K4868">
        <v>1.1211329999999999</v>
      </c>
      <c r="L4868">
        <v>65.198849999999993</v>
      </c>
      <c r="M4868">
        <v>1.295353E-2</v>
      </c>
      <c r="N4868">
        <v>-1.2345480000000001E-2</v>
      </c>
      <c r="O4868">
        <v>-0.99983979999999995</v>
      </c>
      <c r="P4868">
        <v>5.7920909999999999E-2</v>
      </c>
      <c r="Q4868">
        <v>0.17246210000000001</v>
      </c>
      <c r="R4868">
        <v>-0.9833115</v>
      </c>
      <c r="S4868">
        <v>-9.5550540000000003E-2</v>
      </c>
      <c r="T4868">
        <v>-1.062173</v>
      </c>
      <c r="U4868">
        <v>-3.2426149999999998</v>
      </c>
      <c r="V4868">
        <v>-4.513052E-2</v>
      </c>
      <c r="W4868">
        <v>0.18460850000000001</v>
      </c>
      <c r="X4868">
        <v>0.98177539999999996</v>
      </c>
      <c r="Y4868">
        <v>4.0963479999999997E-2</v>
      </c>
      <c r="Z4868">
        <v>0.29930200000000001</v>
      </c>
      <c r="AA4868">
        <v>0.95327870000000003</v>
      </c>
      <c r="AB4868">
        <v>33</v>
      </c>
      <c r="AC4868">
        <v>-2.5800000000003799E-2</v>
      </c>
      <c r="AD4868">
        <v>-0.23307159999999999</v>
      </c>
      <c r="AE4868">
        <v>-0.371599999999986</v>
      </c>
      <c r="AF4868">
        <v>2.1998989455707399E-2</v>
      </c>
      <c r="AG4868">
        <v>-0.23307159999999999</v>
      </c>
      <c r="AH4868">
        <v>0.26678612340185098</v>
      </c>
      <c r="AI4868">
        <v>131.04517955117601</v>
      </c>
      <c r="AJ4868">
        <v>85.286096553337799</v>
      </c>
      <c r="AK4868">
        <v>0.35493825083163399</v>
      </c>
      <c r="AL4868">
        <v>79.361692033200399</v>
      </c>
      <c r="AM4868">
        <v>92.631935268693795</v>
      </c>
      <c r="AN4868">
        <v>0.99999999907643999</v>
      </c>
    </row>
    <row r="4869" spans="1:40" x14ac:dyDescent="0.25">
      <c r="A4869" t="str">
        <f>"20190303162919035"</f>
        <v>20190303162919035</v>
      </c>
      <c r="B4869" t="str">
        <f>"1551601759026402"</f>
        <v>1551601759026402</v>
      </c>
      <c r="C4869" t="s">
        <v>40</v>
      </c>
      <c r="D4869">
        <v>4.7372680000000003</v>
      </c>
      <c r="E4869">
        <v>0.53765379999999996</v>
      </c>
      <c r="F4869" t="s">
        <v>44</v>
      </c>
      <c r="G4869">
        <v>-421.85270000000003</v>
      </c>
      <c r="H4869">
        <v>0.90058830000000001</v>
      </c>
      <c r="I4869">
        <v>64.524500000000003</v>
      </c>
      <c r="J4869">
        <v>-421.8261</v>
      </c>
      <c r="K4869">
        <v>1.121124</v>
      </c>
      <c r="L4869">
        <v>64.721130000000002</v>
      </c>
      <c r="M4869">
        <v>1.2816040000000001E-2</v>
      </c>
      <c r="N4869">
        <v>-1.234943E-2</v>
      </c>
      <c r="O4869">
        <v>-0.99984200000000001</v>
      </c>
      <c r="P4869">
        <v>5.8400710000000002E-2</v>
      </c>
      <c r="Q4869">
        <v>0.17306550000000001</v>
      </c>
      <c r="R4869">
        <v>-0.98317759999999998</v>
      </c>
      <c r="S4869">
        <v>-9.7442630000000002E-2</v>
      </c>
      <c r="T4869">
        <v>-1.0604629999999999</v>
      </c>
      <c r="U4869">
        <v>-3.242645</v>
      </c>
      <c r="V4869">
        <v>-4.57469E-2</v>
      </c>
      <c r="W4869">
        <v>0.18521399999999999</v>
      </c>
      <c r="X4869">
        <v>0.98163279999999997</v>
      </c>
      <c r="Y4869">
        <v>4.1385140000000001E-2</v>
      </c>
      <c r="Z4869">
        <v>0.29883710000000002</v>
      </c>
      <c r="AA4869">
        <v>0.95340630000000004</v>
      </c>
      <c r="AB4869">
        <v>33</v>
      </c>
      <c r="AC4869">
        <v>-2.6600000000030301E-2</v>
      </c>
      <c r="AD4869">
        <v>-0.2205357</v>
      </c>
      <c r="AE4869">
        <v>-0.196629999999998</v>
      </c>
      <c r="AF4869">
        <v>1.30262872083189E-2</v>
      </c>
      <c r="AG4869">
        <v>-0.2205357</v>
      </c>
      <c r="AH4869">
        <v>8.7804974657394702E-2</v>
      </c>
      <c r="AI4869">
        <v>158.075135976832</v>
      </c>
      <c r="AJ4869">
        <v>81.561446768705807</v>
      </c>
      <c r="AK4869">
        <v>0.237729663078694</v>
      </c>
      <c r="AL4869">
        <v>79.326390460952894</v>
      </c>
      <c r="AM4869">
        <v>92.668216909956499</v>
      </c>
      <c r="AN4869">
        <v>0.99999997934572404</v>
      </c>
    </row>
    <row r="4870" spans="1:40" x14ac:dyDescent="0.25">
      <c r="A4870" t="str">
        <f>"20190303162919056"</f>
        <v>20190303162919056</v>
      </c>
      <c r="B4870" t="str">
        <f>"1551601759046899"</f>
        <v>1551601759046899</v>
      </c>
      <c r="C4870" t="s">
        <v>40</v>
      </c>
      <c r="D4870">
        <v>4.7497920000000002</v>
      </c>
      <c r="E4870">
        <v>0.53779909999999997</v>
      </c>
      <c r="F4870" t="s">
        <v>44</v>
      </c>
      <c r="G4870">
        <v>-421.84960000000001</v>
      </c>
      <c r="H4870">
        <v>0.86805589999999999</v>
      </c>
      <c r="I4870">
        <v>63.944299999999998</v>
      </c>
      <c r="J4870">
        <v>-421.82209999999998</v>
      </c>
      <c r="K4870">
        <v>1.121129</v>
      </c>
      <c r="L4870">
        <v>64.393429999999995</v>
      </c>
      <c r="M4870">
        <v>1.2721430000000001E-2</v>
      </c>
      <c r="N4870">
        <v>-1.235167E-2</v>
      </c>
      <c r="O4870">
        <v>-0.99984269999999997</v>
      </c>
      <c r="P4870">
        <v>5.9194139999999999E-2</v>
      </c>
      <c r="Q4870">
        <v>0.1734154</v>
      </c>
      <c r="R4870">
        <v>-0.98306819999999895</v>
      </c>
      <c r="S4870">
        <v>-9.6984860000000006E-2</v>
      </c>
      <c r="T4870">
        <v>-1.056476</v>
      </c>
      <c r="U4870">
        <v>-3.243042</v>
      </c>
      <c r="V4870">
        <v>-4.6634500000000002E-2</v>
      </c>
      <c r="W4870">
        <v>0.18556500000000001</v>
      </c>
      <c r="X4870">
        <v>0.98152479999999998</v>
      </c>
      <c r="Y4870">
        <v>4.1163659999999998E-2</v>
      </c>
      <c r="Z4870">
        <v>0.29774339999999999</v>
      </c>
      <c r="AA4870">
        <v>0.95375810000000005</v>
      </c>
      <c r="AB4870">
        <v>33</v>
      </c>
      <c r="AC4870">
        <v>-2.7500000000031801E-2</v>
      </c>
      <c r="AD4870">
        <v>-0.253073099999999</v>
      </c>
      <c r="AE4870">
        <v>-0.44913000000001002</v>
      </c>
      <c r="AF4870">
        <v>2.5230840037813101E-2</v>
      </c>
      <c r="AG4870">
        <v>-0.253073099999999</v>
      </c>
      <c r="AH4870">
        <v>0.34090856908469003</v>
      </c>
      <c r="AI4870">
        <v>126.51343740498</v>
      </c>
      <c r="AJ4870">
        <v>85.767223456265796</v>
      </c>
      <c r="AK4870">
        <v>0.42532486608238002</v>
      </c>
      <c r="AL4870">
        <v>79.305925523190396</v>
      </c>
      <c r="AM4870">
        <v>92.720208568489099</v>
      </c>
      <c r="AN4870">
        <v>1.00000003941514</v>
      </c>
    </row>
    <row r="4871" spans="1:40" x14ac:dyDescent="0.25">
      <c r="A4871" t="str">
        <f>"20190303162919080"</f>
        <v>20190303162919080</v>
      </c>
      <c r="B4871" t="str">
        <f>"1551601759077154"</f>
        <v>1551601759077154</v>
      </c>
      <c r="C4871" t="s">
        <v>40</v>
      </c>
      <c r="D4871">
        <v>4.8572160000000002</v>
      </c>
      <c r="E4871">
        <v>0.537941</v>
      </c>
      <c r="F4871" t="s">
        <v>44</v>
      </c>
      <c r="G4871">
        <v>-421.84469999999999</v>
      </c>
      <c r="H4871">
        <v>0.87725390000000003</v>
      </c>
      <c r="I4871">
        <v>63.643099999999997</v>
      </c>
      <c r="J4871">
        <v>-421.81779999999998</v>
      </c>
      <c r="K4871">
        <v>1.1211359999999999</v>
      </c>
      <c r="L4871">
        <v>64.053039999999996</v>
      </c>
      <c r="M4871">
        <v>1.2622919999999999E-2</v>
      </c>
      <c r="N4871">
        <v>-1.2353650000000001E-2</v>
      </c>
      <c r="O4871">
        <v>-0.99984390000000001</v>
      </c>
      <c r="P4871">
        <v>6.0735209999999998E-2</v>
      </c>
      <c r="Q4871">
        <v>0.17482210000000001</v>
      </c>
      <c r="R4871">
        <v>-0.98272490000000001</v>
      </c>
      <c r="S4871">
        <v>-9.6252439999999995E-2</v>
      </c>
      <c r="T4871">
        <v>-1.054187</v>
      </c>
      <c r="U4871">
        <v>-3.243439</v>
      </c>
      <c r="V4871">
        <v>-4.8276760000000002E-2</v>
      </c>
      <c r="W4871">
        <v>0.18697</v>
      </c>
      <c r="X4871">
        <v>0.98117860000000001</v>
      </c>
      <c r="Y4871">
        <v>4.0853309999999997E-2</v>
      </c>
      <c r="Z4871">
        <v>0.29710170000000002</v>
      </c>
      <c r="AA4871">
        <v>0.95397140000000002</v>
      </c>
      <c r="AB4871">
        <v>33</v>
      </c>
      <c r="AC4871">
        <v>-2.6900000000011901E-2</v>
      </c>
      <c r="AD4871">
        <v>-0.24388209999999999</v>
      </c>
      <c r="AE4871">
        <v>-0.40993999999999797</v>
      </c>
      <c r="AF4871">
        <v>2.3715289875638101E-2</v>
      </c>
      <c r="AG4871">
        <v>-0.24388209999999999</v>
      </c>
      <c r="AH4871">
        <v>0.302841976816416</v>
      </c>
      <c r="AI4871">
        <v>128.759360664501</v>
      </c>
      <c r="AJ4871">
        <v>85.522355566514705</v>
      </c>
      <c r="AK4871">
        <v>0.38955635869071598</v>
      </c>
      <c r="AL4871">
        <v>79.223989888296899</v>
      </c>
      <c r="AM4871">
        <v>92.816842624485503</v>
      </c>
      <c r="AN4871">
        <v>0.99999993577702595</v>
      </c>
    </row>
    <row r="4872" spans="1:40" x14ac:dyDescent="0.25">
      <c r="A4872" t="str">
        <f>"20190303162919102"</f>
        <v>20190303162919102</v>
      </c>
      <c r="B4872" t="str">
        <f>"1551601759096675"</f>
        <v>1551601759096675</v>
      </c>
      <c r="C4872" t="s">
        <v>40</v>
      </c>
      <c r="D4872">
        <v>4.7663650000000004</v>
      </c>
      <c r="E4872">
        <v>0.53796980000000005</v>
      </c>
      <c r="F4872" t="s">
        <v>44</v>
      </c>
      <c r="G4872">
        <v>-421.83839999999998</v>
      </c>
      <c r="H4872">
        <v>0.89079019999999998</v>
      </c>
      <c r="I4872">
        <v>63.33999</v>
      </c>
      <c r="J4872">
        <v>-421.81369999999998</v>
      </c>
      <c r="K4872">
        <v>1.121148</v>
      </c>
      <c r="L4872">
        <v>63.71564</v>
      </c>
      <c r="M4872">
        <v>1.252549E-2</v>
      </c>
      <c r="N4872">
        <v>-1.235531E-2</v>
      </c>
      <c r="O4872">
        <v>-0.99984530000000005</v>
      </c>
      <c r="P4872">
        <v>6.2860940000000004E-2</v>
      </c>
      <c r="Q4872">
        <v>0.17638879999999901</v>
      </c>
      <c r="R4872">
        <v>-0.98231139999999995</v>
      </c>
      <c r="S4872">
        <v>-9.2987059999999996E-2</v>
      </c>
      <c r="T4872">
        <v>-1.048249</v>
      </c>
      <c r="U4872">
        <v>-3.2449340000000002</v>
      </c>
      <c r="V4872">
        <v>-5.0502779999999997E-2</v>
      </c>
      <c r="W4872">
        <v>0.18853429999999999</v>
      </c>
      <c r="X4872">
        <v>0.98076719999999895</v>
      </c>
      <c r="Y4872">
        <v>3.9801589999999998E-2</v>
      </c>
      <c r="Z4872">
        <v>0.29540179999999999</v>
      </c>
      <c r="AA4872">
        <v>0.95454369999999999</v>
      </c>
      <c r="AB4872">
        <v>33</v>
      </c>
      <c r="AC4872">
        <v>-2.4699999999995701E-2</v>
      </c>
      <c r="AD4872">
        <v>-0.2303578</v>
      </c>
      <c r="AE4872">
        <v>-0.37564999999999998</v>
      </c>
      <c r="AF4872">
        <v>2.1393389623243001E-2</v>
      </c>
      <c r="AG4872">
        <v>-0.2303578</v>
      </c>
      <c r="AH4872">
        <v>0.27306762842519</v>
      </c>
      <c r="AI4872">
        <v>130.064352562312</v>
      </c>
      <c r="AJ4872">
        <v>85.520332095679194</v>
      </c>
      <c r="AK4872">
        <v>0.35789429002733403</v>
      </c>
      <c r="AL4872">
        <v>79.132740105360199</v>
      </c>
      <c r="AM4872">
        <v>92.947735925917101</v>
      </c>
      <c r="AN4872">
        <v>1.0000000068300201</v>
      </c>
    </row>
    <row r="4873" spans="1:40" x14ac:dyDescent="0.25">
      <c r="A4873" t="str">
        <f>"20190303162919124"</f>
        <v>20190303162919124</v>
      </c>
      <c r="B4873" t="str">
        <f>"1551601759117170"</f>
        <v>1551601759117170</v>
      </c>
      <c r="C4873" t="s">
        <v>40</v>
      </c>
      <c r="D4873">
        <v>4.9870760000000001</v>
      </c>
      <c r="E4873">
        <v>0.49867299999999998</v>
      </c>
      <c r="F4873" t="s">
        <v>44</v>
      </c>
      <c r="G4873">
        <v>-421.83199999999999</v>
      </c>
      <c r="H4873">
        <v>0.90461100000000005</v>
      </c>
      <c r="I4873">
        <v>63.036769999999997</v>
      </c>
      <c r="J4873">
        <v>-421.80959999999999</v>
      </c>
      <c r="K4873">
        <v>1.121156</v>
      </c>
      <c r="L4873">
        <v>63.383150000000001</v>
      </c>
      <c r="M4873">
        <v>1.2430180000000001E-2</v>
      </c>
      <c r="N4873">
        <v>-1.235671E-2</v>
      </c>
      <c r="O4873">
        <v>-0.99984649999999997</v>
      </c>
      <c r="P4873">
        <v>6.5321760000000006E-2</v>
      </c>
      <c r="Q4873">
        <v>0.178785</v>
      </c>
      <c r="R4873">
        <v>-0.98171739999999996</v>
      </c>
      <c r="S4873">
        <v>-8.6151119999999998E-2</v>
      </c>
      <c r="T4873">
        <v>-1.035172</v>
      </c>
      <c r="U4873">
        <v>-3.245422</v>
      </c>
      <c r="V4873">
        <v>-5.3063819999999998E-2</v>
      </c>
      <c r="W4873">
        <v>0.19092529999999999</v>
      </c>
      <c r="X4873">
        <v>0.98016919999999996</v>
      </c>
      <c r="Y4873">
        <v>3.7727089999999998E-2</v>
      </c>
      <c r="Z4873">
        <v>0.29189009999999999</v>
      </c>
      <c r="AA4873">
        <v>0.95570759999999999</v>
      </c>
      <c r="AB4873">
        <v>33</v>
      </c>
      <c r="AC4873">
        <v>-2.24000000000046E-2</v>
      </c>
      <c r="AD4873">
        <v>-0.21654499999999999</v>
      </c>
      <c r="AE4873">
        <v>-0.34638000000000302</v>
      </c>
      <c r="AF4873">
        <v>1.9222624464533999E-2</v>
      </c>
      <c r="AG4873">
        <v>-0.21654499999999999</v>
      </c>
      <c r="AH4873">
        <v>0.24911716770306799</v>
      </c>
      <c r="AI4873">
        <v>130.91460008238101</v>
      </c>
      <c r="AJ4873">
        <v>85.587629989453404</v>
      </c>
      <c r="AK4873">
        <v>0.330636673042636</v>
      </c>
      <c r="AL4873">
        <v>78.993210875794503</v>
      </c>
      <c r="AM4873">
        <v>93.098819959706503</v>
      </c>
      <c r="AN4873">
        <v>0.99999994990085905</v>
      </c>
    </row>
    <row r="4874" spans="1:40" x14ac:dyDescent="0.25">
      <c r="A4874" t="str">
        <f>"20190303162919146"</f>
        <v>20190303162919146</v>
      </c>
      <c r="B4874" t="str">
        <f>"1551601759136691"</f>
        <v>1551601759136691</v>
      </c>
      <c r="C4874" t="s">
        <v>40</v>
      </c>
      <c r="D4874">
        <v>4.862476</v>
      </c>
      <c r="E4874">
        <v>0.4895602</v>
      </c>
      <c r="F4874" t="s">
        <v>41</v>
      </c>
      <c r="G4874">
        <v>-420.98</v>
      </c>
      <c r="H4874" s="1">
        <v>-1.2161530000000001E-6</v>
      </c>
      <c r="I4874">
        <v>51.81615</v>
      </c>
      <c r="J4874">
        <v>-421.8057</v>
      </c>
      <c r="K4874">
        <v>1.121165</v>
      </c>
      <c r="L4874">
        <v>63.061919999999901</v>
      </c>
      <c r="M4874">
        <v>1.2337880000000001E-2</v>
      </c>
      <c r="N4874">
        <v>-1.23578E-2</v>
      </c>
      <c r="O4874">
        <v>-0.9998475</v>
      </c>
      <c r="P4874">
        <v>6.7464960000000004E-2</v>
      </c>
      <c r="Q4874">
        <v>0.18034700000000001</v>
      </c>
      <c r="R4874">
        <v>-0.98128660000000001</v>
      </c>
      <c r="S4874">
        <v>0.2220154</v>
      </c>
      <c r="T4874">
        <v>-0.30006070000000001</v>
      </c>
      <c r="U4874">
        <v>-3.0957340000000002</v>
      </c>
      <c r="V4874">
        <v>-5.5302570000000002E-2</v>
      </c>
      <c r="W4874">
        <v>0.19248370000000001</v>
      </c>
      <c r="X4874">
        <v>0.97974059999999996</v>
      </c>
      <c r="Y4874">
        <v>-5.8927920000000002E-2</v>
      </c>
      <c r="Z4874">
        <v>8.3955699999999994E-2</v>
      </c>
      <c r="AA4874">
        <v>0.99472559999999999</v>
      </c>
      <c r="AB4874">
        <v>33</v>
      </c>
      <c r="AC4874">
        <v>0.825699999999983</v>
      </c>
      <c r="AD4874">
        <v>-1.1211662161530001</v>
      </c>
      <c r="AE4874">
        <v>-11.245769999999901</v>
      </c>
      <c r="AF4874">
        <v>-0.68015349267428304</v>
      </c>
      <c r="AG4874">
        <v>-1.1211662161530001</v>
      </c>
      <c r="AH4874">
        <v>11.1449218414177</v>
      </c>
      <c r="AI4874">
        <v>95.733965776703698</v>
      </c>
      <c r="AJ4874">
        <v>93.492321676206998</v>
      </c>
      <c r="AK4874">
        <v>11.221804904254499</v>
      </c>
      <c r="AL4874">
        <v>78.9022342565885</v>
      </c>
      <c r="AM4874">
        <v>93.230697026504998</v>
      </c>
      <c r="AN4874">
        <v>0.99999999615132695</v>
      </c>
    </row>
    <row r="4875" spans="1:40" x14ac:dyDescent="0.25">
      <c r="A4875" t="str">
        <f>"20190303162919168"</f>
        <v>20190303162919168</v>
      </c>
      <c r="B4875" t="str">
        <f>"1551601759157188"</f>
        <v>1551601759157188</v>
      </c>
      <c r="C4875" t="s">
        <v>40</v>
      </c>
      <c r="D4875">
        <v>4.8296919999999997</v>
      </c>
      <c r="E4875">
        <v>0.4847979</v>
      </c>
      <c r="F4875" t="s">
        <v>41</v>
      </c>
      <c r="G4875">
        <v>-419.8777</v>
      </c>
      <c r="H4875" s="1">
        <v>-1.5619109999999999E-6</v>
      </c>
      <c r="I4875">
        <v>43.223050000000001</v>
      </c>
      <c r="J4875">
        <v>-421.80180000000001</v>
      </c>
      <c r="K4875">
        <v>1.1211709999999999</v>
      </c>
      <c r="L4875">
        <v>62.732640000000004</v>
      </c>
      <c r="M4875">
        <v>1.224315E-2</v>
      </c>
      <c r="N4875">
        <v>-1.23587E-2</v>
      </c>
      <c r="O4875">
        <v>-0.99984870000000003</v>
      </c>
      <c r="P4875">
        <v>6.8901699999999996E-2</v>
      </c>
      <c r="Q4875">
        <v>0.18177689999999999</v>
      </c>
      <c r="R4875">
        <v>-0.98092290000000004</v>
      </c>
      <c r="S4875">
        <v>0.29821779999999998</v>
      </c>
      <c r="T4875">
        <v>-0.17341609999999999</v>
      </c>
      <c r="U4875">
        <v>-3.0685730000000002</v>
      </c>
      <c r="V4875">
        <v>-5.6836310000000001E-2</v>
      </c>
      <c r="W4875">
        <v>0.1939102</v>
      </c>
      <c r="X4875">
        <v>0.97937149999999995</v>
      </c>
      <c r="Y4875">
        <v>-8.4406129999999996E-2</v>
      </c>
      <c r="Z4875">
        <v>4.3848600000000001E-2</v>
      </c>
      <c r="AA4875">
        <v>0.99546619999999997</v>
      </c>
      <c r="AB4875">
        <v>33</v>
      </c>
      <c r="AC4875">
        <v>1.9241000000000099</v>
      </c>
      <c r="AD4875">
        <v>-1.121172561911</v>
      </c>
      <c r="AE4875">
        <v>-19.509589999999999</v>
      </c>
      <c r="AF4875">
        <v>-1.6795852208400801</v>
      </c>
      <c r="AG4875">
        <v>-1.121172561911</v>
      </c>
      <c r="AH4875">
        <v>19.468011738957198</v>
      </c>
      <c r="AI4875">
        <v>93.283880114369495</v>
      </c>
      <c r="AJ4875">
        <v>94.930932080928002</v>
      </c>
      <c r="AK4875">
        <v>19.572468303609998</v>
      </c>
      <c r="AL4875">
        <v>78.818932833600797</v>
      </c>
      <c r="AM4875">
        <v>93.321346641088795</v>
      </c>
      <c r="AN4875">
        <v>1.00000003340535</v>
      </c>
    </row>
    <row r="4876" spans="1:40" x14ac:dyDescent="0.25">
      <c r="A4876" t="str">
        <f>"20190303162919192"</f>
        <v>20190303162919192</v>
      </c>
      <c r="B4876" t="str">
        <f>"1551601759186466"</f>
        <v>1551601759186466</v>
      </c>
      <c r="C4876" t="s">
        <v>40</v>
      </c>
      <c r="D4876">
        <v>5.0084049999999998</v>
      </c>
      <c r="E4876">
        <v>0.48263729999999999</v>
      </c>
      <c r="F4876" t="s">
        <v>57</v>
      </c>
      <c r="G4876">
        <v>-418.55309999999997</v>
      </c>
      <c r="H4876" s="1">
        <v>-4.0773589999999996E-6</v>
      </c>
      <c r="I4876">
        <v>33.459690000000002</v>
      </c>
      <c r="J4876">
        <v>-421.79750000000001</v>
      </c>
      <c r="K4876">
        <v>1.121176</v>
      </c>
      <c r="L4876">
        <v>62.378779999999999</v>
      </c>
      <c r="M4876">
        <v>1.2140710000000001E-2</v>
      </c>
      <c r="N4876">
        <v>-1.2359459999999999E-2</v>
      </c>
      <c r="O4876">
        <v>-0.99985009999999996</v>
      </c>
      <c r="P4876">
        <v>7.0099120000000001E-2</v>
      </c>
      <c r="Q4876">
        <v>0.18324029999999999</v>
      </c>
      <c r="R4876">
        <v>-0.98056589999999999</v>
      </c>
      <c r="S4876">
        <v>0.33917239999999999</v>
      </c>
      <c r="T4876">
        <v>-0.117055199999999</v>
      </c>
      <c r="U4876">
        <v>-3.0562130000000001</v>
      </c>
      <c r="V4876">
        <v>-5.813836E-2</v>
      </c>
      <c r="W4876">
        <v>0.1953703</v>
      </c>
      <c r="X4876">
        <v>0.97900480000000001</v>
      </c>
      <c r="Y4876">
        <v>-9.8158190000000006E-2</v>
      </c>
      <c r="Z4876">
        <v>2.5714310000000001E-2</v>
      </c>
      <c r="AA4876">
        <v>0.99483849999999996</v>
      </c>
      <c r="AB4876">
        <v>33</v>
      </c>
      <c r="AC4876">
        <v>3.2444000000000401</v>
      </c>
      <c r="AD4876">
        <v>-1.1211800773589999</v>
      </c>
      <c r="AE4876">
        <v>-28.919090000000001</v>
      </c>
      <c r="AF4876">
        <v>-2.8887477668317398</v>
      </c>
      <c r="AG4876">
        <v>-1.1211800773589999</v>
      </c>
      <c r="AH4876">
        <v>28.9134316778471</v>
      </c>
      <c r="AI4876">
        <v>92.209663529551605</v>
      </c>
      <c r="AJ4876">
        <v>95.705500884920497</v>
      </c>
      <c r="AK4876">
        <v>29.079003418545401</v>
      </c>
      <c r="AL4876">
        <v>78.733643828287299</v>
      </c>
      <c r="AM4876">
        <v>93.398527897507293</v>
      </c>
      <c r="AN4876">
        <v>1.0000000107242999</v>
      </c>
    </row>
    <row r="4877" spans="1:40" x14ac:dyDescent="0.25">
      <c r="A4877" t="str">
        <f>"20190303162919214"</f>
        <v>20190303162919214</v>
      </c>
      <c r="B4877" t="str">
        <f>"1551601759206963"</f>
        <v>1551601759206963</v>
      </c>
      <c r="C4877" t="s">
        <v>40</v>
      </c>
      <c r="D4877">
        <v>4.931305</v>
      </c>
      <c r="E4877">
        <v>0.4821434</v>
      </c>
      <c r="F4877" t="s">
        <v>57</v>
      </c>
      <c r="G4877">
        <v>-417.13760000000002</v>
      </c>
      <c r="H4877" s="1">
        <v>-7.5287530000000004E-6</v>
      </c>
      <c r="I4877">
        <v>22.96538</v>
      </c>
      <c r="J4877">
        <v>-421.7937</v>
      </c>
      <c r="K4877">
        <v>1.121184</v>
      </c>
      <c r="L4877">
        <v>62.053620000000002</v>
      </c>
      <c r="M4877">
        <v>1.2046889999999999E-2</v>
      </c>
      <c r="N4877">
        <v>-1.235997E-2</v>
      </c>
      <c r="O4877">
        <v>-0.99985100000000005</v>
      </c>
      <c r="P4877">
        <v>7.0720309999999995E-2</v>
      </c>
      <c r="Q4877">
        <v>0.18379799999999999</v>
      </c>
      <c r="R4877">
        <v>-0.98041679999999998</v>
      </c>
      <c r="S4877">
        <v>0.36059570000000002</v>
      </c>
      <c r="T4877">
        <v>-8.675969E-2</v>
      </c>
      <c r="U4877">
        <v>-3.0498959999999999</v>
      </c>
      <c r="V4877">
        <v>-5.88534E-2</v>
      </c>
      <c r="W4877">
        <v>0.19592689999999999</v>
      </c>
      <c r="X4877">
        <v>0.97885080000000002</v>
      </c>
      <c r="Y4877">
        <v>-0.1054001</v>
      </c>
      <c r="Z4877">
        <v>1.5906259999999998E-2</v>
      </c>
      <c r="AA4877">
        <v>0.99430269999999998</v>
      </c>
      <c r="AB4877">
        <v>33</v>
      </c>
      <c r="AC4877">
        <v>4.6560999999999799</v>
      </c>
      <c r="AD4877">
        <v>-1.1211915287530001</v>
      </c>
      <c r="AE4877">
        <v>-39.088239999999999</v>
      </c>
      <c r="AF4877">
        <v>-4.1814422058929699</v>
      </c>
      <c r="AG4877">
        <v>-1.1211915287530001</v>
      </c>
      <c r="AH4877">
        <v>39.1097715378597</v>
      </c>
      <c r="AI4877">
        <v>91.632794232045299</v>
      </c>
      <c r="AJ4877">
        <v>96.102626561513901</v>
      </c>
      <c r="AK4877">
        <v>39.348643675595099</v>
      </c>
      <c r="AL4877">
        <v>78.701124188370699</v>
      </c>
      <c r="AM4877">
        <v>93.440766337203897</v>
      </c>
      <c r="AN4877">
        <v>0.99999998074790397</v>
      </c>
    </row>
    <row r="4878" spans="1:40" x14ac:dyDescent="0.25">
      <c r="A4878" t="str">
        <f>"20190303162919235"</f>
        <v>20190303162919235</v>
      </c>
      <c r="B4878" t="str">
        <f>"1551601759226485"</f>
        <v>1551601759226485</v>
      </c>
      <c r="C4878" t="s">
        <v>40</v>
      </c>
      <c r="D4878">
        <v>4.8621309999999998</v>
      </c>
      <c r="E4878">
        <v>0.48202899999999999</v>
      </c>
      <c r="F4878" t="s">
        <v>57</v>
      </c>
      <c r="G4878">
        <v>-416.32100000000003</v>
      </c>
      <c r="H4878" s="1">
        <v>-1.244751E-5</v>
      </c>
      <c r="I4878">
        <v>16.487970000000001</v>
      </c>
      <c r="J4878">
        <v>-421.78989999999999</v>
      </c>
      <c r="K4878">
        <v>1.1211850000000001</v>
      </c>
      <c r="L4878">
        <v>61.735230000000001</v>
      </c>
      <c r="M4878">
        <v>1.195539E-2</v>
      </c>
      <c r="N4878">
        <v>-1.2360370000000001E-2</v>
      </c>
      <c r="O4878">
        <v>-0.99985199999999996</v>
      </c>
      <c r="P4878">
        <v>7.1820120000000001E-2</v>
      </c>
      <c r="Q4878">
        <v>0.184139</v>
      </c>
      <c r="R4878">
        <v>-0.98027260000000005</v>
      </c>
      <c r="S4878">
        <v>0.36602780000000001</v>
      </c>
      <c r="T4878">
        <v>-7.4989199999999895E-2</v>
      </c>
      <c r="U4878">
        <v>-3.047577</v>
      </c>
      <c r="V4878">
        <v>-6.004408E-2</v>
      </c>
      <c r="W4878">
        <v>0.19626679999999999</v>
      </c>
      <c r="X4878">
        <v>0.97871039999999998</v>
      </c>
      <c r="Y4878">
        <v>-0.107335</v>
      </c>
      <c r="Z4878">
        <v>1.208759E-2</v>
      </c>
      <c r="AA4878">
        <v>0.99414939999999996</v>
      </c>
      <c r="AB4878">
        <v>33</v>
      </c>
      <c r="AC4878">
        <v>5.4689000000000103</v>
      </c>
      <c r="AD4878">
        <v>-1.1211974475099999</v>
      </c>
      <c r="AE4878">
        <v>-45.247259999999997</v>
      </c>
      <c r="AF4878">
        <v>-4.9245388399821097</v>
      </c>
      <c r="AG4878">
        <v>-1.1211974475099999</v>
      </c>
      <c r="AH4878">
        <v>45.2820100583589</v>
      </c>
      <c r="AI4878">
        <v>91.4100619151112</v>
      </c>
      <c r="AJ4878">
        <v>96.206675794653293</v>
      </c>
      <c r="AK4878">
        <v>45.562798437191198</v>
      </c>
      <c r="AL4878">
        <v>78.681263947147997</v>
      </c>
      <c r="AM4878">
        <v>93.510707426977007</v>
      </c>
      <c r="AN4878">
        <v>0.99999999769672299</v>
      </c>
    </row>
    <row r="4879" spans="1:40" x14ac:dyDescent="0.25">
      <c r="A4879" t="str">
        <f>"20190303162919257"</f>
        <v>20190303162919257</v>
      </c>
      <c r="B4879" t="str">
        <f>"1551601759246979"</f>
        <v>1551601759246979</v>
      </c>
      <c r="C4879" t="s">
        <v>40</v>
      </c>
      <c r="D4879">
        <v>4.898409</v>
      </c>
      <c r="E4879">
        <v>0.4817727</v>
      </c>
      <c r="F4879" t="s">
        <v>57</v>
      </c>
      <c r="G4879">
        <v>-415.66059999999999</v>
      </c>
      <c r="H4879" s="1">
        <v>-1.3332970000000001E-5</v>
      </c>
      <c r="I4879">
        <v>11.1411</v>
      </c>
      <c r="J4879">
        <v>-421.78609999999998</v>
      </c>
      <c r="K4879">
        <v>1.121184</v>
      </c>
      <c r="L4879">
        <v>61.408329999999999</v>
      </c>
      <c r="M4879">
        <v>1.186183E-2</v>
      </c>
      <c r="N4879">
        <v>-1.2360680000000001E-2</v>
      </c>
      <c r="O4879">
        <v>-0.9998534</v>
      </c>
      <c r="P4879">
        <v>7.2664699999999999E-2</v>
      </c>
      <c r="Q4879">
        <v>0.1845928</v>
      </c>
      <c r="R4879">
        <v>-0.98012540000000004</v>
      </c>
      <c r="S4879">
        <v>0.36901859999999997</v>
      </c>
      <c r="T4879">
        <v>-6.7501779999999997E-2</v>
      </c>
      <c r="U4879">
        <v>-3.0460210000000001</v>
      </c>
      <c r="V4879">
        <v>-6.0982050000000003E-2</v>
      </c>
      <c r="W4879">
        <v>0.19671939999999999</v>
      </c>
      <c r="X4879">
        <v>0.97856149999999997</v>
      </c>
      <c r="Y4879">
        <v>-0.1084548</v>
      </c>
      <c r="Z4879">
        <v>9.6566180000000005E-3</v>
      </c>
      <c r="AA4879">
        <v>0.99405449999999995</v>
      </c>
      <c r="AB4879">
        <v>33</v>
      </c>
      <c r="AC4879">
        <v>6.1254999999999802</v>
      </c>
      <c r="AD4879">
        <v>-1.12119733297</v>
      </c>
      <c r="AE4879">
        <v>-50.267229999999998</v>
      </c>
      <c r="AF4879">
        <v>-5.5260531900632897</v>
      </c>
      <c r="AG4879">
        <v>-1.12119733297</v>
      </c>
      <c r="AH4879">
        <v>50.311694255766497</v>
      </c>
      <c r="AI4879">
        <v>91.268997395330999</v>
      </c>
      <c r="AJ4879">
        <v>96.268034341392905</v>
      </c>
      <c r="AK4879">
        <v>50.626681959265298</v>
      </c>
      <c r="AL4879">
        <v>78.654815978671195</v>
      </c>
      <c r="AM4879">
        <v>93.565950176126293</v>
      </c>
      <c r="AN4879">
        <v>0.99999997102040505</v>
      </c>
    </row>
    <row r="4880" spans="1:40" x14ac:dyDescent="0.25">
      <c r="A4880" t="str">
        <f>"20190303162919281"</f>
        <v>20190303162919281</v>
      </c>
      <c r="B4880" t="str">
        <f>"1551601759266498"</f>
        <v>1551601759266498</v>
      </c>
      <c r="C4880" t="s">
        <v>40</v>
      </c>
      <c r="D4880">
        <v>5.1195380000000004</v>
      </c>
      <c r="E4880">
        <v>0.48162310000000003</v>
      </c>
      <c r="F4880" t="s">
        <v>57</v>
      </c>
      <c r="G4880">
        <v>-415.42910000000001</v>
      </c>
      <c r="H4880">
        <v>2.4481599999999999E-2</v>
      </c>
      <c r="I4880">
        <v>9.6162700000000001</v>
      </c>
      <c r="J4880">
        <v>-421.78219999999999</v>
      </c>
      <c r="K4880">
        <v>1.1211819999999999</v>
      </c>
      <c r="L4880">
        <v>61.068359999999998</v>
      </c>
      <c r="M4880">
        <v>1.1764480000000001E-2</v>
      </c>
      <c r="N4880">
        <v>-1.2360950000000001E-2</v>
      </c>
      <c r="O4880">
        <v>-0.99985460000000004</v>
      </c>
      <c r="P4880">
        <v>7.3057490000000003E-2</v>
      </c>
      <c r="Q4880">
        <v>0.18502070000000001</v>
      </c>
      <c r="R4880">
        <v>-0.98001559999999999</v>
      </c>
      <c r="S4880">
        <v>0.37377929999999998</v>
      </c>
      <c r="T4880">
        <v>-6.4483639999999995E-2</v>
      </c>
      <c r="U4880">
        <v>-3.045258</v>
      </c>
      <c r="V4880">
        <v>-6.1471270000000001E-2</v>
      </c>
      <c r="W4880">
        <v>0.19714619999999999</v>
      </c>
      <c r="X4880">
        <v>0.97844509999999996</v>
      </c>
      <c r="Y4880">
        <v>-0.1101138</v>
      </c>
      <c r="Z4880">
        <v>8.6740229999999995E-3</v>
      </c>
      <c r="AA4880">
        <v>0.99388109999999996</v>
      </c>
      <c r="AB4880">
        <v>33</v>
      </c>
      <c r="AC4880">
        <v>6.35309999999998</v>
      </c>
      <c r="AD4880">
        <v>-1.09670039999999</v>
      </c>
      <c r="AE4880">
        <v>-51.452089999999998</v>
      </c>
      <c r="AF4880">
        <v>-5.7447362656318797</v>
      </c>
      <c r="AG4880">
        <v>-1.09670039999999</v>
      </c>
      <c r="AH4880">
        <v>51.500228741564499</v>
      </c>
      <c r="AI4880">
        <v>91.212415211566494</v>
      </c>
      <c r="AJ4880">
        <v>96.364904819038998</v>
      </c>
      <c r="AK4880">
        <v>51.831248363921297</v>
      </c>
      <c r="AL4880">
        <v>78.629874920380203</v>
      </c>
      <c r="AM4880">
        <v>93.594909303665204</v>
      </c>
      <c r="AN4880">
        <v>1.00000007746192</v>
      </c>
    </row>
    <row r="4881" spans="1:40" x14ac:dyDescent="0.25">
      <c r="A4881" t="str">
        <f>"20190303162919304"</f>
        <v>20190303162919304</v>
      </c>
      <c r="B4881" t="str">
        <f>"1551601759296755"</f>
        <v>1551601759296755</v>
      </c>
      <c r="C4881" t="s">
        <v>40</v>
      </c>
      <c r="D4881">
        <v>5.1153389999999996</v>
      </c>
      <c r="E4881">
        <v>0.48133409999999899</v>
      </c>
      <c r="F4881" t="s">
        <v>57</v>
      </c>
      <c r="G4881">
        <v>-415.42039999999997</v>
      </c>
      <c r="H4881">
        <v>6.2225599999999999E-2</v>
      </c>
      <c r="I4881">
        <v>9.6040329999999994</v>
      </c>
      <c r="J4881">
        <v>-421.77820000000003</v>
      </c>
      <c r="K4881">
        <v>1.1211850000000001</v>
      </c>
      <c r="L4881">
        <v>60.715699999999998</v>
      </c>
      <c r="M4881">
        <v>1.1663059999999999E-2</v>
      </c>
      <c r="N4881">
        <v>-1.236109E-2</v>
      </c>
      <c r="O4881">
        <v>-0.99985559999999996</v>
      </c>
      <c r="P4881">
        <v>7.3123659999999993E-2</v>
      </c>
      <c r="Q4881">
        <v>0.1851363</v>
      </c>
      <c r="R4881">
        <v>-0.97998850000000004</v>
      </c>
      <c r="S4881">
        <v>0.37640380000000001</v>
      </c>
      <c r="T4881">
        <v>-6.2654500000000002E-2</v>
      </c>
      <c r="U4881">
        <v>-3.0449519999999999</v>
      </c>
      <c r="V4881">
        <v>-6.1637770000000001E-2</v>
      </c>
      <c r="W4881">
        <v>0.19726160000000001</v>
      </c>
      <c r="X4881">
        <v>0.97841129999999998</v>
      </c>
      <c r="Y4881">
        <v>-0.1110713</v>
      </c>
      <c r="Z4881">
        <v>8.0775240000000009E-3</v>
      </c>
      <c r="AA4881">
        <v>0.99377959999999999</v>
      </c>
      <c r="AB4881">
        <v>33</v>
      </c>
      <c r="AC4881">
        <v>6.3578000000000499</v>
      </c>
      <c r="AD4881">
        <v>-1.0589594</v>
      </c>
      <c r="AE4881">
        <v>-51.111666999999997</v>
      </c>
      <c r="AF4881">
        <v>-5.7587691976160498</v>
      </c>
      <c r="AG4881">
        <v>-1.0589594</v>
      </c>
      <c r="AH4881">
        <v>51.160720606382597</v>
      </c>
      <c r="AI4881">
        <v>91.1783383787063</v>
      </c>
      <c r="AJ4881">
        <v>96.422312523674293</v>
      </c>
      <c r="AK4881">
        <v>51.494700219018704</v>
      </c>
      <c r="AL4881">
        <v>78.623129799162101</v>
      </c>
      <c r="AM4881">
        <v>93.604744969891797</v>
      </c>
      <c r="AN4881">
        <v>1.0000000127464099</v>
      </c>
    </row>
    <row r="4882" spans="1:40" x14ac:dyDescent="0.25">
      <c r="A4882" t="str">
        <f>"20190303162919325"</f>
        <v>20190303162919325</v>
      </c>
      <c r="B4882" t="str">
        <f>"1551601759316275"</f>
        <v>1551601759316275</v>
      </c>
      <c r="C4882" t="s">
        <v>40</v>
      </c>
      <c r="D4882">
        <v>4.9022600000000001</v>
      </c>
      <c r="E4882">
        <v>0.48128860000000001</v>
      </c>
      <c r="F4882" t="s">
        <v>57</v>
      </c>
      <c r="G4882">
        <v>-415.42469999999997</v>
      </c>
      <c r="H4882">
        <v>3.6340329999999997E-2</v>
      </c>
      <c r="I4882">
        <v>9.6162700000000001</v>
      </c>
      <c r="J4882">
        <v>-421.7747</v>
      </c>
      <c r="K4882">
        <v>1.1211789999999999</v>
      </c>
      <c r="L4882">
        <v>60.412350000000004</v>
      </c>
      <c r="M4882">
        <v>1.1575719999999999E-2</v>
      </c>
      <c r="N4882">
        <v>-1.23611E-2</v>
      </c>
      <c r="O4882">
        <v>-0.99985650000000004</v>
      </c>
      <c r="P4882">
        <v>7.3535299999999998E-2</v>
      </c>
      <c r="Q4882">
        <v>0.18533450000000001</v>
      </c>
      <c r="R4882">
        <v>-0.97992009999999996</v>
      </c>
      <c r="S4882">
        <v>0.37863160000000001</v>
      </c>
      <c r="T4882">
        <v>-6.465042E-2</v>
      </c>
      <c r="U4882">
        <v>-3.0452270000000001</v>
      </c>
      <c r="V4882">
        <v>-6.2135849999999999E-2</v>
      </c>
      <c r="W4882">
        <v>0.19745889999999999</v>
      </c>
      <c r="X4882">
        <v>0.97833999999999999</v>
      </c>
      <c r="Y4882">
        <v>-0.1118619</v>
      </c>
      <c r="Z4882">
        <v>8.7243619999999994E-3</v>
      </c>
      <c r="AA4882">
        <v>0.9936855</v>
      </c>
      <c r="AB4882">
        <v>33</v>
      </c>
      <c r="AC4882">
        <v>6.3500000000000201</v>
      </c>
      <c r="AD4882">
        <v>-1.0848386699999999</v>
      </c>
      <c r="AE4882">
        <v>-50.796079999999897</v>
      </c>
      <c r="AF4882">
        <v>-5.7589420021823603</v>
      </c>
      <c r="AG4882">
        <v>-1.0848386699999999</v>
      </c>
      <c r="AH4882">
        <v>50.843354188420598</v>
      </c>
      <c r="AI4882">
        <v>91.214563765511301</v>
      </c>
      <c r="AJ4882">
        <v>96.462255089067895</v>
      </c>
      <c r="AK4882">
        <v>51.179966325248898</v>
      </c>
      <c r="AL4882">
        <v>78.611598598251007</v>
      </c>
      <c r="AM4882">
        <v>93.634060426921806</v>
      </c>
      <c r="AN4882">
        <v>1.00000001832221</v>
      </c>
    </row>
    <row r="4883" spans="1:40" x14ac:dyDescent="0.25">
      <c r="A4883" t="str">
        <f>"20190303162919347"</f>
        <v>20190303162919347</v>
      </c>
      <c r="B4883" t="str">
        <f>"1551601759336771"</f>
        <v>1551601759336771</v>
      </c>
      <c r="C4883" t="s">
        <v>40</v>
      </c>
      <c r="D4883">
        <v>4.9562520000000001</v>
      </c>
      <c r="E4883">
        <v>0.48114580000000001</v>
      </c>
      <c r="F4883" t="s">
        <v>57</v>
      </c>
      <c r="G4883">
        <v>-415.43439999999998</v>
      </c>
      <c r="H4883">
        <v>1.9295690000000001E-2</v>
      </c>
      <c r="I4883">
        <v>9.6162700000000001</v>
      </c>
      <c r="J4883">
        <v>-421.77089999999998</v>
      </c>
      <c r="K4883">
        <v>1.121176</v>
      </c>
      <c r="L4883">
        <v>60.077480000000001</v>
      </c>
      <c r="M4883">
        <v>1.1479039999999999E-2</v>
      </c>
      <c r="N4883">
        <v>-1.2361270000000001E-2</v>
      </c>
      <c r="O4883">
        <v>-0.99985800000000002</v>
      </c>
      <c r="P4883">
        <v>7.3497549999999995E-2</v>
      </c>
      <c r="Q4883">
        <v>0.18534529999999999</v>
      </c>
      <c r="R4883">
        <v>-0.9799213</v>
      </c>
      <c r="S4883">
        <v>0.38012699999999999</v>
      </c>
      <c r="T4883">
        <v>-6.6062570000000001E-2</v>
      </c>
      <c r="U4883">
        <v>-3.0454409999999998</v>
      </c>
      <c r="V4883">
        <v>-6.2193110000000003E-2</v>
      </c>
      <c r="W4883">
        <v>0.1974697</v>
      </c>
      <c r="X4883">
        <v>0.97833419999999904</v>
      </c>
      <c r="Y4883">
        <v>-0.1124289</v>
      </c>
      <c r="Z4883">
        <v>9.1815739999999996E-3</v>
      </c>
      <c r="AA4883">
        <v>0.99361739999999998</v>
      </c>
      <c r="AB4883">
        <v>33</v>
      </c>
      <c r="AC4883">
        <v>6.3365</v>
      </c>
      <c r="AD4883">
        <v>-1.1018803100000001</v>
      </c>
      <c r="AE4883">
        <v>-50.461209999999902</v>
      </c>
      <c r="AF4883">
        <v>-5.7540910419197999</v>
      </c>
      <c r="AG4883">
        <v>-1.1018803100000001</v>
      </c>
      <c r="AH4883">
        <v>50.5069184518835</v>
      </c>
      <c r="AI4883">
        <v>91.241760639354098</v>
      </c>
      <c r="AJ4883">
        <v>96.499501166719298</v>
      </c>
      <c r="AK4883">
        <v>50.845575180555102</v>
      </c>
      <c r="AL4883">
        <v>78.610967580517496</v>
      </c>
      <c r="AM4883">
        <v>93.637421839295499</v>
      </c>
      <c r="AN4883">
        <v>1.0000000361196</v>
      </c>
    </row>
    <row r="4884" spans="1:40" x14ac:dyDescent="0.25">
      <c r="A4884" t="str">
        <f>"20190303162919369"</f>
        <v>20190303162919369</v>
      </c>
      <c r="B4884" t="str">
        <f>"1551601759356291"</f>
        <v>1551601759356291</v>
      </c>
      <c r="C4884" t="s">
        <v>40</v>
      </c>
      <c r="D4884">
        <v>4.995438</v>
      </c>
      <c r="E4884">
        <v>0.481076</v>
      </c>
      <c r="F4884" t="s">
        <v>57</v>
      </c>
      <c r="G4884">
        <v>-415.7765</v>
      </c>
      <c r="H4884" s="1">
        <v>-1.318306E-5</v>
      </c>
      <c r="I4884">
        <v>12.1526</v>
      </c>
      <c r="J4884">
        <v>-421.7672</v>
      </c>
      <c r="K4884">
        <v>1.1211739999999999</v>
      </c>
      <c r="L4884">
        <v>59.741970000000002</v>
      </c>
      <c r="M4884">
        <v>1.138277E-2</v>
      </c>
      <c r="N4884">
        <v>-1.2361459999999999E-2</v>
      </c>
      <c r="O4884">
        <v>-0.99985869999999999</v>
      </c>
      <c r="P4884">
        <v>7.3693410000000001E-2</v>
      </c>
      <c r="Q4884">
        <v>0.1844353</v>
      </c>
      <c r="R4884">
        <v>-0.980078</v>
      </c>
      <c r="S4884">
        <v>0.38104250000000001</v>
      </c>
      <c r="T4884">
        <v>-7.1269390000000002E-2</v>
      </c>
      <c r="U4884">
        <v>-3.0463870000000002</v>
      </c>
      <c r="V4884">
        <v>-6.2481349999999998E-2</v>
      </c>
      <c r="W4884">
        <v>0.1965623</v>
      </c>
      <c r="X4884">
        <v>0.97849850000000005</v>
      </c>
      <c r="Y4884">
        <v>-0.1127773</v>
      </c>
      <c r="Z4884">
        <v>1.086992E-2</v>
      </c>
      <c r="AA4884">
        <v>0.99356089999999997</v>
      </c>
      <c r="AB4884">
        <v>33</v>
      </c>
      <c r="AC4884">
        <v>5.9907000000000004</v>
      </c>
      <c r="AD4884">
        <v>-1.12118718306</v>
      </c>
      <c r="AE4884">
        <v>-47.589370000000002</v>
      </c>
      <c r="AF4884">
        <v>-5.4455960701145099</v>
      </c>
      <c r="AG4884">
        <v>-1.12118718306</v>
      </c>
      <c r="AH4884">
        <v>47.628458347831803</v>
      </c>
      <c r="AI4884">
        <v>91.339784064533404</v>
      </c>
      <c r="AJ4884">
        <v>96.522584780508893</v>
      </c>
      <c r="AK4884">
        <v>47.951867761844902</v>
      </c>
      <c r="AL4884">
        <v>78.663996556528005</v>
      </c>
      <c r="AM4884">
        <v>93.653622328814507</v>
      </c>
      <c r="AN4884">
        <v>0.99999998569068105</v>
      </c>
    </row>
    <row r="4885" spans="1:40" x14ac:dyDescent="0.25">
      <c r="A4885" t="str">
        <f>"20190303162919393"</f>
        <v>20190303162919393</v>
      </c>
      <c r="B4885" t="str">
        <f>"1551601759386547"</f>
        <v>1551601759386547</v>
      </c>
      <c r="C4885" t="s">
        <v>40</v>
      </c>
      <c r="D4885">
        <v>4.8309389999999999</v>
      </c>
      <c r="E4885">
        <v>0.4810239</v>
      </c>
      <c r="F4885" t="s">
        <v>57</v>
      </c>
      <c r="G4885">
        <v>-416.06119999999999</v>
      </c>
      <c r="H4885" s="1">
        <v>-1.287271E-5</v>
      </c>
      <c r="I4885">
        <v>14.20345</v>
      </c>
      <c r="J4885">
        <v>-421.76330000000002</v>
      </c>
      <c r="K4885">
        <v>1.121178</v>
      </c>
      <c r="L4885">
        <v>59.396030000000003</v>
      </c>
      <c r="M4885">
        <v>1.128354E-2</v>
      </c>
      <c r="N4885">
        <v>-1.236161E-2</v>
      </c>
      <c r="O4885">
        <v>-0.99986010000000003</v>
      </c>
      <c r="P4885">
        <v>7.3778189999999993E-2</v>
      </c>
      <c r="Q4885">
        <v>0.18418019999999999</v>
      </c>
      <c r="R4885">
        <v>-0.98011990000000004</v>
      </c>
      <c r="S4885">
        <v>0.38171389999999999</v>
      </c>
      <c r="T4885">
        <v>-7.5003979999999998E-2</v>
      </c>
      <c r="U4885">
        <v>-3.0463870000000002</v>
      </c>
      <c r="V4885">
        <v>-6.2662850000000006E-2</v>
      </c>
      <c r="W4885">
        <v>0.1963075</v>
      </c>
      <c r="X4885">
        <v>0.97853809999999997</v>
      </c>
      <c r="Y4885">
        <v>-0.11308890000000001</v>
      </c>
      <c r="Z4885">
        <v>1.208534E-2</v>
      </c>
      <c r="AA4885">
        <v>0.99351140000000004</v>
      </c>
      <c r="AB4885">
        <v>33</v>
      </c>
      <c r="AC4885">
        <v>5.7021000000000299</v>
      </c>
      <c r="AD4885">
        <v>-1.12119087271</v>
      </c>
      <c r="AE4885">
        <v>-45.19258</v>
      </c>
      <c r="AF4885">
        <v>-5.1886222518475797</v>
      </c>
      <c r="AG4885">
        <v>-1.12119087271</v>
      </c>
      <c r="AH4885">
        <v>45.226646742724</v>
      </c>
      <c r="AI4885">
        <v>91.410849226430102</v>
      </c>
      <c r="AJ4885">
        <v>96.544639237400801</v>
      </c>
      <c r="AK4885">
        <v>45.537110639966599</v>
      </c>
      <c r="AL4885">
        <v>78.6788862324413</v>
      </c>
      <c r="AM4885">
        <v>93.664058860992995</v>
      </c>
      <c r="AN4885">
        <v>1.0000000402389899</v>
      </c>
    </row>
    <row r="4886" spans="1:40" x14ac:dyDescent="0.25">
      <c r="A4886" t="str">
        <f>"20190303162919415"</f>
        <v>20190303162919415</v>
      </c>
      <c r="B4886" t="str">
        <f>"1551601759407043"</f>
        <v>1551601759407043</v>
      </c>
      <c r="C4886" t="s">
        <v>40</v>
      </c>
      <c r="D4886">
        <v>4.8598520000000001</v>
      </c>
      <c r="E4886">
        <v>0.48127120000000001</v>
      </c>
      <c r="F4886" t="s">
        <v>57</v>
      </c>
      <c r="G4886">
        <v>-416.17529999999999</v>
      </c>
      <c r="H4886" s="1">
        <v>-1.2760640000000001E-5</v>
      </c>
      <c r="I4886">
        <v>14.86908</v>
      </c>
      <c r="J4886">
        <v>-421.75970000000001</v>
      </c>
      <c r="K4886">
        <v>1.1211819999999999</v>
      </c>
      <c r="L4886">
        <v>59.067599999999999</v>
      </c>
      <c r="M4886">
        <v>1.1189380000000001E-2</v>
      </c>
      <c r="N4886">
        <v>-1.236168E-2</v>
      </c>
      <c r="O4886">
        <v>-0.99986109999999995</v>
      </c>
      <c r="P4886">
        <v>7.403042E-2</v>
      </c>
      <c r="Q4886">
        <v>0.18399799999999999</v>
      </c>
      <c r="R4886">
        <v>-0.98013499999999998</v>
      </c>
      <c r="S4886">
        <v>0.3823242</v>
      </c>
      <c r="T4886">
        <v>-7.6710459999999994E-2</v>
      </c>
      <c r="U4886">
        <v>-3.046478</v>
      </c>
      <c r="V4886">
        <v>-6.3007679999999996E-2</v>
      </c>
      <c r="W4886">
        <v>0.19612560000000001</v>
      </c>
      <c r="X4886">
        <v>0.97855239999999999</v>
      </c>
      <c r="Y4886">
        <v>-0.1133734</v>
      </c>
      <c r="Z4886">
        <v>1.2639549999999999E-2</v>
      </c>
      <c r="AA4886">
        <v>0.99347200000000002</v>
      </c>
      <c r="AB4886">
        <v>33</v>
      </c>
      <c r="AC4886">
        <v>5.5844000000000102</v>
      </c>
      <c r="AD4886">
        <v>-1.1211947606399999</v>
      </c>
      <c r="AE4886">
        <v>-44.198520000000002</v>
      </c>
      <c r="AF4886">
        <v>-5.0862370259046497</v>
      </c>
      <c r="AG4886">
        <v>-1.1211947606399999</v>
      </c>
      <c r="AH4886">
        <v>44.230228551460698</v>
      </c>
      <c r="AI4886">
        <v>91.442580454802098</v>
      </c>
      <c r="AJ4886">
        <v>96.559890511892704</v>
      </c>
      <c r="AK4886">
        <v>44.535828301373499</v>
      </c>
      <c r="AL4886">
        <v>78.689514593848301</v>
      </c>
      <c r="AM4886">
        <v>93.684112892367594</v>
      </c>
      <c r="AN4886">
        <v>1.00000000913005</v>
      </c>
    </row>
    <row r="4887" spans="1:40" x14ac:dyDescent="0.25">
      <c r="A4887" t="str">
        <f>"20190303162919437"</f>
        <v>20190303162919437</v>
      </c>
      <c r="B4887" t="str">
        <f>"1551601759426562"</f>
        <v>1551601759426562</v>
      </c>
      <c r="C4887" t="s">
        <v>40</v>
      </c>
      <c r="D4887">
        <v>4.8551120000000001</v>
      </c>
      <c r="E4887">
        <v>0.481518</v>
      </c>
      <c r="F4887" t="s">
        <v>57</v>
      </c>
      <c r="G4887">
        <v>-416.41980000000001</v>
      </c>
      <c r="H4887" s="1">
        <v>-1.249941E-5</v>
      </c>
      <c r="I4887">
        <v>16.39057</v>
      </c>
      <c r="J4887">
        <v>-421.75630000000001</v>
      </c>
      <c r="K4887">
        <v>1.1211819999999999</v>
      </c>
      <c r="L4887">
        <v>58.750790000000002</v>
      </c>
      <c r="M4887">
        <v>1.109805E-2</v>
      </c>
      <c r="N4887">
        <v>-1.236173E-2</v>
      </c>
      <c r="O4887">
        <v>-0.99986200000000003</v>
      </c>
      <c r="P4887">
        <v>7.4472189999999994E-2</v>
      </c>
      <c r="Q4887">
        <v>0.18377260000000001</v>
      </c>
      <c r="R4887">
        <v>-0.9801436</v>
      </c>
      <c r="S4887">
        <v>0.38125609999999999</v>
      </c>
      <c r="T4887">
        <v>-8.0050350000000006E-2</v>
      </c>
      <c r="U4887">
        <v>-3.0470280000000001</v>
      </c>
      <c r="V4887">
        <v>-6.3539239999999997E-2</v>
      </c>
      <c r="W4887">
        <v>0.19590060000000001</v>
      </c>
      <c r="X4887">
        <v>0.97856310000000002</v>
      </c>
      <c r="Y4887">
        <v>-0.113096699999999</v>
      </c>
      <c r="Z4887">
        <v>1.372335E-2</v>
      </c>
      <c r="AA4887">
        <v>0.99348919999999996</v>
      </c>
      <c r="AB4887">
        <v>33</v>
      </c>
      <c r="AC4887">
        <v>5.3365</v>
      </c>
      <c r="AD4887">
        <v>-1.1211944994099901</v>
      </c>
      <c r="AE4887">
        <v>-42.360219999999998</v>
      </c>
      <c r="AF4887">
        <v>-4.8626661658643</v>
      </c>
      <c r="AG4887">
        <v>-1.1211944994099901</v>
      </c>
      <c r="AH4887">
        <v>42.3876089506985</v>
      </c>
      <c r="AI4887">
        <v>91.505308852264506</v>
      </c>
      <c r="AJ4887">
        <v>96.544308666195207</v>
      </c>
      <c r="AK4887">
        <v>42.680346670376103</v>
      </c>
      <c r="AL4887">
        <v>78.702661185386006</v>
      </c>
      <c r="AM4887">
        <v>93.715066470820901</v>
      </c>
      <c r="AN4887">
        <v>1.0000000103908699</v>
      </c>
    </row>
    <row r="4888" spans="1:40" x14ac:dyDescent="0.25">
      <c r="A4888" t="str">
        <f>"20190303162919459"</f>
        <v>20190303162919459</v>
      </c>
      <c r="B4888" t="str">
        <f>"1551601759447059"</f>
        <v>1551601759447059</v>
      </c>
      <c r="C4888" t="s">
        <v>40</v>
      </c>
      <c r="D4888">
        <v>4.8294639999999998</v>
      </c>
      <c r="E4888">
        <v>0.4817266</v>
      </c>
      <c r="F4888" t="s">
        <v>57</v>
      </c>
      <c r="G4888">
        <v>-416.75599999999997</v>
      </c>
      <c r="H4888" s="1">
        <v>-1.209858E-5</v>
      </c>
      <c r="I4888">
        <v>18.670950000000001</v>
      </c>
      <c r="J4888">
        <v>-421.7527</v>
      </c>
      <c r="K4888">
        <v>1.121181</v>
      </c>
      <c r="L4888">
        <v>58.419620000000002</v>
      </c>
      <c r="M4888">
        <v>1.100289E-2</v>
      </c>
      <c r="N4888">
        <v>-1.236171E-2</v>
      </c>
      <c r="O4888">
        <v>-0.99986319999999995</v>
      </c>
      <c r="P4888">
        <v>7.4787199999999998E-2</v>
      </c>
      <c r="Q4888">
        <v>0.18304819999999999</v>
      </c>
      <c r="R4888">
        <v>-0.98025530000000005</v>
      </c>
      <c r="S4888">
        <v>0.380249</v>
      </c>
      <c r="T4888">
        <v>-8.5261459999999997E-2</v>
      </c>
      <c r="U4888">
        <v>-3.047882</v>
      </c>
      <c r="V4888">
        <v>-6.394619E-2</v>
      </c>
      <c r="W4888">
        <v>0.19517770000000001</v>
      </c>
      <c r="X4888">
        <v>0.97868100000000002</v>
      </c>
      <c r="Y4888">
        <v>-0.1128296</v>
      </c>
      <c r="Z4888">
        <v>1.5413130000000001E-2</v>
      </c>
      <c r="AA4888">
        <v>0.99349480000000001</v>
      </c>
      <c r="AB4888">
        <v>33</v>
      </c>
      <c r="AC4888">
        <v>4.9967000000000299</v>
      </c>
      <c r="AD4888">
        <v>-1.12119309858</v>
      </c>
      <c r="AE4888">
        <v>-39.748669999999898</v>
      </c>
      <c r="AF4888">
        <v>-4.5554457838486497</v>
      </c>
      <c r="AG4888">
        <v>-1.12119309858</v>
      </c>
      <c r="AH4888">
        <v>39.770095476492699</v>
      </c>
      <c r="AI4888">
        <v>91.604361928190599</v>
      </c>
      <c r="AJ4888">
        <v>96.534437604451597</v>
      </c>
      <c r="AK4888">
        <v>40.045844409417001</v>
      </c>
      <c r="AL4888">
        <v>78.744895196495804</v>
      </c>
      <c r="AM4888">
        <v>93.738343968295894</v>
      </c>
      <c r="AN4888">
        <v>0.99999997477690195</v>
      </c>
    </row>
    <row r="4889" spans="1:40" x14ac:dyDescent="0.25">
      <c r="A4889" t="str">
        <f>"20190303162919482"</f>
        <v>20190303162919482</v>
      </c>
      <c r="B4889" t="str">
        <f>"1551601759476339"</f>
        <v>1551601759476339</v>
      </c>
      <c r="C4889" t="s">
        <v>40</v>
      </c>
      <c r="D4889">
        <v>4.786581</v>
      </c>
      <c r="E4889">
        <v>0.48199449999999999</v>
      </c>
      <c r="F4889" t="s">
        <v>57</v>
      </c>
      <c r="G4889">
        <v>-417.12860000000001</v>
      </c>
      <c r="H4889" s="1">
        <v>-7.3534690000000002E-6</v>
      </c>
      <c r="I4889">
        <v>21.244630000000001</v>
      </c>
      <c r="J4889">
        <v>-421.7491</v>
      </c>
      <c r="K4889">
        <v>1.121173</v>
      </c>
      <c r="L4889">
        <v>58.081940000000003</v>
      </c>
      <c r="M4889">
        <v>1.090591E-2</v>
      </c>
      <c r="N4889">
        <v>-1.2361489999999999E-2</v>
      </c>
      <c r="O4889">
        <v>-0.99986419999999998</v>
      </c>
      <c r="P4889">
        <v>7.5397729999999996E-2</v>
      </c>
      <c r="Q4889">
        <v>0.1826527</v>
      </c>
      <c r="R4889">
        <v>-0.98028230000000005</v>
      </c>
      <c r="S4889">
        <v>0.37921139999999998</v>
      </c>
      <c r="T4889">
        <v>-9.1946360000000005E-2</v>
      </c>
      <c r="U4889">
        <v>-3.048645</v>
      </c>
      <c r="V4889">
        <v>-6.4651829999999993E-2</v>
      </c>
      <c r="W4889">
        <v>0.1947825</v>
      </c>
      <c r="X4889">
        <v>0.97871339999999996</v>
      </c>
      <c r="Y4889">
        <v>-0.11255660000000001</v>
      </c>
      <c r="Z4889">
        <v>1.7582489999999999E-2</v>
      </c>
      <c r="AA4889">
        <v>0.99348970000000003</v>
      </c>
      <c r="AB4889">
        <v>33</v>
      </c>
      <c r="AC4889">
        <v>4.6204999999999901</v>
      </c>
      <c r="AD4889">
        <v>-1.1211803534689999</v>
      </c>
      <c r="AE4889">
        <v>-36.837309999999903</v>
      </c>
      <c r="AF4889">
        <v>-4.2146063897994903</v>
      </c>
      <c r="AG4889">
        <v>-1.1211803534689999</v>
      </c>
      <c r="AH4889">
        <v>36.851904504393197</v>
      </c>
      <c r="AI4889">
        <v>91.731347231014496</v>
      </c>
      <c r="AJ4889">
        <v>96.524344705856905</v>
      </c>
      <c r="AK4889">
        <v>37.109066520284003</v>
      </c>
      <c r="AL4889">
        <v>78.767981873096204</v>
      </c>
      <c r="AM4889">
        <v>93.779352561845201</v>
      </c>
      <c r="AN4889">
        <v>1.0000000003840701</v>
      </c>
    </row>
    <row r="4890" spans="1:40" x14ac:dyDescent="0.25">
      <c r="A4890" t="str">
        <f>"20190303162919504"</f>
        <v>20190303162919504</v>
      </c>
      <c r="B4890" t="str">
        <f>"1551601759496835"</f>
        <v>1551601759496835</v>
      </c>
      <c r="C4890" t="s">
        <v>40</v>
      </c>
      <c r="D4890">
        <v>4.8021630000000002</v>
      </c>
      <c r="E4890">
        <v>0.48206520000000003</v>
      </c>
      <c r="F4890" t="s">
        <v>57</v>
      </c>
      <c r="G4890">
        <v>-417.5376</v>
      </c>
      <c r="H4890" s="1">
        <v>-7.527035E-6</v>
      </c>
      <c r="I4890">
        <v>24.198429999999998</v>
      </c>
      <c r="J4890">
        <v>-421.74549999999999</v>
      </c>
      <c r="K4890">
        <v>1.1211679999999999</v>
      </c>
      <c r="L4890">
        <v>57.747619999999998</v>
      </c>
      <c r="M4890">
        <v>1.081005E-2</v>
      </c>
      <c r="N4890">
        <v>-1.236129E-2</v>
      </c>
      <c r="O4890">
        <v>-0.99986509999999995</v>
      </c>
      <c r="P4890">
        <v>7.592024E-2</v>
      </c>
      <c r="Q4890">
        <v>0.18231739999999999</v>
      </c>
      <c r="R4890">
        <v>-0.98030419999999996</v>
      </c>
      <c r="S4890">
        <v>0.37908940000000002</v>
      </c>
      <c r="T4890">
        <v>-0.10092189999999999</v>
      </c>
      <c r="U4890">
        <v>-3.0499879999999999</v>
      </c>
      <c r="V4890">
        <v>-6.5268530000000005E-2</v>
      </c>
      <c r="W4890">
        <v>0.19444719999999999</v>
      </c>
      <c r="X4890">
        <v>0.97873909999999997</v>
      </c>
      <c r="Y4890">
        <v>-0.11255030000000001</v>
      </c>
      <c r="Z4890">
        <v>2.0488200000000002E-2</v>
      </c>
      <c r="AA4890">
        <v>0.99343479999999995</v>
      </c>
      <c r="AB4890">
        <v>33</v>
      </c>
      <c r="AC4890">
        <v>4.2078999999999898</v>
      </c>
      <c r="AD4890">
        <v>-1.1211755270349999</v>
      </c>
      <c r="AE4890">
        <v>-33.549190000000003</v>
      </c>
      <c r="AF4890">
        <v>-3.8407349625621601</v>
      </c>
      <c r="AG4890">
        <v>-1.1211755270349999</v>
      </c>
      <c r="AH4890">
        <v>33.5558251013587</v>
      </c>
      <c r="AI4890">
        <v>91.901264663023895</v>
      </c>
      <c r="AJ4890">
        <v>96.529549470440998</v>
      </c>
      <c r="AK4890">
        <v>33.793515322440904</v>
      </c>
      <c r="AL4890">
        <v>78.787567176892594</v>
      </c>
      <c r="AM4890">
        <v>93.815197137793604</v>
      </c>
      <c r="AN4890">
        <v>0.99999996023250404</v>
      </c>
    </row>
    <row r="4891" spans="1:40" x14ac:dyDescent="0.25">
      <c r="A4891" t="str">
        <f>"20190303162919526"</f>
        <v>20190303162919526</v>
      </c>
      <c r="B4891" t="str">
        <f>"1551601759516356"</f>
        <v>1551601759516356</v>
      </c>
      <c r="C4891" t="s">
        <v>40</v>
      </c>
      <c r="D4891">
        <v>4.7708389999999996</v>
      </c>
      <c r="E4891">
        <v>0.4821686</v>
      </c>
      <c r="F4891" t="s">
        <v>57</v>
      </c>
      <c r="G4891">
        <v>-417.846</v>
      </c>
      <c r="H4891" s="1">
        <v>-7.667766E-6</v>
      </c>
      <c r="I4891">
        <v>26.412179999999999</v>
      </c>
      <c r="J4891">
        <v>-421.74220000000003</v>
      </c>
      <c r="K4891">
        <v>1.1211599999999999</v>
      </c>
      <c r="L4891">
        <v>57.432099999999998</v>
      </c>
      <c r="M4891">
        <v>1.071999E-2</v>
      </c>
      <c r="N4891">
        <v>-1.2361179999999999E-2</v>
      </c>
      <c r="O4891">
        <v>-0.99986609999999998</v>
      </c>
      <c r="P4891">
        <v>7.6636780000000002E-2</v>
      </c>
      <c r="Q4891">
        <v>0.181587</v>
      </c>
      <c r="R4891">
        <v>-0.98038400000000003</v>
      </c>
      <c r="S4891">
        <v>0.37969969999999997</v>
      </c>
      <c r="T4891">
        <v>-0.10917060000000001</v>
      </c>
      <c r="U4891">
        <v>-3.0511780000000002</v>
      </c>
      <c r="V4891">
        <v>-6.6072549999999994E-2</v>
      </c>
      <c r="W4891">
        <v>0.19371840000000001</v>
      </c>
      <c r="X4891">
        <v>0.97882970000000002</v>
      </c>
      <c r="Y4891">
        <v>-0.1127789</v>
      </c>
      <c r="Z4891">
        <v>2.3155209999999999E-2</v>
      </c>
      <c r="AA4891">
        <v>0.99335030000000002</v>
      </c>
      <c r="AB4891">
        <v>33</v>
      </c>
      <c r="AC4891">
        <v>3.8962000000000199</v>
      </c>
      <c r="AD4891">
        <v>-1.1211676677660001</v>
      </c>
      <c r="AE4891">
        <v>-31.019919999999999</v>
      </c>
      <c r="AF4891">
        <v>-3.55884054778666</v>
      </c>
      <c r="AG4891">
        <v>-1.1211676677660001</v>
      </c>
      <c r="AH4891">
        <v>31.020014068728798</v>
      </c>
      <c r="AI4891">
        <v>92.056483060745194</v>
      </c>
      <c r="AJ4891">
        <v>96.544771816079404</v>
      </c>
      <c r="AK4891">
        <v>31.243617521150501</v>
      </c>
      <c r="AL4891">
        <v>78.8301340884627</v>
      </c>
      <c r="AM4891">
        <v>93.861697450598399</v>
      </c>
      <c r="AN4891">
        <v>0.99999999098207604</v>
      </c>
    </row>
    <row r="4892" spans="1:40" x14ac:dyDescent="0.25">
      <c r="A4892" t="str">
        <f>"20190303162919548"</f>
        <v>20190303162919548</v>
      </c>
      <c r="B4892" t="str">
        <f>"1551601759536851"</f>
        <v>1551601759536851</v>
      </c>
      <c r="C4892" t="s">
        <v>40</v>
      </c>
      <c r="D4892">
        <v>4.765377</v>
      </c>
      <c r="E4892">
        <v>0.48225170000000001</v>
      </c>
      <c r="F4892" t="s">
        <v>57</v>
      </c>
      <c r="G4892">
        <v>-418.10449999999997</v>
      </c>
      <c r="H4892" s="1">
        <v>-7.7883510000000008E-6</v>
      </c>
      <c r="I4892">
        <v>28.290659999999999</v>
      </c>
      <c r="J4892">
        <v>-421.73880000000003</v>
      </c>
      <c r="K4892">
        <v>1.121154</v>
      </c>
      <c r="L4892">
        <v>57.099209999999999</v>
      </c>
      <c r="M4892">
        <v>1.062395E-2</v>
      </c>
      <c r="N4892">
        <v>-1.236103E-2</v>
      </c>
      <c r="O4892">
        <v>-0.99986699999999995</v>
      </c>
      <c r="P4892">
        <v>7.7552270000000006E-2</v>
      </c>
      <c r="Q4892">
        <v>0.1801682</v>
      </c>
      <c r="R4892">
        <v>-0.98057380000000005</v>
      </c>
      <c r="S4892">
        <v>0.38098140000000003</v>
      </c>
      <c r="T4892">
        <v>-0.1174195</v>
      </c>
      <c r="U4892">
        <v>-3.051971</v>
      </c>
      <c r="V4892">
        <v>-6.7080119999999993E-2</v>
      </c>
      <c r="W4892">
        <v>0.1923021</v>
      </c>
      <c r="X4892">
        <v>0.97904040000000003</v>
      </c>
      <c r="Y4892">
        <v>-0.11324339999999999</v>
      </c>
      <c r="Z4892">
        <v>2.5823369999999998E-2</v>
      </c>
      <c r="AA4892">
        <v>0.99323170000000005</v>
      </c>
      <c r="AB4892">
        <v>33</v>
      </c>
      <c r="AC4892">
        <v>3.6343000000000498</v>
      </c>
      <c r="AD4892">
        <v>-1.1211617883510001</v>
      </c>
      <c r="AE4892">
        <v>-28.80855</v>
      </c>
      <c r="AF4892">
        <v>-3.3230566272331101</v>
      </c>
      <c r="AG4892">
        <v>-1.1211617883510001</v>
      </c>
      <c r="AH4892">
        <v>28.802596890282501</v>
      </c>
      <c r="AI4892">
        <v>92.214478955713105</v>
      </c>
      <c r="AJ4892">
        <v>96.581316579220399</v>
      </c>
      <c r="AK4892">
        <v>29.015328651034899</v>
      </c>
      <c r="AL4892">
        <v>78.9128369901063</v>
      </c>
      <c r="AM4892">
        <v>93.919562866410004</v>
      </c>
      <c r="AN4892">
        <v>0.99999997249789097</v>
      </c>
    </row>
    <row r="4893" spans="1:40" x14ac:dyDescent="0.25">
      <c r="A4893" t="str">
        <f>"20190303162919571"</f>
        <v>20190303162919571</v>
      </c>
      <c r="B4893" t="str">
        <f>"1551601759567107"</f>
        <v>1551601759567107</v>
      </c>
      <c r="C4893" t="s">
        <v>40</v>
      </c>
      <c r="D4893">
        <v>4.794346</v>
      </c>
      <c r="E4893">
        <v>0.48247210000000001</v>
      </c>
      <c r="F4893" t="s">
        <v>57</v>
      </c>
      <c r="G4893">
        <v>-418.3716</v>
      </c>
      <c r="H4893" s="1">
        <v>-5.735679E-6</v>
      </c>
      <c r="I4893">
        <v>30.240680000000001</v>
      </c>
      <c r="J4893">
        <v>-421.73520000000002</v>
      </c>
      <c r="K4893">
        <v>1.121149</v>
      </c>
      <c r="L4893">
        <v>56.749969999999998</v>
      </c>
      <c r="M4893">
        <v>1.051967E-2</v>
      </c>
      <c r="N4893">
        <v>-1.236076E-2</v>
      </c>
      <c r="O4893">
        <v>-0.99986819999999998</v>
      </c>
      <c r="P4893">
        <v>7.9261449999999997E-2</v>
      </c>
      <c r="Q4893">
        <v>0.17890619999999999</v>
      </c>
      <c r="R4893">
        <v>-0.98066810000000004</v>
      </c>
      <c r="S4893">
        <v>0.38269039999999999</v>
      </c>
      <c r="T4893">
        <v>-0.12742439999999999</v>
      </c>
      <c r="U4893">
        <v>-3.0525820000000001</v>
      </c>
      <c r="V4893">
        <v>-6.8890419999999994E-2</v>
      </c>
      <c r="W4893">
        <v>0.19104180000000001</v>
      </c>
      <c r="X4893">
        <v>0.97916139999999996</v>
      </c>
      <c r="Y4893">
        <v>-0.1138566</v>
      </c>
      <c r="Z4893">
        <v>2.9060869999999999E-2</v>
      </c>
      <c r="AA4893">
        <v>0.99307210000000001</v>
      </c>
      <c r="AB4893">
        <v>33</v>
      </c>
      <c r="AC4893">
        <v>3.3636000000000101</v>
      </c>
      <c r="AD4893">
        <v>-1.1211547356789999</v>
      </c>
      <c r="AE4893">
        <v>-26.50929</v>
      </c>
      <c r="AF4893">
        <v>-3.0791032500936</v>
      </c>
      <c r="AG4893">
        <v>-1.1211547356789999</v>
      </c>
      <c r="AH4893">
        <v>26.4965664043673</v>
      </c>
      <c r="AI4893">
        <v>92.406746067359407</v>
      </c>
      <c r="AJ4893">
        <v>96.628476128870204</v>
      </c>
      <c r="AK4893">
        <v>26.698424972030001</v>
      </c>
      <c r="AL4893">
        <v>78.986410786515904</v>
      </c>
      <c r="AM4893">
        <v>94.024501748694803</v>
      </c>
      <c r="AN4893">
        <v>0.99999995328248703</v>
      </c>
    </row>
    <row r="4894" spans="1:40" x14ac:dyDescent="0.25">
      <c r="A4894" t="str">
        <f>"20190303162919594"</f>
        <v>20190303162919594</v>
      </c>
      <c r="B4894" t="str">
        <f>"1551601759586627"</f>
        <v>1551601759586627</v>
      </c>
      <c r="C4894" t="s">
        <v>40</v>
      </c>
      <c r="D4894">
        <v>4.766826</v>
      </c>
      <c r="E4894">
        <v>0.4825527</v>
      </c>
      <c r="F4894" t="s">
        <v>57</v>
      </c>
      <c r="G4894">
        <v>-418.6078</v>
      </c>
      <c r="H4894" s="1">
        <v>-4.8137460000000002E-6</v>
      </c>
      <c r="I4894">
        <v>31.990670000000001</v>
      </c>
      <c r="J4894">
        <v>-421.73180000000002</v>
      </c>
      <c r="K4894">
        <v>1.121143</v>
      </c>
      <c r="L4894">
        <v>56.417540000000002</v>
      </c>
      <c r="M4894">
        <v>1.041691E-2</v>
      </c>
      <c r="N4894">
        <v>-1.236044E-2</v>
      </c>
      <c r="O4894">
        <v>-0.99986960000000003</v>
      </c>
      <c r="P4894">
        <v>8.0763920000000003E-2</v>
      </c>
      <c r="Q4894">
        <v>0.17789959999999999</v>
      </c>
      <c r="R4894">
        <v>-0.98072919999999997</v>
      </c>
      <c r="S4894">
        <v>0.38565060000000001</v>
      </c>
      <c r="T4894">
        <v>-0.13825499999999999</v>
      </c>
      <c r="U4894">
        <v>-3.0531920000000001</v>
      </c>
      <c r="V4894">
        <v>-7.0492730000000003E-2</v>
      </c>
      <c r="W4894">
        <v>0.19003680000000001</v>
      </c>
      <c r="X4894">
        <v>0.97924299999999997</v>
      </c>
      <c r="Y4894">
        <v>-0.1148656</v>
      </c>
      <c r="Z4894">
        <v>3.2561149999999997E-2</v>
      </c>
      <c r="AA4894">
        <v>0.99284729999999999</v>
      </c>
      <c r="AB4894">
        <v>33</v>
      </c>
      <c r="AC4894">
        <v>3.1240000000000201</v>
      </c>
      <c r="AD4894">
        <v>-1.121147813746</v>
      </c>
      <c r="AE4894">
        <v>-24.426870000000001</v>
      </c>
      <c r="AF4894">
        <v>-2.8634234699438199</v>
      </c>
      <c r="AG4894">
        <v>-1.121147813746</v>
      </c>
      <c r="AH4894">
        <v>24.407499047647601</v>
      </c>
      <c r="AI4894">
        <v>92.612118628737505</v>
      </c>
      <c r="AJ4894">
        <v>96.691203905204802</v>
      </c>
      <c r="AK4894">
        <v>24.600450730614899</v>
      </c>
      <c r="AL4894">
        <v>79.045068539538093</v>
      </c>
      <c r="AM4894">
        <v>94.117446613273003</v>
      </c>
      <c r="AN4894">
        <v>1.00000003169304</v>
      </c>
    </row>
    <row r="4895" spans="1:40" x14ac:dyDescent="0.25">
      <c r="A4895" t="str">
        <f>"20190303162919616"</f>
        <v>20190303162919616</v>
      </c>
      <c r="B4895" t="str">
        <f>"1551601759607123"</f>
        <v>1551601759607123</v>
      </c>
      <c r="C4895" t="s">
        <v>40</v>
      </c>
      <c r="D4895">
        <v>4.7542780000000002</v>
      </c>
      <c r="E4895">
        <v>0.4826549</v>
      </c>
      <c r="F4895" t="s">
        <v>57</v>
      </c>
      <c r="G4895">
        <v>-418.72300000000001</v>
      </c>
      <c r="H4895" s="1">
        <v>-4.3641250000000003E-6</v>
      </c>
      <c r="I4895">
        <v>32.822980000000001</v>
      </c>
      <c r="J4895">
        <v>-421.7285</v>
      </c>
      <c r="K4895">
        <v>1.1211409999999999</v>
      </c>
      <c r="L4895">
        <v>56.091769999999997</v>
      </c>
      <c r="M4895">
        <v>1.0311900000000001E-2</v>
      </c>
      <c r="N4895">
        <v>-1.2360110000000001E-2</v>
      </c>
      <c r="O4895">
        <v>-0.99987060000000005</v>
      </c>
      <c r="P4895">
        <v>8.2385379999999994E-2</v>
      </c>
      <c r="Q4895">
        <v>0.17663000000000001</v>
      </c>
      <c r="R4895">
        <v>-0.98082380000000002</v>
      </c>
      <c r="S4895">
        <v>0.3893433</v>
      </c>
      <c r="T4895">
        <v>-0.14507900000000001</v>
      </c>
      <c r="U4895">
        <v>-3.0531920000000001</v>
      </c>
      <c r="V4895">
        <v>-7.2214929999999997E-2</v>
      </c>
      <c r="W4895">
        <v>0.18876889999999999</v>
      </c>
      <c r="X4895">
        <v>0.97936270000000003</v>
      </c>
      <c r="Y4895">
        <v>-0.1161401</v>
      </c>
      <c r="Z4895">
        <v>3.4767149999999997E-2</v>
      </c>
      <c r="AA4895">
        <v>0.99262419999999996</v>
      </c>
      <c r="AB4895">
        <v>33</v>
      </c>
      <c r="AC4895">
        <v>3.0054999999999801</v>
      </c>
      <c r="AD4895">
        <v>-1.121145364125</v>
      </c>
      <c r="AE4895">
        <v>-23.268789999999999</v>
      </c>
      <c r="AF4895">
        <v>-2.7590762507348501</v>
      </c>
      <c r="AG4895">
        <v>-1.121145364125</v>
      </c>
      <c r="AH4895">
        <v>23.2454676701464</v>
      </c>
      <c r="AI4895">
        <v>92.742058358086993</v>
      </c>
      <c r="AJ4895">
        <v>96.768944254078704</v>
      </c>
      <c r="AK4895">
        <v>23.4354696110125</v>
      </c>
      <c r="AL4895">
        <v>79.119052626439796</v>
      </c>
      <c r="AM4895">
        <v>94.217167159300502</v>
      </c>
      <c r="AN4895">
        <v>0.99999999593670197</v>
      </c>
    </row>
    <row r="4896" spans="1:40" x14ac:dyDescent="0.25">
      <c r="A4896" t="str">
        <f>"20190303162919638"</f>
        <v>20190303162919638</v>
      </c>
      <c r="B4896" t="str">
        <f>"1551601759626643"</f>
        <v>1551601759626643</v>
      </c>
      <c r="C4896" t="s">
        <v>40</v>
      </c>
      <c r="D4896">
        <v>4.7892950000000001</v>
      </c>
      <c r="E4896">
        <v>0.48268519999999998</v>
      </c>
      <c r="F4896" t="s">
        <v>57</v>
      </c>
      <c r="G4896">
        <v>-418.8374</v>
      </c>
      <c r="H4896" s="1">
        <v>-3.9194839999999999E-6</v>
      </c>
      <c r="I4896">
        <v>33.645829999999997</v>
      </c>
      <c r="J4896">
        <v>-421.7253</v>
      </c>
      <c r="K4896">
        <v>1.1211340000000001</v>
      </c>
      <c r="L4896">
        <v>55.768430000000002</v>
      </c>
      <c r="M4896">
        <v>1.0202360000000001E-2</v>
      </c>
      <c r="N4896">
        <v>-1.2359810000000001E-2</v>
      </c>
      <c r="O4896">
        <v>-0.99987159999999997</v>
      </c>
      <c r="P4896">
        <v>8.3980319999999997E-2</v>
      </c>
      <c r="Q4896">
        <v>0.17616270000000001</v>
      </c>
      <c r="R4896">
        <v>-0.98077210000000004</v>
      </c>
      <c r="S4896">
        <v>0.39324949999999997</v>
      </c>
      <c r="T4896">
        <v>-0.15249840000000001</v>
      </c>
      <c r="U4896">
        <v>-3.0531009999999998</v>
      </c>
      <c r="V4896">
        <v>-7.3916319999999994E-2</v>
      </c>
      <c r="W4896">
        <v>0.188302</v>
      </c>
      <c r="X4896">
        <v>0.97932569999999997</v>
      </c>
      <c r="Y4896">
        <v>-0.1174888</v>
      </c>
      <c r="Z4896">
        <v>3.7165660000000003E-2</v>
      </c>
      <c r="AA4896">
        <v>0.99237850000000005</v>
      </c>
      <c r="AB4896">
        <v>33</v>
      </c>
      <c r="AC4896">
        <v>2.8879000000000001</v>
      </c>
      <c r="AD4896">
        <v>-1.1211379194840001</v>
      </c>
      <c r="AE4896">
        <v>-22.122599999999998</v>
      </c>
      <c r="AF4896">
        <v>-2.6553243084365801</v>
      </c>
      <c r="AG4896">
        <v>-1.1211379194840001</v>
      </c>
      <c r="AH4896">
        <v>22.095118011959499</v>
      </c>
      <c r="AI4896">
        <v>92.884062149272694</v>
      </c>
      <c r="AJ4896">
        <v>96.852768832804998</v>
      </c>
      <c r="AK4896">
        <v>22.2823234286709</v>
      </c>
      <c r="AL4896">
        <v>79.146293087672603</v>
      </c>
      <c r="AM4896">
        <v>94.316315272403003</v>
      </c>
      <c r="AN4896">
        <v>1.00000004612341</v>
      </c>
    </row>
    <row r="4897" spans="1:40" x14ac:dyDescent="0.25">
      <c r="A4897" t="str">
        <f>"20190303162919660"</f>
        <v>20190303162919660</v>
      </c>
      <c r="B4897" t="str">
        <f>"1551601759647140"</f>
        <v>1551601759647140</v>
      </c>
      <c r="C4897" t="s">
        <v>40</v>
      </c>
      <c r="D4897">
        <v>4.7589839999999999</v>
      </c>
      <c r="E4897">
        <v>0.48271560000000002</v>
      </c>
      <c r="F4897" t="s">
        <v>57</v>
      </c>
      <c r="G4897">
        <v>-418.8802</v>
      </c>
      <c r="H4897" s="1">
        <v>-3.7528279999999998E-6</v>
      </c>
      <c r="I4897">
        <v>33.954250000000002</v>
      </c>
      <c r="J4897">
        <v>-421.72199999999998</v>
      </c>
      <c r="K4897">
        <v>1.121127</v>
      </c>
      <c r="L4897">
        <v>55.441740000000003</v>
      </c>
      <c r="M4897">
        <v>1.008475E-2</v>
      </c>
      <c r="N4897">
        <v>-1.2359530000000001E-2</v>
      </c>
      <c r="O4897">
        <v>-0.99987300000000001</v>
      </c>
      <c r="P4897">
        <v>8.5121150000000007E-2</v>
      </c>
      <c r="Q4897">
        <v>0.1756334</v>
      </c>
      <c r="R4897">
        <v>-0.98076920000000001</v>
      </c>
      <c r="S4897">
        <v>0.39816279999999998</v>
      </c>
      <c r="T4897">
        <v>-0.1569043</v>
      </c>
      <c r="U4897">
        <v>-3.0529169999999999</v>
      </c>
      <c r="V4897">
        <v>-7.5170819999999999E-2</v>
      </c>
      <c r="W4897">
        <v>0.18777369999999999</v>
      </c>
      <c r="X4897">
        <v>0.97933159999999997</v>
      </c>
      <c r="Y4897">
        <v>-0.11917510000000001</v>
      </c>
      <c r="Z4897">
        <v>3.8586130000000003E-2</v>
      </c>
      <c r="AA4897">
        <v>0.99212319999999998</v>
      </c>
      <c r="AB4897">
        <v>33</v>
      </c>
      <c r="AC4897">
        <v>2.8417999999999699</v>
      </c>
      <c r="AD4897">
        <v>-1.1211307528279999</v>
      </c>
      <c r="AE4897">
        <v>-21.487490000000001</v>
      </c>
      <c r="AF4897">
        <v>-2.6179386144177901</v>
      </c>
      <c r="AG4897">
        <v>-1.1211307528279999</v>
      </c>
      <c r="AH4897">
        <v>21.457647491342001</v>
      </c>
      <c r="AI4897">
        <v>92.968926089914703</v>
      </c>
      <c r="AJ4897">
        <v>96.955989300347198</v>
      </c>
      <c r="AK4897">
        <v>21.645811895525899</v>
      </c>
      <c r="AL4897">
        <v>79.177111685340194</v>
      </c>
      <c r="AM4897">
        <v>94.389261078628394</v>
      </c>
      <c r="AN4897">
        <v>0.999999998674861</v>
      </c>
    </row>
    <row r="4898" spans="1:40" x14ac:dyDescent="0.25">
      <c r="A4898" t="str">
        <f>"20190303162919684"</f>
        <v>20190303162919684</v>
      </c>
      <c r="B4898" t="str">
        <f>"1551601759676419"</f>
        <v>1551601759676419</v>
      </c>
      <c r="C4898" t="s">
        <v>40</v>
      </c>
      <c r="D4898">
        <v>4.7525940000000002</v>
      </c>
      <c r="E4898">
        <v>0.48285060000000002</v>
      </c>
      <c r="F4898" t="s">
        <v>57</v>
      </c>
      <c r="G4898">
        <v>-418.93509999999998</v>
      </c>
      <c r="H4898" s="1">
        <v>-3.6082489999999999E-6</v>
      </c>
      <c r="I4898">
        <v>34.214129999999997</v>
      </c>
      <c r="J4898">
        <v>-421.71870000000001</v>
      </c>
      <c r="K4898">
        <v>1.1211180000000001</v>
      </c>
      <c r="L4898">
        <v>55.095309999999998</v>
      </c>
      <c r="M4898">
        <v>9.9510229999999998E-3</v>
      </c>
      <c r="N4898">
        <v>-1.2359230000000001E-2</v>
      </c>
      <c r="O4898">
        <v>-0.99987420000000005</v>
      </c>
      <c r="P4898">
        <v>8.6203279999999993E-2</v>
      </c>
      <c r="Q4898">
        <v>0.17493889999999901</v>
      </c>
      <c r="R4898">
        <v>-0.98079870000000002</v>
      </c>
      <c r="S4898">
        <v>0.4008179</v>
      </c>
      <c r="T4898">
        <v>-0.16123899999999999</v>
      </c>
      <c r="U4898">
        <v>-3.0529169999999999</v>
      </c>
      <c r="V4898">
        <v>-7.6380719999999999E-2</v>
      </c>
      <c r="W4898">
        <v>0.187081</v>
      </c>
      <c r="X4898">
        <v>0.97937050000000003</v>
      </c>
      <c r="Y4898">
        <v>-0.1201475</v>
      </c>
      <c r="Z4898">
        <v>3.9984310000000002E-2</v>
      </c>
      <c r="AA4898">
        <v>0.99195049999999996</v>
      </c>
      <c r="AB4898">
        <v>33</v>
      </c>
      <c r="AC4898">
        <v>2.7836000000000301</v>
      </c>
      <c r="AD4898">
        <v>-1.1211216082490001</v>
      </c>
      <c r="AE4898">
        <v>-20.881180000000001</v>
      </c>
      <c r="AF4898">
        <v>-2.5683826670425498</v>
      </c>
      <c r="AG4898">
        <v>-1.1211216082490001</v>
      </c>
      <c r="AH4898">
        <v>20.848796851107</v>
      </c>
      <c r="AI4898">
        <v>93.055004432634306</v>
      </c>
      <c r="AJ4898">
        <v>97.022936282356298</v>
      </c>
      <c r="AK4898">
        <v>21.036297994741801</v>
      </c>
      <c r="AL4898">
        <v>79.217515929112196</v>
      </c>
      <c r="AM4898">
        <v>94.459448569965701</v>
      </c>
      <c r="AN4898">
        <v>0.99999994560948202</v>
      </c>
    </row>
    <row r="4899" spans="1:40" x14ac:dyDescent="0.25">
      <c r="A4899" t="str">
        <f>"20190303162919704"</f>
        <v>20190303162919704</v>
      </c>
      <c r="B4899" t="str">
        <f>"1551601759696915"</f>
        <v>1551601759696915</v>
      </c>
      <c r="C4899" t="s">
        <v>40</v>
      </c>
      <c r="D4899">
        <v>4.7352509999999999</v>
      </c>
      <c r="E4899">
        <v>0.48296099999999997</v>
      </c>
      <c r="F4899" t="s">
        <v>57</v>
      </c>
      <c r="G4899">
        <v>-419.01249999999999</v>
      </c>
      <c r="H4899" s="1">
        <v>-3.4004500000000002E-6</v>
      </c>
      <c r="I4899">
        <v>34.588250000000002</v>
      </c>
      <c r="J4899">
        <v>-421.71559999999999</v>
      </c>
      <c r="K4899">
        <v>1.121108</v>
      </c>
      <c r="L4899">
        <v>54.7746</v>
      </c>
      <c r="M4899">
        <v>9.8156779999999996E-3</v>
      </c>
      <c r="N4899">
        <v>-1.235896E-2</v>
      </c>
      <c r="O4899">
        <v>-0.99987559999999998</v>
      </c>
      <c r="P4899">
        <v>8.7338570000000004E-2</v>
      </c>
      <c r="Q4899">
        <v>0.17418149999999999</v>
      </c>
      <c r="R4899">
        <v>-0.98083310000000001</v>
      </c>
      <c r="S4899">
        <v>0.4028931</v>
      </c>
      <c r="T4899">
        <v>-0.16691320000000001</v>
      </c>
      <c r="U4899">
        <v>-3.0531009999999998</v>
      </c>
      <c r="V4899">
        <v>-7.7644959999999999E-2</v>
      </c>
      <c r="W4899">
        <v>0.18632589999999999</v>
      </c>
      <c r="X4899">
        <v>0.97941509999999998</v>
      </c>
      <c r="Y4899">
        <v>-0.1209254</v>
      </c>
      <c r="Z4899">
        <v>4.1813459999999997E-2</v>
      </c>
      <c r="AA4899">
        <v>0.99178060000000001</v>
      </c>
      <c r="AB4899">
        <v>33</v>
      </c>
      <c r="AC4899">
        <v>2.7031000000000001</v>
      </c>
      <c r="AD4899">
        <v>-1.12111140045</v>
      </c>
      <c r="AE4899">
        <v>-20.186350000000001</v>
      </c>
      <c r="AF4899">
        <v>-2.4972449267930799</v>
      </c>
      <c r="AG4899">
        <v>-1.12111140045</v>
      </c>
      <c r="AH4899">
        <v>20.150852137386</v>
      </c>
      <c r="AI4899">
        <v>93.160295134786494</v>
      </c>
      <c r="AJ4899">
        <v>97.064504596578004</v>
      </c>
      <c r="AK4899">
        <v>20.335927932096102</v>
      </c>
      <c r="AL4899">
        <v>79.261555027000099</v>
      </c>
      <c r="AM4899">
        <v>94.532749876865196</v>
      </c>
      <c r="AN4899">
        <v>1.0000000094661099</v>
      </c>
    </row>
    <row r="4900" spans="1:40" x14ac:dyDescent="0.25">
      <c r="A4900" t="str">
        <f>"20190303162919727"</f>
        <v>20190303162919727</v>
      </c>
      <c r="B4900" t="str">
        <f>"1551601759716436"</f>
        <v>1551601759716436</v>
      </c>
      <c r="C4900" t="s">
        <v>40</v>
      </c>
      <c r="D4900">
        <v>4.7314879999999997</v>
      </c>
      <c r="E4900">
        <v>0.48306009999999999</v>
      </c>
      <c r="F4900" t="s">
        <v>57</v>
      </c>
      <c r="G4900">
        <v>-419.06939999999997</v>
      </c>
      <c r="H4900" s="1">
        <v>-3.2669929999999998E-6</v>
      </c>
      <c r="I4900">
        <v>34.811129999999999</v>
      </c>
      <c r="J4900">
        <v>-421.71260000000001</v>
      </c>
      <c r="K4900">
        <v>1.1210960000000001</v>
      </c>
      <c r="L4900">
        <v>54.450499999999998</v>
      </c>
      <c r="M4900">
        <v>9.6703499999999994E-3</v>
      </c>
      <c r="N4900">
        <v>-1.2358650000000001E-2</v>
      </c>
      <c r="O4900">
        <v>-0.99987700000000002</v>
      </c>
      <c r="P4900">
        <v>8.8279720000000006E-2</v>
      </c>
      <c r="Q4900">
        <v>0.1741026</v>
      </c>
      <c r="R4900">
        <v>-0.98076260000000004</v>
      </c>
      <c r="S4900">
        <v>0.40469359999999999</v>
      </c>
      <c r="T4900">
        <v>-0.17145299999999999</v>
      </c>
      <c r="U4900">
        <v>-3.0530400000000002</v>
      </c>
      <c r="V4900">
        <v>-7.8725840000000005E-2</v>
      </c>
      <c r="W4900">
        <v>0.18624760000000001</v>
      </c>
      <c r="X4900">
        <v>0.97934370000000004</v>
      </c>
      <c r="Y4900">
        <v>-0.1216375</v>
      </c>
      <c r="Z4900">
        <v>4.3279520000000002E-2</v>
      </c>
      <c r="AA4900">
        <v>0.99163060000000003</v>
      </c>
      <c r="AB4900">
        <v>33</v>
      </c>
      <c r="AC4900">
        <v>2.64320000000003</v>
      </c>
      <c r="AD4900">
        <v>-1.12109926699299</v>
      </c>
      <c r="AE4900">
        <v>-19.63937</v>
      </c>
      <c r="AF4900">
        <v>-2.4453157514464898</v>
      </c>
      <c r="AG4900">
        <v>-1.12109926699299</v>
      </c>
      <c r="AH4900">
        <v>19.6012775345291</v>
      </c>
      <c r="AI4900">
        <v>93.248352618811495</v>
      </c>
      <c r="AJ4900">
        <v>97.111074612704002</v>
      </c>
      <c r="AK4900">
        <v>19.785007295332498</v>
      </c>
      <c r="AL4900">
        <v>79.266121162426202</v>
      </c>
      <c r="AM4900">
        <v>94.5959145581363</v>
      </c>
      <c r="AN4900">
        <v>1.0000000045595701</v>
      </c>
    </row>
    <row r="4901" spans="1:40" x14ac:dyDescent="0.25">
      <c r="A4901" t="str">
        <f>"20190303162919749"</f>
        <v>20190303162919749</v>
      </c>
      <c r="B4901" t="str">
        <f>"1551601759736932"</f>
        <v>1551601759736932</v>
      </c>
      <c r="C4901" t="s">
        <v>40</v>
      </c>
      <c r="D4901">
        <v>4.7274909999999997</v>
      </c>
      <c r="E4901">
        <v>0.48310789999999998</v>
      </c>
      <c r="F4901" t="s">
        <v>57</v>
      </c>
      <c r="G4901">
        <v>-419.09570000000002</v>
      </c>
      <c r="H4901" s="1">
        <v>-3.2868200000000002E-6</v>
      </c>
      <c r="I4901">
        <v>34.764200000000002</v>
      </c>
      <c r="J4901">
        <v>-421.70949999999999</v>
      </c>
      <c r="K4901">
        <v>1.1210880000000001</v>
      </c>
      <c r="L4901">
        <v>54.113309999999998</v>
      </c>
      <c r="M4901">
        <v>9.5107439999999998E-3</v>
      </c>
      <c r="N4901">
        <v>-1.235824E-2</v>
      </c>
      <c r="O4901">
        <v>-0.9998785</v>
      </c>
      <c r="P4901">
        <v>8.9508939999999995E-2</v>
      </c>
      <c r="Q4901">
        <v>0.1739685</v>
      </c>
      <c r="R4901">
        <v>-0.98067499999999996</v>
      </c>
      <c r="S4901">
        <v>0.40585329999999997</v>
      </c>
      <c r="T4901">
        <v>-0.1738738</v>
      </c>
      <c r="U4901">
        <v>-3.0531920000000001</v>
      </c>
      <c r="V4901">
        <v>-8.0109189999999997E-2</v>
      </c>
      <c r="W4901">
        <v>0.18611359999999999</v>
      </c>
      <c r="X4901">
        <v>0.97925700000000004</v>
      </c>
      <c r="Y4901">
        <v>-0.12215429999999999</v>
      </c>
      <c r="Z4901">
        <v>4.4057209999999999E-2</v>
      </c>
      <c r="AA4901">
        <v>0.99153279999999999</v>
      </c>
      <c r="AB4901">
        <v>33</v>
      </c>
      <c r="AC4901">
        <v>2.6137999999999599</v>
      </c>
      <c r="AD4901">
        <v>-1.12109128681999</v>
      </c>
      <c r="AE4901">
        <v>-19.34911</v>
      </c>
      <c r="AF4901">
        <v>-2.4216593187919</v>
      </c>
      <c r="AG4901">
        <v>-1.12109128681999</v>
      </c>
      <c r="AH4901">
        <v>19.309434473994099</v>
      </c>
      <c r="AI4901">
        <v>93.2970497468947</v>
      </c>
      <c r="AJ4901">
        <v>97.148329500755693</v>
      </c>
      <c r="AK4901">
        <v>19.492961274140601</v>
      </c>
      <c r="AL4901">
        <v>79.273935519212102</v>
      </c>
      <c r="AM4901">
        <v>94.676729871528096</v>
      </c>
      <c r="AN4901">
        <v>1.0000000132382001</v>
      </c>
    </row>
    <row r="4902" spans="1:40" x14ac:dyDescent="0.25">
      <c r="A4902" t="str">
        <f>"20190303162919774"</f>
        <v>20190303162919774</v>
      </c>
      <c r="B4902" t="str">
        <f>"1551601759767188"</f>
        <v>1551601759767188</v>
      </c>
      <c r="C4902" t="s">
        <v>40</v>
      </c>
      <c r="D4902">
        <v>4.6931839999999996</v>
      </c>
      <c r="E4902">
        <v>0.48327369999999997</v>
      </c>
      <c r="F4902" t="s">
        <v>57</v>
      </c>
      <c r="G4902">
        <v>-419.10669999999999</v>
      </c>
      <c r="H4902" s="1">
        <v>-3.3407519999999998E-6</v>
      </c>
      <c r="I4902">
        <v>34.661149999999999</v>
      </c>
      <c r="J4902">
        <v>-421.70639999999997</v>
      </c>
      <c r="K4902">
        <v>1.121086</v>
      </c>
      <c r="L4902">
        <v>53.765749999999997</v>
      </c>
      <c r="M4902">
        <v>9.3358469999999995E-3</v>
      </c>
      <c r="N4902">
        <v>-1.2357760000000001E-2</v>
      </c>
      <c r="O4902">
        <v>-0.9998802</v>
      </c>
      <c r="P4902">
        <v>9.0340630000000005E-2</v>
      </c>
      <c r="Q4902">
        <v>0.17418420000000001</v>
      </c>
      <c r="R4902">
        <v>-0.98056049999999995</v>
      </c>
      <c r="S4902">
        <v>0.40850829999999999</v>
      </c>
      <c r="T4902">
        <v>-0.17595659999999999</v>
      </c>
      <c r="U4902">
        <v>-3.0530400000000002</v>
      </c>
      <c r="V4902">
        <v>-8.1109699999999896E-2</v>
      </c>
      <c r="W4902">
        <v>0.18632960000000001</v>
      </c>
      <c r="X4902">
        <v>0.97913349999999999</v>
      </c>
      <c r="Y4902">
        <v>-0.1231766</v>
      </c>
      <c r="Z4902">
        <v>4.4727429999999999E-2</v>
      </c>
      <c r="AA4902">
        <v>0.99137629999999999</v>
      </c>
      <c r="AB4902">
        <v>33</v>
      </c>
      <c r="AC4902">
        <v>2.5996999999999799</v>
      </c>
      <c r="AD4902">
        <v>-1.121089340752</v>
      </c>
      <c r="AE4902">
        <v>-19.104600000000001</v>
      </c>
      <c r="AF4902">
        <v>-2.4130570916487599</v>
      </c>
      <c r="AG4902">
        <v>-1.121089340752</v>
      </c>
      <c r="AH4902">
        <v>19.063586880705898</v>
      </c>
      <c r="AI4902">
        <v>93.338985855775903</v>
      </c>
      <c r="AJ4902">
        <v>97.214098835049896</v>
      </c>
      <c r="AK4902">
        <v>19.248377349681299</v>
      </c>
      <c r="AL4902">
        <v>79.261338684318403</v>
      </c>
      <c r="AM4902">
        <v>94.7354696533545</v>
      </c>
      <c r="AN4902">
        <v>0.999999957046249</v>
      </c>
    </row>
    <row r="4903" spans="1:40" x14ac:dyDescent="0.25">
      <c r="A4903" t="str">
        <f>"20190303162919795"</f>
        <v>20190303162919795</v>
      </c>
      <c r="B4903" t="str">
        <f>"1551601759786708"</f>
        <v>1551601759786708</v>
      </c>
      <c r="C4903" t="s">
        <v>40</v>
      </c>
      <c r="D4903">
        <v>4.7365089999999999</v>
      </c>
      <c r="E4903">
        <v>0.48338409999999898</v>
      </c>
      <c r="F4903" t="s">
        <v>57</v>
      </c>
      <c r="G4903">
        <v>-419.11790000000002</v>
      </c>
      <c r="H4903" s="1">
        <v>-3.4435300000000001E-6</v>
      </c>
      <c r="I4903">
        <v>34.45787</v>
      </c>
      <c r="J4903">
        <v>-421.70359999999999</v>
      </c>
      <c r="K4903">
        <v>1.1210719999999901</v>
      </c>
      <c r="L4903">
        <v>53.444339999999997</v>
      </c>
      <c r="M4903">
        <v>9.1654619999999992E-3</v>
      </c>
      <c r="N4903">
        <v>-1.2357379999999999E-2</v>
      </c>
      <c r="O4903">
        <v>-0.99988189999999999</v>
      </c>
      <c r="P4903">
        <v>9.0551389999999995E-2</v>
      </c>
      <c r="Q4903">
        <v>0.17439649999999901</v>
      </c>
      <c r="R4903">
        <v>-0.98050349999999997</v>
      </c>
      <c r="S4903">
        <v>0.40933229999999998</v>
      </c>
      <c r="T4903">
        <v>-0.17728360000000001</v>
      </c>
      <c r="U4903">
        <v>-3.0532530000000002</v>
      </c>
      <c r="V4903">
        <v>-8.1484989999999993E-2</v>
      </c>
      <c r="W4903">
        <v>0.18654229999999999</v>
      </c>
      <c r="X4903">
        <v>0.97906190000000004</v>
      </c>
      <c r="Y4903">
        <v>-0.1235964</v>
      </c>
      <c r="Z4903">
        <v>4.5150500000000003E-2</v>
      </c>
      <c r="AA4903">
        <v>0.99130490000000004</v>
      </c>
      <c r="AB4903">
        <v>33</v>
      </c>
      <c r="AC4903">
        <v>2.5856999999999699</v>
      </c>
      <c r="AD4903">
        <v>-1.1210754435300001</v>
      </c>
      <c r="AE4903">
        <v>-18.986470000000001</v>
      </c>
      <c r="AF4903">
        <v>-2.4033318831961199</v>
      </c>
      <c r="AG4903">
        <v>-1.1210754435300001</v>
      </c>
      <c r="AH4903">
        <v>18.944527189797199</v>
      </c>
      <c r="AI4903">
        <v>93.359762767076305</v>
      </c>
      <c r="AJ4903">
        <v>97.230009631448596</v>
      </c>
      <c r="AK4903">
        <v>19.129242659756301</v>
      </c>
      <c r="AL4903">
        <v>79.248935058659697</v>
      </c>
      <c r="AM4903">
        <v>94.757626379349801</v>
      </c>
      <c r="AN4903">
        <v>1.0000000186581</v>
      </c>
    </row>
    <row r="4904" spans="1:40" x14ac:dyDescent="0.25">
      <c r="A4904" t="str">
        <f>"20190303162919818"</f>
        <v>20190303162919818</v>
      </c>
      <c r="B4904" t="str">
        <f>"1551601759807203"</f>
        <v>1551601759807203</v>
      </c>
      <c r="C4904" t="s">
        <v>40</v>
      </c>
      <c r="D4904">
        <v>4.6963910000000002</v>
      </c>
      <c r="E4904">
        <v>0.48347240000000002</v>
      </c>
      <c r="F4904" t="s">
        <v>57</v>
      </c>
      <c r="G4904">
        <v>-419.13159999999999</v>
      </c>
      <c r="H4904" s="1">
        <v>-3.5379250000000001E-6</v>
      </c>
      <c r="I4904">
        <v>34.266620000000003</v>
      </c>
      <c r="J4904">
        <v>-421.70049999999998</v>
      </c>
      <c r="K4904">
        <v>1.12107</v>
      </c>
      <c r="L4904">
        <v>53.091740000000001</v>
      </c>
      <c r="M4904">
        <v>8.971873E-3</v>
      </c>
      <c r="N4904">
        <v>-1.235696E-2</v>
      </c>
      <c r="O4904">
        <v>-0.99988379999999999</v>
      </c>
      <c r="P4904">
        <v>9.0695799999999993E-2</v>
      </c>
      <c r="Q4904">
        <v>0.1741055</v>
      </c>
      <c r="R4904">
        <v>-0.98054189999999997</v>
      </c>
      <c r="S4904">
        <v>0.40951539999999997</v>
      </c>
      <c r="T4904">
        <v>-0.17850239999999901</v>
      </c>
      <c r="U4904">
        <v>-3.0535580000000002</v>
      </c>
      <c r="V4904">
        <v>-8.1815910000000006E-2</v>
      </c>
      <c r="W4904">
        <v>0.18625230000000001</v>
      </c>
      <c r="X4904">
        <v>0.97908949999999995</v>
      </c>
      <c r="Y4904">
        <v>-0.1238311</v>
      </c>
      <c r="Z4904">
        <v>4.5538240000000001E-2</v>
      </c>
      <c r="AA4904">
        <v>0.99125779999999997</v>
      </c>
      <c r="AB4904">
        <v>33</v>
      </c>
      <c r="AC4904">
        <v>2.5688999999999802</v>
      </c>
      <c r="AD4904">
        <v>-1.1210735379250001</v>
      </c>
      <c r="AE4904">
        <v>-18.825119999999998</v>
      </c>
      <c r="AF4904">
        <v>-2.3915607015884301</v>
      </c>
      <c r="AG4904">
        <v>-1.1210735379250001</v>
      </c>
      <c r="AH4904">
        <v>18.782020187395901</v>
      </c>
      <c r="AI4904">
        <v>93.388559991851594</v>
      </c>
      <c r="AJ4904">
        <v>97.256562068444595</v>
      </c>
      <c r="AK4904">
        <v>18.9668302777919</v>
      </c>
      <c r="AL4904">
        <v>79.265847088772801</v>
      </c>
      <c r="AM4904">
        <v>94.776724388915397</v>
      </c>
      <c r="AN4904">
        <v>1.0000000056973299</v>
      </c>
    </row>
    <row r="4905" spans="1:40" x14ac:dyDescent="0.25">
      <c r="A4905" t="str">
        <f>"20190303162919839"</f>
        <v>20190303162919839</v>
      </c>
      <c r="B4905" t="str">
        <f>"1551601759826723"</f>
        <v>1551601759826723</v>
      </c>
      <c r="C4905" t="s">
        <v>40</v>
      </c>
      <c r="D4905">
        <v>4.6969949999999896</v>
      </c>
      <c r="E4905">
        <v>0.48360409999999998</v>
      </c>
      <c r="F4905" t="s">
        <v>57</v>
      </c>
      <c r="G4905">
        <v>-419.16390000000001</v>
      </c>
      <c r="H4905" s="1">
        <v>-3.5816839999999999E-6</v>
      </c>
      <c r="I4905">
        <v>34.166679999999999</v>
      </c>
      <c r="J4905">
        <v>-421.69799999999998</v>
      </c>
      <c r="K4905">
        <v>1.1210599999999999</v>
      </c>
      <c r="L4905">
        <v>52.786650000000002</v>
      </c>
      <c r="M4905">
        <v>8.8013550000000003E-3</v>
      </c>
      <c r="N4905">
        <v>-1.2356610000000001E-2</v>
      </c>
      <c r="O4905">
        <v>-0.99988520000000003</v>
      </c>
      <c r="P4905">
        <v>9.0940939999999998E-2</v>
      </c>
      <c r="Q4905">
        <v>0.17358889999999999</v>
      </c>
      <c r="R4905">
        <v>-0.98061069999999995</v>
      </c>
      <c r="S4905">
        <v>0.40930179999999999</v>
      </c>
      <c r="T4905">
        <v>-0.1808978</v>
      </c>
      <c r="U4905">
        <v>-3.0537719999999999</v>
      </c>
      <c r="V4905">
        <v>-8.2226489999999999E-2</v>
      </c>
      <c r="W4905">
        <v>0.1857374</v>
      </c>
      <c r="X4905">
        <v>0.97915289999999999</v>
      </c>
      <c r="Y4905">
        <v>-0.12391779999999999</v>
      </c>
      <c r="Z4905">
        <v>4.6308920000000003E-2</v>
      </c>
      <c r="AA4905">
        <v>0.99121130000000002</v>
      </c>
      <c r="AB4905">
        <v>33</v>
      </c>
      <c r="AC4905">
        <v>2.53410000000002</v>
      </c>
      <c r="AD4905">
        <v>-1.121063581684</v>
      </c>
      <c r="AE4905">
        <v>-18.619969999999999</v>
      </c>
      <c r="AF4905">
        <v>-2.36170301963107</v>
      </c>
      <c r="AG4905">
        <v>-1.121063581684</v>
      </c>
      <c r="AH4905">
        <v>18.575443272211899</v>
      </c>
      <c r="AI4905">
        <v>93.426206304027303</v>
      </c>
      <c r="AJ4905">
        <v>97.245775231662705</v>
      </c>
      <c r="AK4905">
        <v>18.758505203407701</v>
      </c>
      <c r="AL4905">
        <v>79.295872434136399</v>
      </c>
      <c r="AM4905">
        <v>94.800274476545596</v>
      </c>
      <c r="AN4905">
        <v>0.99999998949744495</v>
      </c>
    </row>
    <row r="4906" spans="1:40" x14ac:dyDescent="0.25">
      <c r="A4906" t="str">
        <f>"20190303162919861"</f>
        <v>20190303162919861</v>
      </c>
      <c r="B4906" t="str">
        <f>"1551601759856959"</f>
        <v>1551601759856959</v>
      </c>
      <c r="C4906" t="s">
        <v>40</v>
      </c>
      <c r="D4906">
        <v>4.7473109999999998</v>
      </c>
      <c r="E4906">
        <v>0.48368729999999999</v>
      </c>
      <c r="F4906" t="s">
        <v>57</v>
      </c>
      <c r="G4906">
        <v>-419.2079</v>
      </c>
      <c r="H4906" s="1">
        <v>-3.5624540000000002E-6</v>
      </c>
      <c r="I4906">
        <v>34.185270000000003</v>
      </c>
      <c r="J4906">
        <v>-421.69529999999997</v>
      </c>
      <c r="K4906">
        <v>1.121057</v>
      </c>
      <c r="L4906">
        <v>52.46161</v>
      </c>
      <c r="M4906">
        <v>8.6172760000000001E-3</v>
      </c>
      <c r="N4906">
        <v>-1.2356239999999999E-2</v>
      </c>
      <c r="O4906">
        <v>-0.99988690000000002</v>
      </c>
      <c r="P4906">
        <v>9.1768799999999998E-2</v>
      </c>
      <c r="Q4906">
        <v>0.17313819999999999</v>
      </c>
      <c r="R4906">
        <v>-0.98061319999999996</v>
      </c>
      <c r="S4906">
        <v>0.4088135</v>
      </c>
      <c r="T4906">
        <v>-0.1840569</v>
      </c>
      <c r="U4906">
        <v>-3.0539860000000001</v>
      </c>
      <c r="V4906">
        <v>-8.3233730000000006E-2</v>
      </c>
      <c r="W4906">
        <v>0.1852876</v>
      </c>
      <c r="X4906">
        <v>0.97915300000000005</v>
      </c>
      <c r="Y4906">
        <v>-0.1239285</v>
      </c>
      <c r="Z4906">
        <v>4.7326819999999999E-2</v>
      </c>
      <c r="AA4906">
        <v>0.99116190000000004</v>
      </c>
      <c r="AB4906">
        <v>33</v>
      </c>
      <c r="AC4906">
        <v>2.4873999999999801</v>
      </c>
      <c r="AD4906">
        <v>-1.121060562454</v>
      </c>
      <c r="AE4906">
        <v>-18.276340000000001</v>
      </c>
      <c r="AF4906">
        <v>-2.3212285451055901</v>
      </c>
      <c r="AG4906">
        <v>-1.121060562454</v>
      </c>
      <c r="AH4906">
        <v>18.229754982560301</v>
      </c>
      <c r="AI4906">
        <v>93.490925247780893</v>
      </c>
      <c r="AJ4906">
        <v>97.256528439179306</v>
      </c>
      <c r="AK4906">
        <v>18.411106579113799</v>
      </c>
      <c r="AL4906">
        <v>79.322099146580896</v>
      </c>
      <c r="AM4906">
        <v>94.858795517968701</v>
      </c>
      <c r="AN4906">
        <v>0.99999997296623599</v>
      </c>
    </row>
    <row r="4907" spans="1:40" x14ac:dyDescent="0.25">
      <c r="A4907" t="str">
        <f>"20190303162919885"</f>
        <v>20190303162919885</v>
      </c>
      <c r="B4907" t="str">
        <f>"1551601759876479"</f>
        <v>1551601759876479</v>
      </c>
      <c r="C4907" t="s">
        <v>40</v>
      </c>
      <c r="D4907">
        <v>4.7451129999999999</v>
      </c>
      <c r="E4907">
        <v>0.48378589999999999</v>
      </c>
      <c r="F4907" t="s">
        <v>57</v>
      </c>
      <c r="G4907">
        <v>-419.2491</v>
      </c>
      <c r="H4907" s="1">
        <v>-3.532197E-6</v>
      </c>
      <c r="I4907">
        <v>34.226730000000003</v>
      </c>
      <c r="J4907">
        <v>-421.69260000000003</v>
      </c>
      <c r="K4907">
        <v>1.121043</v>
      </c>
      <c r="L4907">
        <v>52.12753</v>
      </c>
      <c r="M4907">
        <v>8.4261839999999998E-3</v>
      </c>
      <c r="N4907">
        <v>-1.2355710000000001E-2</v>
      </c>
      <c r="O4907">
        <v>-0.99988829999999995</v>
      </c>
      <c r="P4907">
        <v>9.2320260000000001E-2</v>
      </c>
      <c r="Q4907">
        <v>0.17246249999999999</v>
      </c>
      <c r="R4907">
        <v>-0.9806802</v>
      </c>
      <c r="S4907">
        <v>0.40969850000000002</v>
      </c>
      <c r="T4907">
        <v>-0.18776509999999999</v>
      </c>
      <c r="U4907">
        <v>-3.054138</v>
      </c>
      <c r="V4907">
        <v>-8.3971519999999994E-2</v>
      </c>
      <c r="W4907">
        <v>0.18461279999999999</v>
      </c>
      <c r="X4907">
        <v>0.97921749999999996</v>
      </c>
      <c r="Y4907">
        <v>-0.1243851</v>
      </c>
      <c r="Z4907">
        <v>4.8519760000000002E-2</v>
      </c>
      <c r="AA4907">
        <v>0.99104700000000001</v>
      </c>
      <c r="AB4907">
        <v>33</v>
      </c>
      <c r="AC4907">
        <v>2.4435000000000202</v>
      </c>
      <c r="AD4907">
        <v>-1.121046532197</v>
      </c>
      <c r="AE4907">
        <v>-17.9008</v>
      </c>
      <c r="AF4907">
        <v>-2.2837732990086601</v>
      </c>
      <c r="AG4907">
        <v>-1.121046532197</v>
      </c>
      <c r="AH4907">
        <v>17.8520212805292</v>
      </c>
      <c r="AI4907">
        <v>93.5642911299324</v>
      </c>
      <c r="AJ4907">
        <v>97.290137224321001</v>
      </c>
      <c r="AK4907">
        <v>18.032388350107301</v>
      </c>
      <c r="AL4907">
        <v>79.361441440020101</v>
      </c>
      <c r="AM4907">
        <v>94.90133403147</v>
      </c>
      <c r="AN4907">
        <v>1.0000000072005999</v>
      </c>
    </row>
    <row r="4908" spans="1:40" x14ac:dyDescent="0.25">
      <c r="A4908" t="str">
        <f>"20190303162919905"</f>
        <v>20190303162919905</v>
      </c>
      <c r="B4908" t="str">
        <f>"1551601759896975"</f>
        <v>1551601759896975</v>
      </c>
      <c r="C4908" t="s">
        <v>40</v>
      </c>
      <c r="D4908">
        <v>4.7587679999999999</v>
      </c>
      <c r="E4908">
        <v>0.48387350000000001</v>
      </c>
      <c r="F4908" t="s">
        <v>57</v>
      </c>
      <c r="G4908">
        <v>-419.28829999999999</v>
      </c>
      <c r="H4908" s="1">
        <v>-3.5223900000000001E-6</v>
      </c>
      <c r="I4908">
        <v>34.228920000000002</v>
      </c>
      <c r="J4908">
        <v>-421.69</v>
      </c>
      <c r="K4908">
        <v>1.12104</v>
      </c>
      <c r="L4908">
        <v>51.798029999999997</v>
      </c>
      <c r="M4908">
        <v>8.2408689999999996E-3</v>
      </c>
      <c r="N4908">
        <v>-1.234997E-2</v>
      </c>
      <c r="O4908">
        <v>-0.99988969999999999</v>
      </c>
      <c r="P4908">
        <v>9.312484E-2</v>
      </c>
      <c r="Q4908">
        <v>0.17208409999999999</v>
      </c>
      <c r="R4908">
        <v>-0.98067059999999995</v>
      </c>
      <c r="S4908">
        <v>0.4102478</v>
      </c>
      <c r="T4908">
        <v>-0.1912884</v>
      </c>
      <c r="U4908">
        <v>-3.0541079999999998</v>
      </c>
      <c r="V4908">
        <v>-8.4958729999999996E-2</v>
      </c>
      <c r="W4908">
        <v>0.18422849999999999</v>
      </c>
      <c r="X4908">
        <v>0.97920469999999904</v>
      </c>
      <c r="Y4908">
        <v>-0.12473679999999999</v>
      </c>
      <c r="Z4908">
        <v>4.9662199999999997E-2</v>
      </c>
      <c r="AA4908">
        <v>0.9909462</v>
      </c>
      <c r="AB4908">
        <v>33</v>
      </c>
      <c r="AC4908">
        <v>2.4016999999999999</v>
      </c>
      <c r="AD4908">
        <v>-1.1210435223899999</v>
      </c>
      <c r="AE4908">
        <v>-17.569109999999899</v>
      </c>
      <c r="AF4908">
        <v>-2.2478386447116598</v>
      </c>
      <c r="AG4908">
        <v>-1.1210435223899999</v>
      </c>
      <c r="AH4908">
        <v>17.518291069075602</v>
      </c>
      <c r="AI4908">
        <v>93.631826308476803</v>
      </c>
      <c r="AJ4908">
        <v>97.311885674950204</v>
      </c>
      <c r="AK4908">
        <v>17.697458550102699</v>
      </c>
      <c r="AL4908">
        <v>79.383844242652899</v>
      </c>
      <c r="AM4908">
        <v>94.958735348446695</v>
      </c>
      <c r="AN4908">
        <v>0.99999998525877598</v>
      </c>
    </row>
    <row r="4909" spans="1:40" x14ac:dyDescent="0.25">
      <c r="A4909" t="str">
        <f>"20190303162919928"</f>
        <v>20190303162919928</v>
      </c>
      <c r="B4909" t="str">
        <f>"1551601759916495"</f>
        <v>1551601759916495</v>
      </c>
      <c r="C4909" t="s">
        <v>40</v>
      </c>
      <c r="D4909">
        <v>4.7396089999999997</v>
      </c>
      <c r="E4909">
        <v>0.48397109999999899</v>
      </c>
      <c r="F4909" t="s">
        <v>57</v>
      </c>
      <c r="G4909">
        <v>-419.3082</v>
      </c>
      <c r="H4909" s="1">
        <v>-3.5683479999999998E-6</v>
      </c>
      <c r="I4909">
        <v>34.130070000000003</v>
      </c>
      <c r="J4909">
        <v>-421.6875</v>
      </c>
      <c r="K4909">
        <v>1.121041</v>
      </c>
      <c r="L4909">
        <v>51.470550000000003</v>
      </c>
      <c r="M4909">
        <v>8.0582559999999998E-3</v>
      </c>
      <c r="N4909">
        <v>-1.234084E-2</v>
      </c>
      <c r="O4909">
        <v>-0.99989159999999999</v>
      </c>
      <c r="P4909">
        <v>9.4113160000000001E-2</v>
      </c>
      <c r="Q4909">
        <v>0.17220389999999999</v>
      </c>
      <c r="R4909">
        <v>-0.98055539999999997</v>
      </c>
      <c r="S4909">
        <v>0.41171259999999998</v>
      </c>
      <c r="T4909">
        <v>-0.19378110000000001</v>
      </c>
      <c r="U4909">
        <v>-3.0540470000000002</v>
      </c>
      <c r="V4909">
        <v>-8.6127889999999999E-2</v>
      </c>
      <c r="W4909">
        <v>0.18433859999999999</v>
      </c>
      <c r="X4909">
        <v>0.97908189999999995</v>
      </c>
      <c r="Y4909">
        <v>-0.1253812</v>
      </c>
      <c r="Z4909">
        <v>5.0473160000000003E-2</v>
      </c>
      <c r="AA4909">
        <v>0.99082389999999998</v>
      </c>
      <c r="AB4909">
        <v>33</v>
      </c>
      <c r="AC4909">
        <v>2.3793000000000002</v>
      </c>
      <c r="AD4909">
        <v>-1.1210445683479999</v>
      </c>
      <c r="AE4909">
        <v>-17.340479999999999</v>
      </c>
      <c r="AF4909">
        <v>-2.2303287107317802</v>
      </c>
      <c r="AG4909">
        <v>-1.1210445683479999</v>
      </c>
      <c r="AH4909">
        <v>17.288170793436102</v>
      </c>
      <c r="AI4909">
        <v>93.679717588699404</v>
      </c>
      <c r="AJ4909">
        <v>97.351065607116794</v>
      </c>
      <c r="AK4909">
        <v>17.467454206757001</v>
      </c>
      <c r="AL4909">
        <v>79.377426748284705</v>
      </c>
      <c r="AM4909">
        <v>95.027254980356005</v>
      </c>
      <c r="AN4909">
        <v>1.0000000498967001</v>
      </c>
    </row>
    <row r="4910" spans="1:40" x14ac:dyDescent="0.25">
      <c r="A4910" t="str">
        <f>"20190303162919951"</f>
        <v>20190303162919951</v>
      </c>
      <c r="B4910" t="str">
        <f>"1551601759947342"</f>
        <v>1551601759947342</v>
      </c>
      <c r="C4910" t="s">
        <v>40</v>
      </c>
      <c r="D4910">
        <v>4.7773529999999997</v>
      </c>
      <c r="E4910">
        <v>0.48404770000000003</v>
      </c>
      <c r="F4910" t="s">
        <v>57</v>
      </c>
      <c r="G4910">
        <v>-419.30119999999999</v>
      </c>
      <c r="H4910" s="1">
        <v>-3.7050659999999998E-6</v>
      </c>
      <c r="I4910">
        <v>33.864809999999999</v>
      </c>
      <c r="J4910">
        <v>-421.685</v>
      </c>
      <c r="K4910">
        <v>1.1210389999999999</v>
      </c>
      <c r="L4910">
        <v>51.139740000000003</v>
      </c>
      <c r="M4910">
        <v>7.8748740000000005E-3</v>
      </c>
      <c r="N4910">
        <v>-1.2329440000000001E-2</v>
      </c>
      <c r="O4910">
        <v>-0.99989329999999998</v>
      </c>
      <c r="P4910">
        <v>9.5448459999999999E-2</v>
      </c>
      <c r="Q4910">
        <v>0.1721444</v>
      </c>
      <c r="R4910">
        <v>-0.980437</v>
      </c>
      <c r="S4910">
        <v>0.41394039999999999</v>
      </c>
      <c r="T4910">
        <v>-0.19445850000000001</v>
      </c>
      <c r="U4910">
        <v>-3.053925</v>
      </c>
      <c r="V4910">
        <v>-8.7644899999999998E-2</v>
      </c>
      <c r="W4910">
        <v>0.18426600000000001</v>
      </c>
      <c r="X4910">
        <v>0.97896090000000002</v>
      </c>
      <c r="Y4910">
        <v>-0.1262761</v>
      </c>
      <c r="Z4910">
        <v>5.0699170000000002E-2</v>
      </c>
      <c r="AA4910">
        <v>0.99069870000000004</v>
      </c>
      <c r="AB4910">
        <v>33</v>
      </c>
      <c r="AC4910">
        <v>2.3837999999999999</v>
      </c>
      <c r="AD4910">
        <v>-1.1210427050659999</v>
      </c>
      <c r="AE4910">
        <v>-17.274930000000001</v>
      </c>
      <c r="AF4910">
        <v>-2.23842743109177</v>
      </c>
      <c r="AG4910">
        <v>-1.1210427050659999</v>
      </c>
      <c r="AH4910">
        <v>17.2219967866289</v>
      </c>
      <c r="AI4910">
        <v>93.693358255964</v>
      </c>
      <c r="AJ4910">
        <v>97.405498295973103</v>
      </c>
      <c r="AK4910">
        <v>17.4030016787192</v>
      </c>
      <c r="AL4910">
        <v>79.3816585508618</v>
      </c>
      <c r="AM4910">
        <v>95.115965480359705</v>
      </c>
      <c r="AN4910">
        <v>1.0000000154904001</v>
      </c>
    </row>
    <row r="4911" spans="1:40" x14ac:dyDescent="0.25">
      <c r="A4911" t="str">
        <f>"20190303162919973"</f>
        <v>20190303162919973</v>
      </c>
      <c r="B4911" t="str">
        <f>"1551601759966862"</f>
        <v>1551601759966862</v>
      </c>
      <c r="C4911" t="s">
        <v>40</v>
      </c>
      <c r="D4911">
        <v>4.8210499999999996</v>
      </c>
      <c r="E4911">
        <v>0.48404469999999999</v>
      </c>
      <c r="F4911" t="s">
        <v>57</v>
      </c>
      <c r="G4911">
        <v>-419.30529999999999</v>
      </c>
      <c r="H4911" s="1">
        <v>-3.7916740000000002E-6</v>
      </c>
      <c r="I4911">
        <v>33.693049999999999</v>
      </c>
      <c r="J4911">
        <v>-421.68259999999998</v>
      </c>
      <c r="K4911">
        <v>1.1210389999999999</v>
      </c>
      <c r="L4911">
        <v>50.799289999999999</v>
      </c>
      <c r="M4911">
        <v>7.6881140000000002E-3</v>
      </c>
      <c r="N4911">
        <v>-1.231292E-2</v>
      </c>
      <c r="O4911">
        <v>-0.99989470000000003</v>
      </c>
      <c r="P4911">
        <v>9.7288520000000003E-2</v>
      </c>
      <c r="Q4911">
        <v>0.1722805</v>
      </c>
      <c r="R4911">
        <v>-0.98023190000000004</v>
      </c>
      <c r="S4911">
        <v>0.41653440000000003</v>
      </c>
      <c r="T4911">
        <v>-0.19622110000000001</v>
      </c>
      <c r="U4911">
        <v>-3.0537719999999999</v>
      </c>
      <c r="V4911">
        <v>-8.9670490000000005E-2</v>
      </c>
      <c r="W4911">
        <v>0.1843841</v>
      </c>
      <c r="X4911">
        <v>0.97875520000000005</v>
      </c>
      <c r="Y4911">
        <v>-0.12728929999999999</v>
      </c>
      <c r="Z4911">
        <v>5.1280220000000001E-2</v>
      </c>
      <c r="AA4911">
        <v>0.99053910000000001</v>
      </c>
      <c r="AB4911">
        <v>33</v>
      </c>
      <c r="AC4911">
        <v>2.3772999999999902</v>
      </c>
      <c r="AD4911">
        <v>-1.121042791674</v>
      </c>
      <c r="AE4911">
        <v>-17.10624</v>
      </c>
      <c r="AF4911">
        <v>-2.2362828034078999</v>
      </c>
      <c r="AG4911">
        <v>-1.121042791674</v>
      </c>
      <c r="AH4911">
        <v>17.052165962545001</v>
      </c>
      <c r="AI4911">
        <v>93.729481169358706</v>
      </c>
      <c r="AJ4911">
        <v>97.471338419226001</v>
      </c>
      <c r="AK4911">
        <v>17.2346761423521</v>
      </c>
      <c r="AL4911">
        <v>79.374773973827601</v>
      </c>
      <c r="AM4911">
        <v>95.234646810428401</v>
      </c>
      <c r="AN4911">
        <v>1.0000000173183401</v>
      </c>
    </row>
    <row r="4912" spans="1:40" x14ac:dyDescent="0.25">
      <c r="A4912" t="str">
        <f>"20190303162919995"</f>
        <v>20190303162919995</v>
      </c>
      <c r="B4912" t="str">
        <f>"1551601759987359"</f>
        <v>1551601759987359</v>
      </c>
      <c r="C4912" t="s">
        <v>40</v>
      </c>
      <c r="D4912">
        <v>4.7917719999999999</v>
      </c>
      <c r="E4912">
        <v>0.48407709999999998</v>
      </c>
      <c r="F4912" t="s">
        <v>57</v>
      </c>
      <c r="G4912">
        <v>-419.28160000000003</v>
      </c>
      <c r="H4912" s="1">
        <v>-3.9314070000000002E-6</v>
      </c>
      <c r="I4912">
        <v>33.429119999999998</v>
      </c>
      <c r="J4912">
        <v>-421.68029999999999</v>
      </c>
      <c r="K4912">
        <v>1.121043</v>
      </c>
      <c r="L4912">
        <v>50.482939999999999</v>
      </c>
      <c r="M4912">
        <v>7.51615099999999E-3</v>
      </c>
      <c r="N4912">
        <v>-1.229562E-2</v>
      </c>
      <c r="O4912">
        <v>-0.99989640000000002</v>
      </c>
      <c r="P4912">
        <v>9.9307610000000004E-2</v>
      </c>
      <c r="Q4912">
        <v>0.172559299999999</v>
      </c>
      <c r="R4912">
        <v>-0.97998050000000003</v>
      </c>
      <c r="S4912">
        <v>0.4220276</v>
      </c>
      <c r="T4912">
        <v>-0.19705210000000001</v>
      </c>
      <c r="U4912">
        <v>-3.0532530000000002</v>
      </c>
      <c r="V4912">
        <v>-9.1860170000000005E-2</v>
      </c>
      <c r="W4912">
        <v>0.18464369999999999</v>
      </c>
      <c r="X4912">
        <v>0.97850320000000002</v>
      </c>
      <c r="Y4912">
        <v>-0.12922829999999999</v>
      </c>
      <c r="Z4912">
        <v>5.1560790000000002E-2</v>
      </c>
      <c r="AA4912">
        <v>0.99027350000000003</v>
      </c>
      <c r="AB4912">
        <v>33</v>
      </c>
      <c r="AC4912">
        <v>2.3986999999999599</v>
      </c>
      <c r="AD4912">
        <v>-1.121046931407</v>
      </c>
      <c r="AE4912">
        <v>-17.053819999999899</v>
      </c>
      <c r="AF4912">
        <v>-2.2608633796003699</v>
      </c>
      <c r="AG4912">
        <v>-1.121046931407</v>
      </c>
      <c r="AH4912">
        <v>16.999336125822001</v>
      </c>
      <c r="AI4912">
        <v>93.740154975088004</v>
      </c>
      <c r="AJ4912">
        <v>97.575717509032302</v>
      </c>
      <c r="AK4912">
        <v>17.1856241714496</v>
      </c>
      <c r="AL4912">
        <v>79.359640487765802</v>
      </c>
      <c r="AM4912">
        <v>95.363109232791302</v>
      </c>
      <c r="AN4912">
        <v>1.0000000495961701</v>
      </c>
    </row>
    <row r="4913" spans="1:40" x14ac:dyDescent="0.25">
      <c r="A4913" t="str">
        <f>"20190303162920018"</f>
        <v>20190303162920018</v>
      </c>
      <c r="B4913" t="str">
        <f>"1551601760006878"</f>
        <v>1551601760006878</v>
      </c>
      <c r="C4913" t="s">
        <v>40</v>
      </c>
      <c r="D4913">
        <v>5.0039629999999997</v>
      </c>
      <c r="E4913">
        <v>0.48401899999999998</v>
      </c>
      <c r="F4913" t="s">
        <v>57</v>
      </c>
      <c r="G4913">
        <v>-419.25510000000003</v>
      </c>
      <c r="H4913" s="1">
        <v>-4.0735120000000004E-6</v>
      </c>
      <c r="I4913">
        <v>33.161769999999997</v>
      </c>
      <c r="J4913">
        <v>-421.67790000000002</v>
      </c>
      <c r="K4913">
        <v>1.121049</v>
      </c>
      <c r="L4913">
        <v>50.143250000000002</v>
      </c>
      <c r="M4913">
        <v>7.3317850000000004E-3</v>
      </c>
      <c r="N4913">
        <v>-1.227762E-2</v>
      </c>
      <c r="O4913">
        <v>-0.99989810000000001</v>
      </c>
      <c r="P4913">
        <v>0.1023109</v>
      </c>
      <c r="Q4913">
        <v>0.172765</v>
      </c>
      <c r="R4913">
        <v>-0.97963520000000004</v>
      </c>
      <c r="S4913">
        <v>0.42742920000000001</v>
      </c>
      <c r="T4913">
        <v>-0.19757849999999999</v>
      </c>
      <c r="U4913">
        <v>-3.052765</v>
      </c>
      <c r="V4913">
        <v>-9.5046829999999999E-2</v>
      </c>
      <c r="W4913">
        <v>0.18482879999999999</v>
      </c>
      <c r="X4913">
        <v>0.97816380000000003</v>
      </c>
      <c r="Y4913">
        <v>-0.13114909999999999</v>
      </c>
      <c r="Z4913">
        <v>5.1743020000000001E-2</v>
      </c>
      <c r="AA4913">
        <v>0.99001139999999999</v>
      </c>
      <c r="AB4913">
        <v>33</v>
      </c>
      <c r="AC4913">
        <v>2.4227999999999899</v>
      </c>
      <c r="AD4913">
        <v>-1.1210530735119999</v>
      </c>
      <c r="AE4913">
        <v>-16.981479999999902</v>
      </c>
      <c r="AF4913">
        <v>-2.2884465604386799</v>
      </c>
      <c r="AG4913">
        <v>-1.1210530735119999</v>
      </c>
      <c r="AH4913">
        <v>16.926491886214301</v>
      </c>
      <c r="AI4913">
        <v>93.755139252373098</v>
      </c>
      <c r="AJ4913">
        <v>97.6996511850096</v>
      </c>
      <c r="AK4913">
        <v>17.1172391239853</v>
      </c>
      <c r="AL4913">
        <v>79.348848794701297</v>
      </c>
      <c r="AM4913">
        <v>95.549928792158298</v>
      </c>
      <c r="AN4913">
        <v>1.0000000024164599</v>
      </c>
    </row>
    <row r="4914" spans="1:40" x14ac:dyDescent="0.25">
      <c r="A4914" t="str">
        <f>"20190303162920040"</f>
        <v>20190303162920040</v>
      </c>
      <c r="B4914" t="str">
        <f>"1551601760026397"</f>
        <v>1551601760026397</v>
      </c>
      <c r="C4914" t="s">
        <v>40</v>
      </c>
      <c r="D4914">
        <v>4.9311819999999997</v>
      </c>
      <c r="E4914">
        <v>0.45724720000000002</v>
      </c>
      <c r="F4914" t="s">
        <v>57</v>
      </c>
      <c r="G4914">
        <v>-419.20190000000002</v>
      </c>
      <c r="H4914" s="1">
        <v>-4.2517710000000004E-6</v>
      </c>
      <c r="I4914">
        <v>32.835079999999998</v>
      </c>
      <c r="J4914">
        <v>-421.67570000000001</v>
      </c>
      <c r="K4914">
        <v>1.121054</v>
      </c>
      <c r="L4914">
        <v>49.814390000000003</v>
      </c>
      <c r="M4914">
        <v>7.1534850000000002E-3</v>
      </c>
      <c r="N4914">
        <v>-1.226145E-2</v>
      </c>
      <c r="O4914">
        <v>-0.99989950000000005</v>
      </c>
      <c r="P4914">
        <v>0.10701430000000001</v>
      </c>
      <c r="Q4914">
        <v>0.17403389999999999</v>
      </c>
      <c r="R4914">
        <v>-0.978908</v>
      </c>
      <c r="S4914">
        <v>0.436554</v>
      </c>
      <c r="T4914">
        <v>-0.197655</v>
      </c>
      <c r="U4914">
        <v>-3.0516359999999998</v>
      </c>
      <c r="V4914">
        <v>-9.9929420000000005E-2</v>
      </c>
      <c r="W4914">
        <v>0.1860752</v>
      </c>
      <c r="X4914">
        <v>0.97744059999999999</v>
      </c>
      <c r="Y4914">
        <v>-0.1342759</v>
      </c>
      <c r="Z4914">
        <v>5.178054E-2</v>
      </c>
      <c r="AA4914">
        <v>0.98959019999999998</v>
      </c>
      <c r="AB4914">
        <v>33</v>
      </c>
      <c r="AC4914">
        <v>2.4737999999999798</v>
      </c>
      <c r="AD4914">
        <v>-1.1210582517709999</v>
      </c>
      <c r="AE4914">
        <v>-16.979310000000002</v>
      </c>
      <c r="AF4914">
        <v>-2.3422679544239</v>
      </c>
      <c r="AG4914">
        <v>-1.1210582517709999</v>
      </c>
      <c r="AH4914">
        <v>16.9243285037908</v>
      </c>
      <c r="AI4914">
        <v>93.754027615636801</v>
      </c>
      <c r="AJ4914">
        <v>97.879483366851204</v>
      </c>
      <c r="AK4914">
        <v>17.122379685032499</v>
      </c>
      <c r="AL4914">
        <v>79.276174625335699</v>
      </c>
      <c r="AM4914">
        <v>95.837398329906804</v>
      </c>
      <c r="AN4914">
        <v>0.99999999778246795</v>
      </c>
    </row>
    <row r="4915" spans="1:40" x14ac:dyDescent="0.25">
      <c r="A4915" t="str">
        <f>"20190303162920073"</f>
        <v>20190303162920073</v>
      </c>
      <c r="B4915" t="str">
        <f>"1551601760066879"</f>
        <v>1551601760066879</v>
      </c>
      <c r="C4915" t="s">
        <v>40</v>
      </c>
      <c r="D4915">
        <v>4.8931459999999998</v>
      </c>
      <c r="E4915">
        <v>0.38211980000000001</v>
      </c>
      <c r="F4915" t="s">
        <v>57</v>
      </c>
      <c r="G4915">
        <v>-418.79849999999999</v>
      </c>
      <c r="H4915" s="1">
        <v>-2.198768E-6</v>
      </c>
      <c r="I4915">
        <v>36.639899999999997</v>
      </c>
      <c r="J4915">
        <v>-421.67239999999998</v>
      </c>
      <c r="K4915">
        <v>1.1210450000000001</v>
      </c>
      <c r="L4915">
        <v>49.316279999999999</v>
      </c>
      <c r="M4915">
        <v>6.8839490000000003E-3</v>
      </c>
      <c r="N4915">
        <v>-1.223722E-2</v>
      </c>
      <c r="O4915">
        <v>-0.99990140000000005</v>
      </c>
      <c r="P4915">
        <v>0.11347359999999999</v>
      </c>
      <c r="Q4915">
        <v>0.1738305</v>
      </c>
      <c r="R4915">
        <v>-0.97821599999999997</v>
      </c>
      <c r="S4915">
        <v>0.66348269999999998</v>
      </c>
      <c r="T4915">
        <v>-0.25851960000000002</v>
      </c>
      <c r="U4915">
        <v>-3.0380859999999998</v>
      </c>
      <c r="V4915">
        <v>-0.1066573</v>
      </c>
      <c r="W4915">
        <v>0.18584329999999999</v>
      </c>
      <c r="X4915">
        <v>0.97677349999999996</v>
      </c>
      <c r="Y4915">
        <v>-0.20597589999999999</v>
      </c>
      <c r="Z4915">
        <v>7.0713559999999995E-2</v>
      </c>
      <c r="AA4915">
        <v>0.97599880000000006</v>
      </c>
      <c r="AB4915">
        <v>33</v>
      </c>
      <c r="AC4915">
        <v>2.8738999999999901</v>
      </c>
      <c r="AD4915">
        <v>-1.121047198768</v>
      </c>
      <c r="AE4915">
        <v>-12.67638</v>
      </c>
      <c r="AF4915">
        <v>-2.7659867993226199</v>
      </c>
      <c r="AG4915">
        <v>-1.121047198768</v>
      </c>
      <c r="AH4915">
        <v>12.6021230007682</v>
      </c>
      <c r="AI4915">
        <v>94.965886143449097</v>
      </c>
      <c r="AJ4915">
        <v>102.37931303333301</v>
      </c>
      <c r="AK4915">
        <v>12.9507117148975</v>
      </c>
      <c r="AL4915">
        <v>79.289697315075898</v>
      </c>
      <c r="AM4915">
        <v>96.231636900185507</v>
      </c>
      <c r="AN4915">
        <v>0.99999999105021398</v>
      </c>
    </row>
    <row r="4916" spans="1:40" x14ac:dyDescent="0.25">
      <c r="A4916" t="str">
        <f>"20190303162920096"</f>
        <v>20190303162920096</v>
      </c>
      <c r="B4916" t="str">
        <f>"1551601760086399"</f>
        <v>1551601760086399</v>
      </c>
      <c r="C4916" t="s">
        <v>40</v>
      </c>
      <c r="D4916">
        <v>4.6855589999999996</v>
      </c>
      <c r="E4916">
        <v>0.38748009999999999</v>
      </c>
      <c r="F4916" t="s">
        <v>57</v>
      </c>
      <c r="G4916">
        <v>-416.89479999999998</v>
      </c>
      <c r="H4916" s="1">
        <v>-1.7066000000000001E-6</v>
      </c>
      <c r="I4916">
        <v>38.211089999999999</v>
      </c>
      <c r="J4916">
        <v>-421.6703</v>
      </c>
      <c r="K4916">
        <v>1.121035</v>
      </c>
      <c r="L4916">
        <v>48.988430000000001</v>
      </c>
      <c r="M4916">
        <v>6.7065120000000004E-3</v>
      </c>
      <c r="N4916">
        <v>-1.221741E-2</v>
      </c>
      <c r="O4916">
        <v>-0.99990279999999998</v>
      </c>
      <c r="P4916">
        <v>0.1189611</v>
      </c>
      <c r="Q4916">
        <v>0.17248150000000001</v>
      </c>
      <c r="R4916">
        <v>-0.97780290000000003</v>
      </c>
      <c r="S4916">
        <v>1.2785029999999999</v>
      </c>
      <c r="T4916">
        <v>-0.29999730000000002</v>
      </c>
      <c r="U4916">
        <v>-2.9718019999999998</v>
      </c>
      <c r="V4916">
        <v>-0.11232209999999999</v>
      </c>
      <c r="W4916">
        <v>0.18447259999999999</v>
      </c>
      <c r="X4916">
        <v>0.97639830000000005</v>
      </c>
      <c r="Y4916">
        <v>-0.38750820000000002</v>
      </c>
      <c r="Z4916">
        <v>8.0304940000000005E-2</v>
      </c>
      <c r="AA4916">
        <v>0.91836180000000001</v>
      </c>
      <c r="AB4916">
        <v>33</v>
      </c>
      <c r="AC4916">
        <v>4.7755000000000196</v>
      </c>
      <c r="AD4916">
        <v>-1.1210367066</v>
      </c>
      <c r="AE4916">
        <v>-10.777339999999899</v>
      </c>
      <c r="AF4916">
        <v>-4.6609551131376499</v>
      </c>
      <c r="AG4916">
        <v>-1.1210367066</v>
      </c>
      <c r="AH4916">
        <v>10.7122453033097</v>
      </c>
      <c r="AI4916">
        <v>95.481323726511107</v>
      </c>
      <c r="AJ4916">
        <v>113.514115116388</v>
      </c>
      <c r="AK4916">
        <v>11.735988467211</v>
      </c>
      <c r="AL4916">
        <v>79.369614796197098</v>
      </c>
      <c r="AM4916">
        <v>96.562298439099493</v>
      </c>
      <c r="AN4916">
        <v>1.0000000172710199</v>
      </c>
    </row>
    <row r="4917" spans="1:40" x14ac:dyDescent="0.25">
      <c r="A4917" t="str">
        <f>"20190303162920117"</f>
        <v>20190303162920117</v>
      </c>
      <c r="B4917" t="str">
        <f>"1551601760106895"</f>
        <v>1551601760106895</v>
      </c>
      <c r="C4917" t="s">
        <v>40</v>
      </c>
      <c r="D4917">
        <v>4.6406830000000001</v>
      </c>
      <c r="E4917">
        <v>0.391156</v>
      </c>
      <c r="F4917" t="s">
        <v>57</v>
      </c>
      <c r="G4917">
        <v>-412.79329999999999</v>
      </c>
      <c r="H4917" s="1">
        <v>-9.6292219999999994E-6</v>
      </c>
      <c r="I4917">
        <v>28.082630000000002</v>
      </c>
      <c r="J4917">
        <v>-421.66829999999999</v>
      </c>
      <c r="K4917">
        <v>1.121024</v>
      </c>
      <c r="L4917">
        <v>48.666080000000001</v>
      </c>
      <c r="M4917">
        <v>6.5316389999999997E-3</v>
      </c>
      <c r="N4917">
        <v>-1.2197110000000001E-2</v>
      </c>
      <c r="O4917">
        <v>-0.99990429999999997</v>
      </c>
      <c r="P4917">
        <v>0.12457840000000001</v>
      </c>
      <c r="Q4917">
        <v>0.1707668</v>
      </c>
      <c r="R4917">
        <v>-0.97740389999999999</v>
      </c>
      <c r="S4917">
        <v>1.2500309999999999</v>
      </c>
      <c r="T4917">
        <v>-0.15786140000000001</v>
      </c>
      <c r="U4917">
        <v>-2.9438780000000002</v>
      </c>
      <c r="V4917">
        <v>-0.1181132</v>
      </c>
      <c r="W4917">
        <v>0.1827355</v>
      </c>
      <c r="X4917">
        <v>0.97604150000000001</v>
      </c>
      <c r="Y4917">
        <v>-0.38441520000000001</v>
      </c>
      <c r="Z4917">
        <v>3.719269E-2</v>
      </c>
      <c r="AA4917">
        <v>0.92241079999999998</v>
      </c>
      <c r="AB4917">
        <v>33</v>
      </c>
      <c r="AC4917">
        <v>8.875</v>
      </c>
      <c r="AD4917">
        <v>-1.121033629222</v>
      </c>
      <c r="AE4917">
        <v>-20.583449999999999</v>
      </c>
      <c r="AF4917">
        <v>-8.7185500961946705</v>
      </c>
      <c r="AG4917">
        <v>-1.121033629222</v>
      </c>
      <c r="AH4917">
        <v>20.589484910972502</v>
      </c>
      <c r="AI4917">
        <v>92.870244040080607</v>
      </c>
      <c r="AJ4917">
        <v>112.950069713752</v>
      </c>
      <c r="AK4917">
        <v>22.387423279083901</v>
      </c>
      <c r="AL4917">
        <v>79.470864344007595</v>
      </c>
      <c r="AM4917">
        <v>96.899953733702205</v>
      </c>
      <c r="AN4917">
        <v>1.00000000034837</v>
      </c>
    </row>
    <row r="4918" spans="1:40" x14ac:dyDescent="0.25">
      <c r="A4918" t="str">
        <f>"20190303162920142"</f>
        <v>20190303162920142</v>
      </c>
      <c r="B4918" t="str">
        <f>"1551601760137152"</f>
        <v>1551601760137152</v>
      </c>
      <c r="C4918" t="s">
        <v>40</v>
      </c>
      <c r="D4918">
        <v>4.6104459999999996</v>
      </c>
      <c r="E4918">
        <v>0.39499459999999997</v>
      </c>
      <c r="F4918" t="s">
        <v>57</v>
      </c>
      <c r="G4918">
        <v>-406.05430000000001</v>
      </c>
      <c r="H4918" s="1">
        <v>-4.0841070000000004E-6</v>
      </c>
      <c r="I4918">
        <v>11.69969</v>
      </c>
      <c r="J4918">
        <v>-421.6662</v>
      </c>
      <c r="K4918">
        <v>1.12101299999999</v>
      </c>
      <c r="L4918">
        <v>48.315669999999997</v>
      </c>
      <c r="M4918">
        <v>6.3405519999999898E-3</v>
      </c>
      <c r="N4918">
        <v>-1.2176330000000001E-2</v>
      </c>
      <c r="O4918">
        <v>-0.99990570000000001</v>
      </c>
      <c r="P4918">
        <v>0.12990019999999999</v>
      </c>
      <c r="Q4918">
        <v>0.1692475</v>
      </c>
      <c r="R4918">
        <v>-0.97697529999999999</v>
      </c>
      <c r="S4918">
        <v>1.2364200000000001</v>
      </c>
      <c r="T4918">
        <v>-8.8770509999999997E-2</v>
      </c>
      <c r="U4918">
        <v>-2.9272459999999998</v>
      </c>
      <c r="V4918">
        <v>-0.1236256</v>
      </c>
      <c r="W4918">
        <v>0.1811934</v>
      </c>
      <c r="X4918">
        <v>0.97564629999999997</v>
      </c>
      <c r="Y4918">
        <v>-0.38311060000000002</v>
      </c>
      <c r="Z4918">
        <v>1.5802009999999998E-2</v>
      </c>
      <c r="AA4918">
        <v>0.92356729999999998</v>
      </c>
      <c r="AB4918">
        <v>33</v>
      </c>
      <c r="AC4918">
        <v>15.611899999999901</v>
      </c>
      <c r="AD4918">
        <v>-1.12101708410699</v>
      </c>
      <c r="AE4918">
        <v>-36.61598</v>
      </c>
      <c r="AF4918">
        <v>-15.3672152232885</v>
      </c>
      <c r="AG4918">
        <v>-1.12101708410699</v>
      </c>
      <c r="AH4918">
        <v>36.685143281799398</v>
      </c>
      <c r="AI4918">
        <v>91.614445484855494</v>
      </c>
      <c r="AJ4918">
        <v>112.72855575715199</v>
      </c>
      <c r="AK4918">
        <v>39.789542855226202</v>
      </c>
      <c r="AL4918">
        <v>79.560720517882302</v>
      </c>
      <c r="AM4918">
        <v>97.221548652977205</v>
      </c>
      <c r="AN4918">
        <v>1.0000000199412999</v>
      </c>
    </row>
    <row r="4919" spans="1:40" x14ac:dyDescent="0.25">
      <c r="A4919" t="str">
        <f>"20190303162920230"</f>
        <v>20190303162920230</v>
      </c>
      <c r="B4919" t="str">
        <f>"1551601760226945"</f>
        <v>1551601760226945</v>
      </c>
      <c r="C4919" t="s">
        <v>40</v>
      </c>
      <c r="D4919">
        <v>4.7443780000000002</v>
      </c>
      <c r="E4919">
        <v>0.39679379999999997</v>
      </c>
      <c r="F4919" t="s">
        <v>59</v>
      </c>
      <c r="G4919">
        <v>-401.69720000000001</v>
      </c>
      <c r="H4919">
        <v>0.54913500000000004</v>
      </c>
      <c r="I4919">
        <v>0.66352840000000002</v>
      </c>
      <c r="J4919">
        <v>-421.65890000000002</v>
      </c>
      <c r="K4919">
        <v>1.1209709999999999</v>
      </c>
      <c r="L4919">
        <v>47.002929999999999</v>
      </c>
      <c r="M4919">
        <v>5.6295130000000001E-3</v>
      </c>
      <c r="N4919">
        <v>-1.2114979999999999E-2</v>
      </c>
      <c r="O4919">
        <v>-0.99991070000000004</v>
      </c>
      <c r="P4919">
        <v>0.1505136</v>
      </c>
      <c r="Q4919">
        <v>0.16238359999999999</v>
      </c>
      <c r="R4919">
        <v>-0.97518039999999995</v>
      </c>
      <c r="S4919">
        <v>1.2212829999999999</v>
      </c>
      <c r="T4919">
        <v>-3.49772E-2</v>
      </c>
      <c r="U4919">
        <v>-2.9143680000000001</v>
      </c>
      <c r="V4919">
        <v>-0.14494689999999999</v>
      </c>
      <c r="W4919">
        <v>0.17425789999999999</v>
      </c>
      <c r="X4919">
        <v>0.97397359999999999</v>
      </c>
      <c r="Y4919">
        <v>-0.38124209999999997</v>
      </c>
      <c r="Z4919">
        <v>-1.0207040000000001E-3</v>
      </c>
      <c r="AA4919">
        <v>0.92447469999999998</v>
      </c>
      <c r="AB4919">
        <v>33</v>
      </c>
      <c r="AC4919">
        <v>19.9617</v>
      </c>
      <c r="AD4919">
        <v>-0.57183599999999901</v>
      </c>
      <c r="AE4919">
        <v>-46.339401600000002</v>
      </c>
      <c r="AF4919">
        <v>-19.6979661126094</v>
      </c>
      <c r="AG4919">
        <v>-0.57183599999999901</v>
      </c>
      <c r="AH4919">
        <v>46.445084473196097</v>
      </c>
      <c r="AI4919">
        <v>90.649409064265697</v>
      </c>
      <c r="AJ4919">
        <v>112.982434213907</v>
      </c>
      <c r="AK4919">
        <v>50.452777298249202</v>
      </c>
      <c r="AL4919">
        <v>79.964524588295504</v>
      </c>
      <c r="AM4919">
        <v>98.464641467146706</v>
      </c>
      <c r="AN4919">
        <v>0.99999999651449001</v>
      </c>
    </row>
    <row r="4920" spans="1:40" x14ac:dyDescent="0.25">
      <c r="A4920" t="str">
        <f>"20190303162920253"</f>
        <v>20190303162920253</v>
      </c>
      <c r="B4920" t="str">
        <f>"1551601760246463"</f>
        <v>1551601760246463</v>
      </c>
      <c r="C4920" t="s">
        <v>40</v>
      </c>
      <c r="D4920">
        <v>4.8265510000000003</v>
      </c>
      <c r="E4920">
        <v>0.39491979999999999</v>
      </c>
      <c r="F4920" t="s">
        <v>59</v>
      </c>
      <c r="G4920">
        <v>-401.34969999999998</v>
      </c>
      <c r="H4920">
        <v>0.5329564</v>
      </c>
      <c r="I4920">
        <v>0.66706089999999996</v>
      </c>
      <c r="J4920">
        <v>-421.65710000000001</v>
      </c>
      <c r="K4920">
        <v>1.1209750000000001</v>
      </c>
      <c r="L4920">
        <v>46.659730000000003</v>
      </c>
      <c r="M4920">
        <v>5.4436880000000003E-3</v>
      </c>
      <c r="N4920">
        <v>-1.2103050000000001E-2</v>
      </c>
      <c r="O4920">
        <v>-0.99991209999999997</v>
      </c>
      <c r="P4920">
        <v>0.153188299999999</v>
      </c>
      <c r="Q4920">
        <v>0.16243659999999999</v>
      </c>
      <c r="R4920">
        <v>-0.97475529999999999</v>
      </c>
      <c r="S4920">
        <v>1.265442</v>
      </c>
      <c r="T4920">
        <v>-3.6640289999999999E-2</v>
      </c>
      <c r="U4920">
        <v>-2.887146</v>
      </c>
      <c r="V4920">
        <v>-0.1478053</v>
      </c>
      <c r="W4920">
        <v>0.17429549999999999</v>
      </c>
      <c r="X4920">
        <v>0.97353719999999999</v>
      </c>
      <c r="Y4920">
        <v>-0.39638869999999998</v>
      </c>
      <c r="Z4920">
        <v>-4.5364469999999998E-4</v>
      </c>
      <c r="AA4920">
        <v>0.91808270000000003</v>
      </c>
      <c r="AB4920">
        <v>33</v>
      </c>
      <c r="AC4920">
        <v>20.307400000000001</v>
      </c>
      <c r="AD4920">
        <v>-0.58801859999999995</v>
      </c>
      <c r="AE4920">
        <v>-45.992669099999901</v>
      </c>
      <c r="AF4920">
        <v>-20.0539678429875</v>
      </c>
      <c r="AG4920">
        <v>-0.58801859999999995</v>
      </c>
      <c r="AH4920">
        <v>46.096237260458899</v>
      </c>
      <c r="AI4920">
        <v>90.670176422367902</v>
      </c>
      <c r="AJ4920">
        <v>113.511239919845</v>
      </c>
      <c r="AK4920">
        <v>50.272959746707201</v>
      </c>
      <c r="AL4920">
        <v>79.962336861398001</v>
      </c>
      <c r="AM4920">
        <v>98.6328877769391</v>
      </c>
      <c r="AN4920">
        <v>1.0000000039060899</v>
      </c>
    </row>
    <row r="4921" spans="1:40" x14ac:dyDescent="0.25">
      <c r="A4921" t="str">
        <f>"20190303162920274"</f>
        <v>20190303162920274</v>
      </c>
      <c r="B4921" t="str">
        <f>"1551601760266959"</f>
        <v>1551601760266959</v>
      </c>
      <c r="C4921" t="s">
        <v>40</v>
      </c>
      <c r="D4921">
        <v>5.0180490000000004</v>
      </c>
      <c r="E4921">
        <v>0.39353759999999999</v>
      </c>
      <c r="F4921" t="s">
        <v>59</v>
      </c>
      <c r="G4921">
        <v>-401.125</v>
      </c>
      <c r="H4921">
        <v>0.28713060000000001</v>
      </c>
      <c r="I4921">
        <v>0.66934589999999905</v>
      </c>
      <c r="J4921">
        <v>-421.65559999999999</v>
      </c>
      <c r="K4921">
        <v>1.120968</v>
      </c>
      <c r="L4921">
        <v>46.345280000000002</v>
      </c>
      <c r="M4921">
        <v>5.2731669999999996E-3</v>
      </c>
      <c r="N4921">
        <v>-1.209344E-2</v>
      </c>
      <c r="O4921">
        <v>-0.9999133</v>
      </c>
      <c r="P4921">
        <v>0.15479619999999999</v>
      </c>
      <c r="Q4921">
        <v>0.16186389999999901</v>
      </c>
      <c r="R4921">
        <v>-0.97459680000000004</v>
      </c>
      <c r="S4921">
        <v>1.2875669999999999</v>
      </c>
      <c r="T4921">
        <v>-5.2292110000000003E-2</v>
      </c>
      <c r="U4921">
        <v>-2.884064</v>
      </c>
      <c r="V4921">
        <v>-0.14958050000000001</v>
      </c>
      <c r="W4921">
        <v>0.1737118</v>
      </c>
      <c r="X4921">
        <v>0.97337039999999997</v>
      </c>
      <c r="Y4921">
        <v>-0.4027693</v>
      </c>
      <c r="Z4921">
        <v>4.4930580000000003E-3</v>
      </c>
      <c r="AA4921">
        <v>0.91529050000000001</v>
      </c>
      <c r="AB4921">
        <v>33</v>
      </c>
      <c r="AC4921">
        <v>20.5306</v>
      </c>
      <c r="AD4921">
        <v>-0.83383739999999995</v>
      </c>
      <c r="AE4921">
        <v>-45.6759340999999</v>
      </c>
      <c r="AF4921">
        <v>-20.283816479702601</v>
      </c>
      <c r="AG4921">
        <v>-0.83383739999999995</v>
      </c>
      <c r="AH4921">
        <v>45.770878184211902</v>
      </c>
      <c r="AI4921">
        <v>90.954197106932895</v>
      </c>
      <c r="AJ4921">
        <v>113.900999365858</v>
      </c>
      <c r="AK4921">
        <v>50.070967491609998</v>
      </c>
      <c r="AL4921">
        <v>79.996298711153301</v>
      </c>
      <c r="AM4921">
        <v>98.736456066400606</v>
      </c>
      <c r="AN4921">
        <v>1.0000000255178201</v>
      </c>
    </row>
    <row r="4922" spans="1:40" x14ac:dyDescent="0.25">
      <c r="A4922" t="str">
        <f>"20190303162920296"</f>
        <v>20190303162920296</v>
      </c>
      <c r="B4922" t="str">
        <f>"1551601760286480"</f>
        <v>1551601760286480</v>
      </c>
      <c r="C4922" t="s">
        <v>40</v>
      </c>
      <c r="D4922">
        <v>4.9836269999999896</v>
      </c>
      <c r="E4922">
        <v>0.39415820000000001</v>
      </c>
      <c r="F4922" t="s">
        <v>57</v>
      </c>
      <c r="G4922">
        <v>-402.93740000000003</v>
      </c>
      <c r="H4922">
        <v>7.9986860000000007E-2</v>
      </c>
      <c r="I4922">
        <v>4.9010850000000001</v>
      </c>
      <c r="J4922">
        <v>-421.654</v>
      </c>
      <c r="K4922">
        <v>1.12096</v>
      </c>
      <c r="L4922">
        <v>46.016509999999997</v>
      </c>
      <c r="M4922">
        <v>5.0944379999999997E-3</v>
      </c>
      <c r="N4922">
        <v>-1.2084599999999999E-2</v>
      </c>
      <c r="O4922">
        <v>-0.99991430000000003</v>
      </c>
      <c r="P4922">
        <v>0.15537200000000001</v>
      </c>
      <c r="Q4922">
        <v>0.1604864</v>
      </c>
      <c r="R4922">
        <v>-0.97473259999999995</v>
      </c>
      <c r="S4922">
        <v>1.3022769999999999</v>
      </c>
      <c r="T4922">
        <v>-7.2424050000000004E-2</v>
      </c>
      <c r="U4922">
        <v>-2.8833920000000002</v>
      </c>
      <c r="V4922">
        <v>-0.15033050000000001</v>
      </c>
      <c r="W4922">
        <v>0.172327799999999</v>
      </c>
      <c r="X4922">
        <v>0.97350080000000005</v>
      </c>
      <c r="Y4922">
        <v>-0.4068581</v>
      </c>
      <c r="Z4922">
        <v>1.084018E-2</v>
      </c>
      <c r="AA4922">
        <v>0.91342710000000005</v>
      </c>
      <c r="AB4922">
        <v>33</v>
      </c>
      <c r="AC4922">
        <v>18.7165999999999</v>
      </c>
      <c r="AD4922">
        <v>-1.04097314</v>
      </c>
      <c r="AE4922">
        <v>-41.115425000000002</v>
      </c>
      <c r="AF4922">
        <v>-18.497060236797498</v>
      </c>
      <c r="AG4922">
        <v>-1.04097314</v>
      </c>
      <c r="AH4922">
        <v>41.188378529261897</v>
      </c>
      <c r="AI4922">
        <v>91.320738029893107</v>
      </c>
      <c r="AJ4922">
        <v>114.184106870549</v>
      </c>
      <c r="AK4922">
        <v>45.163119780985902</v>
      </c>
      <c r="AL4922">
        <v>80.076809754197399</v>
      </c>
      <c r="AM4922">
        <v>98.778422328040406</v>
      </c>
      <c r="AN4922">
        <v>0.99999996874186403</v>
      </c>
    </row>
    <row r="4923" spans="1:40" x14ac:dyDescent="0.25">
      <c r="A4923" t="str">
        <f>"20190303162920319"</f>
        <v>20190303162920319</v>
      </c>
      <c r="B4923" t="str">
        <f>"1551601760306975"</f>
        <v>1551601760306975</v>
      </c>
      <c r="C4923" t="s">
        <v>40</v>
      </c>
      <c r="D4923">
        <v>4.7772860000000001</v>
      </c>
      <c r="E4923">
        <v>0.46560220000000002</v>
      </c>
      <c r="F4923" t="s">
        <v>57</v>
      </c>
      <c r="G4923">
        <v>-405.27300000000002</v>
      </c>
      <c r="H4923">
        <v>1.306566E-2</v>
      </c>
      <c r="I4923">
        <v>9.6162399999999995</v>
      </c>
      <c r="J4923">
        <v>-421.65249999999997</v>
      </c>
      <c r="K4923">
        <v>1.12096</v>
      </c>
      <c r="L4923">
        <v>45.688420000000001</v>
      </c>
      <c r="M4923">
        <v>4.9161930000000001E-3</v>
      </c>
      <c r="N4923">
        <v>-1.207689E-2</v>
      </c>
      <c r="O4923">
        <v>-0.999915</v>
      </c>
      <c r="P4923">
        <v>0.1552308</v>
      </c>
      <c r="Q4923">
        <v>0.15969939999999999</v>
      </c>
      <c r="R4923">
        <v>-0.97488439999999998</v>
      </c>
      <c r="S4923">
        <v>1.2984309999999999</v>
      </c>
      <c r="T4923">
        <v>-8.7816829999999999E-2</v>
      </c>
      <c r="U4923">
        <v>-2.8852540000000002</v>
      </c>
      <c r="V4923">
        <v>-0.15036279999999999</v>
      </c>
      <c r="W4923">
        <v>0.1715344</v>
      </c>
      <c r="X4923">
        <v>0.97363599999999995</v>
      </c>
      <c r="Y4923">
        <v>-0.40575020000000001</v>
      </c>
      <c r="Z4923">
        <v>1.5712190000000001E-2</v>
      </c>
      <c r="AA4923">
        <v>0.91384889999999996</v>
      </c>
      <c r="AB4923">
        <v>33</v>
      </c>
      <c r="AC4923">
        <v>16.379499999999901</v>
      </c>
      <c r="AD4923">
        <v>-1.1078943400000001</v>
      </c>
      <c r="AE4923">
        <v>-36.072179999999904</v>
      </c>
      <c r="AF4923">
        <v>-16.189290363631599</v>
      </c>
      <c r="AG4923">
        <v>-1.1078943400000001</v>
      </c>
      <c r="AH4923">
        <v>36.124023651103698</v>
      </c>
      <c r="AI4923">
        <v>91.603126637443694</v>
      </c>
      <c r="AJ4923">
        <v>114.139945314786</v>
      </c>
      <c r="AK4923">
        <v>39.601333779206001</v>
      </c>
      <c r="AL4923">
        <v>80.122956107459203</v>
      </c>
      <c r="AM4923">
        <v>98.779078828749604</v>
      </c>
      <c r="AN4923">
        <v>1.0000000412515899</v>
      </c>
    </row>
    <row r="4924" spans="1:40" x14ac:dyDescent="0.25">
      <c r="A4924" t="str">
        <f>"20190303162920342"</f>
        <v>20190303162920342</v>
      </c>
      <c r="B4924" t="str">
        <f>"1551601760337231"</f>
        <v>1551601760337231</v>
      </c>
      <c r="C4924" t="s">
        <v>40</v>
      </c>
      <c r="D4924">
        <v>4.7200009999999999</v>
      </c>
      <c r="E4924">
        <v>0.47502519999999998</v>
      </c>
      <c r="F4924" t="s">
        <v>57</v>
      </c>
      <c r="G4924">
        <v>-418.06569999999999</v>
      </c>
      <c r="H4924" s="1">
        <v>-5.4357950000000002E-6</v>
      </c>
      <c r="I4924">
        <v>31.005749999999999</v>
      </c>
      <c r="J4924">
        <v>-421.65100000000001</v>
      </c>
      <c r="K4924">
        <v>1.1209610000000001</v>
      </c>
      <c r="L4924">
        <v>45.338900000000002</v>
      </c>
      <c r="M4924">
        <v>4.727022E-3</v>
      </c>
      <c r="N4924">
        <v>-1.206977E-2</v>
      </c>
      <c r="O4924">
        <v>-0.99991620000000003</v>
      </c>
      <c r="P4924">
        <v>0.1549567</v>
      </c>
      <c r="Q4924">
        <v>0.16010179999999999</v>
      </c>
      <c r="R4924">
        <v>-0.97486200000000001</v>
      </c>
      <c r="S4924">
        <v>0.73242189999999996</v>
      </c>
      <c r="T4924">
        <v>-0.22889880000000001</v>
      </c>
      <c r="U4924">
        <v>-2.9981689999999999</v>
      </c>
      <c r="V4924">
        <v>-0.15027289999999999</v>
      </c>
      <c r="W4924">
        <v>0.17192950000000001</v>
      </c>
      <c r="X4924">
        <v>0.97358020000000001</v>
      </c>
      <c r="Y4924">
        <v>-0.23214119999999999</v>
      </c>
      <c r="Z4924">
        <v>6.196786E-2</v>
      </c>
      <c r="AA4924">
        <v>0.97070619999999996</v>
      </c>
      <c r="AB4924">
        <v>33</v>
      </c>
      <c r="AC4924">
        <v>3.5853000000000099</v>
      </c>
      <c r="AD4924">
        <v>-1.120966435795</v>
      </c>
      <c r="AE4924">
        <v>-14.33315</v>
      </c>
      <c r="AF4924">
        <v>-3.49736995050865</v>
      </c>
      <c r="AG4924">
        <v>-1.120966435795</v>
      </c>
      <c r="AH4924">
        <v>14.2678089115748</v>
      </c>
      <c r="AI4924">
        <v>94.363618034493896</v>
      </c>
      <c r="AJ4924">
        <v>103.772955731851</v>
      </c>
      <c r="AK4924">
        <v>14.7329064837225</v>
      </c>
      <c r="AL4924">
        <v>80.099977267880604</v>
      </c>
      <c r="AM4924">
        <v>98.774406671448702</v>
      </c>
      <c r="AN4924">
        <v>1.00000005163834</v>
      </c>
    </row>
    <row r="4925" spans="1:40" x14ac:dyDescent="0.25">
      <c r="A4925" t="str">
        <f>"20190303162920364"</f>
        <v>20190303162920364</v>
      </c>
      <c r="B4925" t="str">
        <f>"1551601760356752"</f>
        <v>1551601760356752</v>
      </c>
      <c r="C4925" t="s">
        <v>40</v>
      </c>
      <c r="D4925">
        <v>4.6869899999999998</v>
      </c>
      <c r="E4925">
        <v>0.47712539999999998</v>
      </c>
      <c r="F4925" t="s">
        <v>57</v>
      </c>
      <c r="G4925">
        <v>-418.56610000000001</v>
      </c>
      <c r="H4925" s="1">
        <v>-5.2361179999999998E-6</v>
      </c>
      <c r="I4925">
        <v>31.179870000000001</v>
      </c>
      <c r="J4925">
        <v>-421.64960000000002</v>
      </c>
      <c r="K4925">
        <v>1.1209549999999999</v>
      </c>
      <c r="L4925">
        <v>45.01596</v>
      </c>
      <c r="M4925">
        <v>4.5566679999999998E-3</v>
      </c>
      <c r="N4925">
        <v>-1.2064129999999999E-2</v>
      </c>
      <c r="O4925">
        <v>-0.9999169</v>
      </c>
      <c r="P4925">
        <v>0.1550685</v>
      </c>
      <c r="Q4925">
        <v>0.16024260000000001</v>
      </c>
      <c r="R4925">
        <v>-0.97482089999999999</v>
      </c>
      <c r="S4925">
        <v>0.65628050000000004</v>
      </c>
      <c r="T4925">
        <v>-0.23847570000000001</v>
      </c>
      <c r="U4925">
        <v>-3.0122070000000001</v>
      </c>
      <c r="V4925">
        <v>-0.15055199999999999</v>
      </c>
      <c r="W4925">
        <v>0.172063299999999</v>
      </c>
      <c r="X4925">
        <v>0.97351339999999997</v>
      </c>
      <c r="Y4925">
        <v>-0.20786209999999999</v>
      </c>
      <c r="Z4925">
        <v>6.5133449999999996E-2</v>
      </c>
      <c r="AA4925">
        <v>0.97598720000000005</v>
      </c>
      <c r="AB4925">
        <v>33</v>
      </c>
      <c r="AC4925">
        <v>3.0835000000000101</v>
      </c>
      <c r="AD4925">
        <v>-1.120960236118</v>
      </c>
      <c r="AE4925">
        <v>-13.83609</v>
      </c>
      <c r="AF4925">
        <v>-3.00164702584344</v>
      </c>
      <c r="AG4925">
        <v>-1.120960236118</v>
      </c>
      <c r="AH4925">
        <v>13.763929219963</v>
      </c>
      <c r="AI4925">
        <v>94.5495352012653</v>
      </c>
      <c r="AJ4925">
        <v>102.302484155233</v>
      </c>
      <c r="AK4925">
        <v>14.1319561381595</v>
      </c>
      <c r="AL4925">
        <v>80.092194722895201</v>
      </c>
      <c r="AM4925">
        <v>98.791042725701601</v>
      </c>
      <c r="AN4925">
        <v>1.0000000119452199</v>
      </c>
    </row>
    <row r="4926" spans="1:40" x14ac:dyDescent="0.25">
      <c r="A4926" t="str">
        <f>"20190303162920386"</f>
        <v>20190303162920386</v>
      </c>
      <c r="B4926" t="str">
        <f>"1551601760377248"</f>
        <v>1551601760377248</v>
      </c>
      <c r="C4926" t="s">
        <v>40</v>
      </c>
      <c r="D4926">
        <v>4.6597089999999897</v>
      </c>
      <c r="E4926">
        <v>0.47803069999999998</v>
      </c>
      <c r="F4926" t="s">
        <v>57</v>
      </c>
      <c r="G4926">
        <v>-418.68970000000002</v>
      </c>
      <c r="H4926" s="1">
        <v>-5.2713879999999997E-6</v>
      </c>
      <c r="I4926">
        <v>31.05688</v>
      </c>
      <c r="J4926">
        <v>-421.64830000000001</v>
      </c>
      <c r="K4926">
        <v>1.1209559999999901</v>
      </c>
      <c r="L4926">
        <v>44.691009999999999</v>
      </c>
      <c r="M4926">
        <v>4.4044770000000004E-3</v>
      </c>
      <c r="N4926">
        <v>-1.205926E-2</v>
      </c>
      <c r="O4926">
        <v>-0.99991790000000003</v>
      </c>
      <c r="P4926">
        <v>0.15564259999999999</v>
      </c>
      <c r="Q4926">
        <v>0.16022520000000001</v>
      </c>
      <c r="R4926">
        <v>-0.9747325</v>
      </c>
      <c r="S4926">
        <v>0.63943479999999997</v>
      </c>
      <c r="T4926">
        <v>-0.24216199999999999</v>
      </c>
      <c r="U4926">
        <v>-3.0155940000000001</v>
      </c>
      <c r="V4926">
        <v>-0.1512792</v>
      </c>
      <c r="W4926">
        <v>0.17203660000000001</v>
      </c>
      <c r="X4926">
        <v>0.97340539999999998</v>
      </c>
      <c r="Y4926">
        <v>-0.2025535</v>
      </c>
      <c r="Z4926">
        <v>6.6328090000000006E-2</v>
      </c>
      <c r="AA4926">
        <v>0.97702230000000001</v>
      </c>
      <c r="AB4926">
        <v>33</v>
      </c>
      <c r="AC4926">
        <v>2.9585999999999899</v>
      </c>
      <c r="AD4926">
        <v>-1.1209612713879999</v>
      </c>
      <c r="AE4926">
        <v>-13.634130000000001</v>
      </c>
      <c r="AF4926">
        <v>-2.8799238352675598</v>
      </c>
      <c r="AG4926">
        <v>-1.1209612713879999</v>
      </c>
      <c r="AH4926">
        <v>13.559493838755399</v>
      </c>
      <c r="AI4926">
        <v>94.623221724723805</v>
      </c>
      <c r="AJ4926">
        <v>101.990961684703</v>
      </c>
      <c r="AK4926">
        <v>13.907206356135701</v>
      </c>
      <c r="AL4926">
        <v>80.093747862364395</v>
      </c>
      <c r="AM4926">
        <v>98.833801973203094</v>
      </c>
      <c r="AN4926">
        <v>1.00000003042067</v>
      </c>
    </row>
    <row r="4927" spans="1:40" x14ac:dyDescent="0.25">
      <c r="A4927" t="str">
        <f>"20190303162920408"</f>
        <v>20190303162920408</v>
      </c>
      <c r="B4927" t="str">
        <f>"1551601760396768"</f>
        <v>1551601760396768</v>
      </c>
      <c r="C4927" t="s">
        <v>40</v>
      </c>
      <c r="D4927">
        <v>4.6335850000000001</v>
      </c>
      <c r="E4927">
        <v>0.478379</v>
      </c>
      <c r="F4927" t="s">
        <v>57</v>
      </c>
      <c r="G4927">
        <v>-418.71249999999998</v>
      </c>
      <c r="H4927" s="1">
        <v>-5.4415159999999999E-6</v>
      </c>
      <c r="I4927">
        <v>30.713080000000001</v>
      </c>
      <c r="J4927">
        <v>-421.64699999999999</v>
      </c>
      <c r="K4927">
        <v>1.120973</v>
      </c>
      <c r="L4927">
        <v>44.358550000000001</v>
      </c>
      <c r="M4927">
        <v>4.270533E-3</v>
      </c>
      <c r="N4927">
        <v>-1.205493E-2</v>
      </c>
      <c r="O4927">
        <v>-0.99991830000000004</v>
      </c>
      <c r="P4927">
        <v>0.15686459999999999</v>
      </c>
      <c r="Q4927">
        <v>0.16087560000000001</v>
      </c>
      <c r="R4927">
        <v>-0.9744294</v>
      </c>
      <c r="S4927">
        <v>0.63354489999999997</v>
      </c>
      <c r="T4927">
        <v>-0.241897</v>
      </c>
      <c r="U4927">
        <v>-3.0163570000000002</v>
      </c>
      <c r="V4927">
        <v>-0.15263940000000001</v>
      </c>
      <c r="W4927">
        <v>0.17267349999999901</v>
      </c>
      <c r="X4927">
        <v>0.97308019999999995</v>
      </c>
      <c r="Y4927">
        <v>-0.20080980000000001</v>
      </c>
      <c r="Z4927">
        <v>6.6257430000000006E-2</v>
      </c>
      <c r="AA4927">
        <v>0.97738700000000001</v>
      </c>
      <c r="AB4927">
        <v>33</v>
      </c>
      <c r="AC4927">
        <v>2.9345000000000101</v>
      </c>
      <c r="AD4927">
        <v>-1.120978441516</v>
      </c>
      <c r="AE4927">
        <v>-13.64547</v>
      </c>
      <c r="AF4927">
        <v>-2.8577620257142202</v>
      </c>
      <c r="AG4927">
        <v>-1.120978441516</v>
      </c>
      <c r="AH4927">
        <v>13.570344931260101</v>
      </c>
      <c r="AI4927">
        <v>94.621290436973595</v>
      </c>
      <c r="AJ4927">
        <v>101.89208359546301</v>
      </c>
      <c r="AK4927">
        <v>13.913218822951601</v>
      </c>
      <c r="AL4927">
        <v>80.056701474990206</v>
      </c>
      <c r="AM4927">
        <v>98.914890674174103</v>
      </c>
      <c r="AN4927">
        <v>0.99999999983332399</v>
      </c>
    </row>
    <row r="4928" spans="1:40" x14ac:dyDescent="0.25">
      <c r="A4928" t="str">
        <f>"20190303162920430"</f>
        <v>20190303162920430</v>
      </c>
      <c r="B4928" t="str">
        <f>"1551601760417263"</f>
        <v>1551601760417263</v>
      </c>
      <c r="C4928" t="s">
        <v>40</v>
      </c>
      <c r="D4928">
        <v>4.593915</v>
      </c>
      <c r="E4928">
        <v>0.47818090000000002</v>
      </c>
      <c r="F4928" t="s">
        <v>57</v>
      </c>
      <c r="G4928">
        <v>-418.6746</v>
      </c>
      <c r="H4928" s="1">
        <v>-5.6910969999999997E-6</v>
      </c>
      <c r="I4928">
        <v>30.233450000000001</v>
      </c>
      <c r="J4928">
        <v>-421.64569999999998</v>
      </c>
      <c r="K4928">
        <v>1.1209979999999999</v>
      </c>
      <c r="L4928">
        <v>44.020020000000002</v>
      </c>
      <c r="M4928">
        <v>4.1713770000000004E-3</v>
      </c>
      <c r="N4928">
        <v>-1.205109E-2</v>
      </c>
      <c r="O4928">
        <v>-0.999919</v>
      </c>
      <c r="P4928">
        <v>0.15827260000000001</v>
      </c>
      <c r="Q4928">
        <v>0.16190689999999999</v>
      </c>
      <c r="R4928">
        <v>-0.97403119999999999</v>
      </c>
      <c r="S4928">
        <v>0.63467410000000002</v>
      </c>
      <c r="T4928">
        <v>-0.23935600000000001</v>
      </c>
      <c r="U4928">
        <v>-3.0160520000000002</v>
      </c>
      <c r="V4928">
        <v>-0.154156399999999</v>
      </c>
      <c r="W4928">
        <v>0.17368699999999901</v>
      </c>
      <c r="X4928">
        <v>0.97266059999999999</v>
      </c>
      <c r="Y4928">
        <v>-0.201289</v>
      </c>
      <c r="Z4928">
        <v>6.5444160000000001E-2</v>
      </c>
      <c r="AA4928">
        <v>0.97734319999999997</v>
      </c>
      <c r="AB4928">
        <v>33</v>
      </c>
      <c r="AC4928">
        <v>2.9710999999999701</v>
      </c>
      <c r="AD4928">
        <v>-1.121003691097</v>
      </c>
      <c r="AE4928">
        <v>-13.786569999999999</v>
      </c>
      <c r="AF4928">
        <v>-2.8952684346090898</v>
      </c>
      <c r="AG4928">
        <v>-1.121003691097</v>
      </c>
      <c r="AH4928">
        <v>13.712209505164401</v>
      </c>
      <c r="AI4928">
        <v>94.573274010158698</v>
      </c>
      <c r="AJ4928">
        <v>101.922613207677</v>
      </c>
      <c r="AK4928">
        <v>14.059300057165601</v>
      </c>
      <c r="AL4928">
        <v>79.997741384803902</v>
      </c>
      <c r="AM4928">
        <v>99.005866777610905</v>
      </c>
      <c r="AN4928">
        <v>1.00000000621116</v>
      </c>
    </row>
    <row r="4929" spans="1:40" x14ac:dyDescent="0.25">
      <c r="A4929" t="str">
        <f>"20190303162920455"</f>
        <v>20190303162920455</v>
      </c>
      <c r="B4929" t="str">
        <f>"1551601760446544"</f>
        <v>1551601760446544</v>
      </c>
      <c r="C4929" t="s">
        <v>40</v>
      </c>
      <c r="D4929">
        <v>4.6220499999999998</v>
      </c>
      <c r="E4929">
        <v>0.47802169999999999</v>
      </c>
      <c r="F4929" t="s">
        <v>57</v>
      </c>
      <c r="G4929">
        <v>-418.51859999999999</v>
      </c>
      <c r="H4929" s="1">
        <v>-7.7582629999999902E-6</v>
      </c>
      <c r="I4929">
        <v>29.315570000000001</v>
      </c>
      <c r="J4929">
        <v>-421.64429999999999</v>
      </c>
      <c r="K4929">
        <v>1.12104</v>
      </c>
      <c r="L4929">
        <v>43.675899999999999</v>
      </c>
      <c r="M4929">
        <v>4.1220129999999999E-3</v>
      </c>
      <c r="N4929">
        <v>-1.2047739999999999E-2</v>
      </c>
      <c r="O4929">
        <v>-0.99991890000000005</v>
      </c>
      <c r="P4929">
        <v>0.15959770000000001</v>
      </c>
      <c r="Q4929">
        <v>0.16230059999999999</v>
      </c>
      <c r="R4929">
        <v>-0.97374879999999997</v>
      </c>
      <c r="S4929">
        <v>0.64096070000000005</v>
      </c>
      <c r="T4929">
        <v>-0.22977539999999999</v>
      </c>
      <c r="U4929">
        <v>-3.014008</v>
      </c>
      <c r="V4929">
        <v>-0.15554609999999999</v>
      </c>
      <c r="W4929">
        <v>0.17406070000000001</v>
      </c>
      <c r="X4929">
        <v>0.97237249999999997</v>
      </c>
      <c r="Y4929">
        <v>-0.20346510000000001</v>
      </c>
      <c r="Z4929">
        <v>6.2378709999999997E-2</v>
      </c>
      <c r="AA4929">
        <v>0.97709299999999999</v>
      </c>
      <c r="AB4929">
        <v>33</v>
      </c>
      <c r="AC4929">
        <v>3.1256999999999899</v>
      </c>
      <c r="AD4929">
        <v>-1.1210477582629901</v>
      </c>
      <c r="AE4929">
        <v>-14.3603299999999</v>
      </c>
      <c r="AF4929">
        <v>-3.04873638353487</v>
      </c>
      <c r="AG4929">
        <v>-1.1210477582629901</v>
      </c>
      <c r="AH4929">
        <v>14.289946010579699</v>
      </c>
      <c r="AI4929">
        <v>94.387332129043202</v>
      </c>
      <c r="AJ4929">
        <v>102.043398004686</v>
      </c>
      <c r="AK4929">
        <v>14.6544907314406</v>
      </c>
      <c r="AL4929">
        <v>79.975998680136399</v>
      </c>
      <c r="AM4929">
        <v>99.088352238340605</v>
      </c>
      <c r="AN4929">
        <v>0.99999999763297498</v>
      </c>
    </row>
    <row r="4930" spans="1:40" x14ac:dyDescent="0.25">
      <c r="A4930" t="str">
        <f>"20190303162920475"</f>
        <v>20190303162920475</v>
      </c>
      <c r="B4930" t="str">
        <f>"1551601760467040"</f>
        <v>1551601760467040</v>
      </c>
      <c r="C4930" t="s">
        <v>40</v>
      </c>
      <c r="D4930">
        <v>4.5915809999999997</v>
      </c>
      <c r="E4930">
        <v>0.47801660000000001</v>
      </c>
      <c r="F4930" t="s">
        <v>57</v>
      </c>
      <c r="G4930">
        <v>-418.34879999999998</v>
      </c>
      <c r="H4930" s="1">
        <v>-7.7067000000000003E-6</v>
      </c>
      <c r="I4930">
        <v>28.327059999999999</v>
      </c>
      <c r="J4930">
        <v>-421.64299999999997</v>
      </c>
      <c r="K4930">
        <v>1.1210880000000001</v>
      </c>
      <c r="L4930">
        <v>43.368589999999998</v>
      </c>
      <c r="M4930">
        <v>4.1562179999999997E-3</v>
      </c>
      <c r="N4930">
        <v>-1.2045200000000001E-2</v>
      </c>
      <c r="O4930">
        <v>-0.99991890000000005</v>
      </c>
      <c r="P4930">
        <v>0.1612874</v>
      </c>
      <c r="Q4930">
        <v>0.1622392</v>
      </c>
      <c r="R4930">
        <v>-0.97348060000000003</v>
      </c>
      <c r="S4930">
        <v>0.64660640000000003</v>
      </c>
      <c r="T4930">
        <v>-0.2199585</v>
      </c>
      <c r="U4930">
        <v>-3.0115660000000002</v>
      </c>
      <c r="V4930">
        <v>-0.15722529999999901</v>
      </c>
      <c r="W4930">
        <v>0.1739743</v>
      </c>
      <c r="X4930">
        <v>0.97211780000000003</v>
      </c>
      <c r="Y4930">
        <v>-0.20538699999999999</v>
      </c>
      <c r="Z4930">
        <v>5.924521E-2</v>
      </c>
      <c r="AA4930">
        <v>0.97688600000000003</v>
      </c>
      <c r="AB4930">
        <v>33</v>
      </c>
      <c r="AC4930">
        <v>3.29420000000004</v>
      </c>
      <c r="AD4930">
        <v>-1.12109570669999</v>
      </c>
      <c r="AE4930">
        <v>-15.04153</v>
      </c>
      <c r="AF4930">
        <v>-3.21461059609415</v>
      </c>
      <c r="AG4930">
        <v>-1.12109570669999</v>
      </c>
      <c r="AH4930">
        <v>14.9757067690062</v>
      </c>
      <c r="AI4930">
        <v>94.186223945203693</v>
      </c>
      <c r="AJ4930">
        <v>102.114986097721</v>
      </c>
      <c r="AK4930">
        <v>15.3578113707442</v>
      </c>
      <c r="AL4930">
        <v>79.981025096933493</v>
      </c>
      <c r="AM4930">
        <v>99.187167549246894</v>
      </c>
      <c r="AN4930">
        <v>0.99999993454870795</v>
      </c>
    </row>
    <row r="4931" spans="1:40" x14ac:dyDescent="0.25">
      <c r="A4931" t="str">
        <f>"20190303162920498"</f>
        <v>20190303162920498</v>
      </c>
      <c r="B4931" t="str">
        <f>"1551601760486560"</f>
        <v>1551601760486560</v>
      </c>
      <c r="C4931" t="s">
        <v>40</v>
      </c>
      <c r="D4931">
        <v>4.6009379999999904</v>
      </c>
      <c r="E4931">
        <v>0.47801300000000002</v>
      </c>
      <c r="F4931" t="s">
        <v>57</v>
      </c>
      <c r="G4931">
        <v>-418.25990000000002</v>
      </c>
      <c r="H4931" s="1">
        <v>-7.6717819999999906E-6</v>
      </c>
      <c r="I4931">
        <v>27.739360000000001</v>
      </c>
      <c r="J4931">
        <v>-421.64150000000001</v>
      </c>
      <c r="K4931">
        <v>1.121183</v>
      </c>
      <c r="L4931">
        <v>43.034730000000003</v>
      </c>
      <c r="M4931">
        <v>4.3304930000000004E-3</v>
      </c>
      <c r="N4931">
        <v>-1.204301E-2</v>
      </c>
      <c r="O4931">
        <v>-0.99991819999999998</v>
      </c>
      <c r="P4931">
        <v>0.16368679999999999</v>
      </c>
      <c r="Q4931">
        <v>0.16135679999999999</v>
      </c>
      <c r="R4931">
        <v>-0.97322690000000001</v>
      </c>
      <c r="S4931">
        <v>0.65148930000000005</v>
      </c>
      <c r="T4931">
        <v>-0.21589269999999999</v>
      </c>
      <c r="U4931">
        <v>-3.0097659999999999</v>
      </c>
      <c r="V4931">
        <v>-0.15949430000000001</v>
      </c>
      <c r="W4931">
        <v>0.1730525</v>
      </c>
      <c r="X4931">
        <v>0.97191269999999996</v>
      </c>
      <c r="Y4931">
        <v>-0.20686750000000001</v>
      </c>
      <c r="Z4931">
        <v>5.7953909999999997E-2</v>
      </c>
      <c r="AA4931">
        <v>0.97665100000000005</v>
      </c>
      <c r="AB4931">
        <v>33</v>
      </c>
      <c r="AC4931">
        <v>3.3815999999999899</v>
      </c>
      <c r="AD4931">
        <v>-1.1211906717819999</v>
      </c>
      <c r="AE4931">
        <v>-15.295369999999901</v>
      </c>
      <c r="AF4931">
        <v>-3.2984295656030702</v>
      </c>
      <c r="AG4931">
        <v>-1.1211906717819999</v>
      </c>
      <c r="AH4931">
        <v>15.2318408484981</v>
      </c>
      <c r="AI4931">
        <v>94.114821270063899</v>
      </c>
      <c r="AJ4931">
        <v>102.218645868105</v>
      </c>
      <c r="AK4931">
        <v>15.625161815344899</v>
      </c>
      <c r="AL4931">
        <v>80.034653953940094</v>
      </c>
      <c r="AM4931">
        <v>99.319374999402001</v>
      </c>
      <c r="AN4931">
        <v>0.99999994795501301</v>
      </c>
    </row>
    <row r="4932" spans="1:40" x14ac:dyDescent="0.25">
      <c r="A4932" t="str">
        <f>"20190303162920520"</f>
        <v>20190303162920520</v>
      </c>
      <c r="B4932" t="str">
        <f>"1551601760507056"</f>
        <v>1551601760507056</v>
      </c>
      <c r="C4932" t="s">
        <v>40</v>
      </c>
      <c r="D4932">
        <v>4.605429</v>
      </c>
      <c r="E4932">
        <v>0.47795189999999999</v>
      </c>
      <c r="F4932" t="s">
        <v>57</v>
      </c>
      <c r="G4932">
        <v>-418.2251</v>
      </c>
      <c r="H4932" s="1">
        <v>-7.6496539999999998E-6</v>
      </c>
      <c r="I4932">
        <v>27.43413</v>
      </c>
      <c r="J4932">
        <v>-421.6397</v>
      </c>
      <c r="K4932">
        <v>1.1213219999999999</v>
      </c>
      <c r="L4932">
        <v>42.697629999999997</v>
      </c>
      <c r="M4932">
        <v>4.7085390000000003E-3</v>
      </c>
      <c r="N4932">
        <v>-1.204174E-2</v>
      </c>
      <c r="O4932">
        <v>-0.99991640000000004</v>
      </c>
      <c r="P4932">
        <v>0.16684660000000001</v>
      </c>
      <c r="Q4932">
        <v>0.1604826</v>
      </c>
      <c r="R4932">
        <v>-0.97283489999999995</v>
      </c>
      <c r="S4932">
        <v>0.65863039999999995</v>
      </c>
      <c r="T4932">
        <v>-0.21615139999999999</v>
      </c>
      <c r="U4932">
        <v>-3.0075989999999999</v>
      </c>
      <c r="V4932">
        <v>-0.16234770000000001</v>
      </c>
      <c r="W4932">
        <v>0.1721164</v>
      </c>
      <c r="X4932">
        <v>0.97160650000000004</v>
      </c>
      <c r="Y4932">
        <v>-0.20885419999999999</v>
      </c>
      <c r="Z4932">
        <v>5.8055780000000001E-2</v>
      </c>
      <c r="AA4932">
        <v>0.97622200000000003</v>
      </c>
      <c r="AB4932">
        <v>33</v>
      </c>
      <c r="AC4932">
        <v>3.4146000000000001</v>
      </c>
      <c r="AD4932">
        <v>-1.1213296496539999</v>
      </c>
      <c r="AE4932">
        <v>-15.263499999999899</v>
      </c>
      <c r="AF4932">
        <v>-3.32559510634553</v>
      </c>
      <c r="AG4932">
        <v>-1.1213296496539999</v>
      </c>
      <c r="AH4932">
        <v>15.2012775260614</v>
      </c>
      <c r="AI4932">
        <v>94.121677752190806</v>
      </c>
      <c r="AJ4932">
        <v>102.34022266365299</v>
      </c>
      <c r="AK4932">
        <v>15.601147439175101</v>
      </c>
      <c r="AL4932">
        <v>80.089106229738107</v>
      </c>
      <c r="AM4932">
        <v>99.486033264718699</v>
      </c>
      <c r="AN4932">
        <v>1.0000000108432501</v>
      </c>
    </row>
    <row r="4933" spans="1:40" x14ac:dyDescent="0.25">
      <c r="A4933" t="str">
        <f>"20190303162920544"</f>
        <v>20190303162920544</v>
      </c>
      <c r="B4933" t="str">
        <f>"1551601760537312"</f>
        <v>1551601760537312</v>
      </c>
      <c r="C4933" t="s">
        <v>40</v>
      </c>
      <c r="D4933">
        <v>4.5888790000000004</v>
      </c>
      <c r="E4933">
        <v>0.47784739999999998</v>
      </c>
      <c r="F4933" t="s">
        <v>57</v>
      </c>
      <c r="G4933">
        <v>-418.19929999999999</v>
      </c>
      <c r="H4933" s="1">
        <v>-7.6336810000000008E-6</v>
      </c>
      <c r="I4933">
        <v>27.211659999999998</v>
      </c>
      <c r="J4933">
        <v>-421.63749999999999</v>
      </c>
      <c r="K4933">
        <v>1.1215360000000001</v>
      </c>
      <c r="L4933">
        <v>42.353670000000001</v>
      </c>
      <c r="M4933">
        <v>5.3870609999999899E-3</v>
      </c>
      <c r="N4933">
        <v>-1.2041960000000001E-2</v>
      </c>
      <c r="O4933">
        <v>-0.99991300000000005</v>
      </c>
      <c r="P4933">
        <v>0.1695043</v>
      </c>
      <c r="Q4933">
        <v>0.15933249999999999</v>
      </c>
      <c r="R4933">
        <v>-0.97256419999999999</v>
      </c>
      <c r="S4933">
        <v>0.66763309999999998</v>
      </c>
      <c r="T4933">
        <v>-0.21760370000000001</v>
      </c>
      <c r="U4933">
        <v>-3.005188</v>
      </c>
      <c r="V4933">
        <v>-0.16443329999999901</v>
      </c>
      <c r="W4933">
        <v>0.17087859999999999</v>
      </c>
      <c r="X4933">
        <v>0.97147419999999995</v>
      </c>
      <c r="Y4933">
        <v>-0.21113460000000001</v>
      </c>
      <c r="Z4933">
        <v>5.8540090000000003E-2</v>
      </c>
      <c r="AA4933">
        <v>0.97570250000000003</v>
      </c>
      <c r="AB4933">
        <v>33</v>
      </c>
      <c r="AC4933">
        <v>3.4381999999999899</v>
      </c>
      <c r="AD4933">
        <v>-1.1215436336810001</v>
      </c>
      <c r="AE4933">
        <v>-15.142010000000001</v>
      </c>
      <c r="AF4933">
        <v>-3.3391524482852799</v>
      </c>
      <c r="AG4933">
        <v>-1.1215436336810001</v>
      </c>
      <c r="AH4933">
        <v>15.0816304815294</v>
      </c>
      <c r="AI4933">
        <v>94.152762988276805</v>
      </c>
      <c r="AJ4933">
        <v>102.484194736741</v>
      </c>
      <c r="AK4933">
        <v>15.4875232744469</v>
      </c>
      <c r="AL4933">
        <v>80.161093004267698</v>
      </c>
      <c r="AM4933">
        <v>99.606922730534606</v>
      </c>
      <c r="AN4933">
        <v>0.999999963676244</v>
      </c>
    </row>
    <row r="4934" spans="1:40" x14ac:dyDescent="0.25">
      <c r="A4934" t="str">
        <f>"20190303162920565"</f>
        <v>20190303162920565</v>
      </c>
      <c r="B4934" t="str">
        <f>"1551601760556831"</f>
        <v>1551601760556831</v>
      </c>
      <c r="C4934" t="s">
        <v>40</v>
      </c>
      <c r="D4934">
        <v>4.5948140000000004</v>
      </c>
      <c r="E4934">
        <v>0.4777923</v>
      </c>
      <c r="F4934" t="s">
        <v>57</v>
      </c>
      <c r="G4934">
        <v>-418.17039999999997</v>
      </c>
      <c r="H4934" s="1">
        <v>-7.6166330000000003E-6</v>
      </c>
      <c r="I4934">
        <v>26.96968</v>
      </c>
      <c r="J4934">
        <v>-421.63490000000002</v>
      </c>
      <c r="K4934">
        <v>1.121802</v>
      </c>
      <c r="L4934">
        <v>42.032319999999999</v>
      </c>
      <c r="M4934">
        <v>6.3946960000000001E-3</v>
      </c>
      <c r="N4934">
        <v>-1.2044829999999999E-2</v>
      </c>
      <c r="O4934">
        <v>-0.99990710000000005</v>
      </c>
      <c r="P4934">
        <v>0.17129249999999999</v>
      </c>
      <c r="Q4934">
        <v>0.15937970000000001</v>
      </c>
      <c r="R4934">
        <v>-0.97224339999999998</v>
      </c>
      <c r="S4934">
        <v>0.67669679999999999</v>
      </c>
      <c r="T4934">
        <v>-0.21889690000000001</v>
      </c>
      <c r="U4934">
        <v>-3.0025629999999999</v>
      </c>
      <c r="V4934">
        <v>-0.1653531</v>
      </c>
      <c r="W4934">
        <v>0.17081979999999999</v>
      </c>
      <c r="X4934">
        <v>0.97132839999999998</v>
      </c>
      <c r="Y4934">
        <v>-0.21312729999999999</v>
      </c>
      <c r="Z4934">
        <v>5.897724E-2</v>
      </c>
      <c r="AA4934">
        <v>0.97524270000000002</v>
      </c>
      <c r="AB4934">
        <v>33</v>
      </c>
      <c r="AC4934">
        <v>3.4645000000000401</v>
      </c>
      <c r="AD4934">
        <v>-1.1218096166329901</v>
      </c>
      <c r="AE4934">
        <v>-15.062639999999901</v>
      </c>
      <c r="AF4934">
        <v>-3.3504509114122301</v>
      </c>
      <c r="AG4934">
        <v>-1.1218096166329901</v>
      </c>
      <c r="AH4934">
        <v>15.0054389818764</v>
      </c>
      <c r="AI4934">
        <v>94.173106875746598</v>
      </c>
      <c r="AJ4934">
        <v>102.586681636058</v>
      </c>
      <c r="AK4934">
        <v>15.4158093256426</v>
      </c>
      <c r="AL4934">
        <v>80.164512194760604</v>
      </c>
      <c r="AM4934">
        <v>99.661074359033904</v>
      </c>
      <c r="AN4934">
        <v>0.99999995619910398</v>
      </c>
    </row>
    <row r="4935" spans="1:40" x14ac:dyDescent="0.25">
      <c r="A4935" t="str">
        <f>"20190303162920587"</f>
        <v>20190303162920587</v>
      </c>
      <c r="B4935" t="str">
        <f>"1551601760577328"</f>
        <v>1551601760577328</v>
      </c>
      <c r="C4935" t="s">
        <v>40</v>
      </c>
      <c r="D4935">
        <v>4.578659</v>
      </c>
      <c r="E4935">
        <v>0.4777536</v>
      </c>
      <c r="F4935" t="s">
        <v>57</v>
      </c>
      <c r="G4935">
        <v>-418.10509999999999</v>
      </c>
      <c r="H4935" s="1">
        <v>-7.589228E-6</v>
      </c>
      <c r="I4935">
        <v>26.52234</v>
      </c>
      <c r="J4935">
        <v>-421.63159999999999</v>
      </c>
      <c r="K4935">
        <v>1.1220920000000001</v>
      </c>
      <c r="L4935">
        <v>41.71143</v>
      </c>
      <c r="M4935">
        <v>7.7180169999999998E-3</v>
      </c>
      <c r="N4935">
        <v>-1.2050089999999999E-2</v>
      </c>
      <c r="O4935">
        <v>-0.9998977</v>
      </c>
      <c r="P4935">
        <v>0.17466189999999901</v>
      </c>
      <c r="Q4935">
        <v>0.1596206</v>
      </c>
      <c r="R4935">
        <v>-0.97160400000000002</v>
      </c>
      <c r="S4935">
        <v>0.68295289999999997</v>
      </c>
      <c r="T4935">
        <v>-0.21705089999999999</v>
      </c>
      <c r="U4935">
        <v>-3.0009160000000001</v>
      </c>
      <c r="V4935">
        <v>-0.16755499999999901</v>
      </c>
      <c r="W4935">
        <v>0.1709434</v>
      </c>
      <c r="X4935">
        <v>0.9709293</v>
      </c>
      <c r="Y4935">
        <v>-0.213891</v>
      </c>
      <c r="Z4935">
        <v>5.839246E-2</v>
      </c>
      <c r="AA4935">
        <v>0.9751107</v>
      </c>
      <c r="AB4935">
        <v>33</v>
      </c>
      <c r="AC4935">
        <v>3.5264999999999902</v>
      </c>
      <c r="AD4935">
        <v>-1.1220995892279999</v>
      </c>
      <c r="AE4935">
        <v>-15.189089999999901</v>
      </c>
      <c r="AF4935">
        <v>-3.3915936651215901</v>
      </c>
      <c r="AG4935">
        <v>-1.1220995892279999</v>
      </c>
      <c r="AH4935">
        <v>15.137468781873499</v>
      </c>
      <c r="AI4935">
        <v>94.137224652383694</v>
      </c>
      <c r="AJ4935">
        <v>102.628722567219</v>
      </c>
      <c r="AK4935">
        <v>15.553294705612499</v>
      </c>
      <c r="AL4935">
        <v>80.157325302282004</v>
      </c>
      <c r="AM4935">
        <v>99.791197605809998</v>
      </c>
      <c r="AN4935">
        <v>1.00000001481352</v>
      </c>
    </row>
    <row r="4936" spans="1:40" x14ac:dyDescent="0.25">
      <c r="A4936" t="str">
        <f>"20190303162920610"</f>
        <v>20190303162920610</v>
      </c>
      <c r="B4936" t="str">
        <f>"1551601760596848"</f>
        <v>1551601760596848</v>
      </c>
      <c r="C4936" t="s">
        <v>40</v>
      </c>
      <c r="D4936">
        <v>4.5424170000000004</v>
      </c>
      <c r="E4936">
        <v>0.47776960000000002</v>
      </c>
      <c r="F4936" t="s">
        <v>57</v>
      </c>
      <c r="G4936">
        <v>-418.00810000000001</v>
      </c>
      <c r="H4936" s="1">
        <v>-7.5716020000000001E-6</v>
      </c>
      <c r="I4936">
        <v>26.062840000000001</v>
      </c>
      <c r="J4936">
        <v>-421.62729999999999</v>
      </c>
      <c r="K4936">
        <v>1.122411</v>
      </c>
      <c r="L4936">
        <v>41.375210000000003</v>
      </c>
      <c r="M4936">
        <v>9.5328800000000005E-3</v>
      </c>
      <c r="N4936">
        <v>-1.205695E-2</v>
      </c>
      <c r="O4936">
        <v>-0.9998821</v>
      </c>
      <c r="P4936">
        <v>0.177858399999999</v>
      </c>
      <c r="Q4936">
        <v>0.16126070000000001</v>
      </c>
      <c r="R4936">
        <v>-0.97075319999999998</v>
      </c>
      <c r="S4936">
        <v>0.69424439999999998</v>
      </c>
      <c r="T4936">
        <v>-0.21498919999999999</v>
      </c>
      <c r="U4936">
        <v>-2.9981990000000001</v>
      </c>
      <c r="V4936">
        <v>-0.16913159999999999</v>
      </c>
      <c r="W4936">
        <v>0.17244899999999999</v>
      </c>
      <c r="X4936">
        <v>0.97038950000000002</v>
      </c>
      <c r="Y4936">
        <v>-0.21580569999999999</v>
      </c>
      <c r="Z4936">
        <v>5.7738240000000003E-2</v>
      </c>
      <c r="AA4936">
        <v>0.97472769999999997</v>
      </c>
      <c r="AB4936">
        <v>33</v>
      </c>
      <c r="AC4936">
        <v>3.61919999999997</v>
      </c>
      <c r="AD4936">
        <v>-1.1224185716020001</v>
      </c>
      <c r="AE4936">
        <v>-15.3123699999999</v>
      </c>
      <c r="AF4936">
        <v>-3.4554697233602201</v>
      </c>
      <c r="AG4936">
        <v>-1.1224185716020001</v>
      </c>
      <c r="AH4936">
        <v>15.2684795932967</v>
      </c>
      <c r="AI4936">
        <v>94.101028092676103</v>
      </c>
      <c r="AJ4936">
        <v>102.752018763393</v>
      </c>
      <c r="AK4936">
        <v>15.6947941544275</v>
      </c>
      <c r="AL4936">
        <v>80.069759963193405</v>
      </c>
      <c r="AM4936">
        <v>99.886907888670507</v>
      </c>
      <c r="AN4936">
        <v>0.99999996871490404</v>
      </c>
    </row>
    <row r="4937" spans="1:40" x14ac:dyDescent="0.25">
      <c r="A4937" t="str">
        <f>"20190303162920633"</f>
        <v>20190303162920633</v>
      </c>
      <c r="B4937" t="str">
        <f>"1551601760627104"</f>
        <v>1551601760627104</v>
      </c>
      <c r="C4937" t="s">
        <v>40</v>
      </c>
      <c r="D4937">
        <v>4.5528589999999998</v>
      </c>
      <c r="E4937">
        <v>0.4777052</v>
      </c>
      <c r="F4937" t="s">
        <v>57</v>
      </c>
      <c r="G4937">
        <v>-417.90570000000002</v>
      </c>
      <c r="H4937" s="1">
        <v>-7.5475080000000004E-6</v>
      </c>
      <c r="I4937">
        <v>25.52918</v>
      </c>
      <c r="J4937">
        <v>-421.6216</v>
      </c>
      <c r="K4937">
        <v>1.1228</v>
      </c>
      <c r="L4937">
        <v>41.031649999999999</v>
      </c>
      <c r="M4937">
        <v>1.1915200000000001E-2</v>
      </c>
      <c r="N4937">
        <v>-1.2067090000000001E-2</v>
      </c>
      <c r="O4937">
        <v>-0.99985639999999998</v>
      </c>
      <c r="P4937">
        <v>0.18099190000000001</v>
      </c>
      <c r="Q4937">
        <v>0.16309960000000001</v>
      </c>
      <c r="R4937">
        <v>-0.96986649999999996</v>
      </c>
      <c r="S4937">
        <v>0.70379639999999999</v>
      </c>
      <c r="T4937">
        <v>-0.2122648</v>
      </c>
      <c r="U4937">
        <v>-2.9967039999999998</v>
      </c>
      <c r="V4937">
        <v>-0.17012179999999999</v>
      </c>
      <c r="W4937">
        <v>0.1741354</v>
      </c>
      <c r="X4937">
        <v>0.96991519999999998</v>
      </c>
      <c r="Y4937">
        <v>-0.2165453</v>
      </c>
      <c r="Z4937">
        <v>5.6851770000000003E-2</v>
      </c>
      <c r="AA4937">
        <v>0.97461580000000003</v>
      </c>
      <c r="AB4937">
        <v>33</v>
      </c>
      <c r="AC4937">
        <v>3.7158999999999698</v>
      </c>
      <c r="AD4937">
        <v>-1.1228075475079999</v>
      </c>
      <c r="AE4937">
        <v>-15.502470000000001</v>
      </c>
      <c r="AF4937">
        <v>-3.5134782573288601</v>
      </c>
      <c r="AG4937">
        <v>-1.1228075475079999</v>
      </c>
      <c r="AH4937">
        <v>15.4689109030795</v>
      </c>
      <c r="AI4937">
        <v>94.048755360441504</v>
      </c>
      <c r="AJ4937">
        <v>102.796576187618</v>
      </c>
      <c r="AK4937">
        <v>15.902591951656101</v>
      </c>
      <c r="AL4937">
        <v>79.9716526347284</v>
      </c>
      <c r="AM4937">
        <v>99.948405292498506</v>
      </c>
      <c r="AN4937">
        <v>1.00000002977971</v>
      </c>
    </row>
    <row r="4938" spans="1:40" x14ac:dyDescent="0.25">
      <c r="A4938" t="str">
        <f>"20190303162920655"</f>
        <v>20190303162920655</v>
      </c>
      <c r="B4938" t="str">
        <f>"1551601760646624"</f>
        <v>1551601760646624</v>
      </c>
      <c r="C4938" t="s">
        <v>40</v>
      </c>
      <c r="D4938">
        <v>4.5940289999999999</v>
      </c>
      <c r="E4938">
        <v>0.47773529999999997</v>
      </c>
      <c r="F4938" t="s">
        <v>57</v>
      </c>
      <c r="G4938">
        <v>-417.82049999999998</v>
      </c>
      <c r="H4938" s="1">
        <v>-7.5281960000000001E-6</v>
      </c>
      <c r="I4938">
        <v>25.091609999999999</v>
      </c>
      <c r="J4938">
        <v>-421.61509999999998</v>
      </c>
      <c r="K4938">
        <v>1.1232279999999999</v>
      </c>
      <c r="L4938">
        <v>40.700409999999998</v>
      </c>
      <c r="M4938">
        <v>1.477672E-2</v>
      </c>
      <c r="N4938">
        <v>-1.208218E-2</v>
      </c>
      <c r="O4938">
        <v>-0.99981779999999998</v>
      </c>
      <c r="P4938">
        <v>0.18523700000000001</v>
      </c>
      <c r="Q4938">
        <v>0.16417370000000001</v>
      </c>
      <c r="R4938">
        <v>-0.9688831</v>
      </c>
      <c r="S4938">
        <v>0.7142944</v>
      </c>
      <c r="T4938">
        <v>-0.21099380000000001</v>
      </c>
      <c r="U4938">
        <v>-2.9953919999999998</v>
      </c>
      <c r="V4938">
        <v>-0.1717803</v>
      </c>
      <c r="W4938">
        <v>0.17503920000000001</v>
      </c>
      <c r="X4938">
        <v>0.96946010000000005</v>
      </c>
      <c r="Y4938">
        <v>-0.2170868</v>
      </c>
      <c r="Z4938">
        <v>5.642407E-2</v>
      </c>
      <c r="AA4938">
        <v>0.97452019999999995</v>
      </c>
      <c r="AB4938">
        <v>33</v>
      </c>
      <c r="AC4938">
        <v>3.7946</v>
      </c>
      <c r="AD4938">
        <v>-1.123235528196</v>
      </c>
      <c r="AE4938">
        <v>-15.6088</v>
      </c>
      <c r="AF4938">
        <v>-3.5461828335199699</v>
      </c>
      <c r="AG4938">
        <v>-1.123235528196</v>
      </c>
      <c r="AH4938">
        <v>15.5869587976335</v>
      </c>
      <c r="AI4938">
        <v>94.019392155821606</v>
      </c>
      <c r="AJ4938">
        <v>102.81717087283</v>
      </c>
      <c r="AK4938">
        <v>16.024679569329301</v>
      </c>
      <c r="AL4938">
        <v>79.919061086933894</v>
      </c>
      <c r="AM4938">
        <v>100.04804465522</v>
      </c>
      <c r="AN4938">
        <v>1.0000000392483599</v>
      </c>
    </row>
    <row r="4939" spans="1:40" x14ac:dyDescent="0.25">
      <c r="A4939" t="str">
        <f>"20190303162920676"</f>
        <v>20190303162920676</v>
      </c>
      <c r="B4939" t="str">
        <f>"1551601760667120"</f>
        <v>1551601760667120</v>
      </c>
      <c r="C4939" t="s">
        <v>40</v>
      </c>
      <c r="D4939">
        <v>4.5262149999999997</v>
      </c>
      <c r="E4939">
        <v>0.4778287</v>
      </c>
      <c r="F4939" t="s">
        <v>57</v>
      </c>
      <c r="G4939">
        <v>-417.73700000000002</v>
      </c>
      <c r="H4939" s="1">
        <v>-7.5167649999999999E-6</v>
      </c>
      <c r="I4939">
        <v>24.729399999999998</v>
      </c>
      <c r="J4939">
        <v>-421.60750000000002</v>
      </c>
      <c r="K4939">
        <v>1.123664</v>
      </c>
      <c r="L4939">
        <v>40.390140000000002</v>
      </c>
      <c r="M4939">
        <v>1.7999520000000001E-2</v>
      </c>
      <c r="N4939">
        <v>-1.21022E-2</v>
      </c>
      <c r="O4939">
        <v>-0.99976489999999996</v>
      </c>
      <c r="P4939">
        <v>0.19082450000000001</v>
      </c>
      <c r="Q4939">
        <v>0.16236419999999999</v>
      </c>
      <c r="R4939">
        <v>-0.96810350000000001</v>
      </c>
      <c r="S4939">
        <v>0.72677609999999904</v>
      </c>
      <c r="T4939">
        <v>-0.21050170000000001</v>
      </c>
      <c r="U4939">
        <v>-2.9930729999999999</v>
      </c>
      <c r="V4939">
        <v>-0.17442379999999999</v>
      </c>
      <c r="W4939">
        <v>0.1730497</v>
      </c>
      <c r="X4939">
        <v>0.96934520000000002</v>
      </c>
      <c r="Y4939">
        <v>-0.21795400000000001</v>
      </c>
      <c r="Z4939">
        <v>5.6256500000000001E-2</v>
      </c>
      <c r="AA4939">
        <v>0.97433630000000004</v>
      </c>
      <c r="AB4939">
        <v>33</v>
      </c>
      <c r="AC4939">
        <v>3.8705000000000398</v>
      </c>
      <c r="AD4939">
        <v>-1.123671516765</v>
      </c>
      <c r="AE4939">
        <v>-15.660740000000001</v>
      </c>
      <c r="AF4939">
        <v>-3.5706423198819501</v>
      </c>
      <c r="AG4939">
        <v>-1.123671516765</v>
      </c>
      <c r="AH4939">
        <v>15.651934250958799</v>
      </c>
      <c r="AI4939">
        <v>94.003775144050607</v>
      </c>
      <c r="AJ4939">
        <v>102.85084667358601</v>
      </c>
      <c r="AK4939">
        <v>16.093326879500701</v>
      </c>
      <c r="AL4939">
        <v>80.034817249987</v>
      </c>
      <c r="AM4939">
        <v>100.200633791646</v>
      </c>
      <c r="AN4939">
        <v>0.99999998871978402</v>
      </c>
    </row>
    <row r="4940" spans="1:40" x14ac:dyDescent="0.25">
      <c r="A4940" t="str">
        <f>"20190303162920699"</f>
        <v>20190303162920699</v>
      </c>
      <c r="B4940" t="str">
        <f>"1551601760686640"</f>
        <v>1551601760686640</v>
      </c>
      <c r="C4940" t="s">
        <v>40</v>
      </c>
      <c r="D4940">
        <v>4.5419210000000003</v>
      </c>
      <c r="E4940">
        <v>0.4779409</v>
      </c>
      <c r="F4940" t="s">
        <v>57</v>
      </c>
      <c r="G4940">
        <v>-417.77769999999998</v>
      </c>
      <c r="H4940" s="1">
        <v>-7.5320339999999997E-6</v>
      </c>
      <c r="I4940">
        <v>24.99202</v>
      </c>
      <c r="J4940">
        <v>-421.59789999999998</v>
      </c>
      <c r="K4940">
        <v>1.1241490000000001</v>
      </c>
      <c r="L4940">
        <v>40.062710000000003</v>
      </c>
      <c r="M4940">
        <v>2.197532E-2</v>
      </c>
      <c r="N4940">
        <v>-1.212878E-2</v>
      </c>
      <c r="O4940">
        <v>-0.99968489999999999</v>
      </c>
      <c r="P4940">
        <v>0.1976212</v>
      </c>
      <c r="Q4940">
        <v>0.1610569</v>
      </c>
      <c r="R4940">
        <v>-0.96695730000000002</v>
      </c>
      <c r="S4940">
        <v>0.74340819999999996</v>
      </c>
      <c r="T4940">
        <v>-0.2181131</v>
      </c>
      <c r="U4940">
        <v>-2.9888919999999999</v>
      </c>
      <c r="V4940">
        <v>-0.17757819999999999</v>
      </c>
      <c r="W4940">
        <v>0.17153299999999999</v>
      </c>
      <c r="X4940">
        <v>0.96904199999999996</v>
      </c>
      <c r="Y4940">
        <v>-0.2194594</v>
      </c>
      <c r="Z4940">
        <v>5.872496E-2</v>
      </c>
      <c r="AA4940">
        <v>0.97385259999999996</v>
      </c>
      <c r="AB4940">
        <v>33</v>
      </c>
      <c r="AC4940">
        <v>3.8201999999999998</v>
      </c>
      <c r="AD4940">
        <v>-1.1241565320339999</v>
      </c>
      <c r="AE4940">
        <v>-15.0706899999999</v>
      </c>
      <c r="AF4940">
        <v>-3.4699286852369702</v>
      </c>
      <c r="AG4940">
        <v>-1.1241565320339999</v>
      </c>
      <c r="AH4940">
        <v>15.0722077857675</v>
      </c>
      <c r="AI4940">
        <v>94.157143758514096</v>
      </c>
      <c r="AJ4940">
        <v>102.964753785171</v>
      </c>
      <c r="AK4940">
        <v>15.5072750838597</v>
      </c>
      <c r="AL4940">
        <v>80.123037041843702</v>
      </c>
      <c r="AM4940">
        <v>100.384310068323</v>
      </c>
      <c r="AN4940">
        <v>0.99999999248411997</v>
      </c>
    </row>
    <row r="4941" spans="1:40" x14ac:dyDescent="0.25">
      <c r="A4941" t="str">
        <f>"20190303162920722"</f>
        <v>20190303162920722</v>
      </c>
      <c r="B4941" t="str">
        <f>"1551601760716896"</f>
        <v>1551601760716896</v>
      </c>
      <c r="C4941" t="s">
        <v>40</v>
      </c>
      <c r="D4941">
        <v>4.555288</v>
      </c>
      <c r="E4941">
        <v>0.47793950000000002</v>
      </c>
      <c r="F4941" t="s">
        <v>57</v>
      </c>
      <c r="G4941">
        <v>-417.7894</v>
      </c>
      <c r="H4941" s="1">
        <v>-7.5459119999999902E-6</v>
      </c>
      <c r="I4941">
        <v>25.15212</v>
      </c>
      <c r="J4941">
        <v>-421.58569999999997</v>
      </c>
      <c r="K4941">
        <v>1.1246830000000001</v>
      </c>
      <c r="L4941">
        <v>39.713679999999997</v>
      </c>
      <c r="M4941">
        <v>2.68492E-2</v>
      </c>
      <c r="N4941">
        <v>-1.2161190000000001E-2</v>
      </c>
      <c r="O4941">
        <v>-0.99956560000000005</v>
      </c>
      <c r="P4941">
        <v>0.2058574</v>
      </c>
      <c r="Q4941">
        <v>0.16160339999999901</v>
      </c>
      <c r="R4941">
        <v>-0.96514639999999996</v>
      </c>
      <c r="S4941">
        <v>0.76223750000000001</v>
      </c>
      <c r="T4941">
        <v>-0.22498989999999999</v>
      </c>
      <c r="U4941">
        <v>-2.9842219999999999</v>
      </c>
      <c r="V4941">
        <v>-0.1813514</v>
      </c>
      <c r="W4941">
        <v>0.171839299999999</v>
      </c>
      <c r="X4941">
        <v>0.9682887</v>
      </c>
      <c r="Y4941">
        <v>-0.22079989999999999</v>
      </c>
      <c r="Z4941">
        <v>6.095362E-2</v>
      </c>
      <c r="AA4941">
        <v>0.97341259999999996</v>
      </c>
      <c r="AB4941">
        <v>33</v>
      </c>
      <c r="AC4941">
        <v>3.7962999999999698</v>
      </c>
      <c r="AD4941">
        <v>-1.124690545912</v>
      </c>
      <c r="AE4941">
        <v>-14.561559999999901</v>
      </c>
      <c r="AF4941">
        <v>-3.3850277188606999</v>
      </c>
      <c r="AG4941">
        <v>-1.124690545912</v>
      </c>
      <c r="AH4941">
        <v>14.576820417367299</v>
      </c>
      <c r="AI4941">
        <v>94.2980562350931</v>
      </c>
      <c r="AJ4941">
        <v>103.073506108968</v>
      </c>
      <c r="AK4941">
        <v>15.006899578583599</v>
      </c>
      <c r="AL4941">
        <v>80.105223317757194</v>
      </c>
      <c r="AM4941">
        <v>100.608066194502</v>
      </c>
      <c r="AN4941">
        <v>1.00000004092706</v>
      </c>
    </row>
    <row r="4942" spans="1:40" x14ac:dyDescent="0.25">
      <c r="A4942" t="str">
        <f>"20190303162920745"</f>
        <v>20190303162920745</v>
      </c>
      <c r="B4942" t="str">
        <f>"1551601760736416"</f>
        <v>1551601760736416</v>
      </c>
      <c r="C4942" t="s">
        <v>40</v>
      </c>
      <c r="D4942">
        <v>4.5949030000000004</v>
      </c>
      <c r="E4942">
        <v>0.47800769999999998</v>
      </c>
      <c r="F4942" t="s">
        <v>57</v>
      </c>
      <c r="G4942">
        <v>-417.69639999999998</v>
      </c>
      <c r="H4942" s="1">
        <v>-7.5610049999999996E-6</v>
      </c>
      <c r="I4942">
        <v>24.995909999999999</v>
      </c>
      <c r="J4942">
        <v>-421.57229999999998</v>
      </c>
      <c r="K4942">
        <v>1.1251629999999999</v>
      </c>
      <c r="L4942">
        <v>39.393650000000001</v>
      </c>
      <c r="M4942">
        <v>3.1933700000000002E-2</v>
      </c>
      <c r="N4942">
        <v>-1.2193300000000001E-2</v>
      </c>
      <c r="O4942">
        <v>-0.99941559999999896</v>
      </c>
      <c r="P4942">
        <v>0.21702260000000001</v>
      </c>
      <c r="Q4942">
        <v>0.16152130000000001</v>
      </c>
      <c r="R4942">
        <v>-0.96271079999999998</v>
      </c>
      <c r="S4942">
        <v>0.78710939999999996</v>
      </c>
      <c r="T4942">
        <v>-0.22761200000000001</v>
      </c>
      <c r="U4942">
        <v>-2.9785460000000001</v>
      </c>
      <c r="V4942">
        <v>-0.18785070000000001</v>
      </c>
      <c r="W4942">
        <v>0.1714997</v>
      </c>
      <c r="X4942">
        <v>0.96710910000000005</v>
      </c>
      <c r="Y4942">
        <v>-0.22387969999999999</v>
      </c>
      <c r="Z4942">
        <v>6.1795000000000003E-2</v>
      </c>
      <c r="AA4942">
        <v>0.97265579999999996</v>
      </c>
      <c r="AB4942">
        <v>33</v>
      </c>
      <c r="AC4942">
        <v>3.8759000000000001</v>
      </c>
      <c r="AD4942">
        <v>-1.125170561005</v>
      </c>
      <c r="AE4942">
        <v>-14.397740000000001</v>
      </c>
      <c r="AF4942">
        <v>-3.3947837313998201</v>
      </c>
      <c r="AG4942">
        <v>-1.125170561005</v>
      </c>
      <c r="AH4942">
        <v>14.431992548703199</v>
      </c>
      <c r="AI4942">
        <v>94.339988196125603</v>
      </c>
      <c r="AJ4942">
        <v>103.236836236575</v>
      </c>
      <c r="AK4942">
        <v>14.868522936060399</v>
      </c>
      <c r="AL4942">
        <v>80.124973983834494</v>
      </c>
      <c r="AM4942">
        <v>100.992220731995</v>
      </c>
      <c r="AN4942">
        <v>1.00000002194669</v>
      </c>
    </row>
    <row r="4943" spans="1:40" x14ac:dyDescent="0.25">
      <c r="A4943" t="str">
        <f>"20190303162920766"</f>
        <v>20190303162920766</v>
      </c>
      <c r="B4943" t="str">
        <f>"1551601760756913"</f>
        <v>1551601760756913</v>
      </c>
      <c r="C4943" t="s">
        <v>40</v>
      </c>
      <c r="D4943">
        <v>4.685403</v>
      </c>
      <c r="E4943">
        <v>0.47762490000000002</v>
      </c>
      <c r="F4943" t="s">
        <v>57</v>
      </c>
      <c r="G4943">
        <v>-417.56950000000001</v>
      </c>
      <c r="H4943" s="1">
        <v>-7.595102E-6</v>
      </c>
      <c r="I4943">
        <v>24.903099999999998</v>
      </c>
      <c r="J4943">
        <v>-421.5566</v>
      </c>
      <c r="K4943">
        <v>1.125607</v>
      </c>
      <c r="L4943">
        <v>39.072659999999999</v>
      </c>
      <c r="M4943">
        <v>3.759966E-2</v>
      </c>
      <c r="N4943">
        <v>-1.2227699999999999E-2</v>
      </c>
      <c r="O4943">
        <v>-0.99921800000000005</v>
      </c>
      <c r="P4943">
        <v>0.23177220000000001</v>
      </c>
      <c r="Q4943">
        <v>0.1570694</v>
      </c>
      <c r="R4943">
        <v>-0.96000580000000002</v>
      </c>
      <c r="S4943">
        <v>0.82040409999999997</v>
      </c>
      <c r="T4943">
        <v>-0.23061180000000001</v>
      </c>
      <c r="U4943">
        <v>-2.9699399999999998</v>
      </c>
      <c r="V4943">
        <v>-0.1973395</v>
      </c>
      <c r="W4943">
        <v>0.1667525</v>
      </c>
      <c r="X4943">
        <v>0.96604900000000005</v>
      </c>
      <c r="Y4943">
        <v>-0.22918630000000001</v>
      </c>
      <c r="Z4943">
        <v>6.2773809999999999E-2</v>
      </c>
      <c r="AA4943">
        <v>0.97135629999999995</v>
      </c>
      <c r="AB4943">
        <v>33</v>
      </c>
      <c r="AC4943">
        <v>3.9870999999999901</v>
      </c>
      <c r="AD4943">
        <v>-1.125614595102</v>
      </c>
      <c r="AE4943">
        <v>-14.169560000000001</v>
      </c>
      <c r="AF4943">
        <v>-3.43140441825346</v>
      </c>
      <c r="AG4943">
        <v>-1.125614595102</v>
      </c>
      <c r="AH4943">
        <v>14.226274949098199</v>
      </c>
      <c r="AI4943">
        <v>94.398326377876998</v>
      </c>
      <c r="AJ4943">
        <v>103.56082827866599</v>
      </c>
      <c r="AK4943">
        <v>14.677480826955801</v>
      </c>
      <c r="AL4943">
        <v>80.400943821067401</v>
      </c>
      <c r="AM4943">
        <v>101.54524731585001</v>
      </c>
      <c r="AN4943">
        <v>0.99999997245874905</v>
      </c>
    </row>
    <row r="4944" spans="1:40" x14ac:dyDescent="0.25">
      <c r="A4944" t="str">
        <f>"20190303162920789"</f>
        <v>20190303162920789</v>
      </c>
      <c r="B4944" t="str">
        <f>"1551601760776432"</f>
        <v>1551601760776432</v>
      </c>
      <c r="C4944" t="s">
        <v>40</v>
      </c>
      <c r="D4944">
        <v>4.588006</v>
      </c>
      <c r="E4944">
        <v>0.41800379999999998</v>
      </c>
      <c r="F4944" t="s">
        <v>57</v>
      </c>
      <c r="G4944">
        <v>-417.58730000000003</v>
      </c>
      <c r="H4944" s="1">
        <v>-7.6611159999999905E-6</v>
      </c>
      <c r="I4944">
        <v>25.545490000000001</v>
      </c>
      <c r="J4944">
        <v>-421.53809999999999</v>
      </c>
      <c r="K4944">
        <v>1.1260079999999999</v>
      </c>
      <c r="L4944">
        <v>38.74362</v>
      </c>
      <c r="M4944">
        <v>4.3882650000000002E-2</v>
      </c>
      <c r="N4944">
        <v>-1.226318E-2</v>
      </c>
      <c r="O4944">
        <v>-0.9989614</v>
      </c>
      <c r="P4944">
        <v>0.2493195</v>
      </c>
      <c r="Q4944">
        <v>0.15038299999999999</v>
      </c>
      <c r="R4944">
        <v>-0.95667389999999997</v>
      </c>
      <c r="S4944">
        <v>0.86734009999999995</v>
      </c>
      <c r="T4944">
        <v>-0.2459596</v>
      </c>
      <c r="U4944">
        <v>-2.9558409999999999</v>
      </c>
      <c r="V4944">
        <v>-0.20902019999999999</v>
      </c>
      <c r="W4944">
        <v>0.15973780000000001</v>
      </c>
      <c r="X4944">
        <v>0.96477690000000005</v>
      </c>
      <c r="Y4944">
        <v>-0.2384011</v>
      </c>
      <c r="Z4944">
        <v>6.7785410000000004E-2</v>
      </c>
      <c r="AA4944">
        <v>0.9687983</v>
      </c>
      <c r="AB4944">
        <v>33</v>
      </c>
      <c r="AC4944">
        <v>3.9507999999999499</v>
      </c>
      <c r="AD4944">
        <v>-1.1260156611159999</v>
      </c>
      <c r="AE4944">
        <v>-13.198130000000001</v>
      </c>
      <c r="AF4944">
        <v>-3.3454327164120299</v>
      </c>
      <c r="AG4944">
        <v>-1.1260156611159999</v>
      </c>
      <c r="AH4944">
        <v>13.270150679188999</v>
      </c>
      <c r="AI4944">
        <v>94.7036388545378</v>
      </c>
      <c r="AJ4944">
        <v>104.14954339019199</v>
      </c>
      <c r="AK4944">
        <v>13.7315960608189</v>
      </c>
      <c r="AL4944">
        <v>80.808322821162903</v>
      </c>
      <c r="AM4944">
        <v>102.224283431345</v>
      </c>
      <c r="AN4944">
        <v>1.00000003776524</v>
      </c>
    </row>
    <row r="4945" spans="1:40" x14ac:dyDescent="0.25">
      <c r="A4945" t="str">
        <f>"20190303162920811"</f>
        <v>20190303162920811</v>
      </c>
      <c r="B4945" t="str">
        <f>"1551601760806688"</f>
        <v>1551601760806688</v>
      </c>
      <c r="C4945" t="s">
        <v>40</v>
      </c>
      <c r="D4945">
        <v>4.0702119999999997</v>
      </c>
      <c r="E4945">
        <v>0.39005200000000001</v>
      </c>
      <c r="F4945" t="s">
        <v>44</v>
      </c>
      <c r="G4945">
        <v>-421.05290000000002</v>
      </c>
      <c r="H4945">
        <v>1.0390269999999999</v>
      </c>
      <c r="I4945">
        <v>37.75282</v>
      </c>
      <c r="J4945">
        <v>-421.51690000000002</v>
      </c>
      <c r="K4945">
        <v>1.1263749999999999</v>
      </c>
      <c r="L4945">
        <v>38.410890000000002</v>
      </c>
      <c r="M4945">
        <v>5.0692569999999999E-2</v>
      </c>
      <c r="N4945">
        <v>-1.2296700000000001E-2</v>
      </c>
      <c r="O4945">
        <v>-0.99863869999999999</v>
      </c>
      <c r="P4945">
        <v>0.26887490000000003</v>
      </c>
      <c r="Q4945">
        <v>0.14544360000000001</v>
      </c>
      <c r="R4945">
        <v>-0.95213080000000005</v>
      </c>
      <c r="S4945">
        <v>1.379211</v>
      </c>
      <c r="T4945">
        <v>-0.24714910000000001</v>
      </c>
      <c r="U4945">
        <v>-2.815277</v>
      </c>
      <c r="V4945">
        <v>-0.22227730000000001</v>
      </c>
      <c r="W4945">
        <v>0.1544287</v>
      </c>
      <c r="X4945">
        <v>0.96267579999999997</v>
      </c>
      <c r="Y4945">
        <v>-0.392654</v>
      </c>
      <c r="Z4945">
        <v>6.7188330000000004E-2</v>
      </c>
      <c r="AA4945">
        <v>0.91722879999999996</v>
      </c>
      <c r="AB4945">
        <v>33</v>
      </c>
      <c r="AC4945">
        <v>0.46399999999999803</v>
      </c>
      <c r="AD4945">
        <v>-8.7347999999999704E-2</v>
      </c>
      <c r="AE4945">
        <v>-0.65807000000000204</v>
      </c>
      <c r="AF4945">
        <v>-0.42503978889037097</v>
      </c>
      <c r="AG4945">
        <v>-8.7347999999999704E-2</v>
      </c>
      <c r="AH4945">
        <v>0.67282920925</v>
      </c>
      <c r="AI4945">
        <v>96.263486170888996</v>
      </c>
      <c r="AJ4945">
        <v>122.28142853062501</v>
      </c>
      <c r="AK4945">
        <v>0.80061703708074505</v>
      </c>
      <c r="AL4945">
        <v>81.116336286414494</v>
      </c>
      <c r="AM4945">
        <v>103.00147362061099</v>
      </c>
      <c r="AN4945">
        <v>1.0000000586922999</v>
      </c>
    </row>
    <row r="4946" spans="1:40" x14ac:dyDescent="0.25">
      <c r="A4946" t="str">
        <f>"20190303162920834"</f>
        <v>20190303162920834</v>
      </c>
      <c r="B4946" t="str">
        <f>"1551601760827183"</f>
        <v>1551601760827183</v>
      </c>
      <c r="C4946" t="s">
        <v>40</v>
      </c>
      <c r="D4946">
        <v>4.4934909999999997</v>
      </c>
      <c r="E4946">
        <v>0.30042920000000001</v>
      </c>
      <c r="F4946" t="s">
        <v>44</v>
      </c>
      <c r="G4946">
        <v>-420.99099999999999</v>
      </c>
      <c r="H4946">
        <v>1.0368980000000001</v>
      </c>
      <c r="I4946">
        <v>37.540900000000001</v>
      </c>
      <c r="J4946">
        <v>-421.49220000000003</v>
      </c>
      <c r="K4946">
        <v>1.1267560000000001</v>
      </c>
      <c r="L4946">
        <v>38.065579999999997</v>
      </c>
      <c r="M4946">
        <v>5.8227710000000002E-2</v>
      </c>
      <c r="N4946">
        <v>-1.233135E-2</v>
      </c>
      <c r="O4946">
        <v>-0.99822719999999998</v>
      </c>
      <c r="P4946">
        <v>0.29075489999999998</v>
      </c>
      <c r="Q4946">
        <v>0.14367629999999901</v>
      </c>
      <c r="R4946">
        <v>-0.94594840000000002</v>
      </c>
      <c r="S4946">
        <v>1.6496580000000001</v>
      </c>
      <c r="T4946">
        <v>-0.28055059999999998</v>
      </c>
      <c r="U4946">
        <v>-2.727814</v>
      </c>
      <c r="V4946">
        <v>-0.2373188</v>
      </c>
      <c r="W4946">
        <v>0.15223100000000001</v>
      </c>
      <c r="X4946">
        <v>0.9594298</v>
      </c>
      <c r="Y4946">
        <v>-0.46499600000000002</v>
      </c>
      <c r="Z4946">
        <v>7.6691629999999997E-2</v>
      </c>
      <c r="AA4946">
        <v>0.88198480000000001</v>
      </c>
      <c r="AB4946">
        <v>33</v>
      </c>
      <c r="AC4946">
        <v>0.50120000000003895</v>
      </c>
      <c r="AD4946">
        <v>-8.9857999999999993E-2</v>
      </c>
      <c r="AE4946">
        <v>-0.52467999999999604</v>
      </c>
      <c r="AF4946">
        <v>-0.46270011570648101</v>
      </c>
      <c r="AG4946">
        <v>-8.9857999999999993E-2</v>
      </c>
      <c r="AH4946">
        <v>0.54462305350946505</v>
      </c>
      <c r="AI4946">
        <v>97.166725704356395</v>
      </c>
      <c r="AJ4946">
        <v>130.35051805517799</v>
      </c>
      <c r="AK4946">
        <v>0.72026392916261295</v>
      </c>
      <c r="AL4946">
        <v>81.243761662969703</v>
      </c>
      <c r="AM4946">
        <v>103.89346823040199</v>
      </c>
      <c r="AN4946">
        <v>1.0000000156612301</v>
      </c>
    </row>
    <row r="4947" spans="1:40" x14ac:dyDescent="0.25">
      <c r="A4947" t="str">
        <f>"20190303162920856"</f>
        <v>20190303162920856</v>
      </c>
      <c r="B4947" t="str">
        <f>"1551601760847680"</f>
        <v>1551601760847680</v>
      </c>
      <c r="C4947" t="s">
        <v>40</v>
      </c>
      <c r="D4947">
        <v>4.5268449999999998</v>
      </c>
      <c r="E4947">
        <v>0.30046430000000002</v>
      </c>
      <c r="F4947" t="s">
        <v>57</v>
      </c>
      <c r="G4947">
        <v>-415.84890000000001</v>
      </c>
      <c r="H4947" s="1">
        <v>-5.3416520000000004E-6</v>
      </c>
      <c r="I4947">
        <v>32.155159999999903</v>
      </c>
      <c r="J4947">
        <v>-421.46719999999999</v>
      </c>
      <c r="K4947">
        <v>1.1270910000000001</v>
      </c>
      <c r="L4947">
        <v>37.753599999999999</v>
      </c>
      <c r="M4947">
        <v>6.5434080000000006E-2</v>
      </c>
      <c r="N4947">
        <v>-1.23654E-2</v>
      </c>
      <c r="O4947">
        <v>-0.99778040000000001</v>
      </c>
      <c r="P4947">
        <v>0.31290669999999998</v>
      </c>
      <c r="Q4947">
        <v>0.14238909999999999</v>
      </c>
      <c r="R4947">
        <v>-0.93904980000000005</v>
      </c>
      <c r="S4947">
        <v>2.3946230000000002</v>
      </c>
      <c r="T4947">
        <v>-0.47812369999999998</v>
      </c>
      <c r="U4947">
        <v>-2.5079959999999999</v>
      </c>
      <c r="V4947">
        <v>-0.25303819999999999</v>
      </c>
      <c r="W4947">
        <v>0.15049409999999999</v>
      </c>
      <c r="X4947">
        <v>0.95567939999999996</v>
      </c>
      <c r="Y4947">
        <v>-0.63566230000000001</v>
      </c>
      <c r="Z4947">
        <v>0.12760070000000001</v>
      </c>
      <c r="AA4947">
        <v>0.76134849999999998</v>
      </c>
      <c r="AB4947">
        <v>33</v>
      </c>
      <c r="AC4947">
        <v>5.6182999999999703</v>
      </c>
      <c r="AD4947">
        <v>-1.1270963416519999</v>
      </c>
      <c r="AE4947">
        <v>-5.5984400000000001</v>
      </c>
      <c r="AF4947">
        <v>-5.1361819357922904</v>
      </c>
      <c r="AG4947">
        <v>-1.1270963416519999</v>
      </c>
      <c r="AH4947">
        <v>5.8362407671258696</v>
      </c>
      <c r="AI4947">
        <v>98.248951614117601</v>
      </c>
      <c r="AJ4947">
        <v>131.34938200197999</v>
      </c>
      <c r="AK4947">
        <v>7.8557251309338998</v>
      </c>
      <c r="AL4947">
        <v>81.344438199642397</v>
      </c>
      <c r="AM4947">
        <v>104.83007916062201</v>
      </c>
      <c r="AN4947">
        <v>0.99999996018920401</v>
      </c>
    </row>
    <row r="4948" spans="1:40" x14ac:dyDescent="0.25">
      <c r="A4948" t="str">
        <f>"20190303162920878"</f>
        <v>20190303162920878</v>
      </c>
      <c r="B4948" t="str">
        <f>"1551601760867199"</f>
        <v>1551601760867199</v>
      </c>
      <c r="C4948" t="s">
        <v>40</v>
      </c>
      <c r="D4948">
        <v>4.4686170000000001</v>
      </c>
      <c r="E4948">
        <v>0.30455120000000002</v>
      </c>
      <c r="F4948" t="s">
        <v>57</v>
      </c>
      <c r="G4948">
        <v>-415.83499999999998</v>
      </c>
      <c r="H4948" s="1">
        <v>-5.3626909999999999E-6</v>
      </c>
      <c r="I4948">
        <v>32.119929999999997</v>
      </c>
      <c r="J4948">
        <v>-421.43869999999998</v>
      </c>
      <c r="K4948">
        <v>1.127448</v>
      </c>
      <c r="L4948">
        <v>37.430689999999998</v>
      </c>
      <c r="M4948">
        <v>7.3290469999999996E-2</v>
      </c>
      <c r="N4948">
        <v>-1.2404210000000001E-2</v>
      </c>
      <c r="O4948">
        <v>-0.99723349999999999</v>
      </c>
      <c r="P4948">
        <v>0.33566479999999999</v>
      </c>
      <c r="Q4948">
        <v>0.14024489999999901</v>
      </c>
      <c r="R4948">
        <v>-0.93148299999999995</v>
      </c>
      <c r="S4948">
        <v>2.4515690000000001</v>
      </c>
      <c r="T4948">
        <v>-0.49059920000000001</v>
      </c>
      <c r="U4948">
        <v>-2.4522089999999999</v>
      </c>
      <c r="V4948">
        <v>-0.26884069999999999</v>
      </c>
      <c r="W4948">
        <v>0.1478631</v>
      </c>
      <c r="X4948">
        <v>0.95176740000000004</v>
      </c>
      <c r="Y4948">
        <v>-0.6466674</v>
      </c>
      <c r="Z4948">
        <v>0.13160160000000001</v>
      </c>
      <c r="AA4948">
        <v>0.75133369999999999</v>
      </c>
      <c r="AB4948">
        <v>33</v>
      </c>
      <c r="AC4948">
        <v>5.6036999999999999</v>
      </c>
      <c r="AD4948">
        <v>-1.1274533626909999</v>
      </c>
      <c r="AE4948">
        <v>-5.3107600000000001</v>
      </c>
      <c r="AF4948">
        <v>-5.0908026662511601</v>
      </c>
      <c r="AG4948">
        <v>-1.1274533626909999</v>
      </c>
      <c r="AH4948">
        <v>5.5880340856823301</v>
      </c>
      <c r="AI4948">
        <v>98.483054915552103</v>
      </c>
      <c r="AJ4948">
        <v>132.33410103878299</v>
      </c>
      <c r="AK4948">
        <v>7.6428756246913201</v>
      </c>
      <c r="AL4948">
        <v>81.496889686289407</v>
      </c>
      <c r="AM4948">
        <v>105.773113263011</v>
      </c>
      <c r="AN4948">
        <v>1.00000000101043</v>
      </c>
    </row>
    <row r="4949" spans="1:40" x14ac:dyDescent="0.25">
      <c r="A4949" t="str">
        <f>"20190303162920901"</f>
        <v>20190303162920901</v>
      </c>
      <c r="B4949" t="str">
        <f>"1551601760886720"</f>
        <v>1551601760886720</v>
      </c>
      <c r="C4949" t="s">
        <v>40</v>
      </c>
      <c r="D4949">
        <v>4.4803129999999998</v>
      </c>
      <c r="E4949">
        <v>0.30931310000000001</v>
      </c>
      <c r="F4949" t="s">
        <v>57</v>
      </c>
      <c r="G4949">
        <v>-415.69819999999999</v>
      </c>
      <c r="H4949" s="1">
        <v>-5.5206400000000004E-6</v>
      </c>
      <c r="I4949">
        <v>31.869479999999999</v>
      </c>
      <c r="J4949">
        <v>-421.4074</v>
      </c>
      <c r="K4949">
        <v>1.1278109999999999</v>
      </c>
      <c r="L4949">
        <v>37.110529999999997</v>
      </c>
      <c r="M4949">
        <v>8.1490569999999998E-2</v>
      </c>
      <c r="N4949">
        <v>-1.24467E-2</v>
      </c>
      <c r="O4949">
        <v>-0.99659660000000005</v>
      </c>
      <c r="P4949">
        <v>0.35913329999999999</v>
      </c>
      <c r="Q4949">
        <v>0.1397137</v>
      </c>
      <c r="R4949">
        <v>-0.92276950000000002</v>
      </c>
      <c r="S4949">
        <v>2.4783019999999998</v>
      </c>
      <c r="T4949">
        <v>-0.48674879999999998</v>
      </c>
      <c r="U4949">
        <v>-2.400909</v>
      </c>
      <c r="V4949">
        <v>-0.28521299999999999</v>
      </c>
      <c r="W4949">
        <v>0.1467986</v>
      </c>
      <c r="X4949">
        <v>0.94715559999999999</v>
      </c>
      <c r="Y4949">
        <v>-0.65243569999999995</v>
      </c>
      <c r="Z4949">
        <v>0.13157569999999999</v>
      </c>
      <c r="AA4949">
        <v>0.74633470000000002</v>
      </c>
      <c r="AB4949">
        <v>33</v>
      </c>
      <c r="AC4949">
        <v>5.7092000000000098</v>
      </c>
      <c r="AD4949">
        <v>-1.1278165206399999</v>
      </c>
      <c r="AE4949">
        <v>-5.2410499999999898</v>
      </c>
      <c r="AF4949">
        <v>-5.1539345500512503</v>
      </c>
      <c r="AG4949">
        <v>-1.1278165206399999</v>
      </c>
      <c r="AH4949">
        <v>5.5709222861840901</v>
      </c>
      <c r="AI4949">
        <v>98.452590667434905</v>
      </c>
      <c r="AJ4949">
        <v>132.77343327539</v>
      </c>
      <c r="AK4949">
        <v>7.67269096009628</v>
      </c>
      <c r="AL4949">
        <v>81.558554027520003</v>
      </c>
      <c r="AM4949">
        <v>106.758404164544</v>
      </c>
      <c r="AN4949">
        <v>1.0000000074711599</v>
      </c>
    </row>
    <row r="4950" spans="1:40" x14ac:dyDescent="0.25">
      <c r="A4950" t="str">
        <f>"20190303162920923"</f>
        <v>20190303162920923</v>
      </c>
      <c r="B4950" t="str">
        <f>"1551601760916976"</f>
        <v>1551601760916976</v>
      </c>
      <c r="C4950" t="s">
        <v>40</v>
      </c>
      <c r="D4950">
        <v>4.0857390000000002</v>
      </c>
      <c r="E4950">
        <v>0.3679113</v>
      </c>
      <c r="F4950" t="s">
        <v>57</v>
      </c>
      <c r="G4950">
        <v>-415.49130000000002</v>
      </c>
      <c r="H4950" s="1">
        <v>-5.6890799999999997E-6</v>
      </c>
      <c r="I4950">
        <v>31.552520000000001</v>
      </c>
      <c r="J4950">
        <v>-421.37130000000002</v>
      </c>
      <c r="K4950">
        <v>1.1282289999999999</v>
      </c>
      <c r="L4950">
        <v>36.772550000000003</v>
      </c>
      <c r="M4950">
        <v>9.0603020000000006E-2</v>
      </c>
      <c r="N4950">
        <v>-1.249634E-2</v>
      </c>
      <c r="O4950">
        <v>-0.99580869999999999</v>
      </c>
      <c r="P4950">
        <v>0.38250899999999999</v>
      </c>
      <c r="Q4950">
        <v>0.14026529999999901</v>
      </c>
      <c r="R4950">
        <v>-0.91324309999999997</v>
      </c>
      <c r="S4950">
        <v>2.5012210000000001</v>
      </c>
      <c r="T4950">
        <v>-0.47681899999999999</v>
      </c>
      <c r="U4950">
        <v>-2.3498230000000002</v>
      </c>
      <c r="V4950">
        <v>-0.30081729999999901</v>
      </c>
      <c r="W4950">
        <v>0.1467793</v>
      </c>
      <c r="X4950">
        <v>0.94231889999999996</v>
      </c>
      <c r="Y4950">
        <v>-0.65715979999999996</v>
      </c>
      <c r="Z4950">
        <v>0.12986539999999999</v>
      </c>
      <c r="AA4950">
        <v>0.74247959999999902</v>
      </c>
      <c r="AB4950">
        <v>33</v>
      </c>
      <c r="AC4950">
        <v>5.8799999999999901</v>
      </c>
      <c r="AD4950">
        <v>-1.1282346890799999</v>
      </c>
      <c r="AE4950">
        <v>-5.2200300000000004</v>
      </c>
      <c r="AF4950">
        <v>-5.2742305619923204</v>
      </c>
      <c r="AG4950">
        <v>-1.1282346890799999</v>
      </c>
      <c r="AH4950">
        <v>5.6157190290197603</v>
      </c>
      <c r="AI4950">
        <v>98.331469528650004</v>
      </c>
      <c r="AJ4950">
        <v>133.203900000934</v>
      </c>
      <c r="AK4950">
        <v>7.7863163143807599</v>
      </c>
      <c r="AL4950">
        <v>81.559672392911594</v>
      </c>
      <c r="AM4950">
        <v>107.704689170707</v>
      </c>
      <c r="AN4950">
        <v>1.0000000600924901</v>
      </c>
    </row>
    <row r="4951" spans="1:40" x14ac:dyDescent="0.25">
      <c r="A4951" t="str">
        <f>"20190303162920944"</f>
        <v>20190303162920944</v>
      </c>
      <c r="B4951" t="str">
        <f>"1551601760936495"</f>
        <v>1551601760936495</v>
      </c>
      <c r="C4951" t="s">
        <v>40</v>
      </c>
      <c r="D4951">
        <v>4.5381039999999997</v>
      </c>
      <c r="E4951">
        <v>0.37003960000000002</v>
      </c>
      <c r="F4951" t="s">
        <v>59</v>
      </c>
      <c r="G4951">
        <v>-389.38339999999999</v>
      </c>
      <c r="H4951">
        <v>1.693468</v>
      </c>
      <c r="I4951">
        <v>0.78876499999999905</v>
      </c>
      <c r="J4951">
        <v>-421.3347</v>
      </c>
      <c r="K4951">
        <v>1.1286259999999999</v>
      </c>
      <c r="L4951">
        <v>36.46313</v>
      </c>
      <c r="M4951">
        <v>9.9424239999999997E-2</v>
      </c>
      <c r="N4951">
        <v>-1.2548510000000001E-2</v>
      </c>
      <c r="O4951">
        <v>-0.99496609999999996</v>
      </c>
      <c r="P4951">
        <v>0.40360859999999998</v>
      </c>
      <c r="Q4951">
        <v>0.14010029999999901</v>
      </c>
      <c r="R4951">
        <v>-0.90414139999999998</v>
      </c>
      <c r="S4951">
        <v>2.1241759999999998</v>
      </c>
      <c r="T4951">
        <v>3.7533280000000002E-2</v>
      </c>
      <c r="U4951">
        <v>-2.389526</v>
      </c>
      <c r="V4951">
        <v>-0.31447180000000002</v>
      </c>
      <c r="W4951">
        <v>0.14607410000000001</v>
      </c>
      <c r="X4951">
        <v>0.93796040000000003</v>
      </c>
      <c r="Y4951">
        <v>-0.58658679999999996</v>
      </c>
      <c r="Z4951">
        <v>-2.4138949999999999E-2</v>
      </c>
      <c r="AA4951">
        <v>0.80952659999999999</v>
      </c>
      <c r="AB4951">
        <v>33</v>
      </c>
      <c r="AC4951">
        <v>31.9513</v>
      </c>
      <c r="AD4951">
        <v>0.56484199999999896</v>
      </c>
      <c r="AE4951">
        <v>-35.674365000000002</v>
      </c>
      <c r="AF4951">
        <v>-28.241856446445102</v>
      </c>
      <c r="AG4951">
        <v>0.56484199999999896</v>
      </c>
      <c r="AH4951">
        <v>38.669179904040298</v>
      </c>
      <c r="AI4951">
        <v>89.324172025873906</v>
      </c>
      <c r="AJ4951">
        <v>126.14235098829801</v>
      </c>
      <c r="AK4951">
        <v>47.887649519240497</v>
      </c>
      <c r="AL4951">
        <v>81.600516556216803</v>
      </c>
      <c r="AM4951">
        <v>108.534857036754</v>
      </c>
      <c r="AN4951">
        <v>0.99999993382710195</v>
      </c>
    </row>
    <row r="4952" spans="1:40" x14ac:dyDescent="0.25">
      <c r="A4952" t="str">
        <f>"20190303162920967"</f>
        <v>20190303162920967</v>
      </c>
      <c r="B4952" t="str">
        <f>"1551601760956992"</f>
        <v>1551601760956992</v>
      </c>
      <c r="C4952" t="s">
        <v>40</v>
      </c>
      <c r="D4952">
        <v>4.4115409999999997</v>
      </c>
      <c r="E4952">
        <v>0.3648806</v>
      </c>
      <c r="F4952" t="s">
        <v>59</v>
      </c>
      <c r="G4952">
        <v>-388.4452</v>
      </c>
      <c r="H4952">
        <v>1.645894</v>
      </c>
      <c r="I4952">
        <v>0.7983036</v>
      </c>
      <c r="J4952">
        <v>-421.29270000000002</v>
      </c>
      <c r="K4952">
        <v>1.1290119999999999</v>
      </c>
      <c r="L4952">
        <v>36.135469999999998</v>
      </c>
      <c r="M4952">
        <v>0.10918020000000001</v>
      </c>
      <c r="N4952">
        <v>-1.260702E-2</v>
      </c>
      <c r="O4952">
        <v>-0.99394210000000005</v>
      </c>
      <c r="P4952">
        <v>0.4238307</v>
      </c>
      <c r="Q4952">
        <v>0.1405961</v>
      </c>
      <c r="R4952">
        <v>-0.89476290000000003</v>
      </c>
      <c r="S4952">
        <v>2.1641240000000002</v>
      </c>
      <c r="T4952">
        <v>3.4034490000000001E-2</v>
      </c>
      <c r="U4952">
        <v>-2.3467410000000002</v>
      </c>
      <c r="V4952">
        <v>-0.32650899999999999</v>
      </c>
      <c r="W4952">
        <v>0.14604159999999999</v>
      </c>
      <c r="X4952">
        <v>0.93384350000000005</v>
      </c>
      <c r="Y4952">
        <v>-0.5934159</v>
      </c>
      <c r="Z4952">
        <v>-2.3057350000000001E-2</v>
      </c>
      <c r="AA4952">
        <v>0.80456569999999905</v>
      </c>
      <c r="AB4952">
        <v>33</v>
      </c>
      <c r="AC4952">
        <v>32.847499999999997</v>
      </c>
      <c r="AD4952">
        <v>0.51688199999999895</v>
      </c>
      <c r="AE4952">
        <v>-35.337166400000001</v>
      </c>
      <c r="AF4952">
        <v>-28.789375856695699</v>
      </c>
      <c r="AG4952">
        <v>0.51688199999999895</v>
      </c>
      <c r="AH4952">
        <v>38.7080247647745</v>
      </c>
      <c r="AI4952">
        <v>89.386116122337398</v>
      </c>
      <c r="AJ4952">
        <v>126.640295312379</v>
      </c>
      <c r="AK4952">
        <v>48.2432017014875</v>
      </c>
      <c r="AL4952">
        <v>81.6023992390666</v>
      </c>
      <c r="AM4952">
        <v>109.271666412984</v>
      </c>
      <c r="AN4952">
        <v>0.99999997925190398</v>
      </c>
    </row>
    <row r="4953" spans="1:40" x14ac:dyDescent="0.25">
      <c r="A4953" t="str">
        <f>"20190303162920989"</f>
        <v>20190303162920989</v>
      </c>
      <c r="B4953" t="str">
        <f>"1551601760987248"</f>
        <v>1551601760987248</v>
      </c>
      <c r="C4953" t="s">
        <v>40</v>
      </c>
      <c r="D4953">
        <v>4.4473710000000004</v>
      </c>
      <c r="E4953">
        <v>0.36118810000000001</v>
      </c>
      <c r="F4953" t="s">
        <v>59</v>
      </c>
      <c r="G4953">
        <v>-386.57389999999998</v>
      </c>
      <c r="H4953">
        <v>0.15951899999999999</v>
      </c>
      <c r="I4953">
        <v>0.81733129999999998</v>
      </c>
      <c r="J4953">
        <v>-421.24829999999997</v>
      </c>
      <c r="K4953">
        <v>1.1293799999999901</v>
      </c>
      <c r="L4953">
        <v>35.81711</v>
      </c>
      <c r="M4953">
        <v>0.11907479999999999</v>
      </c>
      <c r="N4953">
        <v>-1.2663260000000001E-2</v>
      </c>
      <c r="O4953">
        <v>-0.99280480000000004</v>
      </c>
      <c r="P4953">
        <v>0.44327559999999999</v>
      </c>
      <c r="Q4953">
        <v>0.1427686</v>
      </c>
      <c r="R4953">
        <v>-0.88494309999999998</v>
      </c>
      <c r="S4953">
        <v>2.2554630000000002</v>
      </c>
      <c r="T4953">
        <v>-6.2983750000000005E-2</v>
      </c>
      <c r="U4953">
        <v>-2.294403</v>
      </c>
      <c r="V4953">
        <v>-0.33782200000000001</v>
      </c>
      <c r="W4953">
        <v>0.1476915</v>
      </c>
      <c r="X4953">
        <v>0.92955019999999999</v>
      </c>
      <c r="Y4953">
        <v>-0.61098999999999903</v>
      </c>
      <c r="Z4953">
        <v>8.1708449999999995E-3</v>
      </c>
      <c r="AA4953">
        <v>0.79159619999999997</v>
      </c>
      <c r="AB4953">
        <v>33</v>
      </c>
      <c r="AC4953">
        <v>34.674399999999899</v>
      </c>
      <c r="AD4953">
        <v>-0.96986099999999997</v>
      </c>
      <c r="AE4953">
        <v>-34.9997787</v>
      </c>
      <c r="AF4953">
        <v>-30.248015520999001</v>
      </c>
      <c r="AG4953">
        <v>-0.96986099999999997</v>
      </c>
      <c r="AH4953">
        <v>38.864841614374697</v>
      </c>
      <c r="AI4953">
        <v>91.128191087700699</v>
      </c>
      <c r="AJ4953">
        <v>127.893171579894</v>
      </c>
      <c r="AK4953">
        <v>49.258085499015799</v>
      </c>
      <c r="AL4953">
        <v>81.506831024735504</v>
      </c>
      <c r="AM4953">
        <v>109.97242178689299</v>
      </c>
      <c r="AN4953">
        <v>1.0000000285881401</v>
      </c>
    </row>
    <row r="4954" spans="1:40" x14ac:dyDescent="0.25">
      <c r="A4954" t="str">
        <f>"20190303162921005"</f>
        <v>20190303162921005</v>
      </c>
      <c r="B4954" t="str">
        <f>"1551601760997008"</f>
        <v>1551601760997008</v>
      </c>
      <c r="C4954" t="s">
        <v>40</v>
      </c>
      <c r="D4954">
        <v>4.3068759999999999</v>
      </c>
      <c r="E4954">
        <v>0.35926059999999999</v>
      </c>
      <c r="F4954" t="s">
        <v>57</v>
      </c>
      <c r="G4954">
        <v>-401.77019999999999</v>
      </c>
      <c r="H4954" s="1">
        <v>-6.8328589999999998E-6</v>
      </c>
      <c r="I4954">
        <v>17.08961</v>
      </c>
      <c r="J4954">
        <v>-421.21230000000003</v>
      </c>
      <c r="K4954">
        <v>1.1296660000000001</v>
      </c>
      <c r="L4954">
        <v>35.574649999999998</v>
      </c>
      <c r="M4954">
        <v>0.12688339999999901</v>
      </c>
      <c r="N4954">
        <v>-1.270667E-2</v>
      </c>
      <c r="O4954">
        <v>-0.99183619999999995</v>
      </c>
      <c r="P4954">
        <v>0.45450230000000003</v>
      </c>
      <c r="Q4954">
        <v>0.14502490000000001</v>
      </c>
      <c r="R4954">
        <v>-0.87886039999999999</v>
      </c>
      <c r="S4954">
        <v>2.3330989999999998</v>
      </c>
      <c r="T4954">
        <v>-0.13527879999999901</v>
      </c>
      <c r="U4954">
        <v>-2.2431950000000001</v>
      </c>
      <c r="V4954">
        <v>-0.34253739999999999</v>
      </c>
      <c r="W4954">
        <v>0.14963419999999999</v>
      </c>
      <c r="X4954">
        <v>0.92751159999999999</v>
      </c>
      <c r="Y4954">
        <v>-0.62655749999999999</v>
      </c>
      <c r="Z4954">
        <v>3.1263680000000002E-2</v>
      </c>
      <c r="AA4954">
        <v>0.77874790000000005</v>
      </c>
      <c r="AB4954">
        <v>33</v>
      </c>
      <c r="AC4954">
        <v>19.4421</v>
      </c>
      <c r="AD4954">
        <v>-1.129672832859</v>
      </c>
      <c r="AE4954">
        <v>-18.485040000000001</v>
      </c>
      <c r="AF4954">
        <v>-16.9093185583443</v>
      </c>
      <c r="AG4954">
        <v>-1.129672832859</v>
      </c>
      <c r="AH4954">
        <v>20.765869915579099</v>
      </c>
      <c r="AI4954">
        <v>92.415538663065504</v>
      </c>
      <c r="AJ4954">
        <v>129.155379939678</v>
      </c>
      <c r="AK4954">
        <v>26.803405906108701</v>
      </c>
      <c r="AL4954">
        <v>81.394271624692607</v>
      </c>
      <c r="AM4954">
        <v>110.269588547353</v>
      </c>
      <c r="AN4954">
        <v>1.0000000161714799</v>
      </c>
    </row>
    <row r="4955" spans="1:40" x14ac:dyDescent="0.25">
      <c r="A4955" t="str">
        <f>"20190303162921024"</f>
        <v>20190303162921024</v>
      </c>
      <c r="B4955" t="str">
        <f>"1551601761016528"</f>
        <v>1551601761016528</v>
      </c>
      <c r="C4955" t="s">
        <v>40</v>
      </c>
      <c r="D4955">
        <v>4.5726360000000001</v>
      </c>
      <c r="E4955">
        <v>0.35935529999999999</v>
      </c>
      <c r="F4955" t="s">
        <v>57</v>
      </c>
      <c r="G4955">
        <v>-402.16969999999998</v>
      </c>
      <c r="H4955" s="1">
        <v>-6.7878490000000003E-6</v>
      </c>
      <c r="I4955">
        <v>17.878250000000001</v>
      </c>
      <c r="J4955">
        <v>-421.17059999999998</v>
      </c>
      <c r="K4955">
        <v>1.12999</v>
      </c>
      <c r="L4955">
        <v>35.311100000000003</v>
      </c>
      <c r="M4955">
        <v>0.1356841</v>
      </c>
      <c r="N4955">
        <v>-1.2757910000000001E-2</v>
      </c>
      <c r="O4955">
        <v>-0.9906701</v>
      </c>
      <c r="P4955">
        <v>0.47167690000000001</v>
      </c>
      <c r="Q4955">
        <v>0.14796489999999901</v>
      </c>
      <c r="R4955">
        <v>-0.86926840000000005</v>
      </c>
      <c r="S4955">
        <v>2.376007</v>
      </c>
      <c r="T4955">
        <v>-0.1409531</v>
      </c>
      <c r="U4955">
        <v>-2.2080380000000002</v>
      </c>
      <c r="V4955">
        <v>-0.35276489999999999</v>
      </c>
      <c r="W4955">
        <v>0.15208729999999901</v>
      </c>
      <c r="X4955">
        <v>0.92326940000000002</v>
      </c>
      <c r="Y4955">
        <v>-0.63279459999999998</v>
      </c>
      <c r="Z4955">
        <v>3.310395E-2</v>
      </c>
      <c r="AA4955">
        <v>0.77361179999999996</v>
      </c>
      <c r="AB4955">
        <v>33</v>
      </c>
      <c r="AC4955">
        <v>19.000900000000001</v>
      </c>
      <c r="AD4955">
        <v>-1.129996787849</v>
      </c>
      <c r="AE4955">
        <v>-17.432849999999998</v>
      </c>
      <c r="AF4955">
        <v>-16.428053905116698</v>
      </c>
      <c r="AG4955">
        <v>-1.129996787849</v>
      </c>
      <c r="AH4955">
        <v>19.811891799358101</v>
      </c>
      <c r="AI4955">
        <v>92.513989548994701</v>
      </c>
      <c r="AJ4955">
        <v>129.665579488475</v>
      </c>
      <c r="AK4955">
        <v>25.761772154093698</v>
      </c>
      <c r="AL4955">
        <v>81.252091955967501</v>
      </c>
      <c r="AM4955">
        <v>110.910971972628</v>
      </c>
      <c r="AN4955">
        <v>1.00000000323483</v>
      </c>
    </row>
    <row r="4956" spans="1:40" x14ac:dyDescent="0.25">
      <c r="A4956" t="str">
        <f>"20190303162921046"</f>
        <v>20190303162921046</v>
      </c>
      <c r="B4956" t="str">
        <f>"1551601761037025"</f>
        <v>1551601761037025</v>
      </c>
      <c r="C4956" t="s">
        <v>40</v>
      </c>
      <c r="D4956">
        <v>4.5098029999999998</v>
      </c>
      <c r="E4956">
        <v>0.31243179999999998</v>
      </c>
      <c r="F4956" t="s">
        <v>41</v>
      </c>
      <c r="G4956">
        <v>-397.90809999999999</v>
      </c>
      <c r="H4956" s="1">
        <v>-2.1365339999999999E-6</v>
      </c>
      <c r="I4956">
        <v>14.54627</v>
      </c>
      <c r="J4956">
        <v>-421.11610000000002</v>
      </c>
      <c r="K4956">
        <v>1.1303879999999999</v>
      </c>
      <c r="L4956">
        <v>34.990749999999998</v>
      </c>
      <c r="M4956">
        <v>0.14685609999999999</v>
      </c>
      <c r="N4956">
        <v>-1.2828839999999999E-2</v>
      </c>
      <c r="O4956">
        <v>-0.98907460000000003</v>
      </c>
      <c r="P4956">
        <v>0.49043949999999997</v>
      </c>
      <c r="Q4956">
        <v>0.14802460000000001</v>
      </c>
      <c r="R4956">
        <v>-0.85881219999999903</v>
      </c>
      <c r="S4956">
        <v>2.4185180000000002</v>
      </c>
      <c r="T4956">
        <v>-0.11748119999999999</v>
      </c>
      <c r="U4956">
        <v>-2.1588440000000002</v>
      </c>
      <c r="V4956">
        <v>-0.36254069999999999</v>
      </c>
      <c r="W4956">
        <v>0.15160699999999999</v>
      </c>
      <c r="X4956">
        <v>0.91955399999999998</v>
      </c>
      <c r="Y4956">
        <v>-0.63972189999999995</v>
      </c>
      <c r="Z4956">
        <v>2.5745669999999998E-2</v>
      </c>
      <c r="AA4956">
        <v>0.7681751</v>
      </c>
      <c r="AB4956">
        <v>33</v>
      </c>
      <c r="AC4956">
        <v>23.207999999999998</v>
      </c>
      <c r="AD4956">
        <v>-1.1303901365339999</v>
      </c>
      <c r="AE4956">
        <v>-20.444479999999999</v>
      </c>
      <c r="AF4956">
        <v>-19.927072195411899</v>
      </c>
      <c r="AG4956">
        <v>-1.1303901365339999</v>
      </c>
      <c r="AH4956">
        <v>23.599774741135199</v>
      </c>
      <c r="AI4956">
        <v>92.095918904900103</v>
      </c>
      <c r="AJ4956">
        <v>130.17692878026099</v>
      </c>
      <c r="AK4956">
        <v>30.908176199417799</v>
      </c>
      <c r="AL4956">
        <v>81.279933949328793</v>
      </c>
      <c r="AM4956">
        <v>111.517190768343</v>
      </c>
      <c r="AN4956">
        <v>1.0000000002607401</v>
      </c>
    </row>
    <row r="4957" spans="1:40" x14ac:dyDescent="0.25">
      <c r="A4957" t="str">
        <f>"20190303162921090"</f>
        <v>20190303162921090</v>
      </c>
      <c r="B4957" t="str">
        <f>"1551601761086800"</f>
        <v>1551601761086800</v>
      </c>
      <c r="C4957" t="s">
        <v>40</v>
      </c>
      <c r="D4957">
        <v>4.41737</v>
      </c>
      <c r="E4957">
        <v>0.31969239999999999</v>
      </c>
      <c r="F4957" t="s">
        <v>57</v>
      </c>
      <c r="G4957">
        <v>-413.71589999999998</v>
      </c>
      <c r="H4957" s="1">
        <v>-6.6333319999999997E-6</v>
      </c>
      <c r="I4957">
        <v>29.79025</v>
      </c>
      <c r="J4957">
        <v>-420.99700000000001</v>
      </c>
      <c r="K4957">
        <v>1.1311629999999999</v>
      </c>
      <c r="L4957">
        <v>34.361719999999998</v>
      </c>
      <c r="M4957">
        <v>0.1701568</v>
      </c>
      <c r="N4957">
        <v>-1.2984280000000001E-2</v>
      </c>
      <c r="O4957">
        <v>-0.98533139999999997</v>
      </c>
      <c r="P4957">
        <v>0.52859119999999904</v>
      </c>
      <c r="Q4957">
        <v>0.14929379999999901</v>
      </c>
      <c r="R4957">
        <v>-0.83564509999999903</v>
      </c>
      <c r="S4957">
        <v>2.8001710000000002</v>
      </c>
      <c r="T4957">
        <v>-0.42772650000000001</v>
      </c>
      <c r="U4957">
        <v>-1.9678040000000001</v>
      </c>
      <c r="V4957">
        <v>-0.38254470000000002</v>
      </c>
      <c r="W4957">
        <v>0.15173610000000001</v>
      </c>
      <c r="X4957">
        <v>0.91139219999999999</v>
      </c>
      <c r="Y4957">
        <v>-0.70215950000000005</v>
      </c>
      <c r="Z4957">
        <v>0.1191459</v>
      </c>
      <c r="AA4957">
        <v>0.7019803</v>
      </c>
      <c r="AB4957">
        <v>33</v>
      </c>
      <c r="AC4957">
        <v>7.2810999999999799</v>
      </c>
      <c r="AD4957">
        <v>-1.1311696333319901</v>
      </c>
      <c r="AE4957">
        <v>-4.5714699999999899</v>
      </c>
      <c r="AF4957">
        <v>-6.2881123393362897</v>
      </c>
      <c r="AG4957">
        <v>-1.1311696333319901</v>
      </c>
      <c r="AH4957">
        <v>5.6460836229642197</v>
      </c>
      <c r="AI4957">
        <v>97.623790354580095</v>
      </c>
      <c r="AJ4957">
        <v>138.07939551539599</v>
      </c>
      <c r="AK4957">
        <v>8.5263217045212798</v>
      </c>
      <c r="AL4957">
        <v>81.272450633827106</v>
      </c>
      <c r="AM4957">
        <v>112.769577764269</v>
      </c>
      <c r="AN4957">
        <v>1.0000000168810601</v>
      </c>
    </row>
    <row r="4958" spans="1:40" x14ac:dyDescent="0.25">
      <c r="A4958" t="str">
        <f>"20190303162921124"</f>
        <v>20190303162921124</v>
      </c>
      <c r="B4958" t="str">
        <f>"1551601761117056"</f>
        <v>1551601761117056</v>
      </c>
      <c r="C4958" t="s">
        <v>40</v>
      </c>
      <c r="D4958">
        <v>4.3206419999999897</v>
      </c>
      <c r="E4958">
        <v>0.32421420000000001</v>
      </c>
      <c r="F4958" t="s">
        <v>57</v>
      </c>
      <c r="G4958">
        <v>-411.88139999999999</v>
      </c>
      <c r="H4958" s="1">
        <v>-9.9819789999999995E-6</v>
      </c>
      <c r="I4958">
        <v>28.37323</v>
      </c>
      <c r="J4958">
        <v>-420.89460000000003</v>
      </c>
      <c r="K4958">
        <v>1.131756</v>
      </c>
      <c r="L4958">
        <v>33.8797</v>
      </c>
      <c r="M4958">
        <v>0.1891679</v>
      </c>
      <c r="N4958">
        <v>-1.3107840000000001E-2</v>
      </c>
      <c r="O4958">
        <v>-0.98185750000000005</v>
      </c>
      <c r="P4958">
        <v>0.55196669999999903</v>
      </c>
      <c r="Q4958">
        <v>0.15178039999999901</v>
      </c>
      <c r="R4958">
        <v>-0.81993680000000002</v>
      </c>
      <c r="S4958">
        <v>2.8327330000000002</v>
      </c>
      <c r="T4958">
        <v>-0.35151909999999997</v>
      </c>
      <c r="U4958">
        <v>-1.860962</v>
      </c>
      <c r="V4958">
        <v>-0.3910246</v>
      </c>
      <c r="W4958">
        <v>0.15352550000000001</v>
      </c>
      <c r="X4958">
        <v>0.9074854</v>
      </c>
      <c r="Y4958">
        <v>-0.71244849999999904</v>
      </c>
      <c r="Z4958">
        <v>9.7754889999999997E-2</v>
      </c>
      <c r="AA4958">
        <v>0.69488219999999901</v>
      </c>
      <c r="AB4958">
        <v>33</v>
      </c>
      <c r="AC4958">
        <v>9.0132000000000296</v>
      </c>
      <c r="AD4958">
        <v>-1.131765981979</v>
      </c>
      <c r="AE4958">
        <v>-5.5064699999999904</v>
      </c>
      <c r="AF4958">
        <v>-7.7200597879589798</v>
      </c>
      <c r="AG4958">
        <v>-1.131765981979</v>
      </c>
      <c r="AH4958">
        <v>7.0314528653411301</v>
      </c>
      <c r="AI4958">
        <v>96.185760457482999</v>
      </c>
      <c r="AJ4958">
        <v>137.67265133918201</v>
      </c>
      <c r="AK4958">
        <v>10.503406436253901</v>
      </c>
      <c r="AL4958">
        <v>81.168710206399396</v>
      </c>
      <c r="AM4958">
        <v>113.310631813036</v>
      </c>
      <c r="AN4958">
        <v>1.0000000340842801</v>
      </c>
    </row>
    <row r="4959" spans="1:40" x14ac:dyDescent="0.25">
      <c r="A4959" t="str">
        <f>"20190303162921145"</f>
        <v>20190303162921145</v>
      </c>
      <c r="B4959" t="str">
        <f>"1551601761136576"</f>
        <v>1551601761136576</v>
      </c>
      <c r="C4959" t="s">
        <v>40</v>
      </c>
      <c r="D4959">
        <v>4.4912070000000002</v>
      </c>
      <c r="E4959">
        <v>0.325727299999999</v>
      </c>
      <c r="F4959" t="s">
        <v>57</v>
      </c>
      <c r="G4959">
        <v>-410.40969999999999</v>
      </c>
      <c r="H4959" s="1">
        <v>-1.039903E-5</v>
      </c>
      <c r="I4959">
        <v>27.277180000000001</v>
      </c>
      <c r="J4959">
        <v>-420.82510000000002</v>
      </c>
      <c r="K4959">
        <v>1.1320969999999999</v>
      </c>
      <c r="L4959">
        <v>33.579529999999998</v>
      </c>
      <c r="M4959">
        <v>0.20154549999999999</v>
      </c>
      <c r="N4959">
        <v>-1.318735E-2</v>
      </c>
      <c r="O4959">
        <v>-0.9793906</v>
      </c>
      <c r="P4959">
        <v>0.56792769999999904</v>
      </c>
      <c r="Q4959">
        <v>0.15244360000000001</v>
      </c>
      <c r="R4959">
        <v>-0.80883819999999995</v>
      </c>
      <c r="S4959">
        <v>2.8519589999999999</v>
      </c>
      <c r="T4959">
        <v>-0.30784800000000001</v>
      </c>
      <c r="U4959">
        <v>-1.7959290000000001</v>
      </c>
      <c r="V4959">
        <v>-0.39753070000000001</v>
      </c>
      <c r="W4959">
        <v>0.153721</v>
      </c>
      <c r="X4959">
        <v>0.90462100000000001</v>
      </c>
      <c r="Y4959">
        <v>-0.71802159999999904</v>
      </c>
      <c r="Z4959">
        <v>8.5157369999999996E-2</v>
      </c>
      <c r="AA4959">
        <v>0.69079179999999996</v>
      </c>
      <c r="AB4959">
        <v>33</v>
      </c>
      <c r="AC4959">
        <v>10.4154</v>
      </c>
      <c r="AD4959">
        <v>-1.1321073990299999</v>
      </c>
      <c r="AE4959">
        <v>-6.3023499999999997</v>
      </c>
      <c r="AF4959">
        <v>-8.8547316024912508</v>
      </c>
      <c r="AG4959">
        <v>-1.1321073990299999</v>
      </c>
      <c r="AH4959">
        <v>8.2014291242320496</v>
      </c>
      <c r="AI4959">
        <v>95.35866682756</v>
      </c>
      <c r="AJ4959">
        <v>137.19352912652701</v>
      </c>
      <c r="AK4959">
        <v>12.122350374201201</v>
      </c>
      <c r="AL4959">
        <v>81.157373823371898</v>
      </c>
      <c r="AM4959">
        <v>113.7228224238</v>
      </c>
      <c r="AN4959">
        <v>0.99999997846224398</v>
      </c>
    </row>
    <row r="4960" spans="1:40" x14ac:dyDescent="0.25">
      <c r="A4960" t="str">
        <f>"20190303162921168"</f>
        <v>20190303162921168</v>
      </c>
      <c r="B4960" t="str">
        <f>"1551601761156545"</f>
        <v>1551601761156545</v>
      </c>
      <c r="C4960" t="s">
        <v>40</v>
      </c>
      <c r="D4960">
        <v>4.4632120000000004</v>
      </c>
      <c r="E4960">
        <v>0.32724809999999999</v>
      </c>
      <c r="F4960" t="s">
        <v>57</v>
      </c>
      <c r="G4960">
        <v>-410.6069</v>
      </c>
      <c r="H4960" s="1">
        <v>-1.0336539999999999E-5</v>
      </c>
      <c r="I4960">
        <v>27.369440000000001</v>
      </c>
      <c r="J4960">
        <v>-420.74689999999998</v>
      </c>
      <c r="K4960">
        <v>1.132417</v>
      </c>
      <c r="L4960">
        <v>33.261959999999902</v>
      </c>
      <c r="M4960">
        <v>0.2150175</v>
      </c>
      <c r="N4960">
        <v>-1.3270469999999999E-2</v>
      </c>
      <c r="O4960">
        <v>-0.97652019999999995</v>
      </c>
      <c r="P4960">
        <v>0.58339799999999997</v>
      </c>
      <c r="Q4960">
        <v>0.15042449999999999</v>
      </c>
      <c r="R4960">
        <v>-0.79813519999999905</v>
      </c>
      <c r="S4960">
        <v>2.87738</v>
      </c>
      <c r="T4960">
        <v>-0.31879370000000001</v>
      </c>
      <c r="U4960">
        <v>-1.748718</v>
      </c>
      <c r="V4960">
        <v>-0.4024836</v>
      </c>
      <c r="W4960">
        <v>0.1512888</v>
      </c>
      <c r="X4960">
        <v>0.90283919999999995</v>
      </c>
      <c r="Y4960">
        <v>-0.71915229999999997</v>
      </c>
      <c r="Z4960">
        <v>8.9007589999999998E-2</v>
      </c>
      <c r="AA4960">
        <v>0.68912819999999997</v>
      </c>
      <c r="AB4960">
        <v>33</v>
      </c>
      <c r="AC4960">
        <v>10.139999999999899</v>
      </c>
      <c r="AD4960">
        <v>-1.1324273365399999</v>
      </c>
      <c r="AE4960">
        <v>-5.8925199999999904</v>
      </c>
      <c r="AF4960">
        <v>-8.5559063872673597</v>
      </c>
      <c r="AG4960">
        <v>-1.1324273365399999</v>
      </c>
      <c r="AH4960">
        <v>7.8618384326171196</v>
      </c>
      <c r="AI4960">
        <v>95.566437418458094</v>
      </c>
      <c r="AJ4960">
        <v>137.42076481699701</v>
      </c>
      <c r="AK4960">
        <v>11.6745205178114</v>
      </c>
      <c r="AL4960">
        <v>81.298378084246494</v>
      </c>
      <c r="AM4960">
        <v>114.02720080588</v>
      </c>
      <c r="AN4960">
        <v>0.99999998516551902</v>
      </c>
    </row>
    <row r="4961" spans="1:40" x14ac:dyDescent="0.25">
      <c r="A4961" t="str">
        <f>"20190303162921191"</f>
        <v>20190303162921191</v>
      </c>
      <c r="B4961" t="str">
        <f>"1551601761186801"</f>
        <v>1551601761186801</v>
      </c>
      <c r="C4961" t="s">
        <v>40</v>
      </c>
      <c r="D4961">
        <v>4.5217239999999999</v>
      </c>
      <c r="E4961">
        <v>0.32994790000000002</v>
      </c>
      <c r="F4961" t="s">
        <v>57</v>
      </c>
      <c r="G4961">
        <v>-410.9239</v>
      </c>
      <c r="H4961" s="1">
        <v>-1.023407E-5</v>
      </c>
      <c r="I4961">
        <v>27.49737</v>
      </c>
      <c r="J4961">
        <v>-420.66289999999998</v>
      </c>
      <c r="K4961">
        <v>1.1327199999999999</v>
      </c>
      <c r="L4961">
        <v>32.941309999999902</v>
      </c>
      <c r="M4961">
        <v>0.2290075</v>
      </c>
      <c r="N4961">
        <v>-1.335164E-2</v>
      </c>
      <c r="O4961">
        <v>-0.97333309999999995</v>
      </c>
      <c r="P4961">
        <v>0.59817690000000001</v>
      </c>
      <c r="Q4961">
        <v>0.14672499999999999</v>
      </c>
      <c r="R4961">
        <v>-0.78781769999999995</v>
      </c>
      <c r="S4961">
        <v>2.9001459999999999</v>
      </c>
      <c r="T4961">
        <v>-0.33433740000000001</v>
      </c>
      <c r="U4961">
        <v>-1.70193499999999</v>
      </c>
      <c r="V4961">
        <v>-0.40622049999999998</v>
      </c>
      <c r="W4961">
        <v>0.14722499999999999</v>
      </c>
      <c r="X4961">
        <v>0.90183690000000005</v>
      </c>
      <c r="Y4961">
        <v>-0.71940729999999997</v>
      </c>
      <c r="Z4961">
        <v>9.4352569999999997E-2</v>
      </c>
      <c r="AA4961">
        <v>0.68815019999999905</v>
      </c>
      <c r="AB4961">
        <v>33</v>
      </c>
      <c r="AC4961">
        <v>9.7389999999999706</v>
      </c>
      <c r="AD4961">
        <v>-1.1327302340700001</v>
      </c>
      <c r="AE4961">
        <v>-5.4439399999999898</v>
      </c>
      <c r="AF4961">
        <v>-8.1493256834066603</v>
      </c>
      <c r="AG4961">
        <v>-1.1327302340700001</v>
      </c>
      <c r="AH4961">
        <v>7.4529239411885397</v>
      </c>
      <c r="AI4961">
        <v>95.856371135426002</v>
      </c>
      <c r="AJ4961">
        <v>137.55568367810301</v>
      </c>
      <c r="AK4961">
        <v>11.101381092033</v>
      </c>
      <c r="AL4961">
        <v>81.533855060630103</v>
      </c>
      <c r="AM4961">
        <v>114.248552775459</v>
      </c>
      <c r="AN4961">
        <v>1.0000000447234201</v>
      </c>
    </row>
    <row r="4962" spans="1:40" x14ac:dyDescent="0.25">
      <c r="A4962" t="str">
        <f>"20190303162921214"</f>
        <v>20190303162921214</v>
      </c>
      <c r="B4962" t="str">
        <f>"1551601761207298"</f>
        <v>1551601761207298</v>
      </c>
      <c r="C4962" t="s">
        <v>40</v>
      </c>
      <c r="D4962">
        <v>4.5517649999999996</v>
      </c>
      <c r="E4962">
        <v>0.33192290000000002</v>
      </c>
      <c r="F4962" t="s">
        <v>57</v>
      </c>
      <c r="G4962">
        <v>-411.26639999999998</v>
      </c>
      <c r="H4962" s="1">
        <v>-1.011833E-5</v>
      </c>
      <c r="I4962">
        <v>27.585629999999998</v>
      </c>
      <c r="J4962">
        <v>-420.57369999999997</v>
      </c>
      <c r="K4962">
        <v>1.1330089999999999</v>
      </c>
      <c r="L4962">
        <v>32.62012</v>
      </c>
      <c r="M4962">
        <v>0.2433882</v>
      </c>
      <c r="N4962">
        <v>-1.343215E-2</v>
      </c>
      <c r="O4962">
        <v>-0.96983609999999998</v>
      </c>
      <c r="P4962">
        <v>0.61147169999999995</v>
      </c>
      <c r="Q4962">
        <v>0.14386640000000001</v>
      </c>
      <c r="R4962">
        <v>-0.77807780000000004</v>
      </c>
      <c r="S4962">
        <v>2.9140009999999998</v>
      </c>
      <c r="T4962">
        <v>-0.3512788</v>
      </c>
      <c r="U4962">
        <v>-1.6608889999999901</v>
      </c>
      <c r="V4962">
        <v>-0.40809299999999998</v>
      </c>
      <c r="W4962">
        <v>0.1440737</v>
      </c>
      <c r="X4962">
        <v>0.90150030000000003</v>
      </c>
      <c r="Y4962">
        <v>-0.71736540000000004</v>
      </c>
      <c r="Z4962">
        <v>0.1002477</v>
      </c>
      <c r="AA4962">
        <v>0.68944700000000003</v>
      </c>
      <c r="AB4962">
        <v>33</v>
      </c>
      <c r="AC4962">
        <v>9.3072999999999908</v>
      </c>
      <c r="AD4962">
        <v>-1.13301911832999</v>
      </c>
      <c r="AE4962">
        <v>-5.0344899999999999</v>
      </c>
      <c r="AF4962">
        <v>-7.7134893796527502</v>
      </c>
      <c r="AG4962">
        <v>-1.13301911832999</v>
      </c>
      <c r="AH4962">
        <v>7.0675333379563696</v>
      </c>
      <c r="AI4962">
        <v>96.181112697057898</v>
      </c>
      <c r="AJ4962">
        <v>137.502331617896</v>
      </c>
      <c r="AK4962">
        <v>10.5229120596744</v>
      </c>
      <c r="AL4962">
        <v>81.716356766418002</v>
      </c>
      <c r="AM4962">
        <v>114.355408989183</v>
      </c>
      <c r="AN4962">
        <v>0.99999995929038898</v>
      </c>
    </row>
    <row r="4963" spans="1:40" x14ac:dyDescent="0.25">
      <c r="A4963" t="str">
        <f>"20190303162921235"</f>
        <v>20190303162921235</v>
      </c>
      <c r="B4963" t="str">
        <f>"1551601761226817"</f>
        <v>1551601761226817</v>
      </c>
      <c r="C4963" t="s">
        <v>40</v>
      </c>
      <c r="D4963">
        <v>4.5850619999999997</v>
      </c>
      <c r="E4963">
        <v>0.33393289999999998</v>
      </c>
      <c r="F4963" t="s">
        <v>57</v>
      </c>
      <c r="G4963">
        <v>-411.33580000000001</v>
      </c>
      <c r="H4963" s="1">
        <v>-1.008606E-5</v>
      </c>
      <c r="I4963">
        <v>27.51521</v>
      </c>
      <c r="J4963">
        <v>-420.48489999999998</v>
      </c>
      <c r="K4963">
        <v>1.133275</v>
      </c>
      <c r="L4963">
        <v>32.318210000000001</v>
      </c>
      <c r="M4963">
        <v>0.25723430000000003</v>
      </c>
      <c r="N4963">
        <v>-1.3508330000000001E-2</v>
      </c>
      <c r="O4963">
        <v>-0.96625470000000002</v>
      </c>
      <c r="P4963">
        <v>0.6237142</v>
      </c>
      <c r="Q4963">
        <v>0.14175109999999999</v>
      </c>
      <c r="R4963">
        <v>-0.7686923</v>
      </c>
      <c r="S4963">
        <v>2.9302670000000002</v>
      </c>
      <c r="T4963">
        <v>-0.35939690000000002</v>
      </c>
      <c r="U4963">
        <v>-1.6192930000000001</v>
      </c>
      <c r="V4963">
        <v>-0.40941149999999998</v>
      </c>
      <c r="W4963">
        <v>0.1417051</v>
      </c>
      <c r="X4963">
        <v>0.90127789999999997</v>
      </c>
      <c r="Y4963">
        <v>-0.71627909999999995</v>
      </c>
      <c r="Z4963">
        <v>0.1033008</v>
      </c>
      <c r="AA4963">
        <v>0.69012549999999995</v>
      </c>
      <c r="AB4963">
        <v>33</v>
      </c>
      <c r="AC4963">
        <v>9.1490999999999705</v>
      </c>
      <c r="AD4963">
        <v>-1.1332850860599999</v>
      </c>
      <c r="AE4963">
        <v>-4.8029999999999999</v>
      </c>
      <c r="AF4963">
        <v>-7.5151623728355004</v>
      </c>
      <c r="AG4963">
        <v>-1.1332850860599999</v>
      </c>
      <c r="AH4963">
        <v>6.9118823435068704</v>
      </c>
      <c r="AI4963">
        <v>96.333533502660998</v>
      </c>
      <c r="AJ4963">
        <v>137.39448027337201</v>
      </c>
      <c r="AK4963">
        <v>10.273077343564101</v>
      </c>
      <c r="AL4963">
        <v>81.853474791501995</v>
      </c>
      <c r="AM4963">
        <v>114.430240522018</v>
      </c>
      <c r="AN4963">
        <v>0.99999998236333398</v>
      </c>
    </row>
    <row r="4964" spans="1:40" x14ac:dyDescent="0.25">
      <c r="A4964" t="str">
        <f>"20190303162921258"</f>
        <v>20190303162921258</v>
      </c>
      <c r="B4964" t="str">
        <f>"1551601761247314"</f>
        <v>1551601761247314</v>
      </c>
      <c r="C4964" t="s">
        <v>40</v>
      </c>
      <c r="D4964">
        <v>4.5737629999999996</v>
      </c>
      <c r="E4964">
        <v>0.3359413</v>
      </c>
      <c r="F4964" t="s">
        <v>57</v>
      </c>
      <c r="G4964">
        <v>-411.28179999999998</v>
      </c>
      <c r="H4964" s="1">
        <v>-1.0092099999999999E-5</v>
      </c>
      <c r="I4964">
        <v>27.379010000000001</v>
      </c>
      <c r="J4964">
        <v>-420.39049999999997</v>
      </c>
      <c r="K4964">
        <v>1.133516</v>
      </c>
      <c r="L4964">
        <v>32.014009999999999</v>
      </c>
      <c r="M4964">
        <v>0.27149780000000001</v>
      </c>
      <c r="N4964">
        <v>-1.35856E-2</v>
      </c>
      <c r="O4964">
        <v>-0.96234330000000001</v>
      </c>
      <c r="P4964">
        <v>0.635154199999999</v>
      </c>
      <c r="Q4964">
        <v>0.13979349999999999</v>
      </c>
      <c r="R4964">
        <v>-0.75962949999999996</v>
      </c>
      <c r="S4964">
        <v>2.9446409999999998</v>
      </c>
      <c r="T4964">
        <v>-0.36260700000000001</v>
      </c>
      <c r="U4964">
        <v>-1.5803529999999999</v>
      </c>
      <c r="V4964">
        <v>-0.40951530000000003</v>
      </c>
      <c r="W4964">
        <v>0.13954279999999999</v>
      </c>
      <c r="X4964">
        <v>0.90156809999999998</v>
      </c>
      <c r="Y4964">
        <v>-0.71435479999999996</v>
      </c>
      <c r="Z4964">
        <v>0.1047722</v>
      </c>
      <c r="AA4964">
        <v>0.69189609999999901</v>
      </c>
      <c r="AB4964">
        <v>33</v>
      </c>
      <c r="AC4964">
        <v>9.1087000000000007</v>
      </c>
      <c r="AD4964">
        <v>-1.1335260921000001</v>
      </c>
      <c r="AE4964">
        <v>-4.6349999999999998</v>
      </c>
      <c r="AF4964">
        <v>-7.41676095105377</v>
      </c>
      <c r="AG4964">
        <v>-1.1335260921000001</v>
      </c>
      <c r="AH4964">
        <v>6.8498310735778203</v>
      </c>
      <c r="AI4964">
        <v>96.406064463814701</v>
      </c>
      <c r="AJ4964">
        <v>137.275638585774</v>
      </c>
      <c r="AK4964">
        <v>10.159400087756101</v>
      </c>
      <c r="AL4964">
        <v>81.978609126174504</v>
      </c>
      <c r="AM4964">
        <v>114.42876411457701</v>
      </c>
      <c r="AN4964">
        <v>1.00000000645176</v>
      </c>
    </row>
    <row r="4965" spans="1:40" x14ac:dyDescent="0.25">
      <c r="A4965" t="str">
        <f>"20190303162921280"</f>
        <v>20190303162921280</v>
      </c>
      <c r="B4965" t="str">
        <f>"1551601761276593"</f>
        <v>1551601761276593</v>
      </c>
      <c r="C4965" t="s">
        <v>40</v>
      </c>
      <c r="D4965">
        <v>4.6546209999999997</v>
      </c>
      <c r="E4965">
        <v>0.33860359999999901</v>
      </c>
      <c r="F4965" t="s">
        <v>57</v>
      </c>
      <c r="G4965">
        <v>-411.1397</v>
      </c>
      <c r="H4965" s="1">
        <v>-1.012468E-5</v>
      </c>
      <c r="I4965">
        <v>27.18796</v>
      </c>
      <c r="J4965">
        <v>-420.2885</v>
      </c>
      <c r="K4965">
        <v>1.1337680000000001</v>
      </c>
      <c r="L4965">
        <v>31.70224</v>
      </c>
      <c r="M4965">
        <v>0.28643619999999997</v>
      </c>
      <c r="N4965">
        <v>-1.3665480000000001E-2</v>
      </c>
      <c r="O4965">
        <v>-0.95800189999999996</v>
      </c>
      <c r="P4965">
        <v>0.64689030000000003</v>
      </c>
      <c r="Q4965">
        <v>0.136158</v>
      </c>
      <c r="R4965">
        <v>-0.75032940000000004</v>
      </c>
      <c r="S4965">
        <v>2.9576419999999999</v>
      </c>
      <c r="T4965">
        <v>-0.36240719999999998</v>
      </c>
      <c r="U4965">
        <v>-1.542969</v>
      </c>
      <c r="V4965">
        <v>-0.40930149999999998</v>
      </c>
      <c r="W4965">
        <v>0.1357177</v>
      </c>
      <c r="X4965">
        <v>0.90224890000000002</v>
      </c>
      <c r="Y4965">
        <v>-0.71160509999999999</v>
      </c>
      <c r="Z4965">
        <v>0.105128</v>
      </c>
      <c r="AA4965">
        <v>0.69466989999999995</v>
      </c>
      <c r="AB4965">
        <v>33</v>
      </c>
      <c r="AC4965">
        <v>9.1487999999999907</v>
      </c>
      <c r="AD4965">
        <v>-1.1337781246800001</v>
      </c>
      <c r="AE4965">
        <v>-4.5142800000000003</v>
      </c>
      <c r="AF4965">
        <v>-7.3810507802369898</v>
      </c>
      <c r="AG4965">
        <v>-1.1337781246800001</v>
      </c>
      <c r="AH4965">
        <v>6.8611446152817503</v>
      </c>
      <c r="AI4965">
        <v>96.419144851601999</v>
      </c>
      <c r="AJ4965">
        <v>137.09063327890399</v>
      </c>
      <c r="AK4965">
        <v>10.1410388465999</v>
      </c>
      <c r="AL4965">
        <v>82.199877312482698</v>
      </c>
      <c r="AM4965">
        <v>114.40122433696099</v>
      </c>
      <c r="AN4965">
        <v>1.0000000447733699</v>
      </c>
    </row>
    <row r="4966" spans="1:40" x14ac:dyDescent="0.25">
      <c r="A4966" t="str">
        <f>"20190303162921303"</f>
        <v>20190303162921303</v>
      </c>
      <c r="B4966" t="str">
        <f>"1551601761297089"</f>
        <v>1551601761297089</v>
      </c>
      <c r="C4966" t="s">
        <v>40</v>
      </c>
      <c r="D4966">
        <v>4.6768029999999996</v>
      </c>
      <c r="E4966">
        <v>0.34027370000000001</v>
      </c>
      <c r="F4966" t="s">
        <v>57</v>
      </c>
      <c r="G4966">
        <v>-411.19490000000002</v>
      </c>
      <c r="H4966" s="1">
        <v>-1.0093599999999999E-5</v>
      </c>
      <c r="I4966">
        <v>27.077500000000001</v>
      </c>
      <c r="J4966">
        <v>-420.1798</v>
      </c>
      <c r="K4966">
        <v>1.1340239999999999</v>
      </c>
      <c r="L4966">
        <v>31.38748</v>
      </c>
      <c r="M4966">
        <v>0.30185149999999999</v>
      </c>
      <c r="N4966">
        <v>-1.374766E-2</v>
      </c>
      <c r="O4966">
        <v>-0.95325590000000004</v>
      </c>
      <c r="P4966">
        <v>0.65861380000000003</v>
      </c>
      <c r="Q4966">
        <v>0.13295760000000001</v>
      </c>
      <c r="R4966">
        <v>-0.74064219999999903</v>
      </c>
      <c r="S4966">
        <v>2.9658509999999998</v>
      </c>
      <c r="T4966">
        <v>-0.36977529999999997</v>
      </c>
      <c r="U4966">
        <v>-1.5083310000000001</v>
      </c>
      <c r="V4966">
        <v>-0.40875699999999998</v>
      </c>
      <c r="W4966">
        <v>0.1323414</v>
      </c>
      <c r="X4966">
        <v>0.90299700000000005</v>
      </c>
      <c r="Y4966">
        <v>-0.70725769999999899</v>
      </c>
      <c r="Z4966">
        <v>0.1079223</v>
      </c>
      <c r="AA4966">
        <v>0.69866969999999995</v>
      </c>
      <c r="AB4966">
        <v>33</v>
      </c>
      <c r="AC4966">
        <v>8.9848999999999801</v>
      </c>
      <c r="AD4966">
        <v>-1.1340340936</v>
      </c>
      <c r="AE4966">
        <v>-4.3099800000000004</v>
      </c>
      <c r="AF4966">
        <v>-7.1717439309761204</v>
      </c>
      <c r="AG4966">
        <v>-1.1340340936</v>
      </c>
      <c r="AH4966">
        <v>6.7340547208467596</v>
      </c>
      <c r="AI4966">
        <v>96.575671875830906</v>
      </c>
      <c r="AJ4966">
        <v>136.802806768848</v>
      </c>
      <c r="AK4966">
        <v>9.9029004498832798</v>
      </c>
      <c r="AL4966">
        <v>82.395086539773004</v>
      </c>
      <c r="AM4966">
        <v>114.35469654167601</v>
      </c>
      <c r="AN4966">
        <v>1.0000000566059699</v>
      </c>
    </row>
    <row r="4967" spans="1:40" x14ac:dyDescent="0.25">
      <c r="A4967" t="str">
        <f>"20190303162921325"</f>
        <v>20190303162921325</v>
      </c>
      <c r="B4967" t="str">
        <f>"1551601761316609"</f>
        <v>1551601761316609</v>
      </c>
      <c r="C4967" t="s">
        <v>40</v>
      </c>
      <c r="D4967">
        <v>4.7048579999999998</v>
      </c>
      <c r="E4967">
        <v>0.34192260000000002</v>
      </c>
      <c r="F4967" t="s">
        <v>57</v>
      </c>
      <c r="G4967">
        <v>-411.1816</v>
      </c>
      <c r="H4967" s="1">
        <v>-1.008601E-5</v>
      </c>
      <c r="I4967">
        <v>26.953299999999999</v>
      </c>
      <c r="J4967">
        <v>-420.07479999999998</v>
      </c>
      <c r="K4967">
        <v>1.13427099999999</v>
      </c>
      <c r="L4967">
        <v>31.099519999999998</v>
      </c>
      <c r="M4967">
        <v>0.31627690000000003</v>
      </c>
      <c r="N4967">
        <v>-1.382589E-2</v>
      </c>
      <c r="O4967">
        <v>-0.94856629999999997</v>
      </c>
      <c r="P4967">
        <v>0.66842170000000001</v>
      </c>
      <c r="Q4967">
        <v>0.13272249999999999</v>
      </c>
      <c r="R4967">
        <v>-0.73184550000000004</v>
      </c>
      <c r="S4967">
        <v>2.9796450000000001</v>
      </c>
      <c r="T4967">
        <v>-0.37552079999999999</v>
      </c>
      <c r="U4967">
        <v>-1.468323</v>
      </c>
      <c r="V4967">
        <v>-0.40714889999999998</v>
      </c>
      <c r="W4967">
        <v>0.131989299999999</v>
      </c>
      <c r="X4967">
        <v>0.90377470000000004</v>
      </c>
      <c r="Y4967">
        <v>-0.70518950000000002</v>
      </c>
      <c r="Z4967">
        <v>0.1101259</v>
      </c>
      <c r="AA4967">
        <v>0.70041409999999904</v>
      </c>
      <c r="AB4967">
        <v>33</v>
      </c>
      <c r="AC4967">
        <v>8.89319999999997</v>
      </c>
      <c r="AD4967">
        <v>-1.1342810860100001</v>
      </c>
      <c r="AE4967">
        <v>-4.1462199999999996</v>
      </c>
      <c r="AF4967">
        <v>-7.0311588050748401</v>
      </c>
      <c r="AG4967">
        <v>-1.1342810860100001</v>
      </c>
      <c r="AH4967">
        <v>6.6573598122844304</v>
      </c>
      <c r="AI4967">
        <v>96.681364662428393</v>
      </c>
      <c r="AJ4967">
        <v>136.56421480538799</v>
      </c>
      <c r="AK4967">
        <v>9.7490628982729</v>
      </c>
      <c r="AL4967">
        <v>82.415438909662797</v>
      </c>
      <c r="AM4967">
        <v>114.251480024009</v>
      </c>
      <c r="AN4967">
        <v>1.00000005522289</v>
      </c>
    </row>
    <row r="4968" spans="1:40" x14ac:dyDescent="0.25">
      <c r="A4968" t="str">
        <f>"20190303162921346"</f>
        <v>20190303162921346</v>
      </c>
      <c r="B4968" t="str">
        <f>"1551601761337106"</f>
        <v>1551601761337106</v>
      </c>
      <c r="C4968" t="s">
        <v>40</v>
      </c>
      <c r="D4968">
        <v>4.7235110000000002</v>
      </c>
      <c r="E4968">
        <v>0.34343030000000002</v>
      </c>
      <c r="F4968" t="s">
        <v>57</v>
      </c>
      <c r="G4968">
        <v>-410.92090000000002</v>
      </c>
      <c r="H4968" s="1">
        <v>-1.015636E-5</v>
      </c>
      <c r="I4968">
        <v>26.70852</v>
      </c>
      <c r="J4968">
        <v>-419.96089999999998</v>
      </c>
      <c r="K4968">
        <v>1.1345179999999999</v>
      </c>
      <c r="L4968">
        <v>30.801970000000001</v>
      </c>
      <c r="M4968">
        <v>0.33146009999999998</v>
      </c>
      <c r="N4968">
        <v>-1.3907559999999999E-2</v>
      </c>
      <c r="O4968">
        <v>-0.94336679999999995</v>
      </c>
      <c r="P4968">
        <v>0.67887280000000005</v>
      </c>
      <c r="Q4968">
        <v>0.13285329999999901</v>
      </c>
      <c r="R4968">
        <v>-0.72213709999999998</v>
      </c>
      <c r="S4968">
        <v>2.9909059999999998</v>
      </c>
      <c r="T4968">
        <v>-0.37060890000000002</v>
      </c>
      <c r="U4968">
        <v>-1.4346920000000001</v>
      </c>
      <c r="V4968">
        <v>-0.40572799999999998</v>
      </c>
      <c r="W4968">
        <v>0.13200300000000001</v>
      </c>
      <c r="X4968">
        <v>0.90441139999999998</v>
      </c>
      <c r="Y4968">
        <v>-0.70143129999999998</v>
      </c>
      <c r="Z4968">
        <v>0.108806</v>
      </c>
      <c r="AA4968">
        <v>0.70438299999999998</v>
      </c>
      <c r="AB4968">
        <v>33</v>
      </c>
      <c r="AC4968">
        <v>9.0399999999999601</v>
      </c>
      <c r="AD4968">
        <v>-1.13452815636</v>
      </c>
      <c r="AE4968">
        <v>-4.0934499999999998</v>
      </c>
      <c r="AF4968">
        <v>-7.0793827121546702</v>
      </c>
      <c r="AG4968">
        <v>-1.13452815636</v>
      </c>
      <c r="AH4968">
        <v>6.7701972491444504</v>
      </c>
      <c r="AI4968">
        <v>96.606590295987203</v>
      </c>
      <c r="AJ4968">
        <v>136.278889329469</v>
      </c>
      <c r="AK4968">
        <v>9.8610539251669795</v>
      </c>
      <c r="AL4968">
        <v>82.414646540421302</v>
      </c>
      <c r="AM4968">
        <v>114.161481343631</v>
      </c>
      <c r="AN4968">
        <v>0.99999999122147898</v>
      </c>
    </row>
    <row r="4969" spans="1:40" x14ac:dyDescent="0.25">
      <c r="A4969" t="str">
        <f>"20190303162921370"</f>
        <v>20190303162921370</v>
      </c>
      <c r="B4969" t="str">
        <f>"1551601761356625"</f>
        <v>1551601761356625</v>
      </c>
      <c r="C4969" t="s">
        <v>40</v>
      </c>
      <c r="D4969">
        <v>4.7300389999999997</v>
      </c>
      <c r="E4969">
        <v>0.34400190000000003</v>
      </c>
      <c r="F4969" t="s">
        <v>57</v>
      </c>
      <c r="G4969">
        <v>-410.68189999999998</v>
      </c>
      <c r="H4969" s="1">
        <v>-1.022043E-5</v>
      </c>
      <c r="I4969">
        <v>26.480180000000001</v>
      </c>
      <c r="J4969">
        <v>-419.83640000000003</v>
      </c>
      <c r="K4969">
        <v>1.1347640000000001</v>
      </c>
      <c r="L4969">
        <v>30.492830000000001</v>
      </c>
      <c r="M4969">
        <v>0.3475395</v>
      </c>
      <c r="N4969">
        <v>-1.39916E-2</v>
      </c>
      <c r="O4969">
        <v>-0.93756099999999998</v>
      </c>
      <c r="P4969">
        <v>0.69086919999999996</v>
      </c>
      <c r="Q4969">
        <v>0.13267699999999999</v>
      </c>
      <c r="R4969">
        <v>-0.71070159999999905</v>
      </c>
      <c r="S4969">
        <v>3.0030519999999998</v>
      </c>
      <c r="T4969">
        <v>-0.36718030000000002</v>
      </c>
      <c r="U4969">
        <v>-1.398712</v>
      </c>
      <c r="V4969">
        <v>-0.40547610000000001</v>
      </c>
      <c r="W4969">
        <v>0.13166359999999999</v>
      </c>
      <c r="X4969">
        <v>0.90457390000000004</v>
      </c>
      <c r="Y4969">
        <v>-0.69741600000000004</v>
      </c>
      <c r="Z4969">
        <v>0.107918899999999</v>
      </c>
      <c r="AA4969">
        <v>0.70849449999999903</v>
      </c>
      <c r="AB4969">
        <v>33</v>
      </c>
      <c r="AC4969">
        <v>9.1545000000000396</v>
      </c>
      <c r="AD4969">
        <v>-1.13477422043</v>
      </c>
      <c r="AE4969">
        <v>-4.0126499999999998</v>
      </c>
      <c r="AF4969">
        <v>-7.0975690959002797</v>
      </c>
      <c r="AG4969">
        <v>-1.13477422043</v>
      </c>
      <c r="AH4969">
        <v>6.8559659270729902</v>
      </c>
      <c r="AI4969">
        <v>96.559856205306701</v>
      </c>
      <c r="AJ4969">
        <v>135.99196789480999</v>
      </c>
      <c r="AK4969">
        <v>9.9331499734785602</v>
      </c>
      <c r="AL4969">
        <v>82.434264443164807</v>
      </c>
      <c r="AM4969">
        <v>114.144352899352</v>
      </c>
      <c r="AN4969">
        <v>1.0000000558986799</v>
      </c>
    </row>
    <row r="4970" spans="1:40" x14ac:dyDescent="0.25">
      <c r="A4970" t="str">
        <f>"20190303162921392"</f>
        <v>20190303162921392</v>
      </c>
      <c r="B4970" t="str">
        <f>"1551601761386881"</f>
        <v>1551601761386881</v>
      </c>
      <c r="C4970" t="s">
        <v>40</v>
      </c>
      <c r="D4970">
        <v>4.720567</v>
      </c>
      <c r="E4970">
        <v>0.3189245</v>
      </c>
      <c r="F4970" t="s">
        <v>57</v>
      </c>
      <c r="G4970">
        <v>-410.58109999999999</v>
      </c>
      <c r="H4970" s="1">
        <v>-1.02445699999999E-5</v>
      </c>
      <c r="I4970">
        <v>26.35491</v>
      </c>
      <c r="J4970">
        <v>-419.71190000000001</v>
      </c>
      <c r="K4970">
        <v>1.134992</v>
      </c>
      <c r="L4970">
        <v>30.198180000000001</v>
      </c>
      <c r="M4970">
        <v>0.36315969999999997</v>
      </c>
      <c r="N4970">
        <v>-1.407282E-2</v>
      </c>
      <c r="O4970">
        <v>-0.93162060000000002</v>
      </c>
      <c r="P4970">
        <v>0.70323579999999997</v>
      </c>
      <c r="Q4970">
        <v>0.13309000000000001</v>
      </c>
      <c r="R4970">
        <v>-0.69838859999999903</v>
      </c>
      <c r="S4970">
        <v>3.0231020000000002</v>
      </c>
      <c r="T4970">
        <v>-0.37065819999999999</v>
      </c>
      <c r="U4970">
        <v>-1.351593</v>
      </c>
      <c r="V4970">
        <v>-0.406358</v>
      </c>
      <c r="W4970">
        <v>0.13187579999999999</v>
      </c>
      <c r="X4970">
        <v>0.90414709999999998</v>
      </c>
      <c r="Y4970">
        <v>-0.69632320000000003</v>
      </c>
      <c r="Z4970">
        <v>0.10920530000000001</v>
      </c>
      <c r="AA4970">
        <v>0.7093718</v>
      </c>
      <c r="AB4970">
        <v>33</v>
      </c>
      <c r="AC4970">
        <v>9.1308000000000202</v>
      </c>
      <c r="AD4970">
        <v>-1.1350022445700001</v>
      </c>
      <c r="AE4970">
        <v>-3.84327</v>
      </c>
      <c r="AF4970">
        <v>-7.0192887131668398</v>
      </c>
      <c r="AG4970">
        <v>-1.1350022445700001</v>
      </c>
      <c r="AH4970">
        <v>6.80773190856267</v>
      </c>
      <c r="AI4970">
        <v>96.620881099821503</v>
      </c>
      <c r="AJ4970">
        <v>135.87657107335099</v>
      </c>
      <c r="AK4970">
        <v>9.8439757147624398</v>
      </c>
      <c r="AL4970">
        <v>82.421999017336503</v>
      </c>
      <c r="AM4970">
        <v>114.200958559079</v>
      </c>
      <c r="AN4970">
        <v>1.00000001461402</v>
      </c>
    </row>
    <row r="4971" spans="1:40" x14ac:dyDescent="0.25">
      <c r="A4971" t="str">
        <f>"20190303162921415"</f>
        <v>20190303162921415</v>
      </c>
      <c r="B4971" t="str">
        <f>"1551601761406401"</f>
        <v>1551601761406401</v>
      </c>
      <c r="C4971" t="s">
        <v>40</v>
      </c>
      <c r="D4971">
        <v>4.7339129999999896</v>
      </c>
      <c r="E4971">
        <v>0.31818340000000001</v>
      </c>
      <c r="F4971" t="s">
        <v>57</v>
      </c>
      <c r="G4971">
        <v>-410.39370000000002</v>
      </c>
      <c r="H4971" s="1">
        <v>-1.03583199999999E-5</v>
      </c>
      <c r="I4971">
        <v>26.811710000000001</v>
      </c>
      <c r="J4971">
        <v>-419.58190000000002</v>
      </c>
      <c r="K4971">
        <v>1.13524</v>
      </c>
      <c r="L4971">
        <v>29.904820000000001</v>
      </c>
      <c r="M4971">
        <v>0.37902130000000001</v>
      </c>
      <c r="N4971">
        <v>-1.4157869999999999E-2</v>
      </c>
      <c r="O4971">
        <v>-0.92527969999999904</v>
      </c>
      <c r="P4971">
        <v>0.71597369999999905</v>
      </c>
      <c r="Q4971">
        <v>0.13486489999999901</v>
      </c>
      <c r="R4971">
        <v>-0.68497719999999995</v>
      </c>
      <c r="S4971">
        <v>3.18866</v>
      </c>
      <c r="T4971">
        <v>-0.38839590000000002</v>
      </c>
      <c r="U4971">
        <v>-1.158844</v>
      </c>
      <c r="V4971">
        <v>-0.40783459999999999</v>
      </c>
      <c r="W4971">
        <v>0.13342319999999999</v>
      </c>
      <c r="X4971">
        <v>0.90325469999999997</v>
      </c>
      <c r="Y4971">
        <v>-0.73356739999999998</v>
      </c>
      <c r="Z4971">
        <v>0.1135987</v>
      </c>
      <c r="AA4971">
        <v>0.67005539999999997</v>
      </c>
      <c r="AB4971">
        <v>33</v>
      </c>
      <c r="AC4971">
        <v>9.1881999999999895</v>
      </c>
      <c r="AD4971">
        <v>-1.13525035832</v>
      </c>
      <c r="AE4971">
        <v>-3.0931099999999998</v>
      </c>
      <c r="AF4971">
        <v>-7.2308849013991301</v>
      </c>
      <c r="AG4971">
        <v>-1.13525035832</v>
      </c>
      <c r="AH4971">
        <v>6.25932330929618</v>
      </c>
      <c r="AI4971">
        <v>96.769549268693495</v>
      </c>
      <c r="AJ4971">
        <v>139.11931617355401</v>
      </c>
      <c r="AK4971">
        <v>9.6308679839174491</v>
      </c>
      <c r="AL4971">
        <v>82.332548415408795</v>
      </c>
      <c r="AM4971">
        <v>114.29997180115799</v>
      </c>
      <c r="AN4971">
        <v>0.99999993216374194</v>
      </c>
    </row>
    <row r="4972" spans="1:40" x14ac:dyDescent="0.25">
      <c r="A4972" t="str">
        <f>"20190303162921437"</f>
        <v>20190303162921437</v>
      </c>
      <c r="B4972" t="str">
        <f>"1551601761426898"</f>
        <v>1551601761426898</v>
      </c>
      <c r="C4972" t="s">
        <v>40</v>
      </c>
      <c r="D4972">
        <v>4.7440340000000001</v>
      </c>
      <c r="E4972">
        <v>0.3197123</v>
      </c>
      <c r="F4972" t="s">
        <v>57</v>
      </c>
      <c r="G4972">
        <v>-410.22379999999998</v>
      </c>
      <c r="H4972" s="1">
        <v>-1.040993E-5</v>
      </c>
      <c r="I4972">
        <v>26.70966</v>
      </c>
      <c r="J4972">
        <v>-419.44720000000001</v>
      </c>
      <c r="K4972">
        <v>1.1354879999999901</v>
      </c>
      <c r="L4972">
        <v>29.6145</v>
      </c>
      <c r="M4972">
        <v>0.39503060000000001</v>
      </c>
      <c r="N4972">
        <v>-1.4247910000000001E-2</v>
      </c>
      <c r="O4972">
        <v>-0.91855770000000003</v>
      </c>
      <c r="P4972">
        <v>0.72880029999999996</v>
      </c>
      <c r="Q4972">
        <v>0.13654820000000001</v>
      </c>
      <c r="R4972">
        <v>-0.67097340000000005</v>
      </c>
      <c r="S4972">
        <v>3.2137150000000001</v>
      </c>
      <c r="T4972">
        <v>-0.38986090000000001</v>
      </c>
      <c r="U4972">
        <v>-1.0972599999999999</v>
      </c>
      <c r="V4972">
        <v>-0.40951340000000003</v>
      </c>
      <c r="W4972">
        <v>0.13486819999999999</v>
      </c>
      <c r="X4972">
        <v>0.90228010000000003</v>
      </c>
      <c r="Y4972">
        <v>-0.73490349999999904</v>
      </c>
      <c r="Z4972">
        <v>0.1141785</v>
      </c>
      <c r="AA4972">
        <v>0.66849099999999995</v>
      </c>
      <c r="AB4972">
        <v>33</v>
      </c>
      <c r="AC4972">
        <v>9.2234000000000194</v>
      </c>
      <c r="AD4972">
        <v>-1.1354984099299901</v>
      </c>
      <c r="AE4972">
        <v>-2.9048400000000001</v>
      </c>
      <c r="AF4972">
        <v>-7.2258326452526598</v>
      </c>
      <c r="AG4972">
        <v>-1.1354984099299901</v>
      </c>
      <c r="AH4972">
        <v>6.2265723679048897</v>
      </c>
      <c r="AI4972">
        <v>96.788758112371696</v>
      </c>
      <c r="AJ4972">
        <v>139.24819513935799</v>
      </c>
      <c r="AK4972">
        <v>9.60584288383426</v>
      </c>
      <c r="AL4972">
        <v>82.249001531539705</v>
      </c>
      <c r="AM4972">
        <v>114.41163744473801</v>
      </c>
      <c r="AN4972">
        <v>1.0000000175034001</v>
      </c>
    </row>
    <row r="4973" spans="1:40" x14ac:dyDescent="0.25">
      <c r="A4973" t="str">
        <f>"20190303162921459"</f>
        <v>20190303162921459</v>
      </c>
      <c r="B4973" t="str">
        <f>"1551601761446418"</f>
        <v>1551601761446418</v>
      </c>
      <c r="C4973" t="s">
        <v>40</v>
      </c>
      <c r="D4973">
        <v>4.7538640000000001</v>
      </c>
      <c r="E4973">
        <v>0.32108219999999998</v>
      </c>
      <c r="F4973" t="s">
        <v>57</v>
      </c>
      <c r="G4973">
        <v>-409.95150000000001</v>
      </c>
      <c r="H4973" s="1">
        <v>-2.4156089999999998E-6</v>
      </c>
      <c r="I4973">
        <v>26.536100000000001</v>
      </c>
      <c r="J4973">
        <v>-419.3091</v>
      </c>
      <c r="K4973">
        <v>1.1357299999999999</v>
      </c>
      <c r="L4973">
        <v>29.330020000000001</v>
      </c>
      <c r="M4973">
        <v>0.41103499999999998</v>
      </c>
      <c r="N4973">
        <v>-1.434235E-2</v>
      </c>
      <c r="O4973">
        <v>-0.91150679999999995</v>
      </c>
      <c r="P4973">
        <v>0.74227430000000005</v>
      </c>
      <c r="Q4973">
        <v>0.13652400000000001</v>
      </c>
      <c r="R4973">
        <v>-0.6560414</v>
      </c>
      <c r="S4973">
        <v>3.2258300000000002</v>
      </c>
      <c r="T4973">
        <v>-0.38574120000000001</v>
      </c>
      <c r="U4973">
        <v>-1.045776</v>
      </c>
      <c r="V4973">
        <v>-0.41213880000000003</v>
      </c>
      <c r="W4973">
        <v>0.13456960000000001</v>
      </c>
      <c r="X4973">
        <v>0.9011285</v>
      </c>
      <c r="Y4973">
        <v>-0.73363519999999904</v>
      </c>
      <c r="Z4973">
        <v>0.113122</v>
      </c>
      <c r="AA4973">
        <v>0.67006180000000004</v>
      </c>
      <c r="AB4973">
        <v>33</v>
      </c>
      <c r="AC4973">
        <v>9.3575999999999908</v>
      </c>
      <c r="AD4973">
        <v>-1.1357324156089901</v>
      </c>
      <c r="AE4973">
        <v>-2.79392</v>
      </c>
      <c r="AF4973">
        <v>-7.2833684086530397</v>
      </c>
      <c r="AG4973">
        <v>-1.1357324156089901</v>
      </c>
      <c r="AH4973">
        <v>6.3083154805574999</v>
      </c>
      <c r="AI4973">
        <v>96.722432519219197</v>
      </c>
      <c r="AJ4973">
        <v>139.10330864964601</v>
      </c>
      <c r="AK4973">
        <v>9.7021743799146201</v>
      </c>
      <c r="AL4973">
        <v>82.266267084772394</v>
      </c>
      <c r="AM4973">
        <v>114.577391301906</v>
      </c>
      <c r="AN4973">
        <v>0.99999997061092405</v>
      </c>
    </row>
    <row r="4974" spans="1:40" x14ac:dyDescent="0.25">
      <c r="A4974" t="str">
        <f>"20190303162921482"</f>
        <v>20190303162921482</v>
      </c>
      <c r="B4974" t="str">
        <f>"1551601761476674"</f>
        <v>1551601761476674</v>
      </c>
      <c r="C4974" t="s">
        <v>40</v>
      </c>
      <c r="D4974">
        <v>4.8225089999999904</v>
      </c>
      <c r="E4974">
        <v>0.32292169999999998</v>
      </c>
      <c r="F4974" t="s">
        <v>57</v>
      </c>
      <c r="G4974">
        <v>-409.72489999999999</v>
      </c>
      <c r="H4974" s="1">
        <v>-2.5211150000000001E-6</v>
      </c>
      <c r="I4974">
        <v>26.407440000000001</v>
      </c>
      <c r="J4974">
        <v>-419.16019999999997</v>
      </c>
      <c r="K4974">
        <v>1.135977</v>
      </c>
      <c r="L4974">
        <v>29.036930000000002</v>
      </c>
      <c r="M4974">
        <v>0.42785030000000002</v>
      </c>
      <c r="N4974">
        <v>-1.444528E-2</v>
      </c>
      <c r="O4974">
        <v>-0.90373419999999904</v>
      </c>
      <c r="P4974">
        <v>0.75648959999999998</v>
      </c>
      <c r="Q4974">
        <v>0.13579949999999999</v>
      </c>
      <c r="R4974">
        <v>-0.63975209999999905</v>
      </c>
      <c r="S4974">
        <v>3.2392270000000001</v>
      </c>
      <c r="T4974">
        <v>-0.38385150000000001</v>
      </c>
      <c r="U4974">
        <v>-0.98776249999999999</v>
      </c>
      <c r="V4974">
        <v>-0.41521479999999999</v>
      </c>
      <c r="W4974">
        <v>0.1335461</v>
      </c>
      <c r="X4974">
        <v>0.8998678</v>
      </c>
      <c r="Y4974">
        <v>-0.73292259999999998</v>
      </c>
      <c r="Z4974">
        <v>0.1127609</v>
      </c>
      <c r="AA4974">
        <v>0.670902</v>
      </c>
      <c r="AB4974">
        <v>33</v>
      </c>
      <c r="AC4974">
        <v>9.4352999999999803</v>
      </c>
      <c r="AD4974">
        <v>-1.1359795211149999</v>
      </c>
      <c r="AE4974">
        <v>-2.6294899999999899</v>
      </c>
      <c r="AF4974">
        <v>-7.3044967216372898</v>
      </c>
      <c r="AG4974">
        <v>-1.1359795211149999</v>
      </c>
      <c r="AH4974">
        <v>6.3287981814237</v>
      </c>
      <c r="AI4974">
        <v>96.703627695113298</v>
      </c>
      <c r="AJ4974">
        <v>139.09352672979301</v>
      </c>
      <c r="AK4974">
        <v>9.7313826484212704</v>
      </c>
      <c r="AL4974">
        <v>82.325443502710201</v>
      </c>
      <c r="AM4974">
        <v>114.769429391598</v>
      </c>
      <c r="AN4974">
        <v>0.99999997422054399</v>
      </c>
    </row>
    <row r="4975" spans="1:40" x14ac:dyDescent="0.25">
      <c r="A4975" t="str">
        <f>"20190303162921504"</f>
        <v>20190303162921504</v>
      </c>
      <c r="B4975" t="str">
        <f>"1551601761497171"</f>
        <v>1551601761497171</v>
      </c>
      <c r="C4975" t="s">
        <v>40</v>
      </c>
      <c r="D4975">
        <v>4.857748</v>
      </c>
      <c r="E4975">
        <v>0.3241406</v>
      </c>
      <c r="F4975" t="s">
        <v>57</v>
      </c>
      <c r="G4975">
        <v>-409.68200000000002</v>
      </c>
      <c r="H4975" s="1">
        <v>-2.5287909999999998E-6</v>
      </c>
      <c r="I4975">
        <v>26.32762</v>
      </c>
      <c r="J4975">
        <v>-419.01060000000001</v>
      </c>
      <c r="K4975">
        <v>1.1362190000000001</v>
      </c>
      <c r="L4975">
        <v>28.7562</v>
      </c>
      <c r="M4975">
        <v>0.444295</v>
      </c>
      <c r="N4975">
        <v>-1.454927E-2</v>
      </c>
      <c r="O4975">
        <v>-0.89576239999999996</v>
      </c>
      <c r="P4975">
        <v>0.77128369999999902</v>
      </c>
      <c r="Q4975">
        <v>0.13539599999999999</v>
      </c>
      <c r="R4975">
        <v>-0.62192419999999904</v>
      </c>
      <c r="S4975">
        <v>3.2499690000000001</v>
      </c>
      <c r="T4975">
        <v>-0.38951279999999999</v>
      </c>
      <c r="U4975">
        <v>-0.92898559999999997</v>
      </c>
      <c r="V4975">
        <v>-0.41990240000000001</v>
      </c>
      <c r="W4975">
        <v>0.13278039999999999</v>
      </c>
      <c r="X4975">
        <v>0.89780360000000003</v>
      </c>
      <c r="Y4975">
        <v>-0.7321183</v>
      </c>
      <c r="Z4975">
        <v>0.11482050000000001</v>
      </c>
      <c r="AA4975">
        <v>0.67143059999999999</v>
      </c>
      <c r="AB4975">
        <v>33</v>
      </c>
      <c r="AC4975">
        <v>9.3286000000000495</v>
      </c>
      <c r="AD4975">
        <v>-1.136221528791</v>
      </c>
      <c r="AE4975">
        <v>-2.42857999999999</v>
      </c>
      <c r="AF4975">
        <v>-7.1782422414965401</v>
      </c>
      <c r="AG4975">
        <v>-1.136221528791</v>
      </c>
      <c r="AH4975">
        <v>6.2341357282909602</v>
      </c>
      <c r="AI4975">
        <v>96.815013135767799</v>
      </c>
      <c r="AJ4975">
        <v>139.02644795716401</v>
      </c>
      <c r="AK4975">
        <v>9.5751036192224799</v>
      </c>
      <c r="AL4975">
        <v>82.369709168633705</v>
      </c>
      <c r="AM4975">
        <v>115.06547399285</v>
      </c>
      <c r="AN4975">
        <v>0.99999998216143904</v>
      </c>
    </row>
    <row r="4976" spans="1:40" x14ac:dyDescent="0.25">
      <c r="A4976" t="str">
        <f>"20190303162921525"</f>
        <v>20190303162921525</v>
      </c>
      <c r="B4976" t="str">
        <f>"1551601761516689"</f>
        <v>1551601761516689</v>
      </c>
      <c r="C4976" t="s">
        <v>40</v>
      </c>
      <c r="D4976">
        <v>4.8704669999999997</v>
      </c>
      <c r="E4976">
        <v>0.3354106</v>
      </c>
      <c r="F4976" t="s">
        <v>57</v>
      </c>
      <c r="G4976">
        <v>-409.67239999999998</v>
      </c>
      <c r="H4976" s="1">
        <v>-2.5255479999999998E-6</v>
      </c>
      <c r="I4976">
        <v>26.28762</v>
      </c>
      <c r="J4976">
        <v>-418.86110000000002</v>
      </c>
      <c r="K4976">
        <v>1.1364529999999999</v>
      </c>
      <c r="L4976">
        <v>28.488099999999999</v>
      </c>
      <c r="M4976">
        <v>0.46029979999999998</v>
      </c>
      <c r="N4976">
        <v>-1.4652419999999999E-2</v>
      </c>
      <c r="O4976">
        <v>-0.88764259999999995</v>
      </c>
      <c r="P4976">
        <v>0.7852943</v>
      </c>
      <c r="Q4976">
        <v>0.1356908</v>
      </c>
      <c r="R4976">
        <v>-0.60407040000000001</v>
      </c>
      <c r="S4976">
        <v>3.2636720000000001</v>
      </c>
      <c r="T4976">
        <v>-0.39710719999999999</v>
      </c>
      <c r="U4976">
        <v>-0.86276249999999999</v>
      </c>
      <c r="V4976">
        <v>-0.4244272</v>
      </c>
      <c r="W4976">
        <v>0.1327275</v>
      </c>
      <c r="X4976">
        <v>0.89568130000000001</v>
      </c>
      <c r="Y4976">
        <v>-0.73307330000000004</v>
      </c>
      <c r="Z4976">
        <v>0.1174803</v>
      </c>
      <c r="AA4976">
        <v>0.66992689999999999</v>
      </c>
      <c r="AB4976">
        <v>33</v>
      </c>
      <c r="AC4976">
        <v>9.1887000000000398</v>
      </c>
      <c r="AD4976">
        <v>-1.136455525548</v>
      </c>
      <c r="AE4976">
        <v>-2.2004800000000002</v>
      </c>
      <c r="AF4976">
        <v>-7.0422873166063402</v>
      </c>
      <c r="AG4976">
        <v>-1.136455525548</v>
      </c>
      <c r="AH4976">
        <v>6.0952800307755099</v>
      </c>
      <c r="AI4976">
        <v>96.956778195864203</v>
      </c>
      <c r="AJ4976">
        <v>139.122972845258</v>
      </c>
      <c r="AK4976">
        <v>9.3828450090979203</v>
      </c>
      <c r="AL4976">
        <v>82.372767428127005</v>
      </c>
      <c r="AM4976">
        <v>115.35438380057001</v>
      </c>
      <c r="AN4976">
        <v>1.00000001426289</v>
      </c>
    </row>
    <row r="4977" spans="1:40" x14ac:dyDescent="0.25">
      <c r="A4977" t="str">
        <f>"20190303162921548"</f>
        <v>20190303162921548</v>
      </c>
      <c r="B4977" t="str">
        <f>"1551601761537186"</f>
        <v>1551601761537186</v>
      </c>
      <c r="C4977" t="s">
        <v>40</v>
      </c>
      <c r="D4977">
        <v>4.9082309999999998</v>
      </c>
      <c r="E4977">
        <v>0.33843759999999901</v>
      </c>
      <c r="F4977" t="s">
        <v>57</v>
      </c>
      <c r="G4977">
        <v>-409.95100000000002</v>
      </c>
      <c r="H4977" s="1">
        <v>-2.3206860000000001E-6</v>
      </c>
      <c r="I4977">
        <v>26.107839999999999</v>
      </c>
      <c r="J4977">
        <v>-418.702</v>
      </c>
      <c r="K4977">
        <v>1.136666</v>
      </c>
      <c r="L4977">
        <v>28.21463</v>
      </c>
      <c r="M4977">
        <v>0.47689130000000002</v>
      </c>
      <c r="N4977">
        <v>-1.4758459999999999E-2</v>
      </c>
      <c r="O4977">
        <v>-0.87883840000000002</v>
      </c>
      <c r="P4977">
        <v>0.79791709999999905</v>
      </c>
      <c r="Q4977">
        <v>0.1352457</v>
      </c>
      <c r="R4977">
        <v>-0.58739849999999905</v>
      </c>
      <c r="S4977">
        <v>3.228027</v>
      </c>
      <c r="T4977">
        <v>-0.41172160000000002</v>
      </c>
      <c r="U4977">
        <v>-0.86233519999999897</v>
      </c>
      <c r="V4977">
        <v>-0.42659340000000001</v>
      </c>
      <c r="W4977">
        <v>0.13204839999999901</v>
      </c>
      <c r="X4977">
        <v>0.89475210000000005</v>
      </c>
      <c r="Y4977">
        <v>-0.7178139</v>
      </c>
      <c r="Z4977">
        <v>0.1225991</v>
      </c>
      <c r="AA4977">
        <v>0.68535590000000002</v>
      </c>
      <c r="AB4977">
        <v>33</v>
      </c>
      <c r="AC4977">
        <v>8.7510000000000296</v>
      </c>
      <c r="AD4977">
        <v>-1.136668320686</v>
      </c>
      <c r="AE4977">
        <v>-2.1067900000000002</v>
      </c>
      <c r="AF4977">
        <v>-6.5817726023919496</v>
      </c>
      <c r="AG4977">
        <v>-1.136668320686</v>
      </c>
      <c r="AH4977">
        <v>5.9308791954299904</v>
      </c>
      <c r="AI4977">
        <v>97.310873208011998</v>
      </c>
      <c r="AJ4977">
        <v>137.97777498160301</v>
      </c>
      <c r="AK4977">
        <v>8.9323610255985901</v>
      </c>
      <c r="AL4977">
        <v>82.412022519432597</v>
      </c>
      <c r="AM4977">
        <v>115.490533042941</v>
      </c>
      <c r="AN4977">
        <v>1.0000000146602599</v>
      </c>
    </row>
    <row r="4978" spans="1:40" x14ac:dyDescent="0.25">
      <c r="A4978" t="str">
        <f>"20190303162921571"</f>
        <v>20190303162921571</v>
      </c>
      <c r="B4978" t="str">
        <f>"1551601761566466"</f>
        <v>1551601761566466</v>
      </c>
      <c r="C4978" t="s">
        <v>40</v>
      </c>
      <c r="D4978">
        <v>4.9741249999999999</v>
      </c>
      <c r="E4978">
        <v>0.3410012</v>
      </c>
      <c r="F4978" t="s">
        <v>57</v>
      </c>
      <c r="G4978">
        <v>-409.8759</v>
      </c>
      <c r="H4978" s="1">
        <v>-2.3393530000000002E-6</v>
      </c>
      <c r="I4978">
        <v>25.991810000000001</v>
      </c>
      <c r="J4978">
        <v>-418.53019999999998</v>
      </c>
      <c r="K4978">
        <v>1.1368739999999999</v>
      </c>
      <c r="L4978">
        <v>27.932459999999999</v>
      </c>
      <c r="M4978">
        <v>0.49428119999999998</v>
      </c>
      <c r="N4978">
        <v>-1.4865929999999999E-2</v>
      </c>
      <c r="O4978">
        <v>-0.86917509999999998</v>
      </c>
      <c r="P4978">
        <v>0.80978339999999904</v>
      </c>
      <c r="Q4978">
        <v>0.1340056</v>
      </c>
      <c r="R4978">
        <v>-0.57122139999999999</v>
      </c>
      <c r="S4978">
        <v>3.2312620000000001</v>
      </c>
      <c r="T4978">
        <v>-0.41613719999999998</v>
      </c>
      <c r="U4978">
        <v>-0.81378169999999905</v>
      </c>
      <c r="V4978">
        <v>-0.42700440000000001</v>
      </c>
      <c r="W4978">
        <v>0.13066150000000001</v>
      </c>
      <c r="X4978">
        <v>0.89475969999999905</v>
      </c>
      <c r="Y4978">
        <v>-0.7136808</v>
      </c>
      <c r="Z4978">
        <v>0.12403649999999999</v>
      </c>
      <c r="AA4978">
        <v>0.68940159999999995</v>
      </c>
      <c r="AB4978">
        <v>33</v>
      </c>
      <c r="AC4978">
        <v>8.6542999999999708</v>
      </c>
      <c r="AD4978">
        <v>-1.1368763393529999</v>
      </c>
      <c r="AE4978">
        <v>-1.94064999999999</v>
      </c>
      <c r="AF4978">
        <v>-6.4574985725434901</v>
      </c>
      <c r="AG4978">
        <v>-1.1368763393529999</v>
      </c>
      <c r="AH4978">
        <v>5.8686548087938304</v>
      </c>
      <c r="AI4978">
        <v>97.423159470326397</v>
      </c>
      <c r="AJ4978">
        <v>137.73504889891399</v>
      </c>
      <c r="AK4978">
        <v>8.7995957231091495</v>
      </c>
      <c r="AL4978">
        <v>82.492180868427894</v>
      </c>
      <c r="AM4978">
        <v>115.51178408985101</v>
      </c>
      <c r="AN4978">
        <v>1.0000000529728399</v>
      </c>
    </row>
    <row r="4979" spans="1:40" x14ac:dyDescent="0.25">
      <c r="A4979" t="str">
        <f>"20190303162921593"</f>
        <v>20190303162921593</v>
      </c>
      <c r="B4979" t="str">
        <f>"1551601761586961"</f>
        <v>1551601761586961</v>
      </c>
      <c r="C4979" t="s">
        <v>40</v>
      </c>
      <c r="D4979">
        <v>5.0170349999999999</v>
      </c>
      <c r="E4979">
        <v>0.35380980000000001</v>
      </c>
      <c r="F4979" t="s">
        <v>57</v>
      </c>
      <c r="G4979">
        <v>-409.73860000000002</v>
      </c>
      <c r="H4979" s="1">
        <v>-2.3902380000000002E-6</v>
      </c>
      <c r="I4979">
        <v>25.855160000000001</v>
      </c>
      <c r="J4979">
        <v>-418.35840000000002</v>
      </c>
      <c r="K4979">
        <v>1.1370579999999999</v>
      </c>
      <c r="L4979">
        <v>27.66208</v>
      </c>
      <c r="M4979">
        <v>0.5111831</v>
      </c>
      <c r="N4979">
        <v>-1.496597E-2</v>
      </c>
      <c r="O4979">
        <v>-0.85934169999999999</v>
      </c>
      <c r="P4979">
        <v>0.82111909999999899</v>
      </c>
      <c r="Q4979">
        <v>0.13256999999999999</v>
      </c>
      <c r="R4979">
        <v>-0.55514790000000003</v>
      </c>
      <c r="S4979">
        <v>3.234772</v>
      </c>
      <c r="T4979">
        <v>-0.41829690000000003</v>
      </c>
      <c r="U4979">
        <v>-0.76431269999999996</v>
      </c>
      <c r="V4979">
        <v>-0.42735469999999998</v>
      </c>
      <c r="W4979">
        <v>0.1290965</v>
      </c>
      <c r="X4979">
        <v>0.89481959999999905</v>
      </c>
      <c r="Y4979">
        <v>-0.71011020000000002</v>
      </c>
      <c r="Z4979">
        <v>0.1247023</v>
      </c>
      <c r="AA4979">
        <v>0.6929594</v>
      </c>
      <c r="AB4979">
        <v>33</v>
      </c>
      <c r="AC4979">
        <v>8.6197999999999908</v>
      </c>
      <c r="AD4979">
        <v>-1.1370603902380001</v>
      </c>
      <c r="AE4979">
        <v>-1.8069199999999901</v>
      </c>
      <c r="AF4979">
        <v>-6.3780986298875302</v>
      </c>
      <c r="AG4979">
        <v>-1.1370603902380001</v>
      </c>
      <c r="AH4979">
        <v>5.8620134749236703</v>
      </c>
      <c r="AI4979">
        <v>97.477809151662697</v>
      </c>
      <c r="AJ4979">
        <v>137.41435676553601</v>
      </c>
      <c r="AK4979">
        <v>8.73706188851882</v>
      </c>
      <c r="AL4979">
        <v>82.582614594683207</v>
      </c>
      <c r="AM4979">
        <v>115.528560063135</v>
      </c>
      <c r="AN4979">
        <v>1.0000000312342401</v>
      </c>
    </row>
    <row r="4980" spans="1:40" x14ac:dyDescent="0.25">
      <c r="A4980" t="str">
        <f>"20190303162921615"</f>
        <v>20190303162921615</v>
      </c>
      <c r="B4980" t="str">
        <f>"1551601761606482"</f>
        <v>1551601761606482</v>
      </c>
      <c r="C4980" t="s">
        <v>40</v>
      </c>
      <c r="D4980">
        <v>5.0380279999999997</v>
      </c>
      <c r="E4980">
        <v>0.35687469999999999</v>
      </c>
      <c r="F4980" t="s">
        <v>57</v>
      </c>
      <c r="G4980">
        <v>-409.73079999999999</v>
      </c>
      <c r="H4980" s="1">
        <v>-2.3242429999999998E-6</v>
      </c>
      <c r="I4980">
        <v>25.537669999999999</v>
      </c>
      <c r="J4980">
        <v>-418.18830000000003</v>
      </c>
      <c r="K4980">
        <v>1.1372139999999999</v>
      </c>
      <c r="L4980">
        <v>27.405429999999999</v>
      </c>
      <c r="M4980">
        <v>0.52743329999999999</v>
      </c>
      <c r="N4980">
        <v>-1.505828E-2</v>
      </c>
      <c r="O4980">
        <v>-0.84946299999999997</v>
      </c>
      <c r="P4980">
        <v>0.83137999999999901</v>
      </c>
      <c r="Q4980">
        <v>0.13142960000000001</v>
      </c>
      <c r="R4980">
        <v>-0.5399389</v>
      </c>
      <c r="S4980">
        <v>3.190277</v>
      </c>
      <c r="T4980">
        <v>-0.42045640000000001</v>
      </c>
      <c r="U4980">
        <v>-0.78555299999999995</v>
      </c>
      <c r="V4980">
        <v>-0.42697469999999998</v>
      </c>
      <c r="W4980">
        <v>0.1278755</v>
      </c>
      <c r="X4980">
        <v>0.89517619999999898</v>
      </c>
      <c r="Y4980">
        <v>-0.68987390000000004</v>
      </c>
      <c r="Z4980">
        <v>0.12549579999999999</v>
      </c>
      <c r="AA4980">
        <v>0.71296899999999996</v>
      </c>
      <c r="AB4980">
        <v>33</v>
      </c>
      <c r="AC4980">
        <v>8.4575000000000298</v>
      </c>
      <c r="AD4980">
        <v>-1.137216324243</v>
      </c>
      <c r="AE4980">
        <v>-1.8677599999999901</v>
      </c>
      <c r="AF4980">
        <v>-6.0948460135408702</v>
      </c>
      <c r="AG4980">
        <v>-1.137216324243</v>
      </c>
      <c r="AH4980">
        <v>5.9455482425701698</v>
      </c>
      <c r="AI4980">
        <v>97.607534409860705</v>
      </c>
      <c r="AJ4980">
        <v>135.710416421285</v>
      </c>
      <c r="AK4980">
        <v>8.5901078457507793</v>
      </c>
      <c r="AL4980">
        <v>82.653157098170794</v>
      </c>
      <c r="AM4980">
        <v>115.499872519446</v>
      </c>
      <c r="AN4980">
        <v>0.99999998349338903</v>
      </c>
    </row>
    <row r="4981" spans="1:40" x14ac:dyDescent="0.25">
      <c r="A4981" t="str">
        <f>"20190303162921638"</f>
        <v>20190303162921638</v>
      </c>
      <c r="B4981" t="str">
        <f>"1551601761626977"</f>
        <v>1551601761626977</v>
      </c>
      <c r="C4981" t="s">
        <v>40</v>
      </c>
      <c r="D4981">
        <v>5.0571859999999997</v>
      </c>
      <c r="E4981">
        <v>0.3586242</v>
      </c>
      <c r="F4981" t="s">
        <v>57</v>
      </c>
      <c r="G4981">
        <v>-409.67500000000001</v>
      </c>
      <c r="H4981" s="1">
        <v>-2.3286469999999998E-6</v>
      </c>
      <c r="I4981">
        <v>25.40898</v>
      </c>
      <c r="J4981">
        <v>-418.00389999999999</v>
      </c>
      <c r="K4981">
        <v>1.137367</v>
      </c>
      <c r="L4981">
        <v>27.1387</v>
      </c>
      <c r="M4981">
        <v>0.54451689999999997</v>
      </c>
      <c r="N4981">
        <v>-1.515095E-2</v>
      </c>
      <c r="O4981">
        <v>-0.83861330000000001</v>
      </c>
      <c r="P4981">
        <v>0.84211100000000005</v>
      </c>
      <c r="Q4981">
        <v>0.13014410000000001</v>
      </c>
      <c r="R4981">
        <v>-0.523366</v>
      </c>
      <c r="S4981">
        <v>3.189972</v>
      </c>
      <c r="T4981">
        <v>-0.42612040000000001</v>
      </c>
      <c r="U4981">
        <v>-0.7480774</v>
      </c>
      <c r="V4981">
        <v>-0.42675950000000001</v>
      </c>
      <c r="W4981">
        <v>0.1265077</v>
      </c>
      <c r="X4981">
        <v>0.89547319999999997</v>
      </c>
      <c r="Y4981">
        <v>-0.68297180000000002</v>
      </c>
      <c r="Z4981">
        <v>0.12694079999999999</v>
      </c>
      <c r="AA4981">
        <v>0.71933000000000002</v>
      </c>
      <c r="AB4981">
        <v>33</v>
      </c>
      <c r="AC4981">
        <v>8.3288999999999707</v>
      </c>
      <c r="AD4981">
        <v>-1.1373693286469999</v>
      </c>
      <c r="AE4981">
        <v>-1.7297199999999999</v>
      </c>
      <c r="AF4981">
        <v>-5.9374149152793301</v>
      </c>
      <c r="AG4981">
        <v>-1.1373693286469999</v>
      </c>
      <c r="AH4981">
        <v>5.8813392926680201</v>
      </c>
      <c r="AI4981">
        <v>97.750015089965203</v>
      </c>
      <c r="AJ4981">
        <v>135.271845267608</v>
      </c>
      <c r="AK4981">
        <v>8.4342549606594908</v>
      </c>
      <c r="AL4981">
        <v>82.732168548902706</v>
      </c>
      <c r="AM4981">
        <v>115.481268204054</v>
      </c>
      <c r="AN4981">
        <v>1.0000000604588799</v>
      </c>
    </row>
    <row r="4982" spans="1:40" x14ac:dyDescent="0.25">
      <c r="A4982" t="str">
        <f>"20190303162921654"</f>
        <v>20190303162921654</v>
      </c>
      <c r="B4982" t="str">
        <f>"1551601761647474"</f>
        <v>1551601761647474</v>
      </c>
      <c r="C4982" t="s">
        <v>40</v>
      </c>
      <c r="D4982">
        <v>4.9807090000000001</v>
      </c>
      <c r="E4982">
        <v>0.35943540000000002</v>
      </c>
      <c r="F4982" t="s">
        <v>57</v>
      </c>
      <c r="G4982">
        <v>-409.36700000000002</v>
      </c>
      <c r="H4982" s="1">
        <v>-2.4774260000000001E-6</v>
      </c>
      <c r="I4982">
        <v>25.258320000000001</v>
      </c>
      <c r="J4982">
        <v>-417.8793</v>
      </c>
      <c r="K4982">
        <v>1.1374679999999999</v>
      </c>
      <c r="L4982">
        <v>26.965119999999999</v>
      </c>
      <c r="M4982">
        <v>0.55575299999999905</v>
      </c>
      <c r="N4982">
        <v>-1.520902E-2</v>
      </c>
      <c r="O4982">
        <v>-0.83120859999999996</v>
      </c>
      <c r="P4982">
        <v>0.8490991</v>
      </c>
      <c r="Q4982">
        <v>0.129945</v>
      </c>
      <c r="R4982">
        <v>-0.51200129999999999</v>
      </c>
      <c r="S4982">
        <v>3.1952210000000001</v>
      </c>
      <c r="T4982">
        <v>-0.42077039999999999</v>
      </c>
      <c r="U4982">
        <v>-0.69564820000000005</v>
      </c>
      <c r="V4982">
        <v>-0.42679489999999998</v>
      </c>
      <c r="W4982">
        <v>0.12625129999999901</v>
      </c>
      <c r="X4982">
        <v>0.89549239999999997</v>
      </c>
      <c r="Y4982">
        <v>-0.68491340000000001</v>
      </c>
      <c r="Z4982">
        <v>0.12540799999999999</v>
      </c>
      <c r="AA4982">
        <v>0.71775100000000003</v>
      </c>
      <c r="AB4982">
        <v>33</v>
      </c>
      <c r="AC4982">
        <v>8.51230000000003</v>
      </c>
      <c r="AD4982">
        <v>-1.1374704774259901</v>
      </c>
      <c r="AE4982">
        <v>-1.7068000000000001</v>
      </c>
      <c r="AF4982">
        <v>-6.0242334346794104</v>
      </c>
      <c r="AG4982">
        <v>-1.1374704774259901</v>
      </c>
      <c r="AH4982">
        <v>6.0463615380949403</v>
      </c>
      <c r="AI4982">
        <v>97.590962703108502</v>
      </c>
      <c r="AJ4982">
        <v>134.89496412422801</v>
      </c>
      <c r="AK4982">
        <v>8.6106745038863792</v>
      </c>
      <c r="AL4982">
        <v>82.746977180421197</v>
      </c>
      <c r="AM4982">
        <v>115.48263685667899</v>
      </c>
      <c r="AN4982">
        <v>0.999999957937729</v>
      </c>
    </row>
    <row r="4983" spans="1:40" x14ac:dyDescent="0.25">
      <c r="A4983" t="str">
        <f>"20190303162921668"</f>
        <v>20190303162921668</v>
      </c>
      <c r="B4983" t="str">
        <f>"1551601761657234"</f>
        <v>1551601761657234</v>
      </c>
      <c r="C4983" t="s">
        <v>40</v>
      </c>
      <c r="D4983">
        <v>5.0037710000000004</v>
      </c>
      <c r="E4983">
        <v>0.3599657</v>
      </c>
      <c r="F4983" t="s">
        <v>57</v>
      </c>
      <c r="G4983">
        <v>-409.01740000000001</v>
      </c>
      <c r="H4983" s="1">
        <v>-2.6589960000000002E-6</v>
      </c>
      <c r="I4983">
        <v>25.144210000000001</v>
      </c>
      <c r="J4983">
        <v>-417.7509</v>
      </c>
      <c r="K4983">
        <v>1.137561</v>
      </c>
      <c r="L4983">
        <v>26.790990000000001</v>
      </c>
      <c r="M4983">
        <v>0.5670809</v>
      </c>
      <c r="N4983">
        <v>-1.526484E-2</v>
      </c>
      <c r="O4983">
        <v>-0.82352069999999999</v>
      </c>
      <c r="P4983">
        <v>0.85604380000000002</v>
      </c>
      <c r="Q4983">
        <v>0.1295906</v>
      </c>
      <c r="R4983">
        <v>-0.5003957</v>
      </c>
      <c r="S4983">
        <v>3.1995849999999999</v>
      </c>
      <c r="T4983">
        <v>-0.4106863</v>
      </c>
      <c r="U4983">
        <v>-0.65744019999999903</v>
      </c>
      <c r="V4983">
        <v>-0.42678640000000001</v>
      </c>
      <c r="W4983">
        <v>0.12584500000000001</v>
      </c>
      <c r="X4983">
        <v>0.89555370000000001</v>
      </c>
      <c r="Y4983">
        <v>-0.68387600000000004</v>
      </c>
      <c r="Z4983">
        <v>0.1220499</v>
      </c>
      <c r="AA4983">
        <v>0.7193174</v>
      </c>
      <c r="AB4983">
        <v>32</v>
      </c>
      <c r="AC4983">
        <v>8.7334999999999905</v>
      </c>
      <c r="AD4983">
        <v>-1.1375636589960001</v>
      </c>
      <c r="AE4983">
        <v>-1.6467799999999899</v>
      </c>
      <c r="AF4983">
        <v>-6.1581977909549401</v>
      </c>
      <c r="AG4983">
        <v>-1.1375636589960001</v>
      </c>
      <c r="AH4983">
        <v>6.2077891005031596</v>
      </c>
      <c r="AI4983">
        <v>97.412228042178299</v>
      </c>
      <c r="AJ4983">
        <v>134.770228002778</v>
      </c>
      <c r="AK4983">
        <v>8.8178283396262902</v>
      </c>
      <c r="AL4983">
        <v>82.770444018181095</v>
      </c>
      <c r="AM4983">
        <v>115.480670494864</v>
      </c>
      <c r="AN4983">
        <v>1.00000001241682</v>
      </c>
    </row>
    <row r="4984" spans="1:40" x14ac:dyDescent="0.25">
      <c r="A4984" t="str">
        <f>"20190303162921684"</f>
        <v>20190303162921684</v>
      </c>
      <c r="B4984" t="str">
        <f>"1551601761676754"</f>
        <v>1551601761676754</v>
      </c>
      <c r="C4984" t="s">
        <v>40</v>
      </c>
      <c r="D4984">
        <v>5.0496670000000003</v>
      </c>
      <c r="E4984">
        <v>0.36056759999999999</v>
      </c>
      <c r="F4984" t="s">
        <v>57</v>
      </c>
      <c r="G4984">
        <v>-408.76029999999997</v>
      </c>
      <c r="H4984" s="1">
        <v>-2.792693E-6</v>
      </c>
      <c r="I4984">
        <v>25.061140000000002</v>
      </c>
      <c r="J4984">
        <v>-417.6182</v>
      </c>
      <c r="K4984">
        <v>1.1376489999999999</v>
      </c>
      <c r="L4984">
        <v>26.615570000000002</v>
      </c>
      <c r="M4984">
        <v>0.57855119999999904</v>
      </c>
      <c r="N4984">
        <v>-1.5318439999999999E-2</v>
      </c>
      <c r="O4984">
        <v>-0.81550239999999996</v>
      </c>
      <c r="P4984">
        <v>0.86290739999999999</v>
      </c>
      <c r="Q4984">
        <v>0.12920100000000001</v>
      </c>
      <c r="R4984">
        <v>-0.4885679</v>
      </c>
      <c r="S4984">
        <v>3.2053530000000001</v>
      </c>
      <c r="T4984">
        <v>-0.40556759999999997</v>
      </c>
      <c r="U4984">
        <v>-0.61672969999999905</v>
      </c>
      <c r="V4984">
        <v>-0.42663859999999998</v>
      </c>
      <c r="W4984">
        <v>0.125414</v>
      </c>
      <c r="X4984">
        <v>0.89568459999999905</v>
      </c>
      <c r="Y4984">
        <v>-0.68301919999999905</v>
      </c>
      <c r="Z4984">
        <v>0.1202038</v>
      </c>
      <c r="AA4984">
        <v>0.72044140000000001</v>
      </c>
      <c r="AB4984">
        <v>32</v>
      </c>
      <c r="AC4984">
        <v>8.8579000000000292</v>
      </c>
      <c r="AD4984">
        <v>-1.1376517926930001</v>
      </c>
      <c r="AE4984">
        <v>-1.55443</v>
      </c>
      <c r="AF4984">
        <v>-6.2254406055851099</v>
      </c>
      <c r="AG4984">
        <v>-1.1376517926930001</v>
      </c>
      <c r="AH4984">
        <v>6.2924450544146699</v>
      </c>
      <c r="AI4984">
        <v>97.323782052780302</v>
      </c>
      <c r="AJ4984">
        <v>134.69331598270199</v>
      </c>
      <c r="AK4984">
        <v>8.9244174654659201</v>
      </c>
      <c r="AL4984">
        <v>82.795335870460406</v>
      </c>
      <c r="AM4984">
        <v>115.469712814828</v>
      </c>
      <c r="AN4984">
        <v>1.0000000345415501</v>
      </c>
    </row>
    <row r="4985" spans="1:40" x14ac:dyDescent="0.25">
      <c r="A4985" t="str">
        <f>"20190303162921697"</f>
        <v>20190303162921697</v>
      </c>
      <c r="B4985" t="str">
        <f>"1551601761686513"</f>
        <v>1551601761686513</v>
      </c>
      <c r="C4985" t="s">
        <v>40</v>
      </c>
      <c r="D4985">
        <v>5.0269370000000002</v>
      </c>
      <c r="E4985">
        <v>0.36108400000000002</v>
      </c>
      <c r="F4985" t="s">
        <v>57</v>
      </c>
      <c r="G4985">
        <v>-408.35430000000002</v>
      </c>
      <c r="H4985" s="1">
        <v>-3.0092969999999998E-6</v>
      </c>
      <c r="I4985">
        <v>24.954419999999999</v>
      </c>
      <c r="J4985">
        <v>-417.50490000000002</v>
      </c>
      <c r="K4985">
        <v>1.137715</v>
      </c>
      <c r="L4985">
        <v>26.470980000000001</v>
      </c>
      <c r="M4985">
        <v>0.58809259999999997</v>
      </c>
      <c r="N4985">
        <v>-1.5360169999999999E-2</v>
      </c>
      <c r="O4985">
        <v>-0.80864789999999998</v>
      </c>
      <c r="P4985">
        <v>0.86838349999999898</v>
      </c>
      <c r="Q4985">
        <v>0.128911</v>
      </c>
      <c r="R4985">
        <v>-0.47884480000000001</v>
      </c>
      <c r="S4985">
        <v>3.209778</v>
      </c>
      <c r="T4985">
        <v>-0.39417780000000002</v>
      </c>
      <c r="U4985">
        <v>-0.57556149999999995</v>
      </c>
      <c r="V4985">
        <v>-0.42622080000000001</v>
      </c>
      <c r="W4985">
        <v>0.12510750000000001</v>
      </c>
      <c r="X4985">
        <v>0.89592629999999995</v>
      </c>
      <c r="Y4985">
        <v>-0.68410119999999996</v>
      </c>
      <c r="Z4985">
        <v>0.11657049999999999</v>
      </c>
      <c r="AA4985">
        <v>0.72001169999999903</v>
      </c>
      <c r="AB4985">
        <v>32</v>
      </c>
      <c r="AC4985">
        <v>9.1505999999999901</v>
      </c>
      <c r="AD4985">
        <v>-1.1377180092970001</v>
      </c>
      <c r="AE4985">
        <v>-1.5165599999999899</v>
      </c>
      <c r="AF4985">
        <v>-6.4120315331987001</v>
      </c>
      <c r="AG4985">
        <v>-1.1377180092970001</v>
      </c>
      <c r="AH4985">
        <v>6.5105879515821101</v>
      </c>
      <c r="AI4985">
        <v>97.097083928118906</v>
      </c>
      <c r="AJ4985">
        <v>134.563033072151</v>
      </c>
      <c r="AK4985">
        <v>9.2084909798891292</v>
      </c>
      <c r="AL4985">
        <v>82.813036159898104</v>
      </c>
      <c r="AM4985">
        <v>115.441927542014</v>
      </c>
      <c r="AN4985">
        <v>0.99999999597028999</v>
      </c>
    </row>
    <row r="4986" spans="1:40" x14ac:dyDescent="0.25">
      <c r="A4986" t="str">
        <f>"20190303162921711"</f>
        <v>20190303162921711</v>
      </c>
      <c r="B4986" t="str">
        <f>"1551601761707011"</f>
        <v>1551601761707011</v>
      </c>
      <c r="C4986" t="s">
        <v>40</v>
      </c>
      <c r="D4986">
        <v>5.0474990000000002</v>
      </c>
      <c r="E4986">
        <v>0.3623325</v>
      </c>
      <c r="F4986" t="s">
        <v>57</v>
      </c>
      <c r="G4986">
        <v>-408.0582</v>
      </c>
      <c r="H4986" s="1">
        <v>-3.1679109999999999E-6</v>
      </c>
      <c r="I4986">
        <v>24.879439999999999</v>
      </c>
      <c r="J4986">
        <v>-417.38310000000001</v>
      </c>
      <c r="K4986">
        <v>1.1377820000000001</v>
      </c>
      <c r="L4986">
        <v>26.318729999999999</v>
      </c>
      <c r="M4986">
        <v>0.59816809999999998</v>
      </c>
      <c r="N4986">
        <v>-1.5401740000000001E-2</v>
      </c>
      <c r="O4986">
        <v>-0.80122269999999995</v>
      </c>
      <c r="P4986">
        <v>0.87389899999999998</v>
      </c>
      <c r="Q4986">
        <v>0.12862169999999901</v>
      </c>
      <c r="R4986">
        <v>-0.4687828</v>
      </c>
      <c r="S4986">
        <v>3.2136230000000001</v>
      </c>
      <c r="T4986">
        <v>-0.38703219999999999</v>
      </c>
      <c r="U4986">
        <v>-0.54141240000000002</v>
      </c>
      <c r="V4986">
        <v>-0.42539909999999997</v>
      </c>
      <c r="W4986">
        <v>0.12482119999999999</v>
      </c>
      <c r="X4986">
        <v>0.89635659999999895</v>
      </c>
      <c r="Y4986">
        <v>-0.68292739999999996</v>
      </c>
      <c r="Z4986">
        <v>0.1140694</v>
      </c>
      <c r="AA4986">
        <v>0.72152499999999997</v>
      </c>
      <c r="AB4986">
        <v>32</v>
      </c>
      <c r="AC4986">
        <v>9.3249000000000102</v>
      </c>
      <c r="AD4986">
        <v>-1.137785167911</v>
      </c>
      <c r="AE4986">
        <v>-1.43928999999999</v>
      </c>
      <c r="AF4986">
        <v>-6.5164101221811199</v>
      </c>
      <c r="AG4986">
        <v>-1.137785167911</v>
      </c>
      <c r="AH4986">
        <v>6.6353600731722802</v>
      </c>
      <c r="AI4986">
        <v>96.974982076145395</v>
      </c>
      <c r="AJ4986">
        <v>134.48180782976499</v>
      </c>
      <c r="AK4986">
        <v>9.3694268378290708</v>
      </c>
      <c r="AL4986">
        <v>82.829569141818993</v>
      </c>
      <c r="AM4986">
        <v>115.388403325653</v>
      </c>
      <c r="AN4986">
        <v>0.99999994030690298</v>
      </c>
    </row>
    <row r="4987" spans="1:40" x14ac:dyDescent="0.25">
      <c r="A4987" t="str">
        <f>"20190303162921727"</f>
        <v>20190303162921727</v>
      </c>
      <c r="B4987" t="str">
        <f>"1551601761716769"</f>
        <v>1551601761716769</v>
      </c>
      <c r="C4987" t="s">
        <v>40</v>
      </c>
      <c r="D4987">
        <v>5.032921</v>
      </c>
      <c r="E4987">
        <v>0.3629578</v>
      </c>
      <c r="F4987" t="s">
        <v>57</v>
      </c>
      <c r="G4987">
        <v>-407.6635</v>
      </c>
      <c r="H4987" s="1">
        <v>-3.3781319999999999E-6</v>
      </c>
      <c r="I4987">
        <v>24.77422</v>
      </c>
      <c r="J4987">
        <v>-417.23649999999998</v>
      </c>
      <c r="K4987">
        <v>1.1378539999999999</v>
      </c>
      <c r="L4987">
        <v>26.1402</v>
      </c>
      <c r="M4987">
        <v>0.61002330000000005</v>
      </c>
      <c r="N4987">
        <v>-1.544738E-2</v>
      </c>
      <c r="O4987">
        <v>-0.79223290000000002</v>
      </c>
      <c r="P4987">
        <v>0.87890949999999901</v>
      </c>
      <c r="Q4987">
        <v>0.12834789999999999</v>
      </c>
      <c r="R4987">
        <v>-0.45939649999999999</v>
      </c>
      <c r="S4987">
        <v>3.2142940000000002</v>
      </c>
      <c r="T4987">
        <v>-0.37626929999999997</v>
      </c>
      <c r="U4987">
        <v>-0.51077269999999997</v>
      </c>
      <c r="V4987">
        <v>-0.4216994</v>
      </c>
      <c r="W4987">
        <v>0.1246892</v>
      </c>
      <c r="X4987">
        <v>0.89812150000000002</v>
      </c>
      <c r="Y4987">
        <v>-0.67931569999999997</v>
      </c>
      <c r="Z4987">
        <v>0.1103031</v>
      </c>
      <c r="AA4987">
        <v>0.72550909999999902</v>
      </c>
      <c r="AB4987">
        <v>32</v>
      </c>
      <c r="AC4987">
        <v>9.5729999999999809</v>
      </c>
      <c r="AD4987">
        <v>-1.1378573781320001</v>
      </c>
      <c r="AE4987">
        <v>-1.36598</v>
      </c>
      <c r="AF4987">
        <v>-6.6593655609911</v>
      </c>
      <c r="AG4987">
        <v>-1.1378573781320001</v>
      </c>
      <c r="AH4987">
        <v>6.8282095855513996</v>
      </c>
      <c r="AI4987">
        <v>96.803146776947798</v>
      </c>
      <c r="AJ4987">
        <v>134.28278103383701</v>
      </c>
      <c r="AK4987">
        <v>9.6055356556570999</v>
      </c>
      <c r="AL4987">
        <v>82.837192199658105</v>
      </c>
      <c r="AM4987">
        <v>115.15169446791801</v>
      </c>
      <c r="AN4987">
        <v>1.00000000465962</v>
      </c>
    </row>
    <row r="4988" spans="1:40" x14ac:dyDescent="0.25">
      <c r="A4988" t="str">
        <f>"20190303162921741"</f>
        <v>20190303162921741</v>
      </c>
      <c r="B4988" t="str">
        <f>"1551601761737266"</f>
        <v>1551601761737266</v>
      </c>
      <c r="C4988" t="s">
        <v>40</v>
      </c>
      <c r="D4988">
        <v>5.0700409999999998</v>
      </c>
      <c r="E4988">
        <v>0.37689319999999998</v>
      </c>
      <c r="F4988" t="s">
        <v>57</v>
      </c>
      <c r="G4988">
        <v>-407.31540000000001</v>
      </c>
      <c r="H4988" s="1">
        <v>-3.5456220000000002E-6</v>
      </c>
      <c r="I4988">
        <v>24.667860000000001</v>
      </c>
      <c r="J4988">
        <v>-417.11329999999998</v>
      </c>
      <c r="K4988">
        <v>1.1379090000000001</v>
      </c>
      <c r="L4988">
        <v>25.99417</v>
      </c>
      <c r="M4988">
        <v>0.61976059999999999</v>
      </c>
      <c r="N4988">
        <v>-1.548211E-2</v>
      </c>
      <c r="O4988">
        <v>-0.78463830000000001</v>
      </c>
      <c r="P4988">
        <v>0.88339639999999997</v>
      </c>
      <c r="Q4988">
        <v>0.12831580000000001</v>
      </c>
      <c r="R4988">
        <v>-0.45071739999999999</v>
      </c>
      <c r="S4988">
        <v>3.2176209999999998</v>
      </c>
      <c r="T4988">
        <v>-0.36903010000000003</v>
      </c>
      <c r="U4988">
        <v>-0.4775085</v>
      </c>
      <c r="V4988">
        <v>-0.41947180000000001</v>
      </c>
      <c r="W4988">
        <v>0.1247356</v>
      </c>
      <c r="X4988">
        <v>0.899157599999999</v>
      </c>
      <c r="Y4988">
        <v>-0.67806239999999995</v>
      </c>
      <c r="Z4988">
        <v>0.107752399999999</v>
      </c>
      <c r="AA4988">
        <v>0.72706309999999996</v>
      </c>
      <c r="AB4988">
        <v>32</v>
      </c>
      <c r="AC4988">
        <v>9.7978999999999701</v>
      </c>
      <c r="AD4988">
        <v>-1.1379125456220001</v>
      </c>
      <c r="AE4988">
        <v>-1.3263099999999901</v>
      </c>
      <c r="AF4988">
        <v>-6.7768728496530697</v>
      </c>
      <c r="AG4988">
        <v>-1.1379125456220001</v>
      </c>
      <c r="AH4988">
        <v>7.0208835277274604</v>
      </c>
      <c r="AI4988">
        <v>96.651399640898802</v>
      </c>
      <c r="AJ4988">
        <v>133.98684073026399</v>
      </c>
      <c r="AK4988">
        <v>9.8241364043748796</v>
      </c>
      <c r="AL4988">
        <v>82.8345125452188</v>
      </c>
      <c r="AM4988">
        <v>115.009824855076</v>
      </c>
      <c r="AN4988">
        <v>0.99999997527017903</v>
      </c>
    </row>
    <row r="4989" spans="1:40" x14ac:dyDescent="0.25">
      <c r="A4989" t="str">
        <f>"20190303162921754"</f>
        <v>20190303162921754</v>
      </c>
      <c r="B4989" t="str">
        <f>"1551601761747027"</f>
        <v>1551601761747027</v>
      </c>
      <c r="C4989" t="s">
        <v>40</v>
      </c>
      <c r="D4989">
        <v>5.0730559999999896</v>
      </c>
      <c r="E4989">
        <v>0.37778519999999999</v>
      </c>
      <c r="F4989" t="s">
        <v>57</v>
      </c>
      <c r="G4989">
        <v>-405.4819</v>
      </c>
      <c r="H4989" s="1">
        <v>-4.3518270000000001E-6</v>
      </c>
      <c r="I4989">
        <v>24.013829999999999</v>
      </c>
      <c r="J4989">
        <v>-416.98570000000001</v>
      </c>
      <c r="K4989">
        <v>1.1379619999999999</v>
      </c>
      <c r="L4989">
        <v>25.847560000000001</v>
      </c>
      <c r="M4989">
        <v>0.62960539999999998</v>
      </c>
      <c r="N4989">
        <v>-1.551456E-2</v>
      </c>
      <c r="O4989">
        <v>-0.77676029999999996</v>
      </c>
      <c r="P4989">
        <v>0.88812909999999901</v>
      </c>
      <c r="Q4989">
        <v>0.12814229999999999</v>
      </c>
      <c r="R4989">
        <v>-0.44136950000000003</v>
      </c>
      <c r="S4989">
        <v>3.1659549999999999</v>
      </c>
      <c r="T4989">
        <v>-0.3097299</v>
      </c>
      <c r="U4989">
        <v>-0.53903199999999996</v>
      </c>
      <c r="V4989">
        <v>-0.41765029999999997</v>
      </c>
      <c r="W4989">
        <v>0.1246244</v>
      </c>
      <c r="X4989">
        <v>0.9000205</v>
      </c>
      <c r="Y4989">
        <v>-0.65515639999999997</v>
      </c>
      <c r="Z4989">
        <v>8.8960860000000003E-2</v>
      </c>
      <c r="AA4989">
        <v>0.7502373</v>
      </c>
      <c r="AB4989">
        <v>32</v>
      </c>
      <c r="AC4989">
        <v>11.5038</v>
      </c>
      <c r="AD4989">
        <v>-1.137966351827</v>
      </c>
      <c r="AE4989">
        <v>-1.8337300000000001</v>
      </c>
      <c r="AF4989">
        <v>-7.7085429606341203</v>
      </c>
      <c r="AG4989">
        <v>-1.137966351827</v>
      </c>
      <c r="AH4989">
        <v>8.5863273705176208</v>
      </c>
      <c r="AI4989">
        <v>95.632288105059303</v>
      </c>
      <c r="AJ4989">
        <v>131.91652785695101</v>
      </c>
      <c r="AK4989">
        <v>11.5948962784292</v>
      </c>
      <c r="AL4989">
        <v>82.840933812814995</v>
      </c>
      <c r="AM4989">
        <v>114.893436674854</v>
      </c>
      <c r="AN4989">
        <v>0.99999995729284896</v>
      </c>
    </row>
    <row r="4990" spans="1:40" x14ac:dyDescent="0.25">
      <c r="A4990" t="str">
        <f>"20190303162921774"</f>
        <v>20190303162921774</v>
      </c>
      <c r="B4990" t="str">
        <f>"1551601761767523"</f>
        <v>1551601761767523</v>
      </c>
      <c r="C4990" t="s">
        <v>40</v>
      </c>
      <c r="D4990">
        <v>5.101559</v>
      </c>
      <c r="E4990">
        <v>0.37979469999999999</v>
      </c>
      <c r="F4990" t="s">
        <v>57</v>
      </c>
      <c r="G4990">
        <v>-405.53890000000001</v>
      </c>
      <c r="H4990" s="1">
        <v>-4.3202630000000004E-6</v>
      </c>
      <c r="I4990">
        <v>23.997640000000001</v>
      </c>
      <c r="J4990">
        <v>-416.80560000000003</v>
      </c>
      <c r="K4990">
        <v>1.1380250000000001</v>
      </c>
      <c r="L4990">
        <v>25.645969999999998</v>
      </c>
      <c r="M4990">
        <v>0.64317049999999998</v>
      </c>
      <c r="N4990">
        <v>-1.55557E-2</v>
      </c>
      <c r="O4990">
        <v>-0.76556499999999905</v>
      </c>
      <c r="P4990">
        <v>0.89424939999999997</v>
      </c>
      <c r="Q4990">
        <v>0.12793209999999999</v>
      </c>
      <c r="R4990">
        <v>-0.428896</v>
      </c>
      <c r="S4990">
        <v>3.1688230000000002</v>
      </c>
      <c r="T4990">
        <v>-0.31502370000000002</v>
      </c>
      <c r="U4990">
        <v>-0.51211549999999995</v>
      </c>
      <c r="V4990">
        <v>-0.41444730000000002</v>
      </c>
      <c r="W4990">
        <v>0.12453640000000001</v>
      </c>
      <c r="X4990">
        <v>0.90151210000000004</v>
      </c>
      <c r="Y4990">
        <v>-0.64806600000000003</v>
      </c>
      <c r="Z4990">
        <v>8.9910370000000003E-2</v>
      </c>
      <c r="AA4990">
        <v>0.75625830000000005</v>
      </c>
      <c r="AB4990">
        <v>32</v>
      </c>
      <c r="AC4990">
        <v>11.2667</v>
      </c>
      <c r="AD4990">
        <v>-1.1380293202630001</v>
      </c>
      <c r="AE4990">
        <v>-1.6483300000000001</v>
      </c>
      <c r="AF4990">
        <v>-7.4913195469952996</v>
      </c>
      <c r="AG4990">
        <v>-1.1380293202630001</v>
      </c>
      <c r="AH4990">
        <v>8.4251842816089599</v>
      </c>
      <c r="AI4990">
        <v>95.764060952829496</v>
      </c>
      <c r="AJ4990">
        <v>131.64214977825401</v>
      </c>
      <c r="AK4990">
        <v>11.3313154341428</v>
      </c>
      <c r="AL4990">
        <v>82.846015542300506</v>
      </c>
      <c r="AM4990">
        <v>114.689405925792</v>
      </c>
      <c r="AN4990">
        <v>0.99999997292432896</v>
      </c>
    </row>
    <row r="4991" spans="1:40" x14ac:dyDescent="0.25">
      <c r="A4991" t="str">
        <f>"20190303162921788"</f>
        <v>20190303162921788</v>
      </c>
      <c r="B4991" t="str">
        <f>"1551601761777283"</f>
        <v>1551601761777283</v>
      </c>
      <c r="C4991" t="s">
        <v>40</v>
      </c>
      <c r="D4991">
        <v>5.0940440000000002</v>
      </c>
      <c r="E4991">
        <v>0.3808494</v>
      </c>
      <c r="F4991" t="s">
        <v>57</v>
      </c>
      <c r="G4991">
        <v>-405.41379999999998</v>
      </c>
      <c r="H4991" s="1">
        <v>-4.3683399999999996E-6</v>
      </c>
      <c r="I4991">
        <v>23.913820000000001</v>
      </c>
      <c r="J4991">
        <v>-416.66849999999999</v>
      </c>
      <c r="K4991">
        <v>1.1380589999999999</v>
      </c>
      <c r="L4991">
        <v>25.496949999999998</v>
      </c>
      <c r="M4991">
        <v>0.65322840000000004</v>
      </c>
      <c r="N4991">
        <v>-1.558356E-2</v>
      </c>
      <c r="O4991">
        <v>-0.75700069999999997</v>
      </c>
      <c r="P4991">
        <v>0.89908670000000002</v>
      </c>
      <c r="Q4991">
        <v>0.12795409999999999</v>
      </c>
      <c r="R4991">
        <v>-0.41865429999999998</v>
      </c>
      <c r="S4991">
        <v>3.1689449999999999</v>
      </c>
      <c r="T4991">
        <v>-0.31657289999999999</v>
      </c>
      <c r="U4991">
        <v>-0.48184199999999999</v>
      </c>
      <c r="V4991">
        <v>-0.41284559999999998</v>
      </c>
      <c r="W4991">
        <v>0.1246131</v>
      </c>
      <c r="X4991">
        <v>0.90223620000000004</v>
      </c>
      <c r="Y4991">
        <v>-0.64505089999999998</v>
      </c>
      <c r="Z4991">
        <v>9.0063820000000003E-2</v>
      </c>
      <c r="AA4991">
        <v>0.75881339999999997</v>
      </c>
      <c r="AB4991">
        <v>32</v>
      </c>
      <c r="AC4991">
        <v>11.2547</v>
      </c>
      <c r="AD4991">
        <v>-1.1380633683400001</v>
      </c>
      <c r="AE4991">
        <v>-1.5831299999999899</v>
      </c>
      <c r="AF4991">
        <v>-7.4122583493459198</v>
      </c>
      <c r="AG4991">
        <v>-1.1380633683400001</v>
      </c>
      <c r="AH4991">
        <v>8.4664672205050593</v>
      </c>
      <c r="AI4991">
        <v>95.775095310588696</v>
      </c>
      <c r="AJ4991">
        <v>131.201634288592</v>
      </c>
      <c r="AK4991">
        <v>11.3100764481807</v>
      </c>
      <c r="AL4991">
        <v>82.841586917970503</v>
      </c>
      <c r="AM4991">
        <v>114.58790378731</v>
      </c>
      <c r="AN4991">
        <v>1.0000000373607001</v>
      </c>
    </row>
    <row r="4992" spans="1:40" x14ac:dyDescent="0.25">
      <c r="A4992" t="str">
        <f>"20190303162921804"</f>
        <v>20190303162921804</v>
      </c>
      <c r="B4992" t="str">
        <f>"1551601761796804"</f>
        <v>1551601761796804</v>
      </c>
      <c r="C4992" t="s">
        <v>40</v>
      </c>
      <c r="D4992">
        <v>5.1493690000000001</v>
      </c>
      <c r="E4992">
        <v>0.38202370000000002</v>
      </c>
      <c r="F4992" t="s">
        <v>57</v>
      </c>
      <c r="G4992">
        <v>-405.16550000000001</v>
      </c>
      <c r="H4992" s="1">
        <v>-4.4827089999999999E-6</v>
      </c>
      <c r="I4992">
        <v>23.85444</v>
      </c>
      <c r="J4992">
        <v>-416.51889999999997</v>
      </c>
      <c r="K4992">
        <v>1.138104</v>
      </c>
      <c r="L4992">
        <v>25.33841</v>
      </c>
      <c r="M4992">
        <v>0.66394869999999995</v>
      </c>
      <c r="N4992">
        <v>-1.5610880000000001E-2</v>
      </c>
      <c r="O4992">
        <v>-0.74761519999999904</v>
      </c>
      <c r="P4992">
        <v>0.90403900000000004</v>
      </c>
      <c r="Q4992">
        <v>0.12769040000000001</v>
      </c>
      <c r="R4992">
        <v>-0.40793249999999998</v>
      </c>
      <c r="S4992">
        <v>3.1705930000000002</v>
      </c>
      <c r="T4992">
        <v>-0.313687099999999</v>
      </c>
      <c r="U4992">
        <v>-0.45272829999999997</v>
      </c>
      <c r="V4992">
        <v>-0.41074769999999999</v>
      </c>
      <c r="W4992">
        <v>0.1244295</v>
      </c>
      <c r="X4992">
        <v>0.90321850000000004</v>
      </c>
      <c r="Y4992">
        <v>-0.64119709999999996</v>
      </c>
      <c r="Z4992">
        <v>8.8700539999999994E-2</v>
      </c>
      <c r="AA4992">
        <v>0.76223260000000004</v>
      </c>
      <c r="AB4992">
        <v>32</v>
      </c>
      <c r="AC4992">
        <v>11.353399999999899</v>
      </c>
      <c r="AD4992">
        <v>-1.138108482709</v>
      </c>
      <c r="AE4992">
        <v>-1.48396999999999</v>
      </c>
      <c r="AF4992">
        <v>-7.4301979772410496</v>
      </c>
      <c r="AG4992">
        <v>-1.138108482709</v>
      </c>
      <c r="AH4992">
        <v>8.5639551419974893</v>
      </c>
      <c r="AI4992">
        <v>95.732173160623304</v>
      </c>
      <c r="AJ4992">
        <v>130.94532924825</v>
      </c>
      <c r="AK4992">
        <v>11.3949313544907</v>
      </c>
      <c r="AL4992">
        <v>82.852188786407893</v>
      </c>
      <c r="AM4992">
        <v>114.454144505401</v>
      </c>
      <c r="AN4992">
        <v>1.00000001613389</v>
      </c>
    </row>
    <row r="4993" spans="1:40" x14ac:dyDescent="0.25">
      <c r="A4993" t="str">
        <f>"20190303162921820"</f>
        <v>20190303162921820</v>
      </c>
      <c r="B4993" t="str">
        <f>"1551601761807539"</f>
        <v>1551601761807539</v>
      </c>
      <c r="C4993" t="s">
        <v>40</v>
      </c>
      <c r="D4993">
        <v>5.1399530000000002</v>
      </c>
      <c r="E4993">
        <v>0.38266660000000002</v>
      </c>
      <c r="F4993" t="s">
        <v>57</v>
      </c>
      <c r="G4993">
        <v>-405.02800000000002</v>
      </c>
      <c r="H4993" s="1">
        <v>-4.5431499999999999E-6</v>
      </c>
      <c r="I4993">
        <v>23.805430000000001</v>
      </c>
      <c r="J4993">
        <v>-416.35449999999997</v>
      </c>
      <c r="K4993">
        <v>1.138155</v>
      </c>
      <c r="L4993">
        <v>25.17032</v>
      </c>
      <c r="M4993">
        <v>0.67539229999999995</v>
      </c>
      <c r="N4993">
        <v>-1.5637249999999998E-2</v>
      </c>
      <c r="O4993">
        <v>-0.73729270000000002</v>
      </c>
      <c r="P4993">
        <v>0.90783049999999998</v>
      </c>
      <c r="Q4993">
        <v>0.12792190000000001</v>
      </c>
      <c r="R4993">
        <v>-0.3993488</v>
      </c>
      <c r="S4993">
        <v>3.171875</v>
      </c>
      <c r="T4993">
        <v>-0.31415720000000003</v>
      </c>
      <c r="U4993">
        <v>-0.4231567</v>
      </c>
      <c r="V4993">
        <v>-0.40537220000000002</v>
      </c>
      <c r="W4993">
        <v>0.124905</v>
      </c>
      <c r="X4993">
        <v>0.90557840000000001</v>
      </c>
      <c r="Y4993">
        <v>-0.63643149999999904</v>
      </c>
      <c r="Z4993">
        <v>8.827111E-2</v>
      </c>
      <c r="AA4993">
        <v>0.76626569999999905</v>
      </c>
      <c r="AB4993">
        <v>32</v>
      </c>
      <c r="AC4993">
        <v>11.3264999999999</v>
      </c>
      <c r="AD4993">
        <v>-1.13815954315</v>
      </c>
      <c r="AE4993">
        <v>-1.3648899999999999</v>
      </c>
      <c r="AF4993">
        <v>-7.3567966040697303</v>
      </c>
      <c r="AG4993">
        <v>-1.13815954315</v>
      </c>
      <c r="AH4993">
        <v>8.5718976276243009</v>
      </c>
      <c r="AI4993">
        <v>95.753569888380994</v>
      </c>
      <c r="AJ4993">
        <v>130.63770990996099</v>
      </c>
      <c r="AK4993">
        <v>11.353206258928999</v>
      </c>
      <c r="AL4993">
        <v>82.824730739578399</v>
      </c>
      <c r="AM4993">
        <v>114.11515040496499</v>
      </c>
      <c r="AN4993">
        <v>1.00000005905219</v>
      </c>
    </row>
    <row r="4994" spans="1:40" x14ac:dyDescent="0.25">
      <c r="A4994" t="str">
        <f>"20190303162921841"</f>
        <v>20190303162921841</v>
      </c>
      <c r="B4994" t="str">
        <f>"1551601761827058"</f>
        <v>1551601761827058</v>
      </c>
      <c r="C4994" t="s">
        <v>40</v>
      </c>
      <c r="D4994">
        <v>5.4420769999999896</v>
      </c>
      <c r="E4994">
        <v>0.39690769999999997</v>
      </c>
      <c r="F4994" t="s">
        <v>57</v>
      </c>
      <c r="G4994">
        <v>-404.83870000000002</v>
      </c>
      <c r="H4994" s="1">
        <v>-4.6205080000000003E-6</v>
      </c>
      <c r="I4994">
        <v>23.729859999999999</v>
      </c>
      <c r="J4994">
        <v>-416.14550000000003</v>
      </c>
      <c r="K4994">
        <v>1.1382080000000001</v>
      </c>
      <c r="L4994">
        <v>24.963200000000001</v>
      </c>
      <c r="M4994">
        <v>0.68952049999999998</v>
      </c>
      <c r="N4994">
        <v>-1.56662999999999E-2</v>
      </c>
      <c r="O4994">
        <v>-0.72409699999999999</v>
      </c>
      <c r="P4994">
        <v>0.9125934</v>
      </c>
      <c r="Q4994">
        <v>0.12959309999999999</v>
      </c>
      <c r="R4994">
        <v>-0.3877874</v>
      </c>
      <c r="S4994">
        <v>3.1741030000000001</v>
      </c>
      <c r="T4994">
        <v>-0.31371120000000002</v>
      </c>
      <c r="U4994">
        <v>-0.39703369999999999</v>
      </c>
      <c r="V4994">
        <v>-0.39926640000000002</v>
      </c>
      <c r="W4994">
        <v>0.12685199999999999</v>
      </c>
      <c r="X4994">
        <v>0.90801699999999996</v>
      </c>
      <c r="Y4994">
        <v>-0.62788350000000004</v>
      </c>
      <c r="Z4994">
        <v>8.7162519999999993E-2</v>
      </c>
      <c r="AA4994">
        <v>0.77341130000000002</v>
      </c>
      <c r="AB4994">
        <v>32</v>
      </c>
      <c r="AC4994">
        <v>11.306800000000001</v>
      </c>
      <c r="AD4994">
        <v>-1.1382126205080001</v>
      </c>
      <c r="AE4994">
        <v>-1.2333399999999901</v>
      </c>
      <c r="AF4994">
        <v>-7.2649506709985596</v>
      </c>
      <c r="AG4994">
        <v>-1.1382126205080001</v>
      </c>
      <c r="AH4994">
        <v>8.6042256257698995</v>
      </c>
      <c r="AI4994">
        <v>95.771558094075502</v>
      </c>
      <c r="AJ4994">
        <v>130.17596911098499</v>
      </c>
      <c r="AK4994">
        <v>11.318468749821299</v>
      </c>
      <c r="AL4994">
        <v>82.712280807145405</v>
      </c>
      <c r="AM4994">
        <v>113.735690984824</v>
      </c>
      <c r="AN4994">
        <v>0.99999998018097902</v>
      </c>
    </row>
    <row r="4995" spans="1:40" x14ac:dyDescent="0.25">
      <c r="A4995" t="str">
        <f>"20190303162921866"</f>
        <v>20190303162921866</v>
      </c>
      <c r="B4995" t="str">
        <f>"1551601761857314"</f>
        <v>1551601761857314</v>
      </c>
      <c r="C4995" t="s">
        <v>40</v>
      </c>
      <c r="D4995">
        <v>5.4320309999999896</v>
      </c>
      <c r="E4995">
        <v>0.45054139999999998</v>
      </c>
      <c r="F4995" t="s">
        <v>44</v>
      </c>
      <c r="G4995">
        <v>-415.23669999999998</v>
      </c>
      <c r="H4995">
        <v>1.0536209999999999</v>
      </c>
      <c r="I4995">
        <v>24.829889999999999</v>
      </c>
      <c r="J4995">
        <v>-415.90449999999998</v>
      </c>
      <c r="K4995">
        <v>1.1382509999999999</v>
      </c>
      <c r="L4995">
        <v>24.73434</v>
      </c>
      <c r="M4995">
        <v>0.70520150000000004</v>
      </c>
      <c r="N4995">
        <v>-1.5693889999999999E-2</v>
      </c>
      <c r="O4995">
        <v>-0.70883339999999995</v>
      </c>
      <c r="P4995">
        <v>0.91806650000000001</v>
      </c>
      <c r="Q4995">
        <v>0.13037489999999999</v>
      </c>
      <c r="R4995">
        <v>-0.37437530000000002</v>
      </c>
      <c r="S4995">
        <v>3.1334840000000002</v>
      </c>
      <c r="T4995">
        <v>-0.29164980000000001</v>
      </c>
      <c r="U4995">
        <v>-0.45959470000000002</v>
      </c>
      <c r="V4995">
        <v>-0.3926521</v>
      </c>
      <c r="W4995">
        <v>0.127937</v>
      </c>
      <c r="X4995">
        <v>0.91074500000000003</v>
      </c>
      <c r="Y4995">
        <v>-0.59475119999999904</v>
      </c>
      <c r="Z4995">
        <v>7.9051049999999998E-2</v>
      </c>
      <c r="AA4995">
        <v>0.80001369999999905</v>
      </c>
      <c r="AB4995">
        <v>32</v>
      </c>
      <c r="AC4995">
        <v>0.66779999999999895</v>
      </c>
      <c r="AD4995">
        <v>-8.4630000000000205E-2</v>
      </c>
      <c r="AE4995">
        <v>9.5549999999999302E-2</v>
      </c>
      <c r="AF4995">
        <v>-0.53242803633451696</v>
      </c>
      <c r="AG4995">
        <v>-8.4630000000000205E-2</v>
      </c>
      <c r="AH4995">
        <v>0.39700599183459601</v>
      </c>
      <c r="AI4995">
        <v>97.261853293492905</v>
      </c>
      <c r="AJ4995">
        <v>143.28987615104299</v>
      </c>
      <c r="AK4995">
        <v>0.66951893799025697</v>
      </c>
      <c r="AL4995">
        <v>82.649604357020607</v>
      </c>
      <c r="AM4995">
        <v>113.322461851371</v>
      </c>
      <c r="AN4995">
        <v>1.0000000013142001</v>
      </c>
    </row>
    <row r="4996" spans="1:40" x14ac:dyDescent="0.25">
      <c r="A4996" t="str">
        <f>"20190303162921885"</f>
        <v>20190303162921885</v>
      </c>
      <c r="B4996" t="str">
        <f>"1551601761876834"</f>
        <v>1551601761876834</v>
      </c>
      <c r="C4996" t="s">
        <v>40</v>
      </c>
      <c r="D4996">
        <v>5.4193089999999904</v>
      </c>
      <c r="E4996">
        <v>0.45470250000000001</v>
      </c>
      <c r="F4996" t="s">
        <v>44</v>
      </c>
      <c r="G4996">
        <v>-414.84289999999999</v>
      </c>
      <c r="H4996">
        <v>1.0818190000000001</v>
      </c>
      <c r="I4996">
        <v>24.447849999999999</v>
      </c>
      <c r="J4996">
        <v>-415.69479999999999</v>
      </c>
      <c r="K4996">
        <v>1.1382779999999999</v>
      </c>
      <c r="L4996">
        <v>24.543089999999999</v>
      </c>
      <c r="M4996">
        <v>0.71834929999999997</v>
      </c>
      <c r="N4996">
        <v>-1.5713359999999999E-2</v>
      </c>
      <c r="O4996">
        <v>-0.69550540000000005</v>
      </c>
      <c r="P4996">
        <v>0.92237809999999998</v>
      </c>
      <c r="Q4996">
        <v>0.1304408</v>
      </c>
      <c r="R4996">
        <v>-0.36359930000000001</v>
      </c>
      <c r="S4996">
        <v>2.9638979999999999</v>
      </c>
      <c r="T4996">
        <v>-0.15755329999999901</v>
      </c>
      <c r="U4996">
        <v>-0.79992680000000005</v>
      </c>
      <c r="V4996">
        <v>-0.38625549999999997</v>
      </c>
      <c r="W4996">
        <v>0.12830349999999999</v>
      </c>
      <c r="X4996">
        <v>0.91342480000000004</v>
      </c>
      <c r="Y4996">
        <v>-0.48330010000000001</v>
      </c>
      <c r="Z4996">
        <v>3.7149219999999997E-2</v>
      </c>
      <c r="AA4996">
        <v>0.87466619999999995</v>
      </c>
      <c r="AB4996">
        <v>32</v>
      </c>
      <c r="AC4996">
        <v>0.85189999999999999</v>
      </c>
      <c r="AD4996">
        <v>-5.6459000000000002E-2</v>
      </c>
      <c r="AE4996">
        <v>-9.5240000000000394E-2</v>
      </c>
      <c r="AF4996">
        <v>-0.5218861053603</v>
      </c>
      <c r="AG4996">
        <v>-5.6459000000000002E-2</v>
      </c>
      <c r="AH4996">
        <v>0.67535558691555397</v>
      </c>
      <c r="AI4996">
        <v>93.784579534337993</v>
      </c>
      <c r="AJ4996">
        <v>127.69532539838799</v>
      </c>
      <c r="AK4996">
        <v>0.85537003362708197</v>
      </c>
      <c r="AL4996">
        <v>82.628430815361895</v>
      </c>
      <c r="AM4996">
        <v>112.921807281003</v>
      </c>
      <c r="AN4996">
        <v>0.99999998232376897</v>
      </c>
    </row>
    <row r="4997" spans="1:40" x14ac:dyDescent="0.25">
      <c r="A4997" t="str">
        <f>"20190303162921897"</f>
        <v>20190303162921897</v>
      </c>
      <c r="B4997" t="str">
        <f>"1551601761887570"</f>
        <v>1551601761887570</v>
      </c>
      <c r="C4997" t="s">
        <v>40</v>
      </c>
      <c r="D4997">
        <v>5.3570699999999896</v>
      </c>
      <c r="E4997">
        <v>0.45564789999999999</v>
      </c>
      <c r="F4997" t="s">
        <v>44</v>
      </c>
      <c r="G4997">
        <v>-414.64210000000003</v>
      </c>
      <c r="H4997">
        <v>1.08239</v>
      </c>
      <c r="I4997">
        <v>24.26003</v>
      </c>
      <c r="J4997">
        <v>-415.57010000000002</v>
      </c>
      <c r="K4997">
        <v>1.138293</v>
      </c>
      <c r="L4997">
        <v>24.433070000000001</v>
      </c>
      <c r="M4997">
        <v>0.72594599999999998</v>
      </c>
      <c r="N4997">
        <v>-1.5723029999999999E-2</v>
      </c>
      <c r="O4997">
        <v>-0.68757179999999996</v>
      </c>
      <c r="P4997">
        <v>0.92510510000000001</v>
      </c>
      <c r="Q4997">
        <v>0.13001679999999999</v>
      </c>
      <c r="R4997">
        <v>-0.35675810000000002</v>
      </c>
      <c r="S4997">
        <v>2.9610289999999999</v>
      </c>
      <c r="T4997">
        <v>-0.157163</v>
      </c>
      <c r="U4997">
        <v>-0.79577640000000005</v>
      </c>
      <c r="V4997">
        <v>-0.38300899999999999</v>
      </c>
      <c r="W4997">
        <v>0.12803200000000001</v>
      </c>
      <c r="X4997">
        <v>0.91482889999999994</v>
      </c>
      <c r="Y4997">
        <v>-0.47461009999999998</v>
      </c>
      <c r="Z4997">
        <v>3.6682230000000003E-2</v>
      </c>
      <c r="AA4997">
        <v>0.87943150000000003</v>
      </c>
      <c r="AB4997">
        <v>32</v>
      </c>
      <c r="AC4997">
        <v>0.92799999999999705</v>
      </c>
      <c r="AD4997">
        <v>-5.5903000000000001E-2</v>
      </c>
      <c r="AE4997">
        <v>-0.17304</v>
      </c>
      <c r="AF4997">
        <v>-0.51072126404988505</v>
      </c>
      <c r="AG4997">
        <v>-5.5903000000000001E-2</v>
      </c>
      <c r="AH4997">
        <v>0.78998295388594397</v>
      </c>
      <c r="AI4997">
        <v>93.400931638193697</v>
      </c>
      <c r="AJ4997">
        <v>122.88252931972001</v>
      </c>
      <c r="AK4997">
        <v>0.94235578333879499</v>
      </c>
      <c r="AL4997">
        <v>82.644116126444203</v>
      </c>
      <c r="AM4997">
        <v>112.71746949596501</v>
      </c>
      <c r="AN4997">
        <v>1.0000000016901001</v>
      </c>
    </row>
    <row r="4998" spans="1:40" x14ac:dyDescent="0.25">
      <c r="A4998" t="str">
        <f>"20190303162921910"</f>
        <v>20190303162921910</v>
      </c>
      <c r="B4998" t="str">
        <f>"1551601761897332"</f>
        <v>1551601761897332</v>
      </c>
      <c r="C4998" t="s">
        <v>40</v>
      </c>
      <c r="D4998">
        <v>5.4192039999999997</v>
      </c>
      <c r="E4998">
        <v>0.45628540000000001</v>
      </c>
      <c r="F4998" t="s">
        <v>44</v>
      </c>
      <c r="G4998">
        <v>-414.67919999999998</v>
      </c>
      <c r="H4998">
        <v>1.0897709999999901</v>
      </c>
      <c r="I4998">
        <v>24.198360000000001</v>
      </c>
      <c r="J4998">
        <v>-415.44260000000003</v>
      </c>
      <c r="K4998">
        <v>1.138306</v>
      </c>
      <c r="L4998">
        <v>24.322690000000001</v>
      </c>
      <c r="M4998">
        <v>0.73356769999999905</v>
      </c>
      <c r="N4998">
        <v>-1.5731889999999998E-2</v>
      </c>
      <c r="O4998">
        <v>-0.67943450000000005</v>
      </c>
      <c r="P4998">
        <v>0.92790629999999996</v>
      </c>
      <c r="Q4998">
        <v>0.1295597</v>
      </c>
      <c r="R4998">
        <v>-0.34957850000000001</v>
      </c>
      <c r="S4998">
        <v>2.9645389999999998</v>
      </c>
      <c r="T4998">
        <v>-0.16142590000000001</v>
      </c>
      <c r="U4998">
        <v>-0.78051759999999903</v>
      </c>
      <c r="V4998">
        <v>-0.37992110000000001</v>
      </c>
      <c r="W4998">
        <v>0.12772130000000001</v>
      </c>
      <c r="X4998">
        <v>0.91615899999999995</v>
      </c>
      <c r="Y4998">
        <v>-0.46922619999999998</v>
      </c>
      <c r="Z4998">
        <v>3.7562760000000001E-2</v>
      </c>
      <c r="AA4998">
        <v>0.88227869999999997</v>
      </c>
      <c r="AB4998">
        <v>32</v>
      </c>
      <c r="AC4998">
        <v>0.76340000000004604</v>
      </c>
      <c r="AD4998">
        <v>-4.8535000000000203E-2</v>
      </c>
      <c r="AE4998">
        <v>-0.124329999999996</v>
      </c>
      <c r="AF4998">
        <v>-0.42585181600408001</v>
      </c>
      <c r="AG4998">
        <v>-4.8535000000000203E-2</v>
      </c>
      <c r="AH4998">
        <v>0.64203125232469205</v>
      </c>
      <c r="AI4998">
        <v>93.604740790264401</v>
      </c>
      <c r="AJ4998">
        <v>123.555851041404</v>
      </c>
      <c r="AK4998">
        <v>0.77195177594237496</v>
      </c>
      <c r="AL4998">
        <v>82.662065591078701</v>
      </c>
      <c r="AM4998">
        <v>112.523249529884</v>
      </c>
      <c r="AN4998">
        <v>1.0000000429899401</v>
      </c>
    </row>
    <row r="4999" spans="1:40" x14ac:dyDescent="0.25">
      <c r="A4999" t="str">
        <f>"20190303162921920"</f>
        <v>20190303162921920</v>
      </c>
      <c r="B4999" t="str">
        <f>"1551601761907090"</f>
        <v>1551601761907090</v>
      </c>
      <c r="C4999" t="s">
        <v>40</v>
      </c>
      <c r="D4999">
        <v>5.4182990000000002</v>
      </c>
      <c r="E4999">
        <v>0.45684540000000001</v>
      </c>
      <c r="F4999" t="s">
        <v>44</v>
      </c>
      <c r="G4999">
        <v>-414.44310000000002</v>
      </c>
      <c r="H4999">
        <v>1.0830090000000001</v>
      </c>
      <c r="I4999">
        <v>24.066400000000002</v>
      </c>
      <c r="J4999">
        <v>-415.31439999999998</v>
      </c>
      <c r="K4999">
        <v>1.1383190000000001</v>
      </c>
      <c r="L4999">
        <v>24.213709999999999</v>
      </c>
      <c r="M4999">
        <v>0.74108240000000003</v>
      </c>
      <c r="N4999">
        <v>-1.5739860000000001E-2</v>
      </c>
      <c r="O4999">
        <v>-0.67122950000000003</v>
      </c>
      <c r="P4999">
        <v>0.93060540000000003</v>
      </c>
      <c r="Q4999">
        <v>0.1293696</v>
      </c>
      <c r="R4999">
        <v>-0.34239940000000002</v>
      </c>
      <c r="S4999">
        <v>2.9689329999999998</v>
      </c>
      <c r="T4999">
        <v>-0.16433</v>
      </c>
      <c r="U4999">
        <v>-0.76208500000000001</v>
      </c>
      <c r="V4999">
        <v>-0.37681360000000003</v>
      </c>
      <c r="W4999">
        <v>0.12767829999999999</v>
      </c>
      <c r="X4999">
        <v>0.91744740000000002</v>
      </c>
      <c r="Y4999">
        <v>-0.46481640000000002</v>
      </c>
      <c r="Z4999">
        <v>3.8063300000000001E-2</v>
      </c>
      <c r="AA4999">
        <v>0.88458859999999995</v>
      </c>
      <c r="AB4999">
        <v>32</v>
      </c>
      <c r="AC4999">
        <v>0.87129999999996199</v>
      </c>
      <c r="AD4999">
        <v>-5.5309999999999901E-2</v>
      </c>
      <c r="AE4999">
        <v>-0.147309999999997</v>
      </c>
      <c r="AF4999">
        <v>-0.47387586335749898</v>
      </c>
      <c r="AG4999">
        <v>-5.5309999999999901E-2</v>
      </c>
      <c r="AH4999">
        <v>0.74177015862694795</v>
      </c>
      <c r="AI4999">
        <v>93.595556372417903</v>
      </c>
      <c r="AJ4999">
        <v>122.57225524741401</v>
      </c>
      <c r="AK4999">
        <v>0.88195266210962997</v>
      </c>
      <c r="AL4999">
        <v>82.664549216124797</v>
      </c>
      <c r="AM4999">
        <v>112.32891535701501</v>
      </c>
      <c r="AN4999">
        <v>0.99999998460130402</v>
      </c>
    </row>
    <row r="5000" spans="1:40" x14ac:dyDescent="0.25">
      <c r="A5000" t="str">
        <f>"20190303162921933"</f>
        <v>20190303162921933</v>
      </c>
      <c r="B5000" t="str">
        <f>"1551601761927587"</f>
        <v>1551601761927587</v>
      </c>
      <c r="C5000" t="s">
        <v>40</v>
      </c>
      <c r="D5000">
        <v>5.4140259999999998</v>
      </c>
      <c r="E5000">
        <v>0.45749020000000001</v>
      </c>
      <c r="F5000" t="s">
        <v>44</v>
      </c>
      <c r="G5000">
        <v>-414.42180000000002</v>
      </c>
      <c r="H5000">
        <v>1.088438</v>
      </c>
      <c r="I5000">
        <v>23.99089</v>
      </c>
      <c r="J5000">
        <v>-415.18619999999999</v>
      </c>
      <c r="K5000">
        <v>1.138328</v>
      </c>
      <c r="L5000">
        <v>24.108180000000001</v>
      </c>
      <c r="M5000">
        <v>0.74841709999999995</v>
      </c>
      <c r="N5000">
        <v>-1.5746360000000001E-2</v>
      </c>
      <c r="O5000">
        <v>-0.66304160000000001</v>
      </c>
      <c r="P5000">
        <v>0.93327150000000003</v>
      </c>
      <c r="Q5000">
        <v>0.1288212</v>
      </c>
      <c r="R5000">
        <v>-0.3352754</v>
      </c>
      <c r="S5000">
        <v>2.9733890000000001</v>
      </c>
      <c r="T5000">
        <v>-0.1662537</v>
      </c>
      <c r="U5000">
        <v>-0.74316409999999999</v>
      </c>
      <c r="V5000">
        <v>-0.37376569999999998</v>
      </c>
      <c r="W5000">
        <v>0.12727579999999999</v>
      </c>
      <c r="X5000">
        <v>0.91874920000000004</v>
      </c>
      <c r="Y5000">
        <v>-0.46067010000000003</v>
      </c>
      <c r="Z5000">
        <v>3.8281820000000001E-2</v>
      </c>
      <c r="AA5000">
        <v>0.88674549999999996</v>
      </c>
      <c r="AB5000">
        <v>32</v>
      </c>
      <c r="AC5000">
        <v>0.764399999999966</v>
      </c>
      <c r="AD5000">
        <v>-4.98899999999999E-2</v>
      </c>
      <c r="AE5000">
        <v>-0.11728999999999699</v>
      </c>
      <c r="AF5000">
        <v>-0.41736209281397402</v>
      </c>
      <c r="AG5000">
        <v>-4.98899999999999E-2</v>
      </c>
      <c r="AH5000">
        <v>0.64724498298131194</v>
      </c>
      <c r="AI5000">
        <v>93.706461386987996</v>
      </c>
      <c r="AJ5000">
        <v>122.815081314981</v>
      </c>
      <c r="AK5000">
        <v>0.77175526989618903</v>
      </c>
      <c r="AL5000">
        <v>82.687800650426595</v>
      </c>
      <c r="AM5000">
        <v>112.13748300969699</v>
      </c>
      <c r="AN5000">
        <v>1.00000001013138</v>
      </c>
    </row>
    <row r="5001" spans="1:40" x14ac:dyDescent="0.25">
      <c r="A5001" t="str">
        <f>"20190303162921946"</f>
        <v>20190303162921946</v>
      </c>
      <c r="B5001" t="str">
        <f>"1551601761937346"</f>
        <v>1551601761937346</v>
      </c>
      <c r="C5001" t="s">
        <v>40</v>
      </c>
      <c r="D5001">
        <v>5.4172029999999998</v>
      </c>
      <c r="E5001">
        <v>0.45775339999999998</v>
      </c>
      <c r="F5001" t="s">
        <v>44</v>
      </c>
      <c r="G5001">
        <v>-414.23970000000003</v>
      </c>
      <c r="H5001">
        <v>1.0837619999999999</v>
      </c>
      <c r="I5001">
        <v>23.877410000000001</v>
      </c>
      <c r="J5001">
        <v>-415.04770000000002</v>
      </c>
      <c r="K5001">
        <v>1.1383369999999999</v>
      </c>
      <c r="L5001">
        <v>23.995850000000001</v>
      </c>
      <c r="M5001">
        <v>0.75618999999999903</v>
      </c>
      <c r="N5001">
        <v>-1.5752539999999999E-2</v>
      </c>
      <c r="O5001">
        <v>-0.65416249999999998</v>
      </c>
      <c r="P5001">
        <v>0.93632150000000003</v>
      </c>
      <c r="Q5001">
        <v>0.12810869999999999</v>
      </c>
      <c r="R5001">
        <v>-0.32694069999999997</v>
      </c>
      <c r="S5001">
        <v>2.9776609999999999</v>
      </c>
      <c r="T5001">
        <v>-0.1716067</v>
      </c>
      <c r="U5001">
        <v>-0.72521969999999902</v>
      </c>
      <c r="V5001">
        <v>-0.37114750000000002</v>
      </c>
      <c r="W5001">
        <v>0.12668789999999999</v>
      </c>
      <c r="X5001">
        <v>0.91989120000000002</v>
      </c>
      <c r="Y5001">
        <v>-0.45545760000000002</v>
      </c>
      <c r="Z5001">
        <v>3.9365940000000002E-2</v>
      </c>
      <c r="AA5001">
        <v>0.88938669999999997</v>
      </c>
      <c r="AB5001">
        <v>32</v>
      </c>
      <c r="AC5001">
        <v>0.80799999999999195</v>
      </c>
      <c r="AD5001">
        <v>-5.4574999999999999E-2</v>
      </c>
      <c r="AE5001">
        <v>-0.118439999999999</v>
      </c>
      <c r="AF5001">
        <v>-0.43710246701738398</v>
      </c>
      <c r="AG5001">
        <v>-5.4574999999999999E-2</v>
      </c>
      <c r="AH5001">
        <v>0.68550439501979599</v>
      </c>
      <c r="AI5001">
        <v>93.8403681101926</v>
      </c>
      <c r="AJ5001">
        <v>122.52306188422</v>
      </c>
      <c r="AK5001">
        <v>0.81483327919835302</v>
      </c>
      <c r="AL5001">
        <v>82.721760067322805</v>
      </c>
      <c r="AM5001">
        <v>111.972543852817</v>
      </c>
      <c r="AN5001">
        <v>1.0000000553000401</v>
      </c>
    </row>
    <row r="5002" spans="1:40" x14ac:dyDescent="0.25">
      <c r="A5002" t="str">
        <f>"20190303162921964"</f>
        <v>20190303162921964</v>
      </c>
      <c r="B5002" t="str">
        <f>"1551601761956866"</f>
        <v>1551601761956866</v>
      </c>
      <c r="C5002" t="s">
        <v>40</v>
      </c>
      <c r="D5002">
        <v>5.4214039999999999</v>
      </c>
      <c r="E5002">
        <v>0.45794319999999999</v>
      </c>
      <c r="F5002" t="s">
        <v>44</v>
      </c>
      <c r="G5002">
        <v>-414.00150000000002</v>
      </c>
      <c r="H5002">
        <v>1.077388</v>
      </c>
      <c r="I5002">
        <v>23.750450000000001</v>
      </c>
      <c r="J5002">
        <v>-414.84309999999999</v>
      </c>
      <c r="K5002">
        <v>1.1383430000000001</v>
      </c>
      <c r="L5002">
        <v>23.83511</v>
      </c>
      <c r="M5002">
        <v>0.76735259999999905</v>
      </c>
      <c r="N5002">
        <v>-1.575971E-2</v>
      </c>
      <c r="O5002">
        <v>-0.64103169999999898</v>
      </c>
      <c r="P5002">
        <v>0.94019030000000003</v>
      </c>
      <c r="Q5002">
        <v>0.12691559999999999</v>
      </c>
      <c r="R5002">
        <v>-0.31612499999999999</v>
      </c>
      <c r="S5002">
        <v>2.9833370000000001</v>
      </c>
      <c r="T5002">
        <v>-0.17382339999999999</v>
      </c>
      <c r="U5002">
        <v>-0.70007319999999995</v>
      </c>
      <c r="V5002">
        <v>-0.36594130000000002</v>
      </c>
      <c r="W5002">
        <v>0.125747</v>
      </c>
      <c r="X5002">
        <v>0.92210340000000002</v>
      </c>
      <c r="Y5002">
        <v>-0.44756699999999999</v>
      </c>
      <c r="Z5002">
        <v>3.9369179999999997E-2</v>
      </c>
      <c r="AA5002">
        <v>0.89338340000000005</v>
      </c>
      <c r="AB5002">
        <v>32</v>
      </c>
      <c r="AC5002">
        <v>0.84159999999997104</v>
      </c>
      <c r="AD5002">
        <v>-6.0955000000000002E-2</v>
      </c>
      <c r="AE5002">
        <v>-8.46599999999995E-2</v>
      </c>
      <c r="AF5002">
        <v>-0.47213525210458701</v>
      </c>
      <c r="AG5002">
        <v>-6.0955000000000002E-2</v>
      </c>
      <c r="AH5002">
        <v>0.69654335340235496</v>
      </c>
      <c r="AI5002">
        <v>94.1431587532592</v>
      </c>
      <c r="AJ5002">
        <v>124.13044346482801</v>
      </c>
      <c r="AK5002">
        <v>0.84368231667723104</v>
      </c>
      <c r="AL5002">
        <v>82.776103960992899</v>
      </c>
      <c r="AM5002">
        <v>111.64589810312501</v>
      </c>
      <c r="AN5002">
        <v>1.00000001167312</v>
      </c>
    </row>
    <row r="5003" spans="1:40" x14ac:dyDescent="0.25">
      <c r="A5003" t="str">
        <f>"20190303162921977"</f>
        <v>20190303162921977</v>
      </c>
      <c r="B5003" t="str">
        <f>"1551601761966626"</f>
        <v>1551601761966626</v>
      </c>
      <c r="C5003" t="s">
        <v>40</v>
      </c>
      <c r="D5003">
        <v>5.4261439999999999</v>
      </c>
      <c r="E5003">
        <v>0.45802949999999998</v>
      </c>
      <c r="F5003" t="s">
        <v>44</v>
      </c>
      <c r="G5003">
        <v>-413.77730000000003</v>
      </c>
      <c r="H5003">
        <v>1.0744129999999901</v>
      </c>
      <c r="I5003">
        <v>23.59759</v>
      </c>
      <c r="J5003">
        <v>-414.69639999999998</v>
      </c>
      <c r="K5003">
        <v>1.1383460000000001</v>
      </c>
      <c r="L5003">
        <v>23.723849999999999</v>
      </c>
      <c r="M5003">
        <v>0.77512250000000005</v>
      </c>
      <c r="N5003">
        <v>-1.5763240000000001E-2</v>
      </c>
      <c r="O5003">
        <v>-0.63161469999999997</v>
      </c>
      <c r="P5003">
        <v>0.94319620000000004</v>
      </c>
      <c r="Q5003">
        <v>0.12617709999999999</v>
      </c>
      <c r="R5003">
        <v>-0.30734489999999998</v>
      </c>
      <c r="S5003">
        <v>2.991241</v>
      </c>
      <c r="T5003">
        <v>-0.17935870000000001</v>
      </c>
      <c r="U5003">
        <v>-0.66577149999999996</v>
      </c>
      <c r="V5003">
        <v>-0.3633093</v>
      </c>
      <c r="W5003">
        <v>0.12513579999999999</v>
      </c>
      <c r="X5003">
        <v>0.92322669999999996</v>
      </c>
      <c r="Y5003">
        <v>-0.44683210000000001</v>
      </c>
      <c r="Z5003">
        <v>4.0557999999999997E-2</v>
      </c>
      <c r="AA5003">
        <v>0.89369799999999999</v>
      </c>
      <c r="AB5003">
        <v>32</v>
      </c>
      <c r="AC5003">
        <v>0.91909999999995695</v>
      </c>
      <c r="AD5003">
        <v>-6.3933000000000004E-2</v>
      </c>
      <c r="AE5003">
        <v>-0.12625999999999801</v>
      </c>
      <c r="AF5003">
        <v>-0.48042838853108899</v>
      </c>
      <c r="AG5003">
        <v>-6.3933000000000004E-2</v>
      </c>
      <c r="AH5003">
        <v>0.78851631026592395</v>
      </c>
      <c r="AI5003">
        <v>93.960866846720506</v>
      </c>
      <c r="AJ5003">
        <v>121.35317792096799</v>
      </c>
      <c r="AK5003">
        <v>0.92555758143454603</v>
      </c>
      <c r="AL5003">
        <v>82.811402436913099</v>
      </c>
      <c r="AM5003">
        <v>111.48069064719</v>
      </c>
      <c r="AN5003">
        <v>1.0000000777505</v>
      </c>
    </row>
    <row r="5004" spans="1:40" x14ac:dyDescent="0.25">
      <c r="A5004" t="str">
        <f>"20190303162921990"</f>
        <v>20190303162921990</v>
      </c>
      <c r="B5004" t="str">
        <f>"1551601761977363"</f>
        <v>1551601761977363</v>
      </c>
      <c r="C5004" t="s">
        <v>40</v>
      </c>
      <c r="D5004">
        <v>5.424944</v>
      </c>
      <c r="E5004">
        <v>0.45818399999999998</v>
      </c>
      <c r="F5004" t="s">
        <v>44</v>
      </c>
      <c r="G5004">
        <v>-413.75839999999999</v>
      </c>
      <c r="H5004">
        <v>1.080894</v>
      </c>
      <c r="I5004">
        <v>23.523969999999998</v>
      </c>
      <c r="J5004">
        <v>-414.56220000000002</v>
      </c>
      <c r="K5004">
        <v>1.1383479999999999</v>
      </c>
      <c r="L5004">
        <v>23.624210000000001</v>
      </c>
      <c r="M5004">
        <v>0.78207340000000003</v>
      </c>
      <c r="N5004">
        <v>-1.576572E-2</v>
      </c>
      <c r="O5004">
        <v>-0.62298669999999901</v>
      </c>
      <c r="P5004">
        <v>0.94570739999999998</v>
      </c>
      <c r="Q5004">
        <v>0.1253396</v>
      </c>
      <c r="R5004">
        <v>-0.2998789</v>
      </c>
      <c r="S5004">
        <v>2.9974059999999998</v>
      </c>
      <c r="T5004">
        <v>-0.18353179999999999</v>
      </c>
      <c r="U5004">
        <v>-0.63784790000000002</v>
      </c>
      <c r="V5004">
        <v>-0.36040729999999999</v>
      </c>
      <c r="W5004">
        <v>0.12443990000000001</v>
      </c>
      <c r="X5004">
        <v>0.92445730000000004</v>
      </c>
      <c r="Y5004">
        <v>-0.44520130000000002</v>
      </c>
      <c r="Z5004">
        <v>4.1349039999999997E-2</v>
      </c>
      <c r="AA5004">
        <v>0.89447529999999997</v>
      </c>
      <c r="AB5004">
        <v>32</v>
      </c>
      <c r="AC5004">
        <v>0.80380000000002305</v>
      </c>
      <c r="AD5004">
        <v>-5.7453999999999797E-2</v>
      </c>
      <c r="AE5004">
        <v>-0.100239999999999</v>
      </c>
      <c r="AF5004">
        <v>-0.420299746945625</v>
      </c>
      <c r="AG5004">
        <v>-5.7453999999999797E-2</v>
      </c>
      <c r="AH5004">
        <v>0.68770501237206805</v>
      </c>
      <c r="AI5004">
        <v>94.077455156537994</v>
      </c>
      <c r="AJ5004">
        <v>121.431723421348</v>
      </c>
      <c r="AK5004">
        <v>0.80801672225284005</v>
      </c>
      <c r="AL5004">
        <v>82.851588163221706</v>
      </c>
      <c r="AM5004">
        <v>111.298733546333</v>
      </c>
      <c r="AN5004">
        <v>1.0000000050642901</v>
      </c>
    </row>
    <row r="5005" spans="1:40" x14ac:dyDescent="0.25">
      <c r="A5005" t="str">
        <f>"20190303162922008"</f>
        <v>20190303162922008</v>
      </c>
      <c r="B5005" t="str">
        <f>"1551601761996882"</f>
        <v>1551601761996882</v>
      </c>
      <c r="C5005" t="s">
        <v>40</v>
      </c>
      <c r="D5005">
        <v>5.4835209999999996</v>
      </c>
      <c r="E5005">
        <v>0.45856160000000001</v>
      </c>
      <c r="F5005" t="s">
        <v>44</v>
      </c>
      <c r="G5005">
        <v>-413.56450000000001</v>
      </c>
      <c r="H5005">
        <v>1.076327</v>
      </c>
      <c r="I5005">
        <v>23.419969999999999</v>
      </c>
      <c r="J5005">
        <v>-414.35340000000002</v>
      </c>
      <c r="K5005">
        <v>1.1383449999999999</v>
      </c>
      <c r="L5005">
        <v>23.47354</v>
      </c>
      <c r="M5005">
        <v>0.79259849999999998</v>
      </c>
      <c r="N5005">
        <v>-1.576841E-2</v>
      </c>
      <c r="O5005">
        <v>-0.60953990000000002</v>
      </c>
      <c r="P5005">
        <v>0.94889679999999998</v>
      </c>
      <c r="Q5005">
        <v>0.12468659999999999</v>
      </c>
      <c r="R5005">
        <v>-0.28991090000000003</v>
      </c>
      <c r="S5005">
        <v>3.0021059999999999</v>
      </c>
      <c r="T5005">
        <v>-0.1866266</v>
      </c>
      <c r="U5005">
        <v>-0.61456299999999997</v>
      </c>
      <c r="V5005">
        <v>-0.3543597</v>
      </c>
      <c r="W5005">
        <v>0.1240822</v>
      </c>
      <c r="X5005">
        <v>0.9268402</v>
      </c>
      <c r="Y5005">
        <v>-0.43680360000000001</v>
      </c>
      <c r="Z5005">
        <v>4.1446980000000001E-2</v>
      </c>
      <c r="AA5005">
        <v>0.89860149999999905</v>
      </c>
      <c r="AB5005">
        <v>32</v>
      </c>
      <c r="AC5005">
        <v>0.78890000000001204</v>
      </c>
      <c r="AD5005">
        <v>-6.2018000000000101E-2</v>
      </c>
      <c r="AE5005">
        <v>-5.3569999999997002E-2</v>
      </c>
      <c r="AF5005">
        <v>-0.43578027734950298</v>
      </c>
      <c r="AG5005">
        <v>-6.2018000000000101E-2</v>
      </c>
      <c r="AH5005">
        <v>0.65399269469383103</v>
      </c>
      <c r="AI5005">
        <v>94.512152832983801</v>
      </c>
      <c r="AJ5005">
        <v>123.677034206424</v>
      </c>
      <c r="AK5005">
        <v>0.78832552106582798</v>
      </c>
      <c r="AL5005">
        <v>82.872242716316094</v>
      </c>
      <c r="AM5005">
        <v>110.923402759647</v>
      </c>
      <c r="AN5005">
        <v>0.99999997283848396</v>
      </c>
    </row>
    <row r="5006" spans="1:40" x14ac:dyDescent="0.25">
      <c r="A5006" t="str">
        <f>"20190303162922019"</f>
        <v>20190303162922019</v>
      </c>
      <c r="B5006" t="str">
        <f>"1551601762006642"</f>
        <v>1551601762006642</v>
      </c>
      <c r="C5006" t="s">
        <v>40</v>
      </c>
      <c r="D5006">
        <v>5.4803769999999998</v>
      </c>
      <c r="E5006">
        <v>0.45870230000000001</v>
      </c>
      <c r="F5006" t="s">
        <v>44</v>
      </c>
      <c r="G5006">
        <v>-413.33460000000002</v>
      </c>
      <c r="H5006">
        <v>1.0745979999999999</v>
      </c>
      <c r="I5006">
        <v>23.275649999999999</v>
      </c>
      <c r="J5006">
        <v>-414.2244</v>
      </c>
      <c r="K5006">
        <v>1.1383479999999999</v>
      </c>
      <c r="L5006">
        <v>23.383030000000002</v>
      </c>
      <c r="M5006">
        <v>0.79893230000000004</v>
      </c>
      <c r="N5006">
        <v>-1.5769539999999999E-2</v>
      </c>
      <c r="O5006">
        <v>-0.60121459999999904</v>
      </c>
      <c r="P5006">
        <v>0.95110629999999996</v>
      </c>
      <c r="Q5006">
        <v>0.1247566</v>
      </c>
      <c r="R5006">
        <v>-0.28254839999999998</v>
      </c>
      <c r="S5006">
        <v>3.0078740000000002</v>
      </c>
      <c r="T5006">
        <v>-0.18819379999999999</v>
      </c>
      <c r="U5006">
        <v>-0.58395390000000003</v>
      </c>
      <c r="V5006">
        <v>-0.35184090000000001</v>
      </c>
      <c r="W5006">
        <v>0.1242743</v>
      </c>
      <c r="X5006">
        <v>0.92777359999999998</v>
      </c>
      <c r="Y5006">
        <v>-0.43651000000000001</v>
      </c>
      <c r="Z5006">
        <v>4.1578179999999999E-2</v>
      </c>
      <c r="AA5006">
        <v>0.89873809999999998</v>
      </c>
      <c r="AB5006">
        <v>32</v>
      </c>
      <c r="AC5006">
        <v>0.88979999999997905</v>
      </c>
      <c r="AD5006">
        <v>-6.3749999999999904E-2</v>
      </c>
      <c r="AE5006">
        <v>-0.107379999999999</v>
      </c>
      <c r="AF5006">
        <v>-0.44696578478850801</v>
      </c>
      <c r="AG5006">
        <v>-6.3749999999999904E-2</v>
      </c>
      <c r="AH5006">
        <v>0.77164061447699095</v>
      </c>
      <c r="AI5006">
        <v>94.089067986502698</v>
      </c>
      <c r="AJ5006">
        <v>120.081176294475</v>
      </c>
      <c r="AK5006">
        <v>0.89401997359233298</v>
      </c>
      <c r="AL5006">
        <v>82.861150440459497</v>
      </c>
      <c r="AM5006">
        <v>110.768301314627</v>
      </c>
      <c r="AN5006">
        <v>0.99999998670512902</v>
      </c>
    </row>
    <row r="5007" spans="1:40" x14ac:dyDescent="0.25">
      <c r="A5007" t="str">
        <f>"20190303162922031"</f>
        <v>20190303162922031</v>
      </c>
      <c r="B5007" t="str">
        <f>"1551601762027138"</f>
        <v>1551601762027138</v>
      </c>
      <c r="C5007" t="s">
        <v>40</v>
      </c>
      <c r="D5007">
        <v>5.4836349999999996</v>
      </c>
      <c r="E5007">
        <v>0.45900049999999998</v>
      </c>
      <c r="F5007" t="s">
        <v>41</v>
      </c>
      <c r="G5007">
        <v>-395.97879999999998</v>
      </c>
      <c r="H5007" s="1">
        <v>-1.9789479999999999E-6</v>
      </c>
      <c r="I5007">
        <v>19.983160000000002</v>
      </c>
      <c r="J5007">
        <v>-414.08969999999999</v>
      </c>
      <c r="K5007">
        <v>1.13835</v>
      </c>
      <c r="L5007">
        <v>23.291139999999999</v>
      </c>
      <c r="M5007">
        <v>0.80539110000000003</v>
      </c>
      <c r="N5007">
        <v>-1.5770429999999998E-2</v>
      </c>
      <c r="O5007">
        <v>-0.59253409999999995</v>
      </c>
      <c r="P5007">
        <v>0.95336770000000004</v>
      </c>
      <c r="Q5007">
        <v>0.124597</v>
      </c>
      <c r="R5007">
        <v>-0.27489229999999998</v>
      </c>
      <c r="S5007">
        <v>3.012146</v>
      </c>
      <c r="T5007">
        <v>-0.18792880000000001</v>
      </c>
      <c r="U5007">
        <v>-0.56127930000000004</v>
      </c>
      <c r="V5007">
        <v>-0.34926269999999998</v>
      </c>
      <c r="W5007">
        <v>0.1242407</v>
      </c>
      <c r="X5007">
        <v>0.92875180000000002</v>
      </c>
      <c r="Y5007">
        <v>-0.43356090000000003</v>
      </c>
      <c r="Z5007">
        <v>4.1123390000000003E-2</v>
      </c>
      <c r="AA5007">
        <v>0.90018549999999997</v>
      </c>
      <c r="AB5007">
        <v>32</v>
      </c>
      <c r="AC5007">
        <v>18.110900000000001</v>
      </c>
      <c r="AD5007">
        <v>-1.1383519789480001</v>
      </c>
      <c r="AE5007">
        <v>-3.3079799999999899</v>
      </c>
      <c r="AF5007">
        <v>-8.0373826911138906</v>
      </c>
      <c r="AG5007">
        <v>-1.1383519789480001</v>
      </c>
      <c r="AH5007">
        <v>16.485478662207601</v>
      </c>
      <c r="AI5007">
        <v>93.551677002605601</v>
      </c>
      <c r="AJ5007">
        <v>115.991232515918</v>
      </c>
      <c r="AK5007">
        <v>18.375700598167501</v>
      </c>
      <c r="AL5007">
        <v>82.863091037358203</v>
      </c>
      <c r="AM5007">
        <v>110.60907240638799</v>
      </c>
      <c r="AN5007">
        <v>1.0000000455755</v>
      </c>
    </row>
    <row r="5008" spans="1:40" x14ac:dyDescent="0.25">
      <c r="A5008" t="str">
        <f>"20190303162922042"</f>
        <v>20190303162922042</v>
      </c>
      <c r="B5008" t="str">
        <f>"1551601762036899"</f>
        <v>1551601762036899</v>
      </c>
      <c r="C5008" t="s">
        <v>40</v>
      </c>
      <c r="D5008">
        <v>5.5486490000000002</v>
      </c>
      <c r="E5008">
        <v>0.45914919999999998</v>
      </c>
      <c r="F5008" t="s">
        <v>44</v>
      </c>
      <c r="G5008">
        <v>-413.10980000000001</v>
      </c>
      <c r="H5008">
        <v>1.0767409999999999</v>
      </c>
      <c r="I5008">
        <v>23.11589</v>
      </c>
      <c r="J5008">
        <v>-413.95580000000001</v>
      </c>
      <c r="K5008">
        <v>1.1383529999999999</v>
      </c>
      <c r="L5008">
        <v>23.20093</v>
      </c>
      <c r="M5008">
        <v>0.81169599999999997</v>
      </c>
      <c r="N5008">
        <v>-1.5771150000000001E-2</v>
      </c>
      <c r="O5008">
        <v>-0.58386709999999997</v>
      </c>
      <c r="P5008">
        <v>0.95544859999999998</v>
      </c>
      <c r="Q5008">
        <v>0.1247566</v>
      </c>
      <c r="R5008">
        <v>-0.2674955</v>
      </c>
      <c r="S5008">
        <v>3.0160520000000002</v>
      </c>
      <c r="T5008">
        <v>-0.18959719999999999</v>
      </c>
      <c r="U5008">
        <v>-0.53918459999999901</v>
      </c>
      <c r="V5008">
        <v>-0.34649639999999998</v>
      </c>
      <c r="W5008">
        <v>0.12453500000000001</v>
      </c>
      <c r="X5008">
        <v>0.92974800000000002</v>
      </c>
      <c r="Y5008">
        <v>-0.43048029999999998</v>
      </c>
      <c r="Z5008">
        <v>4.1146189999999999E-2</v>
      </c>
      <c r="AA5008">
        <v>0.90166159999999995</v>
      </c>
      <c r="AB5008">
        <v>32</v>
      </c>
      <c r="AC5008">
        <v>0.84600000000000297</v>
      </c>
      <c r="AD5008">
        <v>-6.1612000000000201E-2</v>
      </c>
      <c r="AE5008">
        <v>-8.5039999999999297E-2</v>
      </c>
      <c r="AF5008">
        <v>-0.42275800357530602</v>
      </c>
      <c r="AG5008">
        <v>-6.1612000000000201E-2</v>
      </c>
      <c r="AH5008">
        <v>0.73259182051624805</v>
      </c>
      <c r="AI5008">
        <v>94.1662230309027</v>
      </c>
      <c r="AJ5008">
        <v>119.988027710048</v>
      </c>
      <c r="AK5008">
        <v>0.84806317195023295</v>
      </c>
      <c r="AL5008">
        <v>82.846096813968501</v>
      </c>
      <c r="AM5008">
        <v>110.439305579416</v>
      </c>
      <c r="AN5008">
        <v>1.0000000324709699</v>
      </c>
    </row>
    <row r="5009" spans="1:40" x14ac:dyDescent="0.25">
      <c r="A5009" t="str">
        <f>"20190303162922058"</f>
        <v>20190303162922058</v>
      </c>
      <c r="B5009" t="str">
        <f>"1551601762046658"</f>
        <v>1551601762046658</v>
      </c>
      <c r="C5009" t="s">
        <v>40</v>
      </c>
      <c r="D5009">
        <v>5.5380310000000001</v>
      </c>
      <c r="E5009">
        <v>0.45930320000000002</v>
      </c>
      <c r="F5009" t="s">
        <v>41</v>
      </c>
      <c r="G5009">
        <v>-395.8331</v>
      </c>
      <c r="H5009" s="1">
        <v>-2.0788840000000001E-6</v>
      </c>
      <c r="I5009">
        <v>20.099920000000001</v>
      </c>
      <c r="J5009">
        <v>-413.78129999999999</v>
      </c>
      <c r="K5009">
        <v>1.1383460000000001</v>
      </c>
      <c r="L5009">
        <v>23.08783</v>
      </c>
      <c r="M5009">
        <v>0.81968439999999998</v>
      </c>
      <c r="N5009">
        <v>-1.5771460000000001E-2</v>
      </c>
      <c r="O5009">
        <v>-0.57259819999999995</v>
      </c>
      <c r="P5009">
        <v>0.95821970000000001</v>
      </c>
      <c r="Q5009">
        <v>0.12495680000000001</v>
      </c>
      <c r="R5009">
        <v>-0.25729619999999997</v>
      </c>
      <c r="S5009">
        <v>3.0199889999999998</v>
      </c>
      <c r="T5009">
        <v>-0.18969630000000001</v>
      </c>
      <c r="U5009">
        <v>-0.51675420000000005</v>
      </c>
      <c r="V5009">
        <v>-0.34355150000000001</v>
      </c>
      <c r="W5009">
        <v>0.124879</v>
      </c>
      <c r="X5009">
        <v>0.93079409999999896</v>
      </c>
      <c r="Y5009">
        <v>-0.42472880000000002</v>
      </c>
      <c r="Z5009">
        <v>4.0579190000000001E-2</v>
      </c>
      <c r="AA5009">
        <v>0.90441070000000001</v>
      </c>
      <c r="AB5009">
        <v>32</v>
      </c>
      <c r="AC5009">
        <v>17.9481999999999</v>
      </c>
      <c r="AD5009">
        <v>-1.1383480788839999</v>
      </c>
      <c r="AE5009">
        <v>-2.9879099999999901</v>
      </c>
      <c r="AF5009">
        <v>-7.7984136471855798</v>
      </c>
      <c r="AG5009">
        <v>-1.1383480788839999</v>
      </c>
      <c r="AH5009">
        <v>16.360736490888002</v>
      </c>
      <c r="AI5009">
        <v>93.593910239258804</v>
      </c>
      <c r="AJ5009">
        <v>115.48499908059</v>
      </c>
      <c r="AK5009">
        <v>18.159977706087201</v>
      </c>
      <c r="AL5009">
        <v>82.826231955819495</v>
      </c>
      <c r="AM5009">
        <v>110.258854249815</v>
      </c>
      <c r="AN5009">
        <v>1.0000000271940199</v>
      </c>
    </row>
    <row r="5010" spans="1:40" x14ac:dyDescent="0.25">
      <c r="A5010" t="str">
        <f>"20190303162922079"</f>
        <v>20190303162922079</v>
      </c>
      <c r="B5010" t="str">
        <f>"1551601762067155"</f>
        <v>1551601762067155</v>
      </c>
      <c r="C5010" t="s">
        <v>40</v>
      </c>
      <c r="D5010">
        <v>5.4819339999999999</v>
      </c>
      <c r="E5010">
        <v>0.45979910000000002</v>
      </c>
      <c r="F5010" t="s">
        <v>41</v>
      </c>
      <c r="G5010">
        <v>-395.5874</v>
      </c>
      <c r="H5010" s="1">
        <v>-2.2134339999999999E-6</v>
      </c>
      <c r="I5010">
        <v>20.169219999999999</v>
      </c>
      <c r="J5010">
        <v>-413.53100000000001</v>
      </c>
      <c r="K5010">
        <v>1.1383460000000001</v>
      </c>
      <c r="L5010">
        <v>22.930689999999998</v>
      </c>
      <c r="M5010">
        <v>0.83077309999999904</v>
      </c>
      <c r="N5010">
        <v>-1.5771770000000001E-2</v>
      </c>
      <c r="O5010">
        <v>-0.55638769999999904</v>
      </c>
      <c r="P5010">
        <v>0.96121250000000003</v>
      </c>
      <c r="Q5010">
        <v>0.1252491</v>
      </c>
      <c r="R5010">
        <v>-0.24573049999999999</v>
      </c>
      <c r="S5010">
        <v>3.0251769999999998</v>
      </c>
      <c r="T5010">
        <v>-0.18927859999999999</v>
      </c>
      <c r="U5010">
        <v>-0.48529050000000001</v>
      </c>
      <c r="V5010">
        <v>-0.33645950000000002</v>
      </c>
      <c r="W5010">
        <v>0.12551860000000001</v>
      </c>
      <c r="X5010">
        <v>0.93329530000000005</v>
      </c>
      <c r="Y5010">
        <v>-0.41638599999999998</v>
      </c>
      <c r="Z5010">
        <v>3.9613349999999999E-2</v>
      </c>
      <c r="AA5010">
        <v>0.90832449999999998</v>
      </c>
      <c r="AB5010">
        <v>32</v>
      </c>
      <c r="AC5010">
        <v>17.9436</v>
      </c>
      <c r="AD5010">
        <v>-1.1383482134339999</v>
      </c>
      <c r="AE5010">
        <v>-2.7614699999999899</v>
      </c>
      <c r="AF5010">
        <v>-7.6602831516880103</v>
      </c>
      <c r="AG5010">
        <v>-1.1383482134339999</v>
      </c>
      <c r="AH5010">
        <v>16.3811504633236</v>
      </c>
      <c r="AI5010">
        <v>93.601941087980293</v>
      </c>
      <c r="AJ5010">
        <v>115.06210278115999</v>
      </c>
      <c r="AK5010">
        <v>18.119543733800601</v>
      </c>
      <c r="AL5010">
        <v>82.789294858719103</v>
      </c>
      <c r="AM5010">
        <v>109.824588958768</v>
      </c>
      <c r="AN5010">
        <v>1.00000001554415</v>
      </c>
    </row>
    <row r="5011" spans="1:40" x14ac:dyDescent="0.25">
      <c r="A5011" t="str">
        <f>"20190303162922097"</f>
        <v>20190303162922097</v>
      </c>
      <c r="B5011" t="str">
        <f>"1551601762086674"</f>
        <v>1551601762086674</v>
      </c>
      <c r="C5011" t="s">
        <v>40</v>
      </c>
      <c r="D5011">
        <v>5.5498190000000003</v>
      </c>
      <c r="E5011">
        <v>0.46007360000000003</v>
      </c>
      <c r="F5011" t="s">
        <v>41</v>
      </c>
      <c r="G5011">
        <v>-395.25549999999998</v>
      </c>
      <c r="H5011" s="1">
        <v>-2.3806079999999999E-6</v>
      </c>
      <c r="I5011">
        <v>20.207789999999999</v>
      </c>
      <c r="J5011">
        <v>-413.31610000000001</v>
      </c>
      <c r="K5011">
        <v>1.13836</v>
      </c>
      <c r="L5011">
        <v>22.801449999999999</v>
      </c>
      <c r="M5011">
        <v>0.839935399999999</v>
      </c>
      <c r="N5011">
        <v>-1.5771779999999999E-2</v>
      </c>
      <c r="O5011">
        <v>-0.54245750000000004</v>
      </c>
      <c r="P5011">
        <v>0.96330879999999997</v>
      </c>
      <c r="Q5011">
        <v>0.12612699999999999</v>
      </c>
      <c r="R5011">
        <v>-0.2369144</v>
      </c>
      <c r="S5011">
        <v>3.0302120000000001</v>
      </c>
      <c r="T5011">
        <v>-0.18874669999999999</v>
      </c>
      <c r="U5011">
        <v>-0.45147710000000002</v>
      </c>
      <c r="V5011">
        <v>-0.32940530000000001</v>
      </c>
      <c r="W5011">
        <v>0.1267413</v>
      </c>
      <c r="X5011">
        <v>0.93564360000000002</v>
      </c>
      <c r="Y5011">
        <v>-0.41139029999999999</v>
      </c>
      <c r="Z5011">
        <v>3.8818999999999999E-2</v>
      </c>
      <c r="AA5011">
        <v>0.91063229999999995</v>
      </c>
      <c r="AB5011">
        <v>32</v>
      </c>
      <c r="AC5011">
        <v>18.060600000000001</v>
      </c>
      <c r="AD5011">
        <v>-1.1383623806080001</v>
      </c>
      <c r="AE5011">
        <v>-2.5936599999999999</v>
      </c>
      <c r="AF5011">
        <v>-7.5900031617514596</v>
      </c>
      <c r="AG5011">
        <v>-1.1383623806080001</v>
      </c>
      <c r="AH5011">
        <v>16.514463756985698</v>
      </c>
      <c r="AI5011">
        <v>93.583921633581397</v>
      </c>
      <c r="AJ5011">
        <v>114.68338449027</v>
      </c>
      <c r="AK5011">
        <v>18.210753144386299</v>
      </c>
      <c r="AL5011">
        <v>82.718675772299704</v>
      </c>
      <c r="AM5011">
        <v>109.395269638423</v>
      </c>
      <c r="AN5011">
        <v>1.0000000775073601</v>
      </c>
    </row>
    <row r="5012" spans="1:40" x14ac:dyDescent="0.25">
      <c r="A5012" t="str">
        <f>"20190303162922111"</f>
        <v>20190303162922111</v>
      </c>
      <c r="B5012" t="str">
        <f>"1551601762097412"</f>
        <v>1551601762097412</v>
      </c>
      <c r="C5012" t="s">
        <v>40</v>
      </c>
      <c r="D5012">
        <v>5.4273610000000003</v>
      </c>
      <c r="E5012">
        <v>0.4602232</v>
      </c>
      <c r="F5012" t="s">
        <v>41</v>
      </c>
      <c r="G5012">
        <v>-394.89240000000001</v>
      </c>
      <c r="H5012" s="1">
        <v>-2.5559750000000001E-6</v>
      </c>
      <c r="I5012">
        <v>20.22174</v>
      </c>
      <c r="J5012">
        <v>-413.15069999999997</v>
      </c>
      <c r="K5012">
        <v>1.1383620000000001</v>
      </c>
      <c r="L5012">
        <v>22.705200000000001</v>
      </c>
      <c r="M5012">
        <v>0.84677519999999995</v>
      </c>
      <c r="N5012">
        <v>-1.5771690000000001E-2</v>
      </c>
      <c r="O5012">
        <v>-0.53171689999999905</v>
      </c>
      <c r="P5012">
        <v>0.96541010000000005</v>
      </c>
      <c r="Q5012">
        <v>0.12710550000000001</v>
      </c>
      <c r="R5012">
        <v>-0.2276562</v>
      </c>
      <c r="S5012">
        <v>3.0343019999999998</v>
      </c>
      <c r="T5012">
        <v>-0.1874825</v>
      </c>
      <c r="U5012">
        <v>-0.42486570000000001</v>
      </c>
      <c r="V5012">
        <v>-0.32644020000000001</v>
      </c>
      <c r="W5012">
        <v>0.12786410000000001</v>
      </c>
      <c r="X5012">
        <v>0.93652950000000001</v>
      </c>
      <c r="Y5012">
        <v>-0.40782279999999999</v>
      </c>
      <c r="Z5012">
        <v>3.8010910000000002E-2</v>
      </c>
      <c r="AA5012">
        <v>0.91226949999999996</v>
      </c>
      <c r="AB5012">
        <v>32</v>
      </c>
      <c r="AC5012">
        <v>18.258299999999899</v>
      </c>
      <c r="AD5012">
        <v>-1.138364555975</v>
      </c>
      <c r="AE5012">
        <v>-2.48346</v>
      </c>
      <c r="AF5012">
        <v>-7.5773410465044098</v>
      </c>
      <c r="AG5012">
        <v>-1.138364555975</v>
      </c>
      <c r="AH5012">
        <v>16.719450047369001</v>
      </c>
      <c r="AI5012">
        <v>93.548636514669496</v>
      </c>
      <c r="AJ5012">
        <v>114.380278995724</v>
      </c>
      <c r="AK5012">
        <v>18.391628016133001</v>
      </c>
      <c r="AL5012">
        <v>82.653815564187596</v>
      </c>
      <c r="AM5012">
        <v>109.216701007558</v>
      </c>
      <c r="AN5012">
        <v>0.999999968307549</v>
      </c>
    </row>
    <row r="5013" spans="1:40" x14ac:dyDescent="0.25">
      <c r="A5013" t="str">
        <f>"20190303162922131"</f>
        <v>20190303162922131</v>
      </c>
      <c r="B5013" t="str">
        <f>"1551601762116930"</f>
        <v>1551601762116930</v>
      </c>
      <c r="C5013" t="s">
        <v>40</v>
      </c>
      <c r="D5013">
        <v>5.4916650000000002</v>
      </c>
      <c r="E5013">
        <v>0.46059830000000002</v>
      </c>
      <c r="F5013" t="s">
        <v>41</v>
      </c>
      <c r="G5013">
        <v>-394.41309999999999</v>
      </c>
      <c r="H5013" s="1">
        <v>-2.7929099999999998E-6</v>
      </c>
      <c r="I5013">
        <v>20.260809999999999</v>
      </c>
      <c r="J5013">
        <v>-412.9058</v>
      </c>
      <c r="K5013">
        <v>1.138366</v>
      </c>
      <c r="L5013">
        <v>22.567720000000001</v>
      </c>
      <c r="M5013">
        <v>0.85656730000000003</v>
      </c>
      <c r="N5013">
        <v>-1.5771489999999999E-2</v>
      </c>
      <c r="O5013">
        <v>-0.51579419999999998</v>
      </c>
      <c r="P5013">
        <v>0.96801579999999998</v>
      </c>
      <c r="Q5013">
        <v>0.1283125</v>
      </c>
      <c r="R5013">
        <v>-0.21559529999999999</v>
      </c>
      <c r="S5013">
        <v>3.0383300000000002</v>
      </c>
      <c r="T5013">
        <v>-0.1845878</v>
      </c>
      <c r="U5013">
        <v>-0.3963623</v>
      </c>
      <c r="V5013">
        <v>-0.32057170000000001</v>
      </c>
      <c r="W5013">
        <v>0.129358</v>
      </c>
      <c r="X5013">
        <v>0.93834980000000001</v>
      </c>
      <c r="Y5013">
        <v>-0.39938859999999998</v>
      </c>
      <c r="Z5013">
        <v>3.6475529999999999E-2</v>
      </c>
      <c r="AA5013">
        <v>0.91605590000000003</v>
      </c>
      <c r="AB5013">
        <v>32</v>
      </c>
      <c r="AC5013">
        <v>18.492699999999999</v>
      </c>
      <c r="AD5013">
        <v>-1.1383687929099999</v>
      </c>
      <c r="AE5013">
        <v>-2.3069099999999998</v>
      </c>
      <c r="AF5013">
        <v>-7.5352285661706997</v>
      </c>
      <c r="AG5013">
        <v>-1.1383687929099999</v>
      </c>
      <c r="AH5013">
        <v>16.968935870970601</v>
      </c>
      <c r="AI5013">
        <v>93.508538561673504</v>
      </c>
      <c r="AJ5013">
        <v>113.944100821538</v>
      </c>
      <c r="AK5013">
        <v>18.601621909022398</v>
      </c>
      <c r="AL5013">
        <v>82.567505024324603</v>
      </c>
      <c r="AM5013">
        <v>108.86188443059601</v>
      </c>
      <c r="AN5013">
        <v>1.0000000270824601</v>
      </c>
    </row>
    <row r="5014" spans="1:40" x14ac:dyDescent="0.25">
      <c r="A5014" t="str">
        <f>"20190303162922143"</f>
        <v>20190303162922143</v>
      </c>
      <c r="B5014" t="str">
        <f>"1551601762137426"</f>
        <v>1551601762137426</v>
      </c>
      <c r="C5014" t="s">
        <v>40</v>
      </c>
      <c r="D5014">
        <v>5.4826639999999998</v>
      </c>
      <c r="E5014">
        <v>0.46090140000000002</v>
      </c>
      <c r="F5014" t="s">
        <v>41</v>
      </c>
      <c r="G5014">
        <v>-393.84620000000001</v>
      </c>
      <c r="H5014" s="1">
        <v>-3.0745399999999998E-6</v>
      </c>
      <c r="I5014">
        <v>20.31204</v>
      </c>
      <c r="J5014">
        <v>-412.75529999999998</v>
      </c>
      <c r="K5014">
        <v>1.138369</v>
      </c>
      <c r="L5014">
        <v>22.485569999999999</v>
      </c>
      <c r="M5014">
        <v>0.86240069999999902</v>
      </c>
      <c r="N5014">
        <v>-1.5771420000000001E-2</v>
      </c>
      <c r="O5014">
        <v>-0.50598069999999995</v>
      </c>
      <c r="P5014">
        <v>0.96960570000000001</v>
      </c>
      <c r="Q5014">
        <v>0.1289488</v>
      </c>
      <c r="R5014">
        <v>-0.2079346</v>
      </c>
      <c r="S5014">
        <v>3.0430299999999999</v>
      </c>
      <c r="T5014">
        <v>-0.18175069999999999</v>
      </c>
      <c r="U5014">
        <v>-0.36013790000000001</v>
      </c>
      <c r="V5014">
        <v>-0.31725569999999997</v>
      </c>
      <c r="W5014">
        <v>0.13015650000000001</v>
      </c>
      <c r="X5014">
        <v>0.93936580000000003</v>
      </c>
      <c r="Y5014">
        <v>-0.39989390000000002</v>
      </c>
      <c r="Z5014">
        <v>3.5514950000000003E-2</v>
      </c>
      <c r="AA5014">
        <v>0.9158731</v>
      </c>
      <c r="AB5014">
        <v>32</v>
      </c>
      <c r="AC5014">
        <v>18.909099999999899</v>
      </c>
      <c r="AD5014">
        <v>-1.1383720745399999</v>
      </c>
      <c r="AE5014">
        <v>-2.17353</v>
      </c>
      <c r="AF5014">
        <v>-7.6667178580568898</v>
      </c>
      <c r="AG5014">
        <v>-1.1383720745399999</v>
      </c>
      <c r="AH5014">
        <v>17.347097486393402</v>
      </c>
      <c r="AI5014">
        <v>93.434912687365596</v>
      </c>
      <c r="AJ5014">
        <v>113.843496597186</v>
      </c>
      <c r="AK5014">
        <v>18.999901181258199</v>
      </c>
      <c r="AL5014">
        <v>82.521364056561694</v>
      </c>
      <c r="AM5014">
        <v>108.66157033013</v>
      </c>
      <c r="AN5014">
        <v>0.99999999994218902</v>
      </c>
    </row>
    <row r="5015" spans="1:40" x14ac:dyDescent="0.25">
      <c r="A5015" t="str">
        <f>"20190303162922155"</f>
        <v>20190303162922155</v>
      </c>
      <c r="B5015" t="str">
        <f>"1551601762147186"</f>
        <v>1551601762147186</v>
      </c>
      <c r="C5015" t="s">
        <v>40</v>
      </c>
      <c r="D5015">
        <v>5.422936</v>
      </c>
      <c r="E5015">
        <v>0.46107219999999999</v>
      </c>
      <c r="F5015" t="s">
        <v>44</v>
      </c>
      <c r="G5015">
        <v>-411.65769999999998</v>
      </c>
      <c r="H5015">
        <v>1.0731809999999999</v>
      </c>
      <c r="I5015">
        <v>22.36393</v>
      </c>
      <c r="J5015">
        <v>-412.60340000000002</v>
      </c>
      <c r="K5015">
        <v>1.1383749999999999</v>
      </c>
      <c r="L5015">
        <v>22.406220000000001</v>
      </c>
      <c r="M5015">
        <v>0.86812319999999998</v>
      </c>
      <c r="N5015">
        <v>-1.5771139999999999E-2</v>
      </c>
      <c r="O5015">
        <v>-0.49609819999999999</v>
      </c>
      <c r="P5015">
        <v>0.97115700000000005</v>
      </c>
      <c r="Q5015">
        <v>0.12933</v>
      </c>
      <c r="R5015">
        <v>-0.20032</v>
      </c>
      <c r="S5015">
        <v>3.0456850000000002</v>
      </c>
      <c r="T5015">
        <v>-0.1808765</v>
      </c>
      <c r="U5015">
        <v>-0.33743289999999998</v>
      </c>
      <c r="V5015">
        <v>-0.31388270000000001</v>
      </c>
      <c r="W5015">
        <v>0.13070300000000001</v>
      </c>
      <c r="X5015">
        <v>0.94042239999999999</v>
      </c>
      <c r="Y5015">
        <v>-0.39628639999999998</v>
      </c>
      <c r="Z5015">
        <v>3.4848400000000002E-2</v>
      </c>
      <c r="AA5015">
        <v>0.91746530000000004</v>
      </c>
      <c r="AB5015">
        <v>32</v>
      </c>
      <c r="AC5015">
        <v>0.94570000000004395</v>
      </c>
      <c r="AD5015">
        <v>-6.5193999999999905E-2</v>
      </c>
      <c r="AE5015">
        <v>-4.2290000000001202E-2</v>
      </c>
      <c r="AF5015">
        <v>-0.43045930839317598</v>
      </c>
      <c r="AG5015">
        <v>-6.5193999999999905E-2</v>
      </c>
      <c r="AH5015">
        <v>0.83809384777391005</v>
      </c>
      <c r="AI5015">
        <v>93.958278147190896</v>
      </c>
      <c r="AJ5015">
        <v>117.185806225924</v>
      </c>
      <c r="AK5015">
        <v>0.94442933642216398</v>
      </c>
      <c r="AL5015">
        <v>82.489781801280301</v>
      </c>
      <c r="AM5015">
        <v>108.457348847039</v>
      </c>
      <c r="AN5015">
        <v>0.99999995699502398</v>
      </c>
    </row>
    <row r="5016" spans="1:40" x14ac:dyDescent="0.25">
      <c r="A5016" t="str">
        <f>"20190303162922168"</f>
        <v>20190303162922168</v>
      </c>
      <c r="B5016" t="str">
        <f>"1551601762156948"</f>
        <v>1551601762156948</v>
      </c>
      <c r="C5016" t="s">
        <v>40</v>
      </c>
      <c r="D5016">
        <v>5.3571569999999999</v>
      </c>
      <c r="E5016">
        <v>0.46107219999999999</v>
      </c>
      <c r="F5016" t="s">
        <v>41</v>
      </c>
      <c r="G5016">
        <v>-393.31979999999999</v>
      </c>
      <c r="H5016" s="1">
        <v>-3.352112E-6</v>
      </c>
      <c r="I5016">
        <v>20.420100000000001</v>
      </c>
      <c r="J5016">
        <v>-412.45119999999997</v>
      </c>
      <c r="K5016">
        <v>1.1383719999999999</v>
      </c>
      <c r="L5016">
        <v>22.328130000000002</v>
      </c>
      <c r="M5016">
        <v>0.87372419999999995</v>
      </c>
      <c r="N5016">
        <v>-1.5770780000000002E-2</v>
      </c>
      <c r="O5016">
        <v>-0.48616599999999999</v>
      </c>
      <c r="P5016">
        <v>0.97244109999999995</v>
      </c>
      <c r="Q5016">
        <v>0.12982839999999901</v>
      </c>
      <c r="R5016">
        <v>-0.193657</v>
      </c>
      <c r="S5016">
        <v>3.04834</v>
      </c>
      <c r="T5016">
        <v>-0.17995420000000001</v>
      </c>
      <c r="U5016">
        <v>-0.31396479999999999</v>
      </c>
      <c r="V5016">
        <v>-0.30958609999999998</v>
      </c>
      <c r="W5016">
        <v>0.13141169999999999</v>
      </c>
      <c r="X5016">
        <v>0.941747</v>
      </c>
      <c r="Y5016">
        <v>-0.39291559999999998</v>
      </c>
      <c r="Z5016">
        <v>3.4179550000000003E-2</v>
      </c>
      <c r="AA5016">
        <v>0.91893910000000001</v>
      </c>
      <c r="AB5016">
        <v>32</v>
      </c>
      <c r="AC5016">
        <v>19.1313999999999</v>
      </c>
      <c r="AD5016">
        <v>-1.1383753521119999</v>
      </c>
      <c r="AE5016">
        <v>-1.9080299999999899</v>
      </c>
      <c r="AF5016">
        <v>-7.6082210631104203</v>
      </c>
      <c r="AG5016">
        <v>-1.1383753521119999</v>
      </c>
      <c r="AH5016">
        <v>17.583736395025799</v>
      </c>
      <c r="AI5016">
        <v>93.400335069779899</v>
      </c>
      <c r="AJ5016">
        <v>113.397416954824</v>
      </c>
      <c r="AK5016">
        <v>19.192933902798899</v>
      </c>
      <c r="AL5016">
        <v>82.448823328798497</v>
      </c>
      <c r="AM5016">
        <v>108.197553455004</v>
      </c>
      <c r="AN5016">
        <v>1.0000000001095499</v>
      </c>
    </row>
    <row r="5017" spans="1:40" x14ac:dyDescent="0.25">
      <c r="A5017" t="str">
        <f>"20190303162922180"</f>
        <v>20190303162922180</v>
      </c>
      <c r="B5017" t="str">
        <f>"1551601762166707"</f>
        <v>1551601762166707</v>
      </c>
      <c r="C5017" t="s">
        <v>40</v>
      </c>
      <c r="D5017">
        <v>5.416849</v>
      </c>
      <c r="E5017">
        <v>0.46790989999999999</v>
      </c>
      <c r="F5017" t="s">
        <v>41</v>
      </c>
      <c r="G5017">
        <v>-392.94389999999999</v>
      </c>
      <c r="H5017" s="1">
        <v>-3.5400340000000001E-6</v>
      </c>
      <c r="I5017">
        <v>20.458580000000001</v>
      </c>
      <c r="J5017">
        <v>-412.29520000000002</v>
      </c>
      <c r="K5017">
        <v>1.138371</v>
      </c>
      <c r="L5017">
        <v>22.250240000000002</v>
      </c>
      <c r="M5017">
        <v>0.87931809999999999</v>
      </c>
      <c r="N5017">
        <v>-1.5770269999999999E-2</v>
      </c>
      <c r="O5017">
        <v>-0.47597410000000001</v>
      </c>
      <c r="P5017">
        <v>0.97359879999999999</v>
      </c>
      <c r="Q5017">
        <v>0.13019700000000001</v>
      </c>
      <c r="R5017">
        <v>-0.1874953</v>
      </c>
      <c r="S5017">
        <v>3.0505369999999998</v>
      </c>
      <c r="T5017">
        <v>-0.1780185</v>
      </c>
      <c r="U5017">
        <v>-0.29235840000000002</v>
      </c>
      <c r="V5017">
        <v>-0.30458030000000003</v>
      </c>
      <c r="W5017">
        <v>0.13202469999999999</v>
      </c>
      <c r="X5017">
        <v>0.94329229999999997</v>
      </c>
      <c r="Y5017">
        <v>-0.38877869999999998</v>
      </c>
      <c r="Z5017">
        <v>3.3261779999999998E-2</v>
      </c>
      <c r="AA5017">
        <v>0.92073059999999995</v>
      </c>
      <c r="AB5017">
        <v>32</v>
      </c>
      <c r="AC5017">
        <v>19.351299999999998</v>
      </c>
      <c r="AD5017">
        <v>-1.138374540034</v>
      </c>
      <c r="AE5017">
        <v>-1.79166</v>
      </c>
      <c r="AF5017">
        <v>-7.6101151157467397</v>
      </c>
      <c r="AG5017">
        <v>-1.138374540034</v>
      </c>
      <c r="AH5017">
        <v>17.809842519479201</v>
      </c>
      <c r="AI5017">
        <v>93.363817142384505</v>
      </c>
      <c r="AJ5017">
        <v>113.136935398711</v>
      </c>
      <c r="AK5017">
        <v>19.401037066017</v>
      </c>
      <c r="AL5017">
        <v>82.413392478339802</v>
      </c>
      <c r="AM5017">
        <v>107.89478501554299</v>
      </c>
      <c r="AN5017">
        <v>1.0000000218987299</v>
      </c>
    </row>
    <row r="5018" spans="1:40" x14ac:dyDescent="0.25">
      <c r="A5018" t="str">
        <f>"20190303162922197"</f>
        <v>20190303162922197</v>
      </c>
      <c r="B5018" t="str">
        <f>"1551601762187203"</f>
        <v>1551601762187203</v>
      </c>
      <c r="C5018" t="s">
        <v>40</v>
      </c>
      <c r="D5018">
        <v>5.4750059999999996</v>
      </c>
      <c r="E5018">
        <v>0.46851920000000002</v>
      </c>
      <c r="F5018" t="s">
        <v>41</v>
      </c>
      <c r="G5018">
        <v>-395.59190000000001</v>
      </c>
      <c r="H5018" s="1">
        <v>-2.2882509999999999E-6</v>
      </c>
      <c r="I5018">
        <v>20.458379999999998</v>
      </c>
      <c r="J5018">
        <v>-412.08210000000003</v>
      </c>
      <c r="K5018">
        <v>1.138369</v>
      </c>
      <c r="L5018">
        <v>22.148099999999999</v>
      </c>
      <c r="M5018">
        <v>0.88670969999999905</v>
      </c>
      <c r="N5018">
        <v>-1.5769089999999999E-2</v>
      </c>
      <c r="O5018">
        <v>-0.46205780000000002</v>
      </c>
      <c r="P5018">
        <v>0.97440519999999997</v>
      </c>
      <c r="Q5018">
        <v>0.13076119999999999</v>
      </c>
      <c r="R5018">
        <v>-0.1828552</v>
      </c>
      <c r="S5018">
        <v>3.046173</v>
      </c>
      <c r="T5018">
        <v>-0.20760490000000001</v>
      </c>
      <c r="U5018">
        <v>-0.32678220000000002</v>
      </c>
      <c r="V5018">
        <v>-0.29416490000000001</v>
      </c>
      <c r="W5018">
        <v>0.1330943</v>
      </c>
      <c r="X5018">
        <v>0.94644220000000001</v>
      </c>
      <c r="Y5018">
        <v>-0.36332809999999999</v>
      </c>
      <c r="Z5018">
        <v>3.7917930000000002E-2</v>
      </c>
      <c r="AA5018">
        <v>0.93088939999999998</v>
      </c>
      <c r="AB5018">
        <v>32</v>
      </c>
      <c r="AC5018">
        <v>16.490200000000002</v>
      </c>
      <c r="AD5018">
        <v>-1.138371288251</v>
      </c>
      <c r="AE5018">
        <v>-1.6897200000000001</v>
      </c>
      <c r="AF5018">
        <v>-6.0931593655849801</v>
      </c>
      <c r="AG5018">
        <v>-1.138371288251</v>
      </c>
      <c r="AH5018">
        <v>15.3323742507741</v>
      </c>
      <c r="AI5018">
        <v>93.947009155645503</v>
      </c>
      <c r="AJ5018">
        <v>111.673111181396</v>
      </c>
      <c r="AK5018">
        <v>16.537961797335601</v>
      </c>
      <c r="AL5018">
        <v>82.351562791108293</v>
      </c>
      <c r="AM5018">
        <v>107.265833367474</v>
      </c>
      <c r="AN5018">
        <v>0.99999995951266896</v>
      </c>
    </row>
    <row r="5019" spans="1:40" x14ac:dyDescent="0.25">
      <c r="A5019" t="str">
        <f>"20190303162922210"</f>
        <v>20190303162922210</v>
      </c>
      <c r="B5019" t="str">
        <f>"1551601762196963"</f>
        <v>1551601762196963</v>
      </c>
      <c r="C5019" t="s">
        <v>40</v>
      </c>
      <c r="D5019">
        <v>5.3564429999999996</v>
      </c>
      <c r="E5019">
        <v>0.46877429999999898</v>
      </c>
      <c r="F5019" t="s">
        <v>41</v>
      </c>
      <c r="G5019">
        <v>-395.08890000000002</v>
      </c>
      <c r="H5019" s="1">
        <v>-2.5059009999999998E-6</v>
      </c>
      <c r="I5019">
        <v>20.382680000000001</v>
      </c>
      <c r="J5019">
        <v>-411.92360000000002</v>
      </c>
      <c r="K5019">
        <v>1.1383639999999999</v>
      </c>
      <c r="L5019">
        <v>22.07471</v>
      </c>
      <c r="M5019">
        <v>0.89203330000000003</v>
      </c>
      <c r="N5019">
        <v>-1.5767779999999999E-2</v>
      </c>
      <c r="O5019">
        <v>-0.4516946</v>
      </c>
      <c r="P5019">
        <v>0.97552159999999999</v>
      </c>
      <c r="Q5019">
        <v>0.13088430000000001</v>
      </c>
      <c r="R5019">
        <v>-0.17671139999999999</v>
      </c>
      <c r="S5019">
        <v>3.046783</v>
      </c>
      <c r="T5019">
        <v>-0.20410300000000001</v>
      </c>
      <c r="U5019">
        <v>-0.31652829999999998</v>
      </c>
      <c r="V5019">
        <v>-0.28908719999999999</v>
      </c>
      <c r="W5019">
        <v>0.13346479999999999</v>
      </c>
      <c r="X5019">
        <v>0.9479535</v>
      </c>
      <c r="Y5019">
        <v>-0.35566829999999999</v>
      </c>
      <c r="Z5019">
        <v>3.6452209999999999E-2</v>
      </c>
      <c r="AA5019">
        <v>0.93390110000000004</v>
      </c>
      <c r="AB5019">
        <v>32</v>
      </c>
      <c r="AC5019">
        <v>16.834699999999899</v>
      </c>
      <c r="AD5019">
        <v>-1.138366505901</v>
      </c>
      <c r="AE5019">
        <v>-1.6920299999999899</v>
      </c>
      <c r="AF5019">
        <v>-6.0680848288734701</v>
      </c>
      <c r="AG5019">
        <v>-1.138366505901</v>
      </c>
      <c r="AH5019">
        <v>15.7122300237013</v>
      </c>
      <c r="AI5019">
        <v>93.866502636384993</v>
      </c>
      <c r="AJ5019">
        <v>111.116629331173</v>
      </c>
      <c r="AK5019">
        <v>16.8816973112855</v>
      </c>
      <c r="AL5019">
        <v>82.330144311239295</v>
      </c>
      <c r="AM5019">
        <v>106.95957041102599</v>
      </c>
      <c r="AN5019">
        <v>1.0000000501025601</v>
      </c>
    </row>
    <row r="5020" spans="1:40" x14ac:dyDescent="0.25">
      <c r="A5020" t="str">
        <f>"20190303162922233"</f>
        <v>20190303162922233</v>
      </c>
      <c r="B5020" t="str">
        <f>"1551601762227219"</f>
        <v>1551601762227219</v>
      </c>
      <c r="C5020" t="s">
        <v>40</v>
      </c>
      <c r="D5020">
        <v>5.4130019999999996</v>
      </c>
      <c r="E5020">
        <v>0.46858139999999998</v>
      </c>
      <c r="F5020" t="s">
        <v>41</v>
      </c>
      <c r="G5020">
        <v>-395.02229999999997</v>
      </c>
      <c r="H5020" s="1">
        <v>-2.5466420000000002E-6</v>
      </c>
      <c r="I5020">
        <v>20.417549999999999</v>
      </c>
      <c r="J5020">
        <v>-411.64210000000003</v>
      </c>
      <c r="K5020">
        <v>1.13835</v>
      </c>
      <c r="L5020">
        <v>21.94971</v>
      </c>
      <c r="M5020">
        <v>0.90112919999999996</v>
      </c>
      <c r="N5020">
        <v>-1.5764360000000002E-2</v>
      </c>
      <c r="O5020">
        <v>-0.43326409999999999</v>
      </c>
      <c r="P5020">
        <v>0.97742549999999995</v>
      </c>
      <c r="Q5020">
        <v>0.13094539999999999</v>
      </c>
      <c r="R5020">
        <v>-0.1658097</v>
      </c>
      <c r="S5020">
        <v>3.0486759999999999</v>
      </c>
      <c r="T5020">
        <v>-0.20533960000000001</v>
      </c>
      <c r="U5020">
        <v>-0.29891970000000001</v>
      </c>
      <c r="V5020">
        <v>-0.28015630000000002</v>
      </c>
      <c r="W5020">
        <v>0.13395950000000001</v>
      </c>
      <c r="X5020">
        <v>0.95056160000000001</v>
      </c>
      <c r="Y5020">
        <v>-0.34186290000000003</v>
      </c>
      <c r="Z5020">
        <v>3.5327240000000003E-2</v>
      </c>
      <c r="AA5020">
        <v>0.93908559999999996</v>
      </c>
      <c r="AB5020">
        <v>32</v>
      </c>
      <c r="AC5020">
        <v>16.619800000000001</v>
      </c>
      <c r="AD5020">
        <v>-1.1383525466419999</v>
      </c>
      <c r="AE5020">
        <v>-1.53216</v>
      </c>
      <c r="AF5020">
        <v>-5.7938592986005597</v>
      </c>
      <c r="AG5020">
        <v>-1.1383525466419999</v>
      </c>
      <c r="AH5020">
        <v>15.5699306505299</v>
      </c>
      <c r="AI5020">
        <v>93.919883858600897</v>
      </c>
      <c r="AJ5020">
        <v>110.41116520348901</v>
      </c>
      <c r="AK5020">
        <v>16.651948611340899</v>
      </c>
      <c r="AL5020">
        <v>82.301543085607193</v>
      </c>
      <c r="AM5020">
        <v>106.421675939949</v>
      </c>
      <c r="AN5020">
        <v>1.0000000277322401</v>
      </c>
    </row>
    <row r="5021" spans="1:40" x14ac:dyDescent="0.25">
      <c r="A5021" t="str">
        <f>"20190303162922248"</f>
        <v>20190303162922248</v>
      </c>
      <c r="B5021" t="str">
        <f>"1551601762236979"</f>
        <v>1551601762236979</v>
      </c>
      <c r="C5021" t="s">
        <v>40</v>
      </c>
      <c r="D5021">
        <v>5.4122009999999996</v>
      </c>
      <c r="E5021">
        <v>0.468692</v>
      </c>
      <c r="F5021" t="s">
        <v>41</v>
      </c>
      <c r="G5021">
        <v>-395.20780000000002</v>
      </c>
      <c r="H5021" s="1">
        <v>-2.4914369999999999E-6</v>
      </c>
      <c r="I5021">
        <v>20.539639999999999</v>
      </c>
      <c r="J5021">
        <v>-411.45260000000002</v>
      </c>
      <c r="K5021">
        <v>1.1383369999999999</v>
      </c>
      <c r="L5021">
        <v>21.869260000000001</v>
      </c>
      <c r="M5021">
        <v>0.90699660000000004</v>
      </c>
      <c r="N5021">
        <v>-1.5761250000000001E-2</v>
      </c>
      <c r="O5021">
        <v>-0.42084329999999998</v>
      </c>
      <c r="P5021">
        <v>0.97890460000000001</v>
      </c>
      <c r="Q5021">
        <v>0.130886999999999</v>
      </c>
      <c r="R5021">
        <v>-0.15689040000000001</v>
      </c>
      <c r="S5021">
        <v>3.0531619999999999</v>
      </c>
      <c r="T5021">
        <v>-0.21148339999999999</v>
      </c>
      <c r="U5021">
        <v>-0.2619629</v>
      </c>
      <c r="V5021">
        <v>-0.27575309999999997</v>
      </c>
      <c r="W5021">
        <v>0.13411600000000001</v>
      </c>
      <c r="X5021">
        <v>0.95182619999999896</v>
      </c>
      <c r="Y5021">
        <v>-0.34028900000000001</v>
      </c>
      <c r="Z5021">
        <v>3.58587E-2</v>
      </c>
      <c r="AA5021">
        <v>0.9396369</v>
      </c>
      <c r="AB5021">
        <v>32</v>
      </c>
      <c r="AC5021">
        <v>16.244799999999898</v>
      </c>
      <c r="AD5021">
        <v>-1.138339491437</v>
      </c>
      <c r="AE5021">
        <v>-1.32962</v>
      </c>
      <c r="AF5021">
        <v>-5.6039187402804496</v>
      </c>
      <c r="AG5021">
        <v>-1.138339491437</v>
      </c>
      <c r="AH5021">
        <v>15.221193014576199</v>
      </c>
      <c r="AI5021">
        <v>94.014503995716694</v>
      </c>
      <c r="AJ5021">
        <v>110.21196818375</v>
      </c>
      <c r="AK5021">
        <v>16.259902792834101</v>
      </c>
      <c r="AL5021">
        <v>82.292494386121703</v>
      </c>
      <c r="AM5021">
        <v>106.156805021799</v>
      </c>
      <c r="AN5021">
        <v>0.99999999431102404</v>
      </c>
    </row>
    <row r="5022" spans="1:40" x14ac:dyDescent="0.25">
      <c r="A5022" t="str">
        <f>"20190303162922268"</f>
        <v>20190303162922268</v>
      </c>
      <c r="B5022" t="str">
        <f>"1551601762256498"</f>
        <v>1551601762256498</v>
      </c>
      <c r="C5022" t="s">
        <v>40</v>
      </c>
      <c r="D5022">
        <v>5.3481139999999998</v>
      </c>
      <c r="E5022">
        <v>0.46904249999999997</v>
      </c>
      <c r="F5022" t="s">
        <v>41</v>
      </c>
      <c r="G5022">
        <v>-395.10969999999998</v>
      </c>
      <c r="H5022" s="1">
        <v>-2.5582969999999998E-6</v>
      </c>
      <c r="I5022">
        <v>20.616679999999999</v>
      </c>
      <c r="J5022">
        <v>-411.19189999999998</v>
      </c>
      <c r="K5022">
        <v>1.1383129999999999</v>
      </c>
      <c r="L5022">
        <v>21.76379</v>
      </c>
      <c r="M5022">
        <v>0.91473610000000005</v>
      </c>
      <c r="N5022">
        <v>-1.5755809999999999E-2</v>
      </c>
      <c r="O5022">
        <v>-0.40374500000000002</v>
      </c>
      <c r="P5022">
        <v>0.9803482</v>
      </c>
      <c r="Q5022">
        <v>0.12986389999999901</v>
      </c>
      <c r="R5022">
        <v>-0.148504</v>
      </c>
      <c r="S5022">
        <v>3.0555729999999999</v>
      </c>
      <c r="T5022">
        <v>-0.21283170000000001</v>
      </c>
      <c r="U5022">
        <v>-0.23419190000000001</v>
      </c>
      <c r="V5022">
        <v>-0.26601529999999901</v>
      </c>
      <c r="W5022">
        <v>0.13356309999999999</v>
      </c>
      <c r="X5022">
        <v>0.95467100000000005</v>
      </c>
      <c r="Y5022">
        <v>-0.33120300000000003</v>
      </c>
      <c r="Z5022">
        <v>3.4924509999999999E-2</v>
      </c>
      <c r="AA5022">
        <v>0.942913</v>
      </c>
      <c r="AB5022">
        <v>32</v>
      </c>
      <c r="AC5022">
        <v>16.0822</v>
      </c>
      <c r="AD5022">
        <v>-1.1383155582969999</v>
      </c>
      <c r="AE5022">
        <v>-1.1471100000000001</v>
      </c>
      <c r="AF5022">
        <v>-5.4174756797970502</v>
      </c>
      <c r="AG5022">
        <v>-1.1383155582969999</v>
      </c>
      <c r="AH5022">
        <v>15.1007185069613</v>
      </c>
      <c r="AI5022">
        <v>94.058542125830201</v>
      </c>
      <c r="AJ5022">
        <v>109.73576072581599</v>
      </c>
      <c r="AK5022">
        <v>16.0834232823096</v>
      </c>
      <c r="AL5022">
        <v>82.324460713369007</v>
      </c>
      <c r="AM5022">
        <v>105.57028516925401</v>
      </c>
      <c r="AN5022">
        <v>0.99999997987834899</v>
      </c>
    </row>
    <row r="5023" spans="1:40" x14ac:dyDescent="0.25">
      <c r="A5023" t="str">
        <f>"20190303162922288"</f>
        <v>20190303162922288</v>
      </c>
      <c r="B5023" t="str">
        <f>"1551601762276994"</f>
        <v>1551601762276994</v>
      </c>
      <c r="C5023" t="s">
        <v>40</v>
      </c>
      <c r="D5023">
        <v>5.4735769999999997</v>
      </c>
      <c r="E5023">
        <v>0.46915610000000002</v>
      </c>
      <c r="F5023" t="s">
        <v>41</v>
      </c>
      <c r="G5023">
        <v>-395.2244</v>
      </c>
      <c r="H5023" s="1">
        <v>-2.5185999999999999E-6</v>
      </c>
      <c r="I5023">
        <v>20.671220000000002</v>
      </c>
      <c r="J5023">
        <v>-410.9323</v>
      </c>
      <c r="K5023">
        <v>1.13829</v>
      </c>
      <c r="L5023">
        <v>21.664459999999998</v>
      </c>
      <c r="M5023">
        <v>0.92206469999999896</v>
      </c>
      <c r="N5023">
        <v>-1.5749309999999999E-2</v>
      </c>
      <c r="O5023">
        <v>-0.38671539999999999</v>
      </c>
      <c r="P5023">
        <v>0.98166540000000002</v>
      </c>
      <c r="Q5023">
        <v>0.1279033</v>
      </c>
      <c r="R5023">
        <v>-0.14132919999999999</v>
      </c>
      <c r="S5023">
        <v>3.057312</v>
      </c>
      <c r="T5023">
        <v>-0.21795510000000001</v>
      </c>
      <c r="U5023">
        <v>-0.209198</v>
      </c>
      <c r="V5023">
        <v>-0.25527640000000001</v>
      </c>
      <c r="W5023">
        <v>0.1321193</v>
      </c>
      <c r="X5023">
        <v>0.9577987</v>
      </c>
      <c r="Y5023">
        <v>-0.32138</v>
      </c>
      <c r="Z5023">
        <v>3.4598959999999998E-2</v>
      </c>
      <c r="AA5023">
        <v>0.94631799999999999</v>
      </c>
      <c r="AB5023">
        <v>32</v>
      </c>
      <c r="AC5023">
        <v>15.707899999999899</v>
      </c>
      <c r="AD5023">
        <v>-1.1382925185999999</v>
      </c>
      <c r="AE5023">
        <v>-0.99324000000000001</v>
      </c>
      <c r="AF5023">
        <v>-5.1324498029563301</v>
      </c>
      <c r="AG5023">
        <v>-1.1382925185999999</v>
      </c>
      <c r="AH5023">
        <v>14.7922742658569</v>
      </c>
      <c r="AI5023">
        <v>94.158092607840999</v>
      </c>
      <c r="AJ5023">
        <v>109.135151517393</v>
      </c>
      <c r="AK5023">
        <v>15.6986983152775</v>
      </c>
      <c r="AL5023">
        <v>82.407923847228304</v>
      </c>
      <c r="AM5023">
        <v>104.92378870559</v>
      </c>
      <c r="AN5023">
        <v>0.99999994977556805</v>
      </c>
    </row>
    <row r="5024" spans="1:40" x14ac:dyDescent="0.25">
      <c r="A5024" t="str">
        <f>"20190303162922302"</f>
        <v>20190303162922302</v>
      </c>
      <c r="B5024" t="str">
        <f>"1551601762286754"</f>
        <v>1551601762286754</v>
      </c>
      <c r="C5024" t="s">
        <v>40</v>
      </c>
      <c r="D5024">
        <v>5.476756</v>
      </c>
      <c r="E5024">
        <v>0.46920620000000002</v>
      </c>
      <c r="F5024" t="s">
        <v>41</v>
      </c>
      <c r="G5024">
        <v>-395.47669999999999</v>
      </c>
      <c r="H5024" s="1">
        <v>-2.4119900000000001E-6</v>
      </c>
      <c r="I5024">
        <v>20.718640000000001</v>
      </c>
      <c r="J5024">
        <v>-410.75549999999998</v>
      </c>
      <c r="K5024">
        <v>1.138274</v>
      </c>
      <c r="L5024">
        <v>21.599640000000001</v>
      </c>
      <c r="M5024">
        <v>0.92685139999999999</v>
      </c>
      <c r="N5024">
        <v>-1.5744419999999999E-2</v>
      </c>
      <c r="O5024">
        <v>-0.3750983</v>
      </c>
      <c r="P5024">
        <v>0.98264300000000004</v>
      </c>
      <c r="Q5024">
        <v>0.12722530000000001</v>
      </c>
      <c r="R5024">
        <v>-0.13500609999999999</v>
      </c>
      <c r="S5024">
        <v>3.0584410000000002</v>
      </c>
      <c r="T5024">
        <v>-0.2252507</v>
      </c>
      <c r="U5024">
        <v>-0.18716430000000001</v>
      </c>
      <c r="V5024">
        <v>-0.2493956</v>
      </c>
      <c r="W5024">
        <v>0.13172320000000001</v>
      </c>
      <c r="X5024">
        <v>0.95940130000000001</v>
      </c>
      <c r="Y5024">
        <v>-0.31621630000000001</v>
      </c>
      <c r="Z5024">
        <v>3.5051980000000003E-2</v>
      </c>
      <c r="AA5024">
        <v>0.94803939999999998</v>
      </c>
      <c r="AB5024">
        <v>32</v>
      </c>
      <c r="AC5024">
        <v>15.278799999999899</v>
      </c>
      <c r="AD5024">
        <v>-1.13827641199</v>
      </c>
      <c r="AE5024">
        <v>-0.88100000000000001</v>
      </c>
      <c r="AF5024">
        <v>-4.8880643622841697</v>
      </c>
      <c r="AG5024">
        <v>-1.13827641199</v>
      </c>
      <c r="AH5024">
        <v>14.4136989005491</v>
      </c>
      <c r="AI5024">
        <v>94.277090499213003</v>
      </c>
      <c r="AJ5024">
        <v>108.733149118973</v>
      </c>
      <c r="AK5024">
        <v>15.2624887353149</v>
      </c>
      <c r="AL5024">
        <v>82.430819267093895</v>
      </c>
      <c r="AM5024">
        <v>104.57148981519001</v>
      </c>
      <c r="AN5024">
        <v>1.0000000105796401</v>
      </c>
    </row>
    <row r="5025" spans="1:40" x14ac:dyDescent="0.25">
      <c r="A5025" t="str">
        <f>"20190303162922314"</f>
        <v>20190303162922314</v>
      </c>
      <c r="B5025" t="str">
        <f>"1551601762307251"</f>
        <v>1551601762307251</v>
      </c>
      <c r="C5025" t="s">
        <v>40</v>
      </c>
      <c r="D5025">
        <v>5.4088909999999997</v>
      </c>
      <c r="E5025">
        <v>0.46938229999999997</v>
      </c>
      <c r="F5025" t="s">
        <v>41</v>
      </c>
      <c r="G5025">
        <v>-395.49770000000001</v>
      </c>
      <c r="H5025" s="1">
        <v>-2.4141380000000001E-6</v>
      </c>
      <c r="I5025">
        <v>20.764109999999999</v>
      </c>
      <c r="J5025">
        <v>-410.59930000000003</v>
      </c>
      <c r="K5025">
        <v>1.13826</v>
      </c>
      <c r="L5025">
        <v>21.54523</v>
      </c>
      <c r="M5025">
        <v>0.93093239999999999</v>
      </c>
      <c r="N5025">
        <v>-1.5739340000000001E-2</v>
      </c>
      <c r="O5025">
        <v>-0.36485240000000002</v>
      </c>
      <c r="P5025">
        <v>0.9833596</v>
      </c>
      <c r="Q5025">
        <v>0.1271591</v>
      </c>
      <c r="R5025">
        <v>-0.1297488</v>
      </c>
      <c r="S5025">
        <v>3.0595089999999998</v>
      </c>
      <c r="T5025">
        <v>-0.22824900000000001</v>
      </c>
      <c r="U5025">
        <v>-0.16754150000000001</v>
      </c>
      <c r="V5025">
        <v>-0.2439298</v>
      </c>
      <c r="W5025">
        <v>0.13191739999999999</v>
      </c>
      <c r="X5025">
        <v>0.96077889999999999</v>
      </c>
      <c r="Y5025">
        <v>-0.31181759999999997</v>
      </c>
      <c r="Z5025">
        <v>3.4825699999999897E-2</v>
      </c>
      <c r="AA5025">
        <v>0.94950349999999994</v>
      </c>
      <c r="AB5025">
        <v>32</v>
      </c>
      <c r="AC5025">
        <v>15.101599999999999</v>
      </c>
      <c r="AD5025">
        <v>-1.138262414138</v>
      </c>
      <c r="AE5025">
        <v>-0.78111999999999704</v>
      </c>
      <c r="AF5025">
        <v>-4.75632780354095</v>
      </c>
      <c r="AG5025">
        <v>-1.138262414138</v>
      </c>
      <c r="AH5025">
        <v>14.2645151474629</v>
      </c>
      <c r="AI5025">
        <v>94.329005650395899</v>
      </c>
      <c r="AJ5025">
        <v>108.440332909199</v>
      </c>
      <c r="AK5025">
        <v>15.079611662452599</v>
      </c>
      <c r="AL5025">
        <v>82.419594556236703</v>
      </c>
      <c r="AM5025">
        <v>104.245688736566</v>
      </c>
      <c r="AN5025">
        <v>1.000000021218</v>
      </c>
    </row>
    <row r="5026" spans="1:40" x14ac:dyDescent="0.25">
      <c r="A5026" t="str">
        <f>"20190303162922333"</f>
        <v>20190303162922333</v>
      </c>
      <c r="B5026" t="str">
        <f>"1551601762326770"</f>
        <v>1551601762326770</v>
      </c>
      <c r="C5026" t="s">
        <v>40</v>
      </c>
      <c r="D5026">
        <v>5.4730809999999996</v>
      </c>
      <c r="E5026">
        <v>0.46943629999999997</v>
      </c>
      <c r="F5026" t="s">
        <v>41</v>
      </c>
      <c r="G5026">
        <v>-395.57740000000001</v>
      </c>
      <c r="H5026" s="1">
        <v>-2.385506E-6</v>
      </c>
      <c r="I5026">
        <v>20.798120000000001</v>
      </c>
      <c r="J5026">
        <v>-410.34359999999998</v>
      </c>
      <c r="K5026">
        <v>1.1382410000000001</v>
      </c>
      <c r="L5026">
        <v>21.459530000000001</v>
      </c>
      <c r="M5026">
        <v>0.93734189999999995</v>
      </c>
      <c r="N5026">
        <v>-1.5730359999999999E-2</v>
      </c>
      <c r="O5026">
        <v>-0.34805639999999999</v>
      </c>
      <c r="P5026">
        <v>0.98405620000000005</v>
      </c>
      <c r="Q5026">
        <v>0.12826760000000001</v>
      </c>
      <c r="R5026">
        <v>-0.123211</v>
      </c>
      <c r="S5026">
        <v>3.0606689999999999</v>
      </c>
      <c r="T5026">
        <v>-0.2319177</v>
      </c>
      <c r="U5026">
        <v>-0.15222169999999999</v>
      </c>
      <c r="V5026">
        <v>-0.2330023</v>
      </c>
      <c r="W5026">
        <v>0.1335414</v>
      </c>
      <c r="X5026">
        <v>0.96326350000000005</v>
      </c>
      <c r="Y5026">
        <v>-0.29948819999999998</v>
      </c>
      <c r="Z5026">
        <v>3.3956300000000002E-2</v>
      </c>
      <c r="AA5026">
        <v>0.9534956</v>
      </c>
      <c r="AB5026">
        <v>32</v>
      </c>
      <c r="AC5026">
        <v>14.7661999999999</v>
      </c>
      <c r="AD5026">
        <v>-1.1382433855059999</v>
      </c>
      <c r="AE5026">
        <v>-0.66140999999999595</v>
      </c>
      <c r="AF5026">
        <v>-4.4934147380563001</v>
      </c>
      <c r="AG5026">
        <v>-1.1382433855059999</v>
      </c>
      <c r="AH5026">
        <v>13.989961465278901</v>
      </c>
      <c r="AI5026">
        <v>94.429504635708994</v>
      </c>
      <c r="AJ5026">
        <v>107.806421010869</v>
      </c>
      <c r="AK5026">
        <v>14.7378898018956</v>
      </c>
      <c r="AL5026">
        <v>82.325715224073207</v>
      </c>
      <c r="AM5026">
        <v>103.59799582091701</v>
      </c>
      <c r="AN5026">
        <v>0.99999997387574902</v>
      </c>
    </row>
    <row r="5027" spans="1:40" x14ac:dyDescent="0.25">
      <c r="A5027" t="str">
        <f>"20190303162922345"</f>
        <v>20190303162922345</v>
      </c>
      <c r="B5027" t="str">
        <f>"1551601762336530"</f>
        <v>1551601762336530</v>
      </c>
      <c r="C5027" t="s">
        <v>40</v>
      </c>
      <c r="D5027">
        <v>5.4758760000000004</v>
      </c>
      <c r="E5027">
        <v>0.4695279</v>
      </c>
      <c r="F5027" t="s">
        <v>41</v>
      </c>
      <c r="G5027">
        <v>-395.20139999999998</v>
      </c>
      <c r="H5027" s="1">
        <v>-2.5669790000000002E-6</v>
      </c>
      <c r="I5027">
        <v>20.812149999999999</v>
      </c>
      <c r="J5027">
        <v>-410.18090000000001</v>
      </c>
      <c r="K5027">
        <v>1.1382300000000001</v>
      </c>
      <c r="L5027">
        <v>21.40729</v>
      </c>
      <c r="M5027">
        <v>0.9412431</v>
      </c>
      <c r="N5027">
        <v>-1.5724140000000001E-2</v>
      </c>
      <c r="O5027">
        <v>-0.33736290000000002</v>
      </c>
      <c r="P5027">
        <v>0.98458389999999996</v>
      </c>
      <c r="Q5027">
        <v>0.1291109</v>
      </c>
      <c r="R5027">
        <v>-0.1180031</v>
      </c>
      <c r="S5027">
        <v>3.0622250000000002</v>
      </c>
      <c r="T5027">
        <v>-0.230188</v>
      </c>
      <c r="U5027">
        <v>-0.13092039999999999</v>
      </c>
      <c r="V5027">
        <v>-0.22711519999999999</v>
      </c>
      <c r="W5027">
        <v>0.1346617</v>
      </c>
      <c r="X5027">
        <v>0.96451279999999995</v>
      </c>
      <c r="Y5027">
        <v>-0.295326599999999</v>
      </c>
      <c r="Z5027">
        <v>3.2904139999999998E-2</v>
      </c>
      <c r="AA5027">
        <v>0.95482959999999995</v>
      </c>
      <c r="AB5027">
        <v>32</v>
      </c>
      <c r="AC5027">
        <v>14.9795</v>
      </c>
      <c r="AD5027">
        <v>-1.1382325669790001</v>
      </c>
      <c r="AE5027">
        <v>-0.59514</v>
      </c>
      <c r="AF5027">
        <v>-4.46815483957608</v>
      </c>
      <c r="AG5027">
        <v>-1.1382325669790001</v>
      </c>
      <c r="AH5027">
        <v>14.2199258973372</v>
      </c>
      <c r="AI5027">
        <v>94.366849125439501</v>
      </c>
      <c r="AJ5027">
        <v>107.443650652343</v>
      </c>
      <c r="AK5027">
        <v>14.9487883647044</v>
      </c>
      <c r="AL5027">
        <v>82.260942012091803</v>
      </c>
      <c r="AM5027">
        <v>103.25014537438599</v>
      </c>
      <c r="AN5027">
        <v>1.00000001444088</v>
      </c>
    </row>
    <row r="5028" spans="1:40" x14ac:dyDescent="0.25">
      <c r="A5028" t="str">
        <f>"20190303162922357"</f>
        <v>20190303162922357</v>
      </c>
      <c r="B5028" t="str">
        <f>"1551601762347267"</f>
        <v>1551601762347267</v>
      </c>
      <c r="C5028" t="s">
        <v>40</v>
      </c>
      <c r="D5028">
        <v>5.417173</v>
      </c>
      <c r="E5028">
        <v>0.46965400000000002</v>
      </c>
      <c r="F5028" t="s">
        <v>41</v>
      </c>
      <c r="G5028">
        <v>-394.85939999999999</v>
      </c>
      <c r="H5028" s="1">
        <v>-2.7339849999999998E-6</v>
      </c>
      <c r="I5028">
        <v>20.832249999999998</v>
      </c>
      <c r="J5028">
        <v>-410.02550000000002</v>
      </c>
      <c r="K5028">
        <v>1.13822</v>
      </c>
      <c r="L5028">
        <v>21.359860000000001</v>
      </c>
      <c r="M5028">
        <v>0.94484190000000001</v>
      </c>
      <c r="N5028">
        <v>-1.571722E-2</v>
      </c>
      <c r="O5028">
        <v>-0.32715</v>
      </c>
      <c r="P5028">
        <v>0.9850141</v>
      </c>
      <c r="Q5028">
        <v>0.13031019999999999</v>
      </c>
      <c r="R5028">
        <v>-0.1129898</v>
      </c>
      <c r="S5028">
        <v>3.0630190000000002</v>
      </c>
      <c r="T5028">
        <v>-0.22755110000000001</v>
      </c>
      <c r="U5028">
        <v>-0.1149597</v>
      </c>
      <c r="V5028">
        <v>-0.2215637</v>
      </c>
      <c r="W5028">
        <v>0.1361202</v>
      </c>
      <c r="X5028">
        <v>0.96559870000000003</v>
      </c>
      <c r="Y5028">
        <v>-0.29002719999999999</v>
      </c>
      <c r="Z5028">
        <v>3.1704169999999997E-2</v>
      </c>
      <c r="AA5028">
        <v>0.95649309999999998</v>
      </c>
      <c r="AB5028">
        <v>32</v>
      </c>
      <c r="AC5028">
        <v>15.1661</v>
      </c>
      <c r="AD5028">
        <v>-1.138222733985</v>
      </c>
      <c r="AE5028">
        <v>-0.52761000000000202</v>
      </c>
      <c r="AF5028">
        <v>-4.43866126333939</v>
      </c>
      <c r="AG5028">
        <v>-1.138222733985</v>
      </c>
      <c r="AH5028">
        <v>14.4228238651966</v>
      </c>
      <c r="AI5028">
        <v>94.313483486893702</v>
      </c>
      <c r="AJ5028">
        <v>107.10588362526001</v>
      </c>
      <c r="AK5028">
        <v>15.133245291387899</v>
      </c>
      <c r="AL5028">
        <v>82.176599516667594</v>
      </c>
      <c r="AM5028">
        <v>102.923230504755</v>
      </c>
      <c r="AN5028">
        <v>1.0000000157237099</v>
      </c>
    </row>
    <row r="5029" spans="1:40" x14ac:dyDescent="0.25">
      <c r="A5029" t="str">
        <f>"20190303162922378"</f>
        <v>20190303162922378</v>
      </c>
      <c r="B5029" t="str">
        <f>"1551601762366786"</f>
        <v>1551601762366786</v>
      </c>
      <c r="C5029" t="s">
        <v>40</v>
      </c>
      <c r="D5029">
        <v>5.5382400000000001</v>
      </c>
      <c r="E5029">
        <v>0.46994979999999997</v>
      </c>
      <c r="F5029" t="s">
        <v>41</v>
      </c>
      <c r="G5029">
        <v>-394.48950000000002</v>
      </c>
      <c r="H5029" s="1">
        <v>-2.914193E-6</v>
      </c>
      <c r="I5029">
        <v>20.85229</v>
      </c>
      <c r="J5029">
        <v>-409.75259999999997</v>
      </c>
      <c r="K5029">
        <v>1.138196</v>
      </c>
      <c r="L5029">
        <v>21.280639999999998</v>
      </c>
      <c r="M5029">
        <v>0.95085969999999997</v>
      </c>
      <c r="N5029">
        <v>-1.5704070000000001E-2</v>
      </c>
      <c r="O5029">
        <v>-0.3092239</v>
      </c>
      <c r="P5029">
        <v>0.98521749999999997</v>
      </c>
      <c r="Q5029">
        <v>0.13267279999999901</v>
      </c>
      <c r="R5029">
        <v>-0.1083721</v>
      </c>
      <c r="S5029">
        <v>3.0638429999999999</v>
      </c>
      <c r="T5029">
        <v>-0.22446849999999999</v>
      </c>
      <c r="U5029">
        <v>-0.1000977</v>
      </c>
      <c r="V5029">
        <v>-0.20778279999999999</v>
      </c>
      <c r="W5029">
        <v>0.1391212</v>
      </c>
      <c r="X5029">
        <v>0.96823119999999996</v>
      </c>
      <c r="Y5029">
        <v>-0.27666210000000002</v>
      </c>
      <c r="Z5029">
        <v>2.9683520000000001E-2</v>
      </c>
      <c r="AA5029">
        <v>0.96050869999999999</v>
      </c>
      <c r="AB5029">
        <v>32</v>
      </c>
      <c r="AC5029">
        <v>15.2630999999999</v>
      </c>
      <c r="AD5029">
        <v>-1.138198914193</v>
      </c>
      <c r="AE5029">
        <v>-0.42834999999999801</v>
      </c>
      <c r="AF5029">
        <v>-4.2891130923974004</v>
      </c>
      <c r="AG5029">
        <v>-1.138198914193</v>
      </c>
      <c r="AH5029">
        <v>14.5663879339983</v>
      </c>
      <c r="AI5029">
        <v>94.286691387796694</v>
      </c>
      <c r="AJ5029">
        <v>106.40721044337801</v>
      </c>
      <c r="AK5029">
        <v>15.2273321803715</v>
      </c>
      <c r="AL5029">
        <v>82.003003148296102</v>
      </c>
      <c r="AM5029">
        <v>102.111994401207</v>
      </c>
      <c r="AN5029">
        <v>1.00000002845935</v>
      </c>
    </row>
    <row r="5030" spans="1:40" x14ac:dyDescent="0.25">
      <c r="A5030" t="str">
        <f>"20190303162922390"</f>
        <v>20190303162922390</v>
      </c>
      <c r="B5030" t="str">
        <f>"1551601762377523"</f>
        <v>1551601762377523</v>
      </c>
      <c r="C5030" t="s">
        <v>40</v>
      </c>
      <c r="D5030">
        <v>5.5383110000000002</v>
      </c>
      <c r="E5030">
        <v>0.47007379999999999</v>
      </c>
      <c r="F5030" t="s">
        <v>41</v>
      </c>
      <c r="G5030">
        <v>-393.76089999999999</v>
      </c>
      <c r="H5030" s="1">
        <v>-3.2510139999999998E-6</v>
      </c>
      <c r="I5030">
        <v>20.823779999999999</v>
      </c>
      <c r="J5030">
        <v>-409.5917</v>
      </c>
      <c r="K5030">
        <v>1.1381790000000001</v>
      </c>
      <c r="L5030">
        <v>21.236599999999999</v>
      </c>
      <c r="M5030">
        <v>0.95423080000000005</v>
      </c>
      <c r="N5030">
        <v>-1.569547E-2</v>
      </c>
      <c r="O5030">
        <v>-0.2986589</v>
      </c>
      <c r="P5030">
        <v>0.98548939999999996</v>
      </c>
      <c r="Q5030">
        <v>0.13341229999999901</v>
      </c>
      <c r="R5030">
        <v>-0.1049382</v>
      </c>
      <c r="S5030">
        <v>3.0647579999999999</v>
      </c>
      <c r="T5030">
        <v>-0.2181323</v>
      </c>
      <c r="U5030">
        <v>-8.7554930000000003E-2</v>
      </c>
      <c r="V5030">
        <v>-0.2003983</v>
      </c>
      <c r="W5030">
        <v>0.14020099999999999</v>
      </c>
      <c r="X5030">
        <v>0.96963100000000002</v>
      </c>
      <c r="Y5030">
        <v>-0.27005259999999998</v>
      </c>
      <c r="Z5030">
        <v>2.793238E-2</v>
      </c>
      <c r="AA5030">
        <v>0.96244030000000003</v>
      </c>
      <c r="AB5030">
        <v>32</v>
      </c>
      <c r="AC5030">
        <v>15.8308</v>
      </c>
      <c r="AD5030">
        <v>-1.1381822510140001</v>
      </c>
      <c r="AE5030">
        <v>-0.41282000000000002</v>
      </c>
      <c r="AF5030">
        <v>-4.3123419727438801</v>
      </c>
      <c r="AG5030">
        <v>-1.1381822510140001</v>
      </c>
      <c r="AH5030">
        <v>15.1531309042249</v>
      </c>
      <c r="AI5030">
        <v>94.132070768781006</v>
      </c>
      <c r="AJ5030">
        <v>105.885516811757</v>
      </c>
      <c r="AK5030">
        <v>15.795857948430299</v>
      </c>
      <c r="AL5030">
        <v>81.940522891215096</v>
      </c>
      <c r="AM5030">
        <v>101.677185144326</v>
      </c>
      <c r="AN5030">
        <v>1.0000000376024401</v>
      </c>
    </row>
    <row r="5031" spans="1:40" x14ac:dyDescent="0.25">
      <c r="A5031" t="str">
        <f>"20190303162922401"</f>
        <v>20190303162922401</v>
      </c>
      <c r="B5031" t="str">
        <f>"1551601762387283"</f>
        <v>1551601762387283</v>
      </c>
      <c r="C5031" t="s">
        <v>40</v>
      </c>
      <c r="D5031">
        <v>5.4740359999999999</v>
      </c>
      <c r="E5031">
        <v>0.47008519999999998</v>
      </c>
      <c r="F5031" t="s">
        <v>41</v>
      </c>
      <c r="G5031">
        <v>-393.45870000000002</v>
      </c>
      <c r="H5031" s="1">
        <v>-3.3946359999999998E-6</v>
      </c>
      <c r="I5031">
        <v>20.826689999999999</v>
      </c>
      <c r="J5031">
        <v>-409.43380000000002</v>
      </c>
      <c r="K5031">
        <v>1.138161</v>
      </c>
      <c r="L5031">
        <v>21.194759999999999</v>
      </c>
      <c r="M5031">
        <v>0.95741699999999996</v>
      </c>
      <c r="N5031">
        <v>-1.5686820000000001E-2</v>
      </c>
      <c r="O5031">
        <v>-0.288282599999999</v>
      </c>
      <c r="P5031">
        <v>0.98569770000000001</v>
      </c>
      <c r="Q5031">
        <v>0.13392409999999999</v>
      </c>
      <c r="R5031">
        <v>-0.102295</v>
      </c>
      <c r="S5031">
        <v>3.0651549999999999</v>
      </c>
      <c r="T5031">
        <v>-0.2162461</v>
      </c>
      <c r="U5031">
        <v>-7.7880859999999996E-2</v>
      </c>
      <c r="V5031">
        <v>-0.19245000000000001</v>
      </c>
      <c r="W5031">
        <v>0.14107819999999999</v>
      </c>
      <c r="X5031">
        <v>0.97111270000000005</v>
      </c>
      <c r="Y5031">
        <v>-0.26269330000000002</v>
      </c>
      <c r="Z5031">
        <v>2.6817609999999999E-2</v>
      </c>
      <c r="AA5031">
        <v>0.96450659999999999</v>
      </c>
      <c r="AB5031">
        <v>32</v>
      </c>
      <c r="AC5031">
        <v>15.9750999999999</v>
      </c>
      <c r="AD5031">
        <v>-1.1381643946360001</v>
      </c>
      <c r="AE5031">
        <v>-0.36807000000000301</v>
      </c>
      <c r="AF5031">
        <v>-4.2319994455046404</v>
      </c>
      <c r="AG5031">
        <v>-1.1381643946360001</v>
      </c>
      <c r="AH5031">
        <v>15.3250847807781</v>
      </c>
      <c r="AI5031">
        <v>94.094739500398603</v>
      </c>
      <c r="AJ5031">
        <v>105.43741185178099</v>
      </c>
      <c r="AK5031">
        <v>15.939368275876101</v>
      </c>
      <c r="AL5031">
        <v>81.889757915182699</v>
      </c>
      <c r="AM5031">
        <v>101.209339481678</v>
      </c>
      <c r="AN5031">
        <v>0.99999996855826401</v>
      </c>
    </row>
    <row r="5032" spans="1:40" x14ac:dyDescent="0.25">
      <c r="A5032" t="str">
        <f>"20190303162922423"</f>
        <v>20190303162922423</v>
      </c>
      <c r="B5032" t="str">
        <f>"1551601762416563"</f>
        <v>1551601762416563</v>
      </c>
      <c r="C5032" t="s">
        <v>40</v>
      </c>
      <c r="D5032">
        <v>5.3895580000000001</v>
      </c>
      <c r="E5032">
        <v>0.47029169999999998</v>
      </c>
      <c r="F5032" t="s">
        <v>41</v>
      </c>
      <c r="G5032">
        <v>-393.18</v>
      </c>
      <c r="H5032" s="1">
        <v>-3.526298E-6</v>
      </c>
      <c r="I5032">
        <v>20.826319999999999</v>
      </c>
      <c r="J5032">
        <v>-409.16050000000001</v>
      </c>
      <c r="K5032">
        <v>1.1381239999999999</v>
      </c>
      <c r="L5032">
        <v>21.127379999999999</v>
      </c>
      <c r="M5032">
        <v>0.96263379999999998</v>
      </c>
      <c r="N5032">
        <v>-1.566917E-2</v>
      </c>
      <c r="O5032">
        <v>-0.27035350000000002</v>
      </c>
      <c r="P5032">
        <v>0.98575400000000002</v>
      </c>
      <c r="Q5032">
        <v>0.13408629999999999</v>
      </c>
      <c r="R5032">
        <v>-0.1015382</v>
      </c>
      <c r="S5032">
        <v>3.0654910000000002</v>
      </c>
      <c r="T5032">
        <v>-0.2146586</v>
      </c>
      <c r="U5032">
        <v>-6.9488530000000007E-2</v>
      </c>
      <c r="V5032">
        <v>-0.17499529999999999</v>
      </c>
      <c r="W5032">
        <v>0.14203589999999999</v>
      </c>
      <c r="X5032">
        <v>0.97427019999999998</v>
      </c>
      <c r="Y5032">
        <v>-0.24737609999999999</v>
      </c>
      <c r="Z5032">
        <v>2.502718E-2</v>
      </c>
      <c r="AA5032">
        <v>0.96859629999999997</v>
      </c>
      <c r="AB5032">
        <v>32</v>
      </c>
      <c r="AC5032">
        <v>15.980499999999999</v>
      </c>
      <c r="AD5032">
        <v>-1.138127526298</v>
      </c>
      <c r="AE5032">
        <v>-0.301059999999996</v>
      </c>
      <c r="AF5032">
        <v>-4.0107314802172596</v>
      </c>
      <c r="AG5032">
        <v>-1.138127526298</v>
      </c>
      <c r="AH5032">
        <v>15.3886306496246</v>
      </c>
      <c r="AI5032">
        <v>94.0935754767399</v>
      </c>
      <c r="AJ5032">
        <v>104.60799620121701</v>
      </c>
      <c r="AK5032">
        <v>15.9433765101088</v>
      </c>
      <c r="AL5032">
        <v>81.834327718742102</v>
      </c>
      <c r="AM5032">
        <v>100.18270584746899</v>
      </c>
      <c r="AN5032">
        <v>0.99999998725946904</v>
      </c>
    </row>
    <row r="5033" spans="1:40" x14ac:dyDescent="0.25">
      <c r="A5033" t="str">
        <f>"20190303162922435"</f>
        <v>20190303162922435</v>
      </c>
      <c r="B5033" t="str">
        <f>"1551601762427299"</f>
        <v>1551601762427299</v>
      </c>
      <c r="C5033" t="s">
        <v>40</v>
      </c>
      <c r="D5033">
        <v>5.536016</v>
      </c>
      <c r="E5033">
        <v>0.47026069999999998</v>
      </c>
      <c r="F5033" t="s">
        <v>41</v>
      </c>
      <c r="G5033">
        <v>-393.10340000000002</v>
      </c>
      <c r="H5033" s="1">
        <v>-3.5473770000000001E-6</v>
      </c>
      <c r="I5033">
        <v>20.76952</v>
      </c>
      <c r="J5033">
        <v>-408.98919999999998</v>
      </c>
      <c r="K5033">
        <v>1.13809</v>
      </c>
      <c r="L5033">
        <v>21.088470000000001</v>
      </c>
      <c r="M5033">
        <v>0.96571119999999999</v>
      </c>
      <c r="N5033">
        <v>-1.5655700000000002E-2</v>
      </c>
      <c r="O5033">
        <v>-0.25914680000000001</v>
      </c>
      <c r="P5033">
        <v>0.98685489999999998</v>
      </c>
      <c r="Q5033">
        <v>0.13367950000000001</v>
      </c>
      <c r="R5033">
        <v>-9.0814759999999994E-2</v>
      </c>
      <c r="S5033">
        <v>3.0658569999999998</v>
      </c>
      <c r="T5033">
        <v>-0.217308</v>
      </c>
      <c r="U5033">
        <v>-6.8328860000000005E-2</v>
      </c>
      <c r="V5033">
        <v>-0.17424979999999901</v>
      </c>
      <c r="W5033">
        <v>0.1416635</v>
      </c>
      <c r="X5033">
        <v>0.97445800000000005</v>
      </c>
      <c r="Y5033">
        <v>-0.23649049999999999</v>
      </c>
      <c r="Z5033">
        <v>2.430324E-2</v>
      </c>
      <c r="AA5033">
        <v>0.97132980000000002</v>
      </c>
      <c r="AB5033">
        <v>32</v>
      </c>
      <c r="AC5033">
        <v>15.8857999999999</v>
      </c>
      <c r="AD5033">
        <v>-1.138093547377</v>
      </c>
      <c r="AE5033">
        <v>-0.31895000000000001</v>
      </c>
      <c r="AF5033">
        <v>-3.7897634345416802</v>
      </c>
      <c r="AG5033">
        <v>-1.138093547377</v>
      </c>
      <c r="AH5033">
        <v>15.346900357565501</v>
      </c>
      <c r="AI5033">
        <v>94.117918726175006</v>
      </c>
      <c r="AJ5033">
        <v>103.87111269423301</v>
      </c>
      <c r="AK5033">
        <v>15.8488142899529</v>
      </c>
      <c r="AL5033">
        <v>81.855882459252499</v>
      </c>
      <c r="AM5033">
        <v>100.13831467361599</v>
      </c>
      <c r="AN5033">
        <v>0.99999996689814397</v>
      </c>
    </row>
    <row r="5034" spans="1:40" x14ac:dyDescent="0.25">
      <c r="A5034" t="str">
        <f>"20190303162922447"</f>
        <v>20190303162922447</v>
      </c>
      <c r="B5034" t="str">
        <f>"1551601762437059"</f>
        <v>1551601762437059</v>
      </c>
      <c r="C5034" t="s">
        <v>40</v>
      </c>
      <c r="D5034">
        <v>5.5359870000000004</v>
      </c>
      <c r="E5034">
        <v>0.4702382</v>
      </c>
      <c r="F5034" t="s">
        <v>41</v>
      </c>
      <c r="G5034">
        <v>-393.10969999999998</v>
      </c>
      <c r="H5034" s="1">
        <v>-3.5816359999999999E-6</v>
      </c>
      <c r="I5034">
        <v>20.909420000000001</v>
      </c>
      <c r="J5034">
        <v>-408.82479999999998</v>
      </c>
      <c r="K5034">
        <v>1.1380589999999999</v>
      </c>
      <c r="L5034">
        <v>21.052430000000001</v>
      </c>
      <c r="M5034">
        <v>0.96853310000000004</v>
      </c>
      <c r="N5034">
        <v>-1.564188E-2</v>
      </c>
      <c r="O5034">
        <v>-0.24839320000000001</v>
      </c>
      <c r="P5034">
        <v>0.98717319999999997</v>
      </c>
      <c r="Q5034">
        <v>0.13321440000000001</v>
      </c>
      <c r="R5034">
        <v>-8.7994680000000006E-2</v>
      </c>
      <c r="S5034">
        <v>3.0665279999999999</v>
      </c>
      <c r="T5034">
        <v>-0.21977940000000001</v>
      </c>
      <c r="U5034">
        <v>-3.4576419999999997E-2</v>
      </c>
      <c r="V5034">
        <v>-0.166166799999999</v>
      </c>
      <c r="W5034">
        <v>0.14156389999999999</v>
      </c>
      <c r="X5034">
        <v>0.97588330000000001</v>
      </c>
      <c r="Y5034">
        <v>-0.23637140000000001</v>
      </c>
      <c r="Z5034">
        <v>2.4028299999999999E-2</v>
      </c>
      <c r="AA5034">
        <v>0.97136560000000005</v>
      </c>
      <c r="AB5034">
        <v>32</v>
      </c>
      <c r="AC5034">
        <v>15.7151</v>
      </c>
      <c r="AD5034">
        <v>-1.1380625816359999</v>
      </c>
      <c r="AE5034">
        <v>-0.143009999999996</v>
      </c>
      <c r="AF5034">
        <v>-3.7458312171910899</v>
      </c>
      <c r="AG5034">
        <v>-1.1380625816359999</v>
      </c>
      <c r="AH5034">
        <v>15.1783869296325</v>
      </c>
      <c r="AI5034">
        <v>94.163511414919299</v>
      </c>
      <c r="AJ5034">
        <v>103.862859875027</v>
      </c>
      <c r="AK5034">
        <v>15.675135333803</v>
      </c>
      <c r="AL5034">
        <v>81.861647317222193</v>
      </c>
      <c r="AM5034">
        <v>99.663259744309002</v>
      </c>
      <c r="AN5034">
        <v>0.99999997921216899</v>
      </c>
    </row>
    <row r="5035" spans="1:40" x14ac:dyDescent="0.25">
      <c r="A5035" t="str">
        <f>"20190303162922468"</f>
        <v>20190303162922468</v>
      </c>
      <c r="B5035" t="str">
        <f>"1551601762456579"</f>
        <v>1551601762456579</v>
      </c>
      <c r="C5035" t="s">
        <v>40</v>
      </c>
      <c r="D5035">
        <v>5.5905300000000002</v>
      </c>
      <c r="E5035">
        <v>0.47020679999999998</v>
      </c>
      <c r="F5035" t="s">
        <v>41</v>
      </c>
      <c r="G5035">
        <v>-393.06709999999998</v>
      </c>
      <c r="H5035" s="1">
        <v>-3.6056330000000001E-6</v>
      </c>
      <c r="I5035">
        <v>20.923999999999999</v>
      </c>
      <c r="J5035">
        <v>-408.55180000000001</v>
      </c>
      <c r="K5035">
        <v>1.138004</v>
      </c>
      <c r="L5035">
        <v>20.99701</v>
      </c>
      <c r="M5035">
        <v>0.97292630000000002</v>
      </c>
      <c r="N5035">
        <v>-1.561453E-2</v>
      </c>
      <c r="O5035">
        <v>-0.23058780000000001</v>
      </c>
      <c r="P5035">
        <v>0.98749260000000005</v>
      </c>
      <c r="Q5035">
        <v>0.13195850000000001</v>
      </c>
      <c r="R5035">
        <v>-8.6286080000000001E-2</v>
      </c>
      <c r="S5035">
        <v>3.066681</v>
      </c>
      <c r="T5035">
        <v>-0.22148370000000001</v>
      </c>
      <c r="U5035">
        <v>-2.4993899999999999E-2</v>
      </c>
      <c r="V5035">
        <v>-0.14987790000000001</v>
      </c>
      <c r="W5035">
        <v>0.14103660000000001</v>
      </c>
      <c r="X5035">
        <v>0.97859350000000001</v>
      </c>
      <c r="Y5035">
        <v>-0.22161719999999999</v>
      </c>
      <c r="Z5035">
        <v>2.261707E-2</v>
      </c>
      <c r="AA5035">
        <v>0.97487140000000005</v>
      </c>
      <c r="AB5035">
        <v>32</v>
      </c>
      <c r="AC5035">
        <v>15.4847</v>
      </c>
      <c r="AD5035">
        <v>-1.138007605633</v>
      </c>
      <c r="AE5035">
        <v>-7.3010000000000005E-2</v>
      </c>
      <c r="AF5035">
        <v>-3.4811741619049301</v>
      </c>
      <c r="AG5035">
        <v>-1.138007605633</v>
      </c>
      <c r="AH5035">
        <v>15.003113083853499</v>
      </c>
      <c r="AI5035">
        <v>94.225820153926605</v>
      </c>
      <c r="AJ5035">
        <v>103.063188797267</v>
      </c>
      <c r="AK5035">
        <v>15.4436730431232</v>
      </c>
      <c r="AL5035">
        <v>81.892165527029903</v>
      </c>
      <c r="AM5035">
        <v>98.707554468511702</v>
      </c>
      <c r="AN5035">
        <v>0.999999972845109</v>
      </c>
    </row>
    <row r="5036" spans="1:40" x14ac:dyDescent="0.25">
      <c r="A5036" t="str">
        <f>"20190303162922491"</f>
        <v>20190303162922491</v>
      </c>
      <c r="B5036" t="str">
        <f>"1551601762477075"</f>
        <v>1551601762477075</v>
      </c>
      <c r="C5036" t="s">
        <v>40</v>
      </c>
      <c r="D5036">
        <v>5.6557149999999998</v>
      </c>
      <c r="E5036">
        <v>0.46872809999999998</v>
      </c>
      <c r="F5036" t="s">
        <v>41</v>
      </c>
      <c r="G5036">
        <v>-393.14929999999998</v>
      </c>
      <c r="H5036" s="1">
        <v>-3.5618279999999999E-6</v>
      </c>
      <c r="I5036">
        <v>20.905349999999999</v>
      </c>
      <c r="J5036">
        <v>-408.23970000000003</v>
      </c>
      <c r="K5036">
        <v>1.1379379999999999</v>
      </c>
      <c r="L5036">
        <v>20.940159999999999</v>
      </c>
      <c r="M5036">
        <v>0.97750939999999997</v>
      </c>
      <c r="N5036">
        <v>-1.557672E-2</v>
      </c>
      <c r="O5036">
        <v>-0.2103159</v>
      </c>
      <c r="P5036">
        <v>0.98787340000000001</v>
      </c>
      <c r="Q5036">
        <v>0.13111210000000001</v>
      </c>
      <c r="R5036">
        <v>-8.3162230000000004E-2</v>
      </c>
      <c r="S5036">
        <v>3.066681</v>
      </c>
      <c r="T5036">
        <v>-0.22658</v>
      </c>
      <c r="U5036">
        <v>-1.824951E-2</v>
      </c>
      <c r="V5036">
        <v>-0.13254639999999901</v>
      </c>
      <c r="W5036">
        <v>0.1409521</v>
      </c>
      <c r="X5036">
        <v>0.98110339999999996</v>
      </c>
      <c r="Y5036">
        <v>-0.20349919999999999</v>
      </c>
      <c r="Z5036">
        <v>2.1230820000000001E-2</v>
      </c>
      <c r="AA5036">
        <v>0.97884490000000002</v>
      </c>
      <c r="AB5036">
        <v>32</v>
      </c>
      <c r="AC5036">
        <v>15.090400000000001</v>
      </c>
      <c r="AD5036">
        <v>-1.137941561828</v>
      </c>
      <c r="AE5036">
        <v>-3.4810000000003699E-2</v>
      </c>
      <c r="AF5036">
        <v>-3.1223499875260101</v>
      </c>
      <c r="AG5036">
        <v>-1.137941561828</v>
      </c>
      <c r="AH5036">
        <v>14.676662298820199</v>
      </c>
      <c r="AI5036">
        <v>94.336833466239895</v>
      </c>
      <c r="AJ5036">
        <v>102.010193166761</v>
      </c>
      <c r="AK5036">
        <v>15.0482024400375</v>
      </c>
      <c r="AL5036">
        <v>81.8970557852317</v>
      </c>
      <c r="AM5036">
        <v>97.694036332348304</v>
      </c>
      <c r="AN5036">
        <v>0.99999996206946395</v>
      </c>
    </row>
    <row r="5037" spans="1:40" x14ac:dyDescent="0.25">
      <c r="A5037" t="str">
        <f>"20190303162922504"</f>
        <v>20190303162922504</v>
      </c>
      <c r="B5037" t="str">
        <f>"1551601762496595"</f>
        <v>1551601762496595</v>
      </c>
      <c r="C5037" t="s">
        <v>40</v>
      </c>
      <c r="D5037">
        <v>5.5320010000000002</v>
      </c>
      <c r="E5037">
        <v>0.46942200000000001</v>
      </c>
      <c r="F5037" t="s">
        <v>41</v>
      </c>
      <c r="G5037">
        <v>-395.61149999999998</v>
      </c>
      <c r="H5037" s="1">
        <v>-2.4125600000000002E-6</v>
      </c>
      <c r="I5037">
        <v>20.960339999999999</v>
      </c>
      <c r="J5037">
        <v>-408.06270000000001</v>
      </c>
      <c r="K5037">
        <v>1.137893</v>
      </c>
      <c r="L5037">
        <v>20.910309999999999</v>
      </c>
      <c r="M5037">
        <v>0.97990529999999998</v>
      </c>
      <c r="N5037">
        <v>-1.5553330000000001E-2</v>
      </c>
      <c r="O5037">
        <v>-0.1988568</v>
      </c>
      <c r="P5037">
        <v>0.98810529999999996</v>
      </c>
      <c r="Q5037">
        <v>0.1306968</v>
      </c>
      <c r="R5037">
        <v>-8.1034720000000005E-2</v>
      </c>
      <c r="S5037">
        <v>3.0740050000000001</v>
      </c>
      <c r="T5037">
        <v>-0.27700259999999999</v>
      </c>
      <c r="U5037">
        <v>4.9133299999999996E-3</v>
      </c>
      <c r="V5037">
        <v>-0.1231293</v>
      </c>
      <c r="W5037">
        <v>0.1409446</v>
      </c>
      <c r="X5037">
        <v>0.98233079999999995</v>
      </c>
      <c r="Y5037">
        <v>-0.198959</v>
      </c>
      <c r="Z5037">
        <v>2.5187049999999999E-2</v>
      </c>
      <c r="AA5037">
        <v>0.97968409999999995</v>
      </c>
      <c r="AB5037">
        <v>31</v>
      </c>
      <c r="AC5037">
        <v>12.4512</v>
      </c>
      <c r="AD5037">
        <v>-1.13789541256</v>
      </c>
      <c r="AE5037">
        <v>5.0029999999999498E-2</v>
      </c>
      <c r="AF5037">
        <v>-2.5044193220920001</v>
      </c>
      <c r="AG5037">
        <v>-1.13789541256</v>
      </c>
      <c r="AH5037">
        <v>12.091535897447899</v>
      </c>
      <c r="AI5037">
        <v>95.264989257307207</v>
      </c>
      <c r="AJ5037">
        <v>101.701738459095</v>
      </c>
      <c r="AK5037">
        <v>12.400490412482201</v>
      </c>
      <c r="AL5037">
        <v>81.897490168240495</v>
      </c>
      <c r="AM5037">
        <v>97.1444236674471</v>
      </c>
      <c r="AN5037">
        <v>1.0000000027081399</v>
      </c>
    </row>
    <row r="5038" spans="1:40" x14ac:dyDescent="0.25">
      <c r="A5038" t="str">
        <f>"20190303162922524"</f>
        <v>20190303162922524</v>
      </c>
      <c r="B5038" t="str">
        <f>"1551601762517091"</f>
        <v>1551601762517091</v>
      </c>
      <c r="C5038" t="s">
        <v>40</v>
      </c>
      <c r="D5038">
        <v>5.6565379999999896</v>
      </c>
      <c r="E5038">
        <v>0.48441099999999998</v>
      </c>
      <c r="F5038" t="s">
        <v>41</v>
      </c>
      <c r="G5038">
        <v>-395.07560000000001</v>
      </c>
      <c r="H5038" s="1">
        <v>-2.660246E-6</v>
      </c>
      <c r="I5038">
        <v>20.939209999999999</v>
      </c>
      <c r="J5038">
        <v>-407.7903</v>
      </c>
      <c r="K5038">
        <v>1.137813</v>
      </c>
      <c r="L5038">
        <v>20.869230000000002</v>
      </c>
      <c r="M5038">
        <v>0.98330090000000003</v>
      </c>
      <c r="N5038">
        <v>-1.551169E-2</v>
      </c>
      <c r="O5038">
        <v>-0.18132570000000001</v>
      </c>
      <c r="P5038">
        <v>0.98793779999999998</v>
      </c>
      <c r="Q5038">
        <v>0.13085379999999999</v>
      </c>
      <c r="R5038">
        <v>-8.2803440000000006E-2</v>
      </c>
      <c r="S5038">
        <v>3.0722960000000001</v>
      </c>
      <c r="T5038">
        <v>-0.26918750000000002</v>
      </c>
      <c r="U5038">
        <v>6.8359379999999997E-3</v>
      </c>
      <c r="V5038">
        <v>-0.1037502</v>
      </c>
      <c r="W5038">
        <v>0.14193069999999999</v>
      </c>
      <c r="X5038">
        <v>0.98442450000000004</v>
      </c>
      <c r="Y5038">
        <v>-0.1822491</v>
      </c>
      <c r="Z5038">
        <v>2.2356930000000001E-2</v>
      </c>
      <c r="AA5038">
        <v>0.98299820000000004</v>
      </c>
      <c r="AB5038">
        <v>31</v>
      </c>
      <c r="AC5038">
        <v>12.714699999999899</v>
      </c>
      <c r="AD5038">
        <v>-1.1378156602459999</v>
      </c>
      <c r="AE5038">
        <v>6.9980000000001E-2</v>
      </c>
      <c r="AF5038">
        <v>-2.35573416213543</v>
      </c>
      <c r="AG5038">
        <v>-1.1378156602459999</v>
      </c>
      <c r="AH5038">
        <v>12.3919543964118</v>
      </c>
      <c r="AI5038">
        <v>95.154327479804806</v>
      </c>
      <c r="AJ5038">
        <v>100.763602385662</v>
      </c>
      <c r="AK5038">
        <v>12.6650954075405</v>
      </c>
      <c r="AL5038">
        <v>81.840417126683306</v>
      </c>
      <c r="AM5038">
        <v>96.016291704775199</v>
      </c>
      <c r="AN5038">
        <v>1.0000000119013901</v>
      </c>
    </row>
    <row r="5039" spans="1:40" x14ac:dyDescent="0.25">
      <c r="A5039" t="str">
        <f>"20190303162922546"</f>
        <v>20190303162922546</v>
      </c>
      <c r="B5039" t="str">
        <f>"1551601762536610"</f>
        <v>1551601762536610</v>
      </c>
      <c r="C5039" t="s">
        <v>40</v>
      </c>
      <c r="D5039">
        <v>5.5970610000000001</v>
      </c>
      <c r="E5039">
        <v>0.48414040000000003</v>
      </c>
      <c r="F5039" t="s">
        <v>60</v>
      </c>
      <c r="G5039">
        <v>-389.23489999999998</v>
      </c>
      <c r="H5039" s="1">
        <v>-5.0456399999999996E-7</v>
      </c>
      <c r="I5039">
        <v>20.15164</v>
      </c>
      <c r="J5039">
        <v>-407.49209999999999</v>
      </c>
      <c r="K5039">
        <v>1.1376900000000001</v>
      </c>
      <c r="L5039">
        <v>20.83005</v>
      </c>
      <c r="M5039">
        <v>0.98662019999999995</v>
      </c>
      <c r="N5039">
        <v>-1.545736E-2</v>
      </c>
      <c r="O5039">
        <v>-0.16230069999999999</v>
      </c>
      <c r="P5039">
        <v>0.98782780000000003</v>
      </c>
      <c r="Q5039">
        <v>0.1308655</v>
      </c>
      <c r="R5039">
        <v>-8.4087800000000004E-2</v>
      </c>
      <c r="S5039">
        <v>3.0515439999999998</v>
      </c>
      <c r="T5039">
        <v>-0.18711949999999999</v>
      </c>
      <c r="U5039">
        <v>-0.11801150000000001</v>
      </c>
      <c r="V5039">
        <v>-8.3364489999999999E-2</v>
      </c>
      <c r="W5039">
        <v>0.142793899999999</v>
      </c>
      <c r="X5039">
        <v>0.98623539999999998</v>
      </c>
      <c r="Y5039">
        <v>-0.12361</v>
      </c>
      <c r="Z5039">
        <v>1.2123429999999999E-2</v>
      </c>
      <c r="AA5039">
        <v>0.99225680000000005</v>
      </c>
      <c r="AB5039">
        <v>31</v>
      </c>
      <c r="AC5039">
        <v>18.257200000000001</v>
      </c>
      <c r="AD5039">
        <v>-1.13769050456399</v>
      </c>
      <c r="AE5039">
        <v>-0.67840999999999896</v>
      </c>
      <c r="AF5039">
        <v>-2.2852359726834299</v>
      </c>
      <c r="AG5039">
        <v>-1.13769050456399</v>
      </c>
      <c r="AH5039">
        <v>18.055181779200701</v>
      </c>
      <c r="AI5039">
        <v>93.577083148612004</v>
      </c>
      <c r="AJ5039">
        <v>97.213543438045903</v>
      </c>
      <c r="AK5039">
        <v>18.234753417992899</v>
      </c>
      <c r="AL5039">
        <v>81.790450382082497</v>
      </c>
      <c r="AM5039">
        <v>94.831611315391001</v>
      </c>
      <c r="AN5039">
        <v>1.00000000014166</v>
      </c>
    </row>
    <row r="5040" spans="1:40" x14ac:dyDescent="0.25">
      <c r="A5040" t="str">
        <f>"20190303162922558"</f>
        <v>20190303162922558</v>
      </c>
      <c r="B5040" t="str">
        <f>"1551601762547349"</f>
        <v>1551601762547349</v>
      </c>
      <c r="C5040" t="s">
        <v>40</v>
      </c>
      <c r="D5040">
        <v>5.4473919999999998</v>
      </c>
      <c r="E5040">
        <v>0.4839348</v>
      </c>
      <c r="F5040" t="s">
        <v>60</v>
      </c>
      <c r="G5040">
        <v>-387.9785</v>
      </c>
      <c r="H5040" s="1">
        <v>-1.0739959999999999E-6</v>
      </c>
      <c r="I5040">
        <v>20.059670000000001</v>
      </c>
      <c r="J5040">
        <v>-407.32139999999998</v>
      </c>
      <c r="K5040">
        <v>1.137602</v>
      </c>
      <c r="L5040">
        <v>20.810269999999999</v>
      </c>
      <c r="M5040">
        <v>0.9883381</v>
      </c>
      <c r="N5040">
        <v>-1.5421789999999999E-2</v>
      </c>
      <c r="O5040">
        <v>-0.1514934</v>
      </c>
      <c r="P5040">
        <v>0.98791340000000005</v>
      </c>
      <c r="Q5040">
        <v>0.1309427</v>
      </c>
      <c r="R5040">
        <v>-8.2953570000000004E-2</v>
      </c>
      <c r="S5040">
        <v>3.050262</v>
      </c>
      <c r="T5040">
        <v>-0.1778371</v>
      </c>
      <c r="U5040">
        <v>-0.1204224</v>
      </c>
      <c r="V5040">
        <v>-7.3658059999999997E-2</v>
      </c>
      <c r="W5040">
        <v>0.14326349999999999</v>
      </c>
      <c r="X5040">
        <v>0.98693969999999998</v>
      </c>
      <c r="Y5040">
        <v>-0.1120234</v>
      </c>
      <c r="Z5040">
        <v>1.057336E-2</v>
      </c>
      <c r="AA5040">
        <v>0.99364929999999996</v>
      </c>
      <c r="AB5040">
        <v>31</v>
      </c>
      <c r="AC5040">
        <v>19.342899999999901</v>
      </c>
      <c r="AD5040">
        <v>-1.1376030739959999</v>
      </c>
      <c r="AE5040">
        <v>-0.75060000000000204</v>
      </c>
      <c r="AF5040">
        <v>-2.1812018700231599</v>
      </c>
      <c r="AG5040">
        <v>-1.1376030739959999</v>
      </c>
      <c r="AH5040">
        <v>19.1671230212811</v>
      </c>
      <c r="AI5040">
        <v>93.374890806001403</v>
      </c>
      <c r="AJ5040">
        <v>96.492280298640296</v>
      </c>
      <c r="AK5040">
        <v>19.324347007458801</v>
      </c>
      <c r="AL5040">
        <v>81.763264408601302</v>
      </c>
      <c r="AM5040">
        <v>94.268230664512402</v>
      </c>
      <c r="AN5040">
        <v>0.99999995583565005</v>
      </c>
    </row>
    <row r="5041" spans="1:40" x14ac:dyDescent="0.25">
      <c r="A5041" t="str">
        <f>"20190303162922570"</f>
        <v>20190303162922570</v>
      </c>
      <c r="B5041" t="str">
        <f>"1551601762557107"</f>
        <v>1551601762557107</v>
      </c>
      <c r="C5041" t="s">
        <v>40</v>
      </c>
      <c r="D5041">
        <v>5.6504570000000003</v>
      </c>
      <c r="E5041">
        <v>0.4837844</v>
      </c>
      <c r="F5041" t="s">
        <v>60</v>
      </c>
      <c r="G5041">
        <v>-387.57740000000001</v>
      </c>
      <c r="H5041" s="1">
        <v>-1.265002E-6</v>
      </c>
      <c r="I5041">
        <v>20.064979999999998</v>
      </c>
      <c r="J5041">
        <v>-407.15609999999998</v>
      </c>
      <c r="K5041">
        <v>1.1375109999999999</v>
      </c>
      <c r="L5041">
        <v>20.79288</v>
      </c>
      <c r="M5041">
        <v>0.98987480000000005</v>
      </c>
      <c r="N5041">
        <v>-1.5383869999999999E-2</v>
      </c>
      <c r="O5041">
        <v>-0.14110729999999999</v>
      </c>
      <c r="P5041">
        <v>0.98800270000000001</v>
      </c>
      <c r="Q5041">
        <v>0.13068279999999999</v>
      </c>
      <c r="R5041">
        <v>-8.2298430000000006E-2</v>
      </c>
      <c r="S5041">
        <v>3.0503230000000001</v>
      </c>
      <c r="T5041">
        <v>-0.17575289999999999</v>
      </c>
      <c r="U5041">
        <v>-0.1151428</v>
      </c>
      <c r="V5041">
        <v>-6.3893909999999998E-2</v>
      </c>
      <c r="W5041">
        <v>0.14339180000000001</v>
      </c>
      <c r="X5041">
        <v>0.98760130000000002</v>
      </c>
      <c r="Y5041">
        <v>-0.1033396</v>
      </c>
      <c r="Z5041">
        <v>9.6887459999999998E-3</v>
      </c>
      <c r="AA5041">
        <v>0.99459889999999995</v>
      </c>
      <c r="AB5041">
        <v>31</v>
      </c>
      <c r="AC5041">
        <v>19.578699999999898</v>
      </c>
      <c r="AD5041">
        <v>-1.137512265002</v>
      </c>
      <c r="AE5041">
        <v>-0.72790000000000099</v>
      </c>
      <c r="AF5041">
        <v>-2.0355476617926902</v>
      </c>
      <c r="AG5041">
        <v>-1.137512265002</v>
      </c>
      <c r="AH5041">
        <v>19.420016376809802</v>
      </c>
      <c r="AI5041">
        <v>93.334002091141201</v>
      </c>
      <c r="AJ5041">
        <v>95.983721394011795</v>
      </c>
      <c r="AK5041">
        <v>19.5595098228974</v>
      </c>
      <c r="AL5041">
        <v>81.755836903524298</v>
      </c>
      <c r="AM5041">
        <v>93.701652248865898</v>
      </c>
      <c r="AN5041">
        <v>0.99999998390200895</v>
      </c>
    </row>
    <row r="5042" spans="1:40" x14ac:dyDescent="0.25">
      <c r="A5042" t="str">
        <f>"20190303162922591"</f>
        <v>20190303162922591</v>
      </c>
      <c r="B5042" t="str">
        <f>"1551601762576627"</f>
        <v>1551601762576627</v>
      </c>
      <c r="C5042" t="s">
        <v>40</v>
      </c>
      <c r="D5042">
        <v>5.36273</v>
      </c>
      <c r="E5042">
        <v>0.4832322</v>
      </c>
      <c r="F5042" t="s">
        <v>60</v>
      </c>
      <c r="G5042">
        <v>-387.39940000000001</v>
      </c>
      <c r="H5042" s="1">
        <v>-1.3501199999999999E-6</v>
      </c>
      <c r="I5042">
        <v>20.068650000000002</v>
      </c>
      <c r="J5042">
        <v>-406.87900000000002</v>
      </c>
      <c r="K5042">
        <v>1.1373200000000001</v>
      </c>
      <c r="L5042">
        <v>20.767330000000001</v>
      </c>
      <c r="M5042">
        <v>0.99217560000000005</v>
      </c>
      <c r="N5042">
        <v>-1.5311369999999999E-2</v>
      </c>
      <c r="O5042">
        <v>-0.1239084</v>
      </c>
      <c r="P5042">
        <v>0.98810830000000005</v>
      </c>
      <c r="Q5042">
        <v>0.1287451</v>
      </c>
      <c r="R5042">
        <v>-8.4063639999999995E-2</v>
      </c>
      <c r="S5042">
        <v>3.0503230000000001</v>
      </c>
      <c r="T5042">
        <v>-0.1756257</v>
      </c>
      <c r="U5042">
        <v>-0.1118164</v>
      </c>
      <c r="V5042">
        <v>-4.4840190000000002E-2</v>
      </c>
      <c r="W5042">
        <v>0.1422002</v>
      </c>
      <c r="X5042">
        <v>0.98882170000000003</v>
      </c>
      <c r="Y5042">
        <v>-8.7197650000000002E-2</v>
      </c>
      <c r="Z5042">
        <v>8.3836139999999993E-3</v>
      </c>
      <c r="AA5042">
        <v>0.99615569999999998</v>
      </c>
      <c r="AB5042">
        <v>31</v>
      </c>
      <c r="AC5042">
        <v>19.479600000000001</v>
      </c>
      <c r="AD5042">
        <v>-1.1373213501199999</v>
      </c>
      <c r="AE5042">
        <v>-0.69867999999999597</v>
      </c>
      <c r="AF5042">
        <v>-1.7148363101511701</v>
      </c>
      <c r="AG5042">
        <v>-1.1373213501199999</v>
      </c>
      <c r="AH5042">
        <v>19.350153950502701</v>
      </c>
      <c r="AI5042">
        <v>93.350635397091295</v>
      </c>
      <c r="AJ5042">
        <v>95.064397481024898</v>
      </c>
      <c r="AK5042">
        <v>19.4592554156681</v>
      </c>
      <c r="AL5042">
        <v>81.824817158764702</v>
      </c>
      <c r="AM5042">
        <v>92.596418318086194</v>
      </c>
      <c r="AN5042">
        <v>0.99999994695508099</v>
      </c>
    </row>
    <row r="5043" spans="1:40" x14ac:dyDescent="0.25">
      <c r="A5043" t="str">
        <f>"20190303162922604"</f>
        <v>20190303162922604</v>
      </c>
      <c r="B5043" t="str">
        <f>"1551601762597124"</f>
        <v>1551601762597124</v>
      </c>
      <c r="C5043" t="s">
        <v>40</v>
      </c>
      <c r="D5043">
        <v>5.051571</v>
      </c>
      <c r="E5043">
        <v>0.48278870000000002</v>
      </c>
      <c r="F5043" t="s">
        <v>60</v>
      </c>
      <c r="G5043">
        <v>-387.61180000000002</v>
      </c>
      <c r="H5043" s="1">
        <v>-1.2448440000000001E-6</v>
      </c>
      <c r="I5043">
        <v>20.050350000000002</v>
      </c>
      <c r="J5043">
        <v>-406.68950000000001</v>
      </c>
      <c r="K5043">
        <v>1.1371579999999999</v>
      </c>
      <c r="L5043">
        <v>20.75217</v>
      </c>
      <c r="M5043">
        <v>0.99355689999999997</v>
      </c>
      <c r="N5043">
        <v>-1.525483E-2</v>
      </c>
      <c r="O5043">
        <v>-0.1123031</v>
      </c>
      <c r="P5043">
        <v>0.98848150000000001</v>
      </c>
      <c r="Q5043">
        <v>0.1273456</v>
      </c>
      <c r="R5043">
        <v>-8.1777000000000002E-2</v>
      </c>
      <c r="S5043">
        <v>3.0498959999999999</v>
      </c>
      <c r="T5043">
        <v>-0.18003169999999999</v>
      </c>
      <c r="U5043">
        <v>-0.113494899999999</v>
      </c>
      <c r="V5043">
        <v>-3.5463580000000001E-2</v>
      </c>
      <c r="W5043">
        <v>0.1411433</v>
      </c>
      <c r="X5043">
        <v>0.98935379999999995</v>
      </c>
      <c r="Y5043">
        <v>-7.5016269999999996E-2</v>
      </c>
      <c r="Z5043">
        <v>7.676324E-3</v>
      </c>
      <c r="AA5043">
        <v>0.9971527</v>
      </c>
      <c r="AB5043">
        <v>31</v>
      </c>
      <c r="AC5043">
        <v>19.0777</v>
      </c>
      <c r="AD5043">
        <v>-1.137159244844</v>
      </c>
      <c r="AE5043">
        <v>-0.701819999999997</v>
      </c>
      <c r="AF5043">
        <v>-1.44024470555235</v>
      </c>
      <c r="AG5043">
        <v>-1.137159244844</v>
      </c>
      <c r="AH5043">
        <v>18.968508675473299</v>
      </c>
      <c r="AI5043">
        <v>93.420943893162999</v>
      </c>
      <c r="AJ5043">
        <v>94.342034075882196</v>
      </c>
      <c r="AK5043">
        <v>19.0570658111765</v>
      </c>
      <c r="AL5043">
        <v>81.885990672889804</v>
      </c>
      <c r="AM5043">
        <v>92.052899455248607</v>
      </c>
      <c r="AN5043">
        <v>1.00000001910787</v>
      </c>
    </row>
    <row r="5044" spans="1:40" x14ac:dyDescent="0.25">
      <c r="A5044" t="str">
        <f>"20190303162922624"</f>
        <v>20190303162922624</v>
      </c>
      <c r="B5044" t="str">
        <f>"1551601762616643"</f>
        <v>1551601762616643</v>
      </c>
      <c r="C5044" t="s">
        <v>40</v>
      </c>
      <c r="D5044">
        <v>5.6524970000000003</v>
      </c>
      <c r="E5044">
        <v>0.48188059999999999</v>
      </c>
      <c r="F5044" t="s">
        <v>60</v>
      </c>
      <c r="G5044">
        <v>-387.63650000000001</v>
      </c>
      <c r="H5044" s="1">
        <v>-1.2478229999999999E-6</v>
      </c>
      <c r="I5044">
        <v>20.10549</v>
      </c>
      <c r="J5044">
        <v>-406.42590000000001</v>
      </c>
      <c r="K5044">
        <v>1.1368670000000001</v>
      </c>
      <c r="L5044">
        <v>20.735019999999999</v>
      </c>
      <c r="M5044">
        <v>0.99521459999999995</v>
      </c>
      <c r="N5044">
        <v>-1.5158130000000001E-2</v>
      </c>
      <c r="O5044">
        <v>-9.6530240000000003E-2</v>
      </c>
      <c r="P5044">
        <v>0.9886414</v>
      </c>
      <c r="Q5044">
        <v>0.1252867</v>
      </c>
      <c r="R5044">
        <v>-8.3014619999999997E-2</v>
      </c>
      <c r="S5044">
        <v>3.0498349999999999</v>
      </c>
      <c r="T5044">
        <v>-0.1820271</v>
      </c>
      <c r="U5044">
        <v>-0.1035156</v>
      </c>
      <c r="V5044">
        <v>-1.8350760000000001E-2</v>
      </c>
      <c r="W5044">
        <v>0.13969389999999901</v>
      </c>
      <c r="X5044">
        <v>0.99002469999999998</v>
      </c>
      <c r="Y5044">
        <v>-6.2488189999999999E-2</v>
      </c>
      <c r="Z5044">
        <v>6.6181249999999999E-3</v>
      </c>
      <c r="AA5044">
        <v>0.99802369999999996</v>
      </c>
      <c r="AB5044">
        <v>31</v>
      </c>
      <c r="AC5044">
        <v>18.789400000000001</v>
      </c>
      <c r="AD5044">
        <v>-1.1368682478229899</v>
      </c>
      <c r="AE5044">
        <v>-0.62953000000000203</v>
      </c>
      <c r="AF5044">
        <v>-1.1830380944260901</v>
      </c>
      <c r="AG5044">
        <v>-1.1368682478229899</v>
      </c>
      <c r="AH5044">
        <v>18.694048590516601</v>
      </c>
      <c r="AI5044">
        <v>93.4731942638156</v>
      </c>
      <c r="AJ5044">
        <v>93.621089264616501</v>
      </c>
      <c r="AK5044">
        <v>18.7659132804766</v>
      </c>
      <c r="AL5044">
        <v>81.969866219833193</v>
      </c>
      <c r="AM5044">
        <v>91.061893416596803</v>
      </c>
      <c r="AN5044">
        <v>1.00000002134993</v>
      </c>
    </row>
    <row r="5045" spans="1:40" x14ac:dyDescent="0.25">
      <c r="A5045" t="str">
        <f>"20190303162922638"</f>
        <v>20190303162922638</v>
      </c>
      <c r="B5045" t="str">
        <f>"1551601762627379"</f>
        <v>1551601762627379</v>
      </c>
      <c r="C5045" t="s">
        <v>40</v>
      </c>
      <c r="D5045">
        <v>5.721012</v>
      </c>
      <c r="E5045">
        <v>0.48188059999999999</v>
      </c>
      <c r="F5045" t="s">
        <v>60</v>
      </c>
      <c r="G5045">
        <v>-388.245</v>
      </c>
      <c r="H5045" s="1">
        <v>-9.6596889999999999E-7</v>
      </c>
      <c r="I5045">
        <v>20.12726</v>
      </c>
      <c r="J5045">
        <v>-406.2321</v>
      </c>
      <c r="K5045">
        <v>1.1366050000000001</v>
      </c>
      <c r="L5045">
        <v>20.725280000000001</v>
      </c>
      <c r="M5045">
        <v>0.99624409999999997</v>
      </c>
      <c r="N5045">
        <v>-1.507181E-2</v>
      </c>
      <c r="O5045">
        <v>-8.5266389999999997E-2</v>
      </c>
      <c r="P5045">
        <v>0.98896329999999999</v>
      </c>
      <c r="Q5045">
        <v>0.12490469999999999</v>
      </c>
      <c r="R5045">
        <v>-7.9687389999999997E-2</v>
      </c>
      <c r="S5045">
        <v>3.0501100000000001</v>
      </c>
      <c r="T5045">
        <v>-0.19072639999999999</v>
      </c>
      <c r="U5045">
        <v>-0.1019592</v>
      </c>
      <c r="V5045">
        <v>-1.0369939999999999E-2</v>
      </c>
      <c r="W5045">
        <v>0.13954659999999999</v>
      </c>
      <c r="X5045">
        <v>0.99016119999999996</v>
      </c>
      <c r="Y5045">
        <v>-5.1720200000000001E-2</v>
      </c>
      <c r="Z5045">
        <v>6.0382319999999897E-3</v>
      </c>
      <c r="AA5045">
        <v>0.99864330000000001</v>
      </c>
      <c r="AB5045">
        <v>31</v>
      </c>
      <c r="AC5045">
        <v>17.987099999999899</v>
      </c>
      <c r="AD5045">
        <v>-1.1366059659688901</v>
      </c>
      <c r="AE5045">
        <v>-0.598019999999998</v>
      </c>
      <c r="AF5045">
        <v>-0.93430128584282002</v>
      </c>
      <c r="AG5045">
        <v>-1.1366059659688901</v>
      </c>
      <c r="AH5045">
        <v>17.901176095229399</v>
      </c>
      <c r="AI5045">
        <v>93.628100259679698</v>
      </c>
      <c r="AJ5045">
        <v>92.987680387445906</v>
      </c>
      <c r="AK5045">
        <v>17.961539399701199</v>
      </c>
      <c r="AL5045">
        <v>81.978389163333105</v>
      </c>
      <c r="AM5045">
        <v>90.600035705608803</v>
      </c>
      <c r="AN5045">
        <v>0.99999999560630104</v>
      </c>
    </row>
    <row r="5046" spans="1:40" x14ac:dyDescent="0.25">
      <c r="A5046" t="str">
        <f>"20190303162922658"</f>
        <v>20190303162922658</v>
      </c>
      <c r="B5046" t="str">
        <f>"1551601762646898"</f>
        <v>1551601762646898</v>
      </c>
      <c r="C5046" t="s">
        <v>40</v>
      </c>
      <c r="D5046">
        <v>5.7254079999999998</v>
      </c>
      <c r="E5046">
        <v>0.47422140000000002</v>
      </c>
      <c r="F5046" t="s">
        <v>60</v>
      </c>
      <c r="G5046">
        <v>-388.18</v>
      </c>
      <c r="H5046" s="1">
        <v>-1.010535E-6</v>
      </c>
      <c r="I5046">
        <v>20.179120000000001</v>
      </c>
      <c r="J5046">
        <v>-405.9529</v>
      </c>
      <c r="K5046">
        <v>1.13616299999999</v>
      </c>
      <c r="L5046">
        <v>20.714289999999998</v>
      </c>
      <c r="M5046">
        <v>0.99747039999999998</v>
      </c>
      <c r="N5046">
        <v>-1.4934569999999999E-2</v>
      </c>
      <c r="O5046">
        <v>-6.949669E-2</v>
      </c>
      <c r="P5046">
        <v>0.98932940000000003</v>
      </c>
      <c r="Q5046">
        <v>0.1241102</v>
      </c>
      <c r="R5046">
        <v>-7.6317570000000001E-2</v>
      </c>
      <c r="S5046">
        <v>3.0502929999999999</v>
      </c>
      <c r="T5046">
        <v>-0.192054</v>
      </c>
      <c r="U5046">
        <v>-9.2285160000000005E-2</v>
      </c>
      <c r="V5046">
        <v>2.1142119999999999E-3</v>
      </c>
      <c r="W5046">
        <v>0.13909469999999999</v>
      </c>
      <c r="X5046">
        <v>0.99027679999999996</v>
      </c>
      <c r="Y5046">
        <v>-3.9129570000000002E-2</v>
      </c>
      <c r="Z5046">
        <v>4.8517040000000001E-3</v>
      </c>
      <c r="AA5046">
        <v>0.99922230000000001</v>
      </c>
      <c r="AB5046">
        <v>31</v>
      </c>
      <c r="AC5046">
        <v>17.7728999999999</v>
      </c>
      <c r="AD5046">
        <v>-1.1361640105349899</v>
      </c>
      <c r="AE5046">
        <v>-0.53516999999999704</v>
      </c>
      <c r="AF5046">
        <v>-0.69856750257693301</v>
      </c>
      <c r="AG5046">
        <v>-1.1361640105349899</v>
      </c>
      <c r="AH5046">
        <v>17.694868561323499</v>
      </c>
      <c r="AI5046">
        <v>93.670990888724504</v>
      </c>
      <c r="AJ5046">
        <v>92.260779456176707</v>
      </c>
      <c r="AK5046">
        <v>17.745062372868901</v>
      </c>
      <c r="AL5046">
        <v>82.004535947806104</v>
      </c>
      <c r="AM5046">
        <v>89.877675372635906</v>
      </c>
      <c r="AN5046">
        <v>0.99999997303935495</v>
      </c>
    </row>
    <row r="5047" spans="1:40" x14ac:dyDescent="0.25">
      <c r="A5047" t="str">
        <f>"20190303162922673"</f>
        <v>20190303162922673</v>
      </c>
      <c r="B5047" t="str">
        <f>"1551601762667394"</f>
        <v>1551601762667394</v>
      </c>
      <c r="C5047" t="s">
        <v>40</v>
      </c>
      <c r="D5047">
        <v>5.7223819999999996</v>
      </c>
      <c r="E5047">
        <v>0.47392869999999998</v>
      </c>
      <c r="F5047" t="s">
        <v>60</v>
      </c>
      <c r="G5047">
        <v>-388.27890000000002</v>
      </c>
      <c r="H5047" s="1">
        <v>-1.0717639999999999E-6</v>
      </c>
      <c r="I5047">
        <v>20.585070000000002</v>
      </c>
      <c r="J5047">
        <v>-405.76749999999998</v>
      </c>
      <c r="K5047">
        <v>1.135802</v>
      </c>
      <c r="L5047">
        <v>20.709289999999999</v>
      </c>
      <c r="M5047">
        <v>0.99812000000000001</v>
      </c>
      <c r="N5047">
        <v>-1.4830960000000001E-2</v>
      </c>
      <c r="O5047">
        <v>-5.9468229999999997E-2</v>
      </c>
      <c r="P5047">
        <v>0.98979589999999995</v>
      </c>
      <c r="Q5047">
        <v>0.1228602</v>
      </c>
      <c r="R5047">
        <v>-7.2177160000000004E-2</v>
      </c>
      <c r="S5047">
        <v>3.0552670000000002</v>
      </c>
      <c r="T5047">
        <v>-0.1964071</v>
      </c>
      <c r="U5047">
        <v>-2.233887E-2</v>
      </c>
      <c r="V5047">
        <v>8.0936689999999995E-3</v>
      </c>
      <c r="W5047">
        <v>0.13795660000000001</v>
      </c>
      <c r="X5047">
        <v>0.99040519999999999</v>
      </c>
      <c r="Y5047">
        <v>-5.1970179999999998E-2</v>
      </c>
      <c r="Z5047">
        <v>4.9898599999999996E-3</v>
      </c>
      <c r="AA5047">
        <v>0.99863619999999997</v>
      </c>
      <c r="AB5047">
        <v>31</v>
      </c>
      <c r="AC5047">
        <v>17.488599999999899</v>
      </c>
      <c r="AD5047">
        <v>-1.135803071764</v>
      </c>
      <c r="AE5047">
        <v>-0.124219999999997</v>
      </c>
      <c r="AF5047">
        <v>-0.91228267806531005</v>
      </c>
      <c r="AG5047">
        <v>-1.135803071764</v>
      </c>
      <c r="AH5047">
        <v>17.391677187359399</v>
      </c>
      <c r="AI5047">
        <v>93.731409689258697</v>
      </c>
      <c r="AJ5047">
        <v>93.002705526582602</v>
      </c>
      <c r="AK5047">
        <v>17.452585587581101</v>
      </c>
      <c r="AL5047">
        <v>82.070379263703799</v>
      </c>
      <c r="AM5047">
        <v>89.531784817216007</v>
      </c>
      <c r="AN5047">
        <v>0.99999999557424002</v>
      </c>
    </row>
    <row r="5048" spans="1:40" x14ac:dyDescent="0.25">
      <c r="A5048" t="str">
        <f>"20190303162922692"</f>
        <v>20190303162922692</v>
      </c>
      <c r="B5048" t="str">
        <f>"1551601762686914"</f>
        <v>1551601762686914</v>
      </c>
      <c r="C5048" t="s">
        <v>40</v>
      </c>
      <c r="D5048">
        <v>5.718426</v>
      </c>
      <c r="E5048">
        <v>0.47387400000000002</v>
      </c>
      <c r="F5048" t="s">
        <v>60</v>
      </c>
      <c r="G5048">
        <v>-388.69979999999998</v>
      </c>
      <c r="H5048" s="1">
        <v>-8.9353669999999898E-7</v>
      </c>
      <c r="I5048">
        <v>20.66292</v>
      </c>
      <c r="J5048">
        <v>-405.48419999999999</v>
      </c>
      <c r="K5048">
        <v>1.135138</v>
      </c>
      <c r="L5048">
        <v>20.704470000000001</v>
      </c>
      <c r="M5048">
        <v>0.99888520000000003</v>
      </c>
      <c r="N5048">
        <v>-1.465644E-2</v>
      </c>
      <c r="O5048">
        <v>-4.4877199999999999E-2</v>
      </c>
      <c r="P5048">
        <v>0.99024160000000006</v>
      </c>
      <c r="Q5048">
        <v>0.1208603</v>
      </c>
      <c r="R5048">
        <v>-6.9388229999999995E-2</v>
      </c>
      <c r="S5048">
        <v>3.0555729999999999</v>
      </c>
      <c r="T5048">
        <v>-0.20333850000000001</v>
      </c>
      <c r="U5048">
        <v>-8.3007810000000001E-3</v>
      </c>
      <c r="V5048">
        <v>2.0079969999999999E-2</v>
      </c>
      <c r="W5048">
        <v>0.13618529999999901</v>
      </c>
      <c r="X5048">
        <v>0.99047989999999997</v>
      </c>
      <c r="Y5048">
        <v>-4.1994330000000003E-2</v>
      </c>
      <c r="Z5048">
        <v>4.0288709999999998E-3</v>
      </c>
      <c r="AA5048">
        <v>0.99910969999999999</v>
      </c>
      <c r="AB5048">
        <v>31</v>
      </c>
      <c r="AC5048">
        <v>16.784400000000002</v>
      </c>
      <c r="AD5048">
        <v>-1.1351388935366999</v>
      </c>
      <c r="AE5048">
        <v>-4.1550000000000802E-2</v>
      </c>
      <c r="AF5048">
        <v>-0.70856860375645103</v>
      </c>
      <c r="AG5048">
        <v>-1.1351388935366999</v>
      </c>
      <c r="AH5048">
        <v>16.6929995300634</v>
      </c>
      <c r="AI5048">
        <v>93.886686291740105</v>
      </c>
      <c r="AJ5048">
        <v>92.430577814192304</v>
      </c>
      <c r="AK5048">
        <v>16.746547198886901</v>
      </c>
      <c r="AL5048">
        <v>82.172834666467494</v>
      </c>
      <c r="AM5048">
        <v>88.838603431531695</v>
      </c>
      <c r="AN5048">
        <v>1.00000003671764</v>
      </c>
    </row>
    <row r="5049" spans="1:40" x14ac:dyDescent="0.25">
      <c r="A5049" t="str">
        <f>"20190303162922705"</f>
        <v>20190303162922705</v>
      </c>
      <c r="B5049" t="str">
        <f>"1551601762696674"</f>
        <v>1551601762696674</v>
      </c>
      <c r="C5049" t="s">
        <v>40</v>
      </c>
      <c r="D5049">
        <v>5.6585570000000001</v>
      </c>
      <c r="E5049">
        <v>0.47381380000000001</v>
      </c>
      <c r="F5049" t="s">
        <v>60</v>
      </c>
      <c r="G5049">
        <v>-388.9622</v>
      </c>
      <c r="H5049" s="1">
        <v>-7.7890629999999995E-7</v>
      </c>
      <c r="I5049">
        <v>20.698360000000001</v>
      </c>
      <c r="J5049">
        <v>-405.31200000000001</v>
      </c>
      <c r="K5049">
        <v>1.134666</v>
      </c>
      <c r="L5049">
        <v>20.702940000000002</v>
      </c>
      <c r="M5049">
        <v>0.99922979999999995</v>
      </c>
      <c r="N5049">
        <v>-1.4543489999999999E-2</v>
      </c>
      <c r="O5049">
        <v>-3.6444850000000001E-2</v>
      </c>
      <c r="P5049">
        <v>0.99049960000000004</v>
      </c>
      <c r="Q5049">
        <v>0.1204641</v>
      </c>
      <c r="R5049">
        <v>-6.6326940000000001E-2</v>
      </c>
      <c r="S5049">
        <v>3.0550839999999999</v>
      </c>
      <c r="T5049">
        <v>-0.20989859999999999</v>
      </c>
      <c r="U5049">
        <v>-1.12915E-3</v>
      </c>
      <c r="V5049">
        <v>2.555729E-2</v>
      </c>
      <c r="W5049">
        <v>0.13583439999999999</v>
      </c>
      <c r="X5049">
        <v>0.99040189999999995</v>
      </c>
      <c r="Y5049">
        <v>-3.5923339999999998E-2</v>
      </c>
      <c r="Z5049">
        <v>3.4651130000000001E-3</v>
      </c>
      <c r="AA5049">
        <v>0.99934849999999997</v>
      </c>
      <c r="AB5049">
        <v>31</v>
      </c>
      <c r="AC5049">
        <v>16.349799999999899</v>
      </c>
      <c r="AD5049">
        <v>-1.1346667789063001</v>
      </c>
      <c r="AE5049">
        <v>-4.5799999999971402E-3</v>
      </c>
      <c r="AF5049">
        <v>-0.588517632512642</v>
      </c>
      <c r="AG5049">
        <v>-1.1346667789063001</v>
      </c>
      <c r="AH5049">
        <v>16.260786398587499</v>
      </c>
      <c r="AI5049">
        <v>93.988987655030698</v>
      </c>
      <c r="AJ5049">
        <v>92.072769682372197</v>
      </c>
      <c r="AK5049">
        <v>16.3109471215936</v>
      </c>
      <c r="AL5049">
        <v>82.193128370926999</v>
      </c>
      <c r="AM5049">
        <v>88.521812253148397</v>
      </c>
      <c r="AN5049">
        <v>1.00000004140955</v>
      </c>
    </row>
    <row r="5050" spans="1:40" x14ac:dyDescent="0.25">
      <c r="A5050" t="str">
        <f>"20190303162922725"</f>
        <v>20190303162922725</v>
      </c>
      <c r="B5050" t="str">
        <f>"1551601762717171"</f>
        <v>1551601762717171</v>
      </c>
      <c r="C5050" t="s">
        <v>40</v>
      </c>
      <c r="D5050">
        <v>5.0600649999999998</v>
      </c>
      <c r="E5050">
        <v>0.47375390000000001</v>
      </c>
      <c r="F5050" t="s">
        <v>60</v>
      </c>
      <c r="G5050">
        <v>-388.85160000000002</v>
      </c>
      <c r="H5050" s="1">
        <v>-8.4336410000000005E-7</v>
      </c>
      <c r="I5050">
        <v>20.744050000000001</v>
      </c>
      <c r="J5050">
        <v>-405.02370000000002</v>
      </c>
      <c r="K5050">
        <v>1.1337200000000001</v>
      </c>
      <c r="L5050">
        <v>20.703189999999999</v>
      </c>
      <c r="M5050">
        <v>0.99961979999999995</v>
      </c>
      <c r="N5050">
        <v>-1.4332340000000001E-2</v>
      </c>
      <c r="O5050">
        <v>-2.3559380000000001E-2</v>
      </c>
      <c r="P5050">
        <v>0.99055729999999997</v>
      </c>
      <c r="Q5050">
        <v>0.12191299999999999</v>
      </c>
      <c r="R5050">
        <v>-6.2720709999999999E-2</v>
      </c>
      <c r="S5050">
        <v>3.0549010000000001</v>
      </c>
      <c r="T5050">
        <v>-0.21058389999999999</v>
      </c>
      <c r="U5050">
        <v>7.6293949999999998E-3</v>
      </c>
      <c r="V5050">
        <v>3.5015850000000001E-2</v>
      </c>
      <c r="W5050">
        <v>0.1372978</v>
      </c>
      <c r="X5050">
        <v>0.98991070000000003</v>
      </c>
      <c r="Y5050">
        <v>-2.594898E-2</v>
      </c>
      <c r="Z5050">
        <v>2.3641539999999998E-3</v>
      </c>
      <c r="AA5050">
        <v>0.99966049999999995</v>
      </c>
      <c r="AB5050">
        <v>31</v>
      </c>
      <c r="AC5050">
        <v>16.1721</v>
      </c>
      <c r="AD5050">
        <v>-1.1337208433641</v>
      </c>
      <c r="AE5050">
        <v>4.0860000000002103E-2</v>
      </c>
      <c r="AF5050">
        <v>-0.41982916735723302</v>
      </c>
      <c r="AG5050">
        <v>-1.1337208433641</v>
      </c>
      <c r="AH5050">
        <v>16.087585653105499</v>
      </c>
      <c r="AI5050">
        <v>94.029704005972405</v>
      </c>
      <c r="AJ5050">
        <v>91.494878199338402</v>
      </c>
      <c r="AK5050">
        <v>16.132947394275099</v>
      </c>
      <c r="AL5050">
        <v>82.108488360429803</v>
      </c>
      <c r="AM5050">
        <v>87.974136168065002</v>
      </c>
      <c r="AN5050">
        <v>0.99999999480527602</v>
      </c>
    </row>
    <row r="5051" spans="1:40" x14ac:dyDescent="0.25">
      <c r="A5051" t="str">
        <f>"20190303162922736"</f>
        <v>20190303162922736</v>
      </c>
      <c r="B5051" t="str">
        <f>"1551601762726931"</f>
        <v>1551601762726931</v>
      </c>
      <c r="C5051" t="s">
        <v>40</v>
      </c>
      <c r="D5051">
        <v>5.7164390000000003</v>
      </c>
      <c r="E5051">
        <v>0.47387639999999998</v>
      </c>
      <c r="F5051" t="s">
        <v>60</v>
      </c>
      <c r="G5051">
        <v>-388.36079999999998</v>
      </c>
      <c r="H5051" s="1">
        <v>-1.087125E-6</v>
      </c>
      <c r="I5051">
        <v>20.788239999999998</v>
      </c>
      <c r="J5051">
        <v>-404.86110000000002</v>
      </c>
      <c r="K5051">
        <v>1.1331100000000001</v>
      </c>
      <c r="L5051">
        <v>20.704560000000001</v>
      </c>
      <c r="M5051">
        <v>0.99975499999999995</v>
      </c>
      <c r="N5051">
        <v>-1.42083E-2</v>
      </c>
      <c r="O5051">
        <v>-1.6973129999999999E-2</v>
      </c>
      <c r="P5051">
        <v>0.99052419999999997</v>
      </c>
      <c r="Q5051">
        <v>0.1239157</v>
      </c>
      <c r="R5051">
        <v>-5.9217770000000003E-2</v>
      </c>
      <c r="S5051">
        <v>3.0552060000000001</v>
      </c>
      <c r="T5051">
        <v>-0.207872</v>
      </c>
      <c r="U5051">
        <v>1.5594480000000001E-2</v>
      </c>
      <c r="V5051">
        <v>3.8197050000000003E-2</v>
      </c>
      <c r="W5051">
        <v>0.13920940000000001</v>
      </c>
      <c r="X5051">
        <v>0.98952600000000002</v>
      </c>
      <c r="Y5051">
        <v>-2.1992009999999999E-2</v>
      </c>
      <c r="Z5051">
        <v>1.8162479999999999E-3</v>
      </c>
      <c r="AA5051">
        <v>0.99975650000000005</v>
      </c>
      <c r="AB5051">
        <v>32</v>
      </c>
      <c r="AC5051">
        <v>16.500299999999999</v>
      </c>
      <c r="AD5051">
        <v>-1.1331110871250001</v>
      </c>
      <c r="AE5051">
        <v>8.3679999999997506E-2</v>
      </c>
      <c r="AF5051">
        <v>-0.36205061234206698</v>
      </c>
      <c r="AG5051">
        <v>-1.1331110871250001</v>
      </c>
      <c r="AH5051">
        <v>16.419073998788399</v>
      </c>
      <c r="AI5051">
        <v>93.946873374582296</v>
      </c>
      <c r="AJ5051">
        <v>91.263202232317497</v>
      </c>
      <c r="AK5051">
        <v>16.4621083813512</v>
      </c>
      <c r="AL5051">
        <v>81.997899678362103</v>
      </c>
      <c r="AM5051">
        <v>87.789402493290396</v>
      </c>
      <c r="AN5051">
        <v>0.99999998817653102</v>
      </c>
    </row>
    <row r="5052" spans="1:40" x14ac:dyDescent="0.25">
      <c r="A5052" t="str">
        <f>"20190303162922750"</f>
        <v>20190303162922750</v>
      </c>
      <c r="B5052" t="str">
        <f>"1551601762736691"</f>
        <v>1551601762736691</v>
      </c>
      <c r="C5052" t="s">
        <v>40</v>
      </c>
      <c r="D5052">
        <v>5.7182719999999998</v>
      </c>
      <c r="E5052">
        <v>0.47416950000000002</v>
      </c>
      <c r="F5052" t="s">
        <v>60</v>
      </c>
      <c r="G5052">
        <v>-387.49650000000003</v>
      </c>
      <c r="H5052" s="1">
        <v>-1.507624E-6</v>
      </c>
      <c r="I5052">
        <v>20.833089999999999</v>
      </c>
      <c r="J5052">
        <v>-404.69060000000002</v>
      </c>
      <c r="K5052">
        <v>1.132433</v>
      </c>
      <c r="L5052">
        <v>20.706600000000002</v>
      </c>
      <c r="M5052">
        <v>0.9998454</v>
      </c>
      <c r="N5052">
        <v>-1.4081379999999999E-2</v>
      </c>
      <c r="O5052">
        <v>-1.053598E-2</v>
      </c>
      <c r="P5052">
        <v>0.99049469999999995</v>
      </c>
      <c r="Q5052">
        <v>0.12604849999999901</v>
      </c>
      <c r="R5052">
        <v>-5.5065070000000001E-2</v>
      </c>
      <c r="S5052">
        <v>3.0550229999999998</v>
      </c>
      <c r="T5052">
        <v>-0.19935269999999999</v>
      </c>
      <c r="U5052">
        <v>2.261353E-2</v>
      </c>
      <c r="V5052">
        <v>4.0602609999999997E-2</v>
      </c>
      <c r="W5052">
        <v>0.1412098</v>
      </c>
      <c r="X5052">
        <v>0.98914669999999905</v>
      </c>
      <c r="Y5052">
        <v>-1.787818E-2</v>
      </c>
      <c r="Z5052">
        <v>1.24726E-3</v>
      </c>
      <c r="AA5052">
        <v>0.99983940000000004</v>
      </c>
      <c r="AB5052">
        <v>32</v>
      </c>
      <c r="AC5052">
        <v>17.194099999999899</v>
      </c>
      <c r="AD5052">
        <v>-1.1324345076240001</v>
      </c>
      <c r="AE5052">
        <v>0.12648999999999599</v>
      </c>
      <c r="AF5052">
        <v>-0.30632890920507999</v>
      </c>
      <c r="AG5052">
        <v>-1.1324345076240001</v>
      </c>
      <c r="AH5052">
        <v>17.1175644532128</v>
      </c>
      <c r="AI5052">
        <v>93.784356480333898</v>
      </c>
      <c r="AJ5052">
        <v>91.025232323718996</v>
      </c>
      <c r="AK5052">
        <v>17.157717159475698</v>
      </c>
      <c r="AL5052">
        <v>81.882141692827105</v>
      </c>
      <c r="AM5052">
        <v>87.649435708508094</v>
      </c>
      <c r="AN5052">
        <v>0.99999998683786995</v>
      </c>
    </row>
    <row r="5053" spans="1:40" x14ac:dyDescent="0.25">
      <c r="A5053" t="str">
        <f>"20190303162922769"</f>
        <v>20190303162922769</v>
      </c>
      <c r="B5053" t="str">
        <f>"1551601762757188"</f>
        <v>1551601762757188</v>
      </c>
      <c r="C5053" t="s">
        <v>40</v>
      </c>
      <c r="D5053">
        <v>5.71875</v>
      </c>
      <c r="E5053">
        <v>0.47451280000000001</v>
      </c>
      <c r="F5053" t="s">
        <v>60</v>
      </c>
      <c r="G5053">
        <v>-386.71499999999997</v>
      </c>
      <c r="H5053" s="1">
        <v>-1.8902370000000001E-6</v>
      </c>
      <c r="I5053">
        <v>20.882760000000001</v>
      </c>
      <c r="J5053">
        <v>-404.41860000000003</v>
      </c>
      <c r="K5053">
        <v>1.1312660000000001</v>
      </c>
      <c r="L5053">
        <v>20.711120000000001</v>
      </c>
      <c r="M5053">
        <v>0.99990270000000003</v>
      </c>
      <c r="N5053">
        <v>-1.3886600000000001E-2</v>
      </c>
      <c r="O5053">
        <v>-1.385264E-3</v>
      </c>
      <c r="P5053">
        <v>0.99043429999999999</v>
      </c>
      <c r="Q5053">
        <v>0.12881860000000001</v>
      </c>
      <c r="R5053">
        <v>-4.9457069999999999E-2</v>
      </c>
      <c r="S5053">
        <v>3.054932</v>
      </c>
      <c r="T5053">
        <v>-0.19245670000000001</v>
      </c>
      <c r="U5053">
        <v>2.9937740000000001E-2</v>
      </c>
      <c r="V5053">
        <v>4.4398449999999999E-2</v>
      </c>
      <c r="W5053">
        <v>0.1437514</v>
      </c>
      <c r="X5053">
        <v>0.98861739999999998</v>
      </c>
      <c r="Y5053">
        <v>-1.1155989999999999E-2</v>
      </c>
      <c r="Z5053">
        <v>4.9656790000000004E-4</v>
      </c>
      <c r="AA5053">
        <v>0.99993770000000004</v>
      </c>
      <c r="AB5053">
        <v>32</v>
      </c>
      <c r="AC5053">
        <v>17.703600000000002</v>
      </c>
      <c r="AD5053">
        <v>-1.1312678902369999</v>
      </c>
      <c r="AE5053">
        <v>0.17163999999999999</v>
      </c>
      <c r="AF5053">
        <v>-0.195368690445718</v>
      </c>
      <c r="AG5053">
        <v>-1.1312678902369999</v>
      </c>
      <c r="AH5053">
        <v>17.631358449114199</v>
      </c>
      <c r="AI5053">
        <v>93.670969901209304</v>
      </c>
      <c r="AJ5053">
        <v>90.634854276332007</v>
      </c>
      <c r="AK5053">
        <v>17.6686936904186</v>
      </c>
      <c r="AL5053">
        <v>81.735017997887994</v>
      </c>
      <c r="AM5053">
        <v>87.428595063177099</v>
      </c>
      <c r="AN5053">
        <v>1.0000000254735599</v>
      </c>
    </row>
    <row r="5054" spans="1:40" x14ac:dyDescent="0.25">
      <c r="A5054" t="str">
        <f>"20190303162922804"</f>
        <v>20190303162922804</v>
      </c>
      <c r="B5054" t="str">
        <f>"1551601762797204"</f>
        <v>1551601762797204</v>
      </c>
      <c r="C5054" t="s">
        <v>40</v>
      </c>
      <c r="D5054">
        <v>5.758883</v>
      </c>
      <c r="E5054">
        <v>0.47639239999999999</v>
      </c>
      <c r="F5054" t="s">
        <v>60</v>
      </c>
      <c r="G5054">
        <v>-385.58980000000003</v>
      </c>
      <c r="H5054" s="1">
        <v>-2.440791E-6</v>
      </c>
      <c r="I5054">
        <v>20.952829999999999</v>
      </c>
      <c r="J5054">
        <v>-403.94110000000001</v>
      </c>
      <c r="K5054">
        <v>1.129111</v>
      </c>
      <c r="L5054">
        <v>20.721800000000002</v>
      </c>
      <c r="M5054">
        <v>0.99984430000000002</v>
      </c>
      <c r="N5054">
        <v>-1.3580170000000001E-2</v>
      </c>
      <c r="O5054">
        <v>1.1279849999999999E-2</v>
      </c>
      <c r="P5054">
        <v>0.99106740000000004</v>
      </c>
      <c r="Q5054">
        <v>0.12708</v>
      </c>
      <c r="R5054">
        <v>-4.0449020000000002E-2</v>
      </c>
      <c r="S5054">
        <v>3.05484</v>
      </c>
      <c r="T5054">
        <v>-0.18354010000000001</v>
      </c>
      <c r="U5054">
        <v>3.9215090000000001E-2</v>
      </c>
      <c r="V5054">
        <v>4.8736229999999998E-2</v>
      </c>
      <c r="W5054">
        <v>0.14154829999999999</v>
      </c>
      <c r="X5054">
        <v>0.98873089999999997</v>
      </c>
      <c r="Y5054">
        <v>-1.5639199999999999E-3</v>
      </c>
      <c r="Z5054">
        <v>-4.6640149999999998E-4</v>
      </c>
      <c r="AA5054">
        <v>0.99999870000000002</v>
      </c>
      <c r="AB5054">
        <v>32</v>
      </c>
      <c r="AC5054">
        <v>18.351299999999899</v>
      </c>
      <c r="AD5054">
        <v>-1.129113440791</v>
      </c>
      <c r="AE5054">
        <v>0.23102999999999599</v>
      </c>
      <c r="AF5054">
        <v>-2.3905841753905699E-2</v>
      </c>
      <c r="AG5054">
        <v>-1.129113440791</v>
      </c>
      <c r="AH5054">
        <v>18.283534250914101</v>
      </c>
      <c r="AI5054">
        <v>93.533853161304606</v>
      </c>
      <c r="AJ5054">
        <v>90.074914567329998</v>
      </c>
      <c r="AK5054">
        <v>18.318381297368902</v>
      </c>
      <c r="AL5054">
        <v>81.862550123251097</v>
      </c>
      <c r="AM5054">
        <v>87.178077415410002</v>
      </c>
      <c r="AN5054">
        <v>0.99999996698115501</v>
      </c>
    </row>
    <row r="5055" spans="1:40" x14ac:dyDescent="0.25">
      <c r="A5055" t="str">
        <f>"20190303162922827"</f>
        <v>20190303162922827</v>
      </c>
      <c r="B5055" t="str">
        <f>"1551601762817699"</f>
        <v>1551601762817699</v>
      </c>
      <c r="C5055" t="s">
        <v>40</v>
      </c>
      <c r="D5055">
        <v>5.763547</v>
      </c>
      <c r="E5055">
        <v>0.47697859999999997</v>
      </c>
      <c r="F5055" t="s">
        <v>60</v>
      </c>
      <c r="G5055">
        <v>-386.08150000000001</v>
      </c>
      <c r="H5055" s="1">
        <v>-2.2223950000000002E-6</v>
      </c>
      <c r="I5055">
        <v>21.005579999999998</v>
      </c>
      <c r="J5055">
        <v>-403.61750000000001</v>
      </c>
      <c r="K5055">
        <v>1.1276729999999999</v>
      </c>
      <c r="L5055">
        <v>20.730350000000001</v>
      </c>
      <c r="M5055">
        <v>0.99976529999999997</v>
      </c>
      <c r="N5055">
        <v>-1.339857E-2</v>
      </c>
      <c r="O5055">
        <v>1.7030880000000002E-2</v>
      </c>
      <c r="P5055">
        <v>0.99177409999999999</v>
      </c>
      <c r="Q5055">
        <v>0.12152540000000001</v>
      </c>
      <c r="R5055">
        <v>-4.0201969999999997E-2</v>
      </c>
      <c r="S5055">
        <v>3.0537719999999999</v>
      </c>
      <c r="T5055">
        <v>-0.19306429999999999</v>
      </c>
      <c r="U5055">
        <v>4.8522950000000002E-2</v>
      </c>
      <c r="V5055">
        <v>5.4796949999999997E-2</v>
      </c>
      <c r="W5055">
        <v>0.13573940000000001</v>
      </c>
      <c r="X5055">
        <v>0.989228</v>
      </c>
      <c r="Y5055">
        <v>1.1212399999999999E-3</v>
      </c>
      <c r="Z5055">
        <v>-8.9040780000000002E-4</v>
      </c>
      <c r="AA5055">
        <v>0.99999899999999997</v>
      </c>
      <c r="AB5055">
        <v>32</v>
      </c>
      <c r="AC5055">
        <v>17.535999999999898</v>
      </c>
      <c r="AD5055">
        <v>-1.127675222395</v>
      </c>
      <c r="AE5055">
        <v>0.27522999999999698</v>
      </c>
      <c r="AF5055">
        <v>2.3393498776429399E-2</v>
      </c>
      <c r="AG5055">
        <v>-1.127675222395</v>
      </c>
      <c r="AH5055">
        <v>17.465934932958501</v>
      </c>
      <c r="AI5055">
        <v>93.694129134309406</v>
      </c>
      <c r="AJ5055">
        <v>89.923259307241196</v>
      </c>
      <c r="AK5055">
        <v>17.502316467980101</v>
      </c>
      <c r="AL5055">
        <v>82.198621740821196</v>
      </c>
      <c r="AM5055">
        <v>86.829417901934093</v>
      </c>
      <c r="AN5055">
        <v>0.99999996321283002</v>
      </c>
    </row>
    <row r="5056" spans="1:40" x14ac:dyDescent="0.25">
      <c r="A5056" t="str">
        <f>"20190303162922847"</f>
        <v>20190303162922847</v>
      </c>
      <c r="B5056" t="str">
        <f>"1551601762837219"</f>
        <v>1551601762837219</v>
      </c>
      <c r="C5056" t="s">
        <v>40</v>
      </c>
      <c r="D5056">
        <v>5.752491</v>
      </c>
      <c r="E5056">
        <v>0.47786450000000003</v>
      </c>
      <c r="F5056" t="s">
        <v>60</v>
      </c>
      <c r="G5056">
        <v>-386.93349999999998</v>
      </c>
      <c r="H5056" s="1">
        <v>-1.816044E-6</v>
      </c>
      <c r="I5056">
        <v>20.992090000000001</v>
      </c>
      <c r="J5056">
        <v>-403.32549999999998</v>
      </c>
      <c r="K5056">
        <v>1.1263810000000001</v>
      </c>
      <c r="L5056">
        <v>20.738309999999998</v>
      </c>
      <c r="M5056">
        <v>0.99970230000000004</v>
      </c>
      <c r="N5056">
        <v>-1.3252470000000001E-2</v>
      </c>
      <c r="O5056">
        <v>2.0487289999999998E-2</v>
      </c>
      <c r="P5056">
        <v>0.99207869999999998</v>
      </c>
      <c r="Q5056">
        <v>0.1172512</v>
      </c>
      <c r="R5056">
        <v>-4.507767E-2</v>
      </c>
      <c r="S5056">
        <v>3.0521240000000001</v>
      </c>
      <c r="T5056">
        <v>-0.2062939</v>
      </c>
      <c r="U5056">
        <v>4.788208E-2</v>
      </c>
      <c r="V5056">
        <v>6.3593979999999994E-2</v>
      </c>
      <c r="W5056">
        <v>0.131261299999999</v>
      </c>
      <c r="X5056">
        <v>0.98930600000000002</v>
      </c>
      <c r="Y5056">
        <v>4.7604960000000003E-3</v>
      </c>
      <c r="Z5056">
        <v>-1.303951E-3</v>
      </c>
      <c r="AA5056">
        <v>0.99998779999999998</v>
      </c>
      <c r="AB5056">
        <v>32</v>
      </c>
      <c r="AC5056">
        <v>16.3919999999999</v>
      </c>
      <c r="AD5056">
        <v>-1.1263828160439999</v>
      </c>
      <c r="AE5056">
        <v>0.25377999999999901</v>
      </c>
      <c r="AF5056">
        <v>8.1744529310544198E-2</v>
      </c>
      <c r="AG5056">
        <v>-1.1263828160439999</v>
      </c>
      <c r="AH5056">
        <v>16.3167326721431</v>
      </c>
      <c r="AI5056">
        <v>93.948949371998495</v>
      </c>
      <c r="AJ5056">
        <v>89.712958627301902</v>
      </c>
      <c r="AK5056">
        <v>16.355769181256299</v>
      </c>
      <c r="AL5056">
        <v>82.457516231384602</v>
      </c>
      <c r="AM5056">
        <v>86.322007145887397</v>
      </c>
      <c r="AN5056">
        <v>1.00000004240296</v>
      </c>
    </row>
    <row r="5057" spans="1:40" x14ac:dyDescent="0.25">
      <c r="A5057" t="str">
        <f>"20190303162922864"</f>
        <v>20190303162922864</v>
      </c>
      <c r="B5057" t="str">
        <f>"1551601762856739"</f>
        <v>1551601762856739</v>
      </c>
      <c r="C5057" t="s">
        <v>40</v>
      </c>
      <c r="D5057">
        <v>5.6879609999999996</v>
      </c>
      <c r="E5057">
        <v>0.47882580000000002</v>
      </c>
      <c r="F5057" t="s">
        <v>60</v>
      </c>
      <c r="G5057">
        <v>-387.53859999999997</v>
      </c>
      <c r="H5057" s="1">
        <v>-1.5000409999999999E-6</v>
      </c>
      <c r="I5057">
        <v>20.879480000000001</v>
      </c>
      <c r="J5057">
        <v>-403.09379999999999</v>
      </c>
      <c r="K5057">
        <v>1.1253770000000001</v>
      </c>
      <c r="L5057">
        <v>20.74457</v>
      </c>
      <c r="M5057">
        <v>0.99966790000000005</v>
      </c>
      <c r="N5057">
        <v>-1.3148419999999999E-2</v>
      </c>
      <c r="O5057">
        <v>2.2165810000000001E-2</v>
      </c>
      <c r="P5057">
        <v>0.99221899999999996</v>
      </c>
      <c r="Q5057">
        <v>0.1150183</v>
      </c>
      <c r="R5057">
        <v>-4.767014E-2</v>
      </c>
      <c r="S5057">
        <v>3.0509339999999998</v>
      </c>
      <c r="T5057">
        <v>-0.2176825</v>
      </c>
      <c r="U5057">
        <v>2.7282710000000002E-2</v>
      </c>
      <c r="V5057">
        <v>6.8207180000000006E-2</v>
      </c>
      <c r="W5057">
        <v>0.1288137</v>
      </c>
      <c r="X5057">
        <v>0.98932039999999999</v>
      </c>
      <c r="Y5057">
        <v>1.3149889999999999E-2</v>
      </c>
      <c r="Z5057">
        <v>-1.843267E-3</v>
      </c>
      <c r="AA5057">
        <v>0.99991180000000002</v>
      </c>
      <c r="AB5057">
        <v>32</v>
      </c>
      <c r="AC5057">
        <v>15.555199999999999</v>
      </c>
      <c r="AD5057">
        <v>-1.1253785000409999</v>
      </c>
      <c r="AE5057">
        <v>0.134909999999997</v>
      </c>
      <c r="AF5057">
        <v>0.20885346020481399</v>
      </c>
      <c r="AG5057">
        <v>-1.1253785000409999</v>
      </c>
      <c r="AH5057">
        <v>15.4733843054963</v>
      </c>
      <c r="AI5057">
        <v>94.159417460554707</v>
      </c>
      <c r="AJ5057">
        <v>89.226691785805301</v>
      </c>
      <c r="AK5057">
        <v>15.515660424286599</v>
      </c>
      <c r="AL5057">
        <v>82.598954195820994</v>
      </c>
      <c r="AM5057">
        <v>86.056071082992702</v>
      </c>
      <c r="AN5057">
        <v>1.0000000212836999</v>
      </c>
    </row>
    <row r="5058" spans="1:40" x14ac:dyDescent="0.25">
      <c r="A5058" t="str">
        <f>"20190303162922881"</f>
        <v>20190303162922881</v>
      </c>
      <c r="B5058" t="str">
        <f>"1551601762867477"</f>
        <v>1551601762867477</v>
      </c>
      <c r="C5058" t="s">
        <v>40</v>
      </c>
      <c r="D5058">
        <v>5.8730849999999997</v>
      </c>
      <c r="E5058">
        <v>0.47940159999999998</v>
      </c>
      <c r="F5058" t="s">
        <v>44</v>
      </c>
      <c r="G5058">
        <v>-402.08510000000001</v>
      </c>
      <c r="H5058">
        <v>1.05121</v>
      </c>
      <c r="I5058">
        <v>20.748000000000001</v>
      </c>
      <c r="J5058">
        <v>-402.85320000000002</v>
      </c>
      <c r="K5058">
        <v>1.124342</v>
      </c>
      <c r="L5058">
        <v>20.750699999999998</v>
      </c>
      <c r="M5058">
        <v>0.99965630000000005</v>
      </c>
      <c r="N5058">
        <v>-1.3058230000000001E-2</v>
      </c>
      <c r="O5058">
        <v>2.27301E-2</v>
      </c>
      <c r="P5058">
        <v>0.99234259999999996</v>
      </c>
      <c r="Q5058">
        <v>0.11093649999999999</v>
      </c>
      <c r="R5058">
        <v>-5.4307540000000001E-2</v>
      </c>
      <c r="S5058">
        <v>3.0500180000000001</v>
      </c>
      <c r="T5058">
        <v>-0.2240955</v>
      </c>
      <c r="U5058">
        <v>1.107788E-2</v>
      </c>
      <c r="V5058">
        <v>7.5774739999999993E-2</v>
      </c>
      <c r="W5058">
        <v>0.124527399999999</v>
      </c>
      <c r="X5058">
        <v>0.98931849999999999</v>
      </c>
      <c r="Y5058">
        <v>1.899903E-2</v>
      </c>
      <c r="Z5058">
        <v>-2.1924319999999998E-3</v>
      </c>
      <c r="AA5058">
        <v>0.99981710000000001</v>
      </c>
      <c r="AB5058">
        <v>32</v>
      </c>
      <c r="AC5058">
        <v>0.768100000000004</v>
      </c>
      <c r="AD5058">
        <v>-7.3131999999999905E-2</v>
      </c>
      <c r="AE5058">
        <v>-2.6999999999972601E-3</v>
      </c>
      <c r="AF5058">
        <v>1.99786725186296E-2</v>
      </c>
      <c r="AG5058">
        <v>-7.3131999999999905E-2</v>
      </c>
      <c r="AH5058">
        <v>0.76094210311461796</v>
      </c>
      <c r="AI5058">
        <v>95.487795703163002</v>
      </c>
      <c r="AJ5058">
        <v>88.496034463025396</v>
      </c>
      <c r="AK5058">
        <v>0.76470930494672595</v>
      </c>
      <c r="AL5058">
        <v>82.846535369187805</v>
      </c>
      <c r="AM5058">
        <v>85.620103479015</v>
      </c>
      <c r="AN5058">
        <v>0.99999998950753799</v>
      </c>
    </row>
    <row r="5059" spans="1:40" x14ac:dyDescent="0.25">
      <c r="A5059" t="str">
        <f>"20190303162922903"</f>
        <v>20190303162922903</v>
      </c>
      <c r="B5059" t="str">
        <f>"1551601762896755"</f>
        <v>1551601762896755</v>
      </c>
      <c r="C5059" t="s">
        <v>40</v>
      </c>
      <c r="D5059">
        <v>5.7645710000000001</v>
      </c>
      <c r="E5059">
        <v>0.48065330000000001</v>
      </c>
      <c r="F5059" t="s">
        <v>60</v>
      </c>
      <c r="G5059">
        <v>-388.29180000000002</v>
      </c>
      <c r="H5059" s="1">
        <v>-1.0934439999999999E-6</v>
      </c>
      <c r="I5059">
        <v>20.689489999999999</v>
      </c>
      <c r="J5059">
        <v>-402.5401</v>
      </c>
      <c r="K5059">
        <v>1.1230639999999901</v>
      </c>
      <c r="L5059">
        <v>20.757930000000002</v>
      </c>
      <c r="M5059">
        <v>0.99966889999999997</v>
      </c>
      <c r="N5059">
        <v>-1.296277E-2</v>
      </c>
      <c r="O5059">
        <v>2.2229499999999999E-2</v>
      </c>
      <c r="P5059">
        <v>0.99181710000000001</v>
      </c>
      <c r="Q5059">
        <v>0.1132977</v>
      </c>
      <c r="R5059">
        <v>-5.8843649999999997E-2</v>
      </c>
      <c r="S5059">
        <v>3.048737</v>
      </c>
      <c r="T5059">
        <v>-0.23540530000000001</v>
      </c>
      <c r="U5059">
        <v>-1.281738E-2</v>
      </c>
      <c r="V5059">
        <v>8.0197950000000004E-2</v>
      </c>
      <c r="W5059">
        <v>0.1265588</v>
      </c>
      <c r="X5059">
        <v>0.98871189999999998</v>
      </c>
      <c r="Y5059">
        <v>2.6297000000000001E-2</v>
      </c>
      <c r="Z5059">
        <v>-2.6104420000000001E-3</v>
      </c>
      <c r="AA5059">
        <v>0.99965079999999995</v>
      </c>
      <c r="AB5059">
        <v>32</v>
      </c>
      <c r="AC5059">
        <v>14.248299999999899</v>
      </c>
      <c r="AD5059">
        <v>-1.1230650934440001</v>
      </c>
      <c r="AE5059">
        <v>-6.8439999999998904E-2</v>
      </c>
      <c r="AF5059">
        <v>0.382804059040873</v>
      </c>
      <c r="AG5059">
        <v>-1.1230650934440001</v>
      </c>
      <c r="AH5059">
        <v>14.1553156714827</v>
      </c>
      <c r="AI5059">
        <v>94.534622621955705</v>
      </c>
      <c r="AJ5059">
        <v>88.450920273138294</v>
      </c>
      <c r="AK5059">
        <v>14.204956033407999</v>
      </c>
      <c r="AL5059">
        <v>82.729216796915097</v>
      </c>
      <c r="AM5059">
        <v>85.3626873676847</v>
      </c>
      <c r="AN5059">
        <v>1.0000000311216199</v>
      </c>
    </row>
    <row r="5060" spans="1:40" x14ac:dyDescent="0.25">
      <c r="A5060" t="str">
        <f>"20190303162922927"</f>
        <v>20190303162922927</v>
      </c>
      <c r="B5060" t="str">
        <f>"1551601762917251"</f>
        <v>1551601762917251</v>
      </c>
      <c r="C5060" t="s">
        <v>40</v>
      </c>
      <c r="D5060">
        <v>5.4706679999999999</v>
      </c>
      <c r="E5060">
        <v>0.48145969999999999</v>
      </c>
      <c r="F5060" t="s">
        <v>60</v>
      </c>
      <c r="G5060">
        <v>-387.31229999999999</v>
      </c>
      <c r="H5060" s="1">
        <v>-1.5290319999999999E-6</v>
      </c>
      <c r="I5060">
        <v>20.58644</v>
      </c>
      <c r="J5060">
        <v>-402.21129999999999</v>
      </c>
      <c r="K5060">
        <v>1.121821</v>
      </c>
      <c r="L5060">
        <v>20.764099999999999</v>
      </c>
      <c r="M5060">
        <v>0.99971290000000002</v>
      </c>
      <c r="N5060">
        <v>-1.2881800000000001E-2</v>
      </c>
      <c r="O5060">
        <v>2.020512E-2</v>
      </c>
      <c r="P5060">
        <v>0.99071580000000004</v>
      </c>
      <c r="Q5060">
        <v>0.1193336</v>
      </c>
      <c r="R5060">
        <v>-6.5131770000000005E-2</v>
      </c>
      <c r="S5060">
        <v>3.0484309999999999</v>
      </c>
      <c r="T5060">
        <v>-0.2248261</v>
      </c>
      <c r="U5060">
        <v>-3.433228E-2</v>
      </c>
      <c r="V5060">
        <v>8.4848270000000003E-2</v>
      </c>
      <c r="W5060">
        <v>0.1322525</v>
      </c>
      <c r="X5060">
        <v>0.98757790000000001</v>
      </c>
      <c r="Y5060">
        <v>3.1327430000000003E-2</v>
      </c>
      <c r="Z5060">
        <v>-2.5837899999999999E-3</v>
      </c>
      <c r="AA5060">
        <v>0.9995058</v>
      </c>
      <c r="AB5060">
        <v>32</v>
      </c>
      <c r="AC5060">
        <v>14.898999999999999</v>
      </c>
      <c r="AD5060">
        <v>-1.1218225290320001</v>
      </c>
      <c r="AE5060">
        <v>-0.17765999999999901</v>
      </c>
      <c r="AF5060">
        <v>0.47598662211611698</v>
      </c>
      <c r="AG5060">
        <v>-1.1218225290320001</v>
      </c>
      <c r="AH5060">
        <v>14.808425642480801</v>
      </c>
      <c r="AI5060">
        <v>94.329978943206797</v>
      </c>
      <c r="AJ5060">
        <v>88.158977948290399</v>
      </c>
      <c r="AK5060">
        <v>14.8584830672569</v>
      </c>
      <c r="AL5060">
        <v>82.400225104727795</v>
      </c>
      <c r="AM5060">
        <v>85.089461890538601</v>
      </c>
      <c r="AN5060">
        <v>1.0000000306233201</v>
      </c>
    </row>
    <row r="5061" spans="1:40" x14ac:dyDescent="0.25">
      <c r="A5061" t="str">
        <f>"20190303162922938"</f>
        <v>20190303162922938</v>
      </c>
      <c r="B5061" t="str">
        <f>"1551601762927011"</f>
        <v>1551601762927011</v>
      </c>
      <c r="C5061" t="s">
        <v>40</v>
      </c>
      <c r="D5061">
        <v>5.8328470000000001</v>
      </c>
      <c r="E5061">
        <v>0.48186380000000001</v>
      </c>
      <c r="F5061" t="s">
        <v>60</v>
      </c>
      <c r="G5061">
        <v>-385.53</v>
      </c>
      <c r="H5061" s="1">
        <v>-2.3330899999999999E-6</v>
      </c>
      <c r="I5061">
        <v>20.441859999999998</v>
      </c>
      <c r="J5061">
        <v>-402.03120000000001</v>
      </c>
      <c r="K5061">
        <v>1.1211899999999999</v>
      </c>
      <c r="L5061">
        <v>20.766749999999998</v>
      </c>
      <c r="M5061">
        <v>0.99974390000000002</v>
      </c>
      <c r="N5061">
        <v>-1.284135E-2</v>
      </c>
      <c r="O5061">
        <v>1.8633759999999999E-2</v>
      </c>
      <c r="P5061">
        <v>0.99006269999999996</v>
      </c>
      <c r="Q5061">
        <v>0.1228544</v>
      </c>
      <c r="R5061">
        <v>-6.8428439999999993E-2</v>
      </c>
      <c r="S5061">
        <v>3.0489809999999999</v>
      </c>
      <c r="T5061">
        <v>-0.20504530000000001</v>
      </c>
      <c r="U5061">
        <v>-5.8898930000000002E-2</v>
      </c>
      <c r="V5061">
        <v>8.6788000000000004E-2</v>
      </c>
      <c r="W5061">
        <v>0.13558970000000001</v>
      </c>
      <c r="X5061">
        <v>0.98695659999999996</v>
      </c>
      <c r="Y5061">
        <v>3.7813180000000002E-2</v>
      </c>
      <c r="Z5061">
        <v>-2.5256190000000002E-3</v>
      </c>
      <c r="AA5061">
        <v>0.99928159999999999</v>
      </c>
      <c r="AB5061">
        <v>32</v>
      </c>
      <c r="AC5061">
        <v>16.501200000000001</v>
      </c>
      <c r="AD5061">
        <v>-1.12119233309</v>
      </c>
      <c r="AE5061">
        <v>-0.32488999999999602</v>
      </c>
      <c r="AF5061">
        <v>0.62943357671363998</v>
      </c>
      <c r="AG5061">
        <v>-1.12119233309</v>
      </c>
      <c r="AH5061">
        <v>16.4165197616841</v>
      </c>
      <c r="AI5061">
        <v>93.904179480389701</v>
      </c>
      <c r="AJ5061">
        <v>87.804270856824402</v>
      </c>
      <c r="AK5061">
        <v>16.466796287105801</v>
      </c>
      <c r="AL5061">
        <v>82.207279456852305</v>
      </c>
      <c r="AM5061">
        <v>84.974623694859801</v>
      </c>
      <c r="AN5061">
        <v>1.0000000269868199</v>
      </c>
    </row>
    <row r="5062" spans="1:40" x14ac:dyDescent="0.25">
      <c r="A5062" t="str">
        <f>"20190303162922958"</f>
        <v>20190303162922958</v>
      </c>
      <c r="B5062" t="str">
        <f>"1551601762946531"</f>
        <v>1551601762946531</v>
      </c>
      <c r="C5062" t="s">
        <v>40</v>
      </c>
      <c r="D5062">
        <v>5.8841029999999996</v>
      </c>
      <c r="E5062">
        <v>0.48262270000000002</v>
      </c>
      <c r="F5062" t="s">
        <v>60</v>
      </c>
      <c r="G5062">
        <v>-384.25369999999998</v>
      </c>
      <c r="H5062" s="1">
        <v>-2.9106020000000002E-6</v>
      </c>
      <c r="I5062">
        <v>20.344860000000001</v>
      </c>
      <c r="J5062">
        <v>-401.76499999999999</v>
      </c>
      <c r="K5062">
        <v>1.1203369999999999</v>
      </c>
      <c r="L5062">
        <v>20.76971</v>
      </c>
      <c r="M5062">
        <v>0.99979280000000004</v>
      </c>
      <c r="N5062">
        <v>-1.2780659999999999E-2</v>
      </c>
      <c r="O5062">
        <v>1.5850550000000001E-2</v>
      </c>
      <c r="P5062">
        <v>0.98934080000000002</v>
      </c>
      <c r="Q5062">
        <v>0.12524879999999999</v>
      </c>
      <c r="R5062">
        <v>-7.4283370000000001E-2</v>
      </c>
      <c r="S5062">
        <v>3.0489199999999999</v>
      </c>
      <c r="T5062">
        <v>-0.1922895</v>
      </c>
      <c r="U5062">
        <v>-7.2357179999999993E-2</v>
      </c>
      <c r="V5062">
        <v>9.0167800000000006E-2</v>
      </c>
      <c r="W5062">
        <v>0.1377285</v>
      </c>
      <c r="X5062">
        <v>0.98635729999999999</v>
      </c>
      <c r="Y5062">
        <v>3.9455509999999999E-2</v>
      </c>
      <c r="Z5062">
        <v>-2.291413E-3</v>
      </c>
      <c r="AA5062">
        <v>0.99921870000000002</v>
      </c>
      <c r="AB5062">
        <v>32</v>
      </c>
      <c r="AC5062">
        <v>17.511299999999999</v>
      </c>
      <c r="AD5062">
        <v>-1.120339910602</v>
      </c>
      <c r="AE5062">
        <v>-0.42484999999999901</v>
      </c>
      <c r="AF5062">
        <v>0.69952139921991396</v>
      </c>
      <c r="AG5062">
        <v>-1.120339910602</v>
      </c>
      <c r="AH5062">
        <v>17.431058264287199</v>
      </c>
      <c r="AI5062">
        <v>93.674542396823298</v>
      </c>
      <c r="AJ5062">
        <v>87.701910678969597</v>
      </c>
      <c r="AK5062">
        <v>17.481026397675599</v>
      </c>
      <c r="AL5062">
        <v>82.083574803969398</v>
      </c>
      <c r="AM5062">
        <v>84.776826573102696</v>
      </c>
      <c r="AN5062">
        <v>1.0000000475661801</v>
      </c>
    </row>
    <row r="5063" spans="1:40" x14ac:dyDescent="0.25">
      <c r="A5063" t="str">
        <f>"20190303162922969"</f>
        <v>20190303162922969</v>
      </c>
      <c r="B5063" t="str">
        <f>"1551601762957268"</f>
        <v>1551601762957268</v>
      </c>
      <c r="C5063" t="s">
        <v>40</v>
      </c>
      <c r="D5063">
        <v>5.8778119999999996</v>
      </c>
      <c r="E5063">
        <v>0.48301359999999899</v>
      </c>
      <c r="F5063" t="s">
        <v>60</v>
      </c>
      <c r="G5063">
        <v>-382.995</v>
      </c>
      <c r="H5063" s="1">
        <v>-3.460641E-6</v>
      </c>
      <c r="I5063">
        <v>20.175879999999999</v>
      </c>
      <c r="J5063">
        <v>-401.59460000000001</v>
      </c>
      <c r="K5063">
        <v>1.119858</v>
      </c>
      <c r="L5063">
        <v>20.770969999999998</v>
      </c>
      <c r="M5063">
        <v>0.99982329999999997</v>
      </c>
      <c r="N5063">
        <v>-1.2740619999999999E-2</v>
      </c>
      <c r="O5063">
        <v>1.3826669999999999E-2</v>
      </c>
      <c r="P5063">
        <v>0.98911819999999895</v>
      </c>
      <c r="Q5063">
        <v>0.1251128</v>
      </c>
      <c r="R5063">
        <v>-7.7407870000000004E-2</v>
      </c>
      <c r="S5063">
        <v>3.0481569999999998</v>
      </c>
      <c r="T5063">
        <v>-0.1819375</v>
      </c>
      <c r="U5063">
        <v>-9.6435549999999995E-2</v>
      </c>
      <c r="V5063">
        <v>9.1451340000000006E-2</v>
      </c>
      <c r="W5063">
        <v>0.1374418</v>
      </c>
      <c r="X5063">
        <v>0.98627909999999996</v>
      </c>
      <c r="Y5063">
        <v>4.5326310000000002E-2</v>
      </c>
      <c r="Z5063">
        <v>-2.2886830000000001E-3</v>
      </c>
      <c r="AA5063">
        <v>0.99896960000000001</v>
      </c>
      <c r="AB5063">
        <v>32</v>
      </c>
      <c r="AC5063">
        <v>18.599599999999999</v>
      </c>
      <c r="AD5063">
        <v>-1.119861460641</v>
      </c>
      <c r="AE5063">
        <v>-0.59509000000000201</v>
      </c>
      <c r="AF5063">
        <v>0.84914938028073506</v>
      </c>
      <c r="AG5063">
        <v>-1.119861460641</v>
      </c>
      <c r="AH5063">
        <v>18.522515418363302</v>
      </c>
      <c r="AI5063">
        <v>93.456239636144801</v>
      </c>
      <c r="AJ5063">
        <v>87.375160271992002</v>
      </c>
      <c r="AK5063">
        <v>18.575756291052201</v>
      </c>
      <c r="AL5063">
        <v>82.100159078640701</v>
      </c>
      <c r="AM5063">
        <v>84.702477023306201</v>
      </c>
      <c r="AN5063">
        <v>1.0000000295359199</v>
      </c>
    </row>
    <row r="5064" spans="1:40" x14ac:dyDescent="0.25">
      <c r="A5064" t="str">
        <f>"20190303162922982"</f>
        <v>20190303162922982</v>
      </c>
      <c r="B5064" t="str">
        <f>"1551601762976787"</f>
        <v>1551601762976787</v>
      </c>
      <c r="C5064" t="s">
        <v>40</v>
      </c>
      <c r="D5064">
        <v>5.8119649999999998</v>
      </c>
      <c r="E5064">
        <v>0.48372140000000002</v>
      </c>
      <c r="F5064" t="s">
        <v>60</v>
      </c>
      <c r="G5064">
        <v>-382.77330000000001</v>
      </c>
      <c r="H5064" s="1">
        <v>-3.5436549999999999E-6</v>
      </c>
      <c r="I5064">
        <v>20.09413</v>
      </c>
      <c r="J5064">
        <v>-401.41550000000001</v>
      </c>
      <c r="K5064">
        <v>1.119394</v>
      </c>
      <c r="L5064">
        <v>20.771879999999999</v>
      </c>
      <c r="M5064">
        <v>0.99985259999999998</v>
      </c>
      <c r="N5064">
        <v>-1.269701E-2</v>
      </c>
      <c r="O5064">
        <v>1.156663E-2</v>
      </c>
      <c r="P5064">
        <v>0.98901779999999995</v>
      </c>
      <c r="Q5064">
        <v>0.1240462</v>
      </c>
      <c r="R5064">
        <v>-8.0353460000000002E-2</v>
      </c>
      <c r="S5064">
        <v>3.0473940000000002</v>
      </c>
      <c r="T5064">
        <v>-0.18131910000000001</v>
      </c>
      <c r="U5064">
        <v>-0.10958859999999999</v>
      </c>
      <c r="V5064">
        <v>9.2315350000000004E-2</v>
      </c>
      <c r="W5064">
        <v>0.1362255</v>
      </c>
      <c r="X5064">
        <v>0.98636729999999995</v>
      </c>
      <c r="Y5064">
        <v>4.7381640000000003E-2</v>
      </c>
      <c r="Z5064">
        <v>-2.2498259999999999E-3</v>
      </c>
      <c r="AA5064">
        <v>0.99887429999999999</v>
      </c>
      <c r="AB5064">
        <v>32</v>
      </c>
      <c r="AC5064">
        <v>18.642199999999999</v>
      </c>
      <c r="AD5064">
        <v>-1.1193975436550001</v>
      </c>
      <c r="AE5064">
        <v>-0.67774999999999896</v>
      </c>
      <c r="AF5064">
        <v>0.89014419909597098</v>
      </c>
      <c r="AG5064">
        <v>-1.1193975436550001</v>
      </c>
      <c r="AH5064">
        <v>18.5662591493296</v>
      </c>
      <c r="AI5064">
        <v>93.446353274941401</v>
      </c>
      <c r="AJ5064">
        <v>87.255102331368604</v>
      </c>
      <c r="AK5064">
        <v>18.6212616746554</v>
      </c>
      <c r="AL5064">
        <v>82.170509266945601</v>
      </c>
      <c r="AM5064">
        <v>84.653191466304193</v>
      </c>
      <c r="AN5064">
        <v>0.999999980602581</v>
      </c>
    </row>
    <row r="5065" spans="1:40" x14ac:dyDescent="0.25">
      <c r="A5065" t="str">
        <f>"20190303162922994"</f>
        <v>20190303162922994</v>
      </c>
      <c r="B5065" t="str">
        <f>"1551601762986547"</f>
        <v>1551601762986547</v>
      </c>
      <c r="C5065" t="s">
        <v>40</v>
      </c>
      <c r="D5065">
        <v>5.8689159999999996</v>
      </c>
      <c r="E5065">
        <v>0.48408790000000002</v>
      </c>
      <c r="F5065" t="s">
        <v>60</v>
      </c>
      <c r="G5065">
        <v>-382.82339999999999</v>
      </c>
      <c r="H5065" s="1">
        <v>-3.4973750000000001E-6</v>
      </c>
      <c r="I5065">
        <v>20.009139999999999</v>
      </c>
      <c r="J5065">
        <v>-401.24740000000003</v>
      </c>
      <c r="K5065">
        <v>1.11903</v>
      </c>
      <c r="L5065">
        <v>20.771940000000001</v>
      </c>
      <c r="M5065">
        <v>0.99987720000000002</v>
      </c>
      <c r="N5065">
        <v>-1.265762E-2</v>
      </c>
      <c r="O5065">
        <v>9.2518470000000005E-3</v>
      </c>
      <c r="P5065">
        <v>0.98888869999999895</v>
      </c>
      <c r="Q5065">
        <v>0.12314319999999999</v>
      </c>
      <c r="R5065">
        <v>-8.327975E-2</v>
      </c>
      <c r="S5065">
        <v>3.046173</v>
      </c>
      <c r="T5065">
        <v>-0.1834046</v>
      </c>
      <c r="U5065">
        <v>-0.1249695</v>
      </c>
      <c r="V5065">
        <v>9.3068579999999998E-2</v>
      </c>
      <c r="W5065">
        <v>0.13519990000000001</v>
      </c>
      <c r="X5065">
        <v>0.98643769999999997</v>
      </c>
      <c r="Y5065">
        <v>5.011351E-2</v>
      </c>
      <c r="Z5065">
        <v>-2.2636230000000002E-3</v>
      </c>
      <c r="AA5065">
        <v>0.99874099999999999</v>
      </c>
      <c r="AB5065">
        <v>32</v>
      </c>
      <c r="AC5065">
        <v>18.423999999999999</v>
      </c>
      <c r="AD5065">
        <v>-1.119033497375</v>
      </c>
      <c r="AE5065">
        <v>-0.76280000000000203</v>
      </c>
      <c r="AF5065">
        <v>0.92981272803461801</v>
      </c>
      <c r="AG5065">
        <v>-1.119033497375</v>
      </c>
      <c r="AH5065">
        <v>18.348579881253102</v>
      </c>
      <c r="AI5065">
        <v>93.485540605687206</v>
      </c>
      <c r="AJ5065">
        <v>87.099022723656901</v>
      </c>
      <c r="AK5065">
        <v>18.406172098950702</v>
      </c>
      <c r="AL5065">
        <v>82.229821136315394</v>
      </c>
      <c r="AM5065">
        <v>84.610203513101098</v>
      </c>
      <c r="AN5065">
        <v>1.0000000547622501</v>
      </c>
    </row>
    <row r="5066" spans="1:40" x14ac:dyDescent="0.25">
      <c r="A5066" t="str">
        <f>"20190303162923015"</f>
        <v>20190303162923015</v>
      </c>
      <c r="B5066" t="str">
        <f>"1551601763007044"</f>
        <v>1551601763007044</v>
      </c>
      <c r="C5066" t="s">
        <v>40</v>
      </c>
      <c r="D5066">
        <v>5.7466589999999904</v>
      </c>
      <c r="E5066">
        <v>0.48471120000000001</v>
      </c>
      <c r="F5066" t="s">
        <v>60</v>
      </c>
      <c r="G5066">
        <v>-382.87790000000001</v>
      </c>
      <c r="H5066" s="1">
        <v>-3.4541979999999998E-6</v>
      </c>
      <c r="I5066">
        <v>19.943739999999998</v>
      </c>
      <c r="J5066">
        <v>-400.94670000000002</v>
      </c>
      <c r="K5066">
        <v>1.118465</v>
      </c>
      <c r="L5066">
        <v>20.771059999999999</v>
      </c>
      <c r="M5066">
        <v>0.99990860000000004</v>
      </c>
      <c r="N5066">
        <v>-1.2589110000000001E-2</v>
      </c>
      <c r="O5066">
        <v>4.9474039999999999E-3</v>
      </c>
      <c r="P5066">
        <v>0.98853250000000004</v>
      </c>
      <c r="Q5066">
        <v>0.1222642</v>
      </c>
      <c r="R5066">
        <v>-8.8629360000000004E-2</v>
      </c>
      <c r="S5066">
        <v>3.045258</v>
      </c>
      <c r="T5066">
        <v>-0.1855117</v>
      </c>
      <c r="U5066">
        <v>-0.13729859999999999</v>
      </c>
      <c r="V5066">
        <v>9.4342400000000007E-2</v>
      </c>
      <c r="W5066">
        <v>0.1341183</v>
      </c>
      <c r="X5066">
        <v>0.98646429999999996</v>
      </c>
      <c r="Y5066">
        <v>4.9865350000000003E-2</v>
      </c>
      <c r="Z5066">
        <v>-2.0698380000000001E-3</v>
      </c>
      <c r="AA5066">
        <v>0.99875380000000002</v>
      </c>
      <c r="AB5066">
        <v>32</v>
      </c>
      <c r="AC5066">
        <v>18.0688</v>
      </c>
      <c r="AD5066">
        <v>-1.1184684541979999</v>
      </c>
      <c r="AE5066">
        <v>-0.82732000000000305</v>
      </c>
      <c r="AF5066">
        <v>0.91321876513663702</v>
      </c>
      <c r="AG5066">
        <v>-1.1184684541979999</v>
      </c>
      <c r="AH5066">
        <v>17.995676064147901</v>
      </c>
      <c r="AI5066">
        <v>93.551917579382803</v>
      </c>
      <c r="AJ5066">
        <v>87.094927954124699</v>
      </c>
      <c r="AK5066">
        <v>18.053512046185901</v>
      </c>
      <c r="AL5066">
        <v>82.292361533844399</v>
      </c>
      <c r="AM5066">
        <v>84.537023671539401</v>
      </c>
      <c r="AN5066">
        <v>1.0000000110035601</v>
      </c>
    </row>
    <row r="5067" spans="1:40" x14ac:dyDescent="0.25">
      <c r="A5067" t="str">
        <f>"20190303162923027"</f>
        <v>20190303162923027</v>
      </c>
      <c r="B5067" t="str">
        <f>"1551601763016803"</f>
        <v>1551601763016803</v>
      </c>
      <c r="C5067" t="s">
        <v>40</v>
      </c>
      <c r="D5067">
        <v>5.8070250000000003</v>
      </c>
      <c r="E5067">
        <v>0.48502679999999998</v>
      </c>
      <c r="F5067" t="s">
        <v>60</v>
      </c>
      <c r="G5067">
        <v>-382.82979999999998</v>
      </c>
      <c r="H5067" s="1">
        <v>-3.4446949999999999E-6</v>
      </c>
      <c r="I5067">
        <v>19.822510000000001</v>
      </c>
      <c r="J5067">
        <v>-400.77800000000002</v>
      </c>
      <c r="K5067">
        <v>1.118204</v>
      </c>
      <c r="L5067">
        <v>20.7699</v>
      </c>
      <c r="M5067">
        <v>0.99991819999999998</v>
      </c>
      <c r="N5067">
        <v>-1.2553099999999999E-2</v>
      </c>
      <c r="O5067">
        <v>2.4412230000000002E-3</v>
      </c>
      <c r="P5067">
        <v>0.98824920000000005</v>
      </c>
      <c r="Q5067">
        <v>0.12217989999999999</v>
      </c>
      <c r="R5067">
        <v>-9.1846869999999997E-2</v>
      </c>
      <c r="S5067">
        <v>3.043793</v>
      </c>
      <c r="T5067">
        <v>-0.18791189999999999</v>
      </c>
      <c r="U5067">
        <v>-0.1593628</v>
      </c>
      <c r="V5067">
        <v>9.5168050000000004E-2</v>
      </c>
      <c r="W5067">
        <v>0.1339321</v>
      </c>
      <c r="X5067">
        <v>0.98641029999999996</v>
      </c>
      <c r="Y5067">
        <v>5.4595190000000002E-2</v>
      </c>
      <c r="Z5067">
        <v>-2.1456700000000001E-3</v>
      </c>
      <c r="AA5067">
        <v>0.99850620000000001</v>
      </c>
      <c r="AB5067">
        <v>32</v>
      </c>
      <c r="AC5067">
        <v>17.9482</v>
      </c>
      <c r="AD5067">
        <v>-1.1182074446950001</v>
      </c>
      <c r="AE5067">
        <v>-0.94738999999999796</v>
      </c>
      <c r="AF5067">
        <v>0.98738427590975397</v>
      </c>
      <c r="AG5067">
        <v>-1.1182074446950001</v>
      </c>
      <c r="AH5067">
        <v>17.8766376253656</v>
      </c>
      <c r="AI5067">
        <v>93.573830810449707</v>
      </c>
      <c r="AJ5067">
        <v>86.838581794468197</v>
      </c>
      <c r="AK5067">
        <v>17.938770537200199</v>
      </c>
      <c r="AL5067">
        <v>82.303127225367305</v>
      </c>
      <c r="AM5067">
        <v>84.489206916891504</v>
      </c>
      <c r="AN5067">
        <v>1.0000000225486501</v>
      </c>
    </row>
    <row r="5068" spans="1:40" x14ac:dyDescent="0.25">
      <c r="A5068" t="str">
        <f>"20190303162923042"</f>
        <v>20190303162923042</v>
      </c>
      <c r="B5068" t="str">
        <f>"1551601763037299"</f>
        <v>1551601763037299</v>
      </c>
      <c r="C5068" t="s">
        <v>40</v>
      </c>
      <c r="D5068">
        <v>5.8643939999999999</v>
      </c>
      <c r="E5068">
        <v>0.48577939999999997</v>
      </c>
      <c r="F5068" t="s">
        <v>60</v>
      </c>
      <c r="G5068">
        <v>-382.65890000000002</v>
      </c>
      <c r="H5068" s="1">
        <v>-3.504229E-6</v>
      </c>
      <c r="I5068">
        <v>19.742619999999999</v>
      </c>
      <c r="J5068">
        <v>-400.56569999999999</v>
      </c>
      <c r="K5068">
        <v>1.1179220000000001</v>
      </c>
      <c r="L5068">
        <v>20.767790000000002</v>
      </c>
      <c r="M5068">
        <v>0.99992159999999997</v>
      </c>
      <c r="N5068">
        <v>-1.2510759999999999E-2</v>
      </c>
      <c r="O5068">
        <v>-7.8489130000000001E-4</v>
      </c>
      <c r="P5068">
        <v>0.98783169999999998</v>
      </c>
      <c r="Q5068">
        <v>0.1225226</v>
      </c>
      <c r="R5068">
        <v>-9.5796000000000006E-2</v>
      </c>
      <c r="S5068">
        <v>3.0428470000000001</v>
      </c>
      <c r="T5068">
        <v>-0.18778690000000001</v>
      </c>
      <c r="U5068">
        <v>-0.1725159</v>
      </c>
      <c r="V5068">
        <v>9.6023949999999997E-2</v>
      </c>
      <c r="W5068">
        <v>0.1341599</v>
      </c>
      <c r="X5068">
        <v>0.98629639999999996</v>
      </c>
      <c r="Y5068">
        <v>5.5694760000000003E-2</v>
      </c>
      <c r="Z5068">
        <v>-2.0261060000000002E-3</v>
      </c>
      <c r="AA5068">
        <v>0.99844580000000005</v>
      </c>
      <c r="AB5068">
        <v>32</v>
      </c>
      <c r="AC5068">
        <v>17.906799999999901</v>
      </c>
      <c r="AD5068">
        <v>-1.1179255042289999</v>
      </c>
      <c r="AE5068">
        <v>-1.0251699999999899</v>
      </c>
      <c r="AF5068">
        <v>1.0072009210057999</v>
      </c>
      <c r="AG5068">
        <v>-1.1179255042289999</v>
      </c>
      <c r="AH5068">
        <v>17.8383009645251</v>
      </c>
      <c r="AI5068">
        <v>93.580346287477397</v>
      </c>
      <c r="AJ5068">
        <v>86.768349557705093</v>
      </c>
      <c r="AK5068">
        <v>17.901653343455699</v>
      </c>
      <c r="AL5068">
        <v>82.289956464256704</v>
      </c>
      <c r="AM5068">
        <v>84.439316371173504</v>
      </c>
      <c r="AN5068">
        <v>1.00000003319728</v>
      </c>
    </row>
    <row r="5069" spans="1:40" x14ac:dyDescent="0.25">
      <c r="A5069" t="str">
        <f>"20190303162923058"</f>
        <v>20190303162923058</v>
      </c>
      <c r="B5069" t="str">
        <f>"1551601763047060"</f>
        <v>1551601763047060</v>
      </c>
      <c r="C5069" t="s">
        <v>40</v>
      </c>
      <c r="D5069">
        <v>5.8058860000000001</v>
      </c>
      <c r="E5069">
        <v>0.48609629999999998</v>
      </c>
      <c r="F5069" t="s">
        <v>60</v>
      </c>
      <c r="G5069">
        <v>-382.32380000000001</v>
      </c>
      <c r="H5069" s="1">
        <v>-3.629703E-6</v>
      </c>
      <c r="I5069">
        <v>19.6189</v>
      </c>
      <c r="J5069">
        <v>-400.34339999999997</v>
      </c>
      <c r="K5069">
        <v>1.1176809999999999</v>
      </c>
      <c r="L5069">
        <v>20.764500000000002</v>
      </c>
      <c r="M5069">
        <v>0.9999133</v>
      </c>
      <c r="N5069">
        <v>-1.2471680000000001E-2</v>
      </c>
      <c r="O5069">
        <v>-4.2376180000000003E-3</v>
      </c>
      <c r="P5069">
        <v>0.98735209999999995</v>
      </c>
      <c r="Q5069">
        <v>0.123114</v>
      </c>
      <c r="R5069">
        <v>-9.9895429999999993E-2</v>
      </c>
      <c r="S5069">
        <v>3.041534</v>
      </c>
      <c r="T5069">
        <v>-0.18639610000000001</v>
      </c>
      <c r="U5069">
        <v>-0.1915588</v>
      </c>
      <c r="V5069">
        <v>9.6794560000000002E-2</v>
      </c>
      <c r="W5069">
        <v>0.1346504</v>
      </c>
      <c r="X5069">
        <v>0.98615419999999998</v>
      </c>
      <c r="Y5069">
        <v>5.8499669999999997E-2</v>
      </c>
      <c r="Z5069">
        <v>-1.948242E-3</v>
      </c>
      <c r="AA5069">
        <v>0.99828550000000005</v>
      </c>
      <c r="AB5069">
        <v>32</v>
      </c>
      <c r="AC5069">
        <v>18.019599999999901</v>
      </c>
      <c r="AD5069">
        <v>-1.1176846297030001</v>
      </c>
      <c r="AE5069">
        <v>-1.1456</v>
      </c>
      <c r="AF5069">
        <v>1.0651422435960201</v>
      </c>
      <c r="AG5069">
        <v>-1.1176846297030001</v>
      </c>
      <c r="AH5069">
        <v>17.955492326949201</v>
      </c>
      <c r="AI5069">
        <v>93.555688961132503</v>
      </c>
      <c r="AJ5069">
        <v>86.605121232264906</v>
      </c>
      <c r="AK5069">
        <v>18.021749405473901</v>
      </c>
      <c r="AL5069">
        <v>82.2615953832846</v>
      </c>
      <c r="AM5069">
        <v>84.394170822011603</v>
      </c>
      <c r="AN5069">
        <v>1.0000000116216901</v>
      </c>
    </row>
    <row r="5070" spans="1:40" x14ac:dyDescent="0.25">
      <c r="A5070" t="str">
        <f>"20190303162923073"</f>
        <v>20190303162923073</v>
      </c>
      <c r="B5070" t="str">
        <f>"1551601763066579"</f>
        <v>1551601763066579</v>
      </c>
      <c r="C5070" t="s">
        <v>40</v>
      </c>
      <c r="D5070">
        <v>5.8620279999999996</v>
      </c>
      <c r="E5070">
        <v>0.48673250000000001</v>
      </c>
      <c r="F5070" t="s">
        <v>60</v>
      </c>
      <c r="G5070">
        <v>-381.97179999999997</v>
      </c>
      <c r="H5070" s="1">
        <v>-3.8148609999999997E-6</v>
      </c>
      <c r="I5070">
        <v>19.506699999999999</v>
      </c>
      <c r="J5070">
        <v>-400.13409999999999</v>
      </c>
      <c r="K5070">
        <v>1.11748799999999</v>
      </c>
      <c r="L5070">
        <v>20.76071</v>
      </c>
      <c r="M5070">
        <v>0.99989439999999996</v>
      </c>
      <c r="N5070">
        <v>-1.2438350000000001E-2</v>
      </c>
      <c r="O5070">
        <v>-7.5258449999999998E-3</v>
      </c>
      <c r="P5070">
        <v>0.98705670000000001</v>
      </c>
      <c r="Q5070">
        <v>0.1230029</v>
      </c>
      <c r="R5070">
        <v>-0.1029065</v>
      </c>
      <c r="S5070">
        <v>3.0404049999999998</v>
      </c>
      <c r="T5070">
        <v>-0.18497169999999999</v>
      </c>
      <c r="U5070">
        <v>-0.2081604</v>
      </c>
      <c r="V5070">
        <v>9.6619609999999995E-2</v>
      </c>
      <c r="W5070">
        <v>0.13446469999999999</v>
      </c>
      <c r="X5070">
        <v>0.98619670000000004</v>
      </c>
      <c r="Y5070">
        <v>6.0668189999999997E-2</v>
      </c>
      <c r="Z5070">
        <v>-1.8563609999999999E-3</v>
      </c>
      <c r="AA5070">
        <v>0.99815620000000005</v>
      </c>
      <c r="AB5070">
        <v>32</v>
      </c>
      <c r="AC5070">
        <v>18.162299999999998</v>
      </c>
      <c r="AD5070">
        <v>-1.11749181486099</v>
      </c>
      <c r="AE5070">
        <v>-1.2540100000000001</v>
      </c>
      <c r="AF5070">
        <v>1.1130834478034399</v>
      </c>
      <c r="AG5070">
        <v>-1.11749181486099</v>
      </c>
      <c r="AH5070">
        <v>18.103016225581801</v>
      </c>
      <c r="AI5070">
        <v>93.525721500874695</v>
      </c>
      <c r="AJ5070">
        <v>86.481536727823695</v>
      </c>
      <c r="AK5070">
        <v>18.171597045436901</v>
      </c>
      <c r="AL5070">
        <v>82.272332906708002</v>
      </c>
      <c r="AM5070">
        <v>84.404478254842502</v>
      </c>
      <c r="AN5070">
        <v>1.0000000178367601</v>
      </c>
    </row>
    <row r="5071" spans="1:40" x14ac:dyDescent="0.25">
      <c r="A5071" t="str">
        <f>"20190303162923092"</f>
        <v>20190303162923092</v>
      </c>
      <c r="B5071" t="str">
        <f>"1551601763077315"</f>
        <v>1551601763077315</v>
      </c>
      <c r="C5071" t="s">
        <v>40</v>
      </c>
      <c r="D5071">
        <v>5.8640759999999998</v>
      </c>
      <c r="E5071">
        <v>0.48704989999999998</v>
      </c>
      <c r="F5071" t="s">
        <v>60</v>
      </c>
      <c r="G5071">
        <v>-381.80689999999998</v>
      </c>
      <c r="H5071" s="1">
        <v>-3.9089949999999998E-6</v>
      </c>
      <c r="I5071">
        <v>19.415459999999999</v>
      </c>
      <c r="J5071">
        <v>-399.85160000000002</v>
      </c>
      <c r="K5071">
        <v>1.1172770000000001</v>
      </c>
      <c r="L5071">
        <v>20.754390000000001</v>
      </c>
      <c r="M5071">
        <v>0.99985089999999999</v>
      </c>
      <c r="N5071">
        <v>-1.2399240000000001E-2</v>
      </c>
      <c r="O5071">
        <v>-1.2019480000000001E-2</v>
      </c>
      <c r="P5071">
        <v>0.98655579999999998</v>
      </c>
      <c r="Q5071">
        <v>0.12346269999999999</v>
      </c>
      <c r="R5071">
        <v>-0.10707469999999999</v>
      </c>
      <c r="S5071">
        <v>3.039215</v>
      </c>
      <c r="T5071">
        <v>-0.18531449999999999</v>
      </c>
      <c r="U5071">
        <v>-0.22308349999999999</v>
      </c>
      <c r="V5071">
        <v>9.6427369999999998E-2</v>
      </c>
      <c r="W5071">
        <v>0.1348375</v>
      </c>
      <c r="X5071">
        <v>0.98616459999999995</v>
      </c>
      <c r="Y5071">
        <v>6.108947E-2</v>
      </c>
      <c r="Z5071">
        <v>-1.6555249999999999E-3</v>
      </c>
      <c r="AA5071">
        <v>0.99813090000000004</v>
      </c>
      <c r="AB5071">
        <v>32</v>
      </c>
      <c r="AC5071">
        <v>18.044699999999999</v>
      </c>
      <c r="AD5071">
        <v>-1.117280908995</v>
      </c>
      <c r="AE5071">
        <v>-1.33893</v>
      </c>
      <c r="AF5071">
        <v>1.1176672730716499</v>
      </c>
      <c r="AG5071">
        <v>-1.117280908995</v>
      </c>
      <c r="AH5071">
        <v>17.990895604153799</v>
      </c>
      <c r="AI5071">
        <v>93.546831313031504</v>
      </c>
      <c r="AJ5071">
        <v>86.445122739200002</v>
      </c>
      <c r="AK5071">
        <v>18.060172241771699</v>
      </c>
      <c r="AL5071">
        <v>82.250776619539806</v>
      </c>
      <c r="AM5071">
        <v>84.415360358997702</v>
      </c>
      <c r="AN5071">
        <v>1.0000000036922601</v>
      </c>
    </row>
    <row r="5072" spans="1:40" x14ac:dyDescent="0.25">
      <c r="A5072" t="str">
        <f>"20190303162923117"</f>
        <v>20190303162923117</v>
      </c>
      <c r="B5072" t="str">
        <f>"1551601763106595"</f>
        <v>1551601763106595</v>
      </c>
      <c r="C5072" t="s">
        <v>40</v>
      </c>
      <c r="D5072">
        <v>5.8068660000000003</v>
      </c>
      <c r="E5072">
        <v>0.48788239999999999</v>
      </c>
      <c r="F5072" t="s">
        <v>60</v>
      </c>
      <c r="G5072">
        <v>-381.39690000000002</v>
      </c>
      <c r="H5072" s="1">
        <v>-4.122847E-6</v>
      </c>
      <c r="I5072">
        <v>19.302479999999999</v>
      </c>
      <c r="J5072">
        <v>-399.51249999999999</v>
      </c>
      <c r="K5072">
        <v>1.11707</v>
      </c>
      <c r="L5072">
        <v>20.745059999999999</v>
      </c>
      <c r="M5072">
        <v>0.99977090000000002</v>
      </c>
      <c r="N5072">
        <v>-1.236101E-2</v>
      </c>
      <c r="O5072">
        <v>-1.7476390000000001E-2</v>
      </c>
      <c r="P5072">
        <v>0.98582360000000002</v>
      </c>
      <c r="Q5072">
        <v>0.1251582</v>
      </c>
      <c r="R5072">
        <v>-0.11174679999999999</v>
      </c>
      <c r="S5072">
        <v>3.0379939999999999</v>
      </c>
      <c r="T5072">
        <v>-0.18392600000000001</v>
      </c>
      <c r="U5072">
        <v>-0.2390137</v>
      </c>
      <c r="V5072">
        <v>9.5802789999999999E-2</v>
      </c>
      <c r="W5072">
        <v>0.13645079999999901</v>
      </c>
      <c r="X5072">
        <v>0.98600359999999998</v>
      </c>
      <c r="Y5072">
        <v>6.0883189999999997E-2</v>
      </c>
      <c r="Z5072">
        <v>-1.376122E-3</v>
      </c>
      <c r="AA5072">
        <v>0.99814400000000003</v>
      </c>
      <c r="AB5072">
        <v>32</v>
      </c>
      <c r="AC5072">
        <v>18.115599999999901</v>
      </c>
      <c r="AD5072">
        <v>-1.117074122847</v>
      </c>
      <c r="AE5072">
        <v>-1.44258</v>
      </c>
      <c r="AF5072">
        <v>1.12150264327597</v>
      </c>
      <c r="AG5072">
        <v>-1.117074122847</v>
      </c>
      <c r="AH5072">
        <v>18.069770252414699</v>
      </c>
      <c r="AI5072">
        <v>93.530749538584999</v>
      </c>
      <c r="AJ5072">
        <v>86.448485549774304</v>
      </c>
      <c r="AK5072">
        <v>18.1389696441077</v>
      </c>
      <c r="AL5072">
        <v>82.157479380604599</v>
      </c>
      <c r="AM5072">
        <v>84.450406387900202</v>
      </c>
      <c r="AN5072">
        <v>1.00000004730269</v>
      </c>
    </row>
    <row r="5073" spans="1:40" x14ac:dyDescent="0.25">
      <c r="A5073" t="str">
        <f>"20190303162923130"</f>
        <v>20190303162923130</v>
      </c>
      <c r="B5073" t="str">
        <f>"1551601763117331"</f>
        <v>1551601763117331</v>
      </c>
      <c r="C5073" t="s">
        <v>40</v>
      </c>
      <c r="D5073">
        <v>5.8059329999999996</v>
      </c>
      <c r="E5073">
        <v>0.4880795</v>
      </c>
      <c r="F5073" t="s">
        <v>60</v>
      </c>
      <c r="G5073">
        <v>-380.4717</v>
      </c>
      <c r="H5073" s="1">
        <v>-4.5947009999999996E-6</v>
      </c>
      <c r="I5073">
        <v>19.107970000000002</v>
      </c>
      <c r="J5073">
        <v>-399.32029999999997</v>
      </c>
      <c r="K5073">
        <v>1.116978</v>
      </c>
      <c r="L5073">
        <v>20.73883</v>
      </c>
      <c r="M5073">
        <v>0.99971180000000004</v>
      </c>
      <c r="N5073">
        <v>-1.2343120000000001E-2</v>
      </c>
      <c r="O5073">
        <v>-2.059385E-2</v>
      </c>
      <c r="P5073">
        <v>0.98541190000000001</v>
      </c>
      <c r="Q5073">
        <v>0.126365899999999</v>
      </c>
      <c r="R5073">
        <v>-0.113997</v>
      </c>
      <c r="S5073">
        <v>3.0361940000000001</v>
      </c>
      <c r="T5073">
        <v>-0.17812620000000001</v>
      </c>
      <c r="U5073">
        <v>-0.26104739999999999</v>
      </c>
      <c r="V5073">
        <v>9.5025159999999997E-2</v>
      </c>
      <c r="W5073">
        <v>0.13762550000000001</v>
      </c>
      <c r="X5073">
        <v>0.98591549999999994</v>
      </c>
      <c r="Y5073">
        <v>6.5012020000000004E-2</v>
      </c>
      <c r="Z5073">
        <v>-1.3533320000000001E-3</v>
      </c>
      <c r="AA5073">
        <v>0.99788359999999998</v>
      </c>
      <c r="AB5073">
        <v>32</v>
      </c>
      <c r="AC5073">
        <v>18.848599999999902</v>
      </c>
      <c r="AD5073">
        <v>-1.1169825947009999</v>
      </c>
      <c r="AE5073">
        <v>-1.63085999999999</v>
      </c>
      <c r="AF5073">
        <v>1.23800393155225</v>
      </c>
      <c r="AG5073">
        <v>-1.1169825947009999</v>
      </c>
      <c r="AH5073">
        <v>18.8126143563541</v>
      </c>
      <c r="AI5073">
        <v>93.390581413812697</v>
      </c>
      <c r="AJ5073">
        <v>86.234958552096501</v>
      </c>
      <c r="AK5073">
        <v>18.886364466786699</v>
      </c>
      <c r="AL5073">
        <v>82.089532360208594</v>
      </c>
      <c r="AM5073">
        <v>84.4946856674716</v>
      </c>
      <c r="AN5073">
        <v>0.99999996621176201</v>
      </c>
    </row>
    <row r="5074" spans="1:40" x14ac:dyDescent="0.25">
      <c r="A5074" t="str">
        <f>"20190303162923148"</f>
        <v>20190303162923148</v>
      </c>
      <c r="B5074" t="str">
        <f>"1551601763136852"</f>
        <v>1551601763136852</v>
      </c>
      <c r="C5074" t="s">
        <v>40</v>
      </c>
      <c r="D5074">
        <v>5.8079710000000002</v>
      </c>
      <c r="E5074">
        <v>0.48855169999999998</v>
      </c>
      <c r="F5074" t="s">
        <v>61</v>
      </c>
      <c r="G5074">
        <v>-379.88510000000002</v>
      </c>
      <c r="H5074" s="1">
        <v>-1.897526E-7</v>
      </c>
      <c r="I5074">
        <v>19.009620000000002</v>
      </c>
      <c r="J5074">
        <v>-399.06200000000001</v>
      </c>
      <c r="K5074">
        <v>1.1168739999999999</v>
      </c>
      <c r="L5074">
        <v>20.729520000000001</v>
      </c>
      <c r="M5074">
        <v>0.99961630000000001</v>
      </c>
      <c r="N5074">
        <v>-1.23226E-2</v>
      </c>
      <c r="O5074">
        <v>-2.4812509999999999E-2</v>
      </c>
      <c r="P5074">
        <v>0.98486879999999999</v>
      </c>
      <c r="Q5074">
        <v>0.1290251</v>
      </c>
      <c r="R5074">
        <v>-0.11569840000000001</v>
      </c>
      <c r="S5074">
        <v>3.0355219999999998</v>
      </c>
      <c r="T5074">
        <v>-0.17445739999999901</v>
      </c>
      <c r="U5074">
        <v>-0.270080599999999</v>
      </c>
      <c r="V5074">
        <v>9.2635980000000007E-2</v>
      </c>
      <c r="W5074">
        <v>0.14026050000000001</v>
      </c>
      <c r="X5074">
        <v>0.98577150000000002</v>
      </c>
      <c r="Y5074">
        <v>6.3777319999999998E-2</v>
      </c>
      <c r="Z5074">
        <v>-1.1052530000000001E-3</v>
      </c>
      <c r="AA5074">
        <v>0.9979635</v>
      </c>
      <c r="AB5074">
        <v>32</v>
      </c>
      <c r="AC5074">
        <v>19.1768999999999</v>
      </c>
      <c r="AD5074">
        <v>-1.1168741897526</v>
      </c>
      <c r="AE5074">
        <v>-1.71989999999999</v>
      </c>
      <c r="AF5074">
        <v>1.2393370603898499</v>
      </c>
      <c r="AG5074">
        <v>-1.1168741897526</v>
      </c>
      <c r="AH5074">
        <v>19.149237930431902</v>
      </c>
      <c r="AI5074">
        <v>93.331026204024596</v>
      </c>
      <c r="AJ5074">
        <v>86.296986460849297</v>
      </c>
      <c r="AK5074">
        <v>19.2217761307659</v>
      </c>
      <c r="AL5074">
        <v>81.937078989893095</v>
      </c>
      <c r="AM5074">
        <v>84.631505268813498</v>
      </c>
      <c r="AN5074">
        <v>0.99999994143152804</v>
      </c>
    </row>
    <row r="5075" spans="1:40" x14ac:dyDescent="0.25">
      <c r="A5075" t="str">
        <f>"20190303162923160"</f>
        <v>20190303162923160</v>
      </c>
      <c r="B5075" t="str">
        <f>"1551601763136852"</f>
        <v>1551601763136852</v>
      </c>
      <c r="C5075" t="s">
        <v>40</v>
      </c>
      <c r="D5075">
        <v>5.8079710000000002</v>
      </c>
      <c r="E5075">
        <v>0.48855169999999998</v>
      </c>
      <c r="F5075" t="s">
        <v>61</v>
      </c>
      <c r="G5075">
        <v>-378.64170000000001</v>
      </c>
      <c r="H5075" s="1">
        <v>-7.5821910000000004E-7</v>
      </c>
      <c r="I5075">
        <v>18.851590000000002</v>
      </c>
      <c r="J5075">
        <v>-398.88720000000001</v>
      </c>
      <c r="K5075">
        <v>1.1168129999999901</v>
      </c>
      <c r="L5075">
        <v>20.7226</v>
      </c>
      <c r="M5075">
        <v>0.99954100000000001</v>
      </c>
      <c r="N5075">
        <v>-1.23106E-2</v>
      </c>
      <c r="O5075">
        <v>-2.7683559999999999E-2</v>
      </c>
      <c r="P5075">
        <v>0.98456829999999995</v>
      </c>
      <c r="Q5075">
        <v>0.13017000000000001</v>
      </c>
      <c r="R5075">
        <v>-0.1169665</v>
      </c>
      <c r="S5075">
        <v>3.035034</v>
      </c>
      <c r="T5075">
        <v>-0.1659989</v>
      </c>
      <c r="U5075">
        <v>-0.27911380000000002</v>
      </c>
      <c r="V5075">
        <v>9.1109860000000001E-2</v>
      </c>
      <c r="W5075">
        <v>0.1413944</v>
      </c>
      <c r="X5075">
        <v>0.98575179999999996</v>
      </c>
      <c r="Y5075">
        <v>6.3881599999999997E-2</v>
      </c>
      <c r="Z5075">
        <v>-9.6726030000000005E-4</v>
      </c>
      <c r="AA5075">
        <v>0.99795699999999998</v>
      </c>
      <c r="AB5075">
        <v>32</v>
      </c>
      <c r="AC5075">
        <v>20.2455</v>
      </c>
      <c r="AD5075">
        <v>-1.11681375821909</v>
      </c>
      <c r="AE5075">
        <v>-1.8710100000000001</v>
      </c>
      <c r="AF5075">
        <v>1.3058428011890799</v>
      </c>
      <c r="AG5075">
        <v>-1.11681375821909</v>
      </c>
      <c r="AH5075">
        <v>20.228505185886601</v>
      </c>
      <c r="AI5075">
        <v>93.153535368527201</v>
      </c>
      <c r="AJ5075">
        <v>86.306419664053095</v>
      </c>
      <c r="AK5075">
        <v>20.301352675312199</v>
      </c>
      <c r="AL5075">
        <v>81.871457777865103</v>
      </c>
      <c r="AM5075">
        <v>84.719338815696204</v>
      </c>
      <c r="AN5075">
        <v>0.99999999707190901</v>
      </c>
    </row>
    <row r="5076" spans="1:40" x14ac:dyDescent="0.25">
      <c r="A5076" t="str">
        <f>"20190303162923172"</f>
        <v>20190303162923172</v>
      </c>
      <c r="B5076" t="str">
        <f>"1551601763167107"</f>
        <v>1551601763167107</v>
      </c>
      <c r="C5076" t="s">
        <v>40</v>
      </c>
      <c r="D5076">
        <v>5.753476</v>
      </c>
      <c r="E5076">
        <v>0.4889751</v>
      </c>
      <c r="F5076" t="s">
        <v>61</v>
      </c>
      <c r="G5076">
        <v>-378.01990000000001</v>
      </c>
      <c r="H5076" s="1">
        <v>-1.0652059999999999E-6</v>
      </c>
      <c r="I5076">
        <v>18.77788</v>
      </c>
      <c r="J5076">
        <v>-398.71249999999998</v>
      </c>
      <c r="K5076">
        <v>1.116763</v>
      </c>
      <c r="L5076">
        <v>20.715029999999999</v>
      </c>
      <c r="M5076">
        <v>0.99945709999999999</v>
      </c>
      <c r="N5076">
        <v>-1.2300520000000001E-2</v>
      </c>
      <c r="O5076">
        <v>-3.0566019999999999E-2</v>
      </c>
      <c r="P5076">
        <v>0.98434940000000004</v>
      </c>
      <c r="Q5076">
        <v>0.13113649999999999</v>
      </c>
      <c r="R5076">
        <v>-0.1177281</v>
      </c>
      <c r="S5076">
        <v>3.0349119999999998</v>
      </c>
      <c r="T5076">
        <v>-0.16242799999999999</v>
      </c>
      <c r="U5076">
        <v>-0.2828369</v>
      </c>
      <c r="V5076">
        <v>8.9059070000000004E-2</v>
      </c>
      <c r="W5076">
        <v>0.14236019999999999</v>
      </c>
      <c r="X5076">
        <v>0.98580020000000002</v>
      </c>
      <c r="Y5076">
        <v>6.2229529999999998E-2</v>
      </c>
      <c r="Z5076">
        <v>-7.8910989999999995E-4</v>
      </c>
      <c r="AA5076">
        <v>0.99806150000000005</v>
      </c>
      <c r="AB5076">
        <v>32</v>
      </c>
      <c r="AC5076">
        <v>20.692599999999899</v>
      </c>
      <c r="AD5076">
        <v>-1.116764065206</v>
      </c>
      <c r="AE5076">
        <v>-1.9371499999999899</v>
      </c>
      <c r="AF5076">
        <v>1.29995302313846</v>
      </c>
      <c r="AG5076">
        <v>-1.116764065206</v>
      </c>
      <c r="AH5076">
        <v>20.682427437283501</v>
      </c>
      <c r="AI5076">
        <v>93.084654474484694</v>
      </c>
      <c r="AJ5076">
        <v>86.403518221241299</v>
      </c>
      <c r="AK5076">
        <v>20.753309243062901</v>
      </c>
      <c r="AL5076">
        <v>81.815555960272107</v>
      </c>
      <c r="AM5076">
        <v>84.837803609930305</v>
      </c>
      <c r="AN5076">
        <v>0.99999998940667201</v>
      </c>
    </row>
    <row r="5077" spans="1:40" x14ac:dyDescent="0.25">
      <c r="A5077" t="str">
        <f>"20190303162923185"</f>
        <v>20190303162923185</v>
      </c>
      <c r="B5077" t="str">
        <f>"1551601763176867"</f>
        <v>1551601763176867</v>
      </c>
      <c r="C5077" t="s">
        <v>40</v>
      </c>
      <c r="D5077">
        <v>5.8339470000000002</v>
      </c>
      <c r="E5077">
        <v>0.48891620000000002</v>
      </c>
      <c r="F5077" t="s">
        <v>61</v>
      </c>
      <c r="G5077">
        <v>-377.35019999999997</v>
      </c>
      <c r="H5077" s="1">
        <v>-1.3982429999999999E-6</v>
      </c>
      <c r="I5077">
        <v>18.68516</v>
      </c>
      <c r="J5077">
        <v>-398.541</v>
      </c>
      <c r="K5077">
        <v>1.116722</v>
      </c>
      <c r="L5077">
        <v>20.707280000000001</v>
      </c>
      <c r="M5077">
        <v>0.99936650000000005</v>
      </c>
      <c r="N5077">
        <v>-1.229122E-2</v>
      </c>
      <c r="O5077">
        <v>-3.3404110000000001E-2</v>
      </c>
      <c r="P5077">
        <v>0.98424869999999998</v>
      </c>
      <c r="Q5077">
        <v>0.13188649999999999</v>
      </c>
      <c r="R5077">
        <v>-0.1177314</v>
      </c>
      <c r="S5077">
        <v>3.0343930000000001</v>
      </c>
      <c r="T5077">
        <v>-0.158629399999999</v>
      </c>
      <c r="U5077">
        <v>-0.28833009999999998</v>
      </c>
      <c r="V5077">
        <v>8.6286580000000002E-2</v>
      </c>
      <c r="W5077">
        <v>0.14312139999999901</v>
      </c>
      <c r="X5077">
        <v>0.98593649999999999</v>
      </c>
      <c r="Y5077">
        <v>6.1208949999999998E-2</v>
      </c>
      <c r="Z5077">
        <v>-6.4202080000000004E-4</v>
      </c>
      <c r="AA5077">
        <v>0.99812480000000003</v>
      </c>
      <c r="AB5077">
        <v>32</v>
      </c>
      <c r="AC5077">
        <v>21.190799999999999</v>
      </c>
      <c r="AD5077">
        <v>-1.116723398243</v>
      </c>
      <c r="AE5077">
        <v>-2.0221199999999899</v>
      </c>
      <c r="AF5077">
        <v>1.3094743910580899</v>
      </c>
      <c r="AG5077">
        <v>-1.116723398243</v>
      </c>
      <c r="AH5077">
        <v>21.188212923587301</v>
      </c>
      <c r="AI5077">
        <v>93.011244281786901</v>
      </c>
      <c r="AJ5077">
        <v>86.463502962944901</v>
      </c>
      <c r="AK5077">
        <v>21.257990526488999</v>
      </c>
      <c r="AL5077">
        <v>81.771490829118406</v>
      </c>
      <c r="AM5077">
        <v>84.998367130606198</v>
      </c>
      <c r="AN5077">
        <v>0.99999994552915095</v>
      </c>
    </row>
    <row r="5078" spans="1:40" x14ac:dyDescent="0.25">
      <c r="A5078" t="str">
        <f>"20190303162923205"</f>
        <v>20190303162923205</v>
      </c>
      <c r="B5078" t="str">
        <f>"1551601763197363"</f>
        <v>1551601763197363</v>
      </c>
      <c r="C5078" t="s">
        <v>40</v>
      </c>
      <c r="D5078">
        <v>5.8455149999999998</v>
      </c>
      <c r="E5078">
        <v>0.48861199999999999</v>
      </c>
      <c r="F5078" t="s">
        <v>61</v>
      </c>
      <c r="G5078">
        <v>-376.63189999999997</v>
      </c>
      <c r="H5078" s="1">
        <v>-1.747447E-6</v>
      </c>
      <c r="I5078">
        <v>18.630490000000002</v>
      </c>
      <c r="J5078">
        <v>-398.25420000000003</v>
      </c>
      <c r="K5078">
        <v>1.116676</v>
      </c>
      <c r="L5078">
        <v>20.692990000000002</v>
      </c>
      <c r="M5078">
        <v>0.99919599999999997</v>
      </c>
      <c r="N5078">
        <v>-1.227865E-2</v>
      </c>
      <c r="O5078">
        <v>-3.8169219999999997E-2</v>
      </c>
      <c r="P5078">
        <v>0.98440190000000005</v>
      </c>
      <c r="Q5078">
        <v>0.13302729999999999</v>
      </c>
      <c r="R5078">
        <v>-0.1151397</v>
      </c>
      <c r="S5078">
        <v>3.034332</v>
      </c>
      <c r="T5078">
        <v>-0.15466250000000001</v>
      </c>
      <c r="U5078">
        <v>-0.2876282</v>
      </c>
      <c r="V5078">
        <v>7.9015249999999995E-2</v>
      </c>
      <c r="W5078">
        <v>0.14431910000000001</v>
      </c>
      <c r="X5078">
        <v>0.98637140000000001</v>
      </c>
      <c r="Y5078">
        <v>5.6236099999999997E-2</v>
      </c>
      <c r="Z5078">
        <v>-3.0440429999999997E-4</v>
      </c>
      <c r="AA5078">
        <v>0.99841740000000001</v>
      </c>
      <c r="AB5078">
        <v>32</v>
      </c>
      <c r="AC5078">
        <v>21.622299999999999</v>
      </c>
      <c r="AD5078">
        <v>-1.116677747447</v>
      </c>
      <c r="AE5078">
        <v>-2.0625</v>
      </c>
      <c r="AF5078">
        <v>1.2323710718832701</v>
      </c>
      <c r="AG5078">
        <v>-1.116677747447</v>
      </c>
      <c r="AH5078">
        <v>21.628105318443001</v>
      </c>
      <c r="AI5078">
        <v>92.950828213006005</v>
      </c>
      <c r="AJ5078">
        <v>86.738808514132103</v>
      </c>
      <c r="AK5078">
        <v>21.691948905437702</v>
      </c>
      <c r="AL5078">
        <v>81.702148021597495</v>
      </c>
      <c r="AM5078">
        <v>85.419987346012306</v>
      </c>
      <c r="AN5078">
        <v>0.99999997554766595</v>
      </c>
    </row>
    <row r="5079" spans="1:40" x14ac:dyDescent="0.25">
      <c r="A5079" t="str">
        <f>"20190303162923217"</f>
        <v>20190303162923217</v>
      </c>
      <c r="B5079" t="str">
        <f>"1551601763207123"</f>
        <v>1551601763207123</v>
      </c>
      <c r="C5079" t="s">
        <v>40</v>
      </c>
      <c r="D5079">
        <v>5.7789219999999997</v>
      </c>
      <c r="E5079">
        <v>0.48842780000000002</v>
      </c>
      <c r="F5079" t="s">
        <v>61</v>
      </c>
      <c r="G5079">
        <v>-375.2808</v>
      </c>
      <c r="H5079" s="1">
        <v>-2.392102E-6</v>
      </c>
      <c r="I5079">
        <v>18.596920000000001</v>
      </c>
      <c r="J5079">
        <v>-398.08080000000001</v>
      </c>
      <c r="K5079">
        <v>1.1166640000000001</v>
      </c>
      <c r="L5079">
        <v>20.683589999999999</v>
      </c>
      <c r="M5079">
        <v>0.99908129999999995</v>
      </c>
      <c r="N5079">
        <v>-1.227229E-2</v>
      </c>
      <c r="O5079">
        <v>-4.1060880000000001E-2</v>
      </c>
      <c r="P5079">
        <v>0.98445530000000003</v>
      </c>
      <c r="Q5079">
        <v>0.13413949999999999</v>
      </c>
      <c r="R5079">
        <v>-0.11337659999999999</v>
      </c>
      <c r="S5079">
        <v>3.0350649999999999</v>
      </c>
      <c r="T5079">
        <v>-0.1475265</v>
      </c>
      <c r="U5079">
        <v>-0.27691650000000001</v>
      </c>
      <c r="V5079">
        <v>7.4413980000000005E-2</v>
      </c>
      <c r="W5079">
        <v>0.14547119999999999</v>
      </c>
      <c r="X5079">
        <v>0.98655999999999999</v>
      </c>
      <c r="Y5079">
        <v>4.9844560000000003E-2</v>
      </c>
      <c r="Z5079" s="1">
        <v>-2.8710109999999999E-5</v>
      </c>
      <c r="AA5079">
        <v>0.99875700000000001</v>
      </c>
      <c r="AB5079">
        <v>32</v>
      </c>
      <c r="AC5079">
        <v>22.8</v>
      </c>
      <c r="AD5079">
        <v>-1.1166663921019999</v>
      </c>
      <c r="AE5079">
        <v>-2.08666999999999</v>
      </c>
      <c r="AF5079">
        <v>1.1459254789008599</v>
      </c>
      <c r="AG5079">
        <v>-1.1166663921019999</v>
      </c>
      <c r="AH5079">
        <v>22.812190366261198</v>
      </c>
      <c r="AI5079">
        <v>92.798892345848799</v>
      </c>
      <c r="AJ5079">
        <v>87.124276499409902</v>
      </c>
      <c r="AK5079">
        <v>22.868233826445501</v>
      </c>
      <c r="AL5079">
        <v>81.635433481494005</v>
      </c>
      <c r="AM5079">
        <v>85.6864774833345</v>
      </c>
      <c r="AN5079">
        <v>0.99999997202443902</v>
      </c>
    </row>
    <row r="5080" spans="1:40" x14ac:dyDescent="0.25">
      <c r="A5080" t="str">
        <f>"20190303162923237"</f>
        <v>20190303162923237</v>
      </c>
      <c r="B5080" t="str">
        <f>"1551601763226643"</f>
        <v>1551601763226643</v>
      </c>
      <c r="C5080" t="s">
        <v>40</v>
      </c>
      <c r="D5080">
        <v>5.7821749999999996</v>
      </c>
      <c r="E5080">
        <v>0.48815229999999998</v>
      </c>
      <c r="F5080" t="s">
        <v>61</v>
      </c>
      <c r="G5080">
        <v>-374.24829999999997</v>
      </c>
      <c r="H5080" s="1">
        <v>-2.8856630000000002E-6</v>
      </c>
      <c r="I5080">
        <v>18.565860000000001</v>
      </c>
      <c r="J5080">
        <v>-397.80450000000002</v>
      </c>
      <c r="K5080">
        <v>1.116652</v>
      </c>
      <c r="L5080">
        <v>20.66769</v>
      </c>
      <c r="M5080">
        <v>0.99888089999999996</v>
      </c>
      <c r="N5080">
        <v>-1.2263080000000001E-2</v>
      </c>
      <c r="O5080">
        <v>-4.5678169999999997E-2</v>
      </c>
      <c r="P5080">
        <v>0.98441670000000003</v>
      </c>
      <c r="Q5080">
        <v>0.13817639999999901</v>
      </c>
      <c r="R5080">
        <v>-0.1087704</v>
      </c>
      <c r="S5080">
        <v>3.0356450000000001</v>
      </c>
      <c r="T5080">
        <v>-0.14223459999999999</v>
      </c>
      <c r="U5080">
        <v>-0.26974490000000001</v>
      </c>
      <c r="V5080">
        <v>6.5302879999999994E-2</v>
      </c>
      <c r="W5080">
        <v>0.14959129999999901</v>
      </c>
      <c r="X5080">
        <v>0.9865891</v>
      </c>
      <c r="Y5080">
        <v>4.2883810000000001E-2</v>
      </c>
      <c r="Z5080">
        <v>3.081661E-4</v>
      </c>
      <c r="AA5080">
        <v>0.99907999999999997</v>
      </c>
      <c r="AB5080">
        <v>32</v>
      </c>
      <c r="AC5080">
        <v>23.5562</v>
      </c>
      <c r="AD5080">
        <v>-1.1166548856630001</v>
      </c>
      <c r="AE5080">
        <v>-2.1018300000000001</v>
      </c>
      <c r="AF5080">
        <v>1.02127392951496</v>
      </c>
      <c r="AG5080">
        <v>-1.1166548856630001</v>
      </c>
      <c r="AH5080">
        <v>23.575065766941901</v>
      </c>
      <c r="AI5080">
        <v>92.709303791842004</v>
      </c>
      <c r="AJ5080">
        <v>87.519492664281998</v>
      </c>
      <c r="AK5080">
        <v>23.623582380503201</v>
      </c>
      <c r="AL5080">
        <v>81.396757780661403</v>
      </c>
      <c r="AM5080">
        <v>86.213084511589898</v>
      </c>
      <c r="AN5080">
        <v>1.0000000377053899</v>
      </c>
    </row>
    <row r="5081" spans="1:40" x14ac:dyDescent="0.25">
      <c r="A5081" t="str">
        <f>"20190303162923249"</f>
        <v>20190303162923249</v>
      </c>
      <c r="B5081" t="str">
        <f>"1551601763237380"</f>
        <v>1551601763237380</v>
      </c>
      <c r="C5081" t="s">
        <v>40</v>
      </c>
      <c r="D5081">
        <v>5.8407169999999997</v>
      </c>
      <c r="E5081">
        <v>0.48801820000000001</v>
      </c>
      <c r="F5081" t="s">
        <v>61</v>
      </c>
      <c r="G5081">
        <v>-370.9477</v>
      </c>
      <c r="H5081" s="1">
        <v>-4.4700789999999998E-6</v>
      </c>
      <c r="I5081">
        <v>18.429559999999999</v>
      </c>
      <c r="J5081">
        <v>-397.63659999999999</v>
      </c>
      <c r="K5081">
        <v>1.1166499999999999</v>
      </c>
      <c r="L5081">
        <v>20.657409999999999</v>
      </c>
      <c r="M5081">
        <v>0.99874859999999999</v>
      </c>
      <c r="N5081">
        <v>-1.225825E-2</v>
      </c>
      <c r="O5081">
        <v>-4.848703E-2</v>
      </c>
      <c r="P5081">
        <v>0.98431000000000002</v>
      </c>
      <c r="Q5081">
        <v>0.14054539999999999</v>
      </c>
      <c r="R5081">
        <v>-0.1066831</v>
      </c>
      <c r="S5081">
        <v>3.0372620000000001</v>
      </c>
      <c r="T5081">
        <v>-0.1262836</v>
      </c>
      <c r="U5081">
        <v>-0.25311280000000003</v>
      </c>
      <c r="V5081">
        <v>6.0475399999999999E-2</v>
      </c>
      <c r="W5081">
        <v>0.15200429999999901</v>
      </c>
      <c r="X5081">
        <v>0.98652799999999996</v>
      </c>
      <c r="Y5081">
        <v>3.4609260000000003E-2</v>
      </c>
      <c r="Z5081">
        <v>4.8582840000000003E-4</v>
      </c>
      <c r="AA5081">
        <v>0.99940079999999998</v>
      </c>
      <c r="AB5081">
        <v>32</v>
      </c>
      <c r="AC5081">
        <v>26.688899999999901</v>
      </c>
      <c r="AD5081">
        <v>-1.116654470079</v>
      </c>
      <c r="AE5081">
        <v>-2.2278500000000001</v>
      </c>
      <c r="AF5081">
        <v>0.92945072120846095</v>
      </c>
      <c r="AG5081">
        <v>-1.116654470079</v>
      </c>
      <c r="AH5081">
        <v>26.719084449558402</v>
      </c>
      <c r="AI5081">
        <v>92.391690145328695</v>
      </c>
      <c r="AJ5081">
        <v>88.007710963237002</v>
      </c>
      <c r="AK5081">
        <v>26.758555074430699</v>
      </c>
      <c r="AL5081">
        <v>81.256903753065501</v>
      </c>
      <c r="AM5081">
        <v>86.492086738751496</v>
      </c>
      <c r="AN5081">
        <v>1.0000000380038201</v>
      </c>
    </row>
    <row r="5082" spans="1:40" x14ac:dyDescent="0.25">
      <c r="A5082" t="str">
        <f>"20190303162923260"</f>
        <v>20190303162923260</v>
      </c>
      <c r="B5082" t="str">
        <f>"1551601763247140"</f>
        <v>1551601763247140</v>
      </c>
      <c r="C5082" t="s">
        <v>40</v>
      </c>
      <c r="D5082">
        <v>5.836373</v>
      </c>
      <c r="E5082">
        <v>0.48790679999999997</v>
      </c>
      <c r="F5082" t="s">
        <v>62</v>
      </c>
      <c r="G5082">
        <v>-368.79149999999998</v>
      </c>
      <c r="H5082" s="1">
        <v>-8.0683949999999998E-7</v>
      </c>
      <c r="I5082">
        <v>18.329809999999998</v>
      </c>
      <c r="J5082">
        <v>-397.46429999999998</v>
      </c>
      <c r="K5082">
        <v>1.116649</v>
      </c>
      <c r="L5082">
        <v>20.646419999999999</v>
      </c>
      <c r="M5082">
        <v>0.99860450000000001</v>
      </c>
      <c r="N5082">
        <v>-1.225389E-2</v>
      </c>
      <c r="O5082">
        <v>-5.1369239999999997E-2</v>
      </c>
      <c r="P5082">
        <v>0.9842147</v>
      </c>
      <c r="Q5082">
        <v>0.14272779999999999</v>
      </c>
      <c r="R5082">
        <v>-0.10464270000000001</v>
      </c>
      <c r="S5082">
        <v>3.0380250000000002</v>
      </c>
      <c r="T5082">
        <v>-0.117608</v>
      </c>
      <c r="U5082">
        <v>-0.2451477</v>
      </c>
      <c r="V5082">
        <v>5.5619460000000003E-2</v>
      </c>
      <c r="W5082">
        <v>0.15423310000000001</v>
      </c>
      <c r="X5082">
        <v>0.98646769999999995</v>
      </c>
      <c r="Y5082">
        <v>2.910809E-2</v>
      </c>
      <c r="Z5082">
        <v>6.1308860000000001E-4</v>
      </c>
      <c r="AA5082">
        <v>0.99957609999999997</v>
      </c>
      <c r="AB5082">
        <v>32</v>
      </c>
      <c r="AC5082">
        <v>28.672799999999899</v>
      </c>
      <c r="AD5082">
        <v>-1.1166498068395001</v>
      </c>
      <c r="AE5082">
        <v>-2.3166099999999998</v>
      </c>
      <c r="AF5082">
        <v>0.839275718857032</v>
      </c>
      <c r="AG5082">
        <v>-1.1166498068395001</v>
      </c>
      <c r="AH5082">
        <v>28.710687379310901</v>
      </c>
      <c r="AI5082">
        <v>92.226342142922107</v>
      </c>
      <c r="AJ5082">
        <v>88.325596812229904</v>
      </c>
      <c r="AK5082">
        <v>28.744649246701499</v>
      </c>
      <c r="AL5082">
        <v>81.127678250372298</v>
      </c>
      <c r="AM5082">
        <v>86.772940603340402</v>
      </c>
      <c r="AN5082">
        <v>0.999999948304794</v>
      </c>
    </row>
    <row r="5083" spans="1:40" x14ac:dyDescent="0.25">
      <c r="A5083" t="str">
        <f>"20190303162923273"</f>
        <v>20190303162923273</v>
      </c>
      <c r="B5083" t="str">
        <f>"1551601763266660"</f>
        <v>1551601763266660</v>
      </c>
      <c r="C5083" t="s">
        <v>40</v>
      </c>
      <c r="D5083">
        <v>5.7686849999999996</v>
      </c>
      <c r="E5083">
        <v>0.48782550000000002</v>
      </c>
      <c r="F5083" t="s">
        <v>62</v>
      </c>
      <c r="G5083">
        <v>-366.3954</v>
      </c>
      <c r="H5083" s="1">
        <v>-1.9528320000000002E-6</v>
      </c>
      <c r="I5083">
        <v>18.215420000000002</v>
      </c>
      <c r="J5083">
        <v>-397.29450000000003</v>
      </c>
      <c r="K5083">
        <v>1.1166469999999999</v>
      </c>
      <c r="L5083">
        <v>20.634920000000001</v>
      </c>
      <c r="M5083">
        <v>0.99845450000000002</v>
      </c>
      <c r="N5083">
        <v>-1.225016E-2</v>
      </c>
      <c r="O5083">
        <v>-5.4209739999999999E-2</v>
      </c>
      <c r="P5083">
        <v>0.98413470000000003</v>
      </c>
      <c r="Q5083">
        <v>0.14476520000000001</v>
      </c>
      <c r="R5083">
        <v>-0.1025774</v>
      </c>
      <c r="S5083">
        <v>3.0386660000000001</v>
      </c>
      <c r="T5083">
        <v>-0.10921309999999999</v>
      </c>
      <c r="U5083">
        <v>-0.23776249999999999</v>
      </c>
      <c r="V5083">
        <v>5.077603E-2</v>
      </c>
      <c r="W5083">
        <v>0.1563176</v>
      </c>
      <c r="X5083">
        <v>0.98640079999999997</v>
      </c>
      <c r="Y5083">
        <v>2.3838459999999999E-2</v>
      </c>
      <c r="Z5083">
        <v>7.0556880000000001E-4</v>
      </c>
      <c r="AA5083">
        <v>0.99971560000000004</v>
      </c>
      <c r="AB5083">
        <v>32</v>
      </c>
      <c r="AC5083">
        <v>30.899100000000001</v>
      </c>
      <c r="AD5083">
        <v>-1.1166489528320001</v>
      </c>
      <c r="AE5083">
        <v>-2.4195000000000002</v>
      </c>
      <c r="AF5083">
        <v>0.73982369681507698</v>
      </c>
      <c r="AG5083">
        <v>-1.1166489528320001</v>
      </c>
      <c r="AH5083">
        <v>30.944661242041398</v>
      </c>
      <c r="AI5083">
        <v>92.066051708843503</v>
      </c>
      <c r="AJ5083">
        <v>88.630435747611799</v>
      </c>
      <c r="AK5083">
        <v>30.973638846137</v>
      </c>
      <c r="AL5083">
        <v>81.006778982690193</v>
      </c>
      <c r="AM5083">
        <v>87.053239751992194</v>
      </c>
      <c r="AN5083">
        <v>0.99999996776647904</v>
      </c>
    </row>
    <row r="5084" spans="1:40" x14ac:dyDescent="0.25">
      <c r="A5084" t="str">
        <f>"20190303162923288"</f>
        <v>20190303162923288</v>
      </c>
      <c r="B5084" t="str">
        <f>"1551601763277395"</f>
        <v>1551601763277395</v>
      </c>
      <c r="C5084" t="s">
        <v>40</v>
      </c>
      <c r="D5084">
        <v>5.822184</v>
      </c>
      <c r="E5084">
        <v>0.4878439</v>
      </c>
      <c r="F5084" t="s">
        <v>62</v>
      </c>
      <c r="G5084">
        <v>-363.65699999999998</v>
      </c>
      <c r="H5084" s="1">
        <v>-3.2709249999999902E-6</v>
      </c>
      <c r="I5084">
        <v>18.082360000000001</v>
      </c>
      <c r="J5084">
        <v>-397.08249999999998</v>
      </c>
      <c r="K5084">
        <v>1.116649</v>
      </c>
      <c r="L5084">
        <v>20.620059999999999</v>
      </c>
      <c r="M5084">
        <v>0.99825569999999997</v>
      </c>
      <c r="N5084">
        <v>-1.2245839999999999E-2</v>
      </c>
      <c r="O5084">
        <v>-5.775508E-2</v>
      </c>
      <c r="P5084">
        <v>0.98407809999999996</v>
      </c>
      <c r="Q5084">
        <v>0.14605750000000001</v>
      </c>
      <c r="R5084">
        <v>-0.10127949999999999</v>
      </c>
      <c r="S5084">
        <v>3.0391240000000002</v>
      </c>
      <c r="T5084">
        <v>-0.1008884</v>
      </c>
      <c r="U5084">
        <v>-0.2306213</v>
      </c>
      <c r="V5084">
        <v>4.5991829999999997E-2</v>
      </c>
      <c r="W5084">
        <v>0.15765689999999999</v>
      </c>
      <c r="X5084">
        <v>0.98642240000000003</v>
      </c>
      <c r="Y5084">
        <v>1.7945550000000001E-2</v>
      </c>
      <c r="Z5084">
        <v>7.9787649999999897E-4</v>
      </c>
      <c r="AA5084">
        <v>0.99983869999999997</v>
      </c>
      <c r="AB5084">
        <v>32</v>
      </c>
      <c r="AC5084">
        <v>33.4255</v>
      </c>
      <c r="AD5084">
        <v>-1.116652270925</v>
      </c>
      <c r="AE5084">
        <v>-2.5377000000000001</v>
      </c>
      <c r="AF5084">
        <v>0.60215806774565295</v>
      </c>
      <c r="AG5084">
        <v>-1.116652270925</v>
      </c>
      <c r="AH5084">
        <v>33.479123306466597</v>
      </c>
      <c r="AI5084">
        <v>91.910008749623003</v>
      </c>
      <c r="AJ5084">
        <v>88.9695848385999</v>
      </c>
      <c r="AK5084">
        <v>33.503152150242599</v>
      </c>
      <c r="AL5084">
        <v>80.929080051298101</v>
      </c>
      <c r="AM5084">
        <v>87.330524178175096</v>
      </c>
      <c r="AN5084">
        <v>1.0000000488830501</v>
      </c>
    </row>
    <row r="5085" spans="1:40" x14ac:dyDescent="0.25">
      <c r="A5085" t="str">
        <f>"20190303162923307"</f>
        <v>20190303162923307</v>
      </c>
      <c r="B5085" t="str">
        <f>"1551601763296914"</f>
        <v>1551601763296914</v>
      </c>
      <c r="C5085" t="s">
        <v>40</v>
      </c>
      <c r="D5085">
        <v>5.8210069999999998</v>
      </c>
      <c r="E5085">
        <v>0.4878614</v>
      </c>
      <c r="F5085" t="s">
        <v>62</v>
      </c>
      <c r="G5085">
        <v>-361.67309999999998</v>
      </c>
      <c r="H5085" s="1">
        <v>-4.2269649999999996E-6</v>
      </c>
      <c r="I5085">
        <v>17.97953</v>
      </c>
      <c r="J5085">
        <v>-396.81020000000001</v>
      </c>
      <c r="K5085">
        <v>1.116657</v>
      </c>
      <c r="L5085">
        <v>20.599820000000001</v>
      </c>
      <c r="M5085">
        <v>0.9979827</v>
      </c>
      <c r="N5085">
        <v>-1.224105E-2</v>
      </c>
      <c r="O5085">
        <v>-6.2294490000000001E-2</v>
      </c>
      <c r="P5085">
        <v>0.98431650000000004</v>
      </c>
      <c r="Q5085">
        <v>0.14817659999999999</v>
      </c>
      <c r="R5085">
        <v>-9.5733689999999996E-2</v>
      </c>
      <c r="S5085">
        <v>3.0394290000000002</v>
      </c>
      <c r="T5085">
        <v>-9.5849989999999996E-2</v>
      </c>
      <c r="U5085">
        <v>-0.2266541</v>
      </c>
      <c r="V5085">
        <v>3.5972320000000002E-2</v>
      </c>
      <c r="W5085">
        <v>0.15988089999999999</v>
      </c>
      <c r="X5085">
        <v>0.98648069999999999</v>
      </c>
      <c r="Y5085">
        <v>1.2096839999999999E-2</v>
      </c>
      <c r="Z5085">
        <v>9.3237379999999996E-4</v>
      </c>
      <c r="AA5085">
        <v>0.99992639999999999</v>
      </c>
      <c r="AB5085">
        <v>32</v>
      </c>
      <c r="AC5085">
        <v>35.137099999999997</v>
      </c>
      <c r="AD5085">
        <v>-1.116661226965</v>
      </c>
      <c r="AE5085">
        <v>-2.6202899999999998</v>
      </c>
      <c r="AF5085">
        <v>0.42576068423621799</v>
      </c>
      <c r="AG5085">
        <v>-1.116661226965</v>
      </c>
      <c r="AH5085">
        <v>35.196737512692103</v>
      </c>
      <c r="AI5085">
        <v>91.817039039556093</v>
      </c>
      <c r="AJ5085">
        <v>89.306949954318</v>
      </c>
      <c r="AK5085">
        <v>35.217020543955698</v>
      </c>
      <c r="AL5085">
        <v>80.800017076315797</v>
      </c>
      <c r="AM5085">
        <v>87.911617227467005</v>
      </c>
      <c r="AN5085">
        <v>1.00000004073174</v>
      </c>
    </row>
    <row r="5086" spans="1:40" x14ac:dyDescent="0.25">
      <c r="A5086" t="str">
        <f>"20190303162923327"</f>
        <v>20190303162923327</v>
      </c>
      <c r="B5086" t="str">
        <f>"1551601763317411"</f>
        <v>1551601763317411</v>
      </c>
      <c r="C5086" t="s">
        <v>40</v>
      </c>
      <c r="D5086">
        <v>5.8084699999999998</v>
      </c>
      <c r="E5086">
        <v>0.48794979999999899</v>
      </c>
      <c r="F5086" t="s">
        <v>41</v>
      </c>
      <c r="G5086">
        <v>-358.26350000000002</v>
      </c>
      <c r="H5086" s="1">
        <v>-1.0238250000000001E-6</v>
      </c>
      <c r="I5086">
        <v>17.94426</v>
      </c>
      <c r="J5086">
        <v>-396.52929999999998</v>
      </c>
      <c r="K5086">
        <v>1.116665</v>
      </c>
      <c r="L5086">
        <v>20.577670000000001</v>
      </c>
      <c r="M5086">
        <v>0.99768069999999998</v>
      </c>
      <c r="N5086">
        <v>-1.223668E-2</v>
      </c>
      <c r="O5086">
        <v>-6.6959939999999996E-2</v>
      </c>
      <c r="P5086">
        <v>0.9844733</v>
      </c>
      <c r="Q5086">
        <v>0.15049509999999999</v>
      </c>
      <c r="R5086">
        <v>-9.0353069999999994E-2</v>
      </c>
      <c r="S5086">
        <v>3.04068</v>
      </c>
      <c r="T5086">
        <v>-8.8085529999999995E-2</v>
      </c>
      <c r="U5086">
        <v>-0.20947270000000001</v>
      </c>
      <c r="V5086">
        <v>2.5996890000000002E-2</v>
      </c>
      <c r="W5086">
        <v>0.16230359999999999</v>
      </c>
      <c r="X5086">
        <v>0.98639829999999995</v>
      </c>
      <c r="Y5086">
        <v>1.7745110000000001E-3</v>
      </c>
      <c r="Z5086">
        <v>1.0790579999999999E-3</v>
      </c>
      <c r="AA5086">
        <v>0.9999979</v>
      </c>
      <c r="AB5086">
        <v>32</v>
      </c>
      <c r="AC5086">
        <v>38.265799999999899</v>
      </c>
      <c r="AD5086">
        <v>-1.1166660238249999</v>
      </c>
      <c r="AE5086">
        <v>-2.63341</v>
      </c>
      <c r="AF5086">
        <v>6.4976452492563494E-2</v>
      </c>
      <c r="AG5086">
        <v>-1.1166660238249999</v>
      </c>
      <c r="AH5086">
        <v>38.323770129356902</v>
      </c>
      <c r="AI5086">
        <v>91.668991878909495</v>
      </c>
      <c r="AJ5086">
        <v>89.902857341129206</v>
      </c>
      <c r="AK5086">
        <v>38.340090269532901</v>
      </c>
      <c r="AL5086">
        <v>80.659368772169699</v>
      </c>
      <c r="AM5086">
        <v>88.490298141489006</v>
      </c>
      <c r="AN5086">
        <v>0.999999951552759</v>
      </c>
    </row>
    <row r="5087" spans="1:40" x14ac:dyDescent="0.25">
      <c r="A5087" t="str">
        <f>"20190303162923338"</f>
        <v>20190303162923338</v>
      </c>
      <c r="B5087" t="str">
        <f>"1551601763327172"</f>
        <v>1551601763327172</v>
      </c>
      <c r="C5087" t="s">
        <v>40</v>
      </c>
      <c r="D5087">
        <v>5.7451980000000002</v>
      </c>
      <c r="E5087">
        <v>0.48801820000000001</v>
      </c>
      <c r="F5087" t="s">
        <v>41</v>
      </c>
      <c r="G5087">
        <v>-354.41030000000001</v>
      </c>
      <c r="H5087" s="1">
        <v>-2.6833729999999999E-6</v>
      </c>
      <c r="I5087">
        <v>17.907509999999998</v>
      </c>
      <c r="J5087">
        <v>-396.35809999999998</v>
      </c>
      <c r="K5087">
        <v>1.116673</v>
      </c>
      <c r="L5087">
        <v>20.563479999999998</v>
      </c>
      <c r="M5087">
        <v>0.9974864</v>
      </c>
      <c r="N5087">
        <v>-1.223408E-2</v>
      </c>
      <c r="O5087">
        <v>-6.9793569999999999E-2</v>
      </c>
      <c r="P5087">
        <v>0.98449039999999999</v>
      </c>
      <c r="Q5087">
        <v>0.15153329999999901</v>
      </c>
      <c r="R5087">
        <v>-8.8409719999999997E-2</v>
      </c>
      <c r="S5087">
        <v>3.0419619999999998</v>
      </c>
      <c r="T5087">
        <v>-8.0649139999999994E-2</v>
      </c>
      <c r="U5087">
        <v>-0.1928406</v>
      </c>
      <c r="V5087">
        <v>2.1259070000000001E-2</v>
      </c>
      <c r="W5087">
        <v>0.16339039999999999</v>
      </c>
      <c r="X5087">
        <v>0.9863324</v>
      </c>
      <c r="Y5087">
        <v>-6.536399E-3</v>
      </c>
      <c r="Z5087">
        <v>1.1186869999999999E-3</v>
      </c>
      <c r="AA5087">
        <v>0.99997800000000003</v>
      </c>
      <c r="AB5087">
        <v>32</v>
      </c>
      <c r="AC5087">
        <v>41.947799999999901</v>
      </c>
      <c r="AD5087">
        <v>-1.116675683373</v>
      </c>
      <c r="AE5087">
        <v>-2.6559699999999902</v>
      </c>
      <c r="AF5087">
        <v>-0.27821723417141198</v>
      </c>
      <c r="AG5087">
        <v>-1.116675683373</v>
      </c>
      <c r="AH5087">
        <v>42.001230998963699</v>
      </c>
      <c r="AI5087">
        <v>91.522915660837498</v>
      </c>
      <c r="AJ5087">
        <v>90.3795231660132</v>
      </c>
      <c r="AK5087">
        <v>42.016993881518196</v>
      </c>
      <c r="AL5087">
        <v>80.596257595075002</v>
      </c>
      <c r="AM5087">
        <v>88.765257614971006</v>
      </c>
      <c r="AN5087">
        <v>0.99999998707959203</v>
      </c>
    </row>
    <row r="5088" spans="1:40" x14ac:dyDescent="0.25">
      <c r="A5088" t="str">
        <f>"20190303162923352"</f>
        <v>20190303162923352</v>
      </c>
      <c r="B5088" t="str">
        <f>"1551601763336932"</f>
        <v>1551601763336932</v>
      </c>
      <c r="C5088" t="s">
        <v>40</v>
      </c>
      <c r="D5088">
        <v>5.8136330000000003</v>
      </c>
      <c r="E5088">
        <v>0.48806430000000001</v>
      </c>
      <c r="F5088" t="s">
        <v>41</v>
      </c>
      <c r="G5088">
        <v>-352.3186</v>
      </c>
      <c r="H5088" s="1">
        <v>-3.5894860000000001E-6</v>
      </c>
      <c r="I5088">
        <v>17.858090000000001</v>
      </c>
      <c r="J5088">
        <v>-396.18529999999998</v>
      </c>
      <c r="K5088">
        <v>1.1166780000000001</v>
      </c>
      <c r="L5088">
        <v>20.548680000000001</v>
      </c>
      <c r="M5088">
        <v>0.99728349999999999</v>
      </c>
      <c r="N5088">
        <v>-1.2231590000000001E-2</v>
      </c>
      <c r="O5088">
        <v>-7.2637950000000007E-2</v>
      </c>
      <c r="P5088">
        <v>0.98446599999999995</v>
      </c>
      <c r="Q5088">
        <v>0.15260370000000001</v>
      </c>
      <c r="R5088">
        <v>-8.682927E-2</v>
      </c>
      <c r="S5088">
        <v>3.0423580000000001</v>
      </c>
      <c r="T5088">
        <v>-7.7142829999999996E-2</v>
      </c>
      <c r="U5088">
        <v>-0.18688959999999999</v>
      </c>
      <c r="V5088">
        <v>1.6874670000000001E-2</v>
      </c>
      <c r="W5088">
        <v>0.1645057</v>
      </c>
      <c r="X5088">
        <v>0.98623179999999999</v>
      </c>
      <c r="Y5088">
        <v>-1.1343499999999999E-2</v>
      </c>
      <c r="Z5088">
        <v>1.1619880000000001E-3</v>
      </c>
      <c r="AA5088">
        <v>0.99993500000000002</v>
      </c>
      <c r="AB5088">
        <v>32</v>
      </c>
      <c r="AC5088">
        <v>43.866699999999902</v>
      </c>
      <c r="AD5088">
        <v>-1.116681589486</v>
      </c>
      <c r="AE5088">
        <v>-2.69058999999999</v>
      </c>
      <c r="AF5088">
        <v>-0.502819106475904</v>
      </c>
      <c r="AG5088">
        <v>-1.116681589486</v>
      </c>
      <c r="AH5088">
        <v>43.917903796496603</v>
      </c>
      <c r="AI5088">
        <v>91.456425820813493</v>
      </c>
      <c r="AJ5088">
        <v>90.655954667178506</v>
      </c>
      <c r="AK5088">
        <v>43.934975574187597</v>
      </c>
      <c r="AL5088">
        <v>80.531479417627395</v>
      </c>
      <c r="AM5088">
        <v>89.019750694864598</v>
      </c>
      <c r="AN5088">
        <v>1.0000000215756599</v>
      </c>
    </row>
    <row r="5089" spans="1:40" x14ac:dyDescent="0.25">
      <c r="A5089" t="str">
        <f>"20190303162923365"</f>
        <v>20190303162923365</v>
      </c>
      <c r="B5089" t="str">
        <f>"1551601763357427"</f>
        <v>1551601763357427</v>
      </c>
      <c r="C5089" t="s">
        <v>40</v>
      </c>
      <c r="D5089">
        <v>5.8022450000000001</v>
      </c>
      <c r="E5089">
        <v>0.48826900000000001</v>
      </c>
      <c r="F5089" t="s">
        <v>41</v>
      </c>
      <c r="G5089">
        <v>-350.12920000000003</v>
      </c>
      <c r="H5089" s="1">
        <v>-4.5396809999999996E-6</v>
      </c>
      <c r="I5089">
        <v>17.796420000000001</v>
      </c>
      <c r="J5089">
        <v>-395.98849999999999</v>
      </c>
      <c r="K5089">
        <v>1.116695</v>
      </c>
      <c r="L5089">
        <v>20.531310000000001</v>
      </c>
      <c r="M5089">
        <v>0.99704309999999996</v>
      </c>
      <c r="N5089">
        <v>-1.222883E-2</v>
      </c>
      <c r="O5089">
        <v>-7.5867110000000001E-2</v>
      </c>
      <c r="P5089">
        <v>0.98442019999999997</v>
      </c>
      <c r="Q5089">
        <v>0.15349570000000001</v>
      </c>
      <c r="R5089">
        <v>-8.5767490000000002E-2</v>
      </c>
      <c r="S5089">
        <v>3.0427249999999999</v>
      </c>
      <c r="T5089">
        <v>-7.3774220000000001E-2</v>
      </c>
      <c r="U5089">
        <v>-0.1818237</v>
      </c>
      <c r="V5089">
        <v>1.2623819999999999E-2</v>
      </c>
      <c r="W5089">
        <v>0.16544059999999999</v>
      </c>
      <c r="X5089">
        <v>0.98613890000000004</v>
      </c>
      <c r="Y5089">
        <v>-1.6246569999999998E-2</v>
      </c>
      <c r="Z5089">
        <v>1.203312E-3</v>
      </c>
      <c r="AA5089">
        <v>0.99986730000000001</v>
      </c>
      <c r="AB5089">
        <v>32</v>
      </c>
      <c r="AC5089">
        <v>45.859299999999898</v>
      </c>
      <c r="AD5089">
        <v>-1.116699539681</v>
      </c>
      <c r="AE5089">
        <v>-2.73489</v>
      </c>
      <c r="AF5089">
        <v>-0.75202117388092704</v>
      </c>
      <c r="AG5089">
        <v>-1.116699539681</v>
      </c>
      <c r="AH5089">
        <v>45.907490204621297</v>
      </c>
      <c r="AI5089">
        <v>91.393257994104104</v>
      </c>
      <c r="AJ5089">
        <v>90.938491424446894</v>
      </c>
      <c r="AK5089">
        <v>45.9272273340694</v>
      </c>
      <c r="AL5089">
        <v>80.477168670837699</v>
      </c>
      <c r="AM5089">
        <v>89.266581916526107</v>
      </c>
      <c r="AN5089">
        <v>0.99999994152647897</v>
      </c>
    </row>
    <row r="5090" spans="1:40" x14ac:dyDescent="0.25">
      <c r="A5090" t="str">
        <f>"20190303162923382"</f>
        <v>20190303162923382</v>
      </c>
      <c r="B5090" t="str">
        <f>"1551601763376948"</f>
        <v>1551601763376948</v>
      </c>
      <c r="C5090" t="s">
        <v>40</v>
      </c>
      <c r="D5090">
        <v>5.7447470000000003</v>
      </c>
      <c r="E5090">
        <v>0.4885428</v>
      </c>
      <c r="F5090" t="s">
        <v>41</v>
      </c>
      <c r="G5090">
        <v>-348.25529999999998</v>
      </c>
      <c r="H5090" s="1">
        <v>-1.086314E-6</v>
      </c>
      <c r="I5090">
        <v>17.712540000000001</v>
      </c>
      <c r="J5090">
        <v>-395.73700000000002</v>
      </c>
      <c r="K5090">
        <v>1.1167210000000001</v>
      </c>
      <c r="L5090">
        <v>20.508179999999999</v>
      </c>
      <c r="M5090">
        <v>0.9967241</v>
      </c>
      <c r="N5090">
        <v>-1.222495E-2</v>
      </c>
      <c r="O5090">
        <v>-7.9948599999999995E-2</v>
      </c>
      <c r="P5090">
        <v>0.98457360000000005</v>
      </c>
      <c r="Q5090">
        <v>0.15448210000000001</v>
      </c>
      <c r="R5090">
        <v>-8.2160159999999996E-2</v>
      </c>
      <c r="S5090">
        <v>3.0429379999999999</v>
      </c>
      <c r="T5090">
        <v>-7.1188089999999996E-2</v>
      </c>
      <c r="U5090">
        <v>-0.1796875</v>
      </c>
      <c r="V5090">
        <v>4.9691960000000004E-3</v>
      </c>
      <c r="W5090">
        <v>0.16650470000000001</v>
      </c>
      <c r="X5090">
        <v>0.98602809999999996</v>
      </c>
      <c r="Y5090">
        <v>-2.1042620000000001E-2</v>
      </c>
      <c r="Z5090">
        <v>1.2626880000000001E-3</v>
      </c>
      <c r="AA5090">
        <v>0.99977780000000005</v>
      </c>
      <c r="AB5090">
        <v>32</v>
      </c>
      <c r="AC5090">
        <v>47.481699999999897</v>
      </c>
      <c r="AD5090">
        <v>-1.1167220863139999</v>
      </c>
      <c r="AE5090">
        <v>-2.7956399999999899</v>
      </c>
      <c r="AF5090">
        <v>-1.0091327819651099</v>
      </c>
      <c r="AG5090">
        <v>-1.1167220863139999</v>
      </c>
      <c r="AH5090">
        <v>47.527013510743899</v>
      </c>
      <c r="AI5090">
        <v>91.345703772587996</v>
      </c>
      <c r="AJ5090">
        <v>91.216368514339095</v>
      </c>
      <c r="AK5090">
        <v>47.5508404809014</v>
      </c>
      <c r="AL5090">
        <v>80.415342909590194</v>
      </c>
      <c r="AM5090">
        <v>89.711254123433093</v>
      </c>
      <c r="AN5090">
        <v>0.99999996101029198</v>
      </c>
    </row>
    <row r="5091" spans="1:40" x14ac:dyDescent="0.25">
      <c r="A5091" t="str">
        <f>"20190303162923394"</f>
        <v>20190303162923394</v>
      </c>
      <c r="B5091" t="str">
        <f>"1551601763387684"</f>
        <v>1551601763387684</v>
      </c>
      <c r="C5091" t="s">
        <v>40</v>
      </c>
      <c r="D5091">
        <v>5.745355</v>
      </c>
      <c r="E5091">
        <v>0.48870809999999998</v>
      </c>
      <c r="F5091" t="s">
        <v>41</v>
      </c>
      <c r="G5091">
        <v>-346.1431</v>
      </c>
      <c r="H5091" s="1">
        <v>-1.9697579999999999E-6</v>
      </c>
      <c r="I5091">
        <v>17.73976</v>
      </c>
      <c r="J5091">
        <v>-395.57100000000003</v>
      </c>
      <c r="K5091">
        <v>1.1167469999999999</v>
      </c>
      <c r="L5091">
        <v>20.492190000000001</v>
      </c>
      <c r="M5091">
        <v>0.99650760000000005</v>
      </c>
      <c r="N5091">
        <v>-1.2221869999999999E-2</v>
      </c>
      <c r="O5091">
        <v>-8.2604529999999995E-2</v>
      </c>
      <c r="P5091">
        <v>0.98466849999999995</v>
      </c>
      <c r="Q5091">
        <v>0.15447629999999901</v>
      </c>
      <c r="R5091">
        <v>-8.1025719999999996E-2</v>
      </c>
      <c r="S5091">
        <v>3.0435490000000001</v>
      </c>
      <c r="T5091">
        <v>-6.8532709999999997E-2</v>
      </c>
      <c r="U5091">
        <v>-0.1698914</v>
      </c>
      <c r="V5091">
        <v>1.1868040000000001E-3</v>
      </c>
      <c r="W5091">
        <v>0.16653670000000001</v>
      </c>
      <c r="X5091">
        <v>0.98603459999999998</v>
      </c>
      <c r="Y5091">
        <v>-2.692458E-2</v>
      </c>
      <c r="Z5091">
        <v>1.3130349999999999E-3</v>
      </c>
      <c r="AA5091">
        <v>0.99963659999999999</v>
      </c>
      <c r="AB5091">
        <v>32</v>
      </c>
      <c r="AC5091">
        <v>49.427899999999902</v>
      </c>
      <c r="AD5091">
        <v>-1.116748969758</v>
      </c>
      <c r="AE5091">
        <v>-2.7524299999999999</v>
      </c>
      <c r="AF5091">
        <v>-1.3395692601684199</v>
      </c>
      <c r="AG5091">
        <v>-1.116748969758</v>
      </c>
      <c r="AH5091">
        <v>49.461160213280898</v>
      </c>
      <c r="AI5091">
        <v>91.2929476643816</v>
      </c>
      <c r="AJ5091">
        <v>91.551377020763695</v>
      </c>
      <c r="AK5091">
        <v>49.491897758199698</v>
      </c>
      <c r="AL5091">
        <v>80.413484408919601</v>
      </c>
      <c r="AM5091">
        <v>89.931038091895502</v>
      </c>
      <c r="AN5091">
        <v>1.00000005667389</v>
      </c>
    </row>
    <row r="5092" spans="1:40" x14ac:dyDescent="0.25">
      <c r="A5092" t="str">
        <f>"20190303162923408"</f>
        <v>20190303162923408</v>
      </c>
      <c r="B5092" t="str">
        <f>"1551601763397443"</f>
        <v>1551601763397443</v>
      </c>
      <c r="C5092" t="s">
        <v>40</v>
      </c>
      <c r="D5092">
        <v>5.5656119999999998</v>
      </c>
      <c r="E5092">
        <v>0.48883690000000002</v>
      </c>
      <c r="F5092" t="s">
        <v>41</v>
      </c>
      <c r="G5092">
        <v>-346.33229999999998</v>
      </c>
      <c r="H5092" s="1">
        <v>-1.881137E-6</v>
      </c>
      <c r="I5092">
        <v>17.781829999999999</v>
      </c>
      <c r="J5092">
        <v>-395.38420000000002</v>
      </c>
      <c r="K5092">
        <v>1.1167800000000001</v>
      </c>
      <c r="L5092">
        <v>20.47391</v>
      </c>
      <c r="M5092">
        <v>0.99625730000000001</v>
      </c>
      <c r="N5092">
        <v>-1.221826E-2</v>
      </c>
      <c r="O5092">
        <v>-8.5569549999999994E-2</v>
      </c>
      <c r="P5092">
        <v>0.9847593</v>
      </c>
      <c r="Q5092">
        <v>0.15428459999999999</v>
      </c>
      <c r="R5092">
        <v>-8.0284980000000006E-2</v>
      </c>
      <c r="S5092">
        <v>3.043793</v>
      </c>
      <c r="T5092">
        <v>-6.9034219999999993E-2</v>
      </c>
      <c r="U5092">
        <v>-0.16754150000000001</v>
      </c>
      <c r="V5092">
        <v>-2.516286E-3</v>
      </c>
      <c r="W5092">
        <v>0.16638059999999999</v>
      </c>
      <c r="X5092">
        <v>0.9860584</v>
      </c>
      <c r="Y5092">
        <v>-3.067102E-2</v>
      </c>
      <c r="Z5092">
        <v>1.4249009999999999E-3</v>
      </c>
      <c r="AA5092">
        <v>0.99952850000000004</v>
      </c>
      <c r="AB5092">
        <v>32</v>
      </c>
      <c r="AC5092">
        <v>49.051900000000003</v>
      </c>
      <c r="AD5092">
        <v>-1.1167818811369901</v>
      </c>
      <c r="AE5092">
        <v>-2.6920799999999998</v>
      </c>
      <c r="AF5092">
        <v>-1.5146749708881799</v>
      </c>
      <c r="AG5092">
        <v>-1.1167818811369901</v>
      </c>
      <c r="AH5092">
        <v>49.076975017240997</v>
      </c>
      <c r="AI5092">
        <v>91.302961514565297</v>
      </c>
      <c r="AJ5092">
        <v>91.767772843296996</v>
      </c>
      <c r="AK5092">
        <v>49.113042248270098</v>
      </c>
      <c r="AL5092">
        <v>80.422554297346196</v>
      </c>
      <c r="AM5092">
        <v>90.146210665512498</v>
      </c>
      <c r="AN5092">
        <v>1.00000000198107</v>
      </c>
    </row>
    <row r="5093" spans="1:40" x14ac:dyDescent="0.25">
      <c r="A5093" t="str">
        <f>"20190303162923427"</f>
        <v>20190303162923427</v>
      </c>
      <c r="B5093" t="str">
        <f>"1551601763416963"</f>
        <v>1551601763416963</v>
      </c>
      <c r="C5093" t="s">
        <v>40</v>
      </c>
      <c r="D5093">
        <v>5.7967259999999996</v>
      </c>
      <c r="E5093">
        <v>0.48897550000000001</v>
      </c>
      <c r="F5093" t="s">
        <v>41</v>
      </c>
      <c r="G5093">
        <v>-346.91180000000003</v>
      </c>
      <c r="H5093" s="1">
        <v>-1.624672E-6</v>
      </c>
      <c r="I5093">
        <v>17.82619</v>
      </c>
      <c r="J5093">
        <v>-395.10660000000001</v>
      </c>
      <c r="K5093">
        <v>1.116849</v>
      </c>
      <c r="L5093">
        <v>20.445709999999998</v>
      </c>
      <c r="M5093">
        <v>0.99587669999999995</v>
      </c>
      <c r="N5093">
        <v>-1.221217E-2</v>
      </c>
      <c r="O5093">
        <v>-8.9892009999999994E-2</v>
      </c>
      <c r="P5093">
        <v>0.98513660000000003</v>
      </c>
      <c r="Q5093">
        <v>0.15308939999999999</v>
      </c>
      <c r="R5093">
        <v>-7.7909800000000001E-2</v>
      </c>
      <c r="S5093">
        <v>3.0438540000000001</v>
      </c>
      <c r="T5093">
        <v>-7.0129040000000004E-2</v>
      </c>
      <c r="U5093">
        <v>-0.16625980000000001</v>
      </c>
      <c r="V5093">
        <v>-9.2449530000000002E-3</v>
      </c>
      <c r="W5093">
        <v>0.16525109999999901</v>
      </c>
      <c r="X5093">
        <v>0.98620819999999998</v>
      </c>
      <c r="Y5093">
        <v>-3.5426039999999999E-2</v>
      </c>
      <c r="Z5093">
        <v>1.59144E-3</v>
      </c>
      <c r="AA5093">
        <v>0.99937109999999996</v>
      </c>
      <c r="AB5093">
        <v>32</v>
      </c>
      <c r="AC5093">
        <v>48.194800000000001</v>
      </c>
      <c r="AD5093">
        <v>-1.116850624672</v>
      </c>
      <c r="AE5093">
        <v>-2.6195200000000001</v>
      </c>
      <c r="AF5093">
        <v>-1.7228144957202001</v>
      </c>
      <c r="AG5093">
        <v>-1.116850624672</v>
      </c>
      <c r="AH5093">
        <v>48.209333472478903</v>
      </c>
      <c r="AI5093">
        <v>91.326269810114994</v>
      </c>
      <c r="AJ5093">
        <v>92.046657870636807</v>
      </c>
      <c r="AK5093">
        <v>48.253033883530797</v>
      </c>
      <c r="AL5093">
        <v>80.488178358988904</v>
      </c>
      <c r="AM5093">
        <v>90.5370886934098</v>
      </c>
      <c r="AN5093">
        <v>1.0000000044772099</v>
      </c>
    </row>
    <row r="5094" spans="1:40" x14ac:dyDescent="0.25">
      <c r="A5094" t="str">
        <f>"20190303162923439"</f>
        <v>20190303162923439</v>
      </c>
      <c r="B5094" t="str">
        <f>"1551601763426723"</f>
        <v>1551601763426723</v>
      </c>
      <c r="C5094" t="s">
        <v>40</v>
      </c>
      <c r="D5094">
        <v>5.579453</v>
      </c>
      <c r="E5094">
        <v>0.50204519999999997</v>
      </c>
      <c r="F5094" t="s">
        <v>41</v>
      </c>
      <c r="G5094">
        <v>-349.22829999999999</v>
      </c>
      <c r="H5094" s="1">
        <v>-6.6605329999999997E-7</v>
      </c>
      <c r="I5094">
        <v>18.04758</v>
      </c>
      <c r="J5094">
        <v>-394.93389999999999</v>
      </c>
      <c r="K5094">
        <v>1.1168940000000001</v>
      </c>
      <c r="L5094">
        <v>20.427610000000001</v>
      </c>
      <c r="M5094">
        <v>0.99563500000000005</v>
      </c>
      <c r="N5094">
        <v>-1.220798E-2</v>
      </c>
      <c r="O5094">
        <v>-9.253103E-2</v>
      </c>
      <c r="P5094">
        <v>0.98516420000000005</v>
      </c>
      <c r="Q5094">
        <v>0.15295069999999999</v>
      </c>
      <c r="R5094">
        <v>-7.7832239999999997E-2</v>
      </c>
      <c r="S5094">
        <v>3.0441889999999998</v>
      </c>
      <c r="T5094">
        <v>-7.4107049999999994E-2</v>
      </c>
      <c r="U5094">
        <v>-0.1591187</v>
      </c>
      <c r="V5094">
        <v>-1.196561E-2</v>
      </c>
      <c r="W5094">
        <v>0.1651349</v>
      </c>
      <c r="X5094">
        <v>0.98619840000000003</v>
      </c>
      <c r="Y5094">
        <v>-4.0412730000000001E-2</v>
      </c>
      <c r="Z5094">
        <v>1.854606E-3</v>
      </c>
      <c r="AA5094">
        <v>0.99918130000000005</v>
      </c>
      <c r="AB5094">
        <v>32</v>
      </c>
      <c r="AC5094">
        <v>45.705599999999997</v>
      </c>
      <c r="AD5094">
        <v>-1.1168946660532999</v>
      </c>
      <c r="AE5094">
        <v>-2.3800300000000001</v>
      </c>
      <c r="AF5094">
        <v>-1.85857673241393</v>
      </c>
      <c r="AG5094">
        <v>-1.1168946660532999</v>
      </c>
      <c r="AH5094">
        <v>45.702510065102402</v>
      </c>
      <c r="AI5094">
        <v>91.398780866791199</v>
      </c>
      <c r="AJ5094">
        <v>92.328755190144406</v>
      </c>
      <c r="AK5094">
        <v>45.753919913119098</v>
      </c>
      <c r="AL5094">
        <v>80.494928806031794</v>
      </c>
      <c r="AM5094">
        <v>90.695139348855193</v>
      </c>
      <c r="AN5094">
        <v>0.99999999759162095</v>
      </c>
    </row>
    <row r="5095" spans="1:40" x14ac:dyDescent="0.25">
      <c r="A5095" t="str">
        <f>"20190303162923453"</f>
        <v>20190303162923453</v>
      </c>
      <c r="B5095" t="str">
        <f>"1551601763447220"</f>
        <v>1551601763447220</v>
      </c>
      <c r="C5095" t="s">
        <v>40</v>
      </c>
      <c r="D5095">
        <v>5.4991409999999998</v>
      </c>
      <c r="E5095">
        <v>0.50291070000000004</v>
      </c>
      <c r="F5095" t="s">
        <v>62</v>
      </c>
      <c r="G5095">
        <v>-365.15879999999999</v>
      </c>
      <c r="H5095" s="1">
        <v>-2.6012190000000001E-6</v>
      </c>
      <c r="I5095">
        <v>17.85558</v>
      </c>
      <c r="J5095">
        <v>-394.76330000000002</v>
      </c>
      <c r="K5095">
        <v>1.1169450000000001</v>
      </c>
      <c r="L5095">
        <v>20.409269999999999</v>
      </c>
      <c r="M5095">
        <v>0.99539390000000005</v>
      </c>
      <c r="N5095">
        <v>-1.220367E-2</v>
      </c>
      <c r="O5095">
        <v>-9.5090930000000004E-2</v>
      </c>
      <c r="P5095">
        <v>0.98520200000000002</v>
      </c>
      <c r="Q5095">
        <v>0.15264510000000001</v>
      </c>
      <c r="R5095">
        <v>-7.795473E-2</v>
      </c>
      <c r="S5095">
        <v>3.0421450000000001</v>
      </c>
      <c r="T5095">
        <v>-0.1141144</v>
      </c>
      <c r="U5095">
        <v>-0.26278689999999999</v>
      </c>
      <c r="V5095">
        <v>-1.4413479999999999E-2</v>
      </c>
      <c r="W5095">
        <v>0.16484799999999999</v>
      </c>
      <c r="X5095">
        <v>0.98621369999999997</v>
      </c>
      <c r="Y5095">
        <v>-9.0352969999999994E-3</v>
      </c>
      <c r="Z5095">
        <v>2.6151849999999999E-3</v>
      </c>
      <c r="AA5095">
        <v>0.99995579999999995</v>
      </c>
      <c r="AB5095">
        <v>32</v>
      </c>
      <c r="AC5095">
        <v>29.604500000000002</v>
      </c>
      <c r="AD5095">
        <v>-1.1169476012190001</v>
      </c>
      <c r="AE5095">
        <v>-2.55369</v>
      </c>
      <c r="AF5095">
        <v>-0.27282680861777497</v>
      </c>
      <c r="AG5095">
        <v>-1.1169476012190001</v>
      </c>
      <c r="AH5095">
        <v>29.671256341485002</v>
      </c>
      <c r="AI5095">
        <v>92.155738798637898</v>
      </c>
      <c r="AJ5095">
        <v>90.5268190860846</v>
      </c>
      <c r="AK5095">
        <v>29.693525545032202</v>
      </c>
      <c r="AL5095">
        <v>80.511595756086507</v>
      </c>
      <c r="AM5095">
        <v>90.837316274537997</v>
      </c>
      <c r="AN5095">
        <v>1.0000000367886901</v>
      </c>
    </row>
    <row r="5096" spans="1:40" x14ac:dyDescent="0.25">
      <c r="A5096" t="str">
        <f>"20190303162923465"</f>
        <v>20190303162923465</v>
      </c>
      <c r="B5096" t="str">
        <f>"1551601763457956"</f>
        <v>1551601763457956</v>
      </c>
      <c r="C5096" t="s">
        <v>40</v>
      </c>
      <c r="D5096">
        <v>5.7975399999999997</v>
      </c>
      <c r="E5096">
        <v>0.50359670000000001</v>
      </c>
      <c r="F5096" t="s">
        <v>62</v>
      </c>
      <c r="G5096">
        <v>-365.83839999999998</v>
      </c>
      <c r="H5096" s="1">
        <v>-2.2813239999999999E-6</v>
      </c>
      <c r="I5096">
        <v>17.847850000000001</v>
      </c>
      <c r="J5096">
        <v>-394.5677</v>
      </c>
      <c r="K5096">
        <v>1.117008</v>
      </c>
      <c r="L5096">
        <v>20.387820000000001</v>
      </c>
      <c r="M5096">
        <v>0.99511249999999996</v>
      </c>
      <c r="N5096">
        <v>-1.2198779999999999E-2</v>
      </c>
      <c r="O5096">
        <v>-9.7991449999999994E-2</v>
      </c>
      <c r="P5096">
        <v>0.98522699999999996</v>
      </c>
      <c r="Q5096">
        <v>0.1518661</v>
      </c>
      <c r="R5096">
        <v>-7.9148659999999996E-2</v>
      </c>
      <c r="S5096">
        <v>3.0419619999999998</v>
      </c>
      <c r="T5096">
        <v>-0.11746669999999999</v>
      </c>
      <c r="U5096">
        <v>-0.26937870000000003</v>
      </c>
      <c r="V5096">
        <v>-1.614142E-2</v>
      </c>
      <c r="W5096">
        <v>0.16408</v>
      </c>
      <c r="X5096">
        <v>0.98631500000000005</v>
      </c>
      <c r="Y5096">
        <v>-9.7891249999999992E-3</v>
      </c>
      <c r="Z5096">
        <v>2.8194629999999999E-3</v>
      </c>
      <c r="AA5096">
        <v>0.99994810000000001</v>
      </c>
      <c r="AB5096">
        <v>32</v>
      </c>
      <c r="AC5096">
        <v>28.729299999999999</v>
      </c>
      <c r="AD5096">
        <v>-1.1170102813239999</v>
      </c>
      <c r="AE5096">
        <v>-2.5399699999999998</v>
      </c>
      <c r="AF5096">
        <v>-0.28726038895160799</v>
      </c>
      <c r="AG5096">
        <v>-1.1170102813239999</v>
      </c>
      <c r="AH5096">
        <v>28.796732227973099</v>
      </c>
      <c r="AI5096">
        <v>92.221249457023504</v>
      </c>
      <c r="AJ5096">
        <v>90.571532279216001</v>
      </c>
      <c r="AK5096">
        <v>28.819819872949001</v>
      </c>
      <c r="AL5096">
        <v>80.556206361248101</v>
      </c>
      <c r="AM5096">
        <v>90.937583520214702</v>
      </c>
      <c r="AN5096">
        <v>1.0000000355323</v>
      </c>
    </row>
    <row r="5097" spans="1:40" x14ac:dyDescent="0.25">
      <c r="A5097" t="str">
        <f>"20190303162923487"</f>
        <v>20190303162923487</v>
      </c>
      <c r="B5097" t="str">
        <f>"1551601763476878"</f>
        <v>1551601763476878</v>
      </c>
      <c r="C5097" t="s">
        <v>40</v>
      </c>
      <c r="D5097">
        <v>5.563015</v>
      </c>
      <c r="E5097">
        <v>0.50377740000000004</v>
      </c>
      <c r="F5097" t="s">
        <v>62</v>
      </c>
      <c r="G5097">
        <v>-366.27730000000003</v>
      </c>
      <c r="H5097" s="1">
        <v>-2.0825439999999999E-6</v>
      </c>
      <c r="I5097">
        <v>17.79899</v>
      </c>
      <c r="J5097">
        <v>-394.26690000000002</v>
      </c>
      <c r="K5097">
        <v>1.117116</v>
      </c>
      <c r="L5097">
        <v>20.35379</v>
      </c>
      <c r="M5097">
        <v>0.99467899999999998</v>
      </c>
      <c r="N5097">
        <v>-1.219084E-2</v>
      </c>
      <c r="O5097">
        <v>-0.1023004</v>
      </c>
      <c r="P5097">
        <v>0.98540340000000004</v>
      </c>
      <c r="Q5097">
        <v>0.1506295</v>
      </c>
      <c r="R5097">
        <v>-7.9315789999999997E-2</v>
      </c>
      <c r="S5097">
        <v>3.0411069999999998</v>
      </c>
      <c r="T5097">
        <v>-0.1200744</v>
      </c>
      <c r="U5097">
        <v>-0.27828979999999998</v>
      </c>
      <c r="V5097">
        <v>-2.0332099999999999E-2</v>
      </c>
      <c r="W5097">
        <v>0.1628724</v>
      </c>
      <c r="X5097">
        <v>0.98643760000000003</v>
      </c>
      <c r="Y5097">
        <v>-1.1183179999999999E-2</v>
      </c>
      <c r="Z5097">
        <v>3.0604690000000001E-3</v>
      </c>
      <c r="AA5097">
        <v>0.99993279999999995</v>
      </c>
      <c r="AB5097">
        <v>32</v>
      </c>
      <c r="AC5097">
        <v>27.989599999999999</v>
      </c>
      <c r="AD5097">
        <v>-1.1171180825439999</v>
      </c>
      <c r="AE5097">
        <v>-2.5548000000000002</v>
      </c>
      <c r="AF5097">
        <v>-0.32165710537117198</v>
      </c>
      <c r="AG5097">
        <v>-1.1171180825439999</v>
      </c>
      <c r="AH5097">
        <v>28.059779835039102</v>
      </c>
      <c r="AI5097">
        <v>92.279710278599893</v>
      </c>
      <c r="AJ5097">
        <v>90.656768780875595</v>
      </c>
      <c r="AK5097">
        <v>28.0838505282778</v>
      </c>
      <c r="AL5097">
        <v>80.626339673629204</v>
      </c>
      <c r="AM5097">
        <v>91.180792975859504</v>
      </c>
      <c r="AN5097">
        <v>0.99999997583296396</v>
      </c>
    </row>
    <row r="5098" spans="1:40" x14ac:dyDescent="0.25">
      <c r="A5098" t="str">
        <f>"20190303162923519"</f>
        <v>20190303162923519</v>
      </c>
      <c r="B5098" t="str">
        <f>"1551601763507134"</f>
        <v>1551601763507134</v>
      </c>
      <c r="C5098" t="s">
        <v>40</v>
      </c>
      <c r="D5098">
        <v>5.5138420000000004</v>
      </c>
      <c r="E5098">
        <v>0.50387159999999998</v>
      </c>
      <c r="F5098" t="s">
        <v>62</v>
      </c>
      <c r="G5098">
        <v>-366.65910000000002</v>
      </c>
      <c r="H5098" s="1">
        <v>-1.9019050000000001E-6</v>
      </c>
      <c r="I5098">
        <v>17.79984</v>
      </c>
      <c r="J5098">
        <v>-393.81049999999999</v>
      </c>
      <c r="K5098">
        <v>1.1172869999999999</v>
      </c>
      <c r="L5098">
        <v>20.29993</v>
      </c>
      <c r="M5098">
        <v>0.99401569999999995</v>
      </c>
      <c r="N5098">
        <v>-1.217788E-2</v>
      </c>
      <c r="O5098">
        <v>-0.1085566</v>
      </c>
      <c r="P5098">
        <v>0.9859523</v>
      </c>
      <c r="Q5098">
        <v>0.147289</v>
      </c>
      <c r="R5098">
        <v>-7.8767309999999993E-2</v>
      </c>
      <c r="S5098">
        <v>3.0405880000000001</v>
      </c>
      <c r="T5098">
        <v>-0.1230339</v>
      </c>
      <c r="U5098">
        <v>-0.28128049999999999</v>
      </c>
      <c r="V5098">
        <v>-2.725849E-2</v>
      </c>
      <c r="W5098">
        <v>0.1595782</v>
      </c>
      <c r="X5098">
        <v>0.98680889999999999</v>
      </c>
      <c r="Y5098">
        <v>-1.6472259999999999E-2</v>
      </c>
      <c r="Z5098">
        <v>3.480033E-3</v>
      </c>
      <c r="AA5098">
        <v>0.99985829999999998</v>
      </c>
      <c r="AB5098">
        <v>32</v>
      </c>
      <c r="AC5098">
        <v>27.151399999999899</v>
      </c>
      <c r="AD5098">
        <v>-1.1172889019050001</v>
      </c>
      <c r="AE5098">
        <v>-2.5000900000000001</v>
      </c>
      <c r="AF5098">
        <v>-0.46159416430368899</v>
      </c>
      <c r="AG5098">
        <v>-1.1172889019050001</v>
      </c>
      <c r="AH5098">
        <v>27.216640278484</v>
      </c>
      <c r="AI5098">
        <v>92.350430623775594</v>
      </c>
      <c r="AJ5098">
        <v>90.971643150640901</v>
      </c>
      <c r="AK5098">
        <v>27.243474662958</v>
      </c>
      <c r="AL5098">
        <v>80.817585852224397</v>
      </c>
      <c r="AM5098">
        <v>91.582271284676906</v>
      </c>
      <c r="AN5098">
        <v>1.0000000161557601</v>
      </c>
    </row>
    <row r="5099" spans="1:40" x14ac:dyDescent="0.25">
      <c r="A5099" t="str">
        <f>"20190303162923538"</f>
        <v>20190303162923538</v>
      </c>
      <c r="B5099" t="str">
        <f>"1551601763526654"</f>
        <v>1551601763526654</v>
      </c>
      <c r="C5099" t="s">
        <v>40</v>
      </c>
      <c r="D5099">
        <v>5.4006480000000003</v>
      </c>
      <c r="E5099">
        <v>0.50405599999999995</v>
      </c>
      <c r="F5099" t="s">
        <v>62</v>
      </c>
      <c r="G5099">
        <v>-368.01670000000001</v>
      </c>
      <c r="H5099" s="1">
        <v>-1.242487E-6</v>
      </c>
      <c r="I5099">
        <v>17.899450000000002</v>
      </c>
      <c r="J5099">
        <v>-393.53910000000002</v>
      </c>
      <c r="K5099">
        <v>1.1173839999999999</v>
      </c>
      <c r="L5099">
        <v>20.266690000000001</v>
      </c>
      <c r="M5099">
        <v>0.99362079999999997</v>
      </c>
      <c r="N5099">
        <v>-1.2170449999999999E-2</v>
      </c>
      <c r="O5099">
        <v>-0.11211359999999999</v>
      </c>
      <c r="P5099">
        <v>0.98641259999999997</v>
      </c>
      <c r="Q5099">
        <v>0.14412610000000001</v>
      </c>
      <c r="R5099">
        <v>-7.8853649999999997E-2</v>
      </c>
      <c r="S5099">
        <v>3.039825</v>
      </c>
      <c r="T5099">
        <v>-0.1316735</v>
      </c>
      <c r="U5099">
        <v>-0.28289789999999998</v>
      </c>
      <c r="V5099">
        <v>-3.083369E-2</v>
      </c>
      <c r="W5099">
        <v>0.15643670000000001</v>
      </c>
      <c r="X5099">
        <v>0.98720660000000005</v>
      </c>
      <c r="Y5099">
        <v>-1.948387E-2</v>
      </c>
      <c r="Z5099">
        <v>4.0043630000000004E-3</v>
      </c>
      <c r="AA5099">
        <v>0.99980219999999997</v>
      </c>
      <c r="AB5099">
        <v>32</v>
      </c>
      <c r="AC5099">
        <v>25.522400000000001</v>
      </c>
      <c r="AD5099">
        <v>-1.1173852424870001</v>
      </c>
      <c r="AE5099">
        <v>-2.36723999999999</v>
      </c>
      <c r="AF5099">
        <v>-0.508340949059223</v>
      </c>
      <c r="AG5099">
        <v>-1.1173852424870001</v>
      </c>
      <c r="AH5099">
        <v>25.578278227753799</v>
      </c>
      <c r="AI5099">
        <v>92.500878413831103</v>
      </c>
      <c r="AJ5099">
        <v>91.138542514425495</v>
      </c>
      <c r="AK5099">
        <v>25.607719097901001</v>
      </c>
      <c r="AL5099">
        <v>80.999870479913</v>
      </c>
      <c r="AM5099">
        <v>91.788952968090996</v>
      </c>
      <c r="AN5099">
        <v>1.0000000143147301</v>
      </c>
    </row>
    <row r="5100" spans="1:40" x14ac:dyDescent="0.25">
      <c r="A5100" t="str">
        <f>"20190303162923551"</f>
        <v>20190303162923551</v>
      </c>
      <c r="B5100" t="str">
        <f>"1551601763537390"</f>
        <v>1551601763537390</v>
      </c>
      <c r="C5100" t="s">
        <v>40</v>
      </c>
      <c r="D5100">
        <v>5.7358500000000001</v>
      </c>
      <c r="E5100">
        <v>0.50420929999999997</v>
      </c>
      <c r="F5100" t="s">
        <v>62</v>
      </c>
      <c r="G5100">
        <v>-369.23160000000001</v>
      </c>
      <c r="H5100" s="1">
        <v>-7.3273749999999997E-7</v>
      </c>
      <c r="I5100">
        <v>17.973020000000002</v>
      </c>
      <c r="J5100">
        <v>-393.37490000000003</v>
      </c>
      <c r="K5100">
        <v>1.1174440000000001</v>
      </c>
      <c r="L5100">
        <v>20.246120000000001</v>
      </c>
      <c r="M5100">
        <v>0.99338269999999995</v>
      </c>
      <c r="N5100">
        <v>-1.216601E-2</v>
      </c>
      <c r="O5100">
        <v>-0.114205399999999</v>
      </c>
      <c r="P5100">
        <v>0.98660190000000003</v>
      </c>
      <c r="Q5100">
        <v>0.14257810000000001</v>
      </c>
      <c r="R5100">
        <v>-7.9296480000000003E-2</v>
      </c>
      <c r="S5100">
        <v>3.0387879999999998</v>
      </c>
      <c r="T5100">
        <v>-0.1396896</v>
      </c>
      <c r="U5100">
        <v>-0.28674319999999998</v>
      </c>
      <c r="V5100">
        <v>-3.2536290000000002E-2</v>
      </c>
      <c r="W5100">
        <v>0.15489649999999999</v>
      </c>
      <c r="X5100">
        <v>0.98739480000000002</v>
      </c>
      <c r="Y5100">
        <v>-2.028893E-2</v>
      </c>
      <c r="Z5100">
        <v>4.4187130000000003E-3</v>
      </c>
      <c r="AA5100">
        <v>0.99978440000000002</v>
      </c>
      <c r="AB5100">
        <v>32</v>
      </c>
      <c r="AC5100">
        <v>24.1433</v>
      </c>
      <c r="AD5100">
        <v>-1.1174447327374999</v>
      </c>
      <c r="AE5100">
        <v>-2.2730999999999901</v>
      </c>
      <c r="AF5100">
        <v>-0.49821605256139501</v>
      </c>
      <c r="AG5100">
        <v>-1.1174447327374999</v>
      </c>
      <c r="AH5100">
        <v>24.1935583492251</v>
      </c>
      <c r="AI5100">
        <v>92.643920909527196</v>
      </c>
      <c r="AJ5100">
        <v>91.179720758933797</v>
      </c>
      <c r="AK5100">
        <v>24.224474557007699</v>
      </c>
      <c r="AL5100">
        <v>81.089206477209302</v>
      </c>
      <c r="AM5100">
        <v>91.887307708034001</v>
      </c>
      <c r="AN5100">
        <v>1.00000001347312</v>
      </c>
    </row>
    <row r="5101" spans="1:40" x14ac:dyDescent="0.25">
      <c r="A5101" t="str">
        <f>"20190303162923574"</f>
        <v>20190303162923574</v>
      </c>
      <c r="B5101" t="str">
        <f>"1551601763566669"</f>
        <v>1551601763566669</v>
      </c>
      <c r="C5101" t="s">
        <v>40</v>
      </c>
      <c r="D5101">
        <v>5.5150560000000004</v>
      </c>
      <c r="E5101">
        <v>0.50459529999999997</v>
      </c>
      <c r="F5101" t="s">
        <v>62</v>
      </c>
      <c r="G5101">
        <v>-369.63040000000001</v>
      </c>
      <c r="H5101" s="1">
        <v>-5.7789149999999998E-7</v>
      </c>
      <c r="I5101">
        <v>17.979510000000001</v>
      </c>
      <c r="J5101">
        <v>-393.029</v>
      </c>
      <c r="K5101">
        <v>1.1175630000000001</v>
      </c>
      <c r="L5101">
        <v>20.201809999999998</v>
      </c>
      <c r="M5101">
        <v>0.99288209999999999</v>
      </c>
      <c r="N5101">
        <v>-1.215667E-2</v>
      </c>
      <c r="O5101">
        <v>-0.1184804</v>
      </c>
      <c r="P5101">
        <v>0.98674119999999998</v>
      </c>
      <c r="Q5101">
        <v>0.14013639999999999</v>
      </c>
      <c r="R5101">
        <v>-8.1876870000000004E-2</v>
      </c>
      <c r="S5101">
        <v>3.0380549999999999</v>
      </c>
      <c r="T5101">
        <v>-0.14297449999999901</v>
      </c>
      <c r="U5101">
        <v>-0.2900085</v>
      </c>
      <c r="V5101">
        <v>-3.4319740000000001E-2</v>
      </c>
      <c r="W5101">
        <v>0.15245300000000001</v>
      </c>
      <c r="X5101">
        <v>0.9877146</v>
      </c>
      <c r="Y5101">
        <v>-2.349263E-2</v>
      </c>
      <c r="Z5101">
        <v>4.7958330000000002E-3</v>
      </c>
      <c r="AA5101">
        <v>0.9997125</v>
      </c>
      <c r="AB5101">
        <v>32</v>
      </c>
      <c r="AC5101">
        <v>23.398599999999899</v>
      </c>
      <c r="AD5101">
        <v>-1.1175635778914901</v>
      </c>
      <c r="AE5101">
        <v>-2.2223000000000002</v>
      </c>
      <c r="AF5101">
        <v>-0.56455897438647695</v>
      </c>
      <c r="AG5101">
        <v>-1.1175635778914901</v>
      </c>
      <c r="AH5101">
        <v>23.4440807277464</v>
      </c>
      <c r="AI5101">
        <v>92.728395546431798</v>
      </c>
      <c r="AJ5101">
        <v>91.379478105207994</v>
      </c>
      <c r="AK5101">
        <v>23.477491270476101</v>
      </c>
      <c r="AL5101">
        <v>81.230891168664002</v>
      </c>
      <c r="AM5101">
        <v>91.990033837184995</v>
      </c>
      <c r="AN5101">
        <v>0.99999994640791201</v>
      </c>
    </row>
    <row r="5102" spans="1:40" x14ac:dyDescent="0.25">
      <c r="A5102" t="str">
        <f>"20190303162923587"</f>
        <v>20190303162923587</v>
      </c>
      <c r="B5102" t="str">
        <f>"1551601763577407"</f>
        <v>1551601763577407</v>
      </c>
      <c r="C5102" t="s">
        <v>40</v>
      </c>
      <c r="D5102">
        <v>5.7356910000000001</v>
      </c>
      <c r="E5102">
        <v>0.50493759999999999</v>
      </c>
      <c r="F5102" t="s">
        <v>61</v>
      </c>
      <c r="G5102">
        <v>-370.11189999999999</v>
      </c>
      <c r="H5102" s="1">
        <v>-4.9544229999999999E-6</v>
      </c>
      <c r="I5102">
        <v>17.92632</v>
      </c>
      <c r="J5102">
        <v>-392.85520000000002</v>
      </c>
      <c r="K5102">
        <v>1.1176219999999999</v>
      </c>
      <c r="L5102">
        <v>20.179079999999999</v>
      </c>
      <c r="M5102">
        <v>0.99263040000000002</v>
      </c>
      <c r="N5102">
        <v>-1.2152090000000001E-2</v>
      </c>
      <c r="O5102">
        <v>-0.1205715</v>
      </c>
      <c r="P5102">
        <v>0.98674589999999995</v>
      </c>
      <c r="Q5102">
        <v>0.139243899999999</v>
      </c>
      <c r="R5102">
        <v>-8.333053E-2</v>
      </c>
      <c r="S5102">
        <v>3.0363159999999998</v>
      </c>
      <c r="T5102">
        <v>-0.14806800000000001</v>
      </c>
      <c r="U5102">
        <v>-0.30148320000000001</v>
      </c>
      <c r="V5102">
        <v>-3.4992460000000003E-2</v>
      </c>
      <c r="W5102">
        <v>0.15155750000000001</v>
      </c>
      <c r="X5102">
        <v>0.98782890000000001</v>
      </c>
      <c r="Y5102">
        <v>-2.1793699999999999E-2</v>
      </c>
      <c r="Z5102">
        <v>5.039155E-3</v>
      </c>
      <c r="AA5102">
        <v>0.99974980000000002</v>
      </c>
      <c r="AB5102">
        <v>32</v>
      </c>
      <c r="AC5102">
        <v>22.743300000000001</v>
      </c>
      <c r="AD5102">
        <v>-1.117626954423</v>
      </c>
      <c r="AE5102">
        <v>-2.2527599999999901</v>
      </c>
      <c r="AF5102">
        <v>-0.50486571541625003</v>
      </c>
      <c r="AG5102">
        <v>-1.117626954423</v>
      </c>
      <c r="AH5102">
        <v>22.794483668563199</v>
      </c>
      <c r="AI5102">
        <v>92.806310755551493</v>
      </c>
      <c r="AJ5102">
        <v>91.268813386408098</v>
      </c>
      <c r="AK5102">
        <v>22.8274498163122</v>
      </c>
      <c r="AL5102">
        <v>81.282803611683505</v>
      </c>
      <c r="AM5102">
        <v>92.028774710960903</v>
      </c>
      <c r="AN5102">
        <v>1.0000000418691499</v>
      </c>
    </row>
    <row r="5103" spans="1:40" x14ac:dyDescent="0.25">
      <c r="A5103" t="str">
        <f>"20190303162923598"</f>
        <v>20190303162923598</v>
      </c>
      <c r="B5103" t="str">
        <f>"1551601763587167"</f>
        <v>1551601763587167</v>
      </c>
      <c r="C5103" t="s">
        <v>40</v>
      </c>
      <c r="D5103">
        <v>5.6752849999999997</v>
      </c>
      <c r="E5103">
        <v>0.50518719999999995</v>
      </c>
      <c r="F5103" t="s">
        <v>61</v>
      </c>
      <c r="G5103">
        <v>-370.08859999999999</v>
      </c>
      <c r="H5103" s="1">
        <v>-4.9771479999999998E-6</v>
      </c>
      <c r="I5103">
        <v>17.860250000000001</v>
      </c>
      <c r="J5103">
        <v>-392.6832</v>
      </c>
      <c r="K5103">
        <v>1.1176779999999999</v>
      </c>
      <c r="L5103">
        <v>20.156220000000001</v>
      </c>
      <c r="M5103">
        <v>0.99238190000000004</v>
      </c>
      <c r="N5103">
        <v>-1.2147720000000001E-2</v>
      </c>
      <c r="O5103">
        <v>-0.1225986</v>
      </c>
      <c r="P5103">
        <v>0.98676149999999996</v>
      </c>
      <c r="Q5103">
        <v>0.13836850000000001</v>
      </c>
      <c r="R5103">
        <v>-8.4591310000000003E-2</v>
      </c>
      <c r="S5103">
        <v>3.0352169999999998</v>
      </c>
      <c r="T5103">
        <v>-0.14900079999999999</v>
      </c>
      <c r="U5103">
        <v>-0.309143099999999</v>
      </c>
      <c r="V5103">
        <v>-3.5793350000000002E-2</v>
      </c>
      <c r="W5103">
        <v>0.15068029999999999</v>
      </c>
      <c r="X5103">
        <v>0.98793439999999999</v>
      </c>
      <c r="Y5103">
        <v>-2.1299849999999999E-2</v>
      </c>
      <c r="Z5103">
        <v>5.1396369999999999E-3</v>
      </c>
      <c r="AA5103">
        <v>0.99975990000000003</v>
      </c>
      <c r="AB5103">
        <v>32</v>
      </c>
      <c r="AC5103">
        <v>22.5946</v>
      </c>
      <c r="AD5103">
        <v>-1.1176829771479999</v>
      </c>
      <c r="AE5103">
        <v>-2.2959700000000001</v>
      </c>
      <c r="AF5103">
        <v>-0.49043576153728402</v>
      </c>
      <c r="AG5103">
        <v>-1.1176829771479999</v>
      </c>
      <c r="AH5103">
        <v>22.650772991359499</v>
      </c>
      <c r="AI5103">
        <v>92.824258993634004</v>
      </c>
      <c r="AJ5103">
        <v>91.240377505838794</v>
      </c>
      <c r="AK5103">
        <v>22.683634179286599</v>
      </c>
      <c r="AL5103">
        <v>81.333647430585302</v>
      </c>
      <c r="AM5103">
        <v>92.074946743090905</v>
      </c>
      <c r="AN5103">
        <v>1.0000000477078299</v>
      </c>
    </row>
    <row r="5104" spans="1:40" x14ac:dyDescent="0.25">
      <c r="A5104" t="str">
        <f>"20190303162923618"</f>
        <v>20190303162923618</v>
      </c>
      <c r="B5104" t="str">
        <f>"1551601763606685"</f>
        <v>1551601763606685</v>
      </c>
      <c r="C5104" t="s">
        <v>40</v>
      </c>
      <c r="D5104">
        <v>5.5465330000000002</v>
      </c>
      <c r="E5104">
        <v>0.50604510000000003</v>
      </c>
      <c r="F5104" t="s">
        <v>62</v>
      </c>
      <c r="G5104">
        <v>-369.88589999999999</v>
      </c>
      <c r="H5104" s="1">
        <v>-5.3165039999999999E-7</v>
      </c>
      <c r="I5104">
        <v>17.784559999999999</v>
      </c>
      <c r="J5104">
        <v>-392.42500000000001</v>
      </c>
      <c r="K5104">
        <v>1.1177459999999999</v>
      </c>
      <c r="L5104">
        <v>20.12125</v>
      </c>
      <c r="M5104">
        <v>0.99201039999999996</v>
      </c>
      <c r="N5104">
        <v>-1.21415E-2</v>
      </c>
      <c r="O5104">
        <v>-0.1255713</v>
      </c>
      <c r="P5104">
        <v>0.98660029999999999</v>
      </c>
      <c r="Q5104">
        <v>0.13839479999999901</v>
      </c>
      <c r="R5104">
        <v>-8.6410749999999995E-2</v>
      </c>
      <c r="S5104">
        <v>3.0340880000000001</v>
      </c>
      <c r="T5104">
        <v>-0.14875139999999901</v>
      </c>
      <c r="U5104">
        <v>-0.31564330000000002</v>
      </c>
      <c r="V5104">
        <v>-3.6964789999999997E-2</v>
      </c>
      <c r="W5104">
        <v>0.15070149999999999</v>
      </c>
      <c r="X5104">
        <v>0.98788799999999999</v>
      </c>
      <c r="Y5104">
        <v>-2.213553E-2</v>
      </c>
      <c r="Z5104">
        <v>5.2642390000000004E-3</v>
      </c>
      <c r="AA5104">
        <v>0.99974110000000005</v>
      </c>
      <c r="AB5104">
        <v>32</v>
      </c>
      <c r="AC5104">
        <v>22.539100000000001</v>
      </c>
      <c r="AD5104">
        <v>-1.1177465316503901</v>
      </c>
      <c r="AE5104">
        <v>-2.3366899999999999</v>
      </c>
      <c r="AF5104">
        <v>-0.511037579297836</v>
      </c>
      <c r="AG5104">
        <v>-1.1177465316503901</v>
      </c>
      <c r="AH5104">
        <v>22.5991231047093</v>
      </c>
      <c r="AI5104">
        <v>92.830803910212396</v>
      </c>
      <c r="AJ5104">
        <v>91.295417834850099</v>
      </c>
      <c r="AK5104">
        <v>22.632518238549501</v>
      </c>
      <c r="AL5104">
        <v>81.332418480261495</v>
      </c>
      <c r="AM5104">
        <v>92.142893573215602</v>
      </c>
      <c r="AN5104">
        <v>1.0000000191729901</v>
      </c>
    </row>
    <row r="5105" spans="1:40" x14ac:dyDescent="0.25">
      <c r="A5105" t="str">
        <f>"20190303162923633"</f>
        <v>20190303162923633</v>
      </c>
      <c r="B5105" t="str">
        <f>"1551601763627182"</f>
        <v>1551601763627182</v>
      </c>
      <c r="C5105" t="s">
        <v>40</v>
      </c>
      <c r="D5105">
        <v>5.4844549999999996</v>
      </c>
      <c r="E5105">
        <v>0.50637159999999903</v>
      </c>
      <c r="F5105" t="s">
        <v>62</v>
      </c>
      <c r="G5105">
        <v>-368.89609999999999</v>
      </c>
      <c r="H5105" s="1">
        <v>-9.6818860000000005E-7</v>
      </c>
      <c r="I5105">
        <v>17.57246</v>
      </c>
      <c r="J5105">
        <v>-392.21230000000003</v>
      </c>
      <c r="K5105">
        <v>1.1178090000000001</v>
      </c>
      <c r="L5105">
        <v>20.091919999999998</v>
      </c>
      <c r="M5105">
        <v>0.99170480000000005</v>
      </c>
      <c r="N5105">
        <v>-1.2136640000000001E-2</v>
      </c>
      <c r="O5105">
        <v>-0.1279624</v>
      </c>
      <c r="P5105">
        <v>0.98641559999999995</v>
      </c>
      <c r="Q5105">
        <v>0.13836229999999999</v>
      </c>
      <c r="R5105">
        <v>-8.8546169999999993E-2</v>
      </c>
      <c r="S5105">
        <v>3.0321660000000001</v>
      </c>
      <c r="T5105">
        <v>-0.14404320000000001</v>
      </c>
      <c r="U5105">
        <v>-0.32846069999999999</v>
      </c>
      <c r="V5105">
        <v>-3.7234469999999999E-2</v>
      </c>
      <c r="W5105">
        <v>0.1506595</v>
      </c>
      <c r="X5105">
        <v>0.98788419999999999</v>
      </c>
      <c r="Y5105">
        <v>-2.031117E-2</v>
      </c>
      <c r="Z5105">
        <v>5.0854719999999997E-3</v>
      </c>
      <c r="AA5105">
        <v>0.99978080000000003</v>
      </c>
      <c r="AB5105">
        <v>32</v>
      </c>
      <c r="AC5105">
        <v>23.316199999999998</v>
      </c>
      <c r="AD5105">
        <v>-1.1178099681886</v>
      </c>
      <c r="AE5105">
        <v>-2.51946</v>
      </c>
      <c r="AF5105">
        <v>-0.48397253035050902</v>
      </c>
      <c r="AG5105">
        <v>-1.1178099681886</v>
      </c>
      <c r="AH5105">
        <v>23.393762496818201</v>
      </c>
      <c r="AI5105">
        <v>92.735064435412895</v>
      </c>
      <c r="AJ5105">
        <v>91.185171831347802</v>
      </c>
      <c r="AK5105">
        <v>23.4254530861765</v>
      </c>
      <c r="AL5105">
        <v>81.334852018682795</v>
      </c>
      <c r="AM5105">
        <v>92.158520809435203</v>
      </c>
      <c r="AN5105">
        <v>0.99999994165303296</v>
      </c>
    </row>
    <row r="5106" spans="1:40" x14ac:dyDescent="0.25">
      <c r="A5106" t="str">
        <f>"20190303162923651"</f>
        <v>20190303162923651</v>
      </c>
      <c r="B5106" t="str">
        <f>"1551601763646702"</f>
        <v>1551601763646702</v>
      </c>
      <c r="C5106" t="s">
        <v>40</v>
      </c>
      <c r="D5106">
        <v>5.4480329999999997</v>
      </c>
      <c r="E5106">
        <v>0.50689430000000002</v>
      </c>
      <c r="F5106" t="s">
        <v>62</v>
      </c>
      <c r="G5106">
        <v>-368.07650000000001</v>
      </c>
      <c r="H5106" s="1">
        <v>-1.3271029999999901E-6</v>
      </c>
      <c r="I5106">
        <v>17.406379999999999</v>
      </c>
      <c r="J5106">
        <v>-391.95060000000001</v>
      </c>
      <c r="K5106">
        <v>1.117883</v>
      </c>
      <c r="L5106">
        <v>20.05518</v>
      </c>
      <c r="M5106">
        <v>0.99132940000000003</v>
      </c>
      <c r="N5106">
        <v>-1.2130800000000001E-2</v>
      </c>
      <c r="O5106">
        <v>-0.13083910000000001</v>
      </c>
      <c r="P5106">
        <v>0.98634370000000005</v>
      </c>
      <c r="Q5106">
        <v>0.13726379999999999</v>
      </c>
      <c r="R5106">
        <v>-9.1020569999999995E-2</v>
      </c>
      <c r="S5106">
        <v>3.0307010000000001</v>
      </c>
      <c r="T5106">
        <v>-0.14036179999999901</v>
      </c>
      <c r="U5106">
        <v>-0.3372192</v>
      </c>
      <c r="V5106">
        <v>-3.7680369999999998E-2</v>
      </c>
      <c r="W5106">
        <v>0.14955360000000001</v>
      </c>
      <c r="X5106">
        <v>0.98803540000000001</v>
      </c>
      <c r="Y5106">
        <v>-2.0310140000000001E-2</v>
      </c>
      <c r="Z5106">
        <v>5.0180199999999998E-3</v>
      </c>
      <c r="AA5106">
        <v>0.99978109999999998</v>
      </c>
      <c r="AB5106">
        <v>32</v>
      </c>
      <c r="AC5106">
        <v>23.874099999999999</v>
      </c>
      <c r="AD5106">
        <v>-1.1178843271029999</v>
      </c>
      <c r="AE5106">
        <v>-2.6488</v>
      </c>
      <c r="AF5106">
        <v>-0.496793100469059</v>
      </c>
      <c r="AG5106">
        <v>-1.1178843271029999</v>
      </c>
      <c r="AH5106">
        <v>23.9635296746645</v>
      </c>
      <c r="AI5106">
        <v>92.670304610889403</v>
      </c>
      <c r="AJ5106">
        <v>91.1876410353794</v>
      </c>
      <c r="AK5106">
        <v>23.9947332392336</v>
      </c>
      <c r="AL5106">
        <v>81.398942258632701</v>
      </c>
      <c r="AM5106">
        <v>92.184011254064799</v>
      </c>
      <c r="AN5106">
        <v>1.0000000206047199</v>
      </c>
    </row>
    <row r="5107" spans="1:40" x14ac:dyDescent="0.25">
      <c r="A5107" t="str">
        <f>"20190303162923665"</f>
        <v>20190303162923665</v>
      </c>
      <c r="B5107" t="str">
        <f>"1551601763657438"</f>
        <v>1551601763657438</v>
      </c>
      <c r="C5107" t="s">
        <v>40</v>
      </c>
      <c r="D5107">
        <v>5.4575129999999996</v>
      </c>
      <c r="E5107">
        <v>0.50715270000000001</v>
      </c>
      <c r="F5107" t="s">
        <v>62</v>
      </c>
      <c r="G5107">
        <v>-367.62799999999999</v>
      </c>
      <c r="H5107" s="1">
        <v>-1.5396470000000001E-6</v>
      </c>
      <c r="I5107">
        <v>17.260110000000001</v>
      </c>
      <c r="J5107">
        <v>-391.75670000000002</v>
      </c>
      <c r="K5107">
        <v>1.117934</v>
      </c>
      <c r="L5107">
        <v>20.02759</v>
      </c>
      <c r="M5107">
        <v>0.99105109999999996</v>
      </c>
      <c r="N5107">
        <v>-1.212655E-2</v>
      </c>
      <c r="O5107">
        <v>-0.13293179999999999</v>
      </c>
      <c r="P5107">
        <v>0.98630050000000002</v>
      </c>
      <c r="Q5107">
        <v>0.13635749999999999</v>
      </c>
      <c r="R5107">
        <v>-9.2834040000000007E-2</v>
      </c>
      <c r="S5107">
        <v>3.0287480000000002</v>
      </c>
      <c r="T5107">
        <v>-0.13920370000000001</v>
      </c>
      <c r="U5107">
        <v>-0.348053</v>
      </c>
      <c r="V5107">
        <v>-3.7995189999999998E-2</v>
      </c>
      <c r="W5107">
        <v>0.1486412</v>
      </c>
      <c r="X5107">
        <v>0.98816099999999996</v>
      </c>
      <c r="Y5107">
        <v>-1.8821859999999999E-2</v>
      </c>
      <c r="Z5107">
        <v>4.9939650000000004E-3</v>
      </c>
      <c r="AA5107">
        <v>0.99981039999999999</v>
      </c>
      <c r="AB5107">
        <v>32</v>
      </c>
      <c r="AC5107">
        <v>24.128699999999899</v>
      </c>
      <c r="AD5107">
        <v>-1.1179355396470001</v>
      </c>
      <c r="AE5107">
        <v>-2.7674799999999902</v>
      </c>
      <c r="AF5107">
        <v>-0.46380883641625198</v>
      </c>
      <c r="AG5107">
        <v>-1.1179355396470001</v>
      </c>
      <c r="AH5107">
        <v>24.231102999529799</v>
      </c>
      <c r="AI5107">
        <v>92.641063983229301</v>
      </c>
      <c r="AJ5107">
        <v>91.096567668117999</v>
      </c>
      <c r="AK5107">
        <v>24.261311816993</v>
      </c>
      <c r="AL5107">
        <v>81.451809689801706</v>
      </c>
      <c r="AM5107">
        <v>92.2019611654475</v>
      </c>
      <c r="AN5107">
        <v>1.0000000013607799</v>
      </c>
    </row>
    <row r="5108" spans="1:40" x14ac:dyDescent="0.25">
      <c r="A5108" t="str">
        <f>"20190303162923677"</f>
        <v>20190303162923677</v>
      </c>
      <c r="B5108" t="str">
        <f>"1551601763667199"</f>
        <v>1551601763667199</v>
      </c>
      <c r="C5108" t="s">
        <v>40</v>
      </c>
      <c r="D5108">
        <v>5.4682130000000004</v>
      </c>
      <c r="E5108">
        <v>0.50686009999999904</v>
      </c>
      <c r="F5108" t="s">
        <v>62</v>
      </c>
      <c r="G5108">
        <v>-367.62369999999999</v>
      </c>
      <c r="H5108" s="1">
        <v>-1.557597E-6</v>
      </c>
      <c r="I5108">
        <v>17.193670000000001</v>
      </c>
      <c r="J5108">
        <v>-391.5779</v>
      </c>
      <c r="K5108">
        <v>1.1179809999999999</v>
      </c>
      <c r="L5108">
        <v>20.00168</v>
      </c>
      <c r="M5108">
        <v>0.99079530000000005</v>
      </c>
      <c r="N5108">
        <v>-1.212278E-2</v>
      </c>
      <c r="O5108">
        <v>-0.13482479999999999</v>
      </c>
      <c r="P5108">
        <v>0.98630709999999999</v>
      </c>
      <c r="Q5108">
        <v>0.135381</v>
      </c>
      <c r="R5108">
        <v>-9.4181539999999994E-2</v>
      </c>
      <c r="S5108">
        <v>3.0276179999999999</v>
      </c>
      <c r="T5108">
        <v>-0.14025070000000001</v>
      </c>
      <c r="U5108">
        <v>-0.35552979999999901</v>
      </c>
      <c r="V5108">
        <v>-3.8576699999999998E-2</v>
      </c>
      <c r="W5108">
        <v>0.14766179999999901</v>
      </c>
      <c r="X5108">
        <v>0.98828530000000003</v>
      </c>
      <c r="Y5108">
        <v>-1.8251139999999999E-2</v>
      </c>
      <c r="Z5108">
        <v>5.0913019999999998E-3</v>
      </c>
      <c r="AA5108">
        <v>0.9998205</v>
      </c>
      <c r="AB5108">
        <v>32</v>
      </c>
      <c r="AC5108">
        <v>23.9542</v>
      </c>
      <c r="AD5108">
        <v>-1.1179825575969999</v>
      </c>
      <c r="AE5108">
        <v>-2.8080099999999901</v>
      </c>
      <c r="AF5108">
        <v>-0.44653052529944698</v>
      </c>
      <c r="AG5108">
        <v>-1.1179825575969999</v>
      </c>
      <c r="AH5108">
        <v>24.062366721155001</v>
      </c>
      <c r="AI5108">
        <v>92.6596987395681</v>
      </c>
      <c r="AJ5108">
        <v>91.063128103770893</v>
      </c>
      <c r="AK5108">
        <v>24.0924628614939</v>
      </c>
      <c r="AL5108">
        <v>81.508551342923099</v>
      </c>
      <c r="AM5108">
        <v>92.235346975771506</v>
      </c>
      <c r="AN5108">
        <v>1.00000000157911</v>
      </c>
    </row>
    <row r="5109" spans="1:40" x14ac:dyDescent="0.25">
      <c r="A5109" t="str">
        <f>"20190303162923698"</f>
        <v>20190303162923698</v>
      </c>
      <c r="B5109" t="str">
        <f>"1551601763686717"</f>
        <v>1551601763686717</v>
      </c>
      <c r="C5109" t="s">
        <v>40</v>
      </c>
      <c r="D5109">
        <v>5.6054269999999997</v>
      </c>
      <c r="E5109">
        <v>0.48195650000000001</v>
      </c>
      <c r="F5109" t="s">
        <v>62</v>
      </c>
      <c r="G5109">
        <v>-367.66520000000003</v>
      </c>
      <c r="H5109" s="1">
        <v>-1.5458830000000001E-6</v>
      </c>
      <c r="I5109">
        <v>17.177800000000001</v>
      </c>
      <c r="J5109">
        <v>-391.3057</v>
      </c>
      <c r="K5109">
        <v>1.118044</v>
      </c>
      <c r="L5109">
        <v>19.961670000000002</v>
      </c>
      <c r="M5109">
        <v>0.99040490000000003</v>
      </c>
      <c r="N5109">
        <v>-1.2117340000000001E-2</v>
      </c>
      <c r="O5109">
        <v>-0.1376645</v>
      </c>
      <c r="P5109">
        <v>0.9863632</v>
      </c>
      <c r="Q5109">
        <v>0.13444990000000001</v>
      </c>
      <c r="R5109">
        <v>-9.4925289999999996E-2</v>
      </c>
      <c r="S5109">
        <v>3.0269170000000001</v>
      </c>
      <c r="T5109">
        <v>-0.14151620000000001</v>
      </c>
      <c r="U5109">
        <v>-0.3574524</v>
      </c>
      <c r="V5109">
        <v>-4.0717530000000002E-2</v>
      </c>
      <c r="W5109">
        <v>0.146735</v>
      </c>
      <c r="X5109">
        <v>0.98833749999999998</v>
      </c>
      <c r="Y5109">
        <v>-2.0457079999999999E-2</v>
      </c>
      <c r="Z5109">
        <v>5.313791E-3</v>
      </c>
      <c r="AA5109">
        <v>0.99977660000000002</v>
      </c>
      <c r="AB5109">
        <v>32</v>
      </c>
      <c r="AC5109">
        <v>23.6404999999999</v>
      </c>
      <c r="AD5109">
        <v>-1.1180455458830001</v>
      </c>
      <c r="AE5109">
        <v>-2.7838699999999998</v>
      </c>
      <c r="AF5109">
        <v>-0.496240828624745</v>
      </c>
      <c r="AG5109">
        <v>-1.1180455458830001</v>
      </c>
      <c r="AH5109">
        <v>23.746265275818001</v>
      </c>
      <c r="AI5109">
        <v>92.695079215609496</v>
      </c>
      <c r="AJ5109">
        <v>91.197172141591594</v>
      </c>
      <c r="AK5109">
        <v>23.777750006091502</v>
      </c>
      <c r="AL5109">
        <v>81.562238256457505</v>
      </c>
      <c r="AM5109">
        <v>92.359137523058095</v>
      </c>
      <c r="AN5109">
        <v>1.00000004569027</v>
      </c>
    </row>
    <row r="5110" spans="1:40" x14ac:dyDescent="0.25">
      <c r="A5110" t="str">
        <f>"20190303162923718"</f>
        <v>20190303162923718</v>
      </c>
      <c r="B5110" t="str">
        <f>"1551601763707214"</f>
        <v>1551601763707214</v>
      </c>
      <c r="C5110" t="s">
        <v>40</v>
      </c>
      <c r="D5110">
        <v>5.6780369999999998</v>
      </c>
      <c r="E5110">
        <v>0.47075030000000001</v>
      </c>
      <c r="F5110" t="s">
        <v>41</v>
      </c>
      <c r="G5110">
        <v>-357.4744</v>
      </c>
      <c r="H5110" s="1">
        <v>-1.3221119999999999E-6</v>
      </c>
      <c r="I5110">
        <v>18.171250000000001</v>
      </c>
      <c r="J5110">
        <v>-391.00700000000001</v>
      </c>
      <c r="K5110">
        <v>1.1181190000000001</v>
      </c>
      <c r="L5110">
        <v>19.91696</v>
      </c>
      <c r="M5110">
        <v>0.98997559999999996</v>
      </c>
      <c r="N5110">
        <v>-1.211188E-2</v>
      </c>
      <c r="O5110">
        <v>-0.14071789999999901</v>
      </c>
      <c r="P5110">
        <v>0.98632699999999995</v>
      </c>
      <c r="Q5110">
        <v>0.13447700000000001</v>
      </c>
      <c r="R5110">
        <v>-9.5261250000000006E-2</v>
      </c>
      <c r="S5110">
        <v>3.0396730000000001</v>
      </c>
      <c r="T5110">
        <v>-0.10045419999999999</v>
      </c>
      <c r="U5110">
        <v>-0.16085820000000001</v>
      </c>
      <c r="V5110">
        <v>-4.3456689999999999E-2</v>
      </c>
      <c r="W5110">
        <v>0.14676710000000001</v>
      </c>
      <c r="X5110">
        <v>0.98821599999999998</v>
      </c>
      <c r="Y5110">
        <v>-8.8116180000000002E-2</v>
      </c>
      <c r="Z5110">
        <v>4.9099950000000003E-3</v>
      </c>
      <c r="AA5110">
        <v>0.99609809999999999</v>
      </c>
      <c r="AB5110">
        <v>32</v>
      </c>
      <c r="AC5110">
        <v>33.532599999999903</v>
      </c>
      <c r="AD5110">
        <v>-1.118120322112</v>
      </c>
      <c r="AE5110">
        <v>-1.7457099999999901</v>
      </c>
      <c r="AF5110">
        <v>-2.9873337843485599</v>
      </c>
      <c r="AG5110">
        <v>-1.118120322112</v>
      </c>
      <c r="AH5110">
        <v>33.407519655779602</v>
      </c>
      <c r="AI5110">
        <v>91.909311166252294</v>
      </c>
      <c r="AJ5110">
        <v>95.109855104047895</v>
      </c>
      <c r="AK5110">
        <v>33.559450617450999</v>
      </c>
      <c r="AL5110">
        <v>81.5603782383685</v>
      </c>
      <c r="AM5110">
        <v>92.517953378539303</v>
      </c>
      <c r="AN5110">
        <v>0.99999996410208203</v>
      </c>
    </row>
    <row r="5111" spans="1:40" x14ac:dyDescent="0.25">
      <c r="A5111" t="str">
        <f>"20190303162923741"</f>
        <v>20190303162923741</v>
      </c>
      <c r="B5111" t="str">
        <f>"1551601763726734"</f>
        <v>1551601763726734</v>
      </c>
      <c r="C5111" t="s">
        <v>40</v>
      </c>
      <c r="D5111">
        <v>5.5568220000000004</v>
      </c>
      <c r="E5111">
        <v>0.46678629999999999</v>
      </c>
      <c r="F5111" t="s">
        <v>41</v>
      </c>
      <c r="G5111">
        <v>-356.70280000000002</v>
      </c>
      <c r="H5111" s="1">
        <v>-1.489519E-6</v>
      </c>
      <c r="I5111">
        <v>19.093620000000001</v>
      </c>
      <c r="J5111">
        <v>-390.70650000000001</v>
      </c>
      <c r="K5111">
        <v>1.1181859999999999</v>
      </c>
      <c r="L5111">
        <v>19.871089999999999</v>
      </c>
      <c r="M5111">
        <v>0.98954310000000001</v>
      </c>
      <c r="N5111">
        <v>-1.210671E-2</v>
      </c>
      <c r="O5111">
        <v>-0.1437282</v>
      </c>
      <c r="P5111">
        <v>0.9863132</v>
      </c>
      <c r="Q5111">
        <v>0.13475109999999901</v>
      </c>
      <c r="R5111">
        <v>-9.5017749999999998E-2</v>
      </c>
      <c r="S5111">
        <v>3.0480960000000001</v>
      </c>
      <c r="T5111">
        <v>-9.9350330000000001E-2</v>
      </c>
      <c r="U5111">
        <v>-7.3150629999999994E-2</v>
      </c>
      <c r="V5111">
        <v>-4.6727079999999997E-2</v>
      </c>
      <c r="W5111">
        <v>0.14704909999999999</v>
      </c>
      <c r="X5111">
        <v>0.98802489999999998</v>
      </c>
      <c r="Y5111">
        <v>-0.1198379</v>
      </c>
      <c r="Z5111">
        <v>5.6016939999999999E-3</v>
      </c>
      <c r="AA5111">
        <v>0.99277760000000004</v>
      </c>
      <c r="AB5111">
        <v>32</v>
      </c>
      <c r="AC5111">
        <v>34.003699999999903</v>
      </c>
      <c r="AD5111">
        <v>-1.118187489519</v>
      </c>
      <c r="AE5111">
        <v>-0.777469999999997</v>
      </c>
      <c r="AF5111">
        <v>-4.1138062694969104</v>
      </c>
      <c r="AG5111">
        <v>-1.118187489519</v>
      </c>
      <c r="AH5111">
        <v>33.725895585823501</v>
      </c>
      <c r="AI5111">
        <v>91.884994140667004</v>
      </c>
      <c r="AJ5111">
        <v>96.954450935916896</v>
      </c>
      <c r="AK5111">
        <v>33.994260961970298</v>
      </c>
      <c r="AL5111">
        <v>81.544044164309696</v>
      </c>
      <c r="AM5111">
        <v>92.707696027593499</v>
      </c>
      <c r="AN5111">
        <v>1.0000000304180701</v>
      </c>
    </row>
    <row r="5112" spans="1:40" x14ac:dyDescent="0.25">
      <c r="A5112" t="str">
        <f>"20190303162923754"</f>
        <v>20190303162923754</v>
      </c>
      <c r="B5112" t="str">
        <f>"1551601763747231"</f>
        <v>1551601763747231</v>
      </c>
      <c r="C5112" t="s">
        <v>40</v>
      </c>
      <c r="D5112">
        <v>5.545839</v>
      </c>
      <c r="E5112">
        <v>0.4654027</v>
      </c>
      <c r="F5112" t="s">
        <v>41</v>
      </c>
      <c r="G5112">
        <v>-355.36529999999999</v>
      </c>
      <c r="H5112" s="1">
        <v>-2.0101809999999999E-6</v>
      </c>
      <c r="I5112">
        <v>19.393049999999999</v>
      </c>
      <c r="J5112">
        <v>-390.51299999999998</v>
      </c>
      <c r="K5112">
        <v>1.1182240000000001</v>
      </c>
      <c r="L5112">
        <v>19.84103</v>
      </c>
      <c r="M5112">
        <v>0.98926530000000001</v>
      </c>
      <c r="N5112">
        <v>-1.2103340000000001E-2</v>
      </c>
      <c r="O5112">
        <v>-0.14562890000000001</v>
      </c>
      <c r="P5112">
        <v>0.98628539999999998</v>
      </c>
      <c r="Q5112">
        <v>0.1348635</v>
      </c>
      <c r="R5112">
        <v>-9.5146949999999994E-2</v>
      </c>
      <c r="S5112">
        <v>3.0508419999999998</v>
      </c>
      <c r="T5112">
        <v>-9.6528050000000004E-2</v>
      </c>
      <c r="U5112">
        <v>-4.1259770000000001E-2</v>
      </c>
      <c r="V5112">
        <v>-4.8510310000000001E-2</v>
      </c>
      <c r="W5112">
        <v>0.14716460000000001</v>
      </c>
      <c r="X5112">
        <v>0.98792170000000001</v>
      </c>
      <c r="Y5112">
        <v>-0.132129</v>
      </c>
      <c r="Z5112">
        <v>5.7149559999999898E-3</v>
      </c>
      <c r="AA5112">
        <v>0.99121610000000004</v>
      </c>
      <c r="AB5112">
        <v>32</v>
      </c>
      <c r="AC5112">
        <v>35.1477</v>
      </c>
      <c r="AD5112">
        <v>-1.118226010181</v>
      </c>
      <c r="AE5112">
        <v>-0.44798000000000099</v>
      </c>
      <c r="AF5112">
        <v>-4.6709648964255397</v>
      </c>
      <c r="AG5112">
        <v>-1.118226010181</v>
      </c>
      <c r="AH5112">
        <v>34.802967126373197</v>
      </c>
      <c r="AI5112">
        <v>91.823948608695403</v>
      </c>
      <c r="AJ5112">
        <v>97.644084513870794</v>
      </c>
      <c r="AK5112">
        <v>35.132817468470897</v>
      </c>
      <c r="AL5112">
        <v>81.537353262826301</v>
      </c>
      <c r="AM5112">
        <v>92.811159405685501</v>
      </c>
      <c r="AN5112">
        <v>0.999999977500172</v>
      </c>
    </row>
    <row r="5113" spans="1:40" x14ac:dyDescent="0.25">
      <c r="A5113" t="str">
        <f>"20190303162923767"</f>
        <v>20190303162923767</v>
      </c>
      <c r="B5113" t="str">
        <f>"1551601763756990"</f>
        <v>1551601763756990</v>
      </c>
      <c r="C5113" t="s">
        <v>40</v>
      </c>
      <c r="D5113">
        <v>5.4764999999999997</v>
      </c>
      <c r="E5113">
        <v>0.46532000000000001</v>
      </c>
      <c r="F5113" t="s">
        <v>41</v>
      </c>
      <c r="G5113">
        <v>-355.3066</v>
      </c>
      <c r="H5113" s="1">
        <v>-2.0194850000000001E-6</v>
      </c>
      <c r="I5113">
        <v>19.482579999999999</v>
      </c>
      <c r="J5113">
        <v>-390.32400000000001</v>
      </c>
      <c r="K5113">
        <v>1.118263</v>
      </c>
      <c r="L5113">
        <v>19.811430000000001</v>
      </c>
      <c r="M5113">
        <v>0.98899360000000003</v>
      </c>
      <c r="N5113">
        <v>-1.2100049999999999E-2</v>
      </c>
      <c r="O5113">
        <v>-0.14746379999999901</v>
      </c>
      <c r="P5113">
        <v>0.98637039999999998</v>
      </c>
      <c r="Q5113">
        <v>0.13471949999999999</v>
      </c>
      <c r="R5113">
        <v>-9.4468689999999994E-2</v>
      </c>
      <c r="S5113">
        <v>3.051971</v>
      </c>
      <c r="T5113">
        <v>-9.6936820000000007E-2</v>
      </c>
      <c r="U5113">
        <v>-3.106689E-2</v>
      </c>
      <c r="V5113">
        <v>-5.1044649999999997E-2</v>
      </c>
      <c r="W5113">
        <v>0.1470283</v>
      </c>
      <c r="X5113">
        <v>0.98781430000000003</v>
      </c>
      <c r="Y5113">
        <v>-0.13727600000000001</v>
      </c>
      <c r="Z5113">
        <v>5.8897410000000004E-3</v>
      </c>
      <c r="AA5113">
        <v>0.99051540000000005</v>
      </c>
      <c r="AB5113">
        <v>32</v>
      </c>
      <c r="AC5113">
        <v>35.017400000000002</v>
      </c>
      <c r="AD5113">
        <v>-1.1182650194849999</v>
      </c>
      <c r="AE5113">
        <v>-0.32884999999999898</v>
      </c>
      <c r="AF5113">
        <v>-4.8339924425186496</v>
      </c>
      <c r="AG5113">
        <v>-1.1182650194849999</v>
      </c>
      <c r="AH5113">
        <v>34.647680285957499</v>
      </c>
      <c r="AI5113">
        <v>91.830876729933905</v>
      </c>
      <c r="AJ5113">
        <v>97.942551116440896</v>
      </c>
      <c r="AK5113">
        <v>35.001139249830999</v>
      </c>
      <c r="AL5113">
        <v>81.545248619431305</v>
      </c>
      <c r="AM5113">
        <v>92.958090413243497</v>
      </c>
      <c r="AN5113">
        <v>0.99999998428950099</v>
      </c>
    </row>
    <row r="5114" spans="1:40" x14ac:dyDescent="0.25">
      <c r="A5114" t="str">
        <f>"20190303162923788"</f>
        <v>20190303162923788</v>
      </c>
      <c r="B5114" t="str">
        <f>"1551601763776657"</f>
        <v>1551601763776657</v>
      </c>
      <c r="C5114" t="s">
        <v>40</v>
      </c>
      <c r="D5114">
        <v>5.2696189999999996</v>
      </c>
      <c r="E5114">
        <v>0.46540809999999999</v>
      </c>
      <c r="F5114" t="s">
        <v>41</v>
      </c>
      <c r="G5114">
        <v>-354.96460000000002</v>
      </c>
      <c r="H5114" s="1">
        <v>-2.1669599999999999E-6</v>
      </c>
      <c r="I5114">
        <v>19.478269999999998</v>
      </c>
      <c r="J5114">
        <v>-390.0376</v>
      </c>
      <c r="K5114">
        <v>1.1183299999999901</v>
      </c>
      <c r="L5114">
        <v>19.76587</v>
      </c>
      <c r="M5114">
        <v>0.98858429999999997</v>
      </c>
      <c r="N5114">
        <v>-1.209502E-2</v>
      </c>
      <c r="O5114">
        <v>-0.15018310000000001</v>
      </c>
      <c r="P5114">
        <v>0.98669899999999999</v>
      </c>
      <c r="Q5114">
        <v>0.13435069999999999</v>
      </c>
      <c r="R5114">
        <v>-9.1515349999999995E-2</v>
      </c>
      <c r="S5114">
        <v>3.0518489999999998</v>
      </c>
      <c r="T5114">
        <v>-9.6516969999999994E-2</v>
      </c>
      <c r="U5114">
        <v>-2.8747559999999998E-2</v>
      </c>
      <c r="V5114">
        <v>-5.6760749999999999E-2</v>
      </c>
      <c r="W5114">
        <v>0.14668030000000001</v>
      </c>
      <c r="X5114">
        <v>0.98755409999999999</v>
      </c>
      <c r="Y5114">
        <v>-0.14074970000000001</v>
      </c>
      <c r="Z5114">
        <v>5.9888379999999998E-3</v>
      </c>
      <c r="AA5114">
        <v>0.99002710000000005</v>
      </c>
      <c r="AB5114">
        <v>32</v>
      </c>
      <c r="AC5114">
        <v>35.072999999999901</v>
      </c>
      <c r="AD5114">
        <v>-1.1183321669599999</v>
      </c>
      <c r="AE5114">
        <v>-0.28759999999999702</v>
      </c>
      <c r="AF5114">
        <v>-4.9783579282913601</v>
      </c>
      <c r="AG5114">
        <v>-1.1183321669599999</v>
      </c>
      <c r="AH5114">
        <v>34.683086233654798</v>
      </c>
      <c r="AI5114">
        <v>91.828099465989993</v>
      </c>
      <c r="AJ5114">
        <v>98.168356413574003</v>
      </c>
      <c r="AK5114">
        <v>35.056400060316797</v>
      </c>
      <c r="AL5114">
        <v>81.565406201969594</v>
      </c>
      <c r="AM5114">
        <v>93.289518353039298</v>
      </c>
      <c r="AN5114">
        <v>0.99999999678773099</v>
      </c>
    </row>
    <row r="5115" spans="1:40" x14ac:dyDescent="0.25">
      <c r="A5115" t="str">
        <f>"20190303162923802"</f>
        <v>20190303162923802</v>
      </c>
      <c r="B5115" t="str">
        <f>"1551601763787393"</f>
        <v>1551601763787393</v>
      </c>
      <c r="C5115" t="s">
        <v>40</v>
      </c>
      <c r="D5115">
        <v>5.4711699999999999</v>
      </c>
      <c r="E5115">
        <v>0.46546789999999999</v>
      </c>
      <c r="F5115" t="s">
        <v>41</v>
      </c>
      <c r="G5115">
        <v>-354.43459999999999</v>
      </c>
      <c r="H5115" s="1">
        <v>-2.3865240000000002E-6</v>
      </c>
      <c r="I5115">
        <v>19.52224</v>
      </c>
      <c r="J5115">
        <v>-389.84480000000002</v>
      </c>
      <c r="K5115">
        <v>1.118377</v>
      </c>
      <c r="L5115">
        <v>19.7348</v>
      </c>
      <c r="M5115">
        <v>0.98830989999999996</v>
      </c>
      <c r="N5115">
        <v>-1.209175E-2</v>
      </c>
      <c r="O5115">
        <v>-0.151978799999999</v>
      </c>
      <c r="P5115">
        <v>0.98676710000000001</v>
      </c>
      <c r="Q5115">
        <v>0.1346214</v>
      </c>
      <c r="R5115">
        <v>-9.037982E-2</v>
      </c>
      <c r="S5115">
        <v>3.0515439999999998</v>
      </c>
      <c r="T5115">
        <v>-9.5852729999999997E-2</v>
      </c>
      <c r="U5115">
        <v>-2.087402E-2</v>
      </c>
      <c r="V5115">
        <v>-5.9705399999999999E-2</v>
      </c>
      <c r="W5115">
        <v>0.14695759999999999</v>
      </c>
      <c r="X5115">
        <v>0.98733919999999997</v>
      </c>
      <c r="Y5115">
        <v>-0.14509859999999999</v>
      </c>
      <c r="Z5115">
        <v>6.0708410000000004E-3</v>
      </c>
      <c r="AA5115">
        <v>0.98939860000000002</v>
      </c>
      <c r="AB5115">
        <v>32</v>
      </c>
      <c r="AC5115">
        <v>35.410200000000003</v>
      </c>
      <c r="AD5115">
        <v>-1.1183793865239999</v>
      </c>
      <c r="AE5115">
        <v>-0.212559999999999</v>
      </c>
      <c r="AF5115">
        <v>-5.1667483292886596</v>
      </c>
      <c r="AG5115">
        <v>-1.1183793865239999</v>
      </c>
      <c r="AH5115">
        <v>34.996204801312899</v>
      </c>
      <c r="AI5115">
        <v>91.8107727143354</v>
      </c>
      <c r="AJ5115">
        <v>98.398331099942496</v>
      </c>
      <c r="AK5115">
        <v>35.393225499321801</v>
      </c>
      <c r="AL5115">
        <v>81.549343908719493</v>
      </c>
      <c r="AM5115">
        <v>93.460519762942297</v>
      </c>
      <c r="AN5115">
        <v>0.99999998342177898</v>
      </c>
    </row>
    <row r="5116" spans="1:40" x14ac:dyDescent="0.25">
      <c r="A5116" t="str">
        <f>"20190303162923820"</f>
        <v>20190303162923820</v>
      </c>
      <c r="B5116" t="str">
        <f>"1551601763806913"</f>
        <v>1551601763806913</v>
      </c>
      <c r="C5116" t="s">
        <v>40</v>
      </c>
      <c r="D5116">
        <v>5.4750620000000003</v>
      </c>
      <c r="E5116">
        <v>0.4656402</v>
      </c>
      <c r="F5116" t="s">
        <v>41</v>
      </c>
      <c r="G5116">
        <v>-353.60489999999999</v>
      </c>
      <c r="H5116" s="1">
        <v>-2.7430210000000002E-6</v>
      </c>
      <c r="I5116">
        <v>19.519069999999999</v>
      </c>
      <c r="J5116">
        <v>-389.57569999999998</v>
      </c>
      <c r="K5116">
        <v>1.118455</v>
      </c>
      <c r="L5116">
        <v>19.690860000000001</v>
      </c>
      <c r="M5116">
        <v>0.98792990000000003</v>
      </c>
      <c r="N5116">
        <v>-1.2087250000000001E-2</v>
      </c>
      <c r="O5116">
        <v>-0.15442919999999999</v>
      </c>
      <c r="P5116">
        <v>0.98712679999999997</v>
      </c>
      <c r="Q5116">
        <v>0.13543949999999999</v>
      </c>
      <c r="R5116">
        <v>-8.5070629999999994E-2</v>
      </c>
      <c r="S5116">
        <v>3.0514220000000001</v>
      </c>
      <c r="T5116">
        <v>-9.4168310000000005E-2</v>
      </c>
      <c r="U5116">
        <v>-1.8157960000000001E-2</v>
      </c>
      <c r="V5116">
        <v>-6.7477179999999998E-2</v>
      </c>
      <c r="W5116">
        <v>0.14780270000000001</v>
      </c>
      <c r="X5116">
        <v>0.98671229999999999</v>
      </c>
      <c r="Y5116">
        <v>-0.1484337</v>
      </c>
      <c r="Z5116">
        <v>6.0646179999999999E-3</v>
      </c>
      <c r="AA5116">
        <v>0.9889038</v>
      </c>
      <c r="AB5116">
        <v>32</v>
      </c>
      <c r="AC5116">
        <v>35.970799999999997</v>
      </c>
      <c r="AD5116">
        <v>-1.1184577430210001</v>
      </c>
      <c r="AE5116">
        <v>-0.171789999999997</v>
      </c>
      <c r="AF5116">
        <v>-5.3804172210030101</v>
      </c>
      <c r="AG5116">
        <v>-1.1184577430210001</v>
      </c>
      <c r="AH5116">
        <v>35.531405869179899</v>
      </c>
      <c r="AI5116">
        <v>91.7826523705223</v>
      </c>
      <c r="AJ5116">
        <v>98.610715523924696</v>
      </c>
      <c r="AK5116">
        <v>35.9538682235358</v>
      </c>
      <c r="AL5116">
        <v>81.500388665225103</v>
      </c>
      <c r="AM5116">
        <v>93.912130843906198</v>
      </c>
      <c r="AN5116">
        <v>0.99999998545966595</v>
      </c>
    </row>
    <row r="5117" spans="1:40" x14ac:dyDescent="0.25">
      <c r="A5117" t="str">
        <f>"20190303162923841"</f>
        <v>20190303162923841</v>
      </c>
      <c r="B5117" t="str">
        <f>"1551601763827411"</f>
        <v>1551601763827411</v>
      </c>
      <c r="C5117" t="s">
        <v>40</v>
      </c>
      <c r="D5117">
        <v>5.4807030000000001</v>
      </c>
      <c r="E5117">
        <v>0.46585589999999999</v>
      </c>
      <c r="F5117" t="s">
        <v>41</v>
      </c>
      <c r="G5117">
        <v>-352.00439999999998</v>
      </c>
      <c r="H5117" s="1">
        <v>-3.4199289999999998E-6</v>
      </c>
      <c r="I5117">
        <v>19.644549999999999</v>
      </c>
      <c r="J5117">
        <v>-389.29419999999999</v>
      </c>
      <c r="K5117">
        <v>1.1185510000000001</v>
      </c>
      <c r="L5117">
        <v>19.644259999999999</v>
      </c>
      <c r="M5117">
        <v>0.9875427</v>
      </c>
      <c r="N5117">
        <v>-1.2082270000000001E-2</v>
      </c>
      <c r="O5117">
        <v>-0.15688750000000001</v>
      </c>
      <c r="P5117">
        <v>0.98766089999999995</v>
      </c>
      <c r="Q5117">
        <v>0.13552520000000001</v>
      </c>
      <c r="R5117">
        <v>-7.8481229999999999E-2</v>
      </c>
      <c r="S5117">
        <v>3.0512700000000001</v>
      </c>
      <c r="T5117">
        <v>-9.083331E-2</v>
      </c>
      <c r="U5117">
        <v>-3.7536620000000001E-3</v>
      </c>
      <c r="V5117">
        <v>-7.655874E-2</v>
      </c>
      <c r="W5117">
        <v>0.14791589999999999</v>
      </c>
      <c r="X5117">
        <v>0.98603220000000003</v>
      </c>
      <c r="Y5117">
        <v>-0.15556300000000001</v>
      </c>
      <c r="Z5117">
        <v>6.008429E-3</v>
      </c>
      <c r="AA5117">
        <v>0.98780769999999996</v>
      </c>
      <c r="AB5117">
        <v>32</v>
      </c>
      <c r="AC5117">
        <v>37.2898</v>
      </c>
      <c r="AD5117">
        <v>-1.1185544199290001</v>
      </c>
      <c r="AE5117">
        <v>2.8999999999967902E-4</v>
      </c>
      <c r="AF5117">
        <v>-5.8457563609968801</v>
      </c>
      <c r="AG5117">
        <v>-1.1185544199290001</v>
      </c>
      <c r="AH5117">
        <v>36.794800746354397</v>
      </c>
      <c r="AI5117">
        <v>91.719688745284003</v>
      </c>
      <c r="AJ5117">
        <v>99.027390348610297</v>
      </c>
      <c r="AK5117">
        <v>37.273065253429301</v>
      </c>
      <c r="AL5117">
        <v>81.493830197644996</v>
      </c>
      <c r="AM5117">
        <v>94.439722977640997</v>
      </c>
      <c r="AN5117">
        <v>0.99999992679001604</v>
      </c>
    </row>
    <row r="5118" spans="1:40" x14ac:dyDescent="0.25">
      <c r="A5118" t="str">
        <f>"20190303162923852"</f>
        <v>20190303162923852</v>
      </c>
      <c r="B5118" t="str">
        <f>"1551601763846930"</f>
        <v>1551601763846930</v>
      </c>
      <c r="C5118" t="s">
        <v>40</v>
      </c>
      <c r="D5118">
        <v>5.4205139999999998</v>
      </c>
      <c r="E5118">
        <v>0.46611580000000002</v>
      </c>
      <c r="F5118" t="s">
        <v>41</v>
      </c>
      <c r="G5118">
        <v>-351.49099999999999</v>
      </c>
      <c r="H5118" s="1">
        <v>-3.6856520000000001E-6</v>
      </c>
      <c r="I5118">
        <v>19.815460000000002</v>
      </c>
      <c r="J5118">
        <v>-389.12400000000002</v>
      </c>
      <c r="K5118">
        <v>1.118628</v>
      </c>
      <c r="L5118">
        <v>19.615749999999998</v>
      </c>
      <c r="M5118">
        <v>0.98731849999999999</v>
      </c>
      <c r="N5118">
        <v>-1.207894E-2</v>
      </c>
      <c r="O5118">
        <v>-0.1582915</v>
      </c>
      <c r="P5118">
        <v>0.98793980000000003</v>
      </c>
      <c r="Q5118">
        <v>0.13532420000000001</v>
      </c>
      <c r="R5118">
        <v>-7.5247729999999999E-2</v>
      </c>
      <c r="S5118">
        <v>3.0510250000000001</v>
      </c>
      <c r="T5118">
        <v>-9.0276480000000006E-2</v>
      </c>
      <c r="U5118">
        <v>1.382446E-2</v>
      </c>
      <c r="V5118">
        <v>-8.1226740000000006E-2</v>
      </c>
      <c r="W5118">
        <v>0.1477221</v>
      </c>
      <c r="X5118">
        <v>0.9856878</v>
      </c>
      <c r="Y5118">
        <v>-0.1626514</v>
      </c>
      <c r="Z5118">
        <v>6.1389569999999996E-3</v>
      </c>
      <c r="AA5118">
        <v>0.98666450000000006</v>
      </c>
      <c r="AB5118">
        <v>32</v>
      </c>
      <c r="AC5118">
        <v>37.633000000000003</v>
      </c>
      <c r="AD5118">
        <v>-1.118631685652</v>
      </c>
      <c r="AE5118">
        <v>0.199710000000003</v>
      </c>
      <c r="AF5118">
        <v>-6.1491776196599197</v>
      </c>
      <c r="AG5118">
        <v>-1.118631685652</v>
      </c>
      <c r="AH5118">
        <v>37.094080752738101</v>
      </c>
      <c r="AI5118">
        <v>91.704081089248007</v>
      </c>
      <c r="AJ5118">
        <v>99.412466337728802</v>
      </c>
      <c r="AK5118">
        <v>37.616944973468101</v>
      </c>
      <c r="AL5118">
        <v>81.505058261172394</v>
      </c>
      <c r="AM5118">
        <v>94.710880526115403</v>
      </c>
      <c r="AN5118">
        <v>1.00000002059413</v>
      </c>
    </row>
    <row r="5119" spans="1:40" x14ac:dyDescent="0.25">
      <c r="A5119" t="str">
        <f>"20190303162923865"</f>
        <v>20190303162923865</v>
      </c>
      <c r="B5119" t="str">
        <f>"1551601763857665"</f>
        <v>1551601763857665</v>
      </c>
      <c r="C5119" t="s">
        <v>40</v>
      </c>
      <c r="D5119">
        <v>5.4780009999999999</v>
      </c>
      <c r="E5119">
        <v>0.46623619999999999</v>
      </c>
      <c r="F5119" t="s">
        <v>41</v>
      </c>
      <c r="G5119">
        <v>-351.4128</v>
      </c>
      <c r="H5119" s="1">
        <v>-3.736211E-6</v>
      </c>
      <c r="I5119">
        <v>19.879359999999998</v>
      </c>
      <c r="J5119">
        <v>-388.9502</v>
      </c>
      <c r="K5119">
        <v>1.1187129999999901</v>
      </c>
      <c r="L5119">
        <v>19.58652</v>
      </c>
      <c r="M5119">
        <v>0.98709400000000003</v>
      </c>
      <c r="N5119">
        <v>-1.207546E-2</v>
      </c>
      <c r="O5119">
        <v>-0.1596861</v>
      </c>
      <c r="P5119">
        <v>0.98825830000000003</v>
      </c>
      <c r="Q5119">
        <v>0.13482049999999901</v>
      </c>
      <c r="R5119">
        <v>-7.1898130000000005E-2</v>
      </c>
      <c r="S5119">
        <v>3.0506289999999998</v>
      </c>
      <c r="T5119">
        <v>-9.0491059999999998E-2</v>
      </c>
      <c r="U5119">
        <v>2.133179E-2</v>
      </c>
      <c r="V5119">
        <v>-8.6009939999999993E-2</v>
      </c>
      <c r="W5119">
        <v>0.1472222</v>
      </c>
      <c r="X5119">
        <v>0.98535669999999997</v>
      </c>
      <c r="Y5119">
        <v>-0.16646939999999999</v>
      </c>
      <c r="Z5119">
        <v>6.2608940000000004E-3</v>
      </c>
      <c r="AA5119">
        <v>0.98602679999999998</v>
      </c>
      <c r="AB5119">
        <v>32</v>
      </c>
      <c r="AC5119">
        <v>37.537399999999899</v>
      </c>
      <c r="AD5119">
        <v>-1.11871673621099</v>
      </c>
      <c r="AE5119">
        <v>0.29284000000000099</v>
      </c>
      <c r="AF5119">
        <v>-6.2781437462991301</v>
      </c>
      <c r="AG5119">
        <v>-1.11871673621099</v>
      </c>
      <c r="AH5119">
        <v>36.976037396333702</v>
      </c>
      <c r="AI5119">
        <v>91.708528231598507</v>
      </c>
      <c r="AJ5119">
        <v>99.636324185013095</v>
      </c>
      <c r="AK5119">
        <v>37.521913031855703</v>
      </c>
      <c r="AL5119">
        <v>81.5340165003621</v>
      </c>
      <c r="AM5119">
        <v>94.988597139282007</v>
      </c>
      <c r="AN5119">
        <v>0.99999995609326497</v>
      </c>
    </row>
    <row r="5120" spans="1:40" x14ac:dyDescent="0.25">
      <c r="A5120" t="str">
        <f>"20190303162923877"</f>
        <v>20190303162923877</v>
      </c>
      <c r="B5120" t="str">
        <f>"1551601763867425"</f>
        <v>1551601763867425</v>
      </c>
      <c r="C5120" t="s">
        <v>40</v>
      </c>
      <c r="D5120">
        <v>5.4144610000000002</v>
      </c>
      <c r="E5120">
        <v>0.46644790000000003</v>
      </c>
      <c r="F5120" t="s">
        <v>41</v>
      </c>
      <c r="G5120">
        <v>-351.565</v>
      </c>
      <c r="H5120" s="1">
        <v>-3.6931919999999998E-6</v>
      </c>
      <c r="I5120">
        <v>19.963080000000001</v>
      </c>
      <c r="J5120">
        <v>-388.78219999999999</v>
      </c>
      <c r="K5120">
        <v>1.118817</v>
      </c>
      <c r="L5120">
        <v>19.557980000000001</v>
      </c>
      <c r="M5120">
        <v>0.98689190000000004</v>
      </c>
      <c r="N5120">
        <v>-1.2071429999999999E-2</v>
      </c>
      <c r="O5120">
        <v>-0.16093060000000001</v>
      </c>
      <c r="P5120">
        <v>0.98852260000000003</v>
      </c>
      <c r="Q5120">
        <v>0.1346031</v>
      </c>
      <c r="R5120">
        <v>-6.8594160000000001E-2</v>
      </c>
      <c r="S5120">
        <v>3.0502929999999999</v>
      </c>
      <c r="T5120">
        <v>-9.1277120000000003E-2</v>
      </c>
      <c r="U5120">
        <v>3.07312E-2</v>
      </c>
      <c r="V5120">
        <v>-9.0594019999999997E-2</v>
      </c>
      <c r="W5120">
        <v>0.14700050000000001</v>
      </c>
      <c r="X5120">
        <v>0.98497900000000005</v>
      </c>
      <c r="Y5120">
        <v>-0.17074489999999901</v>
      </c>
      <c r="Z5120">
        <v>6.4362809999999899E-3</v>
      </c>
      <c r="AA5120">
        <v>0.98529420000000001</v>
      </c>
      <c r="AB5120">
        <v>32</v>
      </c>
      <c r="AC5120">
        <v>37.217199999999899</v>
      </c>
      <c r="AD5120">
        <v>-1.1188206931919999</v>
      </c>
      <c r="AE5120">
        <v>0.40509999999999702</v>
      </c>
      <c r="AF5120">
        <v>-6.3838732538764997</v>
      </c>
      <c r="AG5120">
        <v>-1.1188206931919999</v>
      </c>
      <c r="AH5120">
        <v>36.633729183284402</v>
      </c>
      <c r="AI5120">
        <v>91.723355843196202</v>
      </c>
      <c r="AJ5120">
        <v>99.885222185106599</v>
      </c>
      <c r="AK5120">
        <v>37.202630435754102</v>
      </c>
      <c r="AL5120">
        <v>81.546859302555305</v>
      </c>
      <c r="AM5120">
        <v>95.255027817745002</v>
      </c>
      <c r="AN5120">
        <v>1.0000000269505001</v>
      </c>
    </row>
    <row r="5121" spans="1:40" x14ac:dyDescent="0.25">
      <c r="A5121" t="str">
        <f>"20190303162923891"</f>
        <v>20190303162923891</v>
      </c>
      <c r="B5121" t="str">
        <f>"1551601763877186"</f>
        <v>1551601763877186</v>
      </c>
      <c r="C5121" t="s">
        <v>40</v>
      </c>
      <c r="D5121">
        <v>5.4167379999999996</v>
      </c>
      <c r="E5121">
        <v>0.46665590000000001</v>
      </c>
      <c r="F5121" t="s">
        <v>41</v>
      </c>
      <c r="G5121">
        <v>-351.62569999999999</v>
      </c>
      <c r="H5121" s="1">
        <v>-3.6872309999999998E-6</v>
      </c>
      <c r="I5121">
        <v>20.038599999999999</v>
      </c>
      <c r="J5121">
        <v>-388.59649999999999</v>
      </c>
      <c r="K5121">
        <v>1.1189439999999999</v>
      </c>
      <c r="L5121">
        <v>19.52637</v>
      </c>
      <c r="M5121">
        <v>0.98668089999999997</v>
      </c>
      <c r="N5121">
        <v>-1.206688E-2</v>
      </c>
      <c r="O5121">
        <v>-0.16222049999999999</v>
      </c>
      <c r="P5121">
        <v>0.98870279999999999</v>
      </c>
      <c r="Q5121">
        <v>0.134851</v>
      </c>
      <c r="R5121">
        <v>-6.5438919999999998E-2</v>
      </c>
      <c r="S5121">
        <v>3.050049</v>
      </c>
      <c r="T5121">
        <v>-9.1840270000000002E-2</v>
      </c>
      <c r="U5121">
        <v>3.9459229999999998E-2</v>
      </c>
      <c r="V5121">
        <v>-9.5069970000000004E-2</v>
      </c>
      <c r="W5121">
        <v>0.14723349999999999</v>
      </c>
      <c r="X5121">
        <v>0.98452220000000001</v>
      </c>
      <c r="Y5121">
        <v>-0.17484669999999999</v>
      </c>
      <c r="Z5121">
        <v>6.5921399999999998E-3</v>
      </c>
      <c r="AA5121">
        <v>0.98457360000000005</v>
      </c>
      <c r="AB5121">
        <v>32</v>
      </c>
      <c r="AC5121">
        <v>36.970799999999997</v>
      </c>
      <c r="AD5121">
        <v>-1.118947687231</v>
      </c>
      <c r="AE5121">
        <v>0.51222999999999796</v>
      </c>
      <c r="AF5121">
        <v>-6.4973512173679602</v>
      </c>
      <c r="AG5121">
        <v>-1.118947687231</v>
      </c>
      <c r="AH5121">
        <v>36.364628519053099</v>
      </c>
      <c r="AI5121">
        <v>91.734988807071502</v>
      </c>
      <c r="AJ5121">
        <v>100.130271550156</v>
      </c>
      <c r="AK5121">
        <v>36.957459654274402</v>
      </c>
      <c r="AL5121">
        <v>81.533362150120098</v>
      </c>
      <c r="AM5121">
        <v>95.515641215575798</v>
      </c>
      <c r="AN5121">
        <v>0.99999998250544497</v>
      </c>
    </row>
    <row r="5122" spans="1:40" x14ac:dyDescent="0.25">
      <c r="A5122" t="str">
        <f>"20190303162923909"</f>
        <v>20190303162923909</v>
      </c>
      <c r="B5122" t="str">
        <f>"1551601763896705"</f>
        <v>1551601763896705</v>
      </c>
      <c r="C5122" t="s">
        <v>40</v>
      </c>
      <c r="D5122">
        <v>5.4177770000000001</v>
      </c>
      <c r="E5122">
        <v>0.4670549</v>
      </c>
      <c r="F5122" t="s">
        <v>41</v>
      </c>
      <c r="G5122">
        <v>-350.80149999999998</v>
      </c>
      <c r="H5122" s="1">
        <v>-4.0638659999999997E-6</v>
      </c>
      <c r="I5122">
        <v>20.125340000000001</v>
      </c>
      <c r="J5122">
        <v>-388.33890000000002</v>
      </c>
      <c r="K5122">
        <v>1.1191580000000001</v>
      </c>
      <c r="L5122">
        <v>19.482240000000001</v>
      </c>
      <c r="M5122">
        <v>0.98641659999999998</v>
      </c>
      <c r="N5122">
        <v>-1.206044E-2</v>
      </c>
      <c r="O5122">
        <v>-0.16381979999999999</v>
      </c>
      <c r="P5122">
        <v>0.9889945</v>
      </c>
      <c r="Q5122">
        <v>0.13552449999999999</v>
      </c>
      <c r="R5122">
        <v>-5.9354150000000001E-2</v>
      </c>
      <c r="S5122">
        <v>3.0498349999999999</v>
      </c>
      <c r="T5122">
        <v>-9.0292689999999995E-2</v>
      </c>
      <c r="U5122">
        <v>4.8339840000000002E-2</v>
      </c>
      <c r="V5122">
        <v>-0.1027899</v>
      </c>
      <c r="W5122">
        <v>0.1478787</v>
      </c>
      <c r="X5122">
        <v>0.98364940000000001</v>
      </c>
      <c r="Y5122">
        <v>-0.17930989999999999</v>
      </c>
      <c r="Z5122">
        <v>6.5874899999999997E-3</v>
      </c>
      <c r="AA5122">
        <v>0.98377060000000005</v>
      </c>
      <c r="AB5122">
        <v>32</v>
      </c>
      <c r="AC5122">
        <v>37.537399999999998</v>
      </c>
      <c r="AD5122">
        <v>-1.119162063866</v>
      </c>
      <c r="AE5122">
        <v>0.64309999999999601</v>
      </c>
      <c r="AF5122">
        <v>-6.7782035442789104</v>
      </c>
      <c r="AG5122">
        <v>-1.119162063866</v>
      </c>
      <c r="AH5122">
        <v>36.892061759147801</v>
      </c>
      <c r="AI5122">
        <v>91.7090101341051</v>
      </c>
      <c r="AJ5122">
        <v>100.41088215772299</v>
      </c>
      <c r="AK5122">
        <v>37.526267971297798</v>
      </c>
      <c r="AL5122">
        <v>81.495985994980302</v>
      </c>
      <c r="AM5122">
        <v>95.965671732766495</v>
      </c>
      <c r="AN5122">
        <v>1.00000000778803</v>
      </c>
    </row>
    <row r="5123" spans="1:40" x14ac:dyDescent="0.25">
      <c r="A5123" t="str">
        <f>"20190303162923929"</f>
        <v>20190303162923929</v>
      </c>
      <c r="B5123" t="str">
        <f>"1551601763917201"</f>
        <v>1551601763917201</v>
      </c>
      <c r="C5123" t="s">
        <v>40</v>
      </c>
      <c r="D5123">
        <v>5.4022019999999999</v>
      </c>
      <c r="E5123">
        <v>0.46770929999999999</v>
      </c>
      <c r="F5123" t="s">
        <v>41</v>
      </c>
      <c r="G5123">
        <v>-348.92669999999998</v>
      </c>
      <c r="H5123" s="1">
        <v>-6.3335490000000003E-7</v>
      </c>
      <c r="I5123">
        <v>20.332599999999999</v>
      </c>
      <c r="J5123">
        <v>-388.05119999999999</v>
      </c>
      <c r="K5123">
        <v>1.1194539999999999</v>
      </c>
      <c r="L5123">
        <v>19.432770000000001</v>
      </c>
      <c r="M5123">
        <v>0.98617690000000002</v>
      </c>
      <c r="N5123">
        <v>-1.205356E-2</v>
      </c>
      <c r="O5123">
        <v>-0.165257399999999</v>
      </c>
      <c r="P5123">
        <v>0.98923609999999995</v>
      </c>
      <c r="Q5123">
        <v>0.13589970000000001</v>
      </c>
      <c r="R5123">
        <v>-5.425261E-2</v>
      </c>
      <c r="S5123">
        <v>3.0491640000000002</v>
      </c>
      <c r="T5123">
        <v>-8.6584930000000004E-2</v>
      </c>
      <c r="U5123">
        <v>6.5795899999999893E-2</v>
      </c>
      <c r="V5123">
        <v>-0.109399499999999</v>
      </c>
      <c r="W5123">
        <v>0.1481914</v>
      </c>
      <c r="X5123">
        <v>0.98288909999999996</v>
      </c>
      <c r="Y5123">
        <v>-0.18637909999999999</v>
      </c>
      <c r="Z5123">
        <v>6.4486539999999998E-3</v>
      </c>
      <c r="AA5123">
        <v>0.98245669999999996</v>
      </c>
      <c r="AB5123">
        <v>32</v>
      </c>
      <c r="AC5123">
        <v>39.124499999999998</v>
      </c>
      <c r="AD5123">
        <v>-1.1194546333549</v>
      </c>
      <c r="AE5123">
        <v>0.89982999999999702</v>
      </c>
      <c r="AF5123">
        <v>-7.3475261656045898</v>
      </c>
      <c r="AG5123">
        <v>-1.1194546333549</v>
      </c>
      <c r="AH5123">
        <v>38.406337615789198</v>
      </c>
      <c r="AI5123">
        <v>91.639842389324301</v>
      </c>
      <c r="AJ5123">
        <v>100.83040593866799</v>
      </c>
      <c r="AK5123">
        <v>39.118871257851602</v>
      </c>
      <c r="AL5123">
        <v>81.477869614069107</v>
      </c>
      <c r="AM5123">
        <v>96.351109125557201</v>
      </c>
      <c r="AN5123">
        <v>0.999999962266509</v>
      </c>
    </row>
    <row r="5124" spans="1:40" x14ac:dyDescent="0.25">
      <c r="A5124" t="str">
        <f>"20190303162923941"</f>
        <v>20190303162923941</v>
      </c>
      <c r="B5124" t="str">
        <f>"1551601763926961"</f>
        <v>1551601763926961</v>
      </c>
      <c r="C5124" t="s">
        <v>40</v>
      </c>
      <c r="D5124">
        <v>5.4058849999999996</v>
      </c>
      <c r="E5124">
        <v>0.46803129999999998</v>
      </c>
      <c r="F5124" t="s">
        <v>41</v>
      </c>
      <c r="G5124">
        <v>-347.01069999999999</v>
      </c>
      <c r="H5124" s="1">
        <v>-1.497274E-6</v>
      </c>
      <c r="I5124">
        <v>20.49023</v>
      </c>
      <c r="J5124">
        <v>-387.8854</v>
      </c>
      <c r="K5124">
        <v>1.1196440000000001</v>
      </c>
      <c r="L5124">
        <v>19.404240000000001</v>
      </c>
      <c r="M5124">
        <v>0.98606369999999999</v>
      </c>
      <c r="N5124">
        <v>-1.205003E-2</v>
      </c>
      <c r="O5124">
        <v>-0.16593160000000001</v>
      </c>
      <c r="P5124">
        <v>0.98932750000000003</v>
      </c>
      <c r="Q5124">
        <v>0.136019899999999</v>
      </c>
      <c r="R5124">
        <v>-5.2248679999999999E-2</v>
      </c>
      <c r="S5124">
        <v>3.0484010000000001</v>
      </c>
      <c r="T5124">
        <v>-8.3150630000000003E-2</v>
      </c>
      <c r="U5124">
        <v>7.8552250000000004E-2</v>
      </c>
      <c r="V5124">
        <v>-0.1121312</v>
      </c>
      <c r="W5124">
        <v>0.14826349999999999</v>
      </c>
      <c r="X5124">
        <v>0.98257039999999995</v>
      </c>
      <c r="Y5124">
        <v>-0.19117010000000001</v>
      </c>
      <c r="Z5124">
        <v>6.2648740000000001E-3</v>
      </c>
      <c r="AA5124">
        <v>0.98153690000000005</v>
      </c>
      <c r="AB5124">
        <v>32</v>
      </c>
      <c r="AC5124">
        <v>40.874699999999997</v>
      </c>
      <c r="AD5124">
        <v>-1.119645497274</v>
      </c>
      <c r="AE5124">
        <v>1.08599</v>
      </c>
      <c r="AF5124">
        <v>-7.8479450504065396</v>
      </c>
      <c r="AG5124">
        <v>-1.119645497274</v>
      </c>
      <c r="AH5124">
        <v>40.097703647738697</v>
      </c>
      <c r="AI5124">
        <v>91.569683893692797</v>
      </c>
      <c r="AJ5124">
        <v>101.073976356176</v>
      </c>
      <c r="AK5124">
        <v>40.873826409765499</v>
      </c>
      <c r="AL5124">
        <v>81.473693036383693</v>
      </c>
      <c r="AM5124">
        <v>96.510444570118693</v>
      </c>
      <c r="AN5124">
        <v>1.0000000312009201</v>
      </c>
    </row>
    <row r="5125" spans="1:40" x14ac:dyDescent="0.25">
      <c r="A5125" t="str">
        <f>"20190303162923954"</f>
        <v>20190303162923954</v>
      </c>
      <c r="B5125" t="str">
        <f>"1551601763947458"</f>
        <v>1551601763947458</v>
      </c>
      <c r="C5125" t="s">
        <v>40</v>
      </c>
      <c r="D5125">
        <v>5.2806699999999998</v>
      </c>
      <c r="E5125">
        <v>0.46831980000000001</v>
      </c>
      <c r="F5125" t="s">
        <v>41</v>
      </c>
      <c r="G5125">
        <v>-346.0847</v>
      </c>
      <c r="H5125" s="1">
        <v>-1.9097440000000001E-6</v>
      </c>
      <c r="I5125">
        <v>20.547550000000001</v>
      </c>
      <c r="J5125">
        <v>-387.7115</v>
      </c>
      <c r="K5125">
        <v>1.1198570000000001</v>
      </c>
      <c r="L5125">
        <v>19.374359999999999</v>
      </c>
      <c r="M5125">
        <v>0.98598189999999997</v>
      </c>
      <c r="N5125">
        <v>-1.2046970000000001E-2</v>
      </c>
      <c r="O5125">
        <v>-0.1664166</v>
      </c>
      <c r="P5125">
        <v>0.98936279999999999</v>
      </c>
      <c r="Q5125">
        <v>0.13632939999999999</v>
      </c>
      <c r="R5125">
        <v>-5.0751089999999999E-2</v>
      </c>
      <c r="S5125">
        <v>3.0480040000000002</v>
      </c>
      <c r="T5125">
        <v>-8.1641909999999998E-2</v>
      </c>
      <c r="U5125">
        <v>8.3374019999999993E-2</v>
      </c>
      <c r="V5125">
        <v>-0.114176399999999</v>
      </c>
      <c r="W5125">
        <v>0.14851199999999901</v>
      </c>
      <c r="X5125">
        <v>0.98229730000000004</v>
      </c>
      <c r="Y5125">
        <v>-0.19321060000000001</v>
      </c>
      <c r="Z5125">
        <v>6.1835960000000004E-3</v>
      </c>
      <c r="AA5125">
        <v>0.98113779999999995</v>
      </c>
      <c r="AB5125">
        <v>32</v>
      </c>
      <c r="AC5125">
        <v>41.626800000000003</v>
      </c>
      <c r="AD5125">
        <v>-1.1198589097439999</v>
      </c>
      <c r="AE5125">
        <v>1.17319</v>
      </c>
      <c r="AF5125">
        <v>-8.0788792946440307</v>
      </c>
      <c r="AG5125">
        <v>-1.1198589097439999</v>
      </c>
      <c r="AH5125">
        <v>40.821478568282302</v>
      </c>
      <c r="AI5125">
        <v>91.541521713496493</v>
      </c>
      <c r="AJ5125">
        <v>101.194609421959</v>
      </c>
      <c r="AK5125">
        <v>41.628301516346902</v>
      </c>
      <c r="AL5125">
        <v>81.459295592631406</v>
      </c>
      <c r="AM5125">
        <v>96.629969945302193</v>
      </c>
      <c r="AN5125">
        <v>1.0000000250241201</v>
      </c>
    </row>
    <row r="5126" spans="1:40" x14ac:dyDescent="0.25">
      <c r="A5126" t="str">
        <f>"20190303162923966"</f>
        <v>20190303162923966</v>
      </c>
      <c r="B5126" t="str">
        <f>"1551601763957218"</f>
        <v>1551601763957218</v>
      </c>
      <c r="C5126" t="s">
        <v>40</v>
      </c>
      <c r="D5126">
        <v>5.3362639999999999</v>
      </c>
      <c r="E5126">
        <v>0.47714689999999998</v>
      </c>
      <c r="F5126" t="s">
        <v>41</v>
      </c>
      <c r="G5126">
        <v>-344.71550000000002</v>
      </c>
      <c r="H5126" s="1">
        <v>-2.5118950000000001E-6</v>
      </c>
      <c r="I5126">
        <v>20.60303</v>
      </c>
      <c r="J5126">
        <v>-387.541</v>
      </c>
      <c r="K5126">
        <v>1.120096</v>
      </c>
      <c r="L5126">
        <v>19.345089999999999</v>
      </c>
      <c r="M5126">
        <v>0.98592259999999998</v>
      </c>
      <c r="N5126">
        <v>-1.2044539999999999E-2</v>
      </c>
      <c r="O5126">
        <v>-0.16676869999999999</v>
      </c>
      <c r="P5126">
        <v>0.98940070000000002</v>
      </c>
      <c r="Q5126">
        <v>0.1366146</v>
      </c>
      <c r="R5126">
        <v>-4.9223429999999999E-2</v>
      </c>
      <c r="S5126">
        <v>3.0476679999999998</v>
      </c>
      <c r="T5126">
        <v>-7.9378489999999996E-2</v>
      </c>
      <c r="U5126">
        <v>8.7097170000000002E-2</v>
      </c>
      <c r="V5126">
        <v>-0.11612509999999999</v>
      </c>
      <c r="W5126">
        <v>0.1487308</v>
      </c>
      <c r="X5126">
        <v>0.98203569999999996</v>
      </c>
      <c r="Y5126">
        <v>-0.19476689999999999</v>
      </c>
      <c r="Z5126">
        <v>6.0242119999999897E-3</v>
      </c>
      <c r="AA5126">
        <v>0.98083109999999996</v>
      </c>
      <c r="AB5126">
        <v>32</v>
      </c>
      <c r="AC5126">
        <v>42.825499999999899</v>
      </c>
      <c r="AD5126">
        <v>-1.120098511895</v>
      </c>
      <c r="AE5126">
        <v>1.2579400000000001</v>
      </c>
      <c r="AF5126">
        <v>-8.3770658368864108</v>
      </c>
      <c r="AG5126">
        <v>-1.120098511895</v>
      </c>
      <c r="AH5126">
        <v>41.987188047426599</v>
      </c>
      <c r="AI5126">
        <v>91.498603761060295</v>
      </c>
      <c r="AJ5126">
        <v>101.283199836157</v>
      </c>
      <c r="AK5126">
        <v>42.829356904369199</v>
      </c>
      <c r="AL5126">
        <v>81.446618295898702</v>
      </c>
      <c r="AM5126">
        <v>96.743873024909604</v>
      </c>
      <c r="AN5126">
        <v>1.0000000028965601</v>
      </c>
    </row>
    <row r="5127" spans="1:40" x14ac:dyDescent="0.25">
      <c r="A5127" t="str">
        <f>"20190303162923977"</f>
        <v>20190303162923977</v>
      </c>
      <c r="B5127" t="str">
        <f>"1551601763966977"</f>
        <v>1551601763966977</v>
      </c>
      <c r="C5127" t="s">
        <v>40</v>
      </c>
      <c r="D5127">
        <v>5.2763600000000004</v>
      </c>
      <c r="E5127">
        <v>0.4778541</v>
      </c>
      <c r="F5127" t="s">
        <v>41</v>
      </c>
      <c r="G5127">
        <v>-335.88929999999999</v>
      </c>
      <c r="H5127" s="1">
        <v>-1.778218E-6</v>
      </c>
      <c r="I5127">
        <v>19.73826</v>
      </c>
      <c r="J5127">
        <v>-387.37360000000001</v>
      </c>
      <c r="K5127">
        <v>1.120377</v>
      </c>
      <c r="L5127">
        <v>19.31653</v>
      </c>
      <c r="M5127">
        <v>0.9859118</v>
      </c>
      <c r="N5127">
        <v>-1.2043170000000001E-2</v>
      </c>
      <c r="O5127">
        <v>-0.1668318</v>
      </c>
      <c r="P5127">
        <v>0.98937790000000003</v>
      </c>
      <c r="Q5127">
        <v>0.13701830000000001</v>
      </c>
      <c r="R5127">
        <v>-4.8557509999999998E-2</v>
      </c>
      <c r="S5127">
        <v>3.042389</v>
      </c>
      <c r="T5127">
        <v>-6.5976019999999996E-2</v>
      </c>
      <c r="U5127">
        <v>2.3162840000000001E-2</v>
      </c>
      <c r="V5127">
        <v>-0.11694060000000001</v>
      </c>
      <c r="W5127">
        <v>0.1490543</v>
      </c>
      <c r="X5127">
        <v>0.98188980000000003</v>
      </c>
      <c r="Y5127">
        <v>-0.1742745</v>
      </c>
      <c r="Z5127">
        <v>4.528313E-3</v>
      </c>
      <c r="AA5127">
        <v>0.98468670000000003</v>
      </c>
      <c r="AB5127">
        <v>32</v>
      </c>
      <c r="AC5127">
        <v>51.484299999999998</v>
      </c>
      <c r="AD5127">
        <v>-1.1203787782179999</v>
      </c>
      <c r="AE5127">
        <v>0.42172999999999999</v>
      </c>
      <c r="AF5127">
        <v>-9.0013978213942796</v>
      </c>
      <c r="AG5127">
        <v>-1.1203787782179999</v>
      </c>
      <c r="AH5127">
        <v>50.668304933293797</v>
      </c>
      <c r="AI5127">
        <v>91.247197198579101</v>
      </c>
      <c r="AJ5127">
        <v>100.07369113559101</v>
      </c>
      <c r="AK5127">
        <v>51.473852936796298</v>
      </c>
      <c r="AL5127">
        <v>81.427873580969305</v>
      </c>
      <c r="AM5127">
        <v>96.791791410982498</v>
      </c>
      <c r="AN5127">
        <v>0.99999993381044205</v>
      </c>
    </row>
    <row r="5128" spans="1:40" x14ac:dyDescent="0.25">
      <c r="A5128" t="str">
        <f>"20190303162923997"</f>
        <v>20190303162923997</v>
      </c>
      <c r="B5128" t="str">
        <f>"1551601763987473"</f>
        <v>1551601763987473</v>
      </c>
      <c r="C5128" t="s">
        <v>40</v>
      </c>
      <c r="D5128">
        <v>5.2802730000000002</v>
      </c>
      <c r="E5128">
        <v>0.47848760000000001</v>
      </c>
      <c r="F5128" t="s">
        <v>41</v>
      </c>
      <c r="G5128">
        <v>-335.65159999999997</v>
      </c>
      <c r="H5128" s="1">
        <v>-1.863759E-6</v>
      </c>
      <c r="I5128">
        <v>19.67651</v>
      </c>
      <c r="J5128">
        <v>-387.10789999999997</v>
      </c>
      <c r="K5128">
        <v>1.120879</v>
      </c>
      <c r="L5128">
        <v>19.271609999999999</v>
      </c>
      <c r="M5128">
        <v>0.98596989999999995</v>
      </c>
      <c r="N5128">
        <v>-1.204555E-2</v>
      </c>
      <c r="O5128">
        <v>-0.1664881</v>
      </c>
      <c r="P5128">
        <v>0.98927679999999996</v>
      </c>
      <c r="Q5128">
        <v>0.13794279999999901</v>
      </c>
      <c r="R5128">
        <v>-4.7993559999999998E-2</v>
      </c>
      <c r="S5128">
        <v>3.042389</v>
      </c>
      <c r="T5128">
        <v>-6.5902950000000002E-2</v>
      </c>
      <c r="U5128">
        <v>2.1179199999999999E-2</v>
      </c>
      <c r="V5128">
        <v>-0.11731610000000001</v>
      </c>
      <c r="W5128">
        <v>0.14983829999999901</v>
      </c>
      <c r="X5128">
        <v>0.98172579999999998</v>
      </c>
      <c r="Y5128">
        <v>-0.17328959999999999</v>
      </c>
      <c r="Z5128">
        <v>4.5021829999999999E-3</v>
      </c>
      <c r="AA5128">
        <v>0.98486059999999997</v>
      </c>
      <c r="AB5128">
        <v>32</v>
      </c>
      <c r="AC5128">
        <v>51.456299999999999</v>
      </c>
      <c r="AD5128">
        <v>-1.120880863759</v>
      </c>
      <c r="AE5128">
        <v>0.40490000000000098</v>
      </c>
      <c r="AF5128">
        <v>-8.9624787652963107</v>
      </c>
      <c r="AG5128">
        <v>-1.120880863759</v>
      </c>
      <c r="AH5128">
        <v>50.646596800673002</v>
      </c>
      <c r="AI5128">
        <v>91.248439101919303</v>
      </c>
      <c r="AJ5128">
        <v>100.035234387976</v>
      </c>
      <c r="AK5128">
        <v>51.445701151982199</v>
      </c>
      <c r="AL5128">
        <v>81.382444637090003</v>
      </c>
      <c r="AM5128">
        <v>96.814522869502696</v>
      </c>
      <c r="AN5128">
        <v>1.00000006492586</v>
      </c>
    </row>
    <row r="5129" spans="1:40" x14ac:dyDescent="0.25">
      <c r="A5129" t="str">
        <f>"20190303162924010"</f>
        <v>20190303162924010</v>
      </c>
      <c r="B5129" t="str">
        <f>"1551601763997234"</f>
        <v>1551601763997234</v>
      </c>
      <c r="C5129" t="s">
        <v>40</v>
      </c>
      <c r="D5129">
        <v>5.2797739999999997</v>
      </c>
      <c r="E5129">
        <v>0.4785411</v>
      </c>
      <c r="F5129" t="s">
        <v>41</v>
      </c>
      <c r="G5129">
        <v>-330.91309999999999</v>
      </c>
      <c r="H5129" s="1">
        <v>-3.8926419999999997E-6</v>
      </c>
      <c r="I5129">
        <v>19.661639999999998</v>
      </c>
      <c r="J5129">
        <v>-386.92380000000003</v>
      </c>
      <c r="K5129">
        <v>1.1212629999999999</v>
      </c>
      <c r="L5129">
        <v>19.24091</v>
      </c>
      <c r="M5129">
        <v>0.98606990000000005</v>
      </c>
      <c r="N5129">
        <v>-1.205115E-2</v>
      </c>
      <c r="O5129">
        <v>-0.16589409999999999</v>
      </c>
      <c r="P5129">
        <v>0.98928519999999998</v>
      </c>
      <c r="Q5129">
        <v>0.13802679999999901</v>
      </c>
      <c r="R5129">
        <v>-4.7577950000000001E-2</v>
      </c>
      <c r="S5129">
        <v>3.0420229999999999</v>
      </c>
      <c r="T5129">
        <v>-6.0677290000000002E-2</v>
      </c>
      <c r="U5129">
        <v>2.111816E-2</v>
      </c>
      <c r="V5129">
        <v>-0.1172729</v>
      </c>
      <c r="W5129">
        <v>0.14981949999999999</v>
      </c>
      <c r="X5129">
        <v>0.98173370000000004</v>
      </c>
      <c r="Y5129">
        <v>-0.17268800000000001</v>
      </c>
      <c r="Z5129">
        <v>4.0544939999999996E-3</v>
      </c>
      <c r="AA5129">
        <v>0.98496819999999896</v>
      </c>
      <c r="AB5129">
        <v>32</v>
      </c>
      <c r="AC5129">
        <v>56.0107</v>
      </c>
      <c r="AD5129">
        <v>-1.121266892642</v>
      </c>
      <c r="AE5129">
        <v>0.42072999999999799</v>
      </c>
      <c r="AF5129">
        <v>-9.7035306324468404</v>
      </c>
      <c r="AG5129">
        <v>-1.121266892642</v>
      </c>
      <c r="AH5129">
        <v>55.1425793124628</v>
      </c>
      <c r="AI5129">
        <v>91.147266548889405</v>
      </c>
      <c r="AJ5129">
        <v>99.980253713735493</v>
      </c>
      <c r="AK5129">
        <v>56.0010696273796</v>
      </c>
      <c r="AL5129">
        <v>81.383532982157803</v>
      </c>
      <c r="AM5129">
        <v>96.811982800919495</v>
      </c>
      <c r="AN5129">
        <v>0.99999993668517295</v>
      </c>
    </row>
    <row r="5130" spans="1:40" x14ac:dyDescent="0.25">
      <c r="A5130" t="str">
        <f>"20190303162924021"</f>
        <v>20190303162924021</v>
      </c>
      <c r="B5130" t="str">
        <f>"1551601764006993"</f>
        <v>1551601764006993</v>
      </c>
      <c r="C5130" t="s">
        <v>40</v>
      </c>
      <c r="D5130">
        <v>5.2182899999999997</v>
      </c>
      <c r="E5130">
        <v>0.47873650000000001</v>
      </c>
      <c r="F5130" t="s">
        <v>41</v>
      </c>
      <c r="G5130">
        <v>-331.18699999999899</v>
      </c>
      <c r="H5130" s="1">
        <v>-3.7785829999999999E-6</v>
      </c>
      <c r="I5130">
        <v>19.674710000000001</v>
      </c>
      <c r="J5130">
        <v>-386.75529999999998</v>
      </c>
      <c r="K5130">
        <v>1.121626</v>
      </c>
      <c r="L5130">
        <v>19.213010000000001</v>
      </c>
      <c r="M5130">
        <v>0.9861934</v>
      </c>
      <c r="N5130">
        <v>-1.205817E-2</v>
      </c>
      <c r="O5130">
        <v>-0.16515859999999999</v>
      </c>
      <c r="P5130">
        <v>0.98928769999999999</v>
      </c>
      <c r="Q5130">
        <v>0.1379206</v>
      </c>
      <c r="R5130">
        <v>-4.7830520000000001E-2</v>
      </c>
      <c r="S5130">
        <v>3.0421749999999999</v>
      </c>
      <c r="T5130">
        <v>-6.1200020000000001E-2</v>
      </c>
      <c r="U5130">
        <v>2.368164E-2</v>
      </c>
      <c r="V5130">
        <v>-0.116423</v>
      </c>
      <c r="W5130">
        <v>0.1496191</v>
      </c>
      <c r="X5130">
        <v>0.98186549999999995</v>
      </c>
      <c r="Y5130">
        <v>-0.17278199999999999</v>
      </c>
      <c r="Z5130">
        <v>4.0928320000000002E-3</v>
      </c>
      <c r="AA5130">
        <v>0.98495160000000004</v>
      </c>
      <c r="AB5130">
        <v>32</v>
      </c>
      <c r="AC5130">
        <v>55.568300000000001</v>
      </c>
      <c r="AD5130">
        <v>-1.1216297785830001</v>
      </c>
      <c r="AE5130">
        <v>0.4617</v>
      </c>
      <c r="AF5130">
        <v>-9.6296845431974205</v>
      </c>
      <c r="AG5130">
        <v>-1.1216297785830001</v>
      </c>
      <c r="AH5130">
        <v>54.706523718787999</v>
      </c>
      <c r="AI5130">
        <v>91.156772463156798</v>
      </c>
      <c r="AJ5130">
        <v>99.983186849002195</v>
      </c>
      <c r="AK5130">
        <v>55.558911212837998</v>
      </c>
      <c r="AL5130">
        <v>81.395146718385604</v>
      </c>
      <c r="AM5130">
        <v>96.762174506997894</v>
      </c>
      <c r="AN5130">
        <v>1.00000002505202</v>
      </c>
    </row>
    <row r="5131" spans="1:40" x14ac:dyDescent="0.25">
      <c r="A5131" t="str">
        <f>"20190303162924034"</f>
        <v>20190303162924034</v>
      </c>
      <c r="B5131" t="str">
        <f>"1551601764027489"</f>
        <v>1551601764027489</v>
      </c>
      <c r="C5131" t="s">
        <v>40</v>
      </c>
      <c r="D5131">
        <v>5.1503009999999998</v>
      </c>
      <c r="E5131">
        <v>0.47909489999999999</v>
      </c>
      <c r="F5131" t="s">
        <v>41</v>
      </c>
      <c r="G5131">
        <v>-331.41879999999998</v>
      </c>
      <c r="H5131" s="1">
        <v>-3.6658819999999998E-6</v>
      </c>
      <c r="I5131">
        <v>19.62482</v>
      </c>
      <c r="J5131">
        <v>-386.59109999999998</v>
      </c>
      <c r="K5131">
        <v>1.121988</v>
      </c>
      <c r="L5131">
        <v>19.186430000000001</v>
      </c>
      <c r="M5131">
        <v>0.98637370000000002</v>
      </c>
      <c r="N5131">
        <v>-1.2069E-2</v>
      </c>
      <c r="O5131">
        <v>-0.16407749999999999</v>
      </c>
      <c r="P5131">
        <v>0.98934480000000002</v>
      </c>
      <c r="Q5131">
        <v>0.13752159999999999</v>
      </c>
      <c r="R5131">
        <v>-4.779982E-2</v>
      </c>
      <c r="S5131">
        <v>3.0421749999999999</v>
      </c>
      <c r="T5131">
        <v>-6.1662549999999997E-2</v>
      </c>
      <c r="U5131">
        <v>2.2644040000000001E-2</v>
      </c>
      <c r="V5131">
        <v>-0.1155153</v>
      </c>
      <c r="W5131">
        <v>0.1491325</v>
      </c>
      <c r="X5131">
        <v>0.98204669999999905</v>
      </c>
      <c r="Y5131">
        <v>-0.17136589999999999</v>
      </c>
      <c r="Z5131">
        <v>4.0986850000000003E-3</v>
      </c>
      <c r="AA5131">
        <v>0.98519889999999999</v>
      </c>
      <c r="AB5131">
        <v>32</v>
      </c>
      <c r="AC5131">
        <v>55.1723</v>
      </c>
      <c r="AD5131">
        <v>-1.1219916658819999</v>
      </c>
      <c r="AE5131">
        <v>0.438390000000001</v>
      </c>
      <c r="AF5131">
        <v>-9.4817185162838893</v>
      </c>
      <c r="AG5131">
        <v>-1.1219916658819999</v>
      </c>
      <c r="AH5131">
        <v>54.330062740143902</v>
      </c>
      <c r="AI5131">
        <v>91.165459319383203</v>
      </c>
      <c r="AJ5131">
        <v>99.899595388995493</v>
      </c>
      <c r="AK5131">
        <v>55.162646498045497</v>
      </c>
      <c r="AL5131">
        <v>81.423343013137398</v>
      </c>
      <c r="AM5131">
        <v>96.708708550559805</v>
      </c>
      <c r="AN5131">
        <v>1.0000000040356101</v>
      </c>
    </row>
    <row r="5132" spans="1:40" x14ac:dyDescent="0.25">
      <c r="A5132" t="str">
        <f>"20190303162924053"</f>
        <v>20190303162924053</v>
      </c>
      <c r="B5132" t="str">
        <f>"1551601764047009"</f>
        <v>1551601764047009</v>
      </c>
      <c r="C5132" t="s">
        <v>40</v>
      </c>
      <c r="D5132">
        <v>5.16378</v>
      </c>
      <c r="E5132">
        <v>0.47937069999999998</v>
      </c>
      <c r="F5132" t="s">
        <v>41</v>
      </c>
      <c r="G5132">
        <v>-329.87610000000001</v>
      </c>
      <c r="H5132" s="1">
        <v>-4.6361509999999998E-8</v>
      </c>
      <c r="I5132">
        <v>19.57508</v>
      </c>
      <c r="J5132">
        <v>-386.31880000000001</v>
      </c>
      <c r="K5132">
        <v>1.122579</v>
      </c>
      <c r="L5132">
        <v>19.1431</v>
      </c>
      <c r="M5132">
        <v>0.98673390000000005</v>
      </c>
      <c r="N5132">
        <v>-1.2088460000000001E-2</v>
      </c>
      <c r="O5132">
        <v>-0.16189619999999999</v>
      </c>
      <c r="P5132">
        <v>0.98947799999999997</v>
      </c>
      <c r="Q5132">
        <v>0.13661719999999999</v>
      </c>
      <c r="R5132">
        <v>-4.7635360000000002E-2</v>
      </c>
      <c r="S5132">
        <v>3.041687</v>
      </c>
      <c r="T5132">
        <v>-6.017339E-2</v>
      </c>
      <c r="U5132">
        <v>2.0843509999999999E-2</v>
      </c>
      <c r="V5132">
        <v>-0.1137349</v>
      </c>
      <c r="W5132">
        <v>0.1480928</v>
      </c>
      <c r="X5132">
        <v>0.98241179999999995</v>
      </c>
      <c r="Y5132">
        <v>-0.1686086</v>
      </c>
      <c r="Z5132">
        <v>3.9158789999999997E-3</v>
      </c>
      <c r="AA5132">
        <v>0.98567530000000003</v>
      </c>
      <c r="AB5132">
        <v>32</v>
      </c>
      <c r="AC5132">
        <v>56.442700000000002</v>
      </c>
      <c r="AD5132">
        <v>-1.12257904636151</v>
      </c>
      <c r="AE5132">
        <v>0.43197999999999898</v>
      </c>
      <c r="AF5132">
        <v>-9.5610236172789698</v>
      </c>
      <c r="AG5132">
        <v>-1.12257904636151</v>
      </c>
      <c r="AH5132">
        <v>55.6060513303091</v>
      </c>
      <c r="AI5132">
        <v>91.139812764424605</v>
      </c>
      <c r="AJ5132">
        <v>99.756161514306598</v>
      </c>
      <c r="AK5132">
        <v>56.433202114309204</v>
      </c>
      <c r="AL5132">
        <v>81.483582545033201</v>
      </c>
      <c r="AM5132">
        <v>96.603796990283001</v>
      </c>
      <c r="AN5132">
        <v>1.00000002483454</v>
      </c>
    </row>
    <row r="5133" spans="1:40" x14ac:dyDescent="0.25">
      <c r="A5133" t="str">
        <f>"20190303162924065"</f>
        <v>20190303162924065</v>
      </c>
      <c r="B5133" t="str">
        <f>"1551601764056770"</f>
        <v>1551601764056770</v>
      </c>
      <c r="C5133" t="s">
        <v>40</v>
      </c>
      <c r="D5133">
        <v>5.1636680000000004</v>
      </c>
      <c r="E5133">
        <v>0.4794234</v>
      </c>
      <c r="F5133" t="s">
        <v>41</v>
      </c>
      <c r="G5133">
        <v>-329.08260000000001</v>
      </c>
      <c r="H5133" s="1">
        <v>-4.3030609999999998E-7</v>
      </c>
      <c r="I5133">
        <v>19.52505</v>
      </c>
      <c r="J5133">
        <v>-386.15699999999998</v>
      </c>
      <c r="K5133">
        <v>1.1229209999999901</v>
      </c>
      <c r="L5133">
        <v>19.117799999999999</v>
      </c>
      <c r="M5133">
        <v>0.98698350000000001</v>
      </c>
      <c r="N5133">
        <v>-1.2100400000000001E-2</v>
      </c>
      <c r="O5133">
        <v>-0.16036589999999901</v>
      </c>
      <c r="P5133">
        <v>0.98954929999999997</v>
      </c>
      <c r="Q5133">
        <v>0.1361416</v>
      </c>
      <c r="R5133">
        <v>-4.7514180000000003E-2</v>
      </c>
      <c r="S5133">
        <v>3.0411069999999998</v>
      </c>
      <c r="T5133">
        <v>-5.9645530000000002E-2</v>
      </c>
      <c r="U5133">
        <v>2.029419E-2</v>
      </c>
      <c r="V5133">
        <v>-0.11246059999999999</v>
      </c>
      <c r="W5133">
        <v>0.14754339999999999</v>
      </c>
      <c r="X5133">
        <v>0.98264110000000005</v>
      </c>
      <c r="Y5133">
        <v>-0.16690469999999999</v>
      </c>
      <c r="Z5133">
        <v>3.8351779999999999E-3</v>
      </c>
      <c r="AA5133">
        <v>0.98596550000000005</v>
      </c>
      <c r="AB5133">
        <v>32</v>
      </c>
      <c r="AC5133">
        <v>57.074399999999898</v>
      </c>
      <c r="AD5133">
        <v>-1.1229214303060999</v>
      </c>
      <c r="AE5133">
        <v>0.407250000000001</v>
      </c>
      <c r="AF5133">
        <v>-9.5517385634481098</v>
      </c>
      <c r="AG5133">
        <v>-1.1229214303060999</v>
      </c>
      <c r="AH5133">
        <v>56.248527418510903</v>
      </c>
      <c r="AI5133">
        <v>91.127539059129006</v>
      </c>
      <c r="AJ5133">
        <v>99.637638933588903</v>
      </c>
      <c r="AK5133">
        <v>57.064818398677801</v>
      </c>
      <c r="AL5133">
        <v>81.515410161442503</v>
      </c>
      <c r="AM5133">
        <v>96.528939205277098</v>
      </c>
      <c r="AN5133">
        <v>0.99999998642256405</v>
      </c>
    </row>
    <row r="5134" spans="1:40" x14ac:dyDescent="0.25">
      <c r="A5134" t="str">
        <f>"20190303162924088"</f>
        <v>20190303162924088</v>
      </c>
      <c r="B5134" t="str">
        <f>"1551601764077265"</f>
        <v>1551601764077265</v>
      </c>
      <c r="C5134" t="s">
        <v>40</v>
      </c>
      <c r="D5134">
        <v>5.1076329999999999</v>
      </c>
      <c r="E5134">
        <v>0.47950019999999999</v>
      </c>
      <c r="F5134" t="s">
        <v>41</v>
      </c>
      <c r="G5134">
        <v>-328.82510000000002</v>
      </c>
      <c r="H5134" s="1">
        <v>-5.5558949999999995E-7</v>
      </c>
      <c r="I5134">
        <v>19.505030000000001</v>
      </c>
      <c r="J5134">
        <v>-385.8451</v>
      </c>
      <c r="K5134">
        <v>1.1235109999999999</v>
      </c>
      <c r="L5134">
        <v>19.07056</v>
      </c>
      <c r="M5134">
        <v>0.98755720000000002</v>
      </c>
      <c r="N5134">
        <v>-1.2122849999999999E-2</v>
      </c>
      <c r="O5134">
        <v>-0.15679209999999999</v>
      </c>
      <c r="P5134">
        <v>0.98973040000000001</v>
      </c>
      <c r="Q5134">
        <v>0.13511310000000001</v>
      </c>
      <c r="R5134">
        <v>-4.6667409999999999E-2</v>
      </c>
      <c r="S5134">
        <v>3.0408629999999999</v>
      </c>
      <c r="T5134">
        <v>-5.9559349999999997E-2</v>
      </c>
      <c r="U5134">
        <v>2.053833E-2</v>
      </c>
      <c r="V5134">
        <v>-0.1099654</v>
      </c>
      <c r="W5134">
        <v>0.14639869999999999</v>
      </c>
      <c r="X5134">
        <v>0.98309460000000004</v>
      </c>
      <c r="Y5134">
        <v>-0.1634157</v>
      </c>
      <c r="Z5134">
        <v>3.7460129999999999E-3</v>
      </c>
      <c r="AA5134">
        <v>0.98655020000000004</v>
      </c>
      <c r="AB5134">
        <v>32</v>
      </c>
      <c r="AC5134">
        <v>57.019999999999897</v>
      </c>
      <c r="AD5134">
        <v>-1.1235115555895001</v>
      </c>
      <c r="AE5134">
        <v>0.43446999999999703</v>
      </c>
      <c r="AF5134">
        <v>-9.3664021038546306</v>
      </c>
      <c r="AG5134">
        <v>-1.1235115555895001</v>
      </c>
      <c r="AH5134">
        <v>56.224697320081198</v>
      </c>
      <c r="AI5134">
        <v>91.129204733130194</v>
      </c>
      <c r="AJ5134">
        <v>99.457978571331196</v>
      </c>
      <c r="AK5134">
        <v>57.010598622724302</v>
      </c>
      <c r="AL5134">
        <v>81.581716631455606</v>
      </c>
      <c r="AM5134">
        <v>96.382368127756493</v>
      </c>
      <c r="AN5134">
        <v>0.99999998055400396</v>
      </c>
    </row>
    <row r="5135" spans="1:40" x14ac:dyDescent="0.25">
      <c r="A5135" t="str">
        <f>"20190303162924102"</f>
        <v>20190303162924102</v>
      </c>
      <c r="B5135" t="str">
        <f>"1551601764087025"</f>
        <v>1551601764087025</v>
      </c>
      <c r="C5135" t="s">
        <v>40</v>
      </c>
      <c r="D5135">
        <v>5.1051719999999996</v>
      </c>
      <c r="E5135">
        <v>0.47960000000000003</v>
      </c>
      <c r="F5135" t="s">
        <v>41</v>
      </c>
      <c r="G5135">
        <v>-330.90730000000002</v>
      </c>
      <c r="H5135" s="1">
        <v>-3.907697E-6</v>
      </c>
      <c r="I5135">
        <v>19.47739</v>
      </c>
      <c r="J5135">
        <v>-385.6447</v>
      </c>
      <c r="K5135">
        <v>1.123842</v>
      </c>
      <c r="L5135">
        <v>19.041049999999998</v>
      </c>
      <c r="M5135">
        <v>0.98796090000000003</v>
      </c>
      <c r="N5135">
        <v>-1.213473E-2</v>
      </c>
      <c r="O5135">
        <v>-0.15422720000000001</v>
      </c>
      <c r="P5135">
        <v>0.98990679999999998</v>
      </c>
      <c r="Q5135">
        <v>0.1342856</v>
      </c>
      <c r="R5135">
        <v>-4.529702E-2</v>
      </c>
      <c r="S5135">
        <v>3.0407099999999998</v>
      </c>
      <c r="T5135">
        <v>-6.2184570000000002E-2</v>
      </c>
      <c r="U5135">
        <v>2.2521969999999999E-2</v>
      </c>
      <c r="V5135">
        <v>-0.1089012</v>
      </c>
      <c r="W5135">
        <v>0.14550469999999999</v>
      </c>
      <c r="X5135">
        <v>0.98334580000000005</v>
      </c>
      <c r="Y5135">
        <v>-0.16149340000000001</v>
      </c>
      <c r="Z5135">
        <v>3.8989820000000001E-3</v>
      </c>
      <c r="AA5135">
        <v>0.98686609999999997</v>
      </c>
      <c r="AB5135">
        <v>32</v>
      </c>
      <c r="AC5135">
        <v>54.737399999999901</v>
      </c>
      <c r="AD5135">
        <v>-1.123845907697</v>
      </c>
      <c r="AE5135">
        <v>0.436340000000001</v>
      </c>
      <c r="AF5135">
        <v>-8.8699971880212107</v>
      </c>
      <c r="AG5135">
        <v>-1.123845907697</v>
      </c>
      <c r="AH5135">
        <v>53.992333143410697</v>
      </c>
      <c r="AI5135">
        <v>91.176666533317203</v>
      </c>
      <c r="AJ5135">
        <v>99.329362093151801</v>
      </c>
      <c r="AK5135">
        <v>54.727615679917903</v>
      </c>
      <c r="AL5135">
        <v>81.633493883285098</v>
      </c>
      <c r="AM5135">
        <v>96.319502878688297</v>
      </c>
      <c r="AN5135">
        <v>1.0000000257305799</v>
      </c>
    </row>
    <row r="5136" spans="1:40" x14ac:dyDescent="0.25">
      <c r="A5136" t="str">
        <f>"20190303162924121"</f>
        <v>20190303162924121</v>
      </c>
      <c r="B5136" t="str">
        <f>"1551601764107521"</f>
        <v>1551601764107521</v>
      </c>
      <c r="C5136" t="s">
        <v>40</v>
      </c>
      <c r="D5136">
        <v>5.0364490000000002</v>
      </c>
      <c r="E5136">
        <v>0.47976600000000003</v>
      </c>
      <c r="F5136" t="s">
        <v>41</v>
      </c>
      <c r="G5136">
        <v>-332.88389999999998</v>
      </c>
      <c r="H5136" s="1">
        <v>-3.0574179999999998E-6</v>
      </c>
      <c r="I5136">
        <v>19.490559999999999</v>
      </c>
      <c r="J5136">
        <v>-385.39420000000001</v>
      </c>
      <c r="K5136">
        <v>1.124177</v>
      </c>
      <c r="L5136">
        <v>19.005279999999999</v>
      </c>
      <c r="M5136">
        <v>0.98850249999999995</v>
      </c>
      <c r="N5136">
        <v>-1.2146199999999999E-2</v>
      </c>
      <c r="O5136">
        <v>-0.15071689999999999</v>
      </c>
      <c r="P5136">
        <v>0.99010589999999998</v>
      </c>
      <c r="Q5136">
        <v>0.1335315</v>
      </c>
      <c r="R5136">
        <v>-4.31268E-2</v>
      </c>
      <c r="S5136">
        <v>3.040527</v>
      </c>
      <c r="T5136">
        <v>-6.4765450000000002E-2</v>
      </c>
      <c r="U5136">
        <v>2.5909419999999999E-2</v>
      </c>
      <c r="V5136">
        <v>-0.1076927</v>
      </c>
      <c r="W5136">
        <v>0.14468429999999999</v>
      </c>
      <c r="X5136">
        <v>0.98359989999999997</v>
      </c>
      <c r="Y5136">
        <v>-0.15908349999999999</v>
      </c>
      <c r="Z5136">
        <v>4.0261350000000001E-3</v>
      </c>
      <c r="AA5136">
        <v>0.98725689999999999</v>
      </c>
      <c r="AB5136">
        <v>32</v>
      </c>
      <c r="AC5136">
        <v>52.510300000000001</v>
      </c>
      <c r="AD5136">
        <v>-1.1241800574179901</v>
      </c>
      <c r="AE5136">
        <v>0.48528000000000299</v>
      </c>
      <c r="AF5136">
        <v>-8.3906626810681999</v>
      </c>
      <c r="AG5136">
        <v>-1.1241800574179901</v>
      </c>
      <c r="AH5136">
        <v>51.813493005512001</v>
      </c>
      <c r="AI5136">
        <v>91.226953380258806</v>
      </c>
      <c r="AJ5136">
        <v>99.198607811378594</v>
      </c>
      <c r="AK5136">
        <v>52.500524363678601</v>
      </c>
      <c r="AL5136">
        <v>81.681001982144707</v>
      </c>
      <c r="AM5136">
        <v>96.248330237870803</v>
      </c>
      <c r="AN5136">
        <v>1.0000000137898899</v>
      </c>
    </row>
    <row r="5137" spans="1:40" x14ac:dyDescent="0.25">
      <c r="A5137" t="str">
        <f>"20190303162924133"</f>
        <v>20190303162924133</v>
      </c>
      <c r="B5137" t="str">
        <f>"1551601764127041"</f>
        <v>1551601764127041</v>
      </c>
      <c r="C5137" t="s">
        <v>40</v>
      </c>
      <c r="D5137">
        <v>5.096794</v>
      </c>
      <c r="E5137">
        <v>0.47974860000000003</v>
      </c>
      <c r="F5137" t="s">
        <v>41</v>
      </c>
      <c r="G5137">
        <v>-333.8091</v>
      </c>
      <c r="H5137" s="1">
        <v>-2.654347E-6</v>
      </c>
      <c r="I5137">
        <v>19.52506</v>
      </c>
      <c r="J5137">
        <v>-385.20609999999999</v>
      </c>
      <c r="K5137">
        <v>1.124385</v>
      </c>
      <c r="L5137">
        <v>18.979220000000002</v>
      </c>
      <c r="M5137">
        <v>0.988923</v>
      </c>
      <c r="N5137">
        <v>-1.21523E-2</v>
      </c>
      <c r="O5137">
        <v>-0.14793190000000001</v>
      </c>
      <c r="P5137">
        <v>0.99021979999999998</v>
      </c>
      <c r="Q5137">
        <v>0.1334487</v>
      </c>
      <c r="R5137">
        <v>-4.0700130000000001E-2</v>
      </c>
      <c r="S5137">
        <v>3.0402830000000001</v>
      </c>
      <c r="T5137">
        <v>-6.6256170000000003E-2</v>
      </c>
      <c r="U5137">
        <v>3.0639650000000001E-2</v>
      </c>
      <c r="V5137">
        <v>-0.10740769999999999</v>
      </c>
      <c r="W5137">
        <v>0.14455589999999999</v>
      </c>
      <c r="X5137">
        <v>0.98364989999999997</v>
      </c>
      <c r="Y5137">
        <v>-0.1578368</v>
      </c>
      <c r="Z5137">
        <v>4.0916659999999999E-3</v>
      </c>
      <c r="AA5137">
        <v>0.98745669999999997</v>
      </c>
      <c r="AB5137">
        <v>32</v>
      </c>
      <c r="AC5137">
        <v>51.396999999999899</v>
      </c>
      <c r="AD5137">
        <v>-1.1243876543469999</v>
      </c>
      <c r="AE5137">
        <v>0.54583999999999799</v>
      </c>
      <c r="AF5137">
        <v>-8.1397549167124996</v>
      </c>
      <c r="AG5137">
        <v>-1.1243876543469999</v>
      </c>
      <c r="AH5137">
        <v>50.726396075262102</v>
      </c>
      <c r="AI5137">
        <v>91.253761377814399</v>
      </c>
      <c r="AJ5137">
        <v>99.116190630555806</v>
      </c>
      <c r="AK5137">
        <v>51.387616372874902</v>
      </c>
      <c r="AL5137">
        <v>81.688436588767999</v>
      </c>
      <c r="AM5137">
        <v>96.231610533272303</v>
      </c>
      <c r="AN5137">
        <v>0.99999997400705398</v>
      </c>
    </row>
    <row r="5138" spans="1:40" x14ac:dyDescent="0.25">
      <c r="A5138" t="str">
        <f>"20190303162924145"</f>
        <v>20190303162924145</v>
      </c>
      <c r="B5138" t="str">
        <f>"1551601764136801"</f>
        <v>1551601764136801</v>
      </c>
      <c r="C5138" t="s">
        <v>40</v>
      </c>
      <c r="D5138">
        <v>4.8373150000000003</v>
      </c>
      <c r="E5138">
        <v>0.47982940000000002</v>
      </c>
      <c r="F5138" t="s">
        <v>41</v>
      </c>
      <c r="G5138">
        <v>-333.37479999999999</v>
      </c>
      <c r="H5138" s="1">
        <v>-2.8260539999999999E-6</v>
      </c>
      <c r="I5138">
        <v>19.622229999999998</v>
      </c>
      <c r="J5138">
        <v>-385.03199999999998</v>
      </c>
      <c r="K5138">
        <v>1.124552</v>
      </c>
      <c r="L5138">
        <v>18.955539999999999</v>
      </c>
      <c r="M5138">
        <v>0.98931400000000003</v>
      </c>
      <c r="N5138">
        <v>-1.2156480000000001E-2</v>
      </c>
      <c r="O5138">
        <v>-0.14529300000000001</v>
      </c>
      <c r="P5138">
        <v>0.9903054</v>
      </c>
      <c r="Q5138">
        <v>0.13359699999999999</v>
      </c>
      <c r="R5138">
        <v>-3.8036710000000001E-2</v>
      </c>
      <c r="S5138">
        <v>3.0400999999999998</v>
      </c>
      <c r="T5138">
        <v>-6.5949679999999997E-2</v>
      </c>
      <c r="U5138">
        <v>3.771973E-2</v>
      </c>
      <c r="V5138">
        <v>-0.1074881</v>
      </c>
      <c r="W5138">
        <v>0.14466209999999999</v>
      </c>
      <c r="X5138">
        <v>0.98362550000000004</v>
      </c>
      <c r="Y5138">
        <v>-0.15750320000000001</v>
      </c>
      <c r="Z5138">
        <v>4.0389229999999998E-3</v>
      </c>
      <c r="AA5138">
        <v>0.9875102</v>
      </c>
      <c r="AB5138">
        <v>32</v>
      </c>
      <c r="AC5138">
        <v>51.657199999999897</v>
      </c>
      <c r="AD5138">
        <v>-1.1245548260539999</v>
      </c>
      <c r="AE5138">
        <v>0.66668999999999901</v>
      </c>
      <c r="AF5138">
        <v>-8.1617312660657095</v>
      </c>
      <c r="AG5138">
        <v>-1.1245548260539999</v>
      </c>
      <c r="AH5138">
        <v>50.987934646904201</v>
      </c>
      <c r="AI5138">
        <v>91.247594142994103</v>
      </c>
      <c r="AJ5138">
        <v>99.094288891675703</v>
      </c>
      <c r="AK5138">
        <v>51.649278410963703</v>
      </c>
      <c r="AL5138">
        <v>81.682287101728306</v>
      </c>
      <c r="AM5138">
        <v>96.236391941650894</v>
      </c>
      <c r="AN5138">
        <v>0.99999996953413395</v>
      </c>
    </row>
    <row r="5139" spans="1:40" x14ac:dyDescent="0.25">
      <c r="A5139" t="str">
        <f>"20190303162924165"</f>
        <v>20190303162924165</v>
      </c>
      <c r="B5139" t="str">
        <f>"1551601764157297"</f>
        <v>1551601764157297</v>
      </c>
      <c r="C5139" t="s">
        <v>40</v>
      </c>
      <c r="D5139">
        <v>5.0352639999999997</v>
      </c>
      <c r="E5139">
        <v>0.47987289999999999</v>
      </c>
      <c r="F5139" t="s">
        <v>41</v>
      </c>
      <c r="G5139">
        <v>-332.41070000000002</v>
      </c>
      <c r="H5139" s="1">
        <v>-3.2683020000000002E-6</v>
      </c>
      <c r="I5139">
        <v>19.72991</v>
      </c>
      <c r="J5139">
        <v>-384.76280000000003</v>
      </c>
      <c r="K5139">
        <v>1.1247480000000001</v>
      </c>
      <c r="L5139">
        <v>18.920010000000001</v>
      </c>
      <c r="M5139">
        <v>0.98992409999999997</v>
      </c>
      <c r="N5139">
        <v>-1.216064E-2</v>
      </c>
      <c r="O5139">
        <v>-0.14107620000000001</v>
      </c>
      <c r="P5139">
        <v>0.99059330000000001</v>
      </c>
      <c r="Q5139">
        <v>0.13271520000000001</v>
      </c>
      <c r="R5139">
        <v>-3.3345640000000003E-2</v>
      </c>
      <c r="S5139">
        <v>3.0398559999999999</v>
      </c>
      <c r="T5139">
        <v>-6.4963939999999998E-2</v>
      </c>
      <c r="U5139">
        <v>4.4738769999999997E-2</v>
      </c>
      <c r="V5139">
        <v>-0.1080386</v>
      </c>
      <c r="W5139">
        <v>0.14372689999999999</v>
      </c>
      <c r="X5139">
        <v>0.98370230000000003</v>
      </c>
      <c r="Y5139">
        <v>-0.15557850000000001</v>
      </c>
      <c r="Z5139">
        <v>3.8966270000000002E-3</v>
      </c>
      <c r="AA5139">
        <v>0.98781589999999997</v>
      </c>
      <c r="AB5139">
        <v>32</v>
      </c>
      <c r="AC5139">
        <v>52.3521</v>
      </c>
      <c r="AD5139">
        <v>-1.12475126830199</v>
      </c>
      <c r="AE5139">
        <v>0.80989999999999895</v>
      </c>
      <c r="AF5139">
        <v>-8.1842031577692005</v>
      </c>
      <c r="AG5139">
        <v>-1.12475126830199</v>
      </c>
      <c r="AH5139">
        <v>51.690315829397797</v>
      </c>
      <c r="AI5139">
        <v>91.231194218212707</v>
      </c>
      <c r="AJ5139">
        <v>98.997038695330104</v>
      </c>
      <c r="AK5139">
        <v>52.346298792618398</v>
      </c>
      <c r="AL5139">
        <v>81.736436162211504</v>
      </c>
      <c r="AM5139">
        <v>96.267592547860303</v>
      </c>
      <c r="AN5139">
        <v>0.99999998794942901</v>
      </c>
    </row>
    <row r="5140" spans="1:40" x14ac:dyDescent="0.25">
      <c r="A5140" t="str">
        <f>"20190303162924176"</f>
        <v>20190303162924176</v>
      </c>
      <c r="B5140" t="str">
        <f>"1551601764167057"</f>
        <v>1551601764167057</v>
      </c>
      <c r="C5140" t="s">
        <v>40</v>
      </c>
      <c r="D5140">
        <v>4.9877649999999996</v>
      </c>
      <c r="E5140">
        <v>0.4798384</v>
      </c>
      <c r="F5140" t="s">
        <v>41</v>
      </c>
      <c r="G5140">
        <v>-333.1069</v>
      </c>
      <c r="H5140" s="1">
        <v>-3.0144069999999999E-6</v>
      </c>
      <c r="I5140">
        <v>19.89818</v>
      </c>
      <c r="J5140">
        <v>-384.59230000000002</v>
      </c>
      <c r="K5140">
        <v>1.1248400000000001</v>
      </c>
      <c r="L5140">
        <v>18.898250000000001</v>
      </c>
      <c r="M5140">
        <v>0.99030850000000004</v>
      </c>
      <c r="N5140">
        <v>-1.2162269999999999E-2</v>
      </c>
      <c r="O5140">
        <v>-0.13835220000000001</v>
      </c>
      <c r="P5140">
        <v>0.99082239999999999</v>
      </c>
      <c r="Q5140">
        <v>0.13171289999999999</v>
      </c>
      <c r="R5140">
        <v>-3.038037E-2</v>
      </c>
      <c r="S5140">
        <v>3.0392459999999999</v>
      </c>
      <c r="T5140">
        <v>-6.6176299999999993E-2</v>
      </c>
      <c r="U5140">
        <v>5.755615E-2</v>
      </c>
      <c r="V5140">
        <v>-0.10832079999999999</v>
      </c>
      <c r="W5140">
        <v>0.14269949999999901</v>
      </c>
      <c r="X5140">
        <v>0.9838209</v>
      </c>
      <c r="Y5140">
        <v>-0.15702569999999999</v>
      </c>
      <c r="Z5140">
        <v>3.9839059999999997E-3</v>
      </c>
      <c r="AA5140">
        <v>0.98758650000000003</v>
      </c>
      <c r="AB5140">
        <v>32</v>
      </c>
      <c r="AC5140">
        <v>51.485399999999998</v>
      </c>
      <c r="AD5140">
        <v>-1.1248430144069901</v>
      </c>
      <c r="AE5140">
        <v>0.99992999999999899</v>
      </c>
      <c r="AF5140">
        <v>-8.1100872501329295</v>
      </c>
      <c r="AG5140">
        <v>-1.1248430144069901</v>
      </c>
      <c r="AH5140">
        <v>50.827591172069098</v>
      </c>
      <c r="AI5140">
        <v>91.251948924617096</v>
      </c>
      <c r="AJ5140">
        <v>99.065734818413304</v>
      </c>
      <c r="AK5140">
        <v>51.482839969904703</v>
      </c>
      <c r="AL5140">
        <v>81.795915503953495</v>
      </c>
      <c r="AM5140">
        <v>96.2830814300859</v>
      </c>
      <c r="AN5140">
        <v>1.0000000531448401</v>
      </c>
    </row>
    <row r="5141" spans="1:40" x14ac:dyDescent="0.25">
      <c r="A5141" t="str">
        <f>"20190303162924189"</f>
        <v>20190303162924189</v>
      </c>
      <c r="B5141" t="str">
        <f>"1551601764176818"</f>
        <v>1551601764176818</v>
      </c>
      <c r="C5141" t="s">
        <v>40</v>
      </c>
      <c r="D5141">
        <v>4.8691599999999999</v>
      </c>
      <c r="E5141">
        <v>0.4798384</v>
      </c>
      <c r="F5141" t="s">
        <v>41</v>
      </c>
      <c r="G5141">
        <v>-334.92520000000002</v>
      </c>
      <c r="H5141" s="1">
        <v>-2.2586989999999998E-6</v>
      </c>
      <c r="I5141">
        <v>19.98949</v>
      </c>
      <c r="J5141">
        <v>-384.42950000000002</v>
      </c>
      <c r="K5141">
        <v>1.1249070000000001</v>
      </c>
      <c r="L5141">
        <v>18.877929999999999</v>
      </c>
      <c r="M5141">
        <v>0.9906703</v>
      </c>
      <c r="N5141">
        <v>-1.216333E-2</v>
      </c>
      <c r="O5141">
        <v>-0.135737</v>
      </c>
      <c r="P5141">
        <v>0.99099210000000004</v>
      </c>
      <c r="Q5141">
        <v>0.1309797</v>
      </c>
      <c r="R5141">
        <v>-2.791449E-2</v>
      </c>
      <c r="S5141">
        <v>3.03891</v>
      </c>
      <c r="T5141">
        <v>-6.8824049999999998E-2</v>
      </c>
      <c r="U5141">
        <v>6.6772460000000006E-2</v>
      </c>
      <c r="V5141">
        <v>-0.1082055</v>
      </c>
      <c r="W5141">
        <v>0.14194909999999999</v>
      </c>
      <c r="X5141">
        <v>0.98394210000000004</v>
      </c>
      <c r="Y5141">
        <v>-0.15740889999999999</v>
      </c>
      <c r="Z5141">
        <v>4.1530270000000001E-3</v>
      </c>
      <c r="AA5141">
        <v>0.98752470000000003</v>
      </c>
      <c r="AB5141">
        <v>32</v>
      </c>
      <c r="AC5141">
        <v>49.504300000000001</v>
      </c>
      <c r="AD5141">
        <v>-1.1249092586989999</v>
      </c>
      <c r="AE5141">
        <v>1.1115600000000001</v>
      </c>
      <c r="AF5141">
        <v>-7.8172982837043401</v>
      </c>
      <c r="AG5141">
        <v>-1.1249092586989999</v>
      </c>
      <c r="AH5141">
        <v>48.869952403025302</v>
      </c>
      <c r="AI5141">
        <v>91.302078159610602</v>
      </c>
      <c r="AJ5141">
        <v>99.0881116689999</v>
      </c>
      <c r="AK5141">
        <v>49.504018232570502</v>
      </c>
      <c r="AL5141">
        <v>81.839352140583898</v>
      </c>
      <c r="AM5141">
        <v>96.275679976625597</v>
      </c>
      <c r="AN5141">
        <v>1.00000001668673</v>
      </c>
    </row>
    <row r="5142" spans="1:40" x14ac:dyDescent="0.25">
      <c r="A5142" t="str">
        <f>"20190303162924201"</f>
        <v>20190303162924201</v>
      </c>
      <c r="B5142" t="str">
        <f>"1551601764197313"</f>
        <v>1551601764197313</v>
      </c>
      <c r="C5142" t="s">
        <v>40</v>
      </c>
      <c r="D5142">
        <v>4.8892740000000003</v>
      </c>
      <c r="E5142">
        <v>0.48062670000000002</v>
      </c>
      <c r="F5142" t="s">
        <v>41</v>
      </c>
      <c r="G5142">
        <v>-336.26620000000003</v>
      </c>
      <c r="H5142" s="1">
        <v>-1.702276E-6</v>
      </c>
      <c r="I5142">
        <v>20.060479999999998</v>
      </c>
      <c r="J5142">
        <v>-384.2663</v>
      </c>
      <c r="K5142">
        <v>1.1249670000000001</v>
      </c>
      <c r="L5142">
        <v>18.857880000000002</v>
      </c>
      <c r="M5142">
        <v>0.99102780000000001</v>
      </c>
      <c r="N5142">
        <v>-1.2164029999999999E-2</v>
      </c>
      <c r="O5142">
        <v>-0.13310239999999901</v>
      </c>
      <c r="P5142">
        <v>0.99116269999999995</v>
      </c>
      <c r="Q5142">
        <v>0.13016659999999999</v>
      </c>
      <c r="R5142">
        <v>-2.555729E-2</v>
      </c>
      <c r="S5142">
        <v>3.0387569999999999</v>
      </c>
      <c r="T5142">
        <v>-7.0973629999999996E-2</v>
      </c>
      <c r="U5142">
        <v>7.4615479999999998E-2</v>
      </c>
      <c r="V5142">
        <v>-0.1079589</v>
      </c>
      <c r="W5142">
        <v>0.14112339999999901</v>
      </c>
      <c r="X5142">
        <v>0.98408790000000002</v>
      </c>
      <c r="Y5142">
        <v>-0.15732750000000001</v>
      </c>
      <c r="Z5142">
        <v>4.274463E-3</v>
      </c>
      <c r="AA5142">
        <v>0.9875372</v>
      </c>
      <c r="AB5142">
        <v>32</v>
      </c>
      <c r="AC5142">
        <v>48.000099999999897</v>
      </c>
      <c r="AD5142">
        <v>-1.124968702276</v>
      </c>
      <c r="AE5142">
        <v>1.2025999999999999</v>
      </c>
      <c r="AF5142">
        <v>-7.5771388684531198</v>
      </c>
      <c r="AG5142">
        <v>-1.124968702276</v>
      </c>
      <c r="AH5142">
        <v>47.386852467623598</v>
      </c>
      <c r="AI5142">
        <v>91.342899364506394</v>
      </c>
      <c r="AJ5142">
        <v>99.084668058728695</v>
      </c>
      <c r="AK5142">
        <v>48.002003862351899</v>
      </c>
      <c r="AL5142">
        <v>81.887141957352497</v>
      </c>
      <c r="AM5142">
        <v>96.260571131552794</v>
      </c>
      <c r="AN5142">
        <v>0.99999996652158896</v>
      </c>
    </row>
    <row r="5143" spans="1:40" x14ac:dyDescent="0.25">
      <c r="A5143" t="str">
        <f>"20190303162924220"</f>
        <v>20190303162924220</v>
      </c>
      <c r="B5143" t="str">
        <f>"1551601764207073"</f>
        <v>1551601764207073</v>
      </c>
      <c r="C5143" t="s">
        <v>40</v>
      </c>
      <c r="D5143">
        <v>4.8489360000000001</v>
      </c>
      <c r="E5143">
        <v>0.51391209999999998</v>
      </c>
      <c r="F5143" t="s">
        <v>41</v>
      </c>
      <c r="G5143">
        <v>-336.80200000000002</v>
      </c>
      <c r="H5143" s="1">
        <v>-1.4704580000000001E-6</v>
      </c>
      <c r="I5143">
        <v>20.05302</v>
      </c>
      <c r="J5143">
        <v>-384.00240000000002</v>
      </c>
      <c r="K5143">
        <v>1.125035</v>
      </c>
      <c r="L5143">
        <v>18.826599999999999</v>
      </c>
      <c r="M5143">
        <v>0.99159140000000001</v>
      </c>
      <c r="N5143">
        <v>-1.216503E-2</v>
      </c>
      <c r="O5143">
        <v>-0.1288347</v>
      </c>
      <c r="P5143">
        <v>0.99132379999999998</v>
      </c>
      <c r="Q5143">
        <v>0.12938830000000001</v>
      </c>
      <c r="R5143">
        <v>-2.3145120000000002E-2</v>
      </c>
      <c r="S5143">
        <v>3.0382389999999999</v>
      </c>
      <c r="T5143">
        <v>-7.2010399999999905E-2</v>
      </c>
      <c r="U5143">
        <v>7.6507569999999997E-2</v>
      </c>
      <c r="V5143">
        <v>-0.10614659999999999</v>
      </c>
      <c r="W5143">
        <v>0.14034639999999901</v>
      </c>
      <c r="X5143">
        <v>0.98439620000000005</v>
      </c>
      <c r="Y5143">
        <v>-0.15369360000000001</v>
      </c>
      <c r="Z5143">
        <v>4.2339259999999998E-3</v>
      </c>
      <c r="AA5143">
        <v>0.98810949999999997</v>
      </c>
      <c r="AB5143">
        <v>32</v>
      </c>
      <c r="AC5143">
        <v>47.200400000000002</v>
      </c>
      <c r="AD5143">
        <v>-1.125036470458</v>
      </c>
      <c r="AE5143">
        <v>1.2264200000000001</v>
      </c>
      <c r="AF5143">
        <v>-7.2935565332232803</v>
      </c>
      <c r="AG5143">
        <v>-1.125036470458</v>
      </c>
      <c r="AH5143">
        <v>46.622490702411604</v>
      </c>
      <c r="AI5143">
        <v>91.365718636389403</v>
      </c>
      <c r="AJ5143">
        <v>98.891206531727207</v>
      </c>
      <c r="AK5143">
        <v>47.202948141611301</v>
      </c>
      <c r="AL5143">
        <v>81.9321089592177</v>
      </c>
      <c r="AM5143">
        <v>96.154375827813695</v>
      </c>
      <c r="AN5143">
        <v>1.00000004562947</v>
      </c>
    </row>
    <row r="5144" spans="1:40" x14ac:dyDescent="0.25">
      <c r="A5144" t="str">
        <f>"20190303162924232"</f>
        <v>20190303162924232</v>
      </c>
      <c r="B5144" t="str">
        <f>"1551601764227569"</f>
        <v>1551601764227569</v>
      </c>
      <c r="C5144" t="s">
        <v>40</v>
      </c>
      <c r="D5144">
        <v>4.8260389999999997</v>
      </c>
      <c r="E5144">
        <v>0.5180129</v>
      </c>
      <c r="F5144" t="s">
        <v>42</v>
      </c>
      <c r="G5144">
        <v>-311.80399999999997</v>
      </c>
      <c r="H5144">
        <v>-0.05</v>
      </c>
      <c r="I5144">
        <v>14.54579</v>
      </c>
      <c r="J5144">
        <v>-383.83170000000001</v>
      </c>
      <c r="K5144">
        <v>1.1250690000000001</v>
      </c>
      <c r="L5144">
        <v>18.807009999999998</v>
      </c>
      <c r="M5144">
        <v>0.99194530000000003</v>
      </c>
      <c r="N5144">
        <v>-1.2165540000000001E-2</v>
      </c>
      <c r="O5144">
        <v>-0.12608119999999901</v>
      </c>
      <c r="P5144">
        <v>0.99131760000000002</v>
      </c>
      <c r="Q5144">
        <v>0.12963630000000001</v>
      </c>
      <c r="R5144">
        <v>-2.1995609999999999E-2</v>
      </c>
      <c r="S5144">
        <v>3.028473</v>
      </c>
      <c r="T5144">
        <v>-4.928863E-2</v>
      </c>
      <c r="U5144">
        <v>-0.17956539999999999</v>
      </c>
      <c r="V5144">
        <v>-0.104563</v>
      </c>
      <c r="W5144">
        <v>0.140602799999999</v>
      </c>
      <c r="X5144">
        <v>0.98452899999999999</v>
      </c>
      <c r="Y5144">
        <v>-6.7136970000000004E-2</v>
      </c>
      <c r="Z5144">
        <v>1.4616049999999999E-3</v>
      </c>
      <c r="AA5144">
        <v>0.99774269999999998</v>
      </c>
      <c r="AB5144">
        <v>32</v>
      </c>
      <c r="AC5144">
        <v>72.027699999999896</v>
      </c>
      <c r="AD5144">
        <v>-1.1750689999999999</v>
      </c>
      <c r="AE5144">
        <v>-4.2612199999999998</v>
      </c>
      <c r="AF5144">
        <v>-4.8535138339827801</v>
      </c>
      <c r="AG5144">
        <v>-1.1750689999999999</v>
      </c>
      <c r="AH5144">
        <v>71.971039249068994</v>
      </c>
      <c r="AI5144">
        <v>90.933264020857607</v>
      </c>
      <c r="AJ5144">
        <v>93.858016398798199</v>
      </c>
      <c r="AK5144">
        <v>72.144077194752796</v>
      </c>
      <c r="AL5144">
        <v>81.917270498889494</v>
      </c>
      <c r="AM5144">
        <v>96.062436066125002</v>
      </c>
      <c r="AN5144">
        <v>0.999999960088919</v>
      </c>
    </row>
    <row r="5145" spans="1:40" x14ac:dyDescent="0.25">
      <c r="A5145" t="str">
        <f>"20190303162924245"</f>
        <v>20190303162924245</v>
      </c>
      <c r="B5145" t="str">
        <f>"1551601764237330"</f>
        <v>1551601764237330</v>
      </c>
      <c r="C5145" t="s">
        <v>40</v>
      </c>
      <c r="D5145">
        <v>4.8467349999999998</v>
      </c>
      <c r="E5145">
        <v>0.51899189999999995</v>
      </c>
      <c r="F5145" t="s">
        <v>41</v>
      </c>
      <c r="G5145">
        <v>-323.988</v>
      </c>
      <c r="H5145" s="1">
        <v>-3.69435E-6</v>
      </c>
      <c r="I5145">
        <v>14.70058</v>
      </c>
      <c r="J5145">
        <v>-383.65530000000001</v>
      </c>
      <c r="K5145">
        <v>1.1250990000000001</v>
      </c>
      <c r="L5145">
        <v>18.78708</v>
      </c>
      <c r="M5145">
        <v>0.99230189999999996</v>
      </c>
      <c r="N5145">
        <v>-1.21659E-2</v>
      </c>
      <c r="O5145">
        <v>-0.12324400000000001</v>
      </c>
      <c r="P5145">
        <v>0.99130149999999995</v>
      </c>
      <c r="Q5145">
        <v>0.12995209999999999</v>
      </c>
      <c r="R5145">
        <v>-2.0833750000000002E-2</v>
      </c>
      <c r="S5145">
        <v>3.0291139999999999</v>
      </c>
      <c r="T5145">
        <v>-5.6947949999999997E-2</v>
      </c>
      <c r="U5145">
        <v>-0.20785519999999999</v>
      </c>
      <c r="V5145">
        <v>-0.1029075</v>
      </c>
      <c r="W5145">
        <v>0.14092939999999901</v>
      </c>
      <c r="X5145">
        <v>0.9846568</v>
      </c>
      <c r="Y5145">
        <v>-5.5009229999999999E-2</v>
      </c>
      <c r="Z5145">
        <v>1.656657E-3</v>
      </c>
      <c r="AA5145">
        <v>0.9984845</v>
      </c>
      <c r="AB5145">
        <v>32</v>
      </c>
      <c r="AC5145">
        <v>59.667299999999997</v>
      </c>
      <c r="AD5145">
        <v>-1.12510269435</v>
      </c>
      <c r="AE5145">
        <v>-4.0865</v>
      </c>
      <c r="AF5145">
        <v>-3.2976718495336002</v>
      </c>
      <c r="AG5145">
        <v>-1.12510269435</v>
      </c>
      <c r="AH5145">
        <v>59.694900645603298</v>
      </c>
      <c r="AI5145">
        <v>91.078113901341595</v>
      </c>
      <c r="AJ5145">
        <v>93.161925560647305</v>
      </c>
      <c r="AK5145">
        <v>59.796502061479202</v>
      </c>
      <c r="AL5145">
        <v>81.898370079862303</v>
      </c>
      <c r="AM5145">
        <v>95.966381343229202</v>
      </c>
      <c r="AN5145">
        <v>1.0000000315634201</v>
      </c>
    </row>
    <row r="5146" spans="1:40" x14ac:dyDescent="0.25">
      <c r="A5146" t="str">
        <f>"20190303162924257"</f>
        <v>20190303162924257</v>
      </c>
      <c r="B5146" t="str">
        <f>"1551601764247089"</f>
        <v>1551601764247089</v>
      </c>
      <c r="C5146" t="s">
        <v>40</v>
      </c>
      <c r="D5146">
        <v>4.8187550000000003</v>
      </c>
      <c r="E5146">
        <v>0.51939020000000002</v>
      </c>
      <c r="F5146" t="s">
        <v>41</v>
      </c>
      <c r="G5146">
        <v>-333.15390000000002</v>
      </c>
      <c r="H5146" s="1">
        <v>-3.690215E-6</v>
      </c>
      <c r="I5146">
        <v>15.27009</v>
      </c>
      <c r="J5146">
        <v>-383.4674</v>
      </c>
      <c r="K5146">
        <v>1.1251169999999999</v>
      </c>
      <c r="L5146">
        <v>18.766629999999999</v>
      </c>
      <c r="M5146">
        <v>0.99266949999999998</v>
      </c>
      <c r="N5146">
        <v>-1.2166089999999999E-2</v>
      </c>
      <c r="O5146">
        <v>-0.12024650000000001</v>
      </c>
      <c r="P5146">
        <v>0.99128669999999997</v>
      </c>
      <c r="Q5146">
        <v>0.13024810000000001</v>
      </c>
      <c r="R5146">
        <v>-1.9646210000000001E-2</v>
      </c>
      <c r="S5146">
        <v>3.0307309999999998</v>
      </c>
      <c r="T5146">
        <v>-6.7520499999999997E-2</v>
      </c>
      <c r="U5146">
        <v>-0.21105960000000001</v>
      </c>
      <c r="V5146">
        <v>-0.1011148</v>
      </c>
      <c r="W5146">
        <v>0.14124049999999999</v>
      </c>
      <c r="X5146">
        <v>0.9847979</v>
      </c>
      <c r="Y5146">
        <v>-5.0972009999999998E-2</v>
      </c>
      <c r="Z5146">
        <v>2.0799109999999998E-3</v>
      </c>
      <c r="AA5146">
        <v>0.99869790000000003</v>
      </c>
      <c r="AB5146">
        <v>32</v>
      </c>
      <c r="AC5146">
        <v>50.313499999999898</v>
      </c>
      <c r="AD5146">
        <v>-1.1251206902149999</v>
      </c>
      <c r="AE5146">
        <v>-3.4965399999999902</v>
      </c>
      <c r="AF5146">
        <v>-2.5780216051733702</v>
      </c>
      <c r="AG5146">
        <v>-1.1251206902149999</v>
      </c>
      <c r="AH5146">
        <v>50.343797775020903</v>
      </c>
      <c r="AI5146">
        <v>91.278600854987801</v>
      </c>
      <c r="AJ5146">
        <v>92.931460358944904</v>
      </c>
      <c r="AK5146">
        <v>50.422317146046503</v>
      </c>
      <c r="AL5146">
        <v>81.880364952697207</v>
      </c>
      <c r="AM5146">
        <v>95.862340223220102</v>
      </c>
      <c r="AN5146">
        <v>0.99999999273185003</v>
      </c>
    </row>
    <row r="5147" spans="1:40" x14ac:dyDescent="0.25">
      <c r="A5147" t="str">
        <f>"20190303162924276"</f>
        <v>20190303162924276</v>
      </c>
      <c r="B5147" t="str">
        <f>"1551601764267585"</f>
        <v>1551601764267585</v>
      </c>
      <c r="C5147" t="s">
        <v>40</v>
      </c>
      <c r="D5147">
        <v>4.8570489999999999</v>
      </c>
      <c r="E5147">
        <v>0.5204607</v>
      </c>
      <c r="F5147" t="s">
        <v>41</v>
      </c>
      <c r="G5147">
        <v>-336.87569999999999</v>
      </c>
      <c r="H5147" s="1">
        <v>-2.132387E-6</v>
      </c>
      <c r="I5147">
        <v>15.5456</v>
      </c>
      <c r="J5147">
        <v>-383.20609999999999</v>
      </c>
      <c r="K5147">
        <v>1.125127</v>
      </c>
      <c r="L5147">
        <v>18.73901</v>
      </c>
      <c r="M5147">
        <v>0.99316079999999995</v>
      </c>
      <c r="N5147">
        <v>-1.2165840000000001E-2</v>
      </c>
      <c r="O5147">
        <v>-0.11611929999999999</v>
      </c>
      <c r="P5147">
        <v>0.99124120000000004</v>
      </c>
      <c r="Q5147">
        <v>0.13046920000000001</v>
      </c>
      <c r="R5147">
        <v>-2.0469930000000001E-2</v>
      </c>
      <c r="S5147">
        <v>3.0318299999999998</v>
      </c>
      <c r="T5147">
        <v>-7.3214050000000003E-2</v>
      </c>
      <c r="U5147">
        <v>-0.20959469999999999</v>
      </c>
      <c r="V5147">
        <v>-9.6196030000000002E-2</v>
      </c>
      <c r="W5147">
        <v>0.14151340000000001</v>
      </c>
      <c r="X5147">
        <v>0.9852514</v>
      </c>
      <c r="Y5147">
        <v>-4.732244E-2</v>
      </c>
      <c r="Z5147">
        <v>2.2369239999999999E-3</v>
      </c>
      <c r="AA5147">
        <v>0.99887720000000002</v>
      </c>
      <c r="AB5147">
        <v>32</v>
      </c>
      <c r="AC5147">
        <v>46.330399999999997</v>
      </c>
      <c r="AD5147">
        <v>-1.1251291323870001</v>
      </c>
      <c r="AE5147">
        <v>-3.1934099999999899</v>
      </c>
      <c r="AF5147">
        <v>-2.20715181721389</v>
      </c>
      <c r="AG5147">
        <v>-1.1251291323870001</v>
      </c>
      <c r="AH5147">
        <v>46.360572782551301</v>
      </c>
      <c r="AI5147">
        <v>91.388671552548502</v>
      </c>
      <c r="AJ5147">
        <v>92.725701229965196</v>
      </c>
      <c r="AK5147">
        <v>46.426717991206502</v>
      </c>
      <c r="AL5147">
        <v>81.8645705125208</v>
      </c>
      <c r="AM5147">
        <v>95.576457225589607</v>
      </c>
      <c r="AN5147">
        <v>1.0000000198846399</v>
      </c>
    </row>
    <row r="5148" spans="1:40" x14ac:dyDescent="0.25">
      <c r="A5148" t="str">
        <f>"20190303162924290"</f>
        <v>20190303162924290</v>
      </c>
      <c r="B5148" t="str">
        <f>"1551601764276745"</f>
        <v>1551601764276745</v>
      </c>
      <c r="C5148" t="s">
        <v>40</v>
      </c>
      <c r="D5148">
        <v>4.7972149999999996</v>
      </c>
      <c r="E5148">
        <v>0.5206442</v>
      </c>
      <c r="F5148" t="s">
        <v>41</v>
      </c>
      <c r="G5148">
        <v>-336.15210000000002</v>
      </c>
      <c r="H5148" s="1">
        <v>-2.432615E-6</v>
      </c>
      <c r="I5148">
        <v>15.342639999999999</v>
      </c>
      <c r="J5148">
        <v>-383.02949999999998</v>
      </c>
      <c r="K5148">
        <v>1.1251180000000001</v>
      </c>
      <c r="L5148">
        <v>18.720949999999998</v>
      </c>
      <c r="M5148">
        <v>0.99347920000000001</v>
      </c>
      <c r="N5148">
        <v>-1.216538E-2</v>
      </c>
      <c r="O5148">
        <v>-0.11336300000000001</v>
      </c>
      <c r="P5148">
        <v>0.99125399999999997</v>
      </c>
      <c r="Q5148">
        <v>0.13043740000000001</v>
      </c>
      <c r="R5148">
        <v>-2.0046230000000002E-2</v>
      </c>
      <c r="S5148">
        <v>3.0315249999999998</v>
      </c>
      <c r="T5148">
        <v>-7.2488070000000002E-2</v>
      </c>
      <c r="U5148">
        <v>-0.21881100000000001</v>
      </c>
      <c r="V5148">
        <v>-9.3877820000000001E-2</v>
      </c>
      <c r="W5148">
        <v>0.1415082</v>
      </c>
      <c r="X5148">
        <v>0.98547569999999995</v>
      </c>
      <c r="Y5148">
        <v>-4.152467E-2</v>
      </c>
      <c r="Z5148">
        <v>2.0674349999999998E-3</v>
      </c>
      <c r="AA5148">
        <v>0.99913529999999995</v>
      </c>
      <c r="AB5148">
        <v>32</v>
      </c>
      <c r="AC5148">
        <v>46.877399999999902</v>
      </c>
      <c r="AD5148">
        <v>-1.1251204326149999</v>
      </c>
      <c r="AE5148">
        <v>-3.3783099999999902</v>
      </c>
      <c r="AF5148">
        <v>-1.95690531187886</v>
      </c>
      <c r="AG5148">
        <v>-1.1251204326149999</v>
      </c>
      <c r="AH5148">
        <v>46.931274365692801</v>
      </c>
      <c r="AI5148">
        <v>91.372141949477196</v>
      </c>
      <c r="AJ5148">
        <v>92.387693569720398</v>
      </c>
      <c r="AK5148">
        <v>46.985528495223697</v>
      </c>
      <c r="AL5148">
        <v>81.864871197852096</v>
      </c>
      <c r="AM5148">
        <v>95.441656739409893</v>
      </c>
      <c r="AN5148">
        <v>0.99999998552284097</v>
      </c>
    </row>
    <row r="5149" spans="1:40" x14ac:dyDescent="0.25">
      <c r="A5149" t="str">
        <f>"20190303162924305"</f>
        <v>20190303162924305</v>
      </c>
      <c r="B5149" t="str">
        <f>"1551601764297241"</f>
        <v>1551601764297241</v>
      </c>
      <c r="C5149" t="s">
        <v>40</v>
      </c>
      <c r="D5149">
        <v>4.8812660000000001</v>
      </c>
      <c r="E5149">
        <v>0.52084949999999997</v>
      </c>
      <c r="F5149" t="s">
        <v>41</v>
      </c>
      <c r="G5149">
        <v>-336.678</v>
      </c>
      <c r="H5149" s="1">
        <v>-2.2424389999999999E-6</v>
      </c>
      <c r="I5149">
        <v>15.38485</v>
      </c>
      <c r="J5149">
        <v>-382.822</v>
      </c>
      <c r="K5149">
        <v>1.1251009999999999</v>
      </c>
      <c r="L5149">
        <v>18.70026</v>
      </c>
      <c r="M5149">
        <v>0.99383980000000005</v>
      </c>
      <c r="N5149">
        <v>-1.2164650000000001E-2</v>
      </c>
      <c r="O5149">
        <v>-0.11015750000000001</v>
      </c>
      <c r="P5149">
        <v>0.99129409999999896</v>
      </c>
      <c r="Q5149">
        <v>0.13020860000000001</v>
      </c>
      <c r="R5149">
        <v>-1.954053E-2</v>
      </c>
      <c r="S5149">
        <v>3.0317379999999998</v>
      </c>
      <c r="T5149">
        <v>-7.3591229999999994E-2</v>
      </c>
      <c r="U5149">
        <v>-0.2182007</v>
      </c>
      <c r="V5149">
        <v>-9.1192629999999997E-2</v>
      </c>
      <c r="W5149">
        <v>0.141312299999999</v>
      </c>
      <c r="X5149">
        <v>0.98575590000000002</v>
      </c>
      <c r="Y5149">
        <v>-3.8507079999999999E-2</v>
      </c>
      <c r="Z5149">
        <v>2.022996E-3</v>
      </c>
      <c r="AA5149">
        <v>0.99925629999999999</v>
      </c>
      <c r="AB5149">
        <v>32</v>
      </c>
      <c r="AC5149">
        <v>46.143999999999799</v>
      </c>
      <c r="AD5149">
        <v>-1.125103242439</v>
      </c>
      <c r="AE5149">
        <v>-3.31541</v>
      </c>
      <c r="AF5149">
        <v>-1.78719636764362</v>
      </c>
      <c r="AG5149">
        <v>-1.125103242439</v>
      </c>
      <c r="AH5149">
        <v>46.201051268379899</v>
      </c>
      <c r="AI5149">
        <v>91.393967856184105</v>
      </c>
      <c r="AJ5149">
        <v>92.215269486457402</v>
      </c>
      <c r="AK5149">
        <v>46.249292605034803</v>
      </c>
      <c r="AL5149">
        <v>81.876209317331998</v>
      </c>
      <c r="AM5149">
        <v>95.285409457127599</v>
      </c>
      <c r="AN5149">
        <v>0.999999978141208</v>
      </c>
    </row>
    <row r="5150" spans="1:40" x14ac:dyDescent="0.25">
      <c r="A5150" t="str">
        <f>"20190303162924321"</f>
        <v>20190303162924321</v>
      </c>
      <c r="B5150" t="str">
        <f>"1551601764307002"</f>
        <v>1551601764307002</v>
      </c>
      <c r="C5150" t="s">
        <v>40</v>
      </c>
      <c r="D5150">
        <v>4.84903</v>
      </c>
      <c r="E5150">
        <v>0.52088299999999998</v>
      </c>
      <c r="F5150" t="s">
        <v>41</v>
      </c>
      <c r="G5150">
        <v>-337.0258</v>
      </c>
      <c r="H5150" s="1">
        <v>-2.1165840000000002E-6</v>
      </c>
      <c r="I5150">
        <v>15.41305</v>
      </c>
      <c r="J5150">
        <v>-382.57389999999998</v>
      </c>
      <c r="K5150">
        <v>1.12507</v>
      </c>
      <c r="L5150">
        <v>18.676449999999999</v>
      </c>
      <c r="M5150">
        <v>0.99424900000000005</v>
      </c>
      <c r="N5150">
        <v>-1.216307E-2</v>
      </c>
      <c r="O5150">
        <v>-0.10639999999999999</v>
      </c>
      <c r="P5150">
        <v>0.99130240000000003</v>
      </c>
      <c r="Q5150">
        <v>0.12994510000000001</v>
      </c>
      <c r="R5150">
        <v>-2.0827350000000001E-2</v>
      </c>
      <c r="S5150">
        <v>3.0318909999999999</v>
      </c>
      <c r="T5150">
        <v>-7.4486259999999999E-2</v>
      </c>
      <c r="U5150">
        <v>-0.2176208</v>
      </c>
      <c r="V5150">
        <v>-8.6165900000000004E-2</v>
      </c>
      <c r="W5150">
        <v>0.14111029999999999</v>
      </c>
      <c r="X5150">
        <v>0.98623689999999997</v>
      </c>
      <c r="Y5150">
        <v>-3.4924499999999997E-2</v>
      </c>
      <c r="Z5150">
        <v>1.949639E-3</v>
      </c>
      <c r="AA5150">
        <v>0.99938800000000005</v>
      </c>
      <c r="AB5150">
        <v>32</v>
      </c>
      <c r="AC5150">
        <v>45.548099999999899</v>
      </c>
      <c r="AD5150">
        <v>-1.1250721165840001</v>
      </c>
      <c r="AE5150">
        <v>-3.2633999999999901</v>
      </c>
      <c r="AF5150">
        <v>-1.6008324412678001</v>
      </c>
      <c r="AG5150">
        <v>-1.1250721165840001</v>
      </c>
      <c r="AH5150">
        <v>45.609069901784999</v>
      </c>
      <c r="AI5150">
        <v>91.412200864484305</v>
      </c>
      <c r="AJ5150">
        <v>92.010198974167807</v>
      </c>
      <c r="AK5150">
        <v>45.651020898534597</v>
      </c>
      <c r="AL5150">
        <v>81.887899992336301</v>
      </c>
      <c r="AM5150">
        <v>94.993159373245803</v>
      </c>
      <c r="AN5150">
        <v>0.99999995100525296</v>
      </c>
    </row>
    <row r="5151" spans="1:40" x14ac:dyDescent="0.25">
      <c r="A5151" t="str">
        <f>"20190303162924336"</f>
        <v>20190303162924336</v>
      </c>
      <c r="B5151" t="str">
        <f>"1551601764327497"</f>
        <v>1551601764327497</v>
      </c>
      <c r="C5151" t="s">
        <v>40</v>
      </c>
      <c r="D5151">
        <v>4.8963539999999997</v>
      </c>
      <c r="E5151">
        <v>0.52121799999999996</v>
      </c>
      <c r="F5151" t="s">
        <v>41</v>
      </c>
      <c r="G5151">
        <v>-339.6728</v>
      </c>
      <c r="H5151" s="1">
        <v>-1.1806650000000001E-6</v>
      </c>
      <c r="I5151">
        <v>15.545019999999999</v>
      </c>
      <c r="J5151">
        <v>-382.37400000000002</v>
      </c>
      <c r="K5151">
        <v>1.1250329999999999</v>
      </c>
      <c r="L5151">
        <v>18.65802</v>
      </c>
      <c r="M5151">
        <v>0.99456259999999996</v>
      </c>
      <c r="N5151">
        <v>-1.2161450000000001E-2</v>
      </c>
      <c r="O5151">
        <v>-0.1034284</v>
      </c>
      <c r="P5151">
        <v>0.99126119999999995</v>
      </c>
      <c r="Q5151">
        <v>0.130324</v>
      </c>
      <c r="R5151">
        <v>-2.0415050000000001E-2</v>
      </c>
      <c r="S5151">
        <v>3.0321039999999999</v>
      </c>
      <c r="T5151">
        <v>-7.9516169999999997E-2</v>
      </c>
      <c r="U5151">
        <v>-0.2213135</v>
      </c>
      <c r="V5151">
        <v>-8.3609870000000003E-2</v>
      </c>
      <c r="W5151">
        <v>0.14152229999999999</v>
      </c>
      <c r="X5151">
        <v>0.98639790000000005</v>
      </c>
      <c r="Y5151">
        <v>-3.073029E-2</v>
      </c>
      <c r="Z5151">
        <v>2.0326570000000002E-3</v>
      </c>
      <c r="AA5151">
        <v>0.99952569999999996</v>
      </c>
      <c r="AB5151">
        <v>32</v>
      </c>
      <c r="AC5151">
        <v>42.7012</v>
      </c>
      <c r="AD5151">
        <v>-1.1250341806649999</v>
      </c>
      <c r="AE5151">
        <v>-3.1129999999999902</v>
      </c>
      <c r="AF5151">
        <v>-1.3196298382528799</v>
      </c>
      <c r="AG5151">
        <v>-1.1250341806649999</v>
      </c>
      <c r="AH5151">
        <v>42.764623734079002</v>
      </c>
      <c r="AI5151">
        <v>91.506249643669705</v>
      </c>
      <c r="AJ5151">
        <v>91.767471068677906</v>
      </c>
      <c r="AK5151">
        <v>42.799768316370901</v>
      </c>
      <c r="AL5151">
        <v>81.864055187400297</v>
      </c>
      <c r="AM5151">
        <v>94.844970851218704</v>
      </c>
      <c r="AN5151">
        <v>0.99999999444155796</v>
      </c>
    </row>
    <row r="5152" spans="1:40" x14ac:dyDescent="0.25">
      <c r="A5152" t="str">
        <f>"20190303162924355"</f>
        <v>20190303162924355</v>
      </c>
      <c r="B5152" t="str">
        <f>"1551601764347017"</f>
        <v>1551601764347017</v>
      </c>
      <c r="C5152" t="s">
        <v>40</v>
      </c>
      <c r="D5152">
        <v>4.888452</v>
      </c>
      <c r="E5152">
        <v>0.52153459999999996</v>
      </c>
      <c r="F5152" t="s">
        <v>41</v>
      </c>
      <c r="G5152">
        <v>-341.53089999999997</v>
      </c>
      <c r="H5152" s="1">
        <v>-4.3168269999999996E-6</v>
      </c>
      <c r="I5152">
        <v>15.66272</v>
      </c>
      <c r="J5152">
        <v>-382.10050000000001</v>
      </c>
      <c r="K5152">
        <v>1.124981</v>
      </c>
      <c r="L5152">
        <v>18.63354</v>
      </c>
      <c r="M5152">
        <v>0.9949694</v>
      </c>
      <c r="N5152">
        <v>-1.2159039999999999E-2</v>
      </c>
      <c r="O5152">
        <v>-9.9439810000000003E-2</v>
      </c>
      <c r="P5152">
        <v>0.99103859999999999</v>
      </c>
      <c r="Q5152">
        <v>0.13194310000000001</v>
      </c>
      <c r="R5152">
        <v>-2.0824059999999998E-2</v>
      </c>
      <c r="S5152">
        <v>3.0328369999999998</v>
      </c>
      <c r="T5152">
        <v>-8.3540439999999994E-2</v>
      </c>
      <c r="U5152">
        <v>-0.2224121</v>
      </c>
      <c r="V5152">
        <v>-7.9212240000000003E-2</v>
      </c>
      <c r="W5152">
        <v>0.14319599999999999</v>
      </c>
      <c r="X5152">
        <v>0.98651929999999999</v>
      </c>
      <c r="Y5152">
        <v>-2.6379199999999998E-2</v>
      </c>
      <c r="Z5152">
        <v>2.0424290000000001E-3</v>
      </c>
      <c r="AA5152">
        <v>0.99964989999999998</v>
      </c>
      <c r="AB5152">
        <v>32</v>
      </c>
      <c r="AC5152">
        <v>40.569600000000001</v>
      </c>
      <c r="AD5152">
        <v>-1.1249853168269901</v>
      </c>
      <c r="AE5152">
        <v>-2.97081999999999</v>
      </c>
      <c r="AF5152">
        <v>-1.0776137235155601</v>
      </c>
      <c r="AG5152">
        <v>-1.1249853168269901</v>
      </c>
      <c r="AH5152">
        <v>40.6328522421258</v>
      </c>
      <c r="AI5152">
        <v>91.585362738042306</v>
      </c>
      <c r="AJ5152">
        <v>91.519170952030194</v>
      </c>
      <c r="AK5152">
        <v>40.662704344775399</v>
      </c>
      <c r="AL5152">
        <v>81.767172542071904</v>
      </c>
      <c r="AM5152">
        <v>94.5906967527837</v>
      </c>
      <c r="AN5152">
        <v>1.0000000013271499</v>
      </c>
    </row>
    <row r="5153" spans="1:40" x14ac:dyDescent="0.25">
      <c r="A5153" t="str">
        <f>"20190303162924368"</f>
        <v>20190303162924368</v>
      </c>
      <c r="B5153" t="str">
        <f>"1551601764356777"</f>
        <v>1551601764356777</v>
      </c>
      <c r="C5153" t="s">
        <v>40</v>
      </c>
      <c r="D5153">
        <v>4.8916309999999896</v>
      </c>
      <c r="E5153">
        <v>0.52164270000000001</v>
      </c>
      <c r="F5153" t="s">
        <v>41</v>
      </c>
      <c r="G5153">
        <v>-339.7072</v>
      </c>
      <c r="H5153" s="1">
        <v>-1.1891040000000001E-6</v>
      </c>
      <c r="I5153">
        <v>15.46936</v>
      </c>
      <c r="J5153">
        <v>-381.92579999999998</v>
      </c>
      <c r="K5153">
        <v>1.1249370000000001</v>
      </c>
      <c r="L5153">
        <v>18.61844</v>
      </c>
      <c r="M5153">
        <v>0.99521550000000003</v>
      </c>
      <c r="N5153">
        <v>-1.2157279999999999E-2</v>
      </c>
      <c r="O5153">
        <v>-9.6945950000000003E-2</v>
      </c>
      <c r="P5153">
        <v>0.99090140000000004</v>
      </c>
      <c r="Q5153">
        <v>0.132994899999999</v>
      </c>
      <c r="R5153">
        <v>-2.0673299999999999E-2</v>
      </c>
      <c r="S5153">
        <v>3.0330810000000001</v>
      </c>
      <c r="T5153">
        <v>-8.0488199999999996E-2</v>
      </c>
      <c r="U5153">
        <v>-0.22637940000000001</v>
      </c>
      <c r="V5153">
        <v>-7.6865660000000002E-2</v>
      </c>
      <c r="W5153">
        <v>0.14427760000000001</v>
      </c>
      <c r="X5153">
        <v>0.98654739999999996</v>
      </c>
      <c r="Y5153">
        <v>-2.258369E-2</v>
      </c>
      <c r="Z5153">
        <v>1.8205999999999999E-3</v>
      </c>
      <c r="AA5153">
        <v>0.9997433</v>
      </c>
      <c r="AB5153">
        <v>32</v>
      </c>
      <c r="AC5153">
        <v>42.218599999999903</v>
      </c>
      <c r="AD5153">
        <v>-1.124938189104</v>
      </c>
      <c r="AE5153">
        <v>-3.1490800000000001</v>
      </c>
      <c r="AF5153">
        <v>-0.95830321188381595</v>
      </c>
      <c r="AG5153">
        <v>-1.124938189104</v>
      </c>
      <c r="AH5153">
        <v>42.295156364509602</v>
      </c>
      <c r="AI5153">
        <v>91.523164768640598</v>
      </c>
      <c r="AJ5153">
        <v>91.297958003961796</v>
      </c>
      <c r="AK5153">
        <v>42.320965051301997</v>
      </c>
      <c r="AL5153">
        <v>81.704551683861894</v>
      </c>
      <c r="AM5153">
        <v>94.455131589373494</v>
      </c>
      <c r="AN5153">
        <v>1.0000000639978699</v>
      </c>
    </row>
    <row r="5154" spans="1:40" x14ac:dyDescent="0.25">
      <c r="A5154" t="str">
        <f>"20190303162924380"</f>
        <v>20190303162924380</v>
      </c>
      <c r="B5154" t="str">
        <f>"1551601764367513"</f>
        <v>1551601764367513</v>
      </c>
      <c r="C5154" t="s">
        <v>40</v>
      </c>
      <c r="D5154">
        <v>4.8970320000000003</v>
      </c>
      <c r="E5154">
        <v>0.52173159999999996</v>
      </c>
      <c r="F5154" t="s">
        <v>41</v>
      </c>
      <c r="G5154">
        <v>-337.25170000000003</v>
      </c>
      <c r="H5154" s="1">
        <v>-2.0758129999999998E-6</v>
      </c>
      <c r="I5154">
        <v>15.27731</v>
      </c>
      <c r="J5154">
        <v>-381.75959999999998</v>
      </c>
      <c r="K5154">
        <v>1.1248940000000001</v>
      </c>
      <c r="L5154">
        <v>18.604430000000001</v>
      </c>
      <c r="M5154">
        <v>0.99544010000000005</v>
      </c>
      <c r="N5154">
        <v>-1.21554E-2</v>
      </c>
      <c r="O5154">
        <v>-9.4610879999999994E-2</v>
      </c>
      <c r="P5154">
        <v>0.99071949999999998</v>
      </c>
      <c r="Q5154">
        <v>0.1343327</v>
      </c>
      <c r="R5154">
        <v>-2.0723160000000001E-2</v>
      </c>
      <c r="S5154">
        <v>3.033112</v>
      </c>
      <c r="T5154">
        <v>-7.6376680000000002E-2</v>
      </c>
      <c r="U5154">
        <v>-0.22683719999999999</v>
      </c>
      <c r="V5154">
        <v>-7.4476139999999996E-2</v>
      </c>
      <c r="W5154">
        <v>0.14564440000000001</v>
      </c>
      <c r="X5154">
        <v>0.98652980000000001</v>
      </c>
      <c r="Y5154">
        <v>-2.0093010000000001E-2</v>
      </c>
      <c r="Z5154">
        <v>1.5981470000000001E-3</v>
      </c>
      <c r="AA5154">
        <v>0.99979689999999999</v>
      </c>
      <c r="AB5154">
        <v>32</v>
      </c>
      <c r="AC5154">
        <v>44.5078999999999</v>
      </c>
      <c r="AD5154">
        <v>-1.124896075813</v>
      </c>
      <c r="AE5154">
        <v>-3.3271199999999901</v>
      </c>
      <c r="AF5154">
        <v>-0.89847861767438497</v>
      </c>
      <c r="AG5154">
        <v>-1.124896075813</v>
      </c>
      <c r="AH5154">
        <v>44.594699832097099</v>
      </c>
      <c r="AI5154">
        <v>91.444679833754293</v>
      </c>
      <c r="AJ5154">
        <v>91.1542194267887</v>
      </c>
      <c r="AK5154">
        <v>44.617932584585702</v>
      </c>
      <c r="AL5154">
        <v>81.625403400322597</v>
      </c>
      <c r="AM5154">
        <v>94.317243758921293</v>
      </c>
      <c r="AN5154">
        <v>1.0000000164843399</v>
      </c>
    </row>
    <row r="5155" spans="1:40" x14ac:dyDescent="0.25">
      <c r="A5155" t="str">
        <f>"20190303162924398"</f>
        <v>20190303162924398</v>
      </c>
      <c r="B5155" t="str">
        <f>"1551601764387033"</f>
        <v>1551601764387033</v>
      </c>
      <c r="C5155" t="s">
        <v>40</v>
      </c>
      <c r="D5155">
        <v>4.9270250000000004</v>
      </c>
      <c r="E5155">
        <v>0.52175269999999996</v>
      </c>
      <c r="F5155" t="s">
        <v>41</v>
      </c>
      <c r="G5155">
        <v>-333.8331</v>
      </c>
      <c r="H5155" s="1">
        <v>-3.4456230000000001E-6</v>
      </c>
      <c r="I5155">
        <v>15.006349999999999</v>
      </c>
      <c r="J5155">
        <v>-381.50200000000001</v>
      </c>
      <c r="K5155">
        <v>1.1248119999999999</v>
      </c>
      <c r="L5155">
        <v>18.58353</v>
      </c>
      <c r="M5155">
        <v>0.99576920000000002</v>
      </c>
      <c r="N5155">
        <v>-1.215201E-2</v>
      </c>
      <c r="O5155">
        <v>-9.1082629999999998E-2</v>
      </c>
      <c r="P5155">
        <v>0.9903691</v>
      </c>
      <c r="Q5155">
        <v>0.1365043</v>
      </c>
      <c r="R5155">
        <v>-2.3141510000000001E-2</v>
      </c>
      <c r="S5155">
        <v>3.0329280000000001</v>
      </c>
      <c r="T5155">
        <v>-7.1186659999999999E-2</v>
      </c>
      <c r="U5155">
        <v>-0.2276917</v>
      </c>
      <c r="V5155">
        <v>-6.8524600000000005E-2</v>
      </c>
      <c r="W5155">
        <v>0.147883399999999</v>
      </c>
      <c r="X5155">
        <v>0.98662810000000001</v>
      </c>
      <c r="Y5155">
        <v>-1.626994E-2</v>
      </c>
      <c r="Z5155">
        <v>1.3128009999999999E-3</v>
      </c>
      <c r="AA5155">
        <v>0.99986679999999994</v>
      </c>
      <c r="AB5155">
        <v>32</v>
      </c>
      <c r="AC5155">
        <v>47.668899999999901</v>
      </c>
      <c r="AD5155">
        <v>-1.124815445623</v>
      </c>
      <c r="AE5155">
        <v>-3.5771799999999998</v>
      </c>
      <c r="AF5155">
        <v>-0.77938916175349005</v>
      </c>
      <c r="AG5155">
        <v>-1.124815445623</v>
      </c>
      <c r="AH5155">
        <v>47.770121173295401</v>
      </c>
      <c r="AI5155">
        <v>91.348681945035494</v>
      </c>
      <c r="AJ5155">
        <v>90.934721260117698</v>
      </c>
      <c r="AK5155">
        <v>47.789717870725099</v>
      </c>
      <c r="AL5155">
        <v>81.495714194870004</v>
      </c>
      <c r="AM5155">
        <v>93.973002196368398</v>
      </c>
      <c r="AN5155">
        <v>1.0000000642551601</v>
      </c>
    </row>
    <row r="5156" spans="1:40" x14ac:dyDescent="0.25">
      <c r="A5156" t="str">
        <f>"20190303162924411"</f>
        <v>20190303162924411</v>
      </c>
      <c r="B5156" t="str">
        <f>"1551601764407529"</f>
        <v>1551601764407529</v>
      </c>
      <c r="C5156" t="s">
        <v>40</v>
      </c>
      <c r="D5156">
        <v>4.9647920000000001</v>
      </c>
      <c r="E5156">
        <v>0.5219627</v>
      </c>
      <c r="F5156" t="s">
        <v>41</v>
      </c>
      <c r="G5156">
        <v>-329.03949999999998</v>
      </c>
      <c r="H5156" s="1">
        <v>-1.708927E-6</v>
      </c>
      <c r="I5156">
        <v>14.520569999999999</v>
      </c>
      <c r="J5156">
        <v>-381.32580000000002</v>
      </c>
      <c r="K5156">
        <v>1.1247389999999999</v>
      </c>
      <c r="L5156">
        <v>18.56973</v>
      </c>
      <c r="M5156">
        <v>0.99595590000000001</v>
      </c>
      <c r="N5156">
        <v>-1.2028850000000001E-2</v>
      </c>
      <c r="O5156">
        <v>-8.9034520000000006E-2</v>
      </c>
      <c r="P5156">
        <v>0.99029140000000004</v>
      </c>
      <c r="Q5156">
        <v>0.13688349999999999</v>
      </c>
      <c r="R5156">
        <v>-2.420814E-2</v>
      </c>
      <c r="S5156">
        <v>3.032654</v>
      </c>
      <c r="T5156">
        <v>-6.5021040000000002E-2</v>
      </c>
      <c r="U5156">
        <v>-0.2348633</v>
      </c>
      <c r="V5156">
        <v>-6.5408770000000005E-2</v>
      </c>
      <c r="W5156">
        <v>0.14817810000000001</v>
      </c>
      <c r="X5156">
        <v>0.98679530000000004</v>
      </c>
      <c r="Y5156">
        <v>-1.186013E-2</v>
      </c>
      <c r="Z5156">
        <v>1.0293590000000001E-3</v>
      </c>
      <c r="AA5156">
        <v>0.99992910000000002</v>
      </c>
      <c r="AB5156">
        <v>32</v>
      </c>
      <c r="AC5156">
        <v>52.286299999999997</v>
      </c>
      <c r="AD5156">
        <v>-1.1247407089269901</v>
      </c>
      <c r="AE5156">
        <v>-4.0491599999999899</v>
      </c>
      <c r="AF5156">
        <v>-0.622259651152549</v>
      </c>
      <c r="AG5156">
        <v>-1.1247407089269901</v>
      </c>
      <c r="AH5156">
        <v>52.4150485889501</v>
      </c>
      <c r="AI5156">
        <v>91.2291979173486</v>
      </c>
      <c r="AJ5156">
        <v>90.680170636376005</v>
      </c>
      <c r="AK5156">
        <v>52.430807425766098</v>
      </c>
      <c r="AL5156">
        <v>81.4786405673903</v>
      </c>
      <c r="AM5156">
        <v>93.792247863676906</v>
      </c>
      <c r="AN5156">
        <v>1.0000000103072999</v>
      </c>
    </row>
    <row r="5157" spans="1:40" x14ac:dyDescent="0.25">
      <c r="A5157" t="str">
        <f>"20190303162924425"</f>
        <v>20190303162924425</v>
      </c>
      <c r="B5157" t="str">
        <f>"1551601764417289"</f>
        <v>1551601764417289</v>
      </c>
      <c r="C5157" t="s">
        <v>40</v>
      </c>
      <c r="D5157">
        <v>4.9025840000000001</v>
      </c>
      <c r="E5157">
        <v>0.52195769999999997</v>
      </c>
      <c r="F5157" t="s">
        <v>41</v>
      </c>
      <c r="G5157">
        <v>-329.38490000000002</v>
      </c>
      <c r="H5157" s="1">
        <v>-1.591303E-6</v>
      </c>
      <c r="I5157">
        <v>14.464029999999999</v>
      </c>
      <c r="J5157">
        <v>-381.12889999999999</v>
      </c>
      <c r="K5157">
        <v>1.1246389999999999</v>
      </c>
      <c r="L5157">
        <v>18.554690000000001</v>
      </c>
      <c r="M5157">
        <v>0.99614250000000004</v>
      </c>
      <c r="N5157">
        <v>-1.1854979999999999E-2</v>
      </c>
      <c r="O5157">
        <v>-8.6944899999999894E-2</v>
      </c>
      <c r="P5157">
        <v>0.99023309999999998</v>
      </c>
      <c r="Q5157">
        <v>0.13711039999999999</v>
      </c>
      <c r="R5157">
        <v>-2.5278709999999999E-2</v>
      </c>
      <c r="S5157">
        <v>3.0326230000000001</v>
      </c>
      <c r="T5157">
        <v>-6.5669179999999994E-2</v>
      </c>
      <c r="U5157">
        <v>-0.2397156</v>
      </c>
      <c r="V5157">
        <v>-6.2242699999999998E-2</v>
      </c>
      <c r="W5157">
        <v>0.14827290000000001</v>
      </c>
      <c r="X5157">
        <v>0.98698580000000002</v>
      </c>
      <c r="Y5157">
        <v>-8.1722269999999902E-3</v>
      </c>
      <c r="Z5157">
        <v>9.8207289999999994E-4</v>
      </c>
      <c r="AA5157">
        <v>0.99996609999999997</v>
      </c>
      <c r="AB5157">
        <v>32</v>
      </c>
      <c r="AC5157">
        <v>51.7439999999999</v>
      </c>
      <c r="AD5157">
        <v>-1.124640591303</v>
      </c>
      <c r="AE5157">
        <v>-4.0906599999999997</v>
      </c>
      <c r="AF5157">
        <v>-0.42382748724561597</v>
      </c>
      <c r="AG5157">
        <v>-1.124640591303</v>
      </c>
      <c r="AH5157">
        <v>51.879355747908001</v>
      </c>
      <c r="AI5157">
        <v>91.241821883296495</v>
      </c>
      <c r="AJ5157">
        <v>90.468066453433394</v>
      </c>
      <c r="AK5157">
        <v>51.893275084701997</v>
      </c>
      <c r="AL5157">
        <v>81.473148065515304</v>
      </c>
      <c r="AM5157">
        <v>93.608489220255294</v>
      </c>
      <c r="AN5157">
        <v>0.99999998798966905</v>
      </c>
    </row>
    <row r="5158" spans="1:40" x14ac:dyDescent="0.25">
      <c r="A5158" t="str">
        <f>"20190303162924436"</f>
        <v>20190303162924436</v>
      </c>
      <c r="B5158" t="str">
        <f>"1551601764427049"</f>
        <v>1551601764427049</v>
      </c>
      <c r="C5158" t="s">
        <v>40</v>
      </c>
      <c r="D5158">
        <v>4.9761680000000004</v>
      </c>
      <c r="E5158">
        <v>0.52202179999999998</v>
      </c>
      <c r="F5158" t="s">
        <v>41</v>
      </c>
      <c r="G5158">
        <v>-328.52600000000001</v>
      </c>
      <c r="H5158" s="1">
        <v>-1.9556559999999998E-6</v>
      </c>
      <c r="I5158">
        <v>14.334300000000001</v>
      </c>
      <c r="J5158">
        <v>-380.95949999999999</v>
      </c>
      <c r="K5158">
        <v>1.1244909999999999</v>
      </c>
      <c r="L5158">
        <v>18.542179999999998</v>
      </c>
      <c r="M5158">
        <v>0.99631789999999998</v>
      </c>
      <c r="N5158">
        <v>-1.198783E-2</v>
      </c>
      <c r="O5158">
        <v>-8.4893490000000002E-2</v>
      </c>
      <c r="P5158">
        <v>0.99018410000000001</v>
      </c>
      <c r="Q5158">
        <v>0.13727639999999999</v>
      </c>
      <c r="R5158">
        <v>-2.6284450000000001E-2</v>
      </c>
      <c r="S5158">
        <v>3.0323180000000001</v>
      </c>
      <c r="T5158">
        <v>-6.483042E-2</v>
      </c>
      <c r="U5158">
        <v>-0.24328610000000001</v>
      </c>
      <c r="V5158">
        <v>-5.9143899999999999E-2</v>
      </c>
      <c r="W5158">
        <v>0.148622799999999</v>
      </c>
      <c r="X5158">
        <v>0.98712370000000005</v>
      </c>
      <c r="Y5158">
        <v>-4.9368850000000002E-3</v>
      </c>
      <c r="Z5158">
        <v>8.732147E-4</v>
      </c>
      <c r="AA5158">
        <v>0.99998739999999997</v>
      </c>
      <c r="AB5158">
        <v>32</v>
      </c>
      <c r="AC5158">
        <v>52.433499999999903</v>
      </c>
      <c r="AD5158">
        <v>-1.1244929556559999</v>
      </c>
      <c r="AE5158">
        <v>-4.2078799999999896</v>
      </c>
      <c r="AF5158">
        <v>-0.25877699122652498</v>
      </c>
      <c r="AG5158">
        <v>-1.1244929556559999</v>
      </c>
      <c r="AH5158">
        <v>52.577409355323297</v>
      </c>
      <c r="AI5158">
        <v>91.225204898383396</v>
      </c>
      <c r="AJ5158">
        <v>90.281997722829004</v>
      </c>
      <c r="AK5158">
        <v>52.590069637296999</v>
      </c>
      <c r="AL5158">
        <v>81.452875489279506</v>
      </c>
      <c r="AM5158">
        <v>93.428799846929905</v>
      </c>
      <c r="AN5158">
        <v>0.99999996834436899</v>
      </c>
    </row>
    <row r="5159" spans="1:40" x14ac:dyDescent="0.25">
      <c r="A5159" t="str">
        <f>"20190303162924456"</f>
        <v>20190303162924456</v>
      </c>
      <c r="B5159" t="str">
        <f>"1551601764447544"</f>
        <v>1551601764447544</v>
      </c>
      <c r="C5159" t="s">
        <v>40</v>
      </c>
      <c r="D5159">
        <v>4.8327519999999904</v>
      </c>
      <c r="E5159">
        <v>0.52175190000000005</v>
      </c>
      <c r="F5159" t="s">
        <v>41</v>
      </c>
      <c r="G5159">
        <v>-329.08260000000001</v>
      </c>
      <c r="H5159" s="1">
        <v>-1.7479860000000001E-6</v>
      </c>
      <c r="I5159">
        <v>14.311590000000001</v>
      </c>
      <c r="J5159">
        <v>-380.69290000000001</v>
      </c>
      <c r="K5159">
        <v>1.1242049999999999</v>
      </c>
      <c r="L5159">
        <v>18.522919999999999</v>
      </c>
      <c r="M5159">
        <v>0.99661440000000001</v>
      </c>
      <c r="N5159">
        <v>-1.225819E-2</v>
      </c>
      <c r="O5159">
        <v>-8.1299479999999993E-2</v>
      </c>
      <c r="P5159">
        <v>0.99009360000000002</v>
      </c>
      <c r="Q5159">
        <v>0.13763919999999999</v>
      </c>
      <c r="R5159">
        <v>-2.775089E-2</v>
      </c>
      <c r="S5159">
        <v>3.0322879999999999</v>
      </c>
      <c r="T5159">
        <v>-6.5728309999999998E-2</v>
      </c>
      <c r="U5159">
        <v>-0.2472839</v>
      </c>
      <c r="V5159">
        <v>-5.4000979999999997E-2</v>
      </c>
      <c r="W5159">
        <v>0.1493391</v>
      </c>
      <c r="X5159">
        <v>0.98731029999999997</v>
      </c>
      <c r="Y5159" s="1">
        <v>-2.1659889999999998E-5</v>
      </c>
      <c r="Z5159">
        <v>7.6001720000000005E-4</v>
      </c>
      <c r="AA5159">
        <v>0.99999970000000005</v>
      </c>
      <c r="AB5159">
        <v>32</v>
      </c>
      <c r="AC5159">
        <v>51.610300000000002</v>
      </c>
      <c r="AD5159">
        <v>-1.1242067479859901</v>
      </c>
      <c r="AE5159">
        <v>-4.2113300000000002</v>
      </c>
      <c r="AF5159">
        <v>1.1811005097310801E-3</v>
      </c>
      <c r="AG5159">
        <v>-1.1242067479859901</v>
      </c>
      <c r="AH5159">
        <v>51.757438783487203</v>
      </c>
      <c r="AI5159">
        <v>91.244307614023697</v>
      </c>
      <c r="AJ5159">
        <v>89.998692515009097</v>
      </c>
      <c r="AK5159">
        <v>51.769646624577597</v>
      </c>
      <c r="AL5159">
        <v>81.411371182614701</v>
      </c>
      <c r="AM5159">
        <v>93.130675795182398</v>
      </c>
      <c r="AN5159">
        <v>0.99999995055792801</v>
      </c>
    </row>
    <row r="5160" spans="1:40" x14ac:dyDescent="0.25">
      <c r="A5160" t="str">
        <f>"20190303162924468"</f>
        <v>20190303162924468</v>
      </c>
      <c r="B5160" t="str">
        <f>"1551601764457306"</f>
        <v>1551601764457306</v>
      </c>
      <c r="C5160" t="s">
        <v>40</v>
      </c>
      <c r="D5160">
        <v>5.0071409999999998</v>
      </c>
      <c r="E5160">
        <v>0.52171210000000001</v>
      </c>
      <c r="F5160" t="s">
        <v>41</v>
      </c>
      <c r="G5160">
        <v>-329.4289</v>
      </c>
      <c r="H5160" s="1">
        <v>-1.6203720000000001E-6</v>
      </c>
      <c r="I5160">
        <v>14.29129</v>
      </c>
      <c r="J5160">
        <v>-380.52890000000002</v>
      </c>
      <c r="K5160">
        <v>1.1240330000000001</v>
      </c>
      <c r="L5160">
        <v>18.511379999999999</v>
      </c>
      <c r="M5160">
        <v>0.99679720000000005</v>
      </c>
      <c r="N5160">
        <v>-1.239847E-2</v>
      </c>
      <c r="O5160">
        <v>-7.9003749999999998E-2</v>
      </c>
      <c r="P5160">
        <v>0.99003169999999996</v>
      </c>
      <c r="Q5160">
        <v>0.13808860000000001</v>
      </c>
      <c r="R5160">
        <v>-2.773136E-2</v>
      </c>
      <c r="S5160">
        <v>3.0323180000000001</v>
      </c>
      <c r="T5160">
        <v>-6.6498039999999994E-2</v>
      </c>
      <c r="U5160">
        <v>-0.25030520000000001</v>
      </c>
      <c r="V5160">
        <v>-5.1678189999999999E-2</v>
      </c>
      <c r="W5160">
        <v>0.14996709999999999</v>
      </c>
      <c r="X5160">
        <v>0.98733950000000004</v>
      </c>
      <c r="Y5160">
        <v>3.269129E-3</v>
      </c>
      <c r="Z5160">
        <v>6.911269E-4</v>
      </c>
      <c r="AA5160">
        <v>0.99999439999999995</v>
      </c>
      <c r="AB5160">
        <v>32</v>
      </c>
      <c r="AC5160">
        <v>51.1</v>
      </c>
      <c r="AD5160">
        <v>-1.124034620372</v>
      </c>
      <c r="AE5160">
        <v>-4.2200899999999901</v>
      </c>
      <c r="AF5160">
        <v>0.169413884251087</v>
      </c>
      <c r="AG5160">
        <v>-1.124034620372</v>
      </c>
      <c r="AH5160">
        <v>51.249052394102399</v>
      </c>
      <c r="AI5160">
        <v>91.256447898312103</v>
      </c>
      <c r="AJ5160">
        <v>89.810598152586493</v>
      </c>
      <c r="AK5160">
        <v>51.261657466233203</v>
      </c>
      <c r="AL5160">
        <v>81.374980276498803</v>
      </c>
      <c r="AM5160">
        <v>92.996175801859494</v>
      </c>
      <c r="AN5160">
        <v>1.0000000273321601</v>
      </c>
    </row>
    <row r="5161" spans="1:40" x14ac:dyDescent="0.25">
      <c r="A5161" t="str">
        <f>"20190303162924478"</f>
        <v>20190303162924478</v>
      </c>
      <c r="B5161" t="str">
        <f>"1551601764467064"</f>
        <v>1551601764467064</v>
      </c>
      <c r="C5161" t="s">
        <v>40</v>
      </c>
      <c r="D5161">
        <v>5.0116230000000002</v>
      </c>
      <c r="E5161">
        <v>0.52167980000000003</v>
      </c>
      <c r="F5161" t="s">
        <v>41</v>
      </c>
      <c r="G5161">
        <v>-328.9982</v>
      </c>
      <c r="H5161" s="1">
        <v>-1.7952030000000001E-6</v>
      </c>
      <c r="I5161">
        <v>14.255800000000001</v>
      </c>
      <c r="J5161">
        <v>-380.37119999999999</v>
      </c>
      <c r="K5161">
        <v>1.1238980000000001</v>
      </c>
      <c r="L5161">
        <v>18.500520000000002</v>
      </c>
      <c r="M5161">
        <v>0.99696600000000002</v>
      </c>
      <c r="N5161">
        <v>-1.246423E-2</v>
      </c>
      <c r="O5161">
        <v>-7.6834269999999996E-2</v>
      </c>
      <c r="P5161">
        <v>0.98998010000000003</v>
      </c>
      <c r="Q5161">
        <v>0.13850789999999999</v>
      </c>
      <c r="R5161">
        <v>-2.7474620000000002E-2</v>
      </c>
      <c r="S5161">
        <v>3.03241</v>
      </c>
      <c r="T5161">
        <v>-6.6145780000000001E-2</v>
      </c>
      <c r="U5161">
        <v>-0.25042720000000002</v>
      </c>
      <c r="V5161">
        <v>-4.9738709999999998E-2</v>
      </c>
      <c r="W5161">
        <v>0.15047949999999999</v>
      </c>
      <c r="X5161">
        <v>0.98736109999999999</v>
      </c>
      <c r="Y5161">
        <v>5.4817869999999897E-3</v>
      </c>
      <c r="Z5161">
        <v>6.1895790000000004E-4</v>
      </c>
      <c r="AA5161">
        <v>0.99998480000000001</v>
      </c>
      <c r="AB5161">
        <v>32</v>
      </c>
      <c r="AC5161">
        <v>51.372999999999898</v>
      </c>
      <c r="AD5161">
        <v>-1.1238997952030001</v>
      </c>
      <c r="AE5161">
        <v>-4.24472</v>
      </c>
      <c r="AF5161">
        <v>0.28452141726018099</v>
      </c>
      <c r="AG5161">
        <v>-1.1238997952030001</v>
      </c>
      <c r="AH5161">
        <v>51.522784505378802</v>
      </c>
      <c r="AI5161">
        <v>91.249612637639501</v>
      </c>
      <c r="AJ5161">
        <v>89.683601908552902</v>
      </c>
      <c r="AK5161">
        <v>51.535826629387103</v>
      </c>
      <c r="AL5161">
        <v>81.3452845311201</v>
      </c>
      <c r="AM5161">
        <v>92.883860000381304</v>
      </c>
      <c r="AN5161">
        <v>0.99999998049296102</v>
      </c>
    </row>
    <row r="5162" spans="1:40" x14ac:dyDescent="0.25">
      <c r="A5162" t="str">
        <f>"20190303162924491"</f>
        <v>20190303162924491</v>
      </c>
      <c r="B5162" t="str">
        <f>"1551601764487560"</f>
        <v>1551601764487560</v>
      </c>
      <c r="C5162" t="s">
        <v>40</v>
      </c>
      <c r="D5162">
        <v>5.0794769999999998</v>
      </c>
      <c r="E5162">
        <v>0.52164679999999997</v>
      </c>
      <c r="F5162" t="s">
        <v>41</v>
      </c>
      <c r="G5162">
        <v>-328.68270000000001</v>
      </c>
      <c r="H5162" s="1">
        <v>-1.920298E-6</v>
      </c>
      <c r="I5162">
        <v>14.241059999999999</v>
      </c>
      <c r="J5162">
        <v>-380.2029</v>
      </c>
      <c r="K5162">
        <v>1.1237980000000001</v>
      </c>
      <c r="L5162">
        <v>18.489260000000002</v>
      </c>
      <c r="M5162">
        <v>0.99712460000000003</v>
      </c>
      <c r="N5162">
        <v>-1.2482979999999999E-2</v>
      </c>
      <c r="O5162">
        <v>-7.4743580000000004E-2</v>
      </c>
      <c r="P5162">
        <v>0.98990049999999996</v>
      </c>
      <c r="Q5162">
        <v>0.1391087</v>
      </c>
      <c r="R5162">
        <v>-2.7310330000000001E-2</v>
      </c>
      <c r="S5162">
        <v>3.032654</v>
      </c>
      <c r="T5162">
        <v>-6.5941100000000002E-2</v>
      </c>
      <c r="U5162">
        <v>-0.2499084</v>
      </c>
      <c r="V5162">
        <v>-4.7803100000000001E-2</v>
      </c>
      <c r="W5162">
        <v>0.15112010000000001</v>
      </c>
      <c r="X5162">
        <v>0.98735890000000004</v>
      </c>
      <c r="Y5162">
        <v>7.4012259999999899E-3</v>
      </c>
      <c r="Z5162">
        <v>5.6047180000000005E-4</v>
      </c>
      <c r="AA5162">
        <v>0.99997250000000004</v>
      </c>
      <c r="AB5162">
        <v>32</v>
      </c>
      <c r="AC5162">
        <v>51.520199999999903</v>
      </c>
      <c r="AD5162">
        <v>-1.12379992029799</v>
      </c>
      <c r="AE5162">
        <v>-4.2481999999999998</v>
      </c>
      <c r="AF5162">
        <v>0.385028610582488</v>
      </c>
      <c r="AG5162">
        <v>-1.12379992029799</v>
      </c>
      <c r="AH5162">
        <v>51.669196830610197</v>
      </c>
      <c r="AI5162">
        <v>91.245946506107202</v>
      </c>
      <c r="AJ5162">
        <v>89.573051113437003</v>
      </c>
      <c r="AK5162">
        <v>51.682850873497301</v>
      </c>
      <c r="AL5162">
        <v>81.308156517956604</v>
      </c>
      <c r="AM5162">
        <v>92.771817678761494</v>
      </c>
      <c r="AN5162">
        <v>1.0000000092014101</v>
      </c>
    </row>
    <row r="5163" spans="1:40" x14ac:dyDescent="0.25">
      <c r="A5163" t="str">
        <f>"20190303162924505"</f>
        <v>20190303162924505</v>
      </c>
      <c r="B5163" t="str">
        <f>"1551601764497321"</f>
        <v>1551601764497321</v>
      </c>
      <c r="C5163" t="s">
        <v>40</v>
      </c>
      <c r="D5163">
        <v>5.0584429999999996</v>
      </c>
      <c r="E5163">
        <v>0.52163919999999997</v>
      </c>
      <c r="F5163" t="s">
        <v>41</v>
      </c>
      <c r="G5163">
        <v>-328.69619999999998</v>
      </c>
      <c r="H5163" s="1">
        <v>-1.912628E-6</v>
      </c>
      <c r="I5163">
        <v>14.250450000000001</v>
      </c>
      <c r="J5163">
        <v>-380.0068</v>
      </c>
      <c r="K5163">
        <v>1.1237239999999999</v>
      </c>
      <c r="L5163">
        <v>18.476410000000001</v>
      </c>
      <c r="M5163">
        <v>0.99729060000000003</v>
      </c>
      <c r="N5163">
        <v>-1.247002E-2</v>
      </c>
      <c r="O5163">
        <v>-7.2498270000000004E-2</v>
      </c>
      <c r="P5163">
        <v>0.98985520000000005</v>
      </c>
      <c r="Q5163">
        <v>0.13956450000000001</v>
      </c>
      <c r="R5163">
        <v>-2.661902E-2</v>
      </c>
      <c r="S5163">
        <v>3.0329899999999999</v>
      </c>
      <c r="T5163">
        <v>-6.6175220000000007E-2</v>
      </c>
      <c r="U5163">
        <v>-0.2496033</v>
      </c>
      <c r="V5163">
        <v>-4.6252679999999997E-2</v>
      </c>
      <c r="W5163">
        <v>0.1515773</v>
      </c>
      <c r="X5163">
        <v>0.98736259999999998</v>
      </c>
      <c r="Y5163">
        <v>9.5429260000000002E-3</v>
      </c>
      <c r="Z5163">
        <v>5.0941129999999997E-4</v>
      </c>
      <c r="AA5163">
        <v>0.99995429999999996</v>
      </c>
      <c r="AB5163">
        <v>32</v>
      </c>
      <c r="AC5163">
        <v>51.310600000000001</v>
      </c>
      <c r="AD5163">
        <v>-1.1237259126279999</v>
      </c>
      <c r="AE5163">
        <v>-4.2259599999999997</v>
      </c>
      <c r="AF5163">
        <v>0.49438337590267301</v>
      </c>
      <c r="AG5163">
        <v>-1.1237259126279999</v>
      </c>
      <c r="AH5163">
        <v>51.457441435539302</v>
      </c>
      <c r="AI5163">
        <v>91.250966786471807</v>
      </c>
      <c r="AJ5163">
        <v>89.449541045956707</v>
      </c>
      <c r="AK5163">
        <v>51.472084219905398</v>
      </c>
      <c r="AL5163">
        <v>81.281655054024995</v>
      </c>
      <c r="AM5163">
        <v>92.682041465832697</v>
      </c>
      <c r="AN5163">
        <v>0.99999994608061404</v>
      </c>
    </row>
    <row r="5164" spans="1:40" x14ac:dyDescent="0.25">
      <c r="A5164" t="str">
        <f>"20190303162924523"</f>
        <v>20190303162924523</v>
      </c>
      <c r="B5164" t="str">
        <f>"1551601764517817"</f>
        <v>1551601764517817</v>
      </c>
      <c r="C5164" t="s">
        <v>40</v>
      </c>
      <c r="D5164">
        <v>5.0450089999999896</v>
      </c>
      <c r="E5164">
        <v>0.52161599999999997</v>
      </c>
      <c r="F5164" t="s">
        <v>41</v>
      </c>
      <c r="G5164">
        <v>-327.89909999999998</v>
      </c>
      <c r="H5164" s="1">
        <v>-2.2272270000000001E-6</v>
      </c>
      <c r="I5164">
        <v>14.21841</v>
      </c>
      <c r="J5164">
        <v>-379.74590000000001</v>
      </c>
      <c r="K5164">
        <v>1.123659</v>
      </c>
      <c r="L5164">
        <v>18.46002</v>
      </c>
      <c r="M5164">
        <v>0.99747260000000004</v>
      </c>
      <c r="N5164">
        <v>-1.2439459999999999E-2</v>
      </c>
      <c r="O5164">
        <v>-6.9955920000000005E-2</v>
      </c>
      <c r="P5164">
        <v>0.98969079999999998</v>
      </c>
      <c r="Q5164">
        <v>0.1407091</v>
      </c>
      <c r="R5164">
        <v>-2.6705139999999999E-2</v>
      </c>
      <c r="S5164">
        <v>3.033264</v>
      </c>
      <c r="T5164">
        <v>-6.541371E-2</v>
      </c>
      <c r="U5164">
        <v>-0.2478638</v>
      </c>
      <c r="V5164">
        <v>-4.3632280000000002E-2</v>
      </c>
      <c r="W5164">
        <v>0.15271119999999999</v>
      </c>
      <c r="X5164">
        <v>0.98730720000000005</v>
      </c>
      <c r="Y5164">
        <v>1.151393E-2</v>
      </c>
      <c r="Z5164">
        <v>4.3835819999999998E-4</v>
      </c>
      <c r="AA5164">
        <v>0.99993359999999998</v>
      </c>
      <c r="AB5164">
        <v>32</v>
      </c>
      <c r="AC5164">
        <v>51.846800000000002</v>
      </c>
      <c r="AD5164">
        <v>-1.1236612272269999</v>
      </c>
      <c r="AE5164">
        <v>-4.2416099999999997</v>
      </c>
      <c r="AF5164">
        <v>0.60366418300851599</v>
      </c>
      <c r="AG5164">
        <v>-1.1236612272269999</v>
      </c>
      <c r="AH5164">
        <v>51.992249925614303</v>
      </c>
      <c r="AI5164">
        <v>91.238005433795706</v>
      </c>
      <c r="AJ5164">
        <v>89.334788244549102</v>
      </c>
      <c r="AK5164">
        <v>52.007894375055798</v>
      </c>
      <c r="AL5164">
        <v>81.215922568260595</v>
      </c>
      <c r="AM5164">
        <v>92.530438247498793</v>
      </c>
      <c r="AN5164">
        <v>0.99999999681763896</v>
      </c>
    </row>
    <row r="5165" spans="1:40" x14ac:dyDescent="0.25">
      <c r="A5165" t="str">
        <f>"20190303162924546"</f>
        <v>20190303162924546</v>
      </c>
      <c r="B5165" t="str">
        <f>"1551601764537339"</f>
        <v>1551601764537339</v>
      </c>
      <c r="C5165" t="s">
        <v>40</v>
      </c>
      <c r="D5165">
        <v>5.309348</v>
      </c>
      <c r="E5165">
        <v>0.52144440000000003</v>
      </c>
      <c r="F5165" t="s">
        <v>41</v>
      </c>
      <c r="G5165">
        <v>-326.8768</v>
      </c>
      <c r="H5165" s="1">
        <v>-2.6448239999999999E-6</v>
      </c>
      <c r="I5165">
        <v>14.124459999999999</v>
      </c>
      <c r="J5165">
        <v>-379.42619999999999</v>
      </c>
      <c r="K5165">
        <v>1.1235329999999999</v>
      </c>
      <c r="L5165">
        <v>18.440860000000001</v>
      </c>
      <c r="M5165">
        <v>0.99766359999999998</v>
      </c>
      <c r="N5165">
        <v>-1.241135E-2</v>
      </c>
      <c r="O5165">
        <v>-6.7182770000000003E-2</v>
      </c>
      <c r="P5165">
        <v>0.98957899999999999</v>
      </c>
      <c r="Q5165">
        <v>0.14160739999999999</v>
      </c>
      <c r="R5165">
        <v>-2.6093269999999998E-2</v>
      </c>
      <c r="S5165">
        <v>3.0336910000000001</v>
      </c>
      <c r="T5165">
        <v>-6.4476969999999995E-2</v>
      </c>
      <c r="U5165">
        <v>-0.24877929999999901</v>
      </c>
      <c r="V5165">
        <v>-4.1455579999999999E-2</v>
      </c>
      <c r="W5165">
        <v>0.15360560000000001</v>
      </c>
      <c r="X5165">
        <v>0.98726219999999998</v>
      </c>
      <c r="Y5165">
        <v>1.458067E-2</v>
      </c>
      <c r="Z5165">
        <v>3.4474689999999998E-4</v>
      </c>
      <c r="AA5165">
        <v>0.9998937</v>
      </c>
      <c r="AB5165">
        <v>32</v>
      </c>
      <c r="AC5165">
        <v>52.549399999999899</v>
      </c>
      <c r="AD5165">
        <v>-1.1235356448239999</v>
      </c>
      <c r="AE5165">
        <v>-4.3163999999999998</v>
      </c>
      <c r="AF5165">
        <v>0.77560841282612702</v>
      </c>
      <c r="AG5165">
        <v>-1.1235356448239999</v>
      </c>
      <c r="AH5165">
        <v>52.696738368909202</v>
      </c>
      <c r="AI5165">
        <v>91.221273510133898</v>
      </c>
      <c r="AJ5165">
        <v>89.156762231148207</v>
      </c>
      <c r="AK5165">
        <v>52.714420564742099</v>
      </c>
      <c r="AL5165">
        <v>81.164064961707695</v>
      </c>
      <c r="AM5165">
        <v>92.404462812912996</v>
      </c>
      <c r="AN5165">
        <v>0.99999994850666596</v>
      </c>
    </row>
    <row r="5166" spans="1:40" x14ac:dyDescent="0.25">
      <c r="A5166" t="str">
        <f>"20190303162924558"</f>
        <v>20190303162924558</v>
      </c>
      <c r="B5166" t="str">
        <f>"1551601764547097"</f>
        <v>1551601764547097</v>
      </c>
      <c r="C5166" t="s">
        <v>40</v>
      </c>
      <c r="D5166">
        <v>5.0632400000000004</v>
      </c>
      <c r="E5166">
        <v>0.5213004</v>
      </c>
      <c r="F5166" t="s">
        <v>41</v>
      </c>
      <c r="G5166">
        <v>-325.5027</v>
      </c>
      <c r="H5166" s="1">
        <v>-3.1875899999999999E-6</v>
      </c>
      <c r="I5166">
        <v>14.067769999999999</v>
      </c>
      <c r="J5166">
        <v>-379.24430000000001</v>
      </c>
      <c r="K5166">
        <v>1.1234390000000001</v>
      </c>
      <c r="L5166">
        <v>18.43027</v>
      </c>
      <c r="M5166">
        <v>0.99776469999999995</v>
      </c>
      <c r="N5166">
        <v>-1.239464E-2</v>
      </c>
      <c r="O5166">
        <v>-6.5666790000000003E-2</v>
      </c>
      <c r="P5166">
        <v>0.98958120000000005</v>
      </c>
      <c r="Q5166">
        <v>0.1417081</v>
      </c>
      <c r="R5166">
        <v>-2.545447E-2</v>
      </c>
      <c r="S5166">
        <v>3.0341490000000002</v>
      </c>
      <c r="T5166">
        <v>-6.3218709999999997E-2</v>
      </c>
      <c r="U5166">
        <v>-0.24606320000000001</v>
      </c>
      <c r="V5166">
        <v>-4.055719E-2</v>
      </c>
      <c r="W5166">
        <v>0.15370449999999999</v>
      </c>
      <c r="X5166">
        <v>0.98728419999999895</v>
      </c>
      <c r="Y5166">
        <v>1.51982E-2</v>
      </c>
      <c r="Z5166">
        <v>2.9820269999999998E-4</v>
      </c>
      <c r="AA5166">
        <v>0.99988440000000001</v>
      </c>
      <c r="AB5166">
        <v>32</v>
      </c>
      <c r="AC5166">
        <v>53.741599999999998</v>
      </c>
      <c r="AD5166">
        <v>-1.12344218758999</v>
      </c>
      <c r="AE5166">
        <v>-4.3624999999999901</v>
      </c>
      <c r="AF5166">
        <v>0.82341588328128501</v>
      </c>
      <c r="AG5166">
        <v>-1.12344218758999</v>
      </c>
      <c r="AH5166">
        <v>53.888684909270196</v>
      </c>
      <c r="AI5166">
        <v>91.194159098912294</v>
      </c>
      <c r="AJ5166">
        <v>89.124592039732903</v>
      </c>
      <c r="AK5166">
        <v>53.906683234236397</v>
      </c>
      <c r="AL5166">
        <v>81.158330991410196</v>
      </c>
      <c r="AM5166">
        <v>92.352362169288099</v>
      </c>
      <c r="AN5166">
        <v>1.0000000252752901</v>
      </c>
    </row>
    <row r="5167" spans="1:40" x14ac:dyDescent="0.25">
      <c r="A5167" t="str">
        <f>"20190303162924578"</f>
        <v>20190303162924578</v>
      </c>
      <c r="B5167" t="str">
        <f>"1551601764567593"</f>
        <v>1551601764567593</v>
      </c>
      <c r="C5167" t="s">
        <v>40</v>
      </c>
      <c r="D5167">
        <v>5.0649579999999998</v>
      </c>
      <c r="E5167">
        <v>0.52095779999999903</v>
      </c>
      <c r="F5167" t="s">
        <v>41</v>
      </c>
      <c r="G5167">
        <v>-324.9787</v>
      </c>
      <c r="H5167" s="1">
        <v>-3.3851180000000001E-6</v>
      </c>
      <c r="I5167">
        <v>14.08155</v>
      </c>
      <c r="J5167">
        <v>-378.97190000000001</v>
      </c>
      <c r="K5167">
        <v>1.1232709999999999</v>
      </c>
      <c r="L5167">
        <v>18.41479</v>
      </c>
      <c r="M5167">
        <v>0.99790849999999998</v>
      </c>
      <c r="N5167">
        <v>-1.236716E-2</v>
      </c>
      <c r="O5167">
        <v>-6.3447900000000002E-2</v>
      </c>
      <c r="P5167">
        <v>0.98955630000000006</v>
      </c>
      <c r="Q5167">
        <v>0.14190359999999999</v>
      </c>
      <c r="R5167">
        <v>-2.5333700000000001E-2</v>
      </c>
      <c r="S5167">
        <v>3.034332</v>
      </c>
      <c r="T5167">
        <v>-6.2818769999999996E-2</v>
      </c>
      <c r="U5167">
        <v>-0.24316409999999999</v>
      </c>
      <c r="V5167">
        <v>-3.8416230000000003E-2</v>
      </c>
      <c r="W5167">
        <v>0.15390190000000001</v>
      </c>
      <c r="X5167">
        <v>0.98733899999999997</v>
      </c>
      <c r="Y5167">
        <v>1.6467099999999998E-2</v>
      </c>
      <c r="Z5167">
        <v>2.533255E-4</v>
      </c>
      <c r="AA5167">
        <v>0.99986439999999999</v>
      </c>
      <c r="AB5167">
        <v>32</v>
      </c>
      <c r="AC5167">
        <v>53.993200000000002</v>
      </c>
      <c r="AD5167">
        <v>-1.12327438511799</v>
      </c>
      <c r="AE5167">
        <v>-4.33324</v>
      </c>
      <c r="AF5167">
        <v>0.89810438910835699</v>
      </c>
      <c r="AG5167">
        <v>-1.12327438511799</v>
      </c>
      <c r="AH5167">
        <v>54.136070782908298</v>
      </c>
      <c r="AI5167">
        <v>91.188501421179595</v>
      </c>
      <c r="AJ5167">
        <v>89.049563989924593</v>
      </c>
      <c r="AK5167">
        <v>54.155170544002999</v>
      </c>
      <c r="AL5167">
        <v>81.146883949300999</v>
      </c>
      <c r="AM5167">
        <v>92.228189213718593</v>
      </c>
      <c r="AN5167">
        <v>0.99999995123601004</v>
      </c>
    </row>
    <row r="5168" spans="1:40" x14ac:dyDescent="0.25">
      <c r="A5168" t="str">
        <f>"20190303162924591"</f>
        <v>20190303162924591</v>
      </c>
      <c r="B5168" t="str">
        <f>"1551601764587113"</f>
        <v>1551601764587113</v>
      </c>
      <c r="C5168" t="s">
        <v>40</v>
      </c>
      <c r="D5168">
        <v>5.0765609999999999</v>
      </c>
      <c r="E5168">
        <v>0.52069739999999998</v>
      </c>
      <c r="F5168" t="s">
        <v>41</v>
      </c>
      <c r="G5168">
        <v>-324.31979999999999</v>
      </c>
      <c r="H5168" s="1">
        <v>-3.6449119999999999E-6</v>
      </c>
      <c r="I5168">
        <v>14.09516</v>
      </c>
      <c r="J5168">
        <v>-378.79239999999999</v>
      </c>
      <c r="K5168">
        <v>1.1231549999999999</v>
      </c>
      <c r="L5168">
        <v>18.40485</v>
      </c>
      <c r="M5168">
        <v>0.99799700000000002</v>
      </c>
      <c r="N5168">
        <v>-1.234826E-2</v>
      </c>
      <c r="O5168">
        <v>-6.2044019999999998E-2</v>
      </c>
      <c r="P5168">
        <v>0.98954699999999995</v>
      </c>
      <c r="Q5168">
        <v>0.14202960000000001</v>
      </c>
      <c r="R5168">
        <v>-2.4989150000000002E-2</v>
      </c>
      <c r="S5168">
        <v>3.034424</v>
      </c>
      <c r="T5168">
        <v>-6.2367079999999998E-2</v>
      </c>
      <c r="U5168">
        <v>-0.23983760000000001</v>
      </c>
      <c r="V5168">
        <v>-3.7324160000000002E-2</v>
      </c>
      <c r="W5168">
        <v>0.15402679999999999</v>
      </c>
      <c r="X5168">
        <v>0.98736139999999994</v>
      </c>
      <c r="Y5168">
        <v>1.678195E-2</v>
      </c>
      <c r="Z5168">
        <v>2.2994049999999999E-4</v>
      </c>
      <c r="AA5168">
        <v>0.99985919999999895</v>
      </c>
      <c r="AB5168">
        <v>32</v>
      </c>
      <c r="AC5168">
        <v>54.4726</v>
      </c>
      <c r="AD5168">
        <v>-1.1231586449119999</v>
      </c>
      <c r="AE5168">
        <v>-4.3096899999999998</v>
      </c>
      <c r="AF5168">
        <v>0.921039751691758</v>
      </c>
      <c r="AG5168">
        <v>-1.1231586449119999</v>
      </c>
      <c r="AH5168">
        <v>54.6119757172522</v>
      </c>
      <c r="AI5168">
        <v>91.178020615861897</v>
      </c>
      <c r="AJ5168">
        <v>89.033789066441201</v>
      </c>
      <c r="AK5168">
        <v>54.6312885744751</v>
      </c>
      <c r="AL5168">
        <v>81.139641257906007</v>
      </c>
      <c r="AM5168">
        <v>92.164859875921593</v>
      </c>
      <c r="AN5168">
        <v>0.99999994112394996</v>
      </c>
    </row>
    <row r="5169" spans="1:40" x14ac:dyDescent="0.25">
      <c r="A5169" t="str">
        <f>"20190303162924603"</f>
        <v>20190303162924603</v>
      </c>
      <c r="B5169" t="str">
        <f>"1551601764596873"</f>
        <v>1551601764596873</v>
      </c>
      <c r="C5169" t="s">
        <v>40</v>
      </c>
      <c r="D5169">
        <v>5.0956029999999997</v>
      </c>
      <c r="E5169">
        <v>0.52056959999999997</v>
      </c>
      <c r="F5169" t="s">
        <v>41</v>
      </c>
      <c r="G5169">
        <v>-323.99599999999998</v>
      </c>
      <c r="H5169" s="1">
        <v>-3.7914499999999999E-6</v>
      </c>
      <c r="I5169">
        <v>14.13195</v>
      </c>
      <c r="J5169">
        <v>-378.61790000000002</v>
      </c>
      <c r="K5169">
        <v>1.123038</v>
      </c>
      <c r="L5169">
        <v>18.395320000000002</v>
      </c>
      <c r="M5169">
        <v>0.9980793</v>
      </c>
      <c r="N5169">
        <v>-1.232983E-2</v>
      </c>
      <c r="O5169">
        <v>-6.0710159999999999E-2</v>
      </c>
      <c r="P5169">
        <v>0.98949659999999995</v>
      </c>
      <c r="Q5169">
        <v>0.14243520000000001</v>
      </c>
      <c r="R5169">
        <v>-2.467161E-2</v>
      </c>
      <c r="S5169">
        <v>3.034637</v>
      </c>
      <c r="T5169">
        <v>-6.2200779999999997E-2</v>
      </c>
      <c r="U5169">
        <v>-0.23663329999999999</v>
      </c>
      <c r="V5169">
        <v>-3.6273800000000002E-2</v>
      </c>
      <c r="W5169">
        <v>0.15443009999999999</v>
      </c>
      <c r="X5169">
        <v>0.98733760000000004</v>
      </c>
      <c r="Y5169">
        <v>1.7063299999999899E-2</v>
      </c>
      <c r="Z5169">
        <v>2.1288820000000001E-4</v>
      </c>
      <c r="AA5169">
        <v>0.99985440000000003</v>
      </c>
      <c r="AB5169">
        <v>32</v>
      </c>
      <c r="AC5169">
        <v>54.621899999999997</v>
      </c>
      <c r="AD5169">
        <v>-1.1230417914499999</v>
      </c>
      <c r="AE5169">
        <v>-4.2633700000000001</v>
      </c>
      <c r="AF5169">
        <v>0.93875399670054804</v>
      </c>
      <c r="AG5169">
        <v>-1.1230417914499999</v>
      </c>
      <c r="AH5169">
        <v>54.756973687805299</v>
      </c>
      <c r="AI5169">
        <v>91.174774290622906</v>
      </c>
      <c r="AJ5169">
        <v>89.017816915071094</v>
      </c>
      <c r="AK5169">
        <v>54.776533747387298</v>
      </c>
      <c r="AL5169">
        <v>81.116254486451496</v>
      </c>
      <c r="AM5169">
        <v>92.104043563768698</v>
      </c>
      <c r="AN5169">
        <v>0.99999999036310505</v>
      </c>
    </row>
    <row r="5170" spans="1:40" x14ac:dyDescent="0.25">
      <c r="A5170" t="str">
        <f>"20190303162924615"</f>
        <v>20190303162924615</v>
      </c>
      <c r="B5170" t="str">
        <f>"1551601764607609"</f>
        <v>1551601764607609</v>
      </c>
      <c r="C5170" t="s">
        <v>40</v>
      </c>
      <c r="D5170">
        <v>5.114242</v>
      </c>
      <c r="E5170">
        <v>0.52053669999999996</v>
      </c>
      <c r="F5170" t="s">
        <v>41</v>
      </c>
      <c r="G5170">
        <v>-322.92450000000002</v>
      </c>
      <c r="H5170" s="1">
        <v>-4.3049390000000001E-6</v>
      </c>
      <c r="I5170">
        <v>14.092479999999901</v>
      </c>
      <c r="J5170">
        <v>-378.4486</v>
      </c>
      <c r="K5170">
        <v>1.1229389999999999</v>
      </c>
      <c r="L5170">
        <v>18.38626</v>
      </c>
      <c r="M5170">
        <v>0.99815180000000003</v>
      </c>
      <c r="N5170">
        <v>-1.231197E-2</v>
      </c>
      <c r="O5170">
        <v>-5.9509270000000003E-2</v>
      </c>
      <c r="P5170">
        <v>0.98944880000000002</v>
      </c>
      <c r="Q5170">
        <v>0.1428287</v>
      </c>
      <c r="R5170">
        <v>-2.4315739999999999E-2</v>
      </c>
      <c r="S5170">
        <v>3.0347900000000001</v>
      </c>
      <c r="T5170">
        <v>-6.1195729999999997E-2</v>
      </c>
      <c r="U5170">
        <v>-0.2344666</v>
      </c>
      <c r="V5170">
        <v>-3.5397320000000003E-2</v>
      </c>
      <c r="W5170">
        <v>0.15481919999999999</v>
      </c>
      <c r="X5170">
        <v>0.98730850000000003</v>
      </c>
      <c r="Y5170">
        <v>1.755261E-2</v>
      </c>
      <c r="Z5170">
        <v>1.796058E-4</v>
      </c>
      <c r="AA5170">
        <v>0.99984589999999995</v>
      </c>
      <c r="AB5170">
        <v>32</v>
      </c>
      <c r="AC5170">
        <v>55.524099999999898</v>
      </c>
      <c r="AD5170">
        <v>-1.1229433049390001</v>
      </c>
      <c r="AE5170">
        <v>-4.2937799999999999</v>
      </c>
      <c r="AF5170">
        <v>0.98132100852617299</v>
      </c>
      <c r="AG5170">
        <v>-1.1229433049390001</v>
      </c>
      <c r="AH5170">
        <v>55.658591165837798</v>
      </c>
      <c r="AI5170">
        <v>91.155638133743906</v>
      </c>
      <c r="AJ5170">
        <v>88.9899182489536</v>
      </c>
      <c r="AK5170">
        <v>55.678566461015897</v>
      </c>
      <c r="AL5170">
        <v>81.093689530704793</v>
      </c>
      <c r="AM5170">
        <v>92.053308299951993</v>
      </c>
      <c r="AN5170">
        <v>1.00000001456203</v>
      </c>
    </row>
    <row r="5171" spans="1:40" x14ac:dyDescent="0.25">
      <c r="A5171" t="str">
        <f>"20190303162924634"</f>
        <v>20190303162924634</v>
      </c>
      <c r="B5171" t="str">
        <f>"1551601764627129"</f>
        <v>1551601764627129</v>
      </c>
      <c r="C5171" t="s">
        <v>40</v>
      </c>
      <c r="D5171">
        <v>5.1881659999999998</v>
      </c>
      <c r="E5171">
        <v>0.53186690000000003</v>
      </c>
      <c r="F5171" t="s">
        <v>41</v>
      </c>
      <c r="G5171">
        <v>-321.60410000000002</v>
      </c>
      <c r="H5171" s="1">
        <v>-4.940994E-6</v>
      </c>
      <c r="I5171">
        <v>14.02556</v>
      </c>
      <c r="J5171">
        <v>-378.18110000000001</v>
      </c>
      <c r="K5171">
        <v>1.1228020000000001</v>
      </c>
      <c r="L5171">
        <v>18.37219</v>
      </c>
      <c r="M5171">
        <v>0.9982586</v>
      </c>
      <c r="N5171">
        <v>-1.2284410000000001E-2</v>
      </c>
      <c r="O5171">
        <v>-5.7698449999999998E-2</v>
      </c>
      <c r="P5171">
        <v>0.98934330000000004</v>
      </c>
      <c r="Q5171">
        <v>0.14363999999999999</v>
      </c>
      <c r="R5171">
        <v>-2.3819880000000002E-2</v>
      </c>
      <c r="S5171">
        <v>3.0349430000000002</v>
      </c>
      <c r="T5171">
        <v>-5.9954170000000001E-2</v>
      </c>
      <c r="U5171">
        <v>-0.23281859999999999</v>
      </c>
      <c r="V5171">
        <v>-3.4038029999999997E-2</v>
      </c>
      <c r="W5171">
        <v>0.15562100000000001</v>
      </c>
      <c r="X5171">
        <v>0.98723019999999995</v>
      </c>
      <c r="Y5171">
        <v>1.8822419999999999E-2</v>
      </c>
      <c r="Z5171">
        <v>1.270593E-4</v>
      </c>
      <c r="AA5171">
        <v>0.99982289999999996</v>
      </c>
      <c r="AB5171">
        <v>32</v>
      </c>
      <c r="AC5171">
        <v>56.576999999999998</v>
      </c>
      <c r="AD5171">
        <v>-1.122806940994</v>
      </c>
      <c r="AE5171">
        <v>-4.3466299999999896</v>
      </c>
      <c r="AF5171">
        <v>1.0743158978007199</v>
      </c>
      <c r="AG5171">
        <v>-1.122806940994</v>
      </c>
      <c r="AH5171">
        <v>56.711339747135199</v>
      </c>
      <c r="AI5171">
        <v>91.134026457041898</v>
      </c>
      <c r="AJ5171">
        <v>88.914742525565103</v>
      </c>
      <c r="AK5171">
        <v>56.732626468285503</v>
      </c>
      <c r="AL5171">
        <v>81.047185795990103</v>
      </c>
      <c r="AM5171">
        <v>91.974679491469402</v>
      </c>
      <c r="AN5171">
        <v>0.99999997545966002</v>
      </c>
    </row>
    <row r="5172" spans="1:40" x14ac:dyDescent="0.25">
      <c r="A5172" t="str">
        <f>"20190303162924647"</f>
        <v>20190303162924647</v>
      </c>
      <c r="B5172" t="str">
        <f>"1551601764636889"</f>
        <v>1551601764636889</v>
      </c>
      <c r="C5172" t="s">
        <v>40</v>
      </c>
      <c r="D5172">
        <v>5.1336810000000002</v>
      </c>
      <c r="E5172">
        <v>0.53289709999999901</v>
      </c>
      <c r="F5172" t="s">
        <v>41</v>
      </c>
      <c r="G5172">
        <v>-355.57029999999997</v>
      </c>
      <c r="H5172" s="1">
        <v>-2.5249740000000001E-6</v>
      </c>
      <c r="I5172">
        <v>15.995089999999999</v>
      </c>
      <c r="J5172">
        <v>-378.00290000000001</v>
      </c>
      <c r="K5172">
        <v>1.1227259999999999</v>
      </c>
      <c r="L5172">
        <v>18.36298</v>
      </c>
      <c r="M5172">
        <v>0.99832390000000004</v>
      </c>
      <c r="N5172">
        <v>-1.2266569999999999E-2</v>
      </c>
      <c r="O5172">
        <v>-5.6560649999999997E-2</v>
      </c>
      <c r="P5172">
        <v>0.98929180000000005</v>
      </c>
      <c r="Q5172">
        <v>0.14405409999999999</v>
      </c>
      <c r="R5172">
        <v>-2.3452359999999998E-2</v>
      </c>
      <c r="S5172">
        <v>3.0466000000000002</v>
      </c>
      <c r="T5172">
        <v>-0.1512877</v>
      </c>
      <c r="U5172">
        <v>-0.32028200000000001</v>
      </c>
      <c r="V5172">
        <v>-3.3243120000000001E-2</v>
      </c>
      <c r="W5172">
        <v>0.15602839999999901</v>
      </c>
      <c r="X5172">
        <v>0.98719299999999999</v>
      </c>
      <c r="Y5172">
        <v>4.8094999999999999E-2</v>
      </c>
      <c r="Z5172">
        <v>6.174946E-4</v>
      </c>
      <c r="AA5172">
        <v>0.99884260000000002</v>
      </c>
      <c r="AB5172">
        <v>32</v>
      </c>
      <c r="AC5172">
        <v>22.432600000000001</v>
      </c>
      <c r="AD5172">
        <v>-1.122728524974</v>
      </c>
      <c r="AE5172">
        <v>-2.3678900000000001</v>
      </c>
      <c r="AF5172">
        <v>1.0924946068766299</v>
      </c>
      <c r="AG5172">
        <v>-1.122728524974</v>
      </c>
      <c r="AH5172">
        <v>22.474946047994901</v>
      </c>
      <c r="AI5172">
        <v>92.856447378165299</v>
      </c>
      <c r="AJ5172">
        <v>87.217074601574694</v>
      </c>
      <c r="AK5172">
        <v>22.529475441455102</v>
      </c>
      <c r="AL5172">
        <v>81.023554994196601</v>
      </c>
      <c r="AM5172">
        <v>91.928671508907499</v>
      </c>
      <c r="AN5172">
        <v>0.99999999294144704</v>
      </c>
    </row>
    <row r="5173" spans="1:40" x14ac:dyDescent="0.25">
      <c r="A5173" t="str">
        <f>"20190303162924658"</f>
        <v>20190303162924658</v>
      </c>
      <c r="B5173" t="str">
        <f>"1551601764646650"</f>
        <v>1551601764646650</v>
      </c>
      <c r="C5173" t="s">
        <v>40</v>
      </c>
      <c r="D5173">
        <v>5.1567460000000001</v>
      </c>
      <c r="E5173">
        <v>0.53358470000000002</v>
      </c>
      <c r="F5173" t="s">
        <v>41</v>
      </c>
      <c r="G5173">
        <v>-356.6825</v>
      </c>
      <c r="H5173" s="1">
        <v>-2.0573720000000001E-6</v>
      </c>
      <c r="I5173">
        <v>16.074570000000001</v>
      </c>
      <c r="J5173">
        <v>-377.83909999999997</v>
      </c>
      <c r="K5173">
        <v>1.122663</v>
      </c>
      <c r="L5173">
        <v>18.354679999999998</v>
      </c>
      <c r="M5173">
        <v>0.99837949999999998</v>
      </c>
      <c r="N5173">
        <v>-1.225069E-2</v>
      </c>
      <c r="O5173">
        <v>-5.5574209999999999E-2</v>
      </c>
      <c r="P5173">
        <v>0.98926930000000002</v>
      </c>
      <c r="Q5173">
        <v>0.1442774</v>
      </c>
      <c r="R5173">
        <v>-2.3031090000000001E-2</v>
      </c>
      <c r="S5173">
        <v>3.0480649999999998</v>
      </c>
      <c r="T5173">
        <v>-0.1605104</v>
      </c>
      <c r="U5173">
        <v>-0.32714840000000001</v>
      </c>
      <c r="V5173">
        <v>-3.2660170000000002E-2</v>
      </c>
      <c r="W5173">
        <v>0.15624360000000001</v>
      </c>
      <c r="X5173">
        <v>0.98717840000000001</v>
      </c>
      <c r="Y5173">
        <v>5.1249070000000001E-2</v>
      </c>
      <c r="Z5173">
        <v>5.7384880000000001E-4</v>
      </c>
      <c r="AA5173">
        <v>0.99868570000000001</v>
      </c>
      <c r="AB5173">
        <v>32</v>
      </c>
      <c r="AC5173">
        <v>21.156599999999901</v>
      </c>
      <c r="AD5173">
        <v>-1.1226650573720001</v>
      </c>
      <c r="AE5173">
        <v>-2.2801099999999899</v>
      </c>
      <c r="AF5173">
        <v>1.0976808335136401</v>
      </c>
      <c r="AG5173">
        <v>-1.1226650573720001</v>
      </c>
      <c r="AH5173">
        <v>21.191636421029798</v>
      </c>
      <c r="AI5173">
        <v>93.028459734646404</v>
      </c>
      <c r="AJ5173">
        <v>87.034852761058502</v>
      </c>
      <c r="AK5173">
        <v>21.249723156889001</v>
      </c>
      <c r="AL5173">
        <v>81.011071647740906</v>
      </c>
      <c r="AM5173">
        <v>91.894903283341606</v>
      </c>
      <c r="AN5173">
        <v>0.99999997133597396</v>
      </c>
    </row>
    <row r="5174" spans="1:40" x14ac:dyDescent="0.25">
      <c r="A5174" t="str">
        <f>"20190303162924670"</f>
        <v>20190303162924670</v>
      </c>
      <c r="B5174" t="str">
        <f>"1551601764657386"</f>
        <v>1551601764657386</v>
      </c>
      <c r="C5174" t="s">
        <v>40</v>
      </c>
      <c r="D5174">
        <v>5.1362779999999999</v>
      </c>
      <c r="E5174">
        <v>0.53388249999999904</v>
      </c>
      <c r="F5174" t="s">
        <v>41</v>
      </c>
      <c r="G5174">
        <v>-357.32029999999997</v>
      </c>
      <c r="H5174" s="1">
        <v>-1.8263190000000001E-6</v>
      </c>
      <c r="I5174">
        <v>16.12725</v>
      </c>
      <c r="J5174">
        <v>-377.67759999999998</v>
      </c>
      <c r="K5174">
        <v>1.122614</v>
      </c>
      <c r="L5174">
        <v>18.34665</v>
      </c>
      <c r="M5174">
        <v>0.99843099999999996</v>
      </c>
      <c r="N5174">
        <v>-1.2235609999999999E-2</v>
      </c>
      <c r="O5174">
        <v>-5.4642290000000003E-2</v>
      </c>
      <c r="P5174">
        <v>0.98918030000000001</v>
      </c>
      <c r="Q5174">
        <v>0.14491789999999999</v>
      </c>
      <c r="R5174">
        <v>-2.2821290000000001E-2</v>
      </c>
      <c r="S5174">
        <v>3.049194</v>
      </c>
      <c r="T5174">
        <v>-0.16683329999999999</v>
      </c>
      <c r="U5174">
        <v>-0.3309937</v>
      </c>
      <c r="V5174">
        <v>-3.1921169999999999E-2</v>
      </c>
      <c r="W5174">
        <v>0.15687609999999999</v>
      </c>
      <c r="X5174">
        <v>0.98710229999999999</v>
      </c>
      <c r="Y5174">
        <v>5.3380629999999998E-2</v>
      </c>
      <c r="Z5174">
        <v>5.2559310000000001E-4</v>
      </c>
      <c r="AA5174">
        <v>0.99857410000000002</v>
      </c>
      <c r="AB5174">
        <v>32</v>
      </c>
      <c r="AC5174">
        <v>20.357299999999999</v>
      </c>
      <c r="AD5174">
        <v>-1.122615826319</v>
      </c>
      <c r="AE5174">
        <v>-2.2193999999999998</v>
      </c>
      <c r="AF5174">
        <v>1.1003240894344</v>
      </c>
      <c r="AG5174">
        <v>-1.122615826319</v>
      </c>
      <c r="AH5174">
        <v>20.386894591970702</v>
      </c>
      <c r="AI5174">
        <v>93.147269812418898</v>
      </c>
      <c r="AJ5174">
        <v>86.910622289659798</v>
      </c>
      <c r="AK5174">
        <v>20.447406938275002</v>
      </c>
      <c r="AL5174">
        <v>80.974379959769195</v>
      </c>
      <c r="AM5174">
        <v>91.8522002927415</v>
      </c>
      <c r="AN5174">
        <v>1.00000001125533</v>
      </c>
    </row>
    <row r="5175" spans="1:40" x14ac:dyDescent="0.25">
      <c r="A5175" t="str">
        <f>"20190303162924684"</f>
        <v>20190303162924684</v>
      </c>
      <c r="B5175" t="str">
        <f>"1551601764676906"</f>
        <v>1551601764676906</v>
      </c>
      <c r="C5175" t="s">
        <v>40</v>
      </c>
      <c r="D5175">
        <v>5.1237560000000002</v>
      </c>
      <c r="E5175">
        <v>0.5340686</v>
      </c>
      <c r="F5175" t="s">
        <v>41</v>
      </c>
      <c r="G5175">
        <v>-357.46080000000001</v>
      </c>
      <c r="H5175" s="1">
        <v>-1.774442E-6</v>
      </c>
      <c r="I5175">
        <v>16.142429999999901</v>
      </c>
      <c r="J5175">
        <v>-377.47140000000002</v>
      </c>
      <c r="K5175">
        <v>1.1225620000000001</v>
      </c>
      <c r="L5175">
        <v>18.336490000000001</v>
      </c>
      <c r="M5175">
        <v>0.99849350000000003</v>
      </c>
      <c r="N5175">
        <v>-1.221705E-2</v>
      </c>
      <c r="O5175">
        <v>-5.3493249999999999E-2</v>
      </c>
      <c r="P5175">
        <v>0.98912049999999996</v>
      </c>
      <c r="Q5175">
        <v>0.1453922</v>
      </c>
      <c r="R5175">
        <v>-2.2396240000000001E-2</v>
      </c>
      <c r="S5175">
        <v>3.0499269999999998</v>
      </c>
      <c r="T5175">
        <v>-0.16935929999999999</v>
      </c>
      <c r="U5175">
        <v>-0.33251950000000002</v>
      </c>
      <c r="V5175">
        <v>-3.1180800000000002E-2</v>
      </c>
      <c r="W5175">
        <v>0.15733949999999999</v>
      </c>
      <c r="X5175">
        <v>0.98705220000000005</v>
      </c>
      <c r="Y5175">
        <v>5.4993010000000002E-2</v>
      </c>
      <c r="Z5175">
        <v>4.4581310000000002E-4</v>
      </c>
      <c r="AA5175">
        <v>0.9984866</v>
      </c>
      <c r="AB5175">
        <v>32</v>
      </c>
      <c r="AC5175">
        <v>20.0106</v>
      </c>
      <c r="AD5175">
        <v>-1.1225637744419901</v>
      </c>
      <c r="AE5175">
        <v>-2.1940599999999999</v>
      </c>
      <c r="AF5175">
        <v>1.1169329336954399</v>
      </c>
      <c r="AG5175">
        <v>-1.1225637744419901</v>
      </c>
      <c r="AH5175">
        <v>20.037012774789599</v>
      </c>
      <c r="AI5175">
        <v>93.2016556337243</v>
      </c>
      <c r="AJ5175">
        <v>86.809435522912096</v>
      </c>
      <c r="AK5175">
        <v>20.099491773255</v>
      </c>
      <c r="AL5175">
        <v>80.947495151414799</v>
      </c>
      <c r="AM5175">
        <v>91.809361580523799</v>
      </c>
      <c r="AN5175">
        <v>1.0000000030368601</v>
      </c>
    </row>
    <row r="5176" spans="1:40" x14ac:dyDescent="0.25">
      <c r="A5176" t="str">
        <f>"20190303162924701"</f>
        <v>20190303162924701</v>
      </c>
      <c r="B5176" t="str">
        <f>"1551601764686666"</f>
        <v>1551601764686666</v>
      </c>
      <c r="C5176" t="s">
        <v>40</v>
      </c>
      <c r="D5176">
        <v>5.1119450000000004</v>
      </c>
      <c r="E5176">
        <v>0.53407530000000003</v>
      </c>
      <c r="F5176" t="s">
        <v>41</v>
      </c>
      <c r="G5176">
        <v>-357.61599999999999</v>
      </c>
      <c r="H5176" s="1">
        <v>-1.7136420000000001E-6</v>
      </c>
      <c r="I5176">
        <v>16.172509999999999</v>
      </c>
      <c r="J5176">
        <v>-377.2389</v>
      </c>
      <c r="K5176">
        <v>1.1225240000000001</v>
      </c>
      <c r="L5176">
        <v>18.325320000000001</v>
      </c>
      <c r="M5176">
        <v>0.99855879999999997</v>
      </c>
      <c r="N5176">
        <v>-1.219787E-2</v>
      </c>
      <c r="O5176">
        <v>-5.2263730000000001E-2</v>
      </c>
      <c r="P5176">
        <v>0.98894689999999996</v>
      </c>
      <c r="Q5176">
        <v>0.14660619999999999</v>
      </c>
      <c r="R5176">
        <v>-2.2153829999999999E-2</v>
      </c>
      <c r="S5176">
        <v>3.0508419999999998</v>
      </c>
      <c r="T5176">
        <v>-0.17248520000000001</v>
      </c>
      <c r="U5176">
        <v>-0.33248899999999998</v>
      </c>
      <c r="V5176">
        <v>-3.0176169999999999E-2</v>
      </c>
      <c r="W5176">
        <v>0.15854109999999999</v>
      </c>
      <c r="X5176">
        <v>0.98689119999999997</v>
      </c>
      <c r="Y5176">
        <v>5.6175849999999999E-2</v>
      </c>
      <c r="Z5176">
        <v>3.7872859999999998E-4</v>
      </c>
      <c r="AA5176">
        <v>0.9984208</v>
      </c>
      <c r="AB5176">
        <v>32</v>
      </c>
      <c r="AC5176">
        <v>19.622900000000001</v>
      </c>
      <c r="AD5176">
        <v>-1.1225257136419999</v>
      </c>
      <c r="AE5176">
        <v>-2.1528100000000001</v>
      </c>
      <c r="AF5176">
        <v>1.1206016392585101</v>
      </c>
      <c r="AG5176">
        <v>-1.1225257136419999</v>
      </c>
      <c r="AH5176">
        <v>19.645078009696999</v>
      </c>
      <c r="AI5176">
        <v>93.265045939936599</v>
      </c>
      <c r="AJ5176">
        <v>86.735251352069994</v>
      </c>
      <c r="AK5176">
        <v>19.7090056070512</v>
      </c>
      <c r="AL5176">
        <v>80.877773972125794</v>
      </c>
      <c r="AM5176">
        <v>91.751387235702396</v>
      </c>
      <c r="AN5176">
        <v>1.0000000611312501</v>
      </c>
    </row>
    <row r="5177" spans="1:40" x14ac:dyDescent="0.25">
      <c r="A5177" t="str">
        <f>"20190303162924726"</f>
        <v>20190303162924726</v>
      </c>
      <c r="B5177" t="str">
        <f>"1551601764716921"</f>
        <v>1551601764716921</v>
      </c>
      <c r="C5177" t="s">
        <v>40</v>
      </c>
      <c r="D5177">
        <v>5.1574429999999998</v>
      </c>
      <c r="E5177">
        <v>0.53411830000000005</v>
      </c>
      <c r="F5177" t="s">
        <v>41</v>
      </c>
      <c r="G5177">
        <v>-357.10700000000003</v>
      </c>
      <c r="H5177" s="1">
        <v>-1.8961989999999999E-6</v>
      </c>
      <c r="I5177">
        <v>16.13739</v>
      </c>
      <c r="J5177">
        <v>-376.89550000000003</v>
      </c>
      <c r="K5177">
        <v>1.1224700000000001</v>
      </c>
      <c r="L5177">
        <v>18.309270000000001</v>
      </c>
      <c r="M5177">
        <v>0.99864900000000001</v>
      </c>
      <c r="N5177">
        <v>-1.217201E-2</v>
      </c>
      <c r="O5177">
        <v>-5.0518550000000002E-2</v>
      </c>
      <c r="P5177">
        <v>0.988811</v>
      </c>
      <c r="Q5177">
        <v>0.14768299999999901</v>
      </c>
      <c r="R5177">
        <v>-2.1047690000000001E-2</v>
      </c>
      <c r="S5177">
        <v>3.0513309999999998</v>
      </c>
      <c r="T5177">
        <v>-0.1701376</v>
      </c>
      <c r="U5177">
        <v>-0.33160400000000001</v>
      </c>
      <c r="V5177">
        <v>-2.9519299999999998E-2</v>
      </c>
      <c r="W5177">
        <v>0.15959889999999999</v>
      </c>
      <c r="X5177">
        <v>0.98674050000000002</v>
      </c>
      <c r="Y5177">
        <v>5.7613980000000002E-2</v>
      </c>
      <c r="Z5177">
        <v>2.379189E-4</v>
      </c>
      <c r="AA5177">
        <v>0.99833890000000003</v>
      </c>
      <c r="AB5177">
        <v>32</v>
      </c>
      <c r="AC5177">
        <v>19.788499999999999</v>
      </c>
      <c r="AD5177">
        <v>-1.1224718961989999</v>
      </c>
      <c r="AE5177">
        <v>-2.1718799999999998</v>
      </c>
      <c r="AF5177">
        <v>1.1656401645363299</v>
      </c>
      <c r="AG5177">
        <v>-1.1224718961989999</v>
      </c>
      <c r="AH5177">
        <v>19.809976223268499</v>
      </c>
      <c r="AI5177">
        <v>93.237435287517798</v>
      </c>
      <c r="AJ5177">
        <v>86.632537896895101</v>
      </c>
      <c r="AK5177">
        <v>19.875960809918102</v>
      </c>
      <c r="AL5177">
        <v>80.816384339031501</v>
      </c>
      <c r="AM5177">
        <v>91.713547801066198</v>
      </c>
      <c r="AN5177">
        <v>1.00000000614697</v>
      </c>
    </row>
    <row r="5178" spans="1:40" x14ac:dyDescent="0.25">
      <c r="A5178" t="str">
        <f>"20190303162924742"</f>
        <v>20190303162924742</v>
      </c>
      <c r="B5178" t="str">
        <f>"1551601764726681"</f>
        <v>1551601764726681</v>
      </c>
      <c r="C5178" t="s">
        <v>40</v>
      </c>
      <c r="D5178">
        <v>5.1662290000000004</v>
      </c>
      <c r="E5178">
        <v>0.53416300000000005</v>
      </c>
      <c r="F5178" t="s">
        <v>41</v>
      </c>
      <c r="G5178">
        <v>-356.86579999999998</v>
      </c>
      <c r="H5178" s="1">
        <v>-1.9737400000000001E-6</v>
      </c>
      <c r="I5178">
        <v>16.154489999999999</v>
      </c>
      <c r="J5178">
        <v>-376.65980000000002</v>
      </c>
      <c r="K5178">
        <v>1.1224400000000001</v>
      </c>
      <c r="L5178">
        <v>18.298549999999999</v>
      </c>
      <c r="M5178">
        <v>0.99870729999999996</v>
      </c>
      <c r="N5178">
        <v>-1.2155920000000001E-2</v>
      </c>
      <c r="O5178">
        <v>-4.9357310000000001E-2</v>
      </c>
      <c r="P5178">
        <v>0.98873659999999997</v>
      </c>
      <c r="Q5178">
        <v>0.14834330000000001</v>
      </c>
      <c r="R5178">
        <v>-1.98563E-2</v>
      </c>
      <c r="S5178">
        <v>3.0524900000000001</v>
      </c>
      <c r="T5178">
        <v>-0.17106189999999999</v>
      </c>
      <c r="U5178">
        <v>-0.32836910000000002</v>
      </c>
      <c r="V5178">
        <v>-2.9539220000000001E-2</v>
      </c>
      <c r="W5178">
        <v>0.1602452</v>
      </c>
      <c r="X5178">
        <v>0.98663509999999999</v>
      </c>
      <c r="Y5178">
        <v>5.7686750000000002E-2</v>
      </c>
      <c r="Z5178">
        <v>1.9227719999999999E-4</v>
      </c>
      <c r="AA5178">
        <v>0.99833470000000002</v>
      </c>
      <c r="AB5178">
        <v>32</v>
      </c>
      <c r="AC5178">
        <v>19.794</v>
      </c>
      <c r="AD5178">
        <v>-1.12244197374</v>
      </c>
      <c r="AE5178">
        <v>-2.1440600000000001</v>
      </c>
      <c r="AF5178">
        <v>1.16070663331585</v>
      </c>
      <c r="AG5178">
        <v>-1.12244197374</v>
      </c>
      <c r="AH5178">
        <v>19.812733266995298</v>
      </c>
      <c r="AI5178">
        <v>93.236948240951406</v>
      </c>
      <c r="AJ5178">
        <v>86.647223526802193</v>
      </c>
      <c r="AK5178">
        <v>19.878418332003701</v>
      </c>
      <c r="AL5178">
        <v>80.778870794921005</v>
      </c>
      <c r="AM5178">
        <v>91.714886503417702</v>
      </c>
      <c r="AN5178">
        <v>0.99999995509662798</v>
      </c>
    </row>
    <row r="5179" spans="1:40" x14ac:dyDescent="0.25">
      <c r="A5179" t="str">
        <f>"20190303162924758"</f>
        <v>20190303162924758</v>
      </c>
      <c r="B5179" t="str">
        <f>"1551601764747178"</f>
        <v>1551601764747178</v>
      </c>
      <c r="C5179" t="s">
        <v>40</v>
      </c>
      <c r="D5179">
        <v>5.169295</v>
      </c>
      <c r="E5179">
        <v>0.53410100000000005</v>
      </c>
      <c r="F5179" t="s">
        <v>41</v>
      </c>
      <c r="G5179">
        <v>-356.68439999999998</v>
      </c>
      <c r="H5179" s="1">
        <v>-2.0311240000000002E-6</v>
      </c>
      <c r="I5179">
        <v>16.170829999999999</v>
      </c>
      <c r="J5179">
        <v>-376.4325</v>
      </c>
      <c r="K5179">
        <v>1.1224190000000001</v>
      </c>
      <c r="L5179">
        <v>18.288509999999999</v>
      </c>
      <c r="M5179">
        <v>0.99876109999999896</v>
      </c>
      <c r="N5179">
        <v>-1.214202E-2</v>
      </c>
      <c r="O5179">
        <v>-4.8259539999999997E-2</v>
      </c>
      <c r="P5179">
        <v>0.98866699999999996</v>
      </c>
      <c r="Q5179">
        <v>0.14891099999999999</v>
      </c>
      <c r="R5179">
        <v>-1.9045679999999999E-2</v>
      </c>
      <c r="S5179">
        <v>3.0534059999999998</v>
      </c>
      <c r="T5179">
        <v>-0.1715739</v>
      </c>
      <c r="U5179">
        <v>-0.32522579999999901</v>
      </c>
      <c r="V5179">
        <v>-2.9245790000000001E-2</v>
      </c>
      <c r="W5179">
        <v>0.160802</v>
      </c>
      <c r="X5179">
        <v>0.98655329999999997</v>
      </c>
      <c r="Y5179">
        <v>5.7734849999999997E-2</v>
      </c>
      <c r="Z5179">
        <v>1.4685389999999999E-4</v>
      </c>
      <c r="AA5179">
        <v>0.998332</v>
      </c>
      <c r="AB5179">
        <v>32</v>
      </c>
      <c r="AC5179">
        <v>19.748100000000001</v>
      </c>
      <c r="AD5179">
        <v>-1.1224210311239999</v>
      </c>
      <c r="AE5179">
        <v>-2.11768</v>
      </c>
      <c r="AF5179">
        <v>1.1584081473713099</v>
      </c>
      <c r="AG5179">
        <v>-1.1224210311239999</v>
      </c>
      <c r="AH5179">
        <v>19.764171477735701</v>
      </c>
      <c r="AI5179">
        <v>93.244819005934104</v>
      </c>
      <c r="AJ5179">
        <v>86.645644799460399</v>
      </c>
      <c r="AK5179">
        <v>19.829881810246601</v>
      </c>
      <c r="AL5179">
        <v>80.746549839321204</v>
      </c>
      <c r="AM5179">
        <v>91.698002269546905</v>
      </c>
      <c r="AN5179">
        <v>1.0000000065888</v>
      </c>
    </row>
    <row r="5180" spans="1:40" x14ac:dyDescent="0.25">
      <c r="A5180" t="str">
        <f>"20190303162924779"</f>
        <v>20190303162924779</v>
      </c>
      <c r="B5180" t="str">
        <f>"1551601764766698"</f>
        <v>1551601764766698</v>
      </c>
      <c r="C5180" t="s">
        <v>40</v>
      </c>
      <c r="D5180">
        <v>5.1486210000000003</v>
      </c>
      <c r="E5180">
        <v>0.53403040000000002</v>
      </c>
      <c r="F5180" t="s">
        <v>41</v>
      </c>
      <c r="G5180">
        <v>-356.59219999999999</v>
      </c>
      <c r="H5180" s="1">
        <v>-2.055627E-6</v>
      </c>
      <c r="I5180">
        <v>16.196549999999998</v>
      </c>
      <c r="J5180">
        <v>-376.14</v>
      </c>
      <c r="K5180">
        <v>1.122398</v>
      </c>
      <c r="L5180">
        <v>18.275880000000001</v>
      </c>
      <c r="M5180">
        <v>0.99882749999999998</v>
      </c>
      <c r="N5180">
        <v>-1.2125789999999999E-2</v>
      </c>
      <c r="O5180">
        <v>-4.6869889999999997E-2</v>
      </c>
      <c r="P5180">
        <v>0.98858480000000004</v>
      </c>
      <c r="Q5180">
        <v>0.14964569999999999</v>
      </c>
      <c r="R5180">
        <v>-1.7518099999999901E-2</v>
      </c>
      <c r="S5180">
        <v>3.0541990000000001</v>
      </c>
      <c r="T5180">
        <v>-0.17278470000000001</v>
      </c>
      <c r="U5180">
        <v>-0.32202150000000002</v>
      </c>
      <c r="V5180">
        <v>-2.937731E-2</v>
      </c>
      <c r="W5180">
        <v>0.161522</v>
      </c>
      <c r="X5180">
        <v>0.98643179999999997</v>
      </c>
      <c r="Y5180">
        <v>5.8058289999999999E-2</v>
      </c>
      <c r="Z5180" s="1">
        <v>8.3098890000000004E-5</v>
      </c>
      <c r="AA5180">
        <v>0.99831320000000001</v>
      </c>
      <c r="AB5180">
        <v>32</v>
      </c>
      <c r="AC5180">
        <v>19.547799999999899</v>
      </c>
      <c r="AD5180">
        <v>-1.122400055627</v>
      </c>
      <c r="AE5180">
        <v>-2.0793299999999899</v>
      </c>
      <c r="AF5180">
        <v>1.1570021875029799</v>
      </c>
      <c r="AG5180">
        <v>-1.122400055627</v>
      </c>
      <c r="AH5180">
        <v>19.560013994453399</v>
      </c>
      <c r="AI5180">
        <v>93.278448505195499</v>
      </c>
      <c r="AJ5180">
        <v>86.614818944944105</v>
      </c>
      <c r="AK5180">
        <v>19.6263237365017</v>
      </c>
      <c r="AL5180">
        <v>80.704750782698298</v>
      </c>
      <c r="AM5180">
        <v>91.7058437438791</v>
      </c>
      <c r="AN5180">
        <v>1.00000003943903</v>
      </c>
    </row>
    <row r="5181" spans="1:40" x14ac:dyDescent="0.25">
      <c r="A5181" t="str">
        <f>"20190303162924792"</f>
        <v>20190303162924792</v>
      </c>
      <c r="B5181" t="str">
        <f>"1551601764786928"</f>
        <v>1551601764786928</v>
      </c>
      <c r="C5181" t="s">
        <v>40</v>
      </c>
      <c r="D5181">
        <v>5.1274069999999998</v>
      </c>
      <c r="E5181">
        <v>0.5340298</v>
      </c>
      <c r="F5181" t="s">
        <v>41</v>
      </c>
      <c r="G5181">
        <v>-356.42079999999999</v>
      </c>
      <c r="H5181" s="1">
        <v>-2.1177320000000001E-6</v>
      </c>
      <c r="I5181">
        <v>16.233910000000002</v>
      </c>
      <c r="J5181">
        <v>-375.94959999999998</v>
      </c>
      <c r="K5181">
        <v>1.122382</v>
      </c>
      <c r="L5181">
        <v>18.267849999999999</v>
      </c>
      <c r="M5181">
        <v>0.99886889999999995</v>
      </c>
      <c r="N5181">
        <v>-1.211629E-2</v>
      </c>
      <c r="O5181">
        <v>-4.5980979999999998E-2</v>
      </c>
      <c r="P5181">
        <v>0.98850210000000005</v>
      </c>
      <c r="Q5181">
        <v>0.150315899999999</v>
      </c>
      <c r="R5181">
        <v>-1.640105E-2</v>
      </c>
      <c r="S5181">
        <v>3.0553590000000002</v>
      </c>
      <c r="T5181">
        <v>-0.17390820000000001</v>
      </c>
      <c r="U5181">
        <v>-0.31637569999999998</v>
      </c>
      <c r="V5181">
        <v>-2.960171E-2</v>
      </c>
      <c r="W5181">
        <v>0.1621822</v>
      </c>
      <c r="X5181">
        <v>0.98631670000000005</v>
      </c>
      <c r="Y5181">
        <v>5.7082920000000002E-2</v>
      </c>
      <c r="Z5181" s="1">
        <v>8.4095400000000001E-5</v>
      </c>
      <c r="AA5181">
        <v>0.99836950000000002</v>
      </c>
      <c r="AB5181">
        <v>32</v>
      </c>
      <c r="AC5181">
        <v>19.528799999999901</v>
      </c>
      <c r="AD5181">
        <v>-1.122384117732</v>
      </c>
      <c r="AE5181">
        <v>-2.0339399999999901</v>
      </c>
      <c r="AF5181">
        <v>1.1300764104301</v>
      </c>
      <c r="AG5181">
        <v>-1.122384117732</v>
      </c>
      <c r="AH5181">
        <v>19.537826706206999</v>
      </c>
      <c r="AI5181">
        <v>93.282367189458895</v>
      </c>
      <c r="AJ5181">
        <v>86.689675439561796</v>
      </c>
      <c r="AK5181">
        <v>19.602639903924299</v>
      </c>
      <c r="AL5181">
        <v>80.666418142327998</v>
      </c>
      <c r="AM5181">
        <v>91.719066592422493</v>
      </c>
      <c r="AN5181">
        <v>0.99999997996532597</v>
      </c>
    </row>
    <row r="5182" spans="1:40" x14ac:dyDescent="0.25">
      <c r="A5182" t="str">
        <f>"20190303162924808"</f>
        <v>20190303162924808</v>
      </c>
      <c r="B5182" t="str">
        <f>"1551601764796688"</f>
        <v>1551601764796688</v>
      </c>
      <c r="C5182" t="s">
        <v>40</v>
      </c>
      <c r="D5182">
        <v>5.1272719999999996</v>
      </c>
      <c r="E5182">
        <v>0.53410380000000002</v>
      </c>
      <c r="F5182" t="s">
        <v>41</v>
      </c>
      <c r="G5182">
        <v>-356.23379999999997</v>
      </c>
      <c r="H5182" s="1">
        <v>-2.1949919999999999E-6</v>
      </c>
      <c r="I5182">
        <v>16.250610000000002</v>
      </c>
      <c r="J5182">
        <v>-375.7337</v>
      </c>
      <c r="K5182">
        <v>1.1223650000000001</v>
      </c>
      <c r="L5182">
        <v>18.258939999999999</v>
      </c>
      <c r="M5182">
        <v>0.99891430000000003</v>
      </c>
      <c r="N5182">
        <v>-1.210629E-2</v>
      </c>
      <c r="O5182">
        <v>-4.4984910000000003E-2</v>
      </c>
      <c r="P5182">
        <v>0.98842839999999998</v>
      </c>
      <c r="Q5182">
        <v>0.150924</v>
      </c>
      <c r="R5182">
        <v>-1.5210049999999999E-2</v>
      </c>
      <c r="S5182">
        <v>3.0561829999999999</v>
      </c>
      <c r="T5182">
        <v>-0.1739832</v>
      </c>
      <c r="U5182">
        <v>-0.31268309999999999</v>
      </c>
      <c r="V5182">
        <v>-2.9793440000000001E-2</v>
      </c>
      <c r="W5182">
        <v>0.16278110000000001</v>
      </c>
      <c r="X5182">
        <v>0.98621230000000004</v>
      </c>
      <c r="Y5182">
        <v>5.6856700000000003E-2</v>
      </c>
      <c r="Z5182" s="1">
        <v>4.8503630000000003E-5</v>
      </c>
      <c r="AA5182">
        <v>0.99838229999999994</v>
      </c>
      <c r="AB5182">
        <v>32</v>
      </c>
      <c r="AC5182">
        <v>19.4999</v>
      </c>
      <c r="AD5182">
        <v>-1.122367194992</v>
      </c>
      <c r="AE5182">
        <v>-2.0083299999999902</v>
      </c>
      <c r="AF5182">
        <v>1.1253420705255901</v>
      </c>
      <c r="AG5182">
        <v>-1.122367194992</v>
      </c>
      <c r="AH5182">
        <v>19.5065633267082</v>
      </c>
      <c r="AI5182">
        <v>93.287595214233903</v>
      </c>
      <c r="AJ5182">
        <v>86.698241422587301</v>
      </c>
      <c r="AK5182">
        <v>19.5712062917687</v>
      </c>
      <c r="AL5182">
        <v>80.6316419332706</v>
      </c>
      <c r="AM5182">
        <v>91.730377271060306</v>
      </c>
      <c r="AN5182">
        <v>1.00000001812776</v>
      </c>
    </row>
    <row r="5183" spans="1:40" x14ac:dyDescent="0.25">
      <c r="A5183" t="str">
        <f>"20190303162924826"</f>
        <v>20190303162924826</v>
      </c>
      <c r="B5183" t="str">
        <f>"1551601764818160"</f>
        <v>1551601764818160</v>
      </c>
      <c r="C5183" t="s">
        <v>40</v>
      </c>
      <c r="D5183">
        <v>5.1132530000000003</v>
      </c>
      <c r="E5183">
        <v>0.53431309999999999</v>
      </c>
      <c r="F5183" t="s">
        <v>41</v>
      </c>
      <c r="G5183">
        <v>-356.00670000000002</v>
      </c>
      <c r="H5183" s="1">
        <v>-2.2903229999999999E-6</v>
      </c>
      <c r="I5183">
        <v>16.262499999999999</v>
      </c>
      <c r="J5183">
        <v>-375.47019999999998</v>
      </c>
      <c r="K5183">
        <v>1.1223459999999901</v>
      </c>
      <c r="L5183">
        <v>18.248349999999999</v>
      </c>
      <c r="M5183">
        <v>0.99896759999999996</v>
      </c>
      <c r="N5183">
        <v>-1.209529E-2</v>
      </c>
      <c r="O5183">
        <v>-4.3788750000000001E-2</v>
      </c>
      <c r="P5183">
        <v>0.98831910000000001</v>
      </c>
      <c r="Q5183">
        <v>0.1517791</v>
      </c>
      <c r="R5183">
        <v>-1.3739690000000001E-2</v>
      </c>
      <c r="S5183">
        <v>3.056915</v>
      </c>
      <c r="T5183">
        <v>-0.17392279999999999</v>
      </c>
      <c r="U5183">
        <v>-0.30935669999999998</v>
      </c>
      <c r="V5183">
        <v>-3.006429E-2</v>
      </c>
      <c r="W5183">
        <v>0.1636251</v>
      </c>
      <c r="X5183">
        <v>0.98606439999999995</v>
      </c>
      <c r="Y5183">
        <v>5.6951429999999997E-2</v>
      </c>
      <c r="Z5183" s="1">
        <v>-7.6901630000000001E-6</v>
      </c>
      <c r="AA5183">
        <v>0.99837699999999996</v>
      </c>
      <c r="AB5183">
        <v>32</v>
      </c>
      <c r="AC5183">
        <v>19.4634999999999</v>
      </c>
      <c r="AD5183">
        <v>-1.12234829032299</v>
      </c>
      <c r="AE5183">
        <v>-1.9858499999999899</v>
      </c>
      <c r="AF5183">
        <v>1.1278884633266399</v>
      </c>
      <c r="AG5183">
        <v>-1.12234829032299</v>
      </c>
      <c r="AH5183">
        <v>19.467725873981099</v>
      </c>
      <c r="AI5183">
        <v>93.294037494119493</v>
      </c>
      <c r="AJ5183">
        <v>86.684199827820294</v>
      </c>
      <c r="AK5183">
        <v>19.5326431589524</v>
      </c>
      <c r="AL5183">
        <v>80.582627126329797</v>
      </c>
      <c r="AM5183">
        <v>91.746360046517793</v>
      </c>
      <c r="AN5183">
        <v>1.0000000179152799</v>
      </c>
    </row>
    <row r="5184" spans="1:40" x14ac:dyDescent="0.25">
      <c r="A5184" t="str">
        <f>"20190303162924846"</f>
        <v>20190303162924846</v>
      </c>
      <c r="B5184" t="str">
        <f>"1551601764836704"</f>
        <v>1551601764836704</v>
      </c>
      <c r="C5184" t="s">
        <v>40</v>
      </c>
      <c r="D5184">
        <v>5.1282719999999999</v>
      </c>
      <c r="E5184">
        <v>0.53804989999999997</v>
      </c>
      <c r="F5184" t="s">
        <v>41</v>
      </c>
      <c r="G5184">
        <v>-355.58629999999999</v>
      </c>
      <c r="H5184" s="1">
        <v>-2.4716819999999999E-6</v>
      </c>
      <c r="I5184">
        <v>16.256799999999998</v>
      </c>
      <c r="J5184">
        <v>-375.1816</v>
      </c>
      <c r="K5184">
        <v>1.1223240000000001</v>
      </c>
      <c r="L5184">
        <v>18.23706</v>
      </c>
      <c r="M5184">
        <v>0.99902329999999995</v>
      </c>
      <c r="N5184">
        <v>-1.2084579999999999E-2</v>
      </c>
      <c r="O5184">
        <v>-4.2504029999999998E-2</v>
      </c>
      <c r="P5184">
        <v>0.98838199999999998</v>
      </c>
      <c r="Q5184">
        <v>0.1514568</v>
      </c>
      <c r="R5184">
        <v>-1.271986E-2</v>
      </c>
      <c r="S5184">
        <v>3.057709</v>
      </c>
      <c r="T5184">
        <v>-0.17259240000000001</v>
      </c>
      <c r="U5184">
        <v>-0.30624390000000001</v>
      </c>
      <c r="V5184">
        <v>-2.9800750000000001E-2</v>
      </c>
      <c r="W5184">
        <v>0.16329579999999999</v>
      </c>
      <c r="X5184">
        <v>0.98612699999999998</v>
      </c>
      <c r="Y5184">
        <v>5.7202259999999998E-2</v>
      </c>
      <c r="Z5184" s="1">
        <v>-7.8925979999999995E-5</v>
      </c>
      <c r="AA5184">
        <v>0.99836259999999999</v>
      </c>
      <c r="AB5184">
        <v>32</v>
      </c>
      <c r="AC5184">
        <v>19.595300000000002</v>
      </c>
      <c r="AD5184">
        <v>-1.1223264716819901</v>
      </c>
      <c r="AE5184">
        <v>-1.9802599999999999</v>
      </c>
      <c r="AF5184">
        <v>1.14182236966651</v>
      </c>
      <c r="AG5184">
        <v>-1.1223264716819901</v>
      </c>
      <c r="AH5184">
        <v>19.598123332137199</v>
      </c>
      <c r="AI5184">
        <v>93.272043163752997</v>
      </c>
      <c r="AJ5184">
        <v>86.665612885916403</v>
      </c>
      <c r="AK5184">
        <v>19.6634130601626</v>
      </c>
      <c r="AL5184">
        <v>80.601751985462698</v>
      </c>
      <c r="AM5184">
        <v>91.730951194631103</v>
      </c>
      <c r="AN5184">
        <v>1.0000000315636</v>
      </c>
    </row>
    <row r="5185" spans="1:40" x14ac:dyDescent="0.25">
      <c r="A5185" t="str">
        <f>"20190303162924858"</f>
        <v>20190303162924858</v>
      </c>
      <c r="B5185" t="str">
        <f>"1551601764847440"</f>
        <v>1551601764847440</v>
      </c>
      <c r="C5185" t="s">
        <v>40</v>
      </c>
      <c r="D5185">
        <v>5.1069839999999997</v>
      </c>
      <c r="E5185">
        <v>0.53827199999999997</v>
      </c>
      <c r="F5185" t="s">
        <v>41</v>
      </c>
      <c r="G5185">
        <v>-357.97669999999999</v>
      </c>
      <c r="H5185" s="1">
        <v>-1.5374859999999999E-6</v>
      </c>
      <c r="I5185">
        <v>16.373139999999999</v>
      </c>
      <c r="J5185">
        <v>-375.01960000000003</v>
      </c>
      <c r="K5185">
        <v>1.1223080000000001</v>
      </c>
      <c r="L5185">
        <v>18.230869999999999</v>
      </c>
      <c r="M5185">
        <v>0.99905319999999997</v>
      </c>
      <c r="N5185">
        <v>-1.207916E-2</v>
      </c>
      <c r="O5185">
        <v>-4.1796359999999998E-2</v>
      </c>
      <c r="P5185">
        <v>0.9884425</v>
      </c>
      <c r="Q5185">
        <v>0.15110279999999901</v>
      </c>
      <c r="R5185">
        <v>-1.22355E-2</v>
      </c>
      <c r="S5185">
        <v>3.0615540000000001</v>
      </c>
      <c r="T5185">
        <v>-0.1997149</v>
      </c>
      <c r="U5185">
        <v>-0.33166499999999999</v>
      </c>
      <c r="V5185">
        <v>-2.9579629999999999E-2</v>
      </c>
      <c r="W5185">
        <v>0.16293920000000001</v>
      </c>
      <c r="X5185">
        <v>0.98619259999999997</v>
      </c>
      <c r="Y5185">
        <v>6.5945539999999997E-2</v>
      </c>
      <c r="Z5185">
        <v>-3.3214650000000002E-4</v>
      </c>
      <c r="AA5185">
        <v>0.99782320000000002</v>
      </c>
      <c r="AB5185">
        <v>32</v>
      </c>
      <c r="AC5185">
        <v>17.042899999999999</v>
      </c>
      <c r="AD5185">
        <v>-1.1223095374859999</v>
      </c>
      <c r="AE5185">
        <v>-1.8577299999999899</v>
      </c>
      <c r="AF5185">
        <v>1.1388426895778501</v>
      </c>
      <c r="AG5185">
        <v>-1.1223095374859999</v>
      </c>
      <c r="AH5185">
        <v>17.032662243227001</v>
      </c>
      <c r="AI5185">
        <v>93.761487166406198</v>
      </c>
      <c r="AJ5185">
        <v>86.174766891770105</v>
      </c>
      <c r="AK5185">
        <v>17.1075458339701</v>
      </c>
      <c r="AL5185">
        <v>80.622460638064993</v>
      </c>
      <c r="AM5185">
        <v>91.718001136501201</v>
      </c>
      <c r="AN5185">
        <v>0.99999999085116797</v>
      </c>
    </row>
    <row r="5186" spans="1:40" x14ac:dyDescent="0.25">
      <c r="A5186" t="str">
        <f>"20190303162924871"</f>
        <v>20190303162924871</v>
      </c>
      <c r="B5186" t="str">
        <f>"1551601764866961"</f>
        <v>1551601764866961</v>
      </c>
      <c r="C5186" t="s">
        <v>40</v>
      </c>
      <c r="D5186">
        <v>5.0876530000000004</v>
      </c>
      <c r="E5186">
        <v>0.5390353</v>
      </c>
      <c r="F5186" t="s">
        <v>41</v>
      </c>
      <c r="G5186">
        <v>-357.31720000000001</v>
      </c>
      <c r="H5186" s="1">
        <v>-1.7783019999999901E-6</v>
      </c>
      <c r="I5186">
        <v>16.31157</v>
      </c>
      <c r="J5186">
        <v>-374.84249999999997</v>
      </c>
      <c r="K5186">
        <v>1.1222920000000001</v>
      </c>
      <c r="L5186">
        <v>18.224240000000002</v>
      </c>
      <c r="M5186">
        <v>0.99908490000000005</v>
      </c>
      <c r="N5186">
        <v>-1.207367E-2</v>
      </c>
      <c r="O5186">
        <v>-4.1033769999999997E-2</v>
      </c>
      <c r="P5186">
        <v>0.98855870000000001</v>
      </c>
      <c r="Q5186">
        <v>0.15038370000000001</v>
      </c>
      <c r="R5186">
        <v>-1.1683529999999999E-2</v>
      </c>
      <c r="S5186">
        <v>3.0606080000000002</v>
      </c>
      <c r="T5186">
        <v>-0.19403889999999999</v>
      </c>
      <c r="U5186">
        <v>-0.33181759999999999</v>
      </c>
      <c r="V5186">
        <v>-2.9370609999999998E-2</v>
      </c>
      <c r="W5186">
        <v>0.16221839999999901</v>
      </c>
      <c r="X5186">
        <v>0.98631769999999996</v>
      </c>
      <c r="Y5186">
        <v>6.6790859999999994E-2</v>
      </c>
      <c r="Z5186">
        <v>-4.1846910000000001E-4</v>
      </c>
      <c r="AA5186">
        <v>0.99776690000000001</v>
      </c>
      <c r="AB5186">
        <v>32</v>
      </c>
      <c r="AC5186">
        <v>17.525299999999898</v>
      </c>
      <c r="AD5186">
        <v>-1.1222937783019999</v>
      </c>
      <c r="AE5186">
        <v>-1.9126699999999901</v>
      </c>
      <c r="AF5186">
        <v>1.18706657973166</v>
      </c>
      <c r="AG5186">
        <v>-1.1222937783019999</v>
      </c>
      <c r="AH5186">
        <v>17.518032539821402</v>
      </c>
      <c r="AI5186">
        <v>93.657283695624898</v>
      </c>
      <c r="AJ5186">
        <v>86.123417999113599</v>
      </c>
      <c r="AK5186">
        <v>17.594036900489101</v>
      </c>
      <c r="AL5186">
        <v>80.664316612625001</v>
      </c>
      <c r="AM5186">
        <v>91.705652101983901</v>
      </c>
      <c r="AN5186">
        <v>1.0000000236818101</v>
      </c>
    </row>
    <row r="5187" spans="1:40" x14ac:dyDescent="0.25">
      <c r="A5187" t="str">
        <f>"20190303162924885"</f>
        <v>20190303162924885</v>
      </c>
      <c r="B5187" t="str">
        <f>"1551601764877276"</f>
        <v>1551601764877276</v>
      </c>
      <c r="C5187" t="s">
        <v>40</v>
      </c>
      <c r="D5187">
        <v>5.0827960000000001</v>
      </c>
      <c r="E5187">
        <v>0.53882699999999994</v>
      </c>
      <c r="F5187" t="s">
        <v>41</v>
      </c>
      <c r="G5187">
        <v>-357.65010000000001</v>
      </c>
      <c r="H5187" s="1">
        <v>-1.6582080000000001E-6</v>
      </c>
      <c r="I5187">
        <v>16.337119999999999</v>
      </c>
      <c r="J5187">
        <v>-374.6361</v>
      </c>
      <c r="K5187">
        <v>1.122271</v>
      </c>
      <c r="L5187">
        <v>18.216609999999999</v>
      </c>
      <c r="M5187">
        <v>0.99912040000000002</v>
      </c>
      <c r="N5187">
        <v>-1.2067720000000001E-2</v>
      </c>
      <c r="O5187">
        <v>-4.0159769999999997E-2</v>
      </c>
      <c r="P5187">
        <v>0.98863489999999998</v>
      </c>
      <c r="Q5187">
        <v>0.149928799999999</v>
      </c>
      <c r="R5187">
        <v>-1.1061029999999999E-2</v>
      </c>
      <c r="S5187">
        <v>3.061188</v>
      </c>
      <c r="T5187">
        <v>-0.1998308</v>
      </c>
      <c r="U5187">
        <v>-0.33599849999999998</v>
      </c>
      <c r="V5187">
        <v>-2.912027E-2</v>
      </c>
      <c r="W5187">
        <v>0.16176099999999999</v>
      </c>
      <c r="X5187">
        <v>0.98640019999999995</v>
      </c>
      <c r="Y5187">
        <v>6.8978570000000003E-2</v>
      </c>
      <c r="Z5187">
        <v>-5.3443419999999896E-4</v>
      </c>
      <c r="AA5187">
        <v>0.997618</v>
      </c>
      <c r="AB5187">
        <v>32</v>
      </c>
      <c r="AC5187">
        <v>16.985999999999901</v>
      </c>
      <c r="AD5187">
        <v>-1.122272658208</v>
      </c>
      <c r="AE5187">
        <v>-1.8794899999999899</v>
      </c>
      <c r="AF5187">
        <v>1.19063539285189</v>
      </c>
      <c r="AG5187">
        <v>-1.122272658208</v>
      </c>
      <c r="AH5187">
        <v>16.974577336063302</v>
      </c>
      <c r="AI5187">
        <v>93.773356188069101</v>
      </c>
      <c r="AJ5187">
        <v>85.987715395767793</v>
      </c>
      <c r="AK5187">
        <v>17.053251428864499</v>
      </c>
      <c r="AL5187">
        <v>80.690874083005994</v>
      </c>
      <c r="AM5187">
        <v>91.690981118398</v>
      </c>
      <c r="AN5187">
        <v>0.999999982902956</v>
      </c>
    </row>
    <row r="5188" spans="1:40" x14ac:dyDescent="0.25">
      <c r="A5188" t="str">
        <f>"20190303162924901"</f>
        <v>20190303162924901</v>
      </c>
      <c r="B5188" t="str">
        <f>"1551601764887035"</f>
        <v>1551601764887035</v>
      </c>
      <c r="C5188" t="s">
        <v>40</v>
      </c>
      <c r="D5188">
        <v>5.0887060000000002</v>
      </c>
      <c r="E5188">
        <v>0.53879650000000001</v>
      </c>
      <c r="F5188" t="s">
        <v>44</v>
      </c>
      <c r="G5188">
        <v>-373.63619999999997</v>
      </c>
      <c r="H5188">
        <v>1.055207</v>
      </c>
      <c r="I5188">
        <v>18.107790000000001</v>
      </c>
      <c r="J5188">
        <v>-374.40640000000002</v>
      </c>
      <c r="K5188">
        <v>1.1222479999999999</v>
      </c>
      <c r="L5188">
        <v>18.208369999999999</v>
      </c>
      <c r="M5188">
        <v>0.99915799999999999</v>
      </c>
      <c r="N5188">
        <v>-1.206163E-2</v>
      </c>
      <c r="O5188">
        <v>-3.9219820000000002E-2</v>
      </c>
      <c r="P5188">
        <v>0.9887475</v>
      </c>
      <c r="Q5188">
        <v>0.1492337</v>
      </c>
      <c r="R5188">
        <v>-1.0396580000000001E-2</v>
      </c>
      <c r="S5188">
        <v>3.0619200000000002</v>
      </c>
      <c r="T5188">
        <v>-0.20542779999999999</v>
      </c>
      <c r="U5188">
        <v>-0.33224490000000001</v>
      </c>
      <c r="V5188">
        <v>-2.8844209999999999E-2</v>
      </c>
      <c r="W5188">
        <v>0.16106409999999999</v>
      </c>
      <c r="X5188">
        <v>0.98652240000000002</v>
      </c>
      <c r="Y5188">
        <v>6.8677009999999997E-2</v>
      </c>
      <c r="Z5188">
        <v>-5.6327009999999997E-4</v>
      </c>
      <c r="AA5188">
        <v>0.99763880000000005</v>
      </c>
      <c r="AB5188">
        <v>32</v>
      </c>
      <c r="AC5188">
        <v>0.77020000000004496</v>
      </c>
      <c r="AD5188">
        <v>-6.7040999999999906E-2</v>
      </c>
      <c r="AE5188">
        <v>-0.100580000000004</v>
      </c>
      <c r="AF5188">
        <v>6.9773524699151906E-2</v>
      </c>
      <c r="AG5188">
        <v>-6.7040999999999906E-2</v>
      </c>
      <c r="AH5188">
        <v>0.76783233698401698</v>
      </c>
      <c r="AI5188">
        <v>94.969583551672201</v>
      </c>
      <c r="AJ5188">
        <v>84.807748062645302</v>
      </c>
      <c r="AK5188">
        <v>0.77390525140244404</v>
      </c>
      <c r="AL5188">
        <v>80.731334590986904</v>
      </c>
      <c r="AM5188">
        <v>91.674752443671593</v>
      </c>
      <c r="AN5188">
        <v>1.0000000392305399</v>
      </c>
    </row>
    <row r="5189" spans="1:40" x14ac:dyDescent="0.25">
      <c r="A5189" t="str">
        <f>"20190303162924915"</f>
        <v>20190303162924915</v>
      </c>
      <c r="B5189" t="str">
        <f>"1551601764907533"</f>
        <v>1551601764907533</v>
      </c>
      <c r="C5189" t="s">
        <v>40</v>
      </c>
      <c r="D5189">
        <v>5.1171569999999997</v>
      </c>
      <c r="E5189">
        <v>0.53907430000000001</v>
      </c>
      <c r="F5189" t="s">
        <v>41</v>
      </c>
      <c r="G5189">
        <v>-357.8913</v>
      </c>
      <c r="H5189" s="1">
        <v>-1.551183E-6</v>
      </c>
      <c r="I5189">
        <v>16.430989999999898</v>
      </c>
      <c r="J5189">
        <v>-374.21710000000002</v>
      </c>
      <c r="K5189">
        <v>1.122214</v>
      </c>
      <c r="L5189">
        <v>18.201720000000002</v>
      </c>
      <c r="M5189">
        <v>0.99918689999999999</v>
      </c>
      <c r="N5189">
        <v>-1.205703E-2</v>
      </c>
      <c r="O5189">
        <v>-3.8474630000000003E-2</v>
      </c>
      <c r="P5189">
        <v>0.98881859999999999</v>
      </c>
      <c r="Q5189">
        <v>0.14878820000000001</v>
      </c>
      <c r="R5189">
        <v>-1.001754E-2</v>
      </c>
      <c r="S5189">
        <v>3.0620729999999998</v>
      </c>
      <c r="T5189">
        <v>-0.2080767</v>
      </c>
      <c r="U5189">
        <v>-0.32952880000000001</v>
      </c>
      <c r="V5189">
        <v>-2.8475150000000001E-2</v>
      </c>
      <c r="W5189">
        <v>0.16061839999999999</v>
      </c>
      <c r="X5189">
        <v>0.98660579999999998</v>
      </c>
      <c r="Y5189">
        <v>6.8537780000000006E-2</v>
      </c>
      <c r="Z5189">
        <v>-5.9458379999999895E-4</v>
      </c>
      <c r="AA5189">
        <v>0.99764839999999999</v>
      </c>
      <c r="AB5189">
        <v>32</v>
      </c>
      <c r="AC5189">
        <v>16.325800000000001</v>
      </c>
      <c r="AD5189">
        <v>-1.1222155511830001</v>
      </c>
      <c r="AE5189">
        <v>-1.7707299999999999</v>
      </c>
      <c r="AF5189">
        <v>1.1359390589690599</v>
      </c>
      <c r="AG5189">
        <v>-1.1222155511830001</v>
      </c>
      <c r="AH5189">
        <v>16.305694470338899</v>
      </c>
      <c r="AI5189">
        <v>93.927600385315998</v>
      </c>
      <c r="AJ5189">
        <v>86.014918019012597</v>
      </c>
      <c r="AK5189">
        <v>16.3836930345099</v>
      </c>
      <c r="AL5189">
        <v>80.757208329037795</v>
      </c>
      <c r="AM5189">
        <v>91.653196370602899</v>
      </c>
      <c r="AN5189">
        <v>1.00000005458985</v>
      </c>
    </row>
    <row r="5190" spans="1:40" x14ac:dyDescent="0.25">
      <c r="A5190" t="str">
        <f>"20190303162924936"</f>
        <v>20190303162924936</v>
      </c>
      <c r="B5190" t="str">
        <f>"1551601764927051"</f>
        <v>1551601764927051</v>
      </c>
      <c r="C5190" t="s">
        <v>40</v>
      </c>
      <c r="D5190">
        <v>5.127103</v>
      </c>
      <c r="E5190">
        <v>0.53913929999999999</v>
      </c>
      <c r="F5190" t="s">
        <v>41</v>
      </c>
      <c r="G5190">
        <v>-357.7346</v>
      </c>
      <c r="H5190" s="1">
        <v>-1.6064889999999999E-6</v>
      </c>
      <c r="I5190">
        <v>16.42353</v>
      </c>
      <c r="J5190">
        <v>-373.90589999999997</v>
      </c>
      <c r="K5190">
        <v>1.12216</v>
      </c>
      <c r="L5190">
        <v>18.191040000000001</v>
      </c>
      <c r="M5190">
        <v>0.99923150000000005</v>
      </c>
      <c r="N5190">
        <v>-1.205006E-2</v>
      </c>
      <c r="O5190">
        <v>-3.7301199999999902E-2</v>
      </c>
      <c r="P5190">
        <v>0.98901930000000005</v>
      </c>
      <c r="Q5190">
        <v>0.14749970000000001</v>
      </c>
      <c r="R5190">
        <v>-9.2132180000000004E-3</v>
      </c>
      <c r="S5190">
        <v>3.0619809999999998</v>
      </c>
      <c r="T5190">
        <v>-0.20847560000000001</v>
      </c>
      <c r="U5190">
        <v>-0.33032230000000001</v>
      </c>
      <c r="V5190">
        <v>-2.8099550000000001E-2</v>
      </c>
      <c r="W5190">
        <v>0.15933059999999999</v>
      </c>
      <c r="X5190">
        <v>0.98682530000000002</v>
      </c>
      <c r="Y5190">
        <v>6.9962029999999995E-2</v>
      </c>
      <c r="Z5190">
        <v>-7.1577909999999997E-4</v>
      </c>
      <c r="AA5190">
        <v>0.99754940000000003</v>
      </c>
      <c r="AB5190">
        <v>32</v>
      </c>
      <c r="AC5190">
        <v>16.171299999999899</v>
      </c>
      <c r="AD5190">
        <v>-1.1221616064890001</v>
      </c>
      <c r="AE5190">
        <v>-1.7675099999999999</v>
      </c>
      <c r="AF5190">
        <v>1.1575191418095201</v>
      </c>
      <c r="AG5190">
        <v>-1.1221616064890001</v>
      </c>
      <c r="AH5190">
        <v>16.149134779013</v>
      </c>
      <c r="AI5190">
        <v>93.964806938408898</v>
      </c>
      <c r="AJ5190">
        <v>85.9002302573615</v>
      </c>
      <c r="AK5190">
        <v>16.229406993031599</v>
      </c>
      <c r="AL5190">
        <v>80.831955989938905</v>
      </c>
      <c r="AM5190">
        <v>91.631039154431306</v>
      </c>
      <c r="AN5190">
        <v>0.99999999876332601</v>
      </c>
    </row>
    <row r="5191" spans="1:40" x14ac:dyDescent="0.25">
      <c r="A5191" t="str">
        <f>"20190303162924958"</f>
        <v>20190303162924958</v>
      </c>
      <c r="B5191" t="str">
        <f>"1551601764947547"</f>
        <v>1551601764947547</v>
      </c>
      <c r="C5191" t="s">
        <v>40</v>
      </c>
      <c r="D5191">
        <v>5.0528110000000002</v>
      </c>
      <c r="E5191">
        <v>0.53876139999999995</v>
      </c>
      <c r="F5191" t="s">
        <v>41</v>
      </c>
      <c r="G5191">
        <v>-357.72629999999998</v>
      </c>
      <c r="H5191" s="1">
        <v>-1.6009559999999899E-6</v>
      </c>
      <c r="I5191">
        <v>16.454979999999999</v>
      </c>
      <c r="J5191">
        <v>-373.60879999999997</v>
      </c>
      <c r="K5191">
        <v>1.122101</v>
      </c>
      <c r="L5191">
        <v>18.181059999999999</v>
      </c>
      <c r="M5191">
        <v>0.99926999999999999</v>
      </c>
      <c r="N5191">
        <v>-1.204423E-2</v>
      </c>
      <c r="O5191">
        <v>-3.6255999999999997E-2</v>
      </c>
      <c r="P5191">
        <v>0.98930779999999996</v>
      </c>
      <c r="Q5191">
        <v>0.14559420000000001</v>
      </c>
      <c r="R5191">
        <v>-8.5182230000000001E-3</v>
      </c>
      <c r="S5191">
        <v>3.06189</v>
      </c>
      <c r="T5191">
        <v>-0.2123612</v>
      </c>
      <c r="U5191">
        <v>-0.32852170000000003</v>
      </c>
      <c r="V5191">
        <v>-2.7740620000000001E-2</v>
      </c>
      <c r="W5191">
        <v>0.15742799999999901</v>
      </c>
      <c r="X5191">
        <v>0.98714080000000004</v>
      </c>
      <c r="Y5191">
        <v>7.0421849999999994E-2</v>
      </c>
      <c r="Z5191">
        <v>-7.9064229999999895E-4</v>
      </c>
      <c r="AA5191">
        <v>0.99751699999999999</v>
      </c>
      <c r="AB5191">
        <v>32</v>
      </c>
      <c r="AC5191">
        <v>15.882499999999901</v>
      </c>
      <c r="AD5191">
        <v>-1.122102600956</v>
      </c>
      <c r="AE5191">
        <v>-1.7260800000000001</v>
      </c>
      <c r="AF5191">
        <v>1.14342659127957</v>
      </c>
      <c r="AG5191">
        <v>-1.122102600956</v>
      </c>
      <c r="AH5191">
        <v>15.856418829384999</v>
      </c>
      <c r="AI5191">
        <v>94.037422333511401</v>
      </c>
      <c r="AJ5191">
        <v>85.875467594175603</v>
      </c>
      <c r="AK5191">
        <v>15.9371439320097</v>
      </c>
      <c r="AL5191">
        <v>80.942360804551697</v>
      </c>
      <c r="AM5191">
        <v>91.609701721607095</v>
      </c>
      <c r="AN5191">
        <v>1.0000000381033101</v>
      </c>
    </row>
    <row r="5192" spans="1:40" x14ac:dyDescent="0.25">
      <c r="A5192" t="str">
        <f>"20190303162924969"</f>
        <v>20190303162924969</v>
      </c>
      <c r="B5192" t="str">
        <f>"1551601764957308"</f>
        <v>1551601764957308</v>
      </c>
      <c r="C5192" t="s">
        <v>40</v>
      </c>
      <c r="D5192">
        <v>5.1159470000000002</v>
      </c>
      <c r="E5192">
        <v>0.52584180000000003</v>
      </c>
      <c r="F5192" t="s">
        <v>41</v>
      </c>
      <c r="G5192">
        <v>-359.0831</v>
      </c>
      <c r="H5192" s="1">
        <v>-1.0874040000000001E-6</v>
      </c>
      <c r="I5192">
        <v>16.649699999999999</v>
      </c>
      <c r="J5192">
        <v>-373.44060000000002</v>
      </c>
      <c r="K5192">
        <v>1.1220650000000001</v>
      </c>
      <c r="L5192">
        <v>18.175509999999999</v>
      </c>
      <c r="M5192">
        <v>0.99929000000000001</v>
      </c>
      <c r="N5192">
        <v>-1.204117E-2</v>
      </c>
      <c r="O5192">
        <v>-3.570069E-2</v>
      </c>
      <c r="P5192">
        <v>0.98945090000000002</v>
      </c>
      <c r="Q5192">
        <v>0.14463760000000001</v>
      </c>
      <c r="R5192">
        <v>-8.1827040000000007E-3</v>
      </c>
      <c r="S5192">
        <v>3.0645449999999999</v>
      </c>
      <c r="T5192">
        <v>-0.2367349</v>
      </c>
      <c r="U5192">
        <v>-0.32305909999999999</v>
      </c>
      <c r="V5192">
        <v>-2.751466E-2</v>
      </c>
      <c r="W5192">
        <v>0.15647349999999999</v>
      </c>
      <c r="X5192">
        <v>0.98729880000000003</v>
      </c>
      <c r="Y5192">
        <v>6.9103289999999998E-2</v>
      </c>
      <c r="Z5192">
        <v>-7.5969449999999995E-4</v>
      </c>
      <c r="AA5192">
        <v>0.99760919999999997</v>
      </c>
      <c r="AB5192">
        <v>32</v>
      </c>
      <c r="AC5192">
        <v>14.3575</v>
      </c>
      <c r="AD5192">
        <v>-1.1220660874039901</v>
      </c>
      <c r="AE5192">
        <v>-1.5258100000000001</v>
      </c>
      <c r="AF5192">
        <v>1.0061507261075999</v>
      </c>
      <c r="AG5192">
        <v>-1.1220660874039901</v>
      </c>
      <c r="AH5192">
        <v>14.3163587554857</v>
      </c>
      <c r="AI5192">
        <v>94.470499242275196</v>
      </c>
      <c r="AJ5192">
        <v>85.979874596148306</v>
      </c>
      <c r="AK5192">
        <v>14.395468023093899</v>
      </c>
      <c r="AL5192">
        <v>80.997735272550003</v>
      </c>
      <c r="AM5192">
        <v>91.596341406078096</v>
      </c>
      <c r="AN5192">
        <v>0.99999996659930201</v>
      </c>
    </row>
    <row r="5193" spans="1:40" x14ac:dyDescent="0.25">
      <c r="A5193" t="str">
        <f>"20190303162924981"</f>
        <v>20190303162924981</v>
      </c>
      <c r="B5193" t="str">
        <f>"1551601764967068"</f>
        <v>1551601764967068</v>
      </c>
      <c r="C5193" t="s">
        <v>40</v>
      </c>
      <c r="D5193">
        <v>5.1439409999999999</v>
      </c>
      <c r="E5193">
        <v>0.52498599999999995</v>
      </c>
      <c r="F5193" t="s">
        <v>44</v>
      </c>
      <c r="G5193">
        <v>-372.57659999999998</v>
      </c>
      <c r="H5193">
        <v>0.93035639999999997</v>
      </c>
      <c r="I5193">
        <v>18.11674</v>
      </c>
      <c r="J5193">
        <v>-373.27550000000002</v>
      </c>
      <c r="K5193">
        <v>1.122031</v>
      </c>
      <c r="L5193">
        <v>18.17014</v>
      </c>
      <c r="M5193">
        <v>0.9993088</v>
      </c>
      <c r="N5193">
        <v>-1.203824E-2</v>
      </c>
      <c r="O5193">
        <v>-3.5174490000000003E-2</v>
      </c>
      <c r="P5193">
        <v>0.98954160000000002</v>
      </c>
      <c r="Q5193">
        <v>0.144045799999999</v>
      </c>
      <c r="R5193">
        <v>-7.6459269999999899E-3</v>
      </c>
      <c r="S5193">
        <v>3.1318359999999998</v>
      </c>
      <c r="T5193">
        <v>-0.69493629999999995</v>
      </c>
      <c r="U5193">
        <v>-0.21154790000000001</v>
      </c>
      <c r="V5193">
        <v>-2.7517750000000001E-2</v>
      </c>
      <c r="W5193">
        <v>0.15588189999999999</v>
      </c>
      <c r="X5193">
        <v>0.9873923</v>
      </c>
      <c r="Y5193">
        <v>3.2193659999999999E-2</v>
      </c>
      <c r="Z5193">
        <v>3.5594810000000002E-3</v>
      </c>
      <c r="AA5193">
        <v>0.99947529999999996</v>
      </c>
      <c r="AB5193">
        <v>32</v>
      </c>
      <c r="AC5193">
        <v>0.69890000000003705</v>
      </c>
      <c r="AD5193">
        <v>-0.191674599999999</v>
      </c>
      <c r="AE5193">
        <v>-5.3399999999999802E-2</v>
      </c>
      <c r="AF5193">
        <v>2.6779236013277301E-2</v>
      </c>
      <c r="AG5193">
        <v>-0.191674599999999</v>
      </c>
      <c r="AH5193">
        <v>0.65161941578070204</v>
      </c>
      <c r="AI5193">
        <v>106.378223901448</v>
      </c>
      <c r="AJ5193">
        <v>87.6466718918618</v>
      </c>
      <c r="AK5193">
        <v>0.67975300130929805</v>
      </c>
      <c r="AL5193">
        <v>81.032052630071803</v>
      </c>
      <c r="AM5193">
        <v>91.596369485971294</v>
      </c>
      <c r="AN5193">
        <v>0.99999997370598004</v>
      </c>
    </row>
    <row r="5194" spans="1:40" x14ac:dyDescent="0.25">
      <c r="A5194" t="str">
        <f>"20190303162924995"</f>
        <v>20190303162924995</v>
      </c>
      <c r="B5194" t="str">
        <f>"1551601764987453"</f>
        <v>1551601764987453</v>
      </c>
      <c r="C5194" t="s">
        <v>40</v>
      </c>
      <c r="D5194">
        <v>5.0745990000000001</v>
      </c>
      <c r="E5194">
        <v>0.52473510000000001</v>
      </c>
      <c r="F5194" t="s">
        <v>44</v>
      </c>
      <c r="G5194">
        <v>-372.57089999999999</v>
      </c>
      <c r="H5194">
        <v>0.94130130000000001</v>
      </c>
      <c r="I5194">
        <v>18.12452</v>
      </c>
      <c r="J5194">
        <v>-373.07810000000001</v>
      </c>
      <c r="K5194">
        <v>1.121985</v>
      </c>
      <c r="L5194">
        <v>18.163820000000001</v>
      </c>
      <c r="M5194">
        <v>0.99932889999999996</v>
      </c>
      <c r="N5194">
        <v>-1.203514E-2</v>
      </c>
      <c r="O5194">
        <v>-3.4597030000000001E-2</v>
      </c>
      <c r="P5194">
        <v>0.98954520000000001</v>
      </c>
      <c r="Q5194">
        <v>0.14404249999999999</v>
      </c>
      <c r="R5194">
        <v>-7.2207069999999998E-3</v>
      </c>
      <c r="S5194">
        <v>3.1477050000000002</v>
      </c>
      <c r="T5194">
        <v>-0.80751049999999902</v>
      </c>
      <c r="U5194">
        <v>-0.20202639999999999</v>
      </c>
      <c r="V5194">
        <v>-2.7352029999999999E-2</v>
      </c>
      <c r="W5194">
        <v>0.15587960000000001</v>
      </c>
      <c r="X5194">
        <v>0.98739730000000003</v>
      </c>
      <c r="Y5194">
        <v>2.9498960000000001E-2</v>
      </c>
      <c r="Z5194">
        <v>4.4114389999999996E-3</v>
      </c>
      <c r="AA5194">
        <v>0.99955510000000003</v>
      </c>
      <c r="AB5194">
        <v>32</v>
      </c>
      <c r="AC5194">
        <v>0.50720000000001098</v>
      </c>
      <c r="AD5194">
        <v>-0.180683699999999</v>
      </c>
      <c r="AE5194">
        <v>-3.9300000000000702E-2</v>
      </c>
      <c r="AF5194">
        <v>1.9293723575169199E-2</v>
      </c>
      <c r="AG5194">
        <v>-0.180683699999999</v>
      </c>
      <c r="AH5194">
        <v>0.45132269376487799</v>
      </c>
      <c r="AI5194">
        <v>111.800287557118</v>
      </c>
      <c r="AJ5194">
        <v>87.552136683100599</v>
      </c>
      <c r="AK5194">
        <v>0.48652956860017399</v>
      </c>
      <c r="AL5194">
        <v>81.032186329980505</v>
      </c>
      <c r="AM5194">
        <v>91.586752577298398</v>
      </c>
      <c r="AN5194">
        <v>1.0000000056442799</v>
      </c>
    </row>
    <row r="5195" spans="1:40" x14ac:dyDescent="0.25">
      <c r="A5195" t="str">
        <f>"20190303162925013"</f>
        <v>20190303162925013</v>
      </c>
      <c r="B5195" t="str">
        <f>"1551601765006973"</f>
        <v>1551601765006973</v>
      </c>
      <c r="C5195" t="s">
        <v>40</v>
      </c>
      <c r="D5195">
        <v>5.1010960000000001</v>
      </c>
      <c r="E5195">
        <v>0.52504589999999995</v>
      </c>
      <c r="F5195" t="s">
        <v>44</v>
      </c>
      <c r="G5195">
        <v>-372.3082</v>
      </c>
      <c r="H5195">
        <v>0.89530379999999998</v>
      </c>
      <c r="I5195">
        <v>18.115790000000001</v>
      </c>
      <c r="J5195">
        <v>-372.81270000000001</v>
      </c>
      <c r="K5195">
        <v>1.1219209999999999</v>
      </c>
      <c r="L5195">
        <v>18.155429999999999</v>
      </c>
      <c r="M5195">
        <v>0.99935350000000001</v>
      </c>
      <c r="N5195">
        <v>-1.203124E-2</v>
      </c>
      <c r="O5195">
        <v>-3.3880840000000002E-2</v>
      </c>
      <c r="P5195">
        <v>0.98943999999999999</v>
      </c>
      <c r="Q5195">
        <v>0.14478369999999999</v>
      </c>
      <c r="R5195">
        <v>-6.8240979999999998E-3</v>
      </c>
      <c r="S5195">
        <v>3.1659549999999999</v>
      </c>
      <c r="T5195">
        <v>-0.93211359999999999</v>
      </c>
      <c r="U5195">
        <v>-0.1973877</v>
      </c>
      <c r="V5195">
        <v>-2.7011230000000001E-2</v>
      </c>
      <c r="W5195">
        <v>0.15662089999999901</v>
      </c>
      <c r="X5195">
        <v>0.98728939999999998</v>
      </c>
      <c r="Y5195">
        <v>2.8436329999999999E-2</v>
      </c>
      <c r="Z5195">
        <v>5.0853909999999999E-3</v>
      </c>
      <c r="AA5195">
        <v>0.99958259999999999</v>
      </c>
      <c r="AB5195">
        <v>32</v>
      </c>
      <c r="AC5195">
        <v>0.50450000000000705</v>
      </c>
      <c r="AD5195">
        <v>-0.22661719999999899</v>
      </c>
      <c r="AE5195">
        <v>-3.9639999999998503E-2</v>
      </c>
      <c r="AF5195">
        <v>1.8760899105980201E-2</v>
      </c>
      <c r="AG5195">
        <v>-0.22661719999999899</v>
      </c>
      <c r="AH5195">
        <v>0.42110675485344301</v>
      </c>
      <c r="AI5195">
        <v>118.26307055102301</v>
      </c>
      <c r="AJ5195">
        <v>87.449079135704807</v>
      </c>
      <c r="AK5195">
        <v>0.47857938281365803</v>
      </c>
      <c r="AL5195">
        <v>80.989185078304203</v>
      </c>
      <c r="AM5195">
        <v>91.567163094370798</v>
      </c>
      <c r="AN5195">
        <v>1.00000003610764</v>
      </c>
    </row>
    <row r="5196" spans="1:40" x14ac:dyDescent="0.25">
      <c r="A5196" t="str">
        <f>"20190303162925025"</f>
        <v>20190303162925025</v>
      </c>
      <c r="B5196" t="str">
        <f>"1551601765016733"</f>
        <v>1551601765016733</v>
      </c>
      <c r="C5196" t="s">
        <v>40</v>
      </c>
      <c r="D5196">
        <v>5.1179220000000001</v>
      </c>
      <c r="E5196">
        <v>0.52530779999999999</v>
      </c>
      <c r="F5196" t="s">
        <v>44</v>
      </c>
      <c r="G5196">
        <v>-372.03109999999998</v>
      </c>
      <c r="H5196">
        <v>0.88087669999999996</v>
      </c>
      <c r="I5196">
        <v>18.106629999999999</v>
      </c>
      <c r="J5196">
        <v>-372.64949999999999</v>
      </c>
      <c r="K5196">
        <v>1.121877</v>
      </c>
      <c r="L5196">
        <v>18.150269999999999</v>
      </c>
      <c r="M5196">
        <v>0.99936740000000002</v>
      </c>
      <c r="N5196">
        <v>-1.2029E-2</v>
      </c>
      <c r="O5196">
        <v>-3.3473339999999997E-2</v>
      </c>
      <c r="P5196">
        <v>0.98940890000000004</v>
      </c>
      <c r="Q5196">
        <v>0.14500489999999999</v>
      </c>
      <c r="R5196">
        <v>-6.6160119999999897E-3</v>
      </c>
      <c r="S5196">
        <v>3.1739199999999999</v>
      </c>
      <c r="T5196">
        <v>-0.9787652</v>
      </c>
      <c r="U5196">
        <v>-0.19711300000000001</v>
      </c>
      <c r="V5196">
        <v>-2.6797950000000001E-2</v>
      </c>
      <c r="W5196">
        <v>0.1568426</v>
      </c>
      <c r="X5196">
        <v>0.98726000000000003</v>
      </c>
      <c r="Y5196">
        <v>2.859109E-2</v>
      </c>
      <c r="Z5196">
        <v>5.2006509999999997E-3</v>
      </c>
      <c r="AA5196">
        <v>0.99957759999999996</v>
      </c>
      <c r="AB5196">
        <v>32</v>
      </c>
      <c r="AC5196">
        <v>0.61840000000000805</v>
      </c>
      <c r="AD5196">
        <v>-0.2410003</v>
      </c>
      <c r="AE5196">
        <v>-4.3640000000003398E-2</v>
      </c>
      <c r="AF5196">
        <v>1.9905845602030101E-2</v>
      </c>
      <c r="AG5196">
        <v>-0.2410003</v>
      </c>
      <c r="AH5196">
        <v>0.53818119268956099</v>
      </c>
      <c r="AI5196">
        <v>114.108474578127</v>
      </c>
      <c r="AJ5196">
        <v>87.881751939017605</v>
      </c>
      <c r="AK5196">
        <v>0.59001388411967104</v>
      </c>
      <c r="AL5196">
        <v>80.976323501189697</v>
      </c>
      <c r="AM5196">
        <v>91.5548411897107</v>
      </c>
      <c r="AN5196">
        <v>1.00000001944948</v>
      </c>
    </row>
    <row r="5197" spans="1:40" x14ac:dyDescent="0.25">
      <c r="A5197" t="str">
        <f>"20190303162925037"</f>
        <v>20190303162925037</v>
      </c>
      <c r="B5197" t="str">
        <f>"1551601765027469"</f>
        <v>1551601765027469</v>
      </c>
      <c r="C5197" t="s">
        <v>40</v>
      </c>
      <c r="D5197">
        <v>5.1174419999999996</v>
      </c>
      <c r="E5197">
        <v>0.52582280000000003</v>
      </c>
      <c r="F5197" t="s">
        <v>44</v>
      </c>
      <c r="G5197">
        <v>-371.7627</v>
      </c>
      <c r="H5197">
        <v>0.84593839999999998</v>
      </c>
      <c r="I5197">
        <v>18.094799999999999</v>
      </c>
      <c r="J5197">
        <v>-372.47579999999999</v>
      </c>
      <c r="K5197">
        <v>1.1218319999999999</v>
      </c>
      <c r="L5197">
        <v>18.1449</v>
      </c>
      <c r="M5197">
        <v>0.99938039999999995</v>
      </c>
      <c r="N5197">
        <v>-1.202695E-2</v>
      </c>
      <c r="O5197">
        <v>-3.3082819999999999E-2</v>
      </c>
      <c r="P5197">
        <v>0.98936999999999997</v>
      </c>
      <c r="Q5197">
        <v>0.1452726</v>
      </c>
      <c r="R5197">
        <v>-6.5629410000000001E-3</v>
      </c>
      <c r="S5197">
        <v>3.1755979999999999</v>
      </c>
      <c r="T5197">
        <v>-0.98815980000000003</v>
      </c>
      <c r="U5197">
        <v>-0.19854740000000001</v>
      </c>
      <c r="V5197">
        <v>-2.644562E-2</v>
      </c>
      <c r="W5197">
        <v>0.1571121</v>
      </c>
      <c r="X5197">
        <v>0.98722670000000001</v>
      </c>
      <c r="Y5197">
        <v>2.9347189999999999E-2</v>
      </c>
      <c r="Z5197">
        <v>5.0173359999999998E-3</v>
      </c>
      <c r="AA5197">
        <v>0.99955669999999996</v>
      </c>
      <c r="AB5197">
        <v>32</v>
      </c>
      <c r="AC5197">
        <v>0.71309999999999696</v>
      </c>
      <c r="AD5197">
        <v>-0.27589360000000002</v>
      </c>
      <c r="AE5197">
        <v>-5.0100000000000401E-2</v>
      </c>
      <c r="AF5197">
        <v>2.30466798417212E-2</v>
      </c>
      <c r="AG5197">
        <v>-0.27589360000000002</v>
      </c>
      <c r="AH5197">
        <v>0.62175589134064102</v>
      </c>
      <c r="AI5197">
        <v>113.913861183091</v>
      </c>
      <c r="AJ5197">
        <v>87.877184216270606</v>
      </c>
      <c r="AK5197">
        <v>0.68060915097395003</v>
      </c>
      <c r="AL5197">
        <v>80.960688909325597</v>
      </c>
      <c r="AM5197">
        <v>91.534460255825607</v>
      </c>
      <c r="AN5197">
        <v>1.0000000699882301</v>
      </c>
    </row>
    <row r="5198" spans="1:40" x14ac:dyDescent="0.25">
      <c r="A5198" t="str">
        <f>"20190303162925049"</f>
        <v>20190303162925049</v>
      </c>
      <c r="B5198" t="str">
        <f>"1551601765046990"</f>
        <v>1551601765046990</v>
      </c>
      <c r="C5198" t="s">
        <v>40</v>
      </c>
      <c r="D5198">
        <v>5.1339160000000001</v>
      </c>
      <c r="E5198">
        <v>0.52660629999999997</v>
      </c>
      <c r="F5198" t="s">
        <v>44</v>
      </c>
      <c r="G5198">
        <v>-371.74220000000003</v>
      </c>
      <c r="H5198">
        <v>0.89352619999999905</v>
      </c>
      <c r="I5198">
        <v>18.098109999999998</v>
      </c>
      <c r="J5198">
        <v>-372.30959999999999</v>
      </c>
      <c r="K5198">
        <v>1.121788</v>
      </c>
      <c r="L5198">
        <v>18.139769999999999</v>
      </c>
      <c r="M5198">
        <v>0.99939169999999999</v>
      </c>
      <c r="N5198">
        <v>-1.2025030000000001E-2</v>
      </c>
      <c r="O5198">
        <v>-3.2737830000000002E-2</v>
      </c>
      <c r="P5198">
        <v>0.98934049999999996</v>
      </c>
      <c r="Q5198">
        <v>0.14548910000000001</v>
      </c>
      <c r="R5198">
        <v>-6.2125560000000002E-3</v>
      </c>
      <c r="S5198">
        <v>3.1760250000000001</v>
      </c>
      <c r="T5198">
        <v>-0.98848409999999998</v>
      </c>
      <c r="U5198">
        <v>-0.2024841</v>
      </c>
      <c r="V5198">
        <v>-2.6435750000000001E-2</v>
      </c>
      <c r="W5198">
        <v>0.1573291</v>
      </c>
      <c r="X5198">
        <v>0.98719230000000002</v>
      </c>
      <c r="Y5198">
        <v>3.0830260000000002E-2</v>
      </c>
      <c r="Z5198">
        <v>4.6831930000000004E-3</v>
      </c>
      <c r="AA5198">
        <v>0.99951369999999895</v>
      </c>
      <c r="AB5198">
        <v>32</v>
      </c>
      <c r="AC5198">
        <v>0.56739999999996305</v>
      </c>
      <c r="AD5198">
        <v>-0.22826179999999999</v>
      </c>
      <c r="AE5198">
        <v>-4.1660000000000197E-2</v>
      </c>
      <c r="AF5198">
        <v>1.9863408120532899E-2</v>
      </c>
      <c r="AG5198">
        <v>-0.22826179999999999</v>
      </c>
      <c r="AH5198">
        <v>0.48964084579981498</v>
      </c>
      <c r="AI5198">
        <v>114.97605563237499</v>
      </c>
      <c r="AJ5198">
        <v>87.676938602363705</v>
      </c>
      <c r="AK5198">
        <v>0.54059796725196896</v>
      </c>
      <c r="AL5198">
        <v>80.948098203366598</v>
      </c>
      <c r="AM5198">
        <v>91.533941264985401</v>
      </c>
      <c r="AN5198">
        <v>0.99999996588207996</v>
      </c>
    </row>
    <row r="5199" spans="1:40" x14ac:dyDescent="0.25">
      <c r="A5199" t="str">
        <f>"20190303162925069"</f>
        <v>20190303162925069</v>
      </c>
      <c r="B5199" t="str">
        <f>"1551601765056748"</f>
        <v>1551601765056748</v>
      </c>
      <c r="C5199" t="s">
        <v>40</v>
      </c>
      <c r="D5199">
        <v>5.1486400000000003</v>
      </c>
      <c r="E5199">
        <v>0.52683990000000003</v>
      </c>
      <c r="F5199" t="s">
        <v>44</v>
      </c>
      <c r="G5199">
        <v>-371.47309999999999</v>
      </c>
      <c r="H5199">
        <v>0.86107160000000005</v>
      </c>
      <c r="I5199">
        <v>18.084489999999999</v>
      </c>
      <c r="J5199">
        <v>-372.03879999999998</v>
      </c>
      <c r="K5199">
        <v>1.1217029999999999</v>
      </c>
      <c r="L5199">
        <v>18.13147</v>
      </c>
      <c r="M5199">
        <v>0.99940790000000002</v>
      </c>
      <c r="N5199">
        <v>-1.2022120000000001E-2</v>
      </c>
      <c r="O5199">
        <v>-3.2241609999999997E-2</v>
      </c>
      <c r="P5199">
        <v>0.98933590000000005</v>
      </c>
      <c r="Q5199">
        <v>0.1455226</v>
      </c>
      <c r="R5199">
        <v>-6.1388149999999997E-3</v>
      </c>
      <c r="S5199">
        <v>3.1766359999999998</v>
      </c>
      <c r="T5199">
        <v>-0.99011280000000002</v>
      </c>
      <c r="U5199">
        <v>-0.20828250000000001</v>
      </c>
      <c r="V5199">
        <v>-2.598746E-2</v>
      </c>
      <c r="W5199">
        <v>0.15736539999999999</v>
      </c>
      <c r="X5199">
        <v>0.98719849999999998</v>
      </c>
      <c r="Y5199">
        <v>3.3002759999999999E-2</v>
      </c>
      <c r="Z5199">
        <v>4.2015639999999996E-3</v>
      </c>
      <c r="AA5199">
        <v>0.99944650000000002</v>
      </c>
      <c r="AB5199">
        <v>32</v>
      </c>
      <c r="AC5199">
        <v>0.56569999999999199</v>
      </c>
      <c r="AD5199">
        <v>-0.26063140000000001</v>
      </c>
      <c r="AE5199">
        <v>-4.6980000000001298E-2</v>
      </c>
      <c r="AF5199">
        <v>2.3715628516753001E-2</v>
      </c>
      <c r="AG5199">
        <v>-0.26063140000000001</v>
      </c>
      <c r="AH5199">
        <v>0.46821512671675702</v>
      </c>
      <c r="AI5199">
        <v>119.07126456583001</v>
      </c>
      <c r="AJ5199">
        <v>87.100381623043901</v>
      </c>
      <c r="AK5199">
        <v>0.53639217237791004</v>
      </c>
      <c r="AL5199">
        <v>80.945992879781102</v>
      </c>
      <c r="AM5199">
        <v>91.507931768772806</v>
      </c>
      <c r="AN5199">
        <v>1.00000004779832</v>
      </c>
    </row>
    <row r="5200" spans="1:40" x14ac:dyDescent="0.25">
      <c r="A5200" t="str">
        <f>"20190303162925080"</f>
        <v>20190303162925080</v>
      </c>
      <c r="B5200" t="str">
        <f>"1551601765067485"</f>
        <v>1551601765067485</v>
      </c>
      <c r="C5200" t="s">
        <v>40</v>
      </c>
      <c r="D5200">
        <v>5.1089820000000001</v>
      </c>
      <c r="E5200">
        <v>0.52695899999999996</v>
      </c>
      <c r="F5200" t="s">
        <v>44</v>
      </c>
      <c r="G5200">
        <v>-371.19119999999998</v>
      </c>
      <c r="H5200">
        <v>0.85716749999999997</v>
      </c>
      <c r="I5200">
        <v>18.074649999999998</v>
      </c>
      <c r="J5200">
        <v>-371.87830000000002</v>
      </c>
      <c r="K5200">
        <v>1.1216549999999901</v>
      </c>
      <c r="L5200">
        <v>18.126560000000001</v>
      </c>
      <c r="M5200">
        <v>0.99941610000000003</v>
      </c>
      <c r="N5200">
        <v>-1.2020589999999999E-2</v>
      </c>
      <c r="O5200">
        <v>-3.1985439999999997E-2</v>
      </c>
      <c r="P5200">
        <v>0.98938570000000003</v>
      </c>
      <c r="Q5200">
        <v>0.14518200000000001</v>
      </c>
      <c r="R5200">
        <v>-6.1945580000000002E-3</v>
      </c>
      <c r="S5200">
        <v>3.1768800000000001</v>
      </c>
      <c r="T5200">
        <v>-0.99148139999999996</v>
      </c>
      <c r="U5200">
        <v>-0.21191409999999999</v>
      </c>
      <c r="V5200">
        <v>-2.5661699999999999E-2</v>
      </c>
      <c r="W5200">
        <v>0.15702729999999901</v>
      </c>
      <c r="X5200">
        <v>0.98726080000000005</v>
      </c>
      <c r="Y5200">
        <v>3.4315279999999997E-2</v>
      </c>
      <c r="Z5200">
        <v>3.9245390000000003E-3</v>
      </c>
      <c r="AA5200">
        <v>0.99940340000000005</v>
      </c>
      <c r="AB5200">
        <v>32</v>
      </c>
      <c r="AC5200">
        <v>0.68710000000004301</v>
      </c>
      <c r="AD5200">
        <v>-0.26448749999999899</v>
      </c>
      <c r="AE5200">
        <v>-5.1910000000003002E-2</v>
      </c>
      <c r="AF5200">
        <v>2.6064503873795102E-2</v>
      </c>
      <c r="AG5200">
        <v>-0.26448749999999899</v>
      </c>
      <c r="AH5200">
        <v>0.60000815335379099</v>
      </c>
      <c r="AI5200">
        <v>113.768269617416</v>
      </c>
      <c r="AJ5200">
        <v>87.512620864352996</v>
      </c>
      <c r="AK5200">
        <v>0.65623378464497195</v>
      </c>
      <c r="AL5200">
        <v>80.965607942367001</v>
      </c>
      <c r="AM5200">
        <v>91.488944069141297</v>
      </c>
      <c r="AN5200">
        <v>0.99999999150440999</v>
      </c>
    </row>
    <row r="5201" spans="1:40" x14ac:dyDescent="0.25">
      <c r="A5201" t="str">
        <f>"20190303162925091"</f>
        <v>20190303162925091</v>
      </c>
      <c r="B5201" t="str">
        <f>"1551601765087005"</f>
        <v>1551601765087005</v>
      </c>
      <c r="C5201" t="s">
        <v>40</v>
      </c>
      <c r="D5201">
        <v>5.1249690000000001</v>
      </c>
      <c r="E5201">
        <v>0.52714220000000001</v>
      </c>
      <c r="F5201" t="s">
        <v>44</v>
      </c>
      <c r="G5201">
        <v>-371.17230000000001</v>
      </c>
      <c r="H5201">
        <v>0.90059339999999999</v>
      </c>
      <c r="I5201">
        <v>18.078510000000001</v>
      </c>
      <c r="J5201">
        <v>-371.71249999999998</v>
      </c>
      <c r="K5201">
        <v>1.1216079999999999</v>
      </c>
      <c r="L5201">
        <v>18.12152</v>
      </c>
      <c r="M5201">
        <v>0.99942339999999996</v>
      </c>
      <c r="N5201">
        <v>-1.2019159999999999E-2</v>
      </c>
      <c r="O5201">
        <v>-3.1757790000000001E-2</v>
      </c>
      <c r="P5201">
        <v>0.98939589999999999</v>
      </c>
      <c r="Q5201">
        <v>0.14510590000000001</v>
      </c>
      <c r="R5201">
        <v>-6.3491609999999999E-3</v>
      </c>
      <c r="S5201">
        <v>3.1768190000000001</v>
      </c>
      <c r="T5201">
        <v>-0.99478089999999997</v>
      </c>
      <c r="U5201">
        <v>-0.21496580000000001</v>
      </c>
      <c r="V5201">
        <v>-2.5263730000000002E-2</v>
      </c>
      <c r="W5201">
        <v>0.15695379999999901</v>
      </c>
      <c r="X5201">
        <v>0.98728280000000002</v>
      </c>
      <c r="Y5201">
        <v>3.5433230000000003E-2</v>
      </c>
      <c r="Z5201">
        <v>3.6944220000000002E-3</v>
      </c>
      <c r="AA5201">
        <v>0.99936519999999995</v>
      </c>
      <c r="AB5201">
        <v>32</v>
      </c>
      <c r="AC5201">
        <v>0.54019999999997004</v>
      </c>
      <c r="AD5201">
        <v>-0.22101459999999901</v>
      </c>
      <c r="AE5201">
        <v>-4.3009999999998799E-2</v>
      </c>
      <c r="AF5201">
        <v>2.2147552634350001E-2</v>
      </c>
      <c r="AG5201">
        <v>-0.22101459999999901</v>
      </c>
      <c r="AH5201">
        <v>0.46409705170994298</v>
      </c>
      <c r="AI5201">
        <v>115.439667381276</v>
      </c>
      <c r="AJ5201">
        <v>87.267814343509201</v>
      </c>
      <c r="AK5201">
        <v>0.51451340206715002</v>
      </c>
      <c r="AL5201">
        <v>80.969872491815096</v>
      </c>
      <c r="AM5201">
        <v>91.465830543627604</v>
      </c>
      <c r="AN5201">
        <v>1.00000003928189</v>
      </c>
    </row>
    <row r="5202" spans="1:40" x14ac:dyDescent="0.25">
      <c r="A5202" t="str">
        <f>"20190303162925104"</f>
        <v>20190303162925104</v>
      </c>
      <c r="B5202" t="str">
        <f>"1551601765096766"</f>
        <v>1551601765096766</v>
      </c>
      <c r="C5202" t="s">
        <v>40</v>
      </c>
      <c r="D5202">
        <v>5.1603659999999998</v>
      </c>
      <c r="E5202">
        <v>0.52719709999999997</v>
      </c>
      <c r="F5202" t="s">
        <v>44</v>
      </c>
      <c r="G5202">
        <v>-370.90339999999998</v>
      </c>
      <c r="H5202">
        <v>0.86759390000000003</v>
      </c>
      <c r="I5202">
        <v>18.065539999999999</v>
      </c>
      <c r="J5202">
        <v>-371.53019999999998</v>
      </c>
      <c r="K5202">
        <v>1.121556</v>
      </c>
      <c r="L5202">
        <v>18.116</v>
      </c>
      <c r="M5202">
        <v>0.99943070000000001</v>
      </c>
      <c r="N5202">
        <v>-1.2017669999999999E-2</v>
      </c>
      <c r="O5202">
        <v>-3.1528889999999997E-2</v>
      </c>
      <c r="P5202">
        <v>0.98941270000000003</v>
      </c>
      <c r="Q5202">
        <v>0.14496689999999901</v>
      </c>
      <c r="R5202">
        <v>-6.8908499999999996E-3</v>
      </c>
      <c r="S5202">
        <v>3.1770320000000001</v>
      </c>
      <c r="T5202">
        <v>-0.99742010000000003</v>
      </c>
      <c r="U5202">
        <v>-0.21871950000000001</v>
      </c>
      <c r="V5202">
        <v>-2.4475710000000001E-2</v>
      </c>
      <c r="W5202">
        <v>0.15681819999999999</v>
      </c>
      <c r="X5202">
        <v>0.98732419999999999</v>
      </c>
      <c r="Y5202">
        <v>3.6755540000000003E-2</v>
      </c>
      <c r="Z5202">
        <v>3.426929E-3</v>
      </c>
      <c r="AA5202">
        <v>0.99931840000000005</v>
      </c>
      <c r="AB5202">
        <v>32</v>
      </c>
      <c r="AC5202">
        <v>0.62680000000000202</v>
      </c>
      <c r="AD5202">
        <v>-0.25396210000000002</v>
      </c>
      <c r="AE5202">
        <v>-5.0460000000000997E-2</v>
      </c>
      <c r="AF5202">
        <v>2.6370024081030299E-2</v>
      </c>
      <c r="AG5202">
        <v>-0.25396210000000002</v>
      </c>
      <c r="AH5202">
        <v>0.540001095214522</v>
      </c>
      <c r="AI5202">
        <v>115.161297017363</v>
      </c>
      <c r="AJ5202">
        <v>87.204280116243197</v>
      </c>
      <c r="AK5202">
        <v>0.59732178031554095</v>
      </c>
      <c r="AL5202">
        <v>80.977739240408596</v>
      </c>
      <c r="AM5202">
        <v>91.420068221926201</v>
      </c>
      <c r="AN5202">
        <v>1.0000000420684401</v>
      </c>
    </row>
    <row r="5203" spans="1:40" x14ac:dyDescent="0.25">
      <c r="A5203" t="str">
        <f>"20190303162925118"</f>
        <v>20190303162925118</v>
      </c>
      <c r="B5203" t="str">
        <f>"1551601765107500"</f>
        <v>1551601765107500</v>
      </c>
      <c r="C5203" t="s">
        <v>40</v>
      </c>
      <c r="D5203">
        <v>5.1344190000000003</v>
      </c>
      <c r="E5203">
        <v>0.52721049999999903</v>
      </c>
      <c r="F5203" t="s">
        <v>44</v>
      </c>
      <c r="G5203">
        <v>-370.63159999999999</v>
      </c>
      <c r="H5203">
        <v>0.83931299999999898</v>
      </c>
      <c r="I5203">
        <v>18.052900000000001</v>
      </c>
      <c r="J5203">
        <v>-371.3424</v>
      </c>
      <c r="K5203">
        <v>1.12151</v>
      </c>
      <c r="L5203">
        <v>18.110289999999999</v>
      </c>
      <c r="M5203">
        <v>0.99943630000000006</v>
      </c>
      <c r="N5203">
        <v>-1.2016199999999999E-2</v>
      </c>
      <c r="O5203">
        <v>-3.1345669999999999E-2</v>
      </c>
      <c r="P5203">
        <v>0.98948590000000003</v>
      </c>
      <c r="Q5203">
        <v>0.14443129999999901</v>
      </c>
      <c r="R5203">
        <v>-7.5646559999999899E-3</v>
      </c>
      <c r="S5203">
        <v>3.176758</v>
      </c>
      <c r="T5203">
        <v>-0.99777910000000003</v>
      </c>
      <c r="U5203">
        <v>-0.22271730000000001</v>
      </c>
      <c r="V5203">
        <v>-2.360251E-2</v>
      </c>
      <c r="W5203">
        <v>0.15628599999999901</v>
      </c>
      <c r="X5203">
        <v>0.98742980000000002</v>
      </c>
      <c r="Y5203">
        <v>3.811983E-2</v>
      </c>
      <c r="Z5203">
        <v>3.1572029999999999E-3</v>
      </c>
      <c r="AA5203">
        <v>0.99926820000000005</v>
      </c>
      <c r="AB5203">
        <v>32</v>
      </c>
      <c r="AC5203">
        <v>0.71080000000000598</v>
      </c>
      <c r="AD5203">
        <v>-0.28219699999999998</v>
      </c>
      <c r="AE5203">
        <v>-5.7389999999997998E-2</v>
      </c>
      <c r="AF5203">
        <v>3.03300392187856E-2</v>
      </c>
      <c r="AG5203">
        <v>-0.28219699999999998</v>
      </c>
      <c r="AH5203">
        <v>0.61581407525453802</v>
      </c>
      <c r="AI5203">
        <v>114.593358163397</v>
      </c>
      <c r="AJ5203">
        <v>87.180350033734697</v>
      </c>
      <c r="AK5203">
        <v>0.67807229214119602</v>
      </c>
      <c r="AL5203">
        <v>81.008612361305197</v>
      </c>
      <c r="AM5203">
        <v>91.3692788550876</v>
      </c>
      <c r="AN5203">
        <v>1.00000000110117</v>
      </c>
    </row>
    <row r="5204" spans="1:40" x14ac:dyDescent="0.25">
      <c r="A5204" t="str">
        <f>"20190303162925137"</f>
        <v>20190303162925137</v>
      </c>
      <c r="B5204" t="str">
        <f>"1551601765127021"</f>
        <v>1551601765127021</v>
      </c>
      <c r="C5204" t="s">
        <v>40</v>
      </c>
      <c r="D5204">
        <v>5.1478900000000003</v>
      </c>
      <c r="E5204">
        <v>0.52744259999999998</v>
      </c>
      <c r="F5204" t="s">
        <v>44</v>
      </c>
      <c r="G5204">
        <v>-370.60969999999998</v>
      </c>
      <c r="H5204">
        <v>0.89080369999999998</v>
      </c>
      <c r="I5204">
        <v>18.057870000000001</v>
      </c>
      <c r="J5204">
        <v>-371.05829999999997</v>
      </c>
      <c r="K5204">
        <v>1.1214329999999999</v>
      </c>
      <c r="L5204">
        <v>18.101680000000002</v>
      </c>
      <c r="M5204">
        <v>0.99944319999999998</v>
      </c>
      <c r="N5204">
        <v>-1.2014489999999999E-2</v>
      </c>
      <c r="O5204">
        <v>-3.112753E-2</v>
      </c>
      <c r="P5204">
        <v>0.98947799999999997</v>
      </c>
      <c r="Q5204">
        <v>0.14429900000000001</v>
      </c>
      <c r="R5204">
        <v>-1.0542019999999999E-2</v>
      </c>
      <c r="S5204">
        <v>3.1761469999999998</v>
      </c>
      <c r="T5204">
        <v>-1.000065</v>
      </c>
      <c r="U5204">
        <v>-0.22683719999999999</v>
      </c>
      <c r="V5204">
        <v>-2.0379410000000001E-2</v>
      </c>
      <c r="W5204">
        <v>0.15615979999999999</v>
      </c>
      <c r="X5204">
        <v>0.98752150000000005</v>
      </c>
      <c r="Y5204">
        <v>3.9557380000000003E-2</v>
      </c>
      <c r="Z5204">
        <v>2.8720780000000001E-3</v>
      </c>
      <c r="AA5204">
        <v>0.99921320000000002</v>
      </c>
      <c r="AB5204">
        <v>32</v>
      </c>
      <c r="AC5204">
        <v>0.448599999999998</v>
      </c>
      <c r="AD5204">
        <v>-0.23062929999999901</v>
      </c>
      <c r="AE5204">
        <v>-4.3809999999996997E-2</v>
      </c>
      <c r="AF5204">
        <v>2.36358277982609E-2</v>
      </c>
      <c r="AG5204">
        <v>-0.23062929999999901</v>
      </c>
      <c r="AH5204">
        <v>0.35642925280166798</v>
      </c>
      <c r="AI5204">
        <v>122.84777967186901</v>
      </c>
      <c r="AJ5204">
        <v>86.206110025632697</v>
      </c>
      <c r="AK5204">
        <v>0.42519447153855799</v>
      </c>
      <c r="AL5204">
        <v>81.015932584024299</v>
      </c>
      <c r="AM5204">
        <v>91.1822410580791</v>
      </c>
      <c r="AN5204">
        <v>0.999999958225118</v>
      </c>
    </row>
    <row r="5205" spans="1:40" x14ac:dyDescent="0.25">
      <c r="A5205" t="str">
        <f>"20190303162925160"</f>
        <v>20190303162925160</v>
      </c>
      <c r="B5205" t="str">
        <f>"1551601765147516"</f>
        <v>1551601765147516</v>
      </c>
      <c r="C5205" t="s">
        <v>40</v>
      </c>
      <c r="D5205">
        <v>5.1463609999999997</v>
      </c>
      <c r="E5205">
        <v>0.52788740000000001</v>
      </c>
      <c r="F5205" t="s">
        <v>44</v>
      </c>
      <c r="G5205">
        <v>-370.3263</v>
      </c>
      <c r="H5205">
        <v>0.89061000000000001</v>
      </c>
      <c r="I5205">
        <v>18.045839999999998</v>
      </c>
      <c r="J5205">
        <v>-370.75740000000002</v>
      </c>
      <c r="K5205">
        <v>1.1213580000000001</v>
      </c>
      <c r="L5205">
        <v>18.09253</v>
      </c>
      <c r="M5205">
        <v>0.999448</v>
      </c>
      <c r="N5205">
        <v>-1.2013050000000001E-2</v>
      </c>
      <c r="O5205">
        <v>-3.097842E-2</v>
      </c>
      <c r="P5205">
        <v>0.98917219999999995</v>
      </c>
      <c r="Q5205">
        <v>0.1460111</v>
      </c>
      <c r="R5205">
        <v>-1.480856E-2</v>
      </c>
      <c r="S5205">
        <v>3.1752929999999999</v>
      </c>
      <c r="T5205">
        <v>-1.0011460000000001</v>
      </c>
      <c r="U5205">
        <v>-0.2409058</v>
      </c>
      <c r="V5205">
        <v>-1.5928709999999999E-2</v>
      </c>
      <c r="W5205">
        <v>0.15787490000000001</v>
      </c>
      <c r="X5205">
        <v>0.98733059999999995</v>
      </c>
      <c r="Y5205">
        <v>4.3902730000000001E-2</v>
      </c>
      <c r="Z5205">
        <v>2.137234E-3</v>
      </c>
      <c r="AA5205">
        <v>0.99903350000000002</v>
      </c>
      <c r="AB5205">
        <v>32</v>
      </c>
      <c r="AC5205">
        <v>0.43110000000001403</v>
      </c>
      <c r="AD5205">
        <v>-0.23074800000000001</v>
      </c>
      <c r="AE5205">
        <v>-4.6690000000001598E-2</v>
      </c>
      <c r="AF5205">
        <v>2.5960467503242698E-2</v>
      </c>
      <c r="AG5205">
        <v>-0.23074800000000001</v>
      </c>
      <c r="AH5205">
        <v>0.33692946646111199</v>
      </c>
      <c r="AI5205">
        <v>124.326496652768</v>
      </c>
      <c r="AJ5205">
        <v>85.594056526412004</v>
      </c>
      <c r="AK5205">
        <v>0.40919439236963701</v>
      </c>
      <c r="AL5205">
        <v>80.916430357039602</v>
      </c>
      <c r="AM5205">
        <v>90.924278745128106</v>
      </c>
      <c r="AN5205">
        <v>0.99999996077431597</v>
      </c>
    </row>
    <row r="5206" spans="1:40" x14ac:dyDescent="0.25">
      <c r="A5206" t="str">
        <f>"20190303162925171"</f>
        <v>20190303162925171</v>
      </c>
      <c r="B5206" t="str">
        <f>"1551601765167038"</f>
        <v>1551601765167038</v>
      </c>
      <c r="C5206" t="s">
        <v>40</v>
      </c>
      <c r="D5206">
        <v>5.1631539999999996</v>
      </c>
      <c r="E5206">
        <v>0.54032979999999997</v>
      </c>
      <c r="F5206" t="s">
        <v>44</v>
      </c>
      <c r="G5206">
        <v>-370.04</v>
      </c>
      <c r="H5206">
        <v>0.89705820000000003</v>
      </c>
      <c r="I5206">
        <v>18.033629999999999</v>
      </c>
      <c r="J5206">
        <v>-370.57929999999999</v>
      </c>
      <c r="K5206">
        <v>1.1213229999999901</v>
      </c>
      <c r="L5206">
        <v>18.0871</v>
      </c>
      <c r="M5206">
        <v>0.99944949999999999</v>
      </c>
      <c r="N5206">
        <v>-1.2012170000000001E-2</v>
      </c>
      <c r="O5206">
        <v>-3.0926800000000001E-2</v>
      </c>
      <c r="P5206">
        <v>0.98896289999999998</v>
      </c>
      <c r="Q5206">
        <v>0.14713979999999999</v>
      </c>
      <c r="R5206">
        <v>-1.738404E-2</v>
      </c>
      <c r="S5206">
        <v>3.1755070000000001</v>
      </c>
      <c r="T5206">
        <v>-0.99297449999999998</v>
      </c>
      <c r="U5206">
        <v>-0.2597351</v>
      </c>
      <c r="V5206">
        <v>-1.3281279999999999E-2</v>
      </c>
      <c r="W5206">
        <v>0.1590039</v>
      </c>
      <c r="X5206">
        <v>0.98718859999999997</v>
      </c>
      <c r="Y5206">
        <v>4.9566159999999998E-2</v>
      </c>
      <c r="Z5206">
        <v>1.201199E-3</v>
      </c>
      <c r="AA5206">
        <v>0.99877009999999999</v>
      </c>
      <c r="AB5206">
        <v>32</v>
      </c>
      <c r="AC5206">
        <v>0.53929999999996803</v>
      </c>
      <c r="AD5206">
        <v>-0.22426479999999899</v>
      </c>
      <c r="AE5206">
        <v>-5.3470000000000802E-2</v>
      </c>
      <c r="AF5206">
        <v>3.1389207895261201E-2</v>
      </c>
      <c r="AG5206">
        <v>-0.22426479999999899</v>
      </c>
      <c r="AH5206">
        <v>0.46164265053159798</v>
      </c>
      <c r="AI5206">
        <v>115.858461093771</v>
      </c>
      <c r="AJ5206">
        <v>86.110183503786203</v>
      </c>
      <c r="AK5206">
        <v>0.514192492828484</v>
      </c>
      <c r="AL5206">
        <v>80.8509160813731</v>
      </c>
      <c r="AM5206">
        <v>90.770790286756693</v>
      </c>
      <c r="AN5206">
        <v>0.99999998229180398</v>
      </c>
    </row>
    <row r="5207" spans="1:40" x14ac:dyDescent="0.25">
      <c r="A5207" t="str">
        <f>"20190303162925185"</f>
        <v>20190303162925185</v>
      </c>
      <c r="B5207" t="str">
        <f>"1551601765176796"</f>
        <v>1551601765176796</v>
      </c>
      <c r="C5207" t="s">
        <v>40</v>
      </c>
      <c r="D5207">
        <v>5.1399189999999999</v>
      </c>
      <c r="E5207">
        <v>0.54036219999999902</v>
      </c>
      <c r="F5207" t="s">
        <v>44</v>
      </c>
      <c r="G5207">
        <v>-369.7636</v>
      </c>
      <c r="H5207">
        <v>0.88434859999999904</v>
      </c>
      <c r="I5207">
        <v>17.99166</v>
      </c>
      <c r="J5207">
        <v>-370.38959999999997</v>
      </c>
      <c r="K5207">
        <v>1.1212879999999901</v>
      </c>
      <c r="L5207">
        <v>18.081299999999999</v>
      </c>
      <c r="M5207">
        <v>0.99945070000000003</v>
      </c>
      <c r="N5207">
        <v>-1.201121E-2</v>
      </c>
      <c r="O5207">
        <v>-3.0888410000000002E-2</v>
      </c>
      <c r="P5207">
        <v>0.98866370000000003</v>
      </c>
      <c r="Q5207">
        <v>0.1488371</v>
      </c>
      <c r="R5207">
        <v>-1.9788839999999999E-2</v>
      </c>
      <c r="S5207">
        <v>3.1636959999999998</v>
      </c>
      <c r="T5207">
        <v>-0.91903449999999998</v>
      </c>
      <c r="U5207">
        <v>-0.36853029999999998</v>
      </c>
      <c r="V5207">
        <v>-1.0813969999999999E-2</v>
      </c>
      <c r="W5207">
        <v>0.16069939999999999</v>
      </c>
      <c r="X5207">
        <v>0.98694409999999999</v>
      </c>
      <c r="Y5207">
        <v>8.2609390000000005E-2</v>
      </c>
      <c r="Z5207">
        <v>-3.8311259999999998E-3</v>
      </c>
      <c r="AA5207">
        <v>0.99657459999999998</v>
      </c>
      <c r="AB5207">
        <v>32</v>
      </c>
      <c r="AC5207">
        <v>0.62599999999997602</v>
      </c>
      <c r="AD5207">
        <v>-0.236939399999999</v>
      </c>
      <c r="AE5207">
        <v>-8.9639999999999206E-2</v>
      </c>
      <c r="AF5207">
        <v>6.1610665018009603E-2</v>
      </c>
      <c r="AG5207">
        <v>-0.236939399999999</v>
      </c>
      <c r="AH5207">
        <v>0.55110514862055604</v>
      </c>
      <c r="AI5207">
        <v>113.135723082358</v>
      </c>
      <c r="AJ5207">
        <v>83.621118940552606</v>
      </c>
      <c r="AK5207">
        <v>0.60303651477535403</v>
      </c>
      <c r="AL5207">
        <v>80.752505295583902</v>
      </c>
      <c r="AM5207">
        <v>90.627766098536895</v>
      </c>
      <c r="AN5207">
        <v>0.99999994781616397</v>
      </c>
    </row>
    <row r="5208" spans="1:40" x14ac:dyDescent="0.25">
      <c r="A5208" t="str">
        <f>"20190303162925204"</f>
        <v>20190303162925204</v>
      </c>
      <c r="B5208" t="str">
        <f>"1551601765197292"</f>
        <v>1551601765197292</v>
      </c>
      <c r="C5208" t="s">
        <v>40</v>
      </c>
      <c r="D5208">
        <v>5.1177149999999996</v>
      </c>
      <c r="E5208">
        <v>0.54024240000000001</v>
      </c>
      <c r="F5208" t="s">
        <v>44</v>
      </c>
      <c r="G5208">
        <v>-369.49</v>
      </c>
      <c r="H5208">
        <v>0.85948480000000005</v>
      </c>
      <c r="I5208">
        <v>17.973879999999902</v>
      </c>
      <c r="J5208">
        <v>-370.1198</v>
      </c>
      <c r="K5208">
        <v>1.1212610000000001</v>
      </c>
      <c r="L5208">
        <v>18.073</v>
      </c>
      <c r="M5208">
        <v>0.99945130000000004</v>
      </c>
      <c r="N5208">
        <v>-1.200994E-2</v>
      </c>
      <c r="O5208">
        <v>-3.08686E-2</v>
      </c>
      <c r="P5208">
        <v>0.9878905</v>
      </c>
      <c r="Q5208">
        <v>0.15303649999999999</v>
      </c>
      <c r="R5208">
        <v>-2.554118E-2</v>
      </c>
      <c r="S5208">
        <v>3.165527</v>
      </c>
      <c r="T5208">
        <v>-0.92116019999999998</v>
      </c>
      <c r="U5208">
        <v>-0.37744139999999998</v>
      </c>
      <c r="V5208">
        <v>-5.0034340000000002E-3</v>
      </c>
      <c r="W5208">
        <v>0.1648927</v>
      </c>
      <c r="X5208">
        <v>0.98629880000000003</v>
      </c>
      <c r="Y5208">
        <v>8.5211229999999999E-2</v>
      </c>
      <c r="Z5208">
        <v>-4.2266750000000001E-3</v>
      </c>
      <c r="AA5208">
        <v>0.99635390000000001</v>
      </c>
      <c r="AB5208">
        <v>32</v>
      </c>
      <c r="AC5208">
        <v>0.62979999999998804</v>
      </c>
      <c r="AD5208">
        <v>-0.26177620000000001</v>
      </c>
      <c r="AE5208">
        <v>-9.9120000000002706E-2</v>
      </c>
      <c r="AF5208">
        <v>6.8142283041056698E-2</v>
      </c>
      <c r="AG5208">
        <v>-0.26177620000000001</v>
      </c>
      <c r="AH5208">
        <v>0.54130222946553896</v>
      </c>
      <c r="AI5208">
        <v>115.632509685174</v>
      </c>
      <c r="AJ5208">
        <v>82.825015355552907</v>
      </c>
      <c r="AK5208">
        <v>0.60512664232278701</v>
      </c>
      <c r="AL5208">
        <v>80.508998555066597</v>
      </c>
      <c r="AM5208">
        <v>90.2906555215704</v>
      </c>
      <c r="AN5208">
        <v>0.99999997987326095</v>
      </c>
    </row>
    <row r="5209" spans="1:40" x14ac:dyDescent="0.25">
      <c r="A5209" t="str">
        <f>"20190303162925226"</f>
        <v>20190303162925226</v>
      </c>
      <c r="B5209" t="str">
        <f>"1551601765216813"</f>
        <v>1551601765216813</v>
      </c>
      <c r="C5209" t="s">
        <v>40</v>
      </c>
      <c r="D5209">
        <v>5.034853</v>
      </c>
      <c r="E5209">
        <v>0.53965920000000001</v>
      </c>
      <c r="F5209" t="s">
        <v>44</v>
      </c>
      <c r="G5209">
        <v>-369.20699999999999</v>
      </c>
      <c r="H5209">
        <v>0.85782599999999998</v>
      </c>
      <c r="I5209">
        <v>17.958649999999999</v>
      </c>
      <c r="J5209">
        <v>-369.79989999999998</v>
      </c>
      <c r="K5209">
        <v>1.1212409999999999</v>
      </c>
      <c r="L5209">
        <v>18.063140000000001</v>
      </c>
      <c r="M5209">
        <v>0.99945119999999998</v>
      </c>
      <c r="N5209">
        <v>-1.2008680000000001E-2</v>
      </c>
      <c r="O5209">
        <v>-3.0873709999999999E-2</v>
      </c>
      <c r="P5209">
        <v>0.98704800000000004</v>
      </c>
      <c r="Q5209">
        <v>0.1572692</v>
      </c>
      <c r="R5209">
        <v>-3.1666939999999998E-2</v>
      </c>
      <c r="S5209">
        <v>3.1681819999999998</v>
      </c>
      <c r="T5209">
        <v>-0.9143268</v>
      </c>
      <c r="U5209">
        <v>-0.39630130000000002</v>
      </c>
      <c r="V5209">
        <v>1.1567630000000001E-3</v>
      </c>
      <c r="W5209">
        <v>0.1691174</v>
      </c>
      <c r="X5209">
        <v>0.9855952</v>
      </c>
      <c r="Y5209">
        <v>9.0758270000000002E-2</v>
      </c>
      <c r="Z5209">
        <v>-5.0134860000000002E-3</v>
      </c>
      <c r="AA5209">
        <v>0.99586030000000003</v>
      </c>
      <c r="AB5209">
        <v>32</v>
      </c>
      <c r="AC5209">
        <v>0.59289999999998599</v>
      </c>
      <c r="AD5209">
        <v>-0.26341499999999901</v>
      </c>
      <c r="AE5209">
        <v>-0.104490000000001</v>
      </c>
      <c r="AF5209">
        <v>7.2293844862178394E-2</v>
      </c>
      <c r="AG5209">
        <v>-0.26341499999999901</v>
      </c>
      <c r="AH5209">
        <v>0.50010333832421505</v>
      </c>
      <c r="AI5209">
        <v>117.53314300771299</v>
      </c>
      <c r="AJ5209">
        <v>81.774428067833696</v>
      </c>
      <c r="AK5209">
        <v>0.56983963641798496</v>
      </c>
      <c r="AL5209">
        <v>80.263492859475505</v>
      </c>
      <c r="AM5209">
        <v>89.932753723471393</v>
      </c>
      <c r="AN5209">
        <v>0.99999996567321803</v>
      </c>
    </row>
    <row r="5210" spans="1:40" x14ac:dyDescent="0.25">
      <c r="A5210" t="str">
        <f>"20190303162925237"</f>
        <v>20190303162925237</v>
      </c>
      <c r="B5210" t="str">
        <f>"1551601765227548"</f>
        <v>1551601765227548</v>
      </c>
      <c r="C5210" t="s">
        <v>40</v>
      </c>
      <c r="D5210">
        <v>5.0858949999999998</v>
      </c>
      <c r="E5210">
        <v>0.53630169999999999</v>
      </c>
      <c r="F5210" t="s">
        <v>44</v>
      </c>
      <c r="G5210">
        <v>-368.91699999999997</v>
      </c>
      <c r="H5210">
        <v>0.87317540000000005</v>
      </c>
      <c r="I5210">
        <v>17.9483</v>
      </c>
      <c r="J5210">
        <v>-369.63569999999999</v>
      </c>
      <c r="K5210">
        <v>1.121235</v>
      </c>
      <c r="L5210">
        <v>18.058070000000001</v>
      </c>
      <c r="M5210">
        <v>0.99945090000000003</v>
      </c>
      <c r="N5210">
        <v>-1.2008090000000001E-2</v>
      </c>
      <c r="O5210">
        <v>-3.0885510000000001E-2</v>
      </c>
      <c r="P5210">
        <v>0.98667349999999998</v>
      </c>
      <c r="Q5210">
        <v>0.1589139</v>
      </c>
      <c r="R5210">
        <v>-3.495239E-2</v>
      </c>
      <c r="S5210">
        <v>3.167999</v>
      </c>
      <c r="T5210">
        <v>-0.89008940000000003</v>
      </c>
      <c r="U5210">
        <v>-0.41186519999999999</v>
      </c>
      <c r="V5210">
        <v>4.4474329999999998E-3</v>
      </c>
      <c r="W5210">
        <v>0.170758299999999</v>
      </c>
      <c r="X5210">
        <v>0.98530289999999998</v>
      </c>
      <c r="Y5210">
        <v>9.5510300000000006E-2</v>
      </c>
      <c r="Z5210">
        <v>-5.5864950000000003E-3</v>
      </c>
      <c r="AA5210">
        <v>0.99541279999999999</v>
      </c>
      <c r="AB5210">
        <v>32</v>
      </c>
      <c r="AC5210">
        <v>0.718700000000012</v>
      </c>
      <c r="AD5210">
        <v>-0.24805959999999999</v>
      </c>
      <c r="AE5210">
        <v>-0.10977000000000101</v>
      </c>
      <c r="AF5210">
        <v>7.8392671924611301E-2</v>
      </c>
      <c r="AG5210">
        <v>-0.24805959999999999</v>
      </c>
      <c r="AH5210">
        <v>0.64648792745783901</v>
      </c>
      <c r="AI5210">
        <v>110.85249541677901</v>
      </c>
      <c r="AJ5210">
        <v>83.0861090323952</v>
      </c>
      <c r="AK5210">
        <v>0.69686843558334</v>
      </c>
      <c r="AL5210">
        <v>80.168088771475297</v>
      </c>
      <c r="AM5210">
        <v>89.741381650237003</v>
      </c>
      <c r="AN5210">
        <v>0.99999999071379397</v>
      </c>
    </row>
    <row r="5211" spans="1:40" x14ac:dyDescent="0.25">
      <c r="A5211" t="str">
        <f>"20190303162925249"</f>
        <v>20190303162925249</v>
      </c>
      <c r="B5211" t="str">
        <f>"1551601765237309"</f>
        <v>1551601765237309</v>
      </c>
      <c r="C5211" t="s">
        <v>40</v>
      </c>
      <c r="D5211">
        <v>5.1983699999999997</v>
      </c>
      <c r="E5211">
        <v>0.53624069999999902</v>
      </c>
      <c r="F5211" t="s">
        <v>44</v>
      </c>
      <c r="G5211">
        <v>-368.851</v>
      </c>
      <c r="H5211">
        <v>1.0136039999999999</v>
      </c>
      <c r="I5211">
        <v>17.957750000000001</v>
      </c>
      <c r="J5211">
        <v>-369.47680000000003</v>
      </c>
      <c r="K5211">
        <v>1.1212299999999999</v>
      </c>
      <c r="L5211">
        <v>18.053129999999999</v>
      </c>
      <c r="M5211">
        <v>0.99945039999999996</v>
      </c>
      <c r="N5211">
        <v>-1.200757E-2</v>
      </c>
      <c r="O5211">
        <v>-3.090205E-2</v>
      </c>
      <c r="P5211">
        <v>0.98628009999999999</v>
      </c>
      <c r="Q5211">
        <v>0.16062660000000001</v>
      </c>
      <c r="R5211">
        <v>-3.8092389999999997E-2</v>
      </c>
      <c r="S5211">
        <v>3.094849</v>
      </c>
      <c r="T5211">
        <v>-0.42454720000000001</v>
      </c>
      <c r="U5211">
        <v>-0.39544679999999999</v>
      </c>
      <c r="V5211">
        <v>7.5874019999999896E-3</v>
      </c>
      <c r="W5211">
        <v>0.172466799999999</v>
      </c>
      <c r="X5211">
        <v>0.98498609999999998</v>
      </c>
      <c r="Y5211">
        <v>9.5310450000000005E-2</v>
      </c>
      <c r="Z5211">
        <v>-3.226558E-3</v>
      </c>
      <c r="AA5211">
        <v>0.99544239999999995</v>
      </c>
      <c r="AB5211">
        <v>32</v>
      </c>
      <c r="AC5211">
        <v>0.625800000000026</v>
      </c>
      <c r="AD5211">
        <v>-0.107625999999999</v>
      </c>
      <c r="AE5211">
        <v>-9.5379999999998605E-2</v>
      </c>
      <c r="AF5211">
        <v>7.38595518292504E-2</v>
      </c>
      <c r="AG5211">
        <v>-0.107625999999999</v>
      </c>
      <c r="AH5211">
        <v>0.61079306397982702</v>
      </c>
      <c r="AI5211">
        <v>99.922500320915006</v>
      </c>
      <c r="AJ5211">
        <v>83.1050414878884</v>
      </c>
      <c r="AK5211">
        <v>0.62458526742013598</v>
      </c>
      <c r="AL5211">
        <v>80.068724813501902</v>
      </c>
      <c r="AM5211">
        <v>89.558656194316299</v>
      </c>
      <c r="AN5211">
        <v>0.99999999148227903</v>
      </c>
    </row>
    <row r="5212" spans="1:40" x14ac:dyDescent="0.25">
      <c r="A5212" t="str">
        <f>"20190303162925260"</f>
        <v>20190303162925260</v>
      </c>
      <c r="B5212" t="str">
        <f>"1551601765247070"</f>
        <v>1551601765247070</v>
      </c>
      <c r="C5212" t="s">
        <v>40</v>
      </c>
      <c r="D5212">
        <v>5.0661630000000004</v>
      </c>
      <c r="E5212">
        <v>0.53793279999999999</v>
      </c>
      <c r="F5212" t="s">
        <v>44</v>
      </c>
      <c r="G5212">
        <v>-368.56139999999999</v>
      </c>
      <c r="H5212">
        <v>1.0261009999999999</v>
      </c>
      <c r="I5212">
        <v>17.932449999999999</v>
      </c>
      <c r="J5212">
        <v>-369.31290000000001</v>
      </c>
      <c r="K5212">
        <v>1.121224</v>
      </c>
      <c r="L5212">
        <v>18.048100000000002</v>
      </c>
      <c r="M5212">
        <v>0.9994497</v>
      </c>
      <c r="N5212">
        <v>-1.200708E-2</v>
      </c>
      <c r="O5212">
        <v>-3.092371E-2</v>
      </c>
      <c r="P5212">
        <v>0.98592259999999998</v>
      </c>
      <c r="Q5212">
        <v>0.16205729999999999</v>
      </c>
      <c r="R5212">
        <v>-4.1160120000000001E-2</v>
      </c>
      <c r="S5212">
        <v>3.078217</v>
      </c>
      <c r="T5212">
        <v>-0.31993890000000003</v>
      </c>
      <c r="U5212">
        <v>-0.40463260000000001</v>
      </c>
      <c r="V5212">
        <v>1.064935E-2</v>
      </c>
      <c r="W5212">
        <v>0.17389309999999999</v>
      </c>
      <c r="X5212">
        <v>0.98470690000000005</v>
      </c>
      <c r="Y5212">
        <v>9.9146250000000005E-2</v>
      </c>
      <c r="Z5212">
        <v>-2.8955750000000001E-3</v>
      </c>
      <c r="AA5212">
        <v>0.99506870000000003</v>
      </c>
      <c r="AB5212">
        <v>32</v>
      </c>
      <c r="AC5212">
        <v>0.75150000000002104</v>
      </c>
      <c r="AD5212">
        <v>-9.5122999999999999E-2</v>
      </c>
      <c r="AE5212">
        <v>-0.115650000000002</v>
      </c>
      <c r="AF5212">
        <v>9.0930666220550002E-2</v>
      </c>
      <c r="AG5212">
        <v>-9.5122999999999999E-2</v>
      </c>
      <c r="AH5212">
        <v>0.743086922756796</v>
      </c>
      <c r="AI5212">
        <v>97.241358297458802</v>
      </c>
      <c r="AJ5212">
        <v>83.023467876238698</v>
      </c>
      <c r="AK5212">
        <v>0.75464888919316497</v>
      </c>
      <c r="AL5212">
        <v>79.985749672464706</v>
      </c>
      <c r="AM5212">
        <v>89.380385144764105</v>
      </c>
      <c r="AN5212">
        <v>0.99999994889531996</v>
      </c>
    </row>
    <row r="5213" spans="1:40" x14ac:dyDescent="0.25">
      <c r="A5213" t="str">
        <f>"20190303162925282"</f>
        <v>20190303162925282</v>
      </c>
      <c r="B5213" t="str">
        <f>"1551601765277326"</f>
        <v>1551601765277326</v>
      </c>
      <c r="C5213" t="s">
        <v>40</v>
      </c>
      <c r="D5213">
        <v>5.1468559999999997</v>
      </c>
      <c r="E5213">
        <v>0.53855430000000004</v>
      </c>
      <c r="F5213" t="s">
        <v>41</v>
      </c>
      <c r="G5213">
        <v>-354.78519999999997</v>
      </c>
      <c r="H5213" s="1">
        <v>-2.8572259999999998E-6</v>
      </c>
      <c r="I5213">
        <v>16.020679999999999</v>
      </c>
      <c r="J5213">
        <v>-369.01260000000002</v>
      </c>
      <c r="K5213">
        <v>1.121213</v>
      </c>
      <c r="L5213">
        <v>18.038730000000001</v>
      </c>
      <c r="M5213">
        <v>0.9994478</v>
      </c>
      <c r="N5213">
        <v>-1.2006279999999999E-2</v>
      </c>
      <c r="O5213">
        <v>-3.0979980000000001E-2</v>
      </c>
      <c r="P5213">
        <v>0.98519259999999997</v>
      </c>
      <c r="Q5213">
        <v>0.1647092</v>
      </c>
      <c r="R5213">
        <v>-4.760615E-2</v>
      </c>
      <c r="S5213">
        <v>3.063812</v>
      </c>
      <c r="T5213">
        <v>-0.23646030000000001</v>
      </c>
      <c r="U5213">
        <v>-0.42755130000000002</v>
      </c>
      <c r="V5213">
        <v>1.7070129999999999E-2</v>
      </c>
      <c r="W5213">
        <v>0.1765371</v>
      </c>
      <c r="X5213">
        <v>0.98414590000000002</v>
      </c>
      <c r="Y5213">
        <v>0.1071609</v>
      </c>
      <c r="Z5213">
        <v>-2.7523529999999999E-3</v>
      </c>
      <c r="AA5213">
        <v>0.99423790000000001</v>
      </c>
      <c r="AB5213">
        <v>32</v>
      </c>
      <c r="AC5213">
        <v>14.227399999999999</v>
      </c>
      <c r="AD5213">
        <v>-1.121215857226</v>
      </c>
      <c r="AE5213">
        <v>-2.0180499999999899</v>
      </c>
      <c r="AF5213">
        <v>1.5667464354557299</v>
      </c>
      <c r="AG5213">
        <v>-1.121215857226</v>
      </c>
      <c r="AH5213">
        <v>14.196663954207599</v>
      </c>
      <c r="AI5213">
        <v>94.488560654443305</v>
      </c>
      <c r="AJ5213">
        <v>83.702312051760003</v>
      </c>
      <c r="AK5213">
        <v>14.326796111489999</v>
      </c>
      <c r="AL5213">
        <v>79.831879182362897</v>
      </c>
      <c r="AM5213">
        <v>89.006297399975395</v>
      </c>
      <c r="AN5213">
        <v>0.99999994475071696</v>
      </c>
    </row>
    <row r="5214" spans="1:40" x14ac:dyDescent="0.25">
      <c r="A5214" t="str">
        <f>"20190303162925294"</f>
        <v>20190303162925294</v>
      </c>
      <c r="B5214" t="str">
        <f>"1551601765287085"</f>
        <v>1551601765287085</v>
      </c>
      <c r="C5214" t="s">
        <v>40</v>
      </c>
      <c r="D5214">
        <v>5.129569</v>
      </c>
      <c r="E5214">
        <v>0.53815159999999995</v>
      </c>
      <c r="F5214" t="s">
        <v>41</v>
      </c>
      <c r="G5214">
        <v>-349.26569999999998</v>
      </c>
      <c r="H5214" s="1">
        <v>-1.4338449999999999E-6</v>
      </c>
      <c r="I5214">
        <v>15.114190000000001</v>
      </c>
      <c r="J5214">
        <v>-368.82159999999999</v>
      </c>
      <c r="K5214">
        <v>1.1212040000000001</v>
      </c>
      <c r="L5214">
        <v>18.032779999999999</v>
      </c>
      <c r="M5214">
        <v>0.99944650000000002</v>
      </c>
      <c r="N5214">
        <v>-1.200585E-2</v>
      </c>
      <c r="O5214">
        <v>-3.1025150000000001E-2</v>
      </c>
      <c r="P5214">
        <v>0.98483259999999995</v>
      </c>
      <c r="Q5214">
        <v>0.16594919999999999</v>
      </c>
      <c r="R5214">
        <v>-5.0655739999999998E-2</v>
      </c>
      <c r="S5214">
        <v>3.0522459999999998</v>
      </c>
      <c r="T5214">
        <v>-0.17330400000000001</v>
      </c>
      <c r="U5214">
        <v>-0.45202639999999999</v>
      </c>
      <c r="V5214">
        <v>2.0091680000000001E-2</v>
      </c>
      <c r="W5214">
        <v>0.17777229999999999</v>
      </c>
      <c r="X5214">
        <v>0.98386649999999998</v>
      </c>
      <c r="Y5214">
        <v>0.11554449999999999</v>
      </c>
      <c r="Z5214">
        <v>-2.579015E-3</v>
      </c>
      <c r="AA5214">
        <v>0.99329889999999998</v>
      </c>
      <c r="AB5214">
        <v>32</v>
      </c>
      <c r="AC5214">
        <v>19.555900000000001</v>
      </c>
      <c r="AD5214">
        <v>-1.1212054338449999</v>
      </c>
      <c r="AE5214">
        <v>-2.91859</v>
      </c>
      <c r="AF5214">
        <v>2.3030110232215799</v>
      </c>
      <c r="AG5214">
        <v>-1.1212054338449999</v>
      </c>
      <c r="AH5214">
        <v>19.574100342000001</v>
      </c>
      <c r="AI5214">
        <v>93.255913375182899</v>
      </c>
      <c r="AJ5214">
        <v>83.289655950672696</v>
      </c>
      <c r="AK5214">
        <v>19.740981880257301</v>
      </c>
      <c r="AL5214">
        <v>79.759970385285499</v>
      </c>
      <c r="AM5214">
        <v>88.830117209949506</v>
      </c>
      <c r="AN5214">
        <v>0.99999997803738006</v>
      </c>
    </row>
    <row r="5215" spans="1:40" x14ac:dyDescent="0.25">
      <c r="A5215" t="str">
        <f>"20190303162925306"</f>
        <v>20190303162925306</v>
      </c>
      <c r="B5215" t="str">
        <f>"1551601765296846"</f>
        <v>1551601765296846</v>
      </c>
      <c r="C5215" t="s">
        <v>40</v>
      </c>
      <c r="D5215">
        <v>5.1204409999999996</v>
      </c>
      <c r="E5215">
        <v>0.53771040000000003</v>
      </c>
      <c r="F5215" t="s">
        <v>41</v>
      </c>
      <c r="G5215">
        <v>-348.75749999999999</v>
      </c>
      <c r="H5215" s="1">
        <v>-1.63185399999999E-6</v>
      </c>
      <c r="I5215">
        <v>15.0199</v>
      </c>
      <c r="J5215">
        <v>-368.66559999999998</v>
      </c>
      <c r="K5215">
        <v>1.121197</v>
      </c>
      <c r="L5215">
        <v>18.02786</v>
      </c>
      <c r="M5215">
        <v>0.99944529999999998</v>
      </c>
      <c r="N5215">
        <v>-1.2006279999999999E-2</v>
      </c>
      <c r="O5215">
        <v>-3.1064189999999998E-2</v>
      </c>
      <c r="P5215">
        <v>0.98446210000000001</v>
      </c>
      <c r="Q5215">
        <v>0.16716349999999999</v>
      </c>
      <c r="R5215">
        <v>-5.3763230000000002E-2</v>
      </c>
      <c r="S5215">
        <v>3.0513919999999999</v>
      </c>
      <c r="T5215">
        <v>-0.17051520000000001</v>
      </c>
      <c r="U5215">
        <v>-0.45819090000000001</v>
      </c>
      <c r="V5215">
        <v>2.3176289999999999E-2</v>
      </c>
      <c r="W5215">
        <v>0.1789828</v>
      </c>
      <c r="X5215">
        <v>0.98357919999999999</v>
      </c>
      <c r="Y5215">
        <v>0.1175104</v>
      </c>
      <c r="Z5215">
        <v>-2.6197909999999998E-3</v>
      </c>
      <c r="AA5215">
        <v>0.99306819999999896</v>
      </c>
      <c r="AB5215">
        <v>32</v>
      </c>
      <c r="AC5215">
        <v>19.908099999999902</v>
      </c>
      <c r="AD5215">
        <v>-1.1211986318539999</v>
      </c>
      <c r="AE5215">
        <v>-3.0079600000000002</v>
      </c>
      <c r="AF5215">
        <v>2.3806521428092502</v>
      </c>
      <c r="AG5215">
        <v>-1.1211986318539999</v>
      </c>
      <c r="AH5215">
        <v>19.930133921526402</v>
      </c>
      <c r="AI5215">
        <v>93.197182731096802</v>
      </c>
      <c r="AJ5215">
        <v>83.188300616014999</v>
      </c>
      <c r="AK5215">
        <v>20.103104962346301</v>
      </c>
      <c r="AL5215">
        <v>79.689483738773404</v>
      </c>
      <c r="AM5215">
        <v>88.650176903122997</v>
      </c>
      <c r="AN5215">
        <v>1.00000001289332</v>
      </c>
    </row>
    <row r="5216" spans="1:40" x14ac:dyDescent="0.25">
      <c r="A5216" t="str">
        <f>"20190303162925319"</f>
        <v>20190303162925319</v>
      </c>
      <c r="B5216" t="str">
        <f>"1551601765307581"</f>
        <v>1551601765307581</v>
      </c>
      <c r="C5216" t="s">
        <v>40</v>
      </c>
      <c r="D5216">
        <v>5.1396879999999996</v>
      </c>
      <c r="E5216">
        <v>0.53737690000000005</v>
      </c>
      <c r="F5216" t="s">
        <v>41</v>
      </c>
      <c r="G5216">
        <v>-348.48989999999998</v>
      </c>
      <c r="H5216" s="1">
        <v>-1.739437E-6</v>
      </c>
      <c r="I5216">
        <v>14.957890000000001</v>
      </c>
      <c r="J5216">
        <v>-368.4862</v>
      </c>
      <c r="K5216">
        <v>1.1211899999999999</v>
      </c>
      <c r="L5216">
        <v>18.022279999999999</v>
      </c>
      <c r="M5216">
        <v>0.99944379999999999</v>
      </c>
      <c r="N5216">
        <v>-1.2008949999999999E-2</v>
      </c>
      <c r="O5216">
        <v>-3.1113149999999999E-2</v>
      </c>
      <c r="P5216">
        <v>0.98413050000000002</v>
      </c>
      <c r="Q5216">
        <v>0.16821040000000001</v>
      </c>
      <c r="R5216">
        <v>-5.6505680000000003E-2</v>
      </c>
      <c r="S5216">
        <v>3.0508120000000001</v>
      </c>
      <c r="T5216">
        <v>-0.16953869999999999</v>
      </c>
      <c r="U5216">
        <v>-0.46420289999999997</v>
      </c>
      <c r="V5216">
        <v>2.5884830000000001E-2</v>
      </c>
      <c r="W5216">
        <v>0.18002839999999901</v>
      </c>
      <c r="X5216">
        <v>0.98332079999999999</v>
      </c>
      <c r="Y5216">
        <v>0.1194009</v>
      </c>
      <c r="Z5216">
        <v>-2.6728590000000001E-3</v>
      </c>
      <c r="AA5216">
        <v>0.99284260000000002</v>
      </c>
      <c r="AB5216">
        <v>32</v>
      </c>
      <c r="AC5216">
        <v>19.996300000000002</v>
      </c>
      <c r="AD5216">
        <v>-1.1211917394369999</v>
      </c>
      <c r="AE5216">
        <v>-3.0643899999999902</v>
      </c>
      <c r="AF5216">
        <v>2.43323933336106</v>
      </c>
      <c r="AG5216">
        <v>-1.1211917394369999</v>
      </c>
      <c r="AH5216">
        <v>20.0204705502724</v>
      </c>
      <c r="AI5216">
        <v>93.181979105483293</v>
      </c>
      <c r="AJ5216">
        <v>83.070396774910407</v>
      </c>
      <c r="AK5216">
        <v>20.198934764593901</v>
      </c>
      <c r="AL5216">
        <v>79.628586206650496</v>
      </c>
      <c r="AM5216">
        <v>88.492100353511304</v>
      </c>
      <c r="AN5216">
        <v>1.0000000224716601</v>
      </c>
    </row>
    <row r="5217" spans="1:40" x14ac:dyDescent="0.25">
      <c r="A5217" t="str">
        <f>"20190303162925337"</f>
        <v>20190303162925337</v>
      </c>
      <c r="B5217" t="str">
        <f>"1551601765327101"</f>
        <v>1551601765327101</v>
      </c>
      <c r="C5217" t="s">
        <v>40</v>
      </c>
      <c r="D5217">
        <v>5.1508019999999997</v>
      </c>
      <c r="E5217">
        <v>0.53672679999999995</v>
      </c>
      <c r="F5217" t="s">
        <v>41</v>
      </c>
      <c r="G5217">
        <v>-348.2894</v>
      </c>
      <c r="H5217" s="1">
        <v>-1.820009E-6</v>
      </c>
      <c r="I5217">
        <v>14.911429999999999</v>
      </c>
      <c r="J5217">
        <v>-368.21780000000001</v>
      </c>
      <c r="K5217">
        <v>1.1211869999999999</v>
      </c>
      <c r="L5217">
        <v>18.01379</v>
      </c>
      <c r="M5217">
        <v>0.99944120000000003</v>
      </c>
      <c r="N5217">
        <v>-1.201544E-2</v>
      </c>
      <c r="O5217">
        <v>-3.11922E-2</v>
      </c>
      <c r="P5217">
        <v>0.98342059999999998</v>
      </c>
      <c r="Q5217">
        <v>0.17040849999999999</v>
      </c>
      <c r="R5217">
        <v>-6.200721E-2</v>
      </c>
      <c r="S5217">
        <v>3.0503230000000001</v>
      </c>
      <c r="T5217">
        <v>-0.1693336</v>
      </c>
      <c r="U5217">
        <v>-0.46981810000000002</v>
      </c>
      <c r="V5217">
        <v>3.1334969999999997E-2</v>
      </c>
      <c r="W5217">
        <v>0.182224</v>
      </c>
      <c r="X5217">
        <v>0.98275760000000001</v>
      </c>
      <c r="Y5217">
        <v>0.1211289</v>
      </c>
      <c r="Z5217">
        <v>-2.7263259999999998E-3</v>
      </c>
      <c r="AA5217">
        <v>0.99263299999999999</v>
      </c>
      <c r="AB5217">
        <v>32</v>
      </c>
      <c r="AC5217">
        <v>19.9284</v>
      </c>
      <c r="AD5217">
        <v>-1.1211888200090001</v>
      </c>
      <c r="AE5217">
        <v>-3.10236</v>
      </c>
      <c r="AF5217">
        <v>2.4715566148170902</v>
      </c>
      <c r="AG5217">
        <v>-1.1211888200090001</v>
      </c>
      <c r="AH5217">
        <v>19.9538129164476</v>
      </c>
      <c r="AI5217">
        <v>93.191682776807099</v>
      </c>
      <c r="AJ5217">
        <v>82.939086217843098</v>
      </c>
      <c r="AK5217">
        <v>20.1375347640904</v>
      </c>
      <c r="AL5217">
        <v>79.500671431620006</v>
      </c>
      <c r="AM5217">
        <v>88.173757706953793</v>
      </c>
      <c r="AN5217">
        <v>0.99999998343933005</v>
      </c>
    </row>
    <row r="5218" spans="1:40" x14ac:dyDescent="0.25">
      <c r="A5218" t="str">
        <f>"20190303162925358"</f>
        <v>20190303162925358</v>
      </c>
      <c r="B5218" t="str">
        <f>"1551601765347597"</f>
        <v>1551601765347597</v>
      </c>
      <c r="C5218" t="s">
        <v>40</v>
      </c>
      <c r="D5218">
        <v>5.0379949999999996</v>
      </c>
      <c r="E5218">
        <v>0.53681480000000004</v>
      </c>
      <c r="F5218" t="s">
        <v>41</v>
      </c>
      <c r="G5218">
        <v>-348.0086</v>
      </c>
      <c r="H5218" s="1">
        <v>-1.9384450000000001E-6</v>
      </c>
      <c r="I5218">
        <v>14.825430000000001</v>
      </c>
      <c r="J5218">
        <v>-367.92970000000003</v>
      </c>
      <c r="K5218">
        <v>1.121186</v>
      </c>
      <c r="L5218">
        <v>18.004670000000001</v>
      </c>
      <c r="M5218">
        <v>0.9994381</v>
      </c>
      <c r="N5218">
        <v>-1.202367E-2</v>
      </c>
      <c r="O5218">
        <v>-3.1283119999999998E-2</v>
      </c>
      <c r="P5218">
        <v>0.98263639999999997</v>
      </c>
      <c r="Q5218">
        <v>0.1731376</v>
      </c>
      <c r="R5218">
        <v>-6.6701469999999999E-2</v>
      </c>
      <c r="S5218">
        <v>3.0495610000000002</v>
      </c>
      <c r="T5218">
        <v>-0.1691868</v>
      </c>
      <c r="U5218">
        <v>-0.48110960000000003</v>
      </c>
      <c r="V5218">
        <v>3.5967060000000002E-2</v>
      </c>
      <c r="W5218">
        <v>0.18495159999999999</v>
      </c>
      <c r="X5218">
        <v>0.9820892</v>
      </c>
      <c r="Y5218">
        <v>0.1246572</v>
      </c>
      <c r="Z5218">
        <v>-2.8403999999999999E-3</v>
      </c>
      <c r="AA5218">
        <v>0.99219579999999996</v>
      </c>
      <c r="AB5218">
        <v>32</v>
      </c>
      <c r="AC5218">
        <v>19.921099999999999</v>
      </c>
      <c r="AD5218">
        <v>-1.1211879384450001</v>
      </c>
      <c r="AE5218">
        <v>-3.1792400000000001</v>
      </c>
      <c r="AF5218">
        <v>2.5465782453549299</v>
      </c>
      <c r="AG5218">
        <v>-1.1211879384450001</v>
      </c>
      <c r="AH5218">
        <v>19.949190654411499</v>
      </c>
      <c r="AI5218">
        <v>93.190924078549898</v>
      </c>
      <c r="AJ5218">
        <v>82.725353791522593</v>
      </c>
      <c r="AK5218">
        <v>20.142302026309899</v>
      </c>
      <c r="AL5218">
        <v>79.341688985213906</v>
      </c>
      <c r="AM5218">
        <v>87.902593621738106</v>
      </c>
      <c r="AN5218">
        <v>0.99999996025212101</v>
      </c>
    </row>
    <row r="5219" spans="1:40" x14ac:dyDescent="0.25">
      <c r="A5219" t="str">
        <f>"20190303162925371"</f>
        <v>20190303162925371</v>
      </c>
      <c r="B5219" t="str">
        <f>"1551601765367118"</f>
        <v>1551601765367118</v>
      </c>
      <c r="C5219" t="s">
        <v>40</v>
      </c>
      <c r="D5219">
        <v>5.0665310000000003</v>
      </c>
      <c r="E5219">
        <v>0.5366725</v>
      </c>
      <c r="F5219" t="s">
        <v>41</v>
      </c>
      <c r="G5219">
        <v>-346.2826</v>
      </c>
      <c r="H5219" s="1">
        <v>-2.6169420000000002E-6</v>
      </c>
      <c r="I5219">
        <v>14.482950000000001</v>
      </c>
      <c r="J5219">
        <v>-367.73689999999999</v>
      </c>
      <c r="K5219">
        <v>1.1211880000000001</v>
      </c>
      <c r="L5219">
        <v>17.9986</v>
      </c>
      <c r="M5219">
        <v>0.9994362</v>
      </c>
      <c r="N5219">
        <v>-1.2031149999999999E-2</v>
      </c>
      <c r="O5219">
        <v>-3.1347359999999998E-2</v>
      </c>
      <c r="P5219">
        <v>0.98221049999999999</v>
      </c>
      <c r="Q5219">
        <v>0.1745594</v>
      </c>
      <c r="R5219">
        <v>-6.9224430000000003E-2</v>
      </c>
      <c r="S5219">
        <v>3.04718</v>
      </c>
      <c r="T5219">
        <v>-0.15782560000000001</v>
      </c>
      <c r="U5219">
        <v>-0.49572749999999999</v>
      </c>
      <c r="V5219">
        <v>3.8441160000000002E-2</v>
      </c>
      <c r="W5219">
        <v>0.1863755</v>
      </c>
      <c r="X5219">
        <v>0.98172619999999999</v>
      </c>
      <c r="Y5219">
        <v>0.1293665</v>
      </c>
      <c r="Z5219">
        <v>-2.8741600000000002E-3</v>
      </c>
      <c r="AA5219">
        <v>0.99159269999999999</v>
      </c>
      <c r="AB5219">
        <v>32</v>
      </c>
      <c r="AC5219">
        <v>21.4542999999999</v>
      </c>
      <c r="AD5219">
        <v>-1.1211906169419901</v>
      </c>
      <c r="AE5219">
        <v>-3.5156499999999902</v>
      </c>
      <c r="AF5219">
        <v>2.8338008041265699</v>
      </c>
      <c r="AG5219">
        <v>-1.1211906169419901</v>
      </c>
      <c r="AH5219">
        <v>21.496795440219699</v>
      </c>
      <c r="AI5219">
        <v>92.960060862746502</v>
      </c>
      <c r="AJ5219">
        <v>82.4903222900938</v>
      </c>
      <c r="AK5219">
        <v>21.711741284283001</v>
      </c>
      <c r="AL5219">
        <v>79.258661742001905</v>
      </c>
      <c r="AM5219">
        <v>87.757631817645404</v>
      </c>
      <c r="AN5219">
        <v>0.99999994077441601</v>
      </c>
    </row>
    <row r="5220" spans="1:40" x14ac:dyDescent="0.25">
      <c r="A5220" t="str">
        <f>"20190303162925383"</f>
        <v>20190303162925383</v>
      </c>
      <c r="B5220" t="str">
        <f>"1551601765376877"</f>
        <v>1551601765376877</v>
      </c>
      <c r="C5220" t="s">
        <v>40</v>
      </c>
      <c r="D5220">
        <v>5.035202</v>
      </c>
      <c r="E5220">
        <v>0.53684659999999995</v>
      </c>
      <c r="F5220" t="s">
        <v>41</v>
      </c>
      <c r="G5220">
        <v>-345.30020000000002</v>
      </c>
      <c r="H5220" s="1">
        <v>-2.999736E-6</v>
      </c>
      <c r="I5220">
        <v>14.30073</v>
      </c>
      <c r="J5220">
        <v>-367.5625</v>
      </c>
      <c r="K5220">
        <v>1.121191</v>
      </c>
      <c r="L5220">
        <v>17.993040000000001</v>
      </c>
      <c r="M5220">
        <v>0.99943419999999905</v>
      </c>
      <c r="N5220">
        <v>-1.2039019999999999E-2</v>
      </c>
      <c r="O5220">
        <v>-3.1406700000000003E-2</v>
      </c>
      <c r="P5220">
        <v>0.98178350000000003</v>
      </c>
      <c r="Q5220">
        <v>0.176095</v>
      </c>
      <c r="R5220">
        <v>-7.1358080000000004E-2</v>
      </c>
      <c r="S5220">
        <v>3.0460210000000001</v>
      </c>
      <c r="T5220">
        <v>-0.15221379999999901</v>
      </c>
      <c r="U5220">
        <v>-0.50201419999999997</v>
      </c>
      <c r="V5220">
        <v>4.0530410000000003E-2</v>
      </c>
      <c r="W5220">
        <v>0.18791379999999999</v>
      </c>
      <c r="X5220">
        <v>0.98134889999999997</v>
      </c>
      <c r="Y5220">
        <v>0.13136819999999999</v>
      </c>
      <c r="Z5220">
        <v>-2.8739669999999998E-3</v>
      </c>
      <c r="AA5220">
        <v>0.99132949999999997</v>
      </c>
      <c r="AB5220">
        <v>32</v>
      </c>
      <c r="AC5220">
        <v>22.2622999999999</v>
      </c>
      <c r="AD5220">
        <v>-1.1211939997360001</v>
      </c>
      <c r="AE5220">
        <v>-3.69231</v>
      </c>
      <c r="AF5220">
        <v>2.9838864582986799</v>
      </c>
      <c r="AG5220">
        <v>-1.1211939997360001</v>
      </c>
      <c r="AH5220">
        <v>22.312209726036698</v>
      </c>
      <c r="AI5220">
        <v>92.851364936071505</v>
      </c>
      <c r="AJ5220">
        <v>82.382839120203897</v>
      </c>
      <c r="AK5220">
        <v>22.5387523443448</v>
      </c>
      <c r="AL5220">
        <v>79.168938936629303</v>
      </c>
      <c r="AM5220">
        <v>87.634987506449093</v>
      </c>
      <c r="AN5220">
        <v>0.99999998694820802</v>
      </c>
    </row>
    <row r="5221" spans="1:40" x14ac:dyDescent="0.25">
      <c r="A5221" t="str">
        <f>"20190303162925394"</f>
        <v>20190303162925394</v>
      </c>
      <c r="B5221" t="str">
        <f>"1551601765387613"</f>
        <v>1551601765387613</v>
      </c>
      <c r="C5221" t="s">
        <v>40</v>
      </c>
      <c r="D5221">
        <v>5.0664829999999998</v>
      </c>
      <c r="E5221">
        <v>0.53705040000000004</v>
      </c>
      <c r="F5221" t="s">
        <v>41</v>
      </c>
      <c r="G5221">
        <v>-343.9828</v>
      </c>
      <c r="H5221" s="1">
        <v>-3.5517970000000002E-6</v>
      </c>
      <c r="I5221">
        <v>14.045629999999999</v>
      </c>
      <c r="J5221">
        <v>-367.40449999999998</v>
      </c>
      <c r="K5221">
        <v>1.1211990000000001</v>
      </c>
      <c r="L5221">
        <v>17.988009999999999</v>
      </c>
      <c r="M5221">
        <v>0.9994324</v>
      </c>
      <c r="N5221">
        <v>-1.2047739999999999E-2</v>
      </c>
      <c r="O5221">
        <v>-3.1461620000000003E-2</v>
      </c>
      <c r="P5221">
        <v>0.98140510000000003</v>
      </c>
      <c r="Q5221">
        <v>0.1773489</v>
      </c>
      <c r="R5221">
        <v>-7.3430190000000006E-2</v>
      </c>
      <c r="S5221">
        <v>3.0445859999999998</v>
      </c>
      <c r="T5221">
        <v>-0.14476729999999999</v>
      </c>
      <c r="U5221">
        <v>-0.50967410000000002</v>
      </c>
      <c r="V5221">
        <v>4.2560420000000002E-2</v>
      </c>
      <c r="W5221">
        <v>0.18917110000000001</v>
      </c>
      <c r="X5221">
        <v>0.98102129999999998</v>
      </c>
      <c r="Y5221">
        <v>0.13382629999999901</v>
      </c>
      <c r="Z5221">
        <v>-2.863155E-3</v>
      </c>
      <c r="AA5221">
        <v>0.99100069999999996</v>
      </c>
      <c r="AB5221">
        <v>32</v>
      </c>
      <c r="AC5221">
        <v>23.421699999999898</v>
      </c>
      <c r="AD5221">
        <v>-1.1212025517969999</v>
      </c>
      <c r="AE5221">
        <v>-3.94238</v>
      </c>
      <c r="AF5221">
        <v>3.1963671499534998</v>
      </c>
      <c r="AG5221">
        <v>-1.1212025517969999</v>
      </c>
      <c r="AH5221">
        <v>23.481818856218801</v>
      </c>
      <c r="AI5221">
        <v>92.708722862801807</v>
      </c>
      <c r="AJ5221">
        <v>82.248486302827104</v>
      </c>
      <c r="AK5221">
        <v>23.724874602739899</v>
      </c>
      <c r="AL5221">
        <v>79.095584865114304</v>
      </c>
      <c r="AM5221">
        <v>87.515849789812506</v>
      </c>
      <c r="AN5221">
        <v>0.99999994273973603</v>
      </c>
    </row>
    <row r="5222" spans="1:40" x14ac:dyDescent="0.25">
      <c r="A5222" t="str">
        <f>"20190303162925406"</f>
        <v>20190303162925406</v>
      </c>
      <c r="B5222" t="str">
        <f>"1551601765397377"</f>
        <v>1551601765397377</v>
      </c>
      <c r="C5222" t="s">
        <v>40</v>
      </c>
      <c r="D5222">
        <v>5.0649119999999996</v>
      </c>
      <c r="E5222">
        <v>0.53713979999999995</v>
      </c>
      <c r="F5222" t="s">
        <v>41</v>
      </c>
      <c r="G5222">
        <v>-342.85469999999998</v>
      </c>
      <c r="H5222" s="1">
        <v>-4.0770500000000002E-6</v>
      </c>
      <c r="I5222">
        <v>13.812900000000001</v>
      </c>
      <c r="J5222">
        <v>-367.2527</v>
      </c>
      <c r="K5222">
        <v>1.1212</v>
      </c>
      <c r="L5222">
        <v>17.983149999999998</v>
      </c>
      <c r="M5222">
        <v>0.99943070000000001</v>
      </c>
      <c r="N5222">
        <v>-1.205615E-2</v>
      </c>
      <c r="O5222">
        <v>-3.1514019999999997E-2</v>
      </c>
      <c r="P5222">
        <v>0.98096240000000001</v>
      </c>
      <c r="Q5222">
        <v>0.17910329999999999</v>
      </c>
      <c r="R5222">
        <v>-7.5067869999999995E-2</v>
      </c>
      <c r="S5222">
        <v>3.0432739999999998</v>
      </c>
      <c r="T5222">
        <v>-0.13898750000000001</v>
      </c>
      <c r="U5222">
        <v>-0.5175476</v>
      </c>
      <c r="V5222">
        <v>4.4161029999999997E-2</v>
      </c>
      <c r="W5222">
        <v>0.19092899999999999</v>
      </c>
      <c r="X5222">
        <v>0.98060999999999998</v>
      </c>
      <c r="Y5222">
        <v>0.1363441</v>
      </c>
      <c r="Z5222">
        <v>-2.8682460000000001E-3</v>
      </c>
      <c r="AA5222">
        <v>0.99065740000000002</v>
      </c>
      <c r="AB5222">
        <v>32</v>
      </c>
      <c r="AC5222">
        <v>24.398</v>
      </c>
      <c r="AD5222">
        <v>-1.12120407705</v>
      </c>
      <c r="AE5222">
        <v>-4.1702499999999896</v>
      </c>
      <c r="AF5222">
        <v>3.3922829147725899</v>
      </c>
      <c r="AG5222">
        <v>-1.12120407705</v>
      </c>
      <c r="AH5222">
        <v>24.467107015311601</v>
      </c>
      <c r="AI5222">
        <v>92.598915126667606</v>
      </c>
      <c r="AJ5222">
        <v>82.106453216122901</v>
      </c>
      <c r="AK5222">
        <v>24.726585038273299</v>
      </c>
      <c r="AL5222">
        <v>78.992995754985998</v>
      </c>
      <c r="AM5222">
        <v>87.421470101679901</v>
      </c>
      <c r="AN5222">
        <v>1.0000000258558299</v>
      </c>
    </row>
    <row r="5223" spans="1:40" x14ac:dyDescent="0.25">
      <c r="A5223" t="str">
        <f>"20190303162925417"</f>
        <v>20190303162925417</v>
      </c>
      <c r="B5223" t="str">
        <f>"1551601765407134"</f>
        <v>1551601765407134</v>
      </c>
      <c r="C5223" t="s">
        <v>40</v>
      </c>
      <c r="D5223">
        <v>5.074986</v>
      </c>
      <c r="E5223">
        <v>0.53723310000000002</v>
      </c>
      <c r="F5223" t="s">
        <v>41</v>
      </c>
      <c r="G5223">
        <v>-341.41399999999999</v>
      </c>
      <c r="H5223" s="1">
        <v>-4.7435429999999997E-6</v>
      </c>
      <c r="I5223">
        <v>13.539759999999999</v>
      </c>
      <c r="J5223">
        <v>-367.08499999999998</v>
      </c>
      <c r="K5223">
        <v>1.121205</v>
      </c>
      <c r="L5223">
        <v>17.977810000000002</v>
      </c>
      <c r="M5223">
        <v>0.9994286</v>
      </c>
      <c r="N5223">
        <v>-1.2065579999999999E-2</v>
      </c>
      <c r="O5223">
        <v>-3.1571309999999998E-2</v>
      </c>
      <c r="P5223">
        <v>0.98063699999999998</v>
      </c>
      <c r="Q5223">
        <v>0.18017540000000001</v>
      </c>
      <c r="R5223">
        <v>-7.6733099999999999E-2</v>
      </c>
      <c r="S5223">
        <v>3.042297</v>
      </c>
      <c r="T5223">
        <v>-0.13201270000000001</v>
      </c>
      <c r="U5223">
        <v>-0.52316279999999904</v>
      </c>
      <c r="V5223">
        <v>4.578028E-2</v>
      </c>
      <c r="W5223">
        <v>0.19200639999999999</v>
      </c>
      <c r="X5223">
        <v>0.98032529999999996</v>
      </c>
      <c r="Y5223">
        <v>0.1381271</v>
      </c>
      <c r="Z5223">
        <v>-2.8335970000000002E-3</v>
      </c>
      <c r="AA5223">
        <v>0.99041040000000002</v>
      </c>
      <c r="AB5223">
        <v>32</v>
      </c>
      <c r="AC5223">
        <v>25.6709999999999</v>
      </c>
      <c r="AD5223">
        <v>-1.121209743543</v>
      </c>
      <c r="AE5223">
        <v>-4.4380499999999996</v>
      </c>
      <c r="AF5223">
        <v>3.6186086151061798</v>
      </c>
      <c r="AG5223">
        <v>-1.121209743543</v>
      </c>
      <c r="AH5223">
        <v>25.7506300142798</v>
      </c>
      <c r="AI5223">
        <v>92.468916711515604</v>
      </c>
      <c r="AJ5223">
        <v>82.000886783567395</v>
      </c>
      <c r="AK5223">
        <v>26.027800247632602</v>
      </c>
      <c r="AL5223">
        <v>78.930101300430394</v>
      </c>
      <c r="AM5223">
        <v>87.326282858473206</v>
      </c>
      <c r="AN5223">
        <v>0.99999999274896401</v>
      </c>
    </row>
    <row r="5224" spans="1:40" x14ac:dyDescent="0.25">
      <c r="A5224" t="str">
        <f>"20190303162925430"</f>
        <v>20190303162925430</v>
      </c>
      <c r="B5224" t="str">
        <f>"1551601765426654"</f>
        <v>1551601765426654</v>
      </c>
      <c r="C5224" t="s">
        <v>40</v>
      </c>
      <c r="D5224">
        <v>5.0717109999999996</v>
      </c>
      <c r="E5224">
        <v>0.5371804</v>
      </c>
      <c r="F5224" t="s">
        <v>41</v>
      </c>
      <c r="G5224">
        <v>-340.40159999999997</v>
      </c>
      <c r="H5224" s="1">
        <v>-5.2133100000000004E-6</v>
      </c>
      <c r="I5224">
        <v>13.340020000000001</v>
      </c>
      <c r="J5224">
        <v>-366.92009999999999</v>
      </c>
      <c r="K5224">
        <v>1.121211</v>
      </c>
      <c r="L5224">
        <v>17.972560000000001</v>
      </c>
      <c r="M5224">
        <v>0.99942679999999995</v>
      </c>
      <c r="N5224">
        <v>-1.207458E-2</v>
      </c>
      <c r="O5224">
        <v>-3.1627049999999997E-2</v>
      </c>
      <c r="P5224">
        <v>0.98032549999999996</v>
      </c>
      <c r="Q5224">
        <v>0.18125630000000001</v>
      </c>
      <c r="R5224">
        <v>-7.8157619999999997E-2</v>
      </c>
      <c r="S5224">
        <v>3.0413209999999999</v>
      </c>
      <c r="T5224">
        <v>-0.12779299999999999</v>
      </c>
      <c r="U5224">
        <v>-0.52859500000000004</v>
      </c>
      <c r="V5224">
        <v>4.715975E-2</v>
      </c>
      <c r="W5224">
        <v>0.1930924</v>
      </c>
      <c r="X5224">
        <v>0.98004659999999999</v>
      </c>
      <c r="Y5224">
        <v>0.13984820000000001</v>
      </c>
      <c r="Z5224">
        <v>-2.8279379999999999E-3</v>
      </c>
      <c r="AA5224">
        <v>0.99016890000000002</v>
      </c>
      <c r="AB5224">
        <v>32</v>
      </c>
      <c r="AC5224">
        <v>26.5185</v>
      </c>
      <c r="AD5224">
        <v>-1.1212162133100001</v>
      </c>
      <c r="AE5224">
        <v>-4.6325399999999997</v>
      </c>
      <c r="AF5224">
        <v>3.7848934375054202</v>
      </c>
      <c r="AG5224">
        <v>-1.1212162133100001</v>
      </c>
      <c r="AH5224">
        <v>26.605603287723302</v>
      </c>
      <c r="AI5224">
        <v>92.389111401786394</v>
      </c>
      <c r="AJ5224">
        <v>81.903471489228195</v>
      </c>
      <c r="AK5224">
        <v>26.896852426147898</v>
      </c>
      <c r="AL5224">
        <v>78.866691902874294</v>
      </c>
      <c r="AM5224">
        <v>87.245057559551796</v>
      </c>
      <c r="AN5224">
        <v>1.0000000275646901</v>
      </c>
    </row>
    <row r="5225" spans="1:40" x14ac:dyDescent="0.25">
      <c r="A5225" t="str">
        <f>"20190303162925440"</f>
        <v>20190303162925440</v>
      </c>
      <c r="B5225" t="str">
        <f>"1551601765437390"</f>
        <v>1551601765437390</v>
      </c>
      <c r="C5225" t="s">
        <v>40</v>
      </c>
      <c r="D5225">
        <v>5.0892770000000001</v>
      </c>
      <c r="E5225">
        <v>0.53719589999999995</v>
      </c>
      <c r="F5225" t="s">
        <v>41</v>
      </c>
      <c r="G5225">
        <v>-339.7099</v>
      </c>
      <c r="H5225" s="1">
        <v>-1.789333E-6</v>
      </c>
      <c r="I5225">
        <v>13.20994</v>
      </c>
      <c r="J5225">
        <v>-366.75580000000002</v>
      </c>
      <c r="K5225">
        <v>1.121216</v>
      </c>
      <c r="L5225">
        <v>17.967289999999998</v>
      </c>
      <c r="M5225">
        <v>0.99942500000000001</v>
      </c>
      <c r="N5225">
        <v>-1.208333E-2</v>
      </c>
      <c r="O5225">
        <v>-3.1681710000000002E-2</v>
      </c>
      <c r="P5225">
        <v>0.98003079999999998</v>
      </c>
      <c r="Q5225">
        <v>0.1822664</v>
      </c>
      <c r="R5225">
        <v>-7.9491619999999999E-2</v>
      </c>
      <c r="S5225">
        <v>3.040985</v>
      </c>
      <c r="T5225">
        <v>-0.12530549999999999</v>
      </c>
      <c r="U5225">
        <v>-0.53225710000000004</v>
      </c>
      <c r="V5225">
        <v>4.8449440000000003E-2</v>
      </c>
      <c r="W5225">
        <v>0.1941071</v>
      </c>
      <c r="X5225">
        <v>0.97978319999999997</v>
      </c>
      <c r="Y5225">
        <v>0.14097299999999999</v>
      </c>
      <c r="Z5225">
        <v>-2.826079E-3</v>
      </c>
      <c r="AA5225">
        <v>0.99000940000000004</v>
      </c>
      <c r="AB5225">
        <v>32</v>
      </c>
      <c r="AC5225">
        <v>27.0459</v>
      </c>
      <c r="AD5225">
        <v>-1.121217789333</v>
      </c>
      <c r="AE5225">
        <v>-4.75734999999999</v>
      </c>
      <c r="AF5225">
        <v>3.8915512771149898</v>
      </c>
      <c r="AG5225">
        <v>-1.121217789333</v>
      </c>
      <c r="AH5225">
        <v>27.137813635232401</v>
      </c>
      <c r="AI5225">
        <v>92.341940168337004</v>
      </c>
      <c r="AJ5225">
        <v>81.839441776640101</v>
      </c>
      <c r="AK5225">
        <v>27.438335036480201</v>
      </c>
      <c r="AL5225">
        <v>78.807432603335101</v>
      </c>
      <c r="AM5225">
        <v>87.169078683916297</v>
      </c>
      <c r="AN5225">
        <v>1.00000001675448</v>
      </c>
    </row>
    <row r="5226" spans="1:40" x14ac:dyDescent="0.25">
      <c r="A5226" t="str">
        <f>"20190303162925459"</f>
        <v>20190303162925459</v>
      </c>
      <c r="B5226" t="str">
        <f>"1551601765447149"</f>
        <v>1551601765447149</v>
      </c>
      <c r="C5226" t="s">
        <v>40</v>
      </c>
      <c r="D5226">
        <v>5.058808</v>
      </c>
      <c r="E5226">
        <v>0.53717269999999995</v>
      </c>
      <c r="F5226" t="s">
        <v>41</v>
      </c>
      <c r="G5226">
        <v>-338.95819999999998</v>
      </c>
      <c r="H5226" s="1">
        <v>-2.0833949999999999E-6</v>
      </c>
      <c r="I5226">
        <v>13.066190000000001</v>
      </c>
      <c r="J5226">
        <v>-366.4889</v>
      </c>
      <c r="K5226">
        <v>1.121227</v>
      </c>
      <c r="L5226">
        <v>17.95871</v>
      </c>
      <c r="M5226">
        <v>0.99942200000000003</v>
      </c>
      <c r="N5226">
        <v>-1.210059E-2</v>
      </c>
      <c r="O5226">
        <v>-3.1771599999999997E-2</v>
      </c>
      <c r="P5226">
        <v>0.97975959999999995</v>
      </c>
      <c r="Q5226">
        <v>0.18311769999999999</v>
      </c>
      <c r="R5226">
        <v>-8.0866450000000006E-2</v>
      </c>
      <c r="S5226">
        <v>3.0404969999999998</v>
      </c>
      <c r="T5226">
        <v>-0.1226386</v>
      </c>
      <c r="U5226">
        <v>-0.53607179999999999</v>
      </c>
      <c r="V5226">
        <v>4.974489E-2</v>
      </c>
      <c r="W5226">
        <v>0.19497239999999999</v>
      </c>
      <c r="X5226">
        <v>0.97954640000000004</v>
      </c>
      <c r="Y5226">
        <v>0.14211940000000001</v>
      </c>
      <c r="Z5226">
        <v>-2.8216360000000002E-3</v>
      </c>
      <c r="AA5226">
        <v>0.98984550000000004</v>
      </c>
      <c r="AB5226">
        <v>32</v>
      </c>
      <c r="AC5226">
        <v>27.5307</v>
      </c>
      <c r="AD5226">
        <v>-1.121229083395</v>
      </c>
      <c r="AE5226">
        <v>-4.8925200000000002</v>
      </c>
      <c r="AF5226">
        <v>4.0088456273444804</v>
      </c>
      <c r="AG5226">
        <v>-1.121229083395</v>
      </c>
      <c r="AH5226">
        <v>27.6278318531926</v>
      </c>
      <c r="AI5226">
        <v>92.299918096867302</v>
      </c>
      <c r="AJ5226">
        <v>81.743905337965799</v>
      </c>
      <c r="AK5226">
        <v>27.9396687673568</v>
      </c>
      <c r="AL5226">
        <v>78.756888379546197</v>
      </c>
      <c r="AM5226">
        <v>87.092811672238497</v>
      </c>
      <c r="AN5226">
        <v>0.99999997029791499</v>
      </c>
    </row>
    <row r="5227" spans="1:40" x14ac:dyDescent="0.25">
      <c r="A5227" t="str">
        <f>"20190303162925471"</f>
        <v>20190303162925471</v>
      </c>
      <c r="B5227" t="str">
        <f>"1551601765466669"</f>
        <v>1551601765466669</v>
      </c>
      <c r="C5227" t="s">
        <v>40</v>
      </c>
      <c r="D5227">
        <v>5.0615449999999997</v>
      </c>
      <c r="E5227">
        <v>0.53701989999999999</v>
      </c>
      <c r="F5227" t="s">
        <v>41</v>
      </c>
      <c r="G5227">
        <v>-338.3075</v>
      </c>
      <c r="H5227" s="1">
        <v>-2.3334340000000001E-6</v>
      </c>
      <c r="I5227">
        <v>12.9587</v>
      </c>
      <c r="J5227">
        <v>-366.33460000000002</v>
      </c>
      <c r="K5227">
        <v>1.1212299999999999</v>
      </c>
      <c r="L5227">
        <v>17.953769999999999</v>
      </c>
      <c r="M5227">
        <v>0.99942019999999998</v>
      </c>
      <c r="N5227">
        <v>-1.211169E-2</v>
      </c>
      <c r="O5227">
        <v>-3.1824379999999999E-2</v>
      </c>
      <c r="P5227">
        <v>0.97959660000000004</v>
      </c>
      <c r="Q5227">
        <v>0.18377569999999999</v>
      </c>
      <c r="R5227">
        <v>-8.1347909999999996E-2</v>
      </c>
      <c r="S5227">
        <v>3.0400700000000001</v>
      </c>
      <c r="T5227">
        <v>-0.12095259999999999</v>
      </c>
      <c r="U5227">
        <v>-0.53936770000000001</v>
      </c>
      <c r="V5227">
        <v>5.0180339999999997E-2</v>
      </c>
      <c r="W5227">
        <v>0.1956388</v>
      </c>
      <c r="X5227">
        <v>0.97939129999999996</v>
      </c>
      <c r="Y5227">
        <v>0.14313339999999999</v>
      </c>
      <c r="Z5227">
        <v>-2.8260450000000001E-3</v>
      </c>
      <c r="AA5227">
        <v>0.98969940000000001</v>
      </c>
      <c r="AB5227">
        <v>32</v>
      </c>
      <c r="AC5227">
        <v>28.027100000000001</v>
      </c>
      <c r="AD5227">
        <v>-1.121232333434</v>
      </c>
      <c r="AE5227">
        <v>-4.9950700000000001</v>
      </c>
      <c r="AF5227">
        <v>4.0941783971410599</v>
      </c>
      <c r="AG5227">
        <v>-1.121232333434</v>
      </c>
      <c r="AH5227">
        <v>28.128246944200001</v>
      </c>
      <c r="AI5227">
        <v>92.258905503211807</v>
      </c>
      <c r="AJ5227">
        <v>81.718527902782199</v>
      </c>
      <c r="AK5227">
        <v>28.446752623929701</v>
      </c>
      <c r="AL5227">
        <v>78.717956652964702</v>
      </c>
      <c r="AM5227">
        <v>87.066943750481599</v>
      </c>
      <c r="AN5227">
        <v>0.999999962551822</v>
      </c>
    </row>
    <row r="5228" spans="1:40" x14ac:dyDescent="0.25">
      <c r="A5228" t="str">
        <f>"20190303162925483"</f>
        <v>20190303162925483</v>
      </c>
      <c r="B5228" t="str">
        <f>"1551601765477405"</f>
        <v>1551601765477405</v>
      </c>
      <c r="C5228" t="s">
        <v>40</v>
      </c>
      <c r="D5228">
        <v>5.0585589999999998</v>
      </c>
      <c r="E5228">
        <v>0.53691769999999905</v>
      </c>
      <c r="F5228" t="s">
        <v>41</v>
      </c>
      <c r="G5228">
        <v>-337.88780000000003</v>
      </c>
      <c r="H5228" s="1">
        <v>-2.4893620000000001E-6</v>
      </c>
      <c r="I5228">
        <v>12.90949</v>
      </c>
      <c r="J5228">
        <v>-366.1567</v>
      </c>
      <c r="K5228">
        <v>1.1212329999999999</v>
      </c>
      <c r="L5228">
        <v>17.948</v>
      </c>
      <c r="M5228">
        <v>0.99941809999999998</v>
      </c>
      <c r="N5228">
        <v>-1.2124960000000001E-2</v>
      </c>
      <c r="O5228">
        <v>-3.1885520000000001E-2</v>
      </c>
      <c r="P5228">
        <v>0.97955499999999995</v>
      </c>
      <c r="Q5228">
        <v>0.1840444</v>
      </c>
      <c r="R5228">
        <v>-8.1239339999999993E-2</v>
      </c>
      <c r="S5228">
        <v>3.040222</v>
      </c>
      <c r="T5228">
        <v>-0.11983050000000001</v>
      </c>
      <c r="U5228">
        <v>-0.53909300000000004</v>
      </c>
      <c r="V5228">
        <v>5.0014120000000002E-2</v>
      </c>
      <c r="W5228">
        <v>0.19591980000000001</v>
      </c>
      <c r="X5228">
        <v>0.97934370000000004</v>
      </c>
      <c r="Y5228">
        <v>0.14297979999999999</v>
      </c>
      <c r="Z5228">
        <v>-2.8072090000000002E-3</v>
      </c>
      <c r="AA5228">
        <v>0.98972170000000004</v>
      </c>
      <c r="AB5228">
        <v>32</v>
      </c>
      <c r="AC5228">
        <v>28.268899999999899</v>
      </c>
      <c r="AD5228">
        <v>-1.121235489362</v>
      </c>
      <c r="AE5228">
        <v>-5.0385099999999996</v>
      </c>
      <c r="AF5228">
        <v>4.1282185149117501</v>
      </c>
      <c r="AG5228">
        <v>-1.121235489362</v>
      </c>
      <c r="AH5228">
        <v>28.371931604178901</v>
      </c>
      <c r="AI5228">
        <v>92.239546109984602</v>
      </c>
      <c r="AJ5228">
        <v>81.721354158281798</v>
      </c>
      <c r="AK5228">
        <v>28.6926098513479</v>
      </c>
      <c r="AL5228">
        <v>78.701539609086495</v>
      </c>
      <c r="AM5228">
        <v>87.076500639396002</v>
      </c>
      <c r="AN5228">
        <v>1.0000000314805499</v>
      </c>
    </row>
    <row r="5229" spans="1:40" x14ac:dyDescent="0.25">
      <c r="A5229" t="str">
        <f>"20190303162925495"</f>
        <v>20190303162925495</v>
      </c>
      <c r="B5229" t="str">
        <f>"1551601765487166"</f>
        <v>1551601765487166</v>
      </c>
      <c r="C5229" t="s">
        <v>40</v>
      </c>
      <c r="D5229">
        <v>5.0772279999999999</v>
      </c>
      <c r="E5229">
        <v>0.53679650000000001</v>
      </c>
      <c r="F5229" t="s">
        <v>41</v>
      </c>
      <c r="G5229">
        <v>-337.53289999999998</v>
      </c>
      <c r="H5229" s="1">
        <v>-2.6164449999999998E-6</v>
      </c>
      <c r="I5229">
        <v>12.8858</v>
      </c>
      <c r="J5229">
        <v>-365.9803</v>
      </c>
      <c r="K5229">
        <v>1.1212359999999999</v>
      </c>
      <c r="L5229">
        <v>17.942319999999999</v>
      </c>
      <c r="M5229">
        <v>0.99941610000000003</v>
      </c>
      <c r="N5229">
        <v>-1.213791E-2</v>
      </c>
      <c r="O5229">
        <v>-3.194582E-2</v>
      </c>
      <c r="P5229">
        <v>0.97942419999999997</v>
      </c>
      <c r="Q5229">
        <v>0.18481249999999999</v>
      </c>
      <c r="R5229">
        <v>-8.1074010000000002E-2</v>
      </c>
      <c r="S5229">
        <v>3.040375</v>
      </c>
      <c r="T5229">
        <v>-0.119095699999999</v>
      </c>
      <c r="U5229">
        <v>-0.53768919999999998</v>
      </c>
      <c r="V5229">
        <v>4.9794560000000002E-2</v>
      </c>
      <c r="W5229">
        <v>0.19669919999999999</v>
      </c>
      <c r="X5229">
        <v>0.97919860000000003</v>
      </c>
      <c r="Y5229">
        <v>0.14247019999999999</v>
      </c>
      <c r="Z5229">
        <v>-2.7843899999999999E-3</v>
      </c>
      <c r="AA5229">
        <v>0.98979510000000004</v>
      </c>
      <c r="AB5229">
        <v>32</v>
      </c>
      <c r="AC5229">
        <v>28.447399999999998</v>
      </c>
      <c r="AD5229">
        <v>-1.1212386164449999</v>
      </c>
      <c r="AE5229">
        <v>-5.0565199999999999</v>
      </c>
      <c r="AF5229">
        <v>4.1388637007795497</v>
      </c>
      <c r="AG5229">
        <v>-1.1212386164449999</v>
      </c>
      <c r="AH5229">
        <v>28.551428768122999</v>
      </c>
      <c r="AI5229">
        <v>92.225658298951402</v>
      </c>
      <c r="AJ5229">
        <v>81.751761926805798</v>
      </c>
      <c r="AK5229">
        <v>28.871637526642601</v>
      </c>
      <c r="AL5229">
        <v>78.6559965876489</v>
      </c>
      <c r="AM5229">
        <v>87.088881996554704</v>
      </c>
      <c r="AN5229">
        <v>0.999999985864096</v>
      </c>
    </row>
    <row r="5230" spans="1:40" x14ac:dyDescent="0.25">
      <c r="A5230" t="str">
        <f>"20190303162925506"</f>
        <v>20190303162925506</v>
      </c>
      <c r="B5230" t="str">
        <f>"1551601765496925"</f>
        <v>1551601765496925</v>
      </c>
      <c r="C5230" t="s">
        <v>40</v>
      </c>
      <c r="D5230">
        <v>5.0858480000000004</v>
      </c>
      <c r="E5230">
        <v>0.53670569999999995</v>
      </c>
      <c r="F5230" t="s">
        <v>41</v>
      </c>
      <c r="G5230">
        <v>-336.89150000000001</v>
      </c>
      <c r="H5230" s="1">
        <v>-2.8536690000000001E-6</v>
      </c>
      <c r="I5230">
        <v>12.81456</v>
      </c>
      <c r="J5230">
        <v>-365.82049999999998</v>
      </c>
      <c r="K5230">
        <v>1.121237</v>
      </c>
      <c r="L5230">
        <v>17.93713</v>
      </c>
      <c r="M5230">
        <v>0.99941420000000003</v>
      </c>
      <c r="N5230">
        <v>-1.2149389999999999E-2</v>
      </c>
      <c r="O5230">
        <v>-3.2000500000000001E-2</v>
      </c>
      <c r="P5230">
        <v>0.9792651</v>
      </c>
      <c r="Q5230">
        <v>0.18579899999999999</v>
      </c>
      <c r="R5230">
        <v>-8.0740409999999999E-2</v>
      </c>
      <c r="S5230">
        <v>3.0407410000000001</v>
      </c>
      <c r="T5230">
        <v>-0.1172062</v>
      </c>
      <c r="U5230">
        <v>-0.53601069999999995</v>
      </c>
      <c r="V5230">
        <v>4.9413319999999997E-2</v>
      </c>
      <c r="W5230">
        <v>0.19769490000000001</v>
      </c>
      <c r="X5230">
        <v>0.97901740000000004</v>
      </c>
      <c r="Y5230">
        <v>0.14186969999999999</v>
      </c>
      <c r="Z5230">
        <v>-2.7446319999999999E-3</v>
      </c>
      <c r="AA5230">
        <v>0.98988149999999997</v>
      </c>
      <c r="AB5230">
        <v>32</v>
      </c>
      <c r="AC5230">
        <v>28.928999999999899</v>
      </c>
      <c r="AD5230">
        <v>-1.121239853669</v>
      </c>
      <c r="AE5230">
        <v>-5.1225699999999996</v>
      </c>
      <c r="AF5230">
        <v>4.1880354509912596</v>
      </c>
      <c r="AG5230">
        <v>-1.121239853669</v>
      </c>
      <c r="AH5230">
        <v>29.035826982990201</v>
      </c>
      <c r="AI5230">
        <v>92.188791456846303</v>
      </c>
      <c r="AJ5230">
        <v>81.792443774718294</v>
      </c>
      <c r="AK5230">
        <v>29.357725871299301</v>
      </c>
      <c r="AL5230">
        <v>78.597804783527806</v>
      </c>
      <c r="AM5230">
        <v>87.110598591058405</v>
      </c>
      <c r="AN5230">
        <v>1.0000000095910899</v>
      </c>
    </row>
    <row r="5231" spans="1:40" x14ac:dyDescent="0.25">
      <c r="A5231" t="str">
        <f>"20190303162925519"</f>
        <v>20190303162925519</v>
      </c>
      <c r="B5231" t="str">
        <f>"1551601765506686"</f>
        <v>1551601765506686</v>
      </c>
      <c r="C5231" t="s">
        <v>40</v>
      </c>
      <c r="D5231">
        <v>5.0663429999999998</v>
      </c>
      <c r="E5231">
        <v>0.53662650000000001</v>
      </c>
      <c r="F5231" t="s">
        <v>41</v>
      </c>
      <c r="G5231">
        <v>-336.10500000000002</v>
      </c>
      <c r="H5231" s="1">
        <v>-3.1470889999999998E-6</v>
      </c>
      <c r="I5231">
        <v>12.717700000000001</v>
      </c>
      <c r="J5231">
        <v>-365.64800000000002</v>
      </c>
      <c r="K5231">
        <v>1.1212409999999999</v>
      </c>
      <c r="L5231">
        <v>17.93158</v>
      </c>
      <c r="M5231">
        <v>0.99941199999999997</v>
      </c>
      <c r="N5231">
        <v>-1.2161170000000001E-2</v>
      </c>
      <c r="O5231">
        <v>-3.2059230000000001E-2</v>
      </c>
      <c r="P5231">
        <v>0.97913450000000002</v>
      </c>
      <c r="Q5231">
        <v>0.18672759999999999</v>
      </c>
      <c r="R5231">
        <v>-8.0179509999999996E-2</v>
      </c>
      <c r="S5231">
        <v>3.0412599999999999</v>
      </c>
      <c r="T5231">
        <v>-0.1147543</v>
      </c>
      <c r="U5231">
        <v>-0.53417969999999904</v>
      </c>
      <c r="V5231">
        <v>4.8799790000000003E-2</v>
      </c>
      <c r="W5231">
        <v>0.198633</v>
      </c>
      <c r="X5231">
        <v>0.97885829999999996</v>
      </c>
      <c r="Y5231">
        <v>0.14120940000000001</v>
      </c>
      <c r="Z5231">
        <v>-2.6966080000000001E-3</v>
      </c>
      <c r="AA5231">
        <v>0.98997610000000003</v>
      </c>
      <c r="AB5231">
        <v>32</v>
      </c>
      <c r="AC5231">
        <v>29.542999999999999</v>
      </c>
      <c r="AD5231">
        <v>-1.121244147089</v>
      </c>
      <c r="AE5231">
        <v>-5.2138799999999996</v>
      </c>
      <c r="AF5231">
        <v>4.2580555046124298</v>
      </c>
      <c r="AG5231">
        <v>-1.121244147089</v>
      </c>
      <c r="AH5231">
        <v>29.653553562235299</v>
      </c>
      <c r="AI5231">
        <v>92.143441176847304</v>
      </c>
      <c r="AJ5231">
        <v>81.828559421384099</v>
      </c>
      <c r="AK5231">
        <v>29.9786834932106</v>
      </c>
      <c r="AL5231">
        <v>78.542968374453594</v>
      </c>
      <c r="AM5231">
        <v>87.145951517675897</v>
      </c>
      <c r="AN5231">
        <v>1.0000000298359599</v>
      </c>
    </row>
    <row r="5232" spans="1:40" x14ac:dyDescent="0.25">
      <c r="A5232" t="str">
        <f>"20190303162925539"</f>
        <v>20190303162925539</v>
      </c>
      <c r="B5232" t="str">
        <f>"1551601765527183"</f>
        <v>1551601765527183</v>
      </c>
      <c r="C5232" t="s">
        <v>40</v>
      </c>
      <c r="D5232">
        <v>5.07158</v>
      </c>
      <c r="E5232">
        <v>0.53650750000000003</v>
      </c>
      <c r="F5232" t="s">
        <v>41</v>
      </c>
      <c r="G5232">
        <v>-335.20549999999997</v>
      </c>
      <c r="H5232" s="1">
        <v>-3.481392E-6</v>
      </c>
      <c r="I5232">
        <v>12.61168</v>
      </c>
      <c r="J5232">
        <v>-365.36349999999999</v>
      </c>
      <c r="K5232">
        <v>1.121251</v>
      </c>
      <c r="L5232">
        <v>17.922329999999999</v>
      </c>
      <c r="M5232">
        <v>0.99940870000000004</v>
      </c>
      <c r="N5232">
        <v>-1.217942E-2</v>
      </c>
      <c r="O5232">
        <v>-3.2156369999999997E-2</v>
      </c>
      <c r="P5232">
        <v>0.97894179999999997</v>
      </c>
      <c r="Q5232">
        <v>0.1885105</v>
      </c>
      <c r="R5232">
        <v>-7.8338279999999996E-2</v>
      </c>
      <c r="S5232">
        <v>3.0418090000000002</v>
      </c>
      <c r="T5232">
        <v>-0.1120343</v>
      </c>
      <c r="U5232">
        <v>-0.53155520000000001</v>
      </c>
      <c r="V5232">
        <v>4.6870670000000003E-2</v>
      </c>
      <c r="W5232">
        <v>0.20043140000000001</v>
      </c>
      <c r="X5232">
        <v>0.97858590000000001</v>
      </c>
      <c r="Y5232">
        <v>0.140259299999999</v>
      </c>
      <c r="Z5232">
        <v>-2.6385309999999999E-3</v>
      </c>
      <c r="AA5232">
        <v>0.99011130000000003</v>
      </c>
      <c r="AB5232">
        <v>32</v>
      </c>
      <c r="AC5232">
        <v>30.158000000000001</v>
      </c>
      <c r="AD5232">
        <v>-1.121254481392</v>
      </c>
      <c r="AE5232">
        <v>-5.3106499999999901</v>
      </c>
      <c r="AF5232">
        <v>4.3322511361506901</v>
      </c>
      <c r="AG5232">
        <v>-1.121254481392</v>
      </c>
      <c r="AH5232">
        <v>30.2725980385698</v>
      </c>
      <c r="AI5232">
        <v>92.099811956457103</v>
      </c>
      <c r="AJ5232">
        <v>81.855812219850407</v>
      </c>
      <c r="AK5232">
        <v>30.601565377012001</v>
      </c>
      <c r="AL5232">
        <v>78.437812563812003</v>
      </c>
      <c r="AM5232">
        <v>87.257838235760602</v>
      </c>
      <c r="AN5232">
        <v>0.999999984745509</v>
      </c>
    </row>
    <row r="5233" spans="1:40" x14ac:dyDescent="0.25">
      <c r="A5233" t="str">
        <f>"20190303162925553"</f>
        <v>20190303162925553</v>
      </c>
      <c r="B5233" t="str">
        <f>"1551601765546702"</f>
        <v>1551601765546702</v>
      </c>
      <c r="C5233" t="s">
        <v>40</v>
      </c>
      <c r="D5233">
        <v>5.0466509999999998</v>
      </c>
      <c r="E5233">
        <v>0.53628580000000003</v>
      </c>
      <c r="F5233" t="s">
        <v>41</v>
      </c>
      <c r="G5233">
        <v>-333.4631</v>
      </c>
      <c r="H5233" s="1">
        <v>-4.126E-6</v>
      </c>
      <c r="I5233">
        <v>12.41757</v>
      </c>
      <c r="J5233">
        <v>-365.16750000000002</v>
      </c>
      <c r="K5233">
        <v>1.121256</v>
      </c>
      <c r="L5233">
        <v>17.915949999999999</v>
      </c>
      <c r="M5233">
        <v>0.99940640000000003</v>
      </c>
      <c r="N5233">
        <v>-1.219109E-2</v>
      </c>
      <c r="O5233">
        <v>-3.222378E-2</v>
      </c>
      <c r="P5233">
        <v>0.97891209999999995</v>
      </c>
      <c r="Q5233">
        <v>0.18907840000000001</v>
      </c>
      <c r="R5233">
        <v>-7.7335470000000003E-2</v>
      </c>
      <c r="S5233">
        <v>3.0431210000000002</v>
      </c>
      <c r="T5233">
        <v>-0.1069614</v>
      </c>
      <c r="U5233">
        <v>-0.52511600000000003</v>
      </c>
      <c r="V5233">
        <v>4.5803110000000001E-2</v>
      </c>
      <c r="W5233">
        <v>0.2010102</v>
      </c>
      <c r="X5233">
        <v>0.97851779999999999</v>
      </c>
      <c r="Y5233">
        <v>0.1380962</v>
      </c>
      <c r="Z5233">
        <v>-2.523904E-3</v>
      </c>
      <c r="AA5233">
        <v>0.99041559999999995</v>
      </c>
      <c r="AB5233">
        <v>32</v>
      </c>
      <c r="AC5233">
        <v>31.7044</v>
      </c>
      <c r="AD5233">
        <v>-1.1212601259999999</v>
      </c>
      <c r="AE5233">
        <v>-5.4983799999999903</v>
      </c>
      <c r="AF5233">
        <v>4.4683870005395798</v>
      </c>
      <c r="AG5233">
        <v>-1.1212601259999999</v>
      </c>
      <c r="AH5233">
        <v>31.826479594289601</v>
      </c>
      <c r="AI5233">
        <v>91.998138512291405</v>
      </c>
      <c r="AJ5233">
        <v>82.008002662823301</v>
      </c>
      <c r="AK5233">
        <v>32.158179519719098</v>
      </c>
      <c r="AL5233">
        <v>78.403961659417504</v>
      </c>
      <c r="AM5233">
        <v>87.320017345771802</v>
      </c>
      <c r="AN5233">
        <v>1.00000005515327</v>
      </c>
    </row>
    <row r="5234" spans="1:40" x14ac:dyDescent="0.25">
      <c r="A5234" t="str">
        <f>"20190303162925572"</f>
        <v>20190303162925572</v>
      </c>
      <c r="B5234" t="str">
        <f>"1551601765567198"</f>
        <v>1551601765567198</v>
      </c>
      <c r="C5234" t="s">
        <v>40</v>
      </c>
      <c r="D5234">
        <v>5.288348</v>
      </c>
      <c r="E5234">
        <v>0.53628580000000003</v>
      </c>
      <c r="F5234" t="s">
        <v>41</v>
      </c>
      <c r="G5234">
        <v>-333.48939999999999</v>
      </c>
      <c r="H5234" s="1">
        <v>-4.0948409999999998E-6</v>
      </c>
      <c r="I5234">
        <v>12.500959999999999</v>
      </c>
      <c r="J5234">
        <v>-364.9058</v>
      </c>
      <c r="K5234">
        <v>1.1212629999999999</v>
      </c>
      <c r="L5234">
        <v>17.907440000000001</v>
      </c>
      <c r="M5234">
        <v>0.99940340000000005</v>
      </c>
      <c r="N5234">
        <v>-1.220572E-2</v>
      </c>
      <c r="O5234">
        <v>-3.2313969999999997E-2</v>
      </c>
      <c r="P5234">
        <v>0.9788905</v>
      </c>
      <c r="Q5234">
        <v>0.19042049999999999</v>
      </c>
      <c r="R5234">
        <v>-7.4256610000000001E-2</v>
      </c>
      <c r="S5234">
        <v>3.0443419999999999</v>
      </c>
      <c r="T5234">
        <v>-0.1077557</v>
      </c>
      <c r="U5234">
        <v>-0.52038569999999995</v>
      </c>
      <c r="V5234">
        <v>4.2637809999999998E-2</v>
      </c>
      <c r="W5234">
        <v>0.20236599999999999</v>
      </c>
      <c r="X5234">
        <v>0.97838130000000001</v>
      </c>
      <c r="Y5234">
        <v>0.13644529999999999</v>
      </c>
      <c r="Z5234">
        <v>-2.4933020000000002E-3</v>
      </c>
      <c r="AA5234">
        <v>0.99064450000000004</v>
      </c>
      <c r="AB5234">
        <v>32</v>
      </c>
      <c r="AC5234">
        <v>31.416399999999999</v>
      </c>
      <c r="AD5234">
        <v>-1.121267094841</v>
      </c>
      <c r="AE5234">
        <v>-5.4064800000000002</v>
      </c>
      <c r="AF5234">
        <v>4.3829695791147598</v>
      </c>
      <c r="AG5234">
        <v>-1.121267094841</v>
      </c>
      <c r="AH5234">
        <v>31.5356936090866</v>
      </c>
      <c r="AI5234">
        <v>92.016950844018297</v>
      </c>
      <c r="AJ5234">
        <v>82.0874683270291</v>
      </c>
      <c r="AK5234">
        <v>31.858556678475001</v>
      </c>
      <c r="AL5234">
        <v>78.324649217101197</v>
      </c>
      <c r="AM5234">
        <v>87.504631629800897</v>
      </c>
      <c r="AN5234">
        <v>0.99999997449364197</v>
      </c>
    </row>
    <row r="5235" spans="1:40" x14ac:dyDescent="0.25">
      <c r="A5235" t="str">
        <f>"20190303162925584"</f>
        <v>20190303162925584</v>
      </c>
      <c r="B5235" t="str">
        <f>"1551601765576958"</f>
        <v>1551601765576958</v>
      </c>
      <c r="C5235" t="s">
        <v>40</v>
      </c>
      <c r="D5235">
        <v>5.019196</v>
      </c>
      <c r="E5235">
        <v>0.49680780000000002</v>
      </c>
      <c r="F5235" t="s">
        <v>41</v>
      </c>
      <c r="G5235">
        <v>-331.86509999999998</v>
      </c>
      <c r="H5235" s="1">
        <v>-4.7591930000000001E-6</v>
      </c>
      <c r="I5235">
        <v>12.360620000000001</v>
      </c>
      <c r="J5235">
        <v>-364.72430000000003</v>
      </c>
      <c r="K5235">
        <v>1.121264</v>
      </c>
      <c r="L5235">
        <v>17.901520000000001</v>
      </c>
      <c r="M5235">
        <v>0.99940119999999999</v>
      </c>
      <c r="N5235">
        <v>-1.221527E-2</v>
      </c>
      <c r="O5235">
        <v>-3.237636E-2</v>
      </c>
      <c r="P5235">
        <v>0.97897350000000005</v>
      </c>
      <c r="Q5235">
        <v>0.19070529999999999</v>
      </c>
      <c r="R5235">
        <v>-7.2405579999999997E-2</v>
      </c>
      <c r="S5235">
        <v>3.0460210000000001</v>
      </c>
      <c r="T5235">
        <v>-0.1033695</v>
      </c>
      <c r="U5235">
        <v>-0.51135249999999999</v>
      </c>
      <c r="V5235">
        <v>4.0723910000000002E-2</v>
      </c>
      <c r="W5235">
        <v>0.2026607</v>
      </c>
      <c r="X5235">
        <v>0.97840179999999999</v>
      </c>
      <c r="Y5235">
        <v>0.13344539999999999</v>
      </c>
      <c r="Z5235">
        <v>-2.3720730000000002E-3</v>
      </c>
      <c r="AA5235">
        <v>0.99105330000000003</v>
      </c>
      <c r="AB5235">
        <v>32</v>
      </c>
      <c r="AC5235">
        <v>32.859200000000001</v>
      </c>
      <c r="AD5235">
        <v>-1.121268759193</v>
      </c>
      <c r="AE5235">
        <v>-5.5408999999999997</v>
      </c>
      <c r="AF5235">
        <v>4.4689943172918403</v>
      </c>
      <c r="AG5235">
        <v>-1.121268759193</v>
      </c>
      <c r="AH5235">
        <v>32.984033470045397</v>
      </c>
      <c r="AI5235">
        <v>91.929364469427995</v>
      </c>
      <c r="AJ5235">
        <v>82.284002712042096</v>
      </c>
      <c r="AK5235">
        <v>33.304288279310299</v>
      </c>
      <c r="AL5235">
        <v>78.307406462137607</v>
      </c>
      <c r="AM5235">
        <v>87.616559874477304</v>
      </c>
      <c r="AN5235">
        <v>0.99999993920670704</v>
      </c>
    </row>
    <row r="5236" spans="1:40" x14ac:dyDescent="0.25">
      <c r="A5236" t="str">
        <f>"20190303162925595"</f>
        <v>20190303162925595</v>
      </c>
      <c r="B5236" t="str">
        <f>"1551601765586720"</f>
        <v>1551601765586720</v>
      </c>
      <c r="C5236" t="s">
        <v>40</v>
      </c>
      <c r="D5236">
        <v>5.0226499999999996</v>
      </c>
      <c r="E5236">
        <v>0.48081699999999999</v>
      </c>
      <c r="F5236" t="s">
        <v>41</v>
      </c>
      <c r="G5236">
        <v>-332.97390000000001</v>
      </c>
      <c r="H5236" s="1">
        <v>-3.651924E-6</v>
      </c>
      <c r="I5236">
        <v>15.921239999999999</v>
      </c>
      <c r="J5236">
        <v>-364.55849999999998</v>
      </c>
      <c r="K5236">
        <v>1.1212690000000001</v>
      </c>
      <c r="L5236">
        <v>17.896059999999999</v>
      </c>
      <c r="M5236">
        <v>0.99939920000000004</v>
      </c>
      <c r="N5236">
        <v>-1.222321E-2</v>
      </c>
      <c r="O5236">
        <v>-3.2432910000000002E-2</v>
      </c>
      <c r="P5236">
        <v>0.97903759999999995</v>
      </c>
      <c r="Q5236">
        <v>0.19114729999999999</v>
      </c>
      <c r="R5236">
        <v>-7.0343680000000006E-2</v>
      </c>
      <c r="S5236">
        <v>3.0714419999999998</v>
      </c>
      <c r="T5236">
        <v>-0.1084681</v>
      </c>
      <c r="U5236">
        <v>-0.1915588</v>
      </c>
      <c r="V5236">
        <v>3.8605399999999998E-2</v>
      </c>
      <c r="W5236">
        <v>0.20311119999999999</v>
      </c>
      <c r="X5236">
        <v>0.97839430000000005</v>
      </c>
      <c r="Y5236">
        <v>2.9825239999999999E-2</v>
      </c>
      <c r="Z5236" s="1">
        <v>3.8821079999999999E-5</v>
      </c>
      <c r="AA5236">
        <v>0.99955510000000003</v>
      </c>
      <c r="AB5236">
        <v>32</v>
      </c>
      <c r="AC5236">
        <v>31.584599999999899</v>
      </c>
      <c r="AD5236">
        <v>-1.1212726519239999</v>
      </c>
      <c r="AE5236">
        <v>-1.97482</v>
      </c>
      <c r="AF5236">
        <v>0.94813365668635596</v>
      </c>
      <c r="AG5236">
        <v>-1.1212726519239999</v>
      </c>
      <c r="AH5236">
        <v>31.592374651779799</v>
      </c>
      <c r="AI5236">
        <v>92.031767476818999</v>
      </c>
      <c r="AJ5236">
        <v>88.280985311610294</v>
      </c>
      <c r="AK5236">
        <v>31.626481719111801</v>
      </c>
      <c r="AL5236">
        <v>78.281046868998104</v>
      </c>
      <c r="AM5236">
        <v>87.740400141886894</v>
      </c>
      <c r="AN5236">
        <v>0.99999997137354402</v>
      </c>
    </row>
    <row r="5237" spans="1:40" x14ac:dyDescent="0.25">
      <c r="A5237" t="str">
        <f>"20190303162925607"</f>
        <v>20190303162925607</v>
      </c>
      <c r="B5237" t="str">
        <f>"1551601765597453"</f>
        <v>1551601765597453</v>
      </c>
      <c r="C5237" t="s">
        <v>40</v>
      </c>
      <c r="D5237">
        <v>5.1324180000000004</v>
      </c>
      <c r="E5237">
        <v>0.46866720000000001</v>
      </c>
      <c r="F5237" t="s">
        <v>41</v>
      </c>
      <c r="G5237">
        <v>-335.19779999999997</v>
      </c>
      <c r="H5237" s="1">
        <v>-2.4456100000000002E-6</v>
      </c>
      <c r="I5237">
        <v>17.343489999999999</v>
      </c>
      <c r="J5237">
        <v>-364.40230000000003</v>
      </c>
      <c r="K5237">
        <v>1.12127</v>
      </c>
      <c r="L5237">
        <v>17.89096</v>
      </c>
      <c r="M5237">
        <v>0.99939739999999999</v>
      </c>
      <c r="N5237">
        <v>-1.223047E-2</v>
      </c>
      <c r="O5237">
        <v>-3.248612E-2</v>
      </c>
      <c r="P5237">
        <v>0.97900350000000003</v>
      </c>
      <c r="Q5237">
        <v>0.19208459999999999</v>
      </c>
      <c r="R5237">
        <v>-6.8235169999999998E-2</v>
      </c>
      <c r="S5237">
        <v>3.0830380000000002</v>
      </c>
      <c r="T5237">
        <v>-0.1177396</v>
      </c>
      <c r="U5237">
        <v>-5.8013919999999997E-2</v>
      </c>
      <c r="V5237">
        <v>3.644708E-2</v>
      </c>
      <c r="W5237">
        <v>0.20405480000000001</v>
      </c>
      <c r="X5237">
        <v>0.97828079999999995</v>
      </c>
      <c r="Y5237">
        <v>-1.365487E-2</v>
      </c>
      <c r="Z5237">
        <v>1.1866940000000001E-3</v>
      </c>
      <c r="AA5237">
        <v>0.99990610000000002</v>
      </c>
      <c r="AB5237">
        <v>32</v>
      </c>
      <c r="AC5237">
        <v>29.204499999999999</v>
      </c>
      <c r="AD5237">
        <v>-1.1212724456100001</v>
      </c>
      <c r="AE5237">
        <v>-0.54747000000000001</v>
      </c>
      <c r="AF5237">
        <v>-0.401039858284996</v>
      </c>
      <c r="AG5237">
        <v>-1.1212724456100001</v>
      </c>
      <c r="AH5237">
        <v>29.163894697496499</v>
      </c>
      <c r="AI5237">
        <v>92.201574517572794</v>
      </c>
      <c r="AJ5237">
        <v>90.787838639207806</v>
      </c>
      <c r="AK5237">
        <v>29.188196908885701</v>
      </c>
      <c r="AL5237">
        <v>78.225826905317305</v>
      </c>
      <c r="AM5237">
        <v>87.866360585386602</v>
      </c>
      <c r="AN5237">
        <v>1.0000000373461</v>
      </c>
    </row>
    <row r="5238" spans="1:40" x14ac:dyDescent="0.25">
      <c r="A5238" t="str">
        <f>"20190303162925616"</f>
        <v>20190303162925616</v>
      </c>
      <c r="B5238" t="str">
        <f>"1551601765607215"</f>
        <v>1551601765607215</v>
      </c>
      <c r="C5238" t="s">
        <v>40</v>
      </c>
      <c r="D5238">
        <v>5.1994699999999998</v>
      </c>
      <c r="E5238">
        <v>0.46048090000000003</v>
      </c>
      <c r="F5238" t="s">
        <v>41</v>
      </c>
      <c r="G5238">
        <v>-338.4504</v>
      </c>
      <c r="H5238" s="1">
        <v>-8.8607249999999996E-7</v>
      </c>
      <c r="I5238">
        <v>18.268979999999999</v>
      </c>
      <c r="J5238">
        <v>-364.25409999999999</v>
      </c>
      <c r="K5238">
        <v>1.1212759999999999</v>
      </c>
      <c r="L5238">
        <v>17.886109999999999</v>
      </c>
      <c r="M5238">
        <v>0.9993957</v>
      </c>
      <c r="N5238">
        <v>-1.223691E-2</v>
      </c>
      <c r="O5238">
        <v>-3.253611E-2</v>
      </c>
      <c r="P5238">
        <v>0.97905819999999999</v>
      </c>
      <c r="Q5238">
        <v>0.1925248</v>
      </c>
      <c r="R5238">
        <v>-6.6174540000000004E-2</v>
      </c>
      <c r="S5238">
        <v>3.09375</v>
      </c>
      <c r="T5238">
        <v>-0.1336677</v>
      </c>
      <c r="U5238">
        <v>4.5074459999999997E-2</v>
      </c>
      <c r="V5238">
        <v>3.4336999999999999E-2</v>
      </c>
      <c r="W5238">
        <v>0.20450189999999999</v>
      </c>
      <c r="X5238">
        <v>0.97826369999999896</v>
      </c>
      <c r="Y5238">
        <v>-4.7023479999999999E-2</v>
      </c>
      <c r="Z5238">
        <v>2.3101049999999998E-3</v>
      </c>
      <c r="AA5238">
        <v>0.99889110000000003</v>
      </c>
      <c r="AB5238">
        <v>32</v>
      </c>
      <c r="AC5238">
        <v>25.8036999999999</v>
      </c>
      <c r="AD5238">
        <v>-1.1212768860725</v>
      </c>
      <c r="AE5238">
        <v>0.38286999999999599</v>
      </c>
      <c r="AF5238">
        <v>-1.2199789752886701</v>
      </c>
      <c r="AG5238">
        <v>-1.1212768860725</v>
      </c>
      <c r="AH5238">
        <v>25.729006070560899</v>
      </c>
      <c r="AI5238">
        <v>92.492589276676995</v>
      </c>
      <c r="AJ5238">
        <v>92.714731034867995</v>
      </c>
      <c r="AK5238">
        <v>25.7823071879602</v>
      </c>
      <c r="AL5238">
        <v>78.199657232735106</v>
      </c>
      <c r="AM5238">
        <v>87.989746688326903</v>
      </c>
      <c r="AN5238">
        <v>0.99999996170514904</v>
      </c>
    </row>
    <row r="5239" spans="1:40" x14ac:dyDescent="0.25">
      <c r="A5239" t="str">
        <f>"20190303162925627"</f>
        <v>20190303162925627</v>
      </c>
      <c r="B5239" t="str">
        <f>"1551601765616974"</f>
        <v>1551601765616974</v>
      </c>
      <c r="C5239" t="s">
        <v>40</v>
      </c>
      <c r="D5239">
        <v>5.1044039999999997</v>
      </c>
      <c r="E5239">
        <v>0.45643739999999999</v>
      </c>
      <c r="F5239" t="s">
        <v>41</v>
      </c>
      <c r="G5239">
        <v>-340.26389999999998</v>
      </c>
      <c r="H5239" s="1">
        <v>-4.3060589999999997E-6</v>
      </c>
      <c r="I5239">
        <v>18.787559999999999</v>
      </c>
      <c r="J5239">
        <v>-364.10700000000003</v>
      </c>
      <c r="K5239">
        <v>1.1212799999999901</v>
      </c>
      <c r="L5239">
        <v>17.881260000000001</v>
      </c>
      <c r="M5239">
        <v>0.99939409999999895</v>
      </c>
      <c r="N5239">
        <v>-1.2242970000000001E-2</v>
      </c>
      <c r="O5239">
        <v>-3.2585969999999999E-2</v>
      </c>
      <c r="P5239">
        <v>0.97908689999999998</v>
      </c>
      <c r="Q5239">
        <v>0.19309490000000001</v>
      </c>
      <c r="R5239">
        <v>-6.4061370000000006E-2</v>
      </c>
      <c r="S5239">
        <v>3.1005250000000002</v>
      </c>
      <c r="T5239">
        <v>-0.14491589999999999</v>
      </c>
      <c r="U5239">
        <v>0.1165161</v>
      </c>
      <c r="V5239">
        <v>3.2175139999999998E-2</v>
      </c>
      <c r="W5239">
        <v>0.20507829999999999</v>
      </c>
      <c r="X5239">
        <v>0.97821659999999999</v>
      </c>
      <c r="Y5239">
        <v>-6.998277E-2</v>
      </c>
      <c r="Z5239">
        <v>3.1859100000000001E-3</v>
      </c>
      <c r="AA5239">
        <v>0.99754310000000002</v>
      </c>
      <c r="AB5239">
        <v>32</v>
      </c>
      <c r="AC5239">
        <v>23.8431</v>
      </c>
      <c r="AD5239">
        <v>-1.1212843060590001</v>
      </c>
      <c r="AE5239">
        <v>0.906299999999998</v>
      </c>
      <c r="AF5239">
        <v>-1.6791191062236399</v>
      </c>
      <c r="AG5239">
        <v>-1.1212843060590001</v>
      </c>
      <c r="AH5239">
        <v>23.748454783907601</v>
      </c>
      <c r="AI5239">
        <v>92.696493491744306</v>
      </c>
      <c r="AJ5239">
        <v>94.044330577951797</v>
      </c>
      <c r="AK5239">
        <v>23.8341314943759</v>
      </c>
      <c r="AL5239">
        <v>78.1659176984802</v>
      </c>
      <c r="AM5239">
        <v>88.116127495767799</v>
      </c>
      <c r="AN5239">
        <v>1.0000000326402301</v>
      </c>
    </row>
    <row r="5240" spans="1:40" x14ac:dyDescent="0.25">
      <c r="A5240" t="str">
        <f>"20190303162925639"</f>
        <v>20190303162925639</v>
      </c>
      <c r="B5240" t="str">
        <f>"1551601765626734"</f>
        <v>1551601765626734</v>
      </c>
      <c r="C5240" t="s">
        <v>40</v>
      </c>
      <c r="D5240">
        <v>4.9874999999999998</v>
      </c>
      <c r="E5240">
        <v>0.45507609999999898</v>
      </c>
      <c r="F5240" t="s">
        <v>41</v>
      </c>
      <c r="G5240">
        <v>-341.09840000000003</v>
      </c>
      <c r="H5240" s="1">
        <v>-3.905096E-6</v>
      </c>
      <c r="I5240">
        <v>19.02985</v>
      </c>
      <c r="J5240">
        <v>-363.93680000000001</v>
      </c>
      <c r="K5240">
        <v>1.121278</v>
      </c>
      <c r="L5240">
        <v>17.875640000000001</v>
      </c>
      <c r="M5240">
        <v>0.99939210000000001</v>
      </c>
      <c r="N5240">
        <v>-1.224949E-2</v>
      </c>
      <c r="O5240">
        <v>-3.2643239999999997E-2</v>
      </c>
      <c r="P5240">
        <v>0.97909500000000005</v>
      </c>
      <c r="Q5240">
        <v>0.19373199999999999</v>
      </c>
      <c r="R5240">
        <v>-6.1976780000000002E-2</v>
      </c>
      <c r="S5240">
        <v>3.104095</v>
      </c>
      <c r="T5240">
        <v>-0.1512722</v>
      </c>
      <c r="U5240">
        <v>0.1549683</v>
      </c>
      <c r="V5240">
        <v>3.00355E-2</v>
      </c>
      <c r="W5240">
        <v>0.2057214</v>
      </c>
      <c r="X5240">
        <v>0.97814959999999995</v>
      </c>
      <c r="Y5240">
        <v>-8.2296540000000001E-2</v>
      </c>
      <c r="Z5240">
        <v>3.6971619999999999E-3</v>
      </c>
      <c r="AA5240">
        <v>0.99660099999999996</v>
      </c>
      <c r="AB5240">
        <v>32</v>
      </c>
      <c r="AC5240">
        <v>22.838399999999901</v>
      </c>
      <c r="AD5240">
        <v>-1.1212819050959999</v>
      </c>
      <c r="AE5240">
        <v>1.15420999999999</v>
      </c>
      <c r="AF5240">
        <v>-1.89461478693893</v>
      </c>
      <c r="AG5240">
        <v>-1.1212819050959999</v>
      </c>
      <c r="AH5240">
        <v>22.733887558226499</v>
      </c>
      <c r="AI5240">
        <v>92.813917869798203</v>
      </c>
      <c r="AJ5240">
        <v>94.763952443298194</v>
      </c>
      <c r="AK5240">
        <v>22.840238217051699</v>
      </c>
      <c r="AL5240">
        <v>78.128268024324598</v>
      </c>
      <c r="AM5240">
        <v>88.241202758544105</v>
      </c>
      <c r="AN5240">
        <v>1.00000003282918</v>
      </c>
    </row>
    <row r="5241" spans="1:40" x14ac:dyDescent="0.25">
      <c r="A5241" t="str">
        <f>"20190303162925650"</f>
        <v>20190303162925650</v>
      </c>
      <c r="B5241" t="str">
        <f>"1551601765637470"</f>
        <v>1551601765637470</v>
      </c>
      <c r="C5241" t="s">
        <v>40</v>
      </c>
      <c r="D5241">
        <v>5.0100619999999996</v>
      </c>
      <c r="E5241">
        <v>0.4540228</v>
      </c>
      <c r="F5241" t="s">
        <v>41</v>
      </c>
      <c r="G5241">
        <v>-341.52210000000002</v>
      </c>
      <c r="H5241" s="1">
        <v>-3.7079429999999998E-6</v>
      </c>
      <c r="I5241">
        <v>19.11647</v>
      </c>
      <c r="J5241">
        <v>-363.78899999999999</v>
      </c>
      <c r="K5241">
        <v>1.1212819999999999</v>
      </c>
      <c r="L5241">
        <v>17.87079</v>
      </c>
      <c r="M5241">
        <v>0.99939040000000001</v>
      </c>
      <c r="N5241">
        <v>-1.225473E-2</v>
      </c>
      <c r="O5241">
        <v>-3.2693100000000003E-2</v>
      </c>
      <c r="P5241">
        <v>0.97919480000000003</v>
      </c>
      <c r="Q5241">
        <v>0.19396060000000001</v>
      </c>
      <c r="R5241">
        <v>-5.9641640000000003E-2</v>
      </c>
      <c r="S5241">
        <v>3.1056819999999998</v>
      </c>
      <c r="T5241">
        <v>-0.15535969999999999</v>
      </c>
      <c r="U5241">
        <v>0.17193599999999901</v>
      </c>
      <c r="V5241">
        <v>2.7649610000000002E-2</v>
      </c>
      <c r="W5241">
        <v>0.2059561</v>
      </c>
      <c r="X5241">
        <v>0.97817050000000005</v>
      </c>
      <c r="Y5241">
        <v>-8.7733569999999997E-2</v>
      </c>
      <c r="Z5241">
        <v>3.9629890000000001E-3</v>
      </c>
      <c r="AA5241">
        <v>0.99613609999999997</v>
      </c>
      <c r="AB5241">
        <v>32</v>
      </c>
      <c r="AC5241">
        <v>22.2668999999999</v>
      </c>
      <c r="AD5241">
        <v>-1.1212857079430001</v>
      </c>
      <c r="AE5241">
        <v>1.2456799999999999</v>
      </c>
      <c r="AF5241">
        <v>-1.9680675619657799</v>
      </c>
      <c r="AG5241">
        <v>-1.1212857079430001</v>
      </c>
      <c r="AH5241">
        <v>22.158253626850399</v>
      </c>
      <c r="AI5241">
        <v>92.885557230425803</v>
      </c>
      <c r="AJ5241">
        <v>95.075618553932699</v>
      </c>
      <c r="AK5241">
        <v>22.2737238772309</v>
      </c>
      <c r="AL5241">
        <v>78.114525703219698</v>
      </c>
      <c r="AM5241">
        <v>88.380870991887903</v>
      </c>
      <c r="AN5241">
        <v>0.99999997156530496</v>
      </c>
    </row>
    <row r="5242" spans="1:40" x14ac:dyDescent="0.25">
      <c r="A5242" t="str">
        <f>"20190303162925660"</f>
        <v>20190303162925660</v>
      </c>
      <c r="B5242" t="str">
        <f>"1551601765647229"</f>
        <v>1551601765647229</v>
      </c>
      <c r="C5242" t="s">
        <v>40</v>
      </c>
      <c r="D5242">
        <v>5.0137260000000001</v>
      </c>
      <c r="E5242">
        <v>0.45336019999999999</v>
      </c>
      <c r="F5242" t="s">
        <v>41</v>
      </c>
      <c r="G5242">
        <v>-342.02210000000002</v>
      </c>
      <c r="H5242" s="1">
        <v>-3.481804E-6</v>
      </c>
      <c r="I5242">
        <v>19.182200000000002</v>
      </c>
      <c r="J5242">
        <v>-363.62779999999998</v>
      </c>
      <c r="K5242">
        <v>1.121283</v>
      </c>
      <c r="L5242">
        <v>17.865479999999899</v>
      </c>
      <c r="M5242">
        <v>0.99938850000000001</v>
      </c>
      <c r="N5242">
        <v>-1.2260210000000001E-2</v>
      </c>
      <c r="O5242">
        <v>-3.2747369999999998E-2</v>
      </c>
      <c r="P5242">
        <v>0.97923590000000005</v>
      </c>
      <c r="Q5242">
        <v>0.19438830000000001</v>
      </c>
      <c r="R5242">
        <v>-5.7537440000000002E-2</v>
      </c>
      <c r="S5242">
        <v>3.1068730000000002</v>
      </c>
      <c r="T5242">
        <v>-0.1600453</v>
      </c>
      <c r="U5242">
        <v>0.18719479999999999</v>
      </c>
      <c r="V5242">
        <v>2.5491949999999999E-2</v>
      </c>
      <c r="W5242">
        <v>0.20638909999999999</v>
      </c>
      <c r="X5242">
        <v>0.9781379</v>
      </c>
      <c r="Y5242">
        <v>-9.2624280000000003E-2</v>
      </c>
      <c r="Z5242">
        <v>4.2343299999999997E-3</v>
      </c>
      <c r="AA5242">
        <v>0.99569209999999997</v>
      </c>
      <c r="AB5242">
        <v>32</v>
      </c>
      <c r="AC5242">
        <v>21.605699999999899</v>
      </c>
      <c r="AD5242">
        <v>-1.121286481804</v>
      </c>
      <c r="AE5242">
        <v>1.3167199999999999</v>
      </c>
      <c r="AF5242">
        <v>-2.0181810914182701</v>
      </c>
      <c r="AG5242">
        <v>-1.121286481804</v>
      </c>
      <c r="AH5242">
        <v>21.493312627359099</v>
      </c>
      <c r="AI5242">
        <v>92.973305979007193</v>
      </c>
      <c r="AJ5242">
        <v>95.3642361665284</v>
      </c>
      <c r="AK5242">
        <v>21.616956908626801</v>
      </c>
      <c r="AL5242">
        <v>78.089172574960003</v>
      </c>
      <c r="AM5242">
        <v>88.507111727916296</v>
      </c>
      <c r="AN5242">
        <v>1.0000000257650099</v>
      </c>
    </row>
    <row r="5243" spans="1:40" x14ac:dyDescent="0.25">
      <c r="A5243" t="str">
        <f>"20190303162925672"</f>
        <v>20190303162925672</v>
      </c>
      <c r="B5243" t="str">
        <f>"1551601765666750"</f>
        <v>1551601765666750</v>
      </c>
      <c r="C5243" t="s">
        <v>40</v>
      </c>
      <c r="D5243">
        <v>5.0035259999999999</v>
      </c>
      <c r="E5243">
        <v>0.45305099999999998</v>
      </c>
      <c r="F5243" t="s">
        <v>41</v>
      </c>
      <c r="G5243">
        <v>-342.54149999999998</v>
      </c>
      <c r="H5243" s="1">
        <v>-3.2534320000000001E-6</v>
      </c>
      <c r="I5243">
        <v>19.213439999999999</v>
      </c>
      <c r="J5243">
        <v>-363.47390000000001</v>
      </c>
      <c r="K5243">
        <v>1.1212850000000001</v>
      </c>
      <c r="L5243">
        <v>17.860379999999999</v>
      </c>
      <c r="M5243">
        <v>0.99938680000000002</v>
      </c>
      <c r="N5243">
        <v>-1.226496E-2</v>
      </c>
      <c r="O5243">
        <v>-3.2799490000000001E-2</v>
      </c>
      <c r="P5243">
        <v>0.97929529999999998</v>
      </c>
      <c r="Q5243">
        <v>0.1947757</v>
      </c>
      <c r="R5243">
        <v>-5.5167800000000003E-2</v>
      </c>
      <c r="S5243">
        <v>3.1080930000000002</v>
      </c>
      <c r="T5243">
        <v>-0.1652759</v>
      </c>
      <c r="U5243">
        <v>0.19869999999999999</v>
      </c>
      <c r="V5243">
        <v>2.3070670000000001E-2</v>
      </c>
      <c r="W5243">
        <v>0.20678150000000001</v>
      </c>
      <c r="X5243">
        <v>0.97811510000000002</v>
      </c>
      <c r="Y5243">
        <v>-9.630611E-2</v>
      </c>
      <c r="Z5243">
        <v>4.4876480000000003E-3</v>
      </c>
      <c r="AA5243">
        <v>0.9953417</v>
      </c>
      <c r="AB5243">
        <v>32</v>
      </c>
      <c r="AC5243">
        <v>20.932400000000001</v>
      </c>
      <c r="AD5243">
        <v>-1.1212882534319999</v>
      </c>
      <c r="AE5243">
        <v>1.3530599999999899</v>
      </c>
      <c r="AF5243">
        <v>-2.0331457905914201</v>
      </c>
      <c r="AG5243">
        <v>-1.1212882534319999</v>
      </c>
      <c r="AH5243">
        <v>20.817267394805</v>
      </c>
      <c r="AI5243">
        <v>93.068592230220503</v>
      </c>
      <c r="AJ5243">
        <v>95.578176328878101</v>
      </c>
      <c r="AK5243">
        <v>20.946350301183699</v>
      </c>
      <c r="AL5243">
        <v>78.066193680104504</v>
      </c>
      <c r="AM5243">
        <v>88.648822648614299</v>
      </c>
      <c r="AN5243">
        <v>0.99999999670225403</v>
      </c>
    </row>
    <row r="5244" spans="1:40" x14ac:dyDescent="0.25">
      <c r="A5244" t="str">
        <f>"20190303162925684"</f>
        <v>20190303162925684</v>
      </c>
      <c r="B5244" t="str">
        <f>"1551601765677486"</f>
        <v>1551601765677486</v>
      </c>
      <c r="C5244" t="s">
        <v>40</v>
      </c>
      <c r="D5244">
        <v>4.9868589999999999</v>
      </c>
      <c r="E5244">
        <v>0.45299529999999899</v>
      </c>
      <c r="F5244" t="s">
        <v>41</v>
      </c>
      <c r="G5244">
        <v>-343.24599999999998</v>
      </c>
      <c r="H5244" s="1">
        <v>-2.9505750000000001E-6</v>
      </c>
      <c r="I5244">
        <v>19.217020000000002</v>
      </c>
      <c r="J5244">
        <v>-363.30829999999997</v>
      </c>
      <c r="K5244">
        <v>1.1212879999999901</v>
      </c>
      <c r="L5244">
        <v>17.854890000000001</v>
      </c>
      <c r="M5244">
        <v>0.99938490000000002</v>
      </c>
      <c r="N5244">
        <v>-1.226993E-2</v>
      </c>
      <c r="O5244">
        <v>-3.2855429999999998E-2</v>
      </c>
      <c r="P5244">
        <v>0.97938689999999995</v>
      </c>
      <c r="Q5244">
        <v>0.1948947</v>
      </c>
      <c r="R5244">
        <v>-5.3086059999999997E-2</v>
      </c>
      <c r="S5244">
        <v>3.109467</v>
      </c>
      <c r="T5244">
        <v>-0.17236599999999999</v>
      </c>
      <c r="U5244">
        <v>0.2085571</v>
      </c>
      <c r="V5244">
        <v>2.0932050000000001E-2</v>
      </c>
      <c r="W5244">
        <v>0.20690610000000001</v>
      </c>
      <c r="X5244">
        <v>0.97813680000000003</v>
      </c>
      <c r="Y5244">
        <v>-9.9453089999999994E-2</v>
      </c>
      <c r="Z5244">
        <v>4.7783790000000001E-3</v>
      </c>
      <c r="AA5244">
        <v>0.99503079999999999</v>
      </c>
      <c r="AB5244">
        <v>32</v>
      </c>
      <c r="AC5244">
        <v>20.0623</v>
      </c>
      <c r="AD5244">
        <v>-1.1212909505749999</v>
      </c>
      <c r="AE5244">
        <v>1.3621300000000001</v>
      </c>
      <c r="AF5244">
        <v>-2.0143361493030998</v>
      </c>
      <c r="AG5244">
        <v>-1.1212909505749999</v>
      </c>
      <c r="AH5244">
        <v>19.944694091264001</v>
      </c>
      <c r="AI5244">
        <v>93.201529581317601</v>
      </c>
      <c r="AJ5244">
        <v>95.767094317896806</v>
      </c>
      <c r="AK5244">
        <v>20.077491524399399</v>
      </c>
      <c r="AL5244">
        <v>78.058896163870102</v>
      </c>
      <c r="AM5244">
        <v>88.774061978556901</v>
      </c>
      <c r="AN5244">
        <v>0.99999994222432398</v>
      </c>
    </row>
    <row r="5245" spans="1:40" x14ac:dyDescent="0.25">
      <c r="A5245" t="str">
        <f>"20190303162925695"</f>
        <v>20190303162925695</v>
      </c>
      <c r="B5245" t="str">
        <f>"1551601765687246"</f>
        <v>1551601765687246</v>
      </c>
      <c r="C5245" t="s">
        <v>40</v>
      </c>
      <c r="D5245">
        <v>5.0187229999999996</v>
      </c>
      <c r="E5245">
        <v>0.45310020000000001</v>
      </c>
      <c r="F5245" t="s">
        <v>41</v>
      </c>
      <c r="G5245">
        <v>-343.1377</v>
      </c>
      <c r="H5245" s="1">
        <v>-2.9905929999999998E-6</v>
      </c>
      <c r="I5245">
        <v>19.253319999999999</v>
      </c>
      <c r="J5245">
        <v>-363.1447</v>
      </c>
      <c r="K5245">
        <v>1.121289</v>
      </c>
      <c r="L5245">
        <v>17.849489999999999</v>
      </c>
      <c r="M5245">
        <v>0.99938300000000002</v>
      </c>
      <c r="N5245">
        <v>-1.227427E-2</v>
      </c>
      <c r="O5245">
        <v>-3.2910889999999998E-2</v>
      </c>
      <c r="P5245">
        <v>0.97945409999999999</v>
      </c>
      <c r="Q5245">
        <v>0.19517390000000001</v>
      </c>
      <c r="R5245">
        <v>-5.0763559999999999E-2</v>
      </c>
      <c r="S5245">
        <v>3.1092219999999999</v>
      </c>
      <c r="T5245">
        <v>-0.172843</v>
      </c>
      <c r="U5245">
        <v>0.2155762</v>
      </c>
      <c r="V5245">
        <v>1.8554480000000002E-2</v>
      </c>
      <c r="W5245">
        <v>0.20719070000000001</v>
      </c>
      <c r="X5245">
        <v>0.97812460000000001</v>
      </c>
      <c r="Y5245">
        <v>-0.1017436</v>
      </c>
      <c r="Z5245">
        <v>4.8712130000000001E-3</v>
      </c>
      <c r="AA5245">
        <v>0.99479870000000004</v>
      </c>
      <c r="AB5245">
        <v>32</v>
      </c>
      <c r="AC5245">
        <v>20.007000000000001</v>
      </c>
      <c r="AD5245">
        <v>-1.1212919905930001</v>
      </c>
      <c r="AE5245">
        <v>1.4038299999999999</v>
      </c>
      <c r="AF5245">
        <v>-2.0551434822337802</v>
      </c>
      <c r="AG5245">
        <v>-1.1212919905930001</v>
      </c>
      <c r="AH5245">
        <v>19.887793294934099</v>
      </c>
      <c r="AI5245">
        <v>93.209915048846497</v>
      </c>
      <c r="AJ5245">
        <v>95.899828882281895</v>
      </c>
      <c r="AK5245">
        <v>20.025115045930701</v>
      </c>
      <c r="AL5245">
        <v>78.042229238143193</v>
      </c>
      <c r="AM5245">
        <v>88.913261246940195</v>
      </c>
      <c r="AN5245">
        <v>0.99999999400985995</v>
      </c>
    </row>
    <row r="5246" spans="1:40" x14ac:dyDescent="0.25">
      <c r="A5246" t="str">
        <f>"20190303162925707"</f>
        <v>20190303162925707</v>
      </c>
      <c r="B5246" t="str">
        <f>"1551601765697006"</f>
        <v>1551601765697006</v>
      </c>
      <c r="C5246" t="s">
        <v>40</v>
      </c>
      <c r="D5246">
        <v>5.011209</v>
      </c>
      <c r="E5246">
        <v>0.45313359999999903</v>
      </c>
      <c r="F5246" t="s">
        <v>41</v>
      </c>
      <c r="G5246">
        <v>-343.18979999999999</v>
      </c>
      <c r="H5246" s="1">
        <v>-2.9643539999999999E-6</v>
      </c>
      <c r="I5246">
        <v>19.275269999999999</v>
      </c>
      <c r="J5246">
        <v>-362.98070000000001</v>
      </c>
      <c r="K5246">
        <v>1.1212899999999999</v>
      </c>
      <c r="L5246">
        <v>17.843989999999899</v>
      </c>
      <c r="M5246">
        <v>0.99938110000000002</v>
      </c>
      <c r="N5246">
        <v>-1.227844E-2</v>
      </c>
      <c r="O5246">
        <v>-3.2966339999999997E-2</v>
      </c>
      <c r="P5246">
        <v>0.97952159999999999</v>
      </c>
      <c r="Q5246">
        <v>0.19539889999999999</v>
      </c>
      <c r="R5246">
        <v>-4.8549479999999999E-2</v>
      </c>
      <c r="S5246">
        <v>3.1092219999999999</v>
      </c>
      <c r="T5246">
        <v>-0.17471130000000001</v>
      </c>
      <c r="U5246">
        <v>0.222168</v>
      </c>
      <c r="V5246">
        <v>1.628489E-2</v>
      </c>
      <c r="W5246">
        <v>0.20741970000000001</v>
      </c>
      <c r="X5246">
        <v>0.97811650000000006</v>
      </c>
      <c r="Y5246">
        <v>-0.10388849999999999</v>
      </c>
      <c r="Z5246">
        <v>4.9969910000000001E-3</v>
      </c>
      <c r="AA5246">
        <v>0.99457640000000003</v>
      </c>
      <c r="AB5246">
        <v>32</v>
      </c>
      <c r="AC5246">
        <v>19.790900000000001</v>
      </c>
      <c r="AD5246">
        <v>-1.1212929643539999</v>
      </c>
      <c r="AE5246">
        <v>1.4312800000000001</v>
      </c>
      <c r="AF5246">
        <v>-2.07635416259328</v>
      </c>
      <c r="AG5246">
        <v>-1.1212929643539999</v>
      </c>
      <c r="AH5246">
        <v>19.670140736045699</v>
      </c>
      <c r="AI5246">
        <v>93.244617160114004</v>
      </c>
      <c r="AJ5246">
        <v>96.025752257927806</v>
      </c>
      <c r="AK5246">
        <v>19.811183233120499</v>
      </c>
      <c r="AL5246">
        <v>78.028817321479494</v>
      </c>
      <c r="AM5246">
        <v>89.046157315834904</v>
      </c>
      <c r="AN5246">
        <v>1.0000000085813201</v>
      </c>
    </row>
    <row r="5247" spans="1:40" x14ac:dyDescent="0.25">
      <c r="A5247" t="str">
        <f>"20190303162925718"</f>
        <v>20190303162925718</v>
      </c>
      <c r="B5247" t="str">
        <f>"1551601765706766"</f>
        <v>1551601765706766</v>
      </c>
      <c r="C5247" t="s">
        <v>40</v>
      </c>
      <c r="D5247">
        <v>5.0042269999999904</v>
      </c>
      <c r="E5247">
        <v>0.45324799999999899</v>
      </c>
      <c r="F5247" t="s">
        <v>41</v>
      </c>
      <c r="G5247">
        <v>-342.95280000000002</v>
      </c>
      <c r="H5247" s="1">
        <v>-3.0584799999999999E-6</v>
      </c>
      <c r="I5247">
        <v>19.317869999999999</v>
      </c>
      <c r="J5247">
        <v>-362.82240000000002</v>
      </c>
      <c r="K5247">
        <v>1.121289</v>
      </c>
      <c r="L5247">
        <v>17.838750000000001</v>
      </c>
      <c r="M5247">
        <v>0.99937920000000002</v>
      </c>
      <c r="N5247">
        <v>-1.228213E-2</v>
      </c>
      <c r="O5247">
        <v>-3.3020000000000001E-2</v>
      </c>
      <c r="P5247">
        <v>0.97964709999999999</v>
      </c>
      <c r="Q5247">
        <v>0.19537280000000001</v>
      </c>
      <c r="R5247">
        <v>-4.6054369999999997E-2</v>
      </c>
      <c r="S5247">
        <v>3.108765</v>
      </c>
      <c r="T5247">
        <v>-0.17404890000000001</v>
      </c>
      <c r="U5247">
        <v>0.2287903</v>
      </c>
      <c r="V5247">
        <v>1.3734410000000001E-2</v>
      </c>
      <c r="W5247">
        <v>0.20739869999999999</v>
      </c>
      <c r="X5247">
        <v>0.97816009999999998</v>
      </c>
      <c r="Y5247">
        <v>-0.106057</v>
      </c>
      <c r="Z5247">
        <v>5.0557270000000003E-3</v>
      </c>
      <c r="AA5247">
        <v>0.99434719999999999</v>
      </c>
      <c r="AB5247">
        <v>32</v>
      </c>
      <c r="AC5247">
        <v>19.869599999999899</v>
      </c>
      <c r="AD5247">
        <v>-1.1212920584799999</v>
      </c>
      <c r="AE5247">
        <v>1.47912</v>
      </c>
      <c r="AF5247">
        <v>-2.1277183416035301</v>
      </c>
      <c r="AG5247">
        <v>-1.1212920584799999</v>
      </c>
      <c r="AH5247">
        <v>19.747377513536001</v>
      </c>
      <c r="AI5247">
        <v>93.231206912203106</v>
      </c>
      <c r="AJ5247">
        <v>96.149716632831101</v>
      </c>
      <c r="AK5247">
        <v>19.8933003768534</v>
      </c>
      <c r="AL5247">
        <v>78.030047393643599</v>
      </c>
      <c r="AM5247">
        <v>89.195559071755298</v>
      </c>
      <c r="AN5247">
        <v>1.0000000180058699</v>
      </c>
    </row>
    <row r="5248" spans="1:40" x14ac:dyDescent="0.25">
      <c r="A5248" t="str">
        <f>"20190303162925733"</f>
        <v>20190303162925733</v>
      </c>
      <c r="B5248" t="str">
        <f>"1551601765727261"</f>
        <v>1551601765727261</v>
      </c>
      <c r="C5248" t="s">
        <v>40</v>
      </c>
      <c r="D5248">
        <v>5.0329920000000001</v>
      </c>
      <c r="E5248">
        <v>0.4534377</v>
      </c>
      <c r="F5248" t="s">
        <v>41</v>
      </c>
      <c r="G5248">
        <v>-342.82870000000003</v>
      </c>
      <c r="H5248" s="1">
        <v>-3.105149E-6</v>
      </c>
      <c r="I5248">
        <v>19.35472</v>
      </c>
      <c r="J5248">
        <v>-362.62310000000002</v>
      </c>
      <c r="K5248">
        <v>1.1212899999999999</v>
      </c>
      <c r="L5248">
        <v>17.832090000000001</v>
      </c>
      <c r="M5248">
        <v>0.99937710000000002</v>
      </c>
      <c r="N5248">
        <v>-1.2286419999999999E-2</v>
      </c>
      <c r="O5248">
        <v>-3.3087859999999997E-2</v>
      </c>
      <c r="P5248">
        <v>0.97978370000000004</v>
      </c>
      <c r="Q5248">
        <v>0.19530040000000001</v>
      </c>
      <c r="R5248">
        <v>-4.338082E-2</v>
      </c>
      <c r="S5248">
        <v>3.108215</v>
      </c>
      <c r="T5248">
        <v>-0.17431640000000001</v>
      </c>
      <c r="U5248">
        <v>0.23568729999999999</v>
      </c>
      <c r="V5248">
        <v>1.099107E-2</v>
      </c>
      <c r="W5248">
        <v>0.20733199999999999</v>
      </c>
      <c r="X5248">
        <v>0.97820890000000005</v>
      </c>
      <c r="Y5248">
        <v>-0.1083262</v>
      </c>
      <c r="Z5248">
        <v>5.1441809999999899E-3</v>
      </c>
      <c r="AA5248">
        <v>0.99410209999999999</v>
      </c>
      <c r="AB5248">
        <v>32</v>
      </c>
      <c r="AC5248">
        <v>19.7944</v>
      </c>
      <c r="AD5248">
        <v>-1.1212931051489901</v>
      </c>
      <c r="AE5248">
        <v>1.5226299999999899</v>
      </c>
      <c r="AF5248">
        <v>-2.16987789215514</v>
      </c>
      <c r="AG5248">
        <v>-1.1212931051489901</v>
      </c>
      <c r="AH5248">
        <v>19.670426745389499</v>
      </c>
      <c r="AI5248">
        <v>93.242929080284597</v>
      </c>
      <c r="AJ5248">
        <v>96.294942547977698</v>
      </c>
      <c r="AK5248">
        <v>19.8214872459221</v>
      </c>
      <c r="AL5248">
        <v>78.033953802003694</v>
      </c>
      <c r="AM5248">
        <v>89.356256700797402</v>
      </c>
      <c r="AN5248">
        <v>1.0000000069414701</v>
      </c>
    </row>
    <row r="5249" spans="1:40" x14ac:dyDescent="0.25">
      <c r="A5249" t="str">
        <f>"20190303162925751"</f>
        <v>20190303162925751</v>
      </c>
      <c r="B5249" t="str">
        <f>"1551601765737021"</f>
        <v>1551601765737021</v>
      </c>
      <c r="C5249" t="s">
        <v>40</v>
      </c>
      <c r="D5249">
        <v>5.0590599999999997</v>
      </c>
      <c r="E5249">
        <v>0.45350069999999998</v>
      </c>
      <c r="F5249" t="s">
        <v>41</v>
      </c>
      <c r="G5249">
        <v>-343.05169999999998</v>
      </c>
      <c r="H5249" s="1">
        <v>-3.0089710000000002E-6</v>
      </c>
      <c r="I5249">
        <v>19.357620000000001</v>
      </c>
      <c r="J5249">
        <v>-362.3587</v>
      </c>
      <c r="K5249">
        <v>1.1212819999999999</v>
      </c>
      <c r="L5249">
        <v>17.823270000000001</v>
      </c>
      <c r="M5249">
        <v>0.99937390000000004</v>
      </c>
      <c r="N5249">
        <v>-1.229155E-2</v>
      </c>
      <c r="O5249">
        <v>-3.3177529999999997E-2</v>
      </c>
      <c r="P5249">
        <v>0.98005880000000001</v>
      </c>
      <c r="Q5249">
        <v>0.19505990000000001</v>
      </c>
      <c r="R5249">
        <v>-3.789903E-2</v>
      </c>
      <c r="S5249">
        <v>3.1080930000000002</v>
      </c>
      <c r="T5249">
        <v>-0.17807020000000001</v>
      </c>
      <c r="U5249">
        <v>0.2422791</v>
      </c>
      <c r="V5249">
        <v>5.4150459999999997E-3</v>
      </c>
      <c r="W5249">
        <v>0.2070988</v>
      </c>
      <c r="X5249">
        <v>0.97830499999999998</v>
      </c>
      <c r="Y5249">
        <v>-0.11049970000000001</v>
      </c>
      <c r="Z5249">
        <v>5.3287380000000004E-3</v>
      </c>
      <c r="AA5249">
        <v>0.99386189999999996</v>
      </c>
      <c r="AB5249">
        <v>32</v>
      </c>
      <c r="AC5249">
        <v>19.306999999999999</v>
      </c>
      <c r="AD5249">
        <v>-1.12128500897099</v>
      </c>
      <c r="AE5249">
        <v>1.5343500000000001</v>
      </c>
      <c r="AF5249">
        <v>-2.1668494509687699</v>
      </c>
      <c r="AG5249">
        <v>-1.12128500897099</v>
      </c>
      <c r="AH5249">
        <v>19.181169623906399</v>
      </c>
      <c r="AI5249">
        <v>93.324468165304907</v>
      </c>
      <c r="AJ5249">
        <v>96.445238341527002</v>
      </c>
      <c r="AK5249">
        <v>19.335712677726001</v>
      </c>
      <c r="AL5249">
        <v>78.047610978076506</v>
      </c>
      <c r="AM5249">
        <v>89.682863612894906</v>
      </c>
      <c r="AN5249">
        <v>0.99999995435481004</v>
      </c>
    </row>
    <row r="5250" spans="1:40" x14ac:dyDescent="0.25">
      <c r="A5250" t="str">
        <f>"20190303162925766"</f>
        <v>20190303162925766</v>
      </c>
      <c r="B5250" t="str">
        <f>"1551601765757518"</f>
        <v>1551601765757518</v>
      </c>
      <c r="C5250" t="s">
        <v>40</v>
      </c>
      <c r="D5250">
        <v>4.9990259999999997</v>
      </c>
      <c r="E5250">
        <v>0.4537775</v>
      </c>
      <c r="F5250" t="s">
        <v>41</v>
      </c>
      <c r="G5250">
        <v>-342.75150000000002</v>
      </c>
      <c r="H5250" s="1">
        <v>-3.1197559999999998E-6</v>
      </c>
      <c r="I5250">
        <v>19.459109999999999</v>
      </c>
      <c r="J5250">
        <v>-362.15429999999998</v>
      </c>
      <c r="K5250">
        <v>1.1212839999999999</v>
      </c>
      <c r="L5250">
        <v>17.81644</v>
      </c>
      <c r="M5250">
        <v>0.99937149999999997</v>
      </c>
      <c r="N5250">
        <v>-1.229514E-2</v>
      </c>
      <c r="O5250">
        <v>-3.3246930000000001E-2</v>
      </c>
      <c r="P5250">
        <v>0.98016490000000001</v>
      </c>
      <c r="Q5250">
        <v>0.1949806</v>
      </c>
      <c r="R5250">
        <v>-3.5485009999999997E-2</v>
      </c>
      <c r="S5250">
        <v>3.1064449999999999</v>
      </c>
      <c r="T5250">
        <v>-0.17764959999999999</v>
      </c>
      <c r="U5250">
        <v>0.25918580000000002</v>
      </c>
      <c r="V5250">
        <v>2.9307920000000002E-3</v>
      </c>
      <c r="W5250">
        <v>0.2070246</v>
      </c>
      <c r="X5250">
        <v>0.97833130000000001</v>
      </c>
      <c r="Y5250">
        <v>-0.11597200000000001</v>
      </c>
      <c r="Z5250">
        <v>5.5116679999999999E-3</v>
      </c>
      <c r="AA5250">
        <v>0.99323720000000004</v>
      </c>
      <c r="AB5250">
        <v>32</v>
      </c>
      <c r="AC5250">
        <v>19.4027999999999</v>
      </c>
      <c r="AD5250">
        <v>-1.1212871197559999</v>
      </c>
      <c r="AE5250">
        <v>1.6426699999999901</v>
      </c>
      <c r="AF5250">
        <v>-2.2793359846673602</v>
      </c>
      <c r="AG5250">
        <v>-1.1212871197559999</v>
      </c>
      <c r="AH5250">
        <v>19.273544627297198</v>
      </c>
      <c r="AI5250">
        <v>93.306582584490997</v>
      </c>
      <c r="AJ5250">
        <v>96.744610454542197</v>
      </c>
      <c r="AK5250">
        <v>19.440220673550701</v>
      </c>
      <c r="AL5250">
        <v>78.051956492088493</v>
      </c>
      <c r="AM5250">
        <v>89.828359258352606</v>
      </c>
      <c r="AN5250">
        <v>0.99999995355329696</v>
      </c>
    </row>
    <row r="5251" spans="1:40" x14ac:dyDescent="0.25">
      <c r="A5251" t="str">
        <f>"20190303162925784"</f>
        <v>20190303162925784</v>
      </c>
      <c r="B5251" t="str">
        <f>"1551601765777038"</f>
        <v>1551601765777038</v>
      </c>
      <c r="C5251" t="s">
        <v>40</v>
      </c>
      <c r="D5251">
        <v>5.117642</v>
      </c>
      <c r="E5251">
        <v>0.45390629999999998</v>
      </c>
      <c r="F5251" t="s">
        <v>41</v>
      </c>
      <c r="G5251">
        <v>-342.68490000000003</v>
      </c>
      <c r="H5251" s="1">
        <v>-3.1454680000000002E-6</v>
      </c>
      <c r="I5251">
        <v>19.475339999999999</v>
      </c>
      <c r="J5251">
        <v>-361.88600000000002</v>
      </c>
      <c r="K5251">
        <v>1.121286</v>
      </c>
      <c r="L5251">
        <v>17.807400000000001</v>
      </c>
      <c r="M5251">
        <v>0.99936860000000005</v>
      </c>
      <c r="N5251">
        <v>-1.2299289999999999E-2</v>
      </c>
      <c r="O5251">
        <v>-3.3338140000000002E-2</v>
      </c>
      <c r="P5251">
        <v>0.98027059999999999</v>
      </c>
      <c r="Q5251">
        <v>0.1951522</v>
      </c>
      <c r="R5251">
        <v>-3.139728E-2</v>
      </c>
      <c r="S5251">
        <v>3.1058349999999999</v>
      </c>
      <c r="T5251">
        <v>-0.17887210000000001</v>
      </c>
      <c r="U5251">
        <v>0.26464840000000001</v>
      </c>
      <c r="V5251">
        <v>-1.248154E-3</v>
      </c>
      <c r="W5251">
        <v>0.20720040000000001</v>
      </c>
      <c r="X5251">
        <v>0.97829770000000005</v>
      </c>
      <c r="Y5251">
        <v>-0.11780590000000001</v>
      </c>
      <c r="Z5251">
        <v>5.6163840000000003E-3</v>
      </c>
      <c r="AA5251">
        <v>0.99302080000000004</v>
      </c>
      <c r="AB5251">
        <v>32</v>
      </c>
      <c r="AC5251">
        <v>19.201099999999901</v>
      </c>
      <c r="AD5251">
        <v>-1.1212891454680001</v>
      </c>
      <c r="AE5251">
        <v>1.66793999999999</v>
      </c>
      <c r="AF5251">
        <v>-2.2994072191452801</v>
      </c>
      <c r="AG5251">
        <v>-1.1212891454680001</v>
      </c>
      <c r="AH5251">
        <v>19.070268010972601</v>
      </c>
      <c r="AI5251">
        <v>93.340847246898505</v>
      </c>
      <c r="AJ5251">
        <v>96.875277187404905</v>
      </c>
      <c r="AK5251">
        <v>19.241093651804899</v>
      </c>
      <c r="AL5251">
        <v>78.041660931507707</v>
      </c>
      <c r="AM5251">
        <v>90.073100363600503</v>
      </c>
      <c r="AN5251">
        <v>0.99999997673692798</v>
      </c>
    </row>
    <row r="5252" spans="1:40" x14ac:dyDescent="0.25">
      <c r="A5252" t="str">
        <f>"20190303162925796"</f>
        <v>20190303162925796</v>
      </c>
      <c r="B5252" t="str">
        <f>"1551601765786798"</f>
        <v>1551601765786798</v>
      </c>
      <c r="C5252" t="s">
        <v>40</v>
      </c>
      <c r="D5252">
        <v>4.9952860000000001</v>
      </c>
      <c r="E5252">
        <v>0.45423249999999998</v>
      </c>
      <c r="F5252" t="s">
        <v>41</v>
      </c>
      <c r="G5252">
        <v>-342.00170000000003</v>
      </c>
      <c r="H5252" s="1">
        <v>-3.4209050000000001E-6</v>
      </c>
      <c r="I5252">
        <v>19.574729999999999</v>
      </c>
      <c r="J5252">
        <v>-361.70429999999999</v>
      </c>
      <c r="K5252">
        <v>1.121286</v>
      </c>
      <c r="L5252">
        <v>17.801269999999999</v>
      </c>
      <c r="M5252">
        <v>0.99936650000000005</v>
      </c>
      <c r="N5252">
        <v>-1.230177E-2</v>
      </c>
      <c r="O5252">
        <v>-3.3399310000000001E-2</v>
      </c>
      <c r="P5252">
        <v>0.98035019999999995</v>
      </c>
      <c r="Q5252">
        <v>0.19507849999999999</v>
      </c>
      <c r="R5252">
        <v>-2.929087E-2</v>
      </c>
      <c r="S5252">
        <v>3.1041259999999999</v>
      </c>
      <c r="T5252">
        <v>-0.17504410000000001</v>
      </c>
      <c r="U5252">
        <v>0.27590940000000003</v>
      </c>
      <c r="V5252">
        <v>-3.4155069999999999E-3</v>
      </c>
      <c r="W5252">
        <v>0.20713000000000001</v>
      </c>
      <c r="X5252">
        <v>0.9783075</v>
      </c>
      <c r="Y5252">
        <v>-0.121491</v>
      </c>
      <c r="Z5252">
        <v>5.6344719999999997E-3</v>
      </c>
      <c r="AA5252">
        <v>0.99257649999999997</v>
      </c>
      <c r="AB5252">
        <v>32</v>
      </c>
      <c r="AC5252">
        <v>19.702599999999901</v>
      </c>
      <c r="AD5252">
        <v>-1.1212894209049999</v>
      </c>
      <c r="AE5252">
        <v>1.77345999999999</v>
      </c>
      <c r="AF5252">
        <v>-2.4227894355389199</v>
      </c>
      <c r="AG5252">
        <v>-1.1212894209049999</v>
      </c>
      <c r="AH5252">
        <v>19.569496291842299</v>
      </c>
      <c r="AI5252">
        <v>93.254544322295999</v>
      </c>
      <c r="AJ5252">
        <v>97.057556611908296</v>
      </c>
      <c r="AK5252">
        <v>19.750756535657601</v>
      </c>
      <c r="AL5252">
        <v>78.0457846899007</v>
      </c>
      <c r="AM5252">
        <v>90.200032546937905</v>
      </c>
      <c r="AN5252">
        <v>1.0000000335721499</v>
      </c>
    </row>
    <row r="5253" spans="1:40" x14ac:dyDescent="0.25">
      <c r="A5253" t="str">
        <f>"20190303162925811"</f>
        <v>20190303162925811</v>
      </c>
      <c r="B5253" t="str">
        <f>"1551601765797534"</f>
        <v>1551601765797534</v>
      </c>
      <c r="C5253" t="s">
        <v>40</v>
      </c>
      <c r="D5253">
        <v>5.0215160000000001</v>
      </c>
      <c r="E5253">
        <v>0.45426129999999998</v>
      </c>
      <c r="F5253" t="s">
        <v>41</v>
      </c>
      <c r="G5253">
        <v>-341.50699999999898</v>
      </c>
      <c r="H5253" s="1">
        <v>-3.627836E-6</v>
      </c>
      <c r="I5253">
        <v>19.623989999999999</v>
      </c>
      <c r="J5253">
        <v>-361.50979999999998</v>
      </c>
      <c r="K5253">
        <v>1.1212869999999999</v>
      </c>
      <c r="L5253">
        <v>17.794709999999998</v>
      </c>
      <c r="M5253">
        <v>0.99936429999999998</v>
      </c>
      <c r="N5253">
        <v>-1.2304229999999999E-2</v>
      </c>
      <c r="O5253">
        <v>-3.3465130000000003E-2</v>
      </c>
      <c r="P5253">
        <v>0.98046639999999996</v>
      </c>
      <c r="Q5253">
        <v>0.19475700000000001</v>
      </c>
      <c r="R5253">
        <v>-2.748983E-2</v>
      </c>
      <c r="S5253">
        <v>3.102814</v>
      </c>
      <c r="T5253">
        <v>-0.17225839999999901</v>
      </c>
      <c r="U5253">
        <v>0.28002929999999998</v>
      </c>
      <c r="V5253">
        <v>-5.284169E-3</v>
      </c>
      <c r="W5253">
        <v>0.2068123</v>
      </c>
      <c r="X5253">
        <v>0.97836639999999997</v>
      </c>
      <c r="Y5253">
        <v>-0.1229058</v>
      </c>
      <c r="Z5253">
        <v>5.6030780000000001E-3</v>
      </c>
      <c r="AA5253">
        <v>0.99240249999999997</v>
      </c>
      <c r="AB5253">
        <v>32</v>
      </c>
      <c r="AC5253">
        <v>20.002800000000001</v>
      </c>
      <c r="AD5253">
        <v>-1.121290627836</v>
      </c>
      <c r="AE5253">
        <v>1.82927999999999</v>
      </c>
      <c r="AF5253">
        <v>-2.4899427320875098</v>
      </c>
      <c r="AG5253">
        <v>-1.121290627836</v>
      </c>
      <c r="AH5253">
        <v>19.868456875610299</v>
      </c>
      <c r="AI5253">
        <v>93.205084362056596</v>
      </c>
      <c r="AJ5253">
        <v>97.143146906815701</v>
      </c>
      <c r="AK5253">
        <v>20.055240863652902</v>
      </c>
      <c r="AL5253">
        <v>78.064390399692897</v>
      </c>
      <c r="AM5253">
        <v>90.309452203232894</v>
      </c>
      <c r="AN5253">
        <v>1.0000000312611299</v>
      </c>
    </row>
    <row r="5254" spans="1:40" x14ac:dyDescent="0.25">
      <c r="A5254" t="str">
        <f>"20190303162925828"</f>
        <v>20190303162925828</v>
      </c>
      <c r="B5254" t="str">
        <f>"1551601765817054"</f>
        <v>1551601765817054</v>
      </c>
      <c r="C5254" t="s">
        <v>40</v>
      </c>
      <c r="D5254">
        <v>5.1296670000000004</v>
      </c>
      <c r="E5254">
        <v>0.45352029999999899</v>
      </c>
      <c r="F5254" t="s">
        <v>41</v>
      </c>
      <c r="G5254">
        <v>-341.25310000000002</v>
      </c>
      <c r="H5254" s="1">
        <v>-3.7456190000000001E-6</v>
      </c>
      <c r="I5254">
        <v>19.657229999999998</v>
      </c>
      <c r="J5254">
        <v>-361.2638</v>
      </c>
      <c r="K5254">
        <v>1.1212500000000001</v>
      </c>
      <c r="L5254">
        <v>17.786379999999902</v>
      </c>
      <c r="M5254">
        <v>0.99937019999999999</v>
      </c>
      <c r="N5254">
        <v>-1.221276E-2</v>
      </c>
      <c r="O5254">
        <v>-3.3321389999999999E-2</v>
      </c>
      <c r="P5254">
        <v>0.98069150000000005</v>
      </c>
      <c r="Q5254">
        <v>0.1941785</v>
      </c>
      <c r="R5254">
        <v>-2.3220230000000001E-2</v>
      </c>
      <c r="S5254">
        <v>3.1018680000000001</v>
      </c>
      <c r="T5254">
        <v>-0.17170060000000001</v>
      </c>
      <c r="U5254">
        <v>0.28521729999999901</v>
      </c>
      <c r="V5254">
        <v>-9.4104429999999992E-3</v>
      </c>
      <c r="W5254">
        <v>0.206147</v>
      </c>
      <c r="X5254">
        <v>0.97847580000000001</v>
      </c>
      <c r="Y5254">
        <v>-0.124435199999999</v>
      </c>
      <c r="Z5254">
        <v>5.6301789999999999E-3</v>
      </c>
      <c r="AA5254">
        <v>0.99221179999999998</v>
      </c>
      <c r="AB5254">
        <v>32</v>
      </c>
      <c r="AC5254">
        <v>20.0106999999999</v>
      </c>
      <c r="AD5254">
        <v>-1.1212537456189999</v>
      </c>
      <c r="AE5254">
        <v>1.8708499999999999</v>
      </c>
      <c r="AF5254">
        <v>-2.5287742167868599</v>
      </c>
      <c r="AG5254">
        <v>-1.1212537456189999</v>
      </c>
      <c r="AH5254">
        <v>19.8753808960955</v>
      </c>
      <c r="AI5254">
        <v>93.203105994232203</v>
      </c>
      <c r="AJ5254">
        <v>97.250869232107405</v>
      </c>
      <c r="AK5254">
        <v>20.0669547955446</v>
      </c>
      <c r="AL5254">
        <v>78.103348623271103</v>
      </c>
      <c r="AM5254">
        <v>90.5510223598057</v>
      </c>
      <c r="AN5254">
        <v>1.0000000166160401</v>
      </c>
    </row>
    <row r="5255" spans="1:40" x14ac:dyDescent="0.25">
      <c r="A5255" t="str">
        <f>"20190303162925841"</f>
        <v>20190303162925841</v>
      </c>
      <c r="B5255" t="str">
        <f>"1551601765837550"</f>
        <v>1551601765837550</v>
      </c>
      <c r="C5255" t="s">
        <v>40</v>
      </c>
      <c r="D5255">
        <v>5.1377509999999997</v>
      </c>
      <c r="E5255">
        <v>0.39860089999999998</v>
      </c>
      <c r="F5255" t="s">
        <v>41</v>
      </c>
      <c r="G5255">
        <v>-341.38929999999999</v>
      </c>
      <c r="H5255" s="1">
        <v>-3.7083070000000001E-6</v>
      </c>
      <c r="I5255">
        <v>19.73659</v>
      </c>
      <c r="J5255">
        <v>-361.07740000000001</v>
      </c>
      <c r="K5255">
        <v>1.1211450000000001</v>
      </c>
      <c r="L5255">
        <v>17.779969999999999</v>
      </c>
      <c r="M5255">
        <v>0.99939009999999995</v>
      </c>
      <c r="N5255">
        <v>-1.197339E-2</v>
      </c>
      <c r="O5255">
        <v>-3.2802919999999999E-2</v>
      </c>
      <c r="P5255">
        <v>0.98077709999999996</v>
      </c>
      <c r="Q5255">
        <v>0.19403319999999999</v>
      </c>
      <c r="R5255">
        <v>-2.067182E-2</v>
      </c>
      <c r="S5255">
        <v>3.1008909999999998</v>
      </c>
      <c r="T5255">
        <v>-0.17494109999999999</v>
      </c>
      <c r="U5255">
        <v>0.30429079999999997</v>
      </c>
      <c r="V5255">
        <v>-1.143301E-2</v>
      </c>
      <c r="W5255">
        <v>0.20576900000000001</v>
      </c>
      <c r="X5255">
        <v>0.97853380000000001</v>
      </c>
      <c r="Y5255">
        <v>-0.12997609999999901</v>
      </c>
      <c r="Z5255">
        <v>5.8892229999999999E-3</v>
      </c>
      <c r="AA5255">
        <v>0.99149969999999998</v>
      </c>
      <c r="AB5255">
        <v>32</v>
      </c>
      <c r="AC5255">
        <v>19.688099999999999</v>
      </c>
      <c r="AD5255">
        <v>-1.121148708307</v>
      </c>
      <c r="AE5255">
        <v>1.95661999999999</v>
      </c>
      <c r="AF5255">
        <v>-2.59311366786268</v>
      </c>
      <c r="AG5255">
        <v>-1.121148708307</v>
      </c>
      <c r="AH5255">
        <v>19.550537413898901</v>
      </c>
      <c r="AI5255">
        <v>93.253666483130701</v>
      </c>
      <c r="AJ5255">
        <v>97.555408153900103</v>
      </c>
      <c r="AK5255">
        <v>19.753600332416799</v>
      </c>
      <c r="AL5255">
        <v>78.125480682427707</v>
      </c>
      <c r="AM5255">
        <v>90.669402952321406</v>
      </c>
      <c r="AN5255">
        <v>0.99999999641055004</v>
      </c>
    </row>
    <row r="5256" spans="1:40" x14ac:dyDescent="0.25">
      <c r="A5256" t="str">
        <f>"20190303162925854"</f>
        <v>20190303162925854</v>
      </c>
      <c r="B5256" t="str">
        <f>"1551601765847310"</f>
        <v>1551601765847310</v>
      </c>
      <c r="C5256" t="s">
        <v>40</v>
      </c>
      <c r="D5256">
        <v>5.1305820000000004</v>
      </c>
      <c r="E5256">
        <v>0.39637850000000002</v>
      </c>
      <c r="F5256" t="s">
        <v>41</v>
      </c>
      <c r="G5256">
        <v>-343.22820000000002</v>
      </c>
      <c r="H5256" s="1">
        <v>-3.5431789999999999E-6</v>
      </c>
      <c r="I5256">
        <v>22.080960000000001</v>
      </c>
      <c r="J5256">
        <v>-360.89879999999999</v>
      </c>
      <c r="K5256">
        <v>1.1212359999999999</v>
      </c>
      <c r="L5256">
        <v>17.77383</v>
      </c>
      <c r="M5256">
        <v>0.99939049999999996</v>
      </c>
      <c r="N5256">
        <v>-1.208451E-2</v>
      </c>
      <c r="O5256">
        <v>-3.2750139999999997E-2</v>
      </c>
      <c r="P5256">
        <v>0.98088330000000001</v>
      </c>
      <c r="Q5256">
        <v>0.1936987</v>
      </c>
      <c r="R5256">
        <v>-1.867682E-2</v>
      </c>
      <c r="S5256">
        <v>3.1133419999999998</v>
      </c>
      <c r="T5256">
        <v>-0.1955559</v>
      </c>
      <c r="U5256">
        <v>0.75021359999999904</v>
      </c>
      <c r="V5256">
        <v>-1.341997E-2</v>
      </c>
      <c r="W5256">
        <v>0.2055418</v>
      </c>
      <c r="X5256">
        <v>0.97855630000000005</v>
      </c>
      <c r="Y5256">
        <v>-0.26534279999999999</v>
      </c>
      <c r="Z5256">
        <v>1.1474099999999999E-2</v>
      </c>
      <c r="AA5256">
        <v>0.96408590000000005</v>
      </c>
      <c r="AB5256">
        <v>32</v>
      </c>
      <c r="AC5256">
        <v>17.670599999999901</v>
      </c>
      <c r="AD5256">
        <v>-1.1212395431790001</v>
      </c>
      <c r="AE5256">
        <v>4.3071299999999999</v>
      </c>
      <c r="AF5256">
        <v>-4.8650868022737201</v>
      </c>
      <c r="AG5256">
        <v>-1.1212395431790001</v>
      </c>
      <c r="AH5256">
        <v>17.453719042992802</v>
      </c>
      <c r="AI5256">
        <v>93.541043395954205</v>
      </c>
      <c r="AJ5256">
        <v>105.575393506889</v>
      </c>
      <c r="AK5256">
        <v>18.1537477160661</v>
      </c>
      <c r="AL5256">
        <v>78.138782418531704</v>
      </c>
      <c r="AM5256">
        <v>90.785707928595102</v>
      </c>
      <c r="AN5256">
        <v>0.99999997970586496</v>
      </c>
    </row>
    <row r="5257" spans="1:40" x14ac:dyDescent="0.25">
      <c r="A5257" t="str">
        <f>"20190303162925865"</f>
        <v>20190303162925865</v>
      </c>
      <c r="B5257" t="str">
        <f>"1551601765857070"</f>
        <v>1551601765857070</v>
      </c>
      <c r="C5257" t="s">
        <v>40</v>
      </c>
      <c r="D5257">
        <v>5.0859180000000004</v>
      </c>
      <c r="E5257">
        <v>0.39518550000000002</v>
      </c>
      <c r="F5257" t="s">
        <v>41</v>
      </c>
      <c r="G5257">
        <v>-343.51679999999999</v>
      </c>
      <c r="H5257" s="1">
        <v>-3.423796E-6</v>
      </c>
      <c r="I5257">
        <v>22.097529999999999</v>
      </c>
      <c r="J5257">
        <v>-360.73149999999998</v>
      </c>
      <c r="K5257">
        <v>1.1213580000000001</v>
      </c>
      <c r="L5257">
        <v>17.768160000000002</v>
      </c>
      <c r="M5257">
        <v>0.99938470000000001</v>
      </c>
      <c r="N5257">
        <v>-1.225588E-2</v>
      </c>
      <c r="O5257">
        <v>-3.2863080000000003E-2</v>
      </c>
      <c r="P5257">
        <v>0.98097179999999995</v>
      </c>
      <c r="Q5257">
        <v>0.19336790000000001</v>
      </c>
      <c r="R5257">
        <v>-1.7420629999999999E-2</v>
      </c>
      <c r="S5257">
        <v>3.112854</v>
      </c>
      <c r="T5257">
        <v>-0.2007968</v>
      </c>
      <c r="U5257">
        <v>0.77432250000000002</v>
      </c>
      <c r="V5257">
        <v>-1.4841780000000001E-2</v>
      </c>
      <c r="W5257">
        <v>0.20537610000000001</v>
      </c>
      <c r="X5257">
        <v>0.97857059999999996</v>
      </c>
      <c r="Y5257">
        <v>-0.27247379999999999</v>
      </c>
      <c r="Z5257">
        <v>1.2036089999999999E-2</v>
      </c>
      <c r="AA5257">
        <v>0.9620879</v>
      </c>
      <c r="AB5257">
        <v>32</v>
      </c>
      <c r="AC5257">
        <v>17.214699999999901</v>
      </c>
      <c r="AD5257">
        <v>-1.1213614237959999</v>
      </c>
      <c r="AE5257">
        <v>4.3293699999999902</v>
      </c>
      <c r="AF5257">
        <v>-4.8733532929305401</v>
      </c>
      <c r="AG5257">
        <v>-1.1213614237959999</v>
      </c>
      <c r="AH5257">
        <v>16.995288770767701</v>
      </c>
      <c r="AI5257">
        <v>93.629107057773297</v>
      </c>
      <c r="AJ5257">
        <v>106.000101734995</v>
      </c>
      <c r="AK5257">
        <v>17.715723642072199</v>
      </c>
      <c r="AL5257">
        <v>78.148483775278507</v>
      </c>
      <c r="AM5257">
        <v>90.868926737981198</v>
      </c>
      <c r="AN5257">
        <v>1.00000002003456</v>
      </c>
    </row>
    <row r="5258" spans="1:40" x14ac:dyDescent="0.25">
      <c r="A5258" t="str">
        <f>"20190303162925885"</f>
        <v>20190303162925885</v>
      </c>
      <c r="B5258" t="str">
        <f>"1551601765877565"</f>
        <v>1551601765877565</v>
      </c>
      <c r="C5258" t="s">
        <v>40</v>
      </c>
      <c r="D5258">
        <v>5.0688639999999996</v>
      </c>
      <c r="E5258">
        <v>0.39522550000000001</v>
      </c>
      <c r="F5258" t="s">
        <v>41</v>
      </c>
      <c r="G5258">
        <v>-343.8186</v>
      </c>
      <c r="H5258" s="1">
        <v>-3.2815790000000001E-6</v>
      </c>
      <c r="I5258">
        <v>22.049689999999998</v>
      </c>
      <c r="J5258">
        <v>-360.45460000000003</v>
      </c>
      <c r="K5258">
        <v>1.1215919999999999</v>
      </c>
      <c r="L5258">
        <v>17.758849999999999</v>
      </c>
      <c r="M5258">
        <v>0.99935649999999998</v>
      </c>
      <c r="N5258">
        <v>-1.2600739999999999E-2</v>
      </c>
      <c r="O5258">
        <v>-3.358771E-2</v>
      </c>
      <c r="P5258">
        <v>0.98110450000000005</v>
      </c>
      <c r="Q5258">
        <v>0.19284799999999999</v>
      </c>
      <c r="R5258">
        <v>-1.56139E-2</v>
      </c>
      <c r="S5258">
        <v>3.1129150000000001</v>
      </c>
      <c r="T5258">
        <v>-0.20639279999999999</v>
      </c>
      <c r="U5258">
        <v>0.78805539999999996</v>
      </c>
      <c r="V5258">
        <v>-1.7469040000000002E-2</v>
      </c>
      <c r="W5258">
        <v>0.20518520000000001</v>
      </c>
      <c r="X5258">
        <v>0.97856719999999997</v>
      </c>
      <c r="Y5258">
        <v>-0.27710639999999997</v>
      </c>
      <c r="Z5258">
        <v>1.2585580000000001E-2</v>
      </c>
      <c r="AA5258">
        <v>0.96075679999999997</v>
      </c>
      <c r="AB5258">
        <v>32</v>
      </c>
      <c r="AC5258">
        <v>16.635999999999999</v>
      </c>
      <c r="AD5258">
        <v>-1.121595281579</v>
      </c>
      <c r="AE5258">
        <v>4.2908399999999904</v>
      </c>
      <c r="AF5258">
        <v>-4.8266572930380001</v>
      </c>
      <c r="AG5258">
        <v>-1.121595281579</v>
      </c>
      <c r="AH5258">
        <v>16.4125325444674</v>
      </c>
      <c r="AI5258">
        <v>93.751027200507295</v>
      </c>
      <c r="AJ5258">
        <v>106.38774692694599</v>
      </c>
      <c r="AK5258">
        <v>17.144264963051</v>
      </c>
      <c r="AL5258">
        <v>78.159658698332294</v>
      </c>
      <c r="AM5258">
        <v>91.022715620837602</v>
      </c>
      <c r="AN5258">
        <v>0.999999949286699</v>
      </c>
    </row>
    <row r="5259" spans="1:40" x14ac:dyDescent="0.25">
      <c r="A5259" t="str">
        <f>"20190303162925896"</f>
        <v>20190303162925896</v>
      </c>
      <c r="B5259" t="str">
        <f>"1551601765886795"</f>
        <v>1551601765886795</v>
      </c>
      <c r="C5259" t="s">
        <v>40</v>
      </c>
      <c r="D5259">
        <v>5.0581139999999998</v>
      </c>
      <c r="E5259">
        <v>0.39538610000000002</v>
      </c>
      <c r="F5259" t="s">
        <v>41</v>
      </c>
      <c r="G5259">
        <v>-343.97230000000002</v>
      </c>
      <c r="H5259" s="1">
        <v>-3.1926990000000001E-6</v>
      </c>
      <c r="I5259">
        <v>21.963429999999999</v>
      </c>
      <c r="J5259">
        <v>-360.2944</v>
      </c>
      <c r="K5259">
        <v>1.1216189999999999</v>
      </c>
      <c r="L5259">
        <v>17.753509999999999</v>
      </c>
      <c r="M5259">
        <v>0.99934140000000005</v>
      </c>
      <c r="N5259">
        <v>-1.267773E-2</v>
      </c>
      <c r="O5259">
        <v>-3.4003760000000001E-2</v>
      </c>
      <c r="P5259">
        <v>0.98114489999999999</v>
      </c>
      <c r="Q5259">
        <v>0.1926822</v>
      </c>
      <c r="R5259">
        <v>-1.510567E-2</v>
      </c>
      <c r="S5259">
        <v>3.1120299999999999</v>
      </c>
      <c r="T5259">
        <v>-0.21176890000000001</v>
      </c>
      <c r="U5259">
        <v>0.79388429999999999</v>
      </c>
      <c r="V5259">
        <v>-1.8412890000000001E-2</v>
      </c>
      <c r="W5259">
        <v>0.20509189999999999</v>
      </c>
      <c r="X5259">
        <v>0.97856949999999998</v>
      </c>
      <c r="Y5259">
        <v>-0.27921810000000002</v>
      </c>
      <c r="Z5259">
        <v>1.2993849999999999E-2</v>
      </c>
      <c r="AA5259">
        <v>0.96013979999999999</v>
      </c>
      <c r="AB5259">
        <v>32</v>
      </c>
      <c r="AC5259">
        <v>16.322099999999899</v>
      </c>
      <c r="AD5259">
        <v>-1.121622192699</v>
      </c>
      <c r="AE5259">
        <v>4.2099199999999897</v>
      </c>
      <c r="AF5259">
        <v>-4.7415486217792804</v>
      </c>
      <c r="AG5259">
        <v>-1.121622192699</v>
      </c>
      <c r="AH5259">
        <v>16.098218254714599</v>
      </c>
      <c r="AI5259">
        <v>93.823671527047495</v>
      </c>
      <c r="AJ5259">
        <v>106.411742742938</v>
      </c>
      <c r="AK5259">
        <v>16.819421828715701</v>
      </c>
      <c r="AL5259">
        <v>78.165121091001694</v>
      </c>
      <c r="AM5259">
        <v>91.077957577779202</v>
      </c>
      <c r="AN5259">
        <v>0.99999999414700502</v>
      </c>
    </row>
    <row r="5260" spans="1:40" x14ac:dyDescent="0.25">
      <c r="A5260" t="str">
        <f>"20190303162925907"</f>
        <v>20190303162925907</v>
      </c>
      <c r="B5260" t="str">
        <f>"1551601765897532"</f>
        <v>1551601765897532</v>
      </c>
      <c r="C5260" t="s">
        <v>40</v>
      </c>
      <c r="D5260">
        <v>5.0584930000000004</v>
      </c>
      <c r="E5260">
        <v>0.39594030000000002</v>
      </c>
      <c r="F5260" t="s">
        <v>41</v>
      </c>
      <c r="G5260">
        <v>-343.78649999999999</v>
      </c>
      <c r="H5260" s="1">
        <v>-3.273606E-6</v>
      </c>
      <c r="I5260">
        <v>21.967929999999999</v>
      </c>
      <c r="J5260">
        <v>-360.14710000000002</v>
      </c>
      <c r="K5260">
        <v>1.121604</v>
      </c>
      <c r="L5260">
        <v>17.7486</v>
      </c>
      <c r="M5260">
        <v>0.99933099999999997</v>
      </c>
      <c r="N5260">
        <v>-1.271659E-2</v>
      </c>
      <c r="O5260">
        <v>-3.4296420000000001E-2</v>
      </c>
      <c r="P5260">
        <v>0.98120980000000002</v>
      </c>
      <c r="Q5260">
        <v>0.19239999999999999</v>
      </c>
      <c r="R5260">
        <v>-1.4488849999999999E-2</v>
      </c>
      <c r="S5260">
        <v>3.111389</v>
      </c>
      <c r="T5260">
        <v>-0.21140149999999999</v>
      </c>
      <c r="U5260">
        <v>0.79434199999999999</v>
      </c>
      <c r="V5260">
        <v>-1.9326139999999999E-2</v>
      </c>
      <c r="W5260">
        <v>0.2048469</v>
      </c>
      <c r="X5260">
        <v>0.97860320000000001</v>
      </c>
      <c r="Y5260">
        <v>-0.27967950000000003</v>
      </c>
      <c r="Z5260">
        <v>1.301443E-2</v>
      </c>
      <c r="AA5260">
        <v>0.9600052</v>
      </c>
      <c r="AB5260">
        <v>32</v>
      </c>
      <c r="AC5260">
        <v>16.360600000000002</v>
      </c>
      <c r="AD5260">
        <v>-1.1216072736059901</v>
      </c>
      <c r="AE5260">
        <v>4.2193299999999896</v>
      </c>
      <c r="AF5260">
        <v>-4.7570395863992898</v>
      </c>
      <c r="AG5260">
        <v>-1.1216072736059901</v>
      </c>
      <c r="AH5260">
        <v>16.135150465646301</v>
      </c>
      <c r="AI5260">
        <v>93.814599859036093</v>
      </c>
      <c r="AJ5260">
        <v>106.426814656278</v>
      </c>
      <c r="AK5260">
        <v>16.859137257043201</v>
      </c>
      <c r="AL5260">
        <v>78.179462981684594</v>
      </c>
      <c r="AM5260">
        <v>91.131370034393299</v>
      </c>
      <c r="AN5260">
        <v>0.999999987588574</v>
      </c>
    </row>
    <row r="5261" spans="1:40" x14ac:dyDescent="0.25">
      <c r="A5261" t="str">
        <f>"20190303162925919"</f>
        <v>20190303162925919</v>
      </c>
      <c r="B5261" t="str">
        <f>"1551601765907293"</f>
        <v>1551601765907293</v>
      </c>
      <c r="C5261" t="s">
        <v>40</v>
      </c>
      <c r="D5261">
        <v>5.0509329999999997</v>
      </c>
      <c r="E5261">
        <v>0.39605279999999998</v>
      </c>
      <c r="F5261" t="s">
        <v>41</v>
      </c>
      <c r="G5261">
        <v>-343.60939999999999</v>
      </c>
      <c r="H5261" s="1">
        <v>-3.3466720000000002E-6</v>
      </c>
      <c r="I5261">
        <v>21.957080000000001</v>
      </c>
      <c r="J5261">
        <v>-359.97250000000003</v>
      </c>
      <c r="K5261">
        <v>1.1215059999999999</v>
      </c>
      <c r="L5261">
        <v>17.742709999999999</v>
      </c>
      <c r="M5261">
        <v>0.99932500000000002</v>
      </c>
      <c r="N5261">
        <v>-1.270192E-2</v>
      </c>
      <c r="O5261">
        <v>-3.4472360000000001E-2</v>
      </c>
      <c r="P5261">
        <v>0.98133340000000002</v>
      </c>
      <c r="Q5261">
        <v>0.1918077</v>
      </c>
      <c r="R5261">
        <v>-1.39685E-2</v>
      </c>
      <c r="S5261">
        <v>3.110474</v>
      </c>
      <c r="T5261">
        <v>-0.21095649999999999</v>
      </c>
      <c r="U5261">
        <v>0.79156490000000002</v>
      </c>
      <c r="V5261">
        <v>-1.999973E-2</v>
      </c>
      <c r="W5261">
        <v>0.20424329999999999</v>
      </c>
      <c r="X5261">
        <v>0.97871580000000002</v>
      </c>
      <c r="Y5261">
        <v>-0.27911520000000001</v>
      </c>
      <c r="Z5261">
        <v>1.297982E-2</v>
      </c>
      <c r="AA5261">
        <v>0.96016990000000002</v>
      </c>
      <c r="AB5261">
        <v>32</v>
      </c>
      <c r="AC5261">
        <v>16.363099999999999</v>
      </c>
      <c r="AD5261">
        <v>-1.1215093466720001</v>
      </c>
      <c r="AE5261">
        <v>4.21436999999999</v>
      </c>
      <c r="AF5261">
        <v>-4.7550372804816901</v>
      </c>
      <c r="AG5261">
        <v>-1.1215093466720001</v>
      </c>
      <c r="AH5261">
        <v>16.1369927805796</v>
      </c>
      <c r="AI5261">
        <v>93.813996279735804</v>
      </c>
      <c r="AJ5261">
        <v>106.41849916988301</v>
      </c>
      <c r="AK5261">
        <v>16.860329141328201</v>
      </c>
      <c r="AL5261">
        <v>78.214793449547997</v>
      </c>
      <c r="AM5261">
        <v>91.170657161549698</v>
      </c>
      <c r="AN5261">
        <v>0.99999996598230001</v>
      </c>
    </row>
    <row r="5262" spans="1:40" x14ac:dyDescent="0.25">
      <c r="A5262" t="str">
        <f>"20190303162925930"</f>
        <v>20190303162925930</v>
      </c>
      <c r="B5262" t="str">
        <f>"1551601765926812"</f>
        <v>1551601765926812</v>
      </c>
      <c r="C5262" t="s">
        <v>40</v>
      </c>
      <c r="D5262">
        <v>5.0500259999999999</v>
      </c>
      <c r="E5262">
        <v>0.39620729999999998</v>
      </c>
      <c r="F5262" t="s">
        <v>41</v>
      </c>
      <c r="G5262">
        <v>-343.51569999999998</v>
      </c>
      <c r="H5262" s="1">
        <v>-3.3809399999999999E-6</v>
      </c>
      <c r="I5262">
        <v>21.934640000000002</v>
      </c>
      <c r="J5262">
        <v>-359.81479999999999</v>
      </c>
      <c r="K5262">
        <v>1.121408</v>
      </c>
      <c r="L5262">
        <v>17.73734</v>
      </c>
      <c r="M5262">
        <v>0.99932449999999995</v>
      </c>
      <c r="N5262">
        <v>-1.2686019999999999E-2</v>
      </c>
      <c r="O5262">
        <v>-3.4492719999999998E-2</v>
      </c>
      <c r="P5262">
        <v>0.98146359999999999</v>
      </c>
      <c r="Q5262">
        <v>0.1912017</v>
      </c>
      <c r="R5262">
        <v>-1.309687E-2</v>
      </c>
      <c r="S5262">
        <v>3.109772</v>
      </c>
      <c r="T5262">
        <v>-0.21192610000000001</v>
      </c>
      <c r="U5262">
        <v>0.79214479999999998</v>
      </c>
      <c r="V5262">
        <v>-2.0864899999999999E-2</v>
      </c>
      <c r="W5262">
        <v>0.20362569999999999</v>
      </c>
      <c r="X5262">
        <v>0.97882650000000004</v>
      </c>
      <c r="Y5262">
        <v>-0.27934720000000002</v>
      </c>
      <c r="Z5262">
        <v>1.304409E-2</v>
      </c>
      <c r="AA5262">
        <v>0.96010150000000005</v>
      </c>
      <c r="AB5262">
        <v>32</v>
      </c>
      <c r="AC5262">
        <v>16.299099999999999</v>
      </c>
      <c r="AD5262">
        <v>-1.1214113809399999</v>
      </c>
      <c r="AE5262">
        <v>4.1972999999999896</v>
      </c>
      <c r="AF5262">
        <v>-4.7360227374615098</v>
      </c>
      <c r="AG5262">
        <v>-1.1214113809399999</v>
      </c>
      <c r="AH5262">
        <v>16.073257273412299</v>
      </c>
      <c r="AI5262">
        <v>93.828756642494497</v>
      </c>
      <c r="AJ5262">
        <v>106.417732331004</v>
      </c>
      <c r="AK5262">
        <v>16.7939594566724</v>
      </c>
      <c r="AL5262">
        <v>78.250939862046394</v>
      </c>
      <c r="AM5262">
        <v>91.221145619264703</v>
      </c>
      <c r="AN5262">
        <v>1.0000000434273699</v>
      </c>
    </row>
    <row r="5263" spans="1:40" x14ac:dyDescent="0.25">
      <c r="A5263" t="str">
        <f>"20190303162925944"</f>
        <v>20190303162925944</v>
      </c>
      <c r="B5263" t="str">
        <f>"1551601765937548"</f>
        <v>1551601765937548</v>
      </c>
      <c r="C5263" t="s">
        <v>40</v>
      </c>
      <c r="D5263">
        <v>5.0732549999999996</v>
      </c>
      <c r="E5263">
        <v>0.39635779999999998</v>
      </c>
      <c r="F5263" t="s">
        <v>41</v>
      </c>
      <c r="G5263">
        <v>-343.54</v>
      </c>
      <c r="H5263" s="1">
        <v>-3.35894E-6</v>
      </c>
      <c r="I5263">
        <v>21.891200000000001</v>
      </c>
      <c r="J5263">
        <v>-359.62689999999998</v>
      </c>
      <c r="K5263">
        <v>1.1212869999999999</v>
      </c>
      <c r="L5263">
        <v>17.730899999999998</v>
      </c>
      <c r="M5263">
        <v>0.99932679999999996</v>
      </c>
      <c r="N5263">
        <v>-1.266627E-2</v>
      </c>
      <c r="O5263">
        <v>-3.4431490000000002E-2</v>
      </c>
      <c r="P5263">
        <v>0.98161989999999999</v>
      </c>
      <c r="Q5263">
        <v>0.19043740000000001</v>
      </c>
      <c r="R5263">
        <v>-1.24879E-2</v>
      </c>
      <c r="S5263">
        <v>3.1089479999999998</v>
      </c>
      <c r="T5263">
        <v>-0.21421999999999999</v>
      </c>
      <c r="U5263">
        <v>0.7935181</v>
      </c>
      <c r="V5263">
        <v>-2.1377179999999999E-2</v>
      </c>
      <c r="W5263">
        <v>0.20284749999999999</v>
      </c>
      <c r="X5263">
        <v>0.97897699999999999</v>
      </c>
      <c r="Y5263">
        <v>-0.27973039999999999</v>
      </c>
      <c r="Z5263">
        <v>1.3182660000000001E-2</v>
      </c>
      <c r="AA5263">
        <v>0.95998810000000001</v>
      </c>
      <c r="AB5263">
        <v>32</v>
      </c>
      <c r="AC5263">
        <v>16.086899999999901</v>
      </c>
      <c r="AD5263">
        <v>-1.1212903589399901</v>
      </c>
      <c r="AE5263">
        <v>4.1603000000000003</v>
      </c>
      <c r="AF5263">
        <v>-4.6904138915058597</v>
      </c>
      <c r="AG5263">
        <v>-1.1212903589399901</v>
      </c>
      <c r="AH5263">
        <v>15.861871069110601</v>
      </c>
      <c r="AI5263">
        <v>93.878105230256196</v>
      </c>
      <c r="AJ5263">
        <v>106.473143076521</v>
      </c>
      <c r="AK5263">
        <v>16.578788506877402</v>
      </c>
      <c r="AL5263">
        <v>78.296477662378905</v>
      </c>
      <c r="AM5263">
        <v>91.250925786516106</v>
      </c>
      <c r="AN5263">
        <v>1.000000029305</v>
      </c>
    </row>
    <row r="5264" spans="1:40" x14ac:dyDescent="0.25">
      <c r="A5264" t="str">
        <f>"20190303162925963"</f>
        <v>20190303162925963</v>
      </c>
      <c r="B5264" t="str">
        <f>"1551601765957068"</f>
        <v>1551601765957068</v>
      </c>
      <c r="C5264" t="s">
        <v>40</v>
      </c>
      <c r="D5264">
        <v>5.0405030000000002</v>
      </c>
      <c r="E5264">
        <v>0.39695550000000002</v>
      </c>
      <c r="F5264" t="s">
        <v>41</v>
      </c>
      <c r="G5264">
        <v>-343.59390000000002</v>
      </c>
      <c r="H5264" s="1">
        <v>-3.3185410000000001E-6</v>
      </c>
      <c r="I5264">
        <v>21.826260000000001</v>
      </c>
      <c r="J5264">
        <v>-359.34289999999999</v>
      </c>
      <c r="K5264">
        <v>1.1211660000000001</v>
      </c>
      <c r="L5264">
        <v>17.721070000000001</v>
      </c>
      <c r="M5264">
        <v>0.99933419999999895</v>
      </c>
      <c r="N5264">
        <v>-1.26546E-2</v>
      </c>
      <c r="O5264">
        <v>-3.4221429999999997E-2</v>
      </c>
      <c r="P5264">
        <v>0.98193929999999996</v>
      </c>
      <c r="Q5264">
        <v>0.18882350000000001</v>
      </c>
      <c r="R5264">
        <v>-1.188992E-2</v>
      </c>
      <c r="S5264">
        <v>3.1085210000000001</v>
      </c>
      <c r="T5264">
        <v>-0.21739849999999999</v>
      </c>
      <c r="U5264">
        <v>0.79403690000000005</v>
      </c>
      <c r="V5264">
        <v>-2.173889E-2</v>
      </c>
      <c r="W5264">
        <v>0.2012302</v>
      </c>
      <c r="X5264">
        <v>0.97930269999999997</v>
      </c>
      <c r="Y5264">
        <v>-0.27968880000000002</v>
      </c>
      <c r="Z5264">
        <v>1.3344129999999999E-2</v>
      </c>
      <c r="AA5264">
        <v>0.95999800000000002</v>
      </c>
      <c r="AB5264">
        <v>32</v>
      </c>
      <c r="AC5264">
        <v>15.748999999999899</v>
      </c>
      <c r="AD5264">
        <v>-1.1211693185410001</v>
      </c>
      <c r="AE5264">
        <v>4.1051900000000003</v>
      </c>
      <c r="AF5264">
        <v>-4.6198577333474997</v>
      </c>
      <c r="AG5264">
        <v>-1.1211693185410001</v>
      </c>
      <c r="AH5264">
        <v>15.525599582885301</v>
      </c>
      <c r="AI5264">
        <v>93.959408565822898</v>
      </c>
      <c r="AJ5264">
        <v>106.571104318753</v>
      </c>
      <c r="AK5264">
        <v>16.237128703231299</v>
      </c>
      <c r="AL5264">
        <v>78.391092713271306</v>
      </c>
      <c r="AM5264">
        <v>91.271662092878003</v>
      </c>
      <c r="AN5264">
        <v>0.99999997547887998</v>
      </c>
    </row>
    <row r="5265" spans="1:40" x14ac:dyDescent="0.25">
      <c r="A5265" t="str">
        <f>"20190303162925976"</f>
        <v>20190303162925976</v>
      </c>
      <c r="B5265" t="str">
        <f>"1551601765966828"</f>
        <v>1551601765966828</v>
      </c>
      <c r="C5265" t="s">
        <v>40</v>
      </c>
      <c r="D5265">
        <v>5.0141499999999999</v>
      </c>
      <c r="E5265">
        <v>0.39706320000000001</v>
      </c>
      <c r="F5265" t="s">
        <v>41</v>
      </c>
      <c r="G5265">
        <v>-343.48219999999998</v>
      </c>
      <c r="H5265" s="1">
        <v>-3.3486189999999999E-6</v>
      </c>
      <c r="I5265">
        <v>21.7593</v>
      </c>
      <c r="J5265">
        <v>-359.1574</v>
      </c>
      <c r="K5265">
        <v>1.121143</v>
      </c>
      <c r="L5265">
        <v>17.71463</v>
      </c>
      <c r="M5265">
        <v>0.99933760000000005</v>
      </c>
      <c r="N5265">
        <v>-1.2645969999999999E-2</v>
      </c>
      <c r="O5265">
        <v>-3.4123899999999999E-2</v>
      </c>
      <c r="P5265">
        <v>0.98208189999999995</v>
      </c>
      <c r="Q5265">
        <v>0.18807009999999999</v>
      </c>
      <c r="R5265">
        <v>-1.2033729999999999E-2</v>
      </c>
      <c r="S5265">
        <v>3.106995</v>
      </c>
      <c r="T5265">
        <v>-0.21962899999999999</v>
      </c>
      <c r="U5265">
        <v>0.79107669999999997</v>
      </c>
      <c r="V5265">
        <v>-2.1499480000000001E-2</v>
      </c>
      <c r="W5265">
        <v>0.20047119999999999</v>
      </c>
      <c r="X5265">
        <v>0.97946369999999905</v>
      </c>
      <c r="Y5265">
        <v>-0.278835099999999</v>
      </c>
      <c r="Z5265">
        <v>1.343195E-2</v>
      </c>
      <c r="AA5265">
        <v>0.96024509999999996</v>
      </c>
      <c r="AB5265">
        <v>32</v>
      </c>
      <c r="AC5265">
        <v>15.6752</v>
      </c>
      <c r="AD5265">
        <v>-1.1211463486190001</v>
      </c>
      <c r="AE5265">
        <v>4.04467</v>
      </c>
      <c r="AF5265">
        <v>-4.5554067397614997</v>
      </c>
      <c r="AG5265">
        <v>-1.1211463486190001</v>
      </c>
      <c r="AH5265">
        <v>15.4539170761847</v>
      </c>
      <c r="AI5265">
        <v>93.980647556020799</v>
      </c>
      <c r="AJ5265">
        <v>106.42412511468299</v>
      </c>
      <c r="AK5265">
        <v>16.150301938269699</v>
      </c>
      <c r="AL5265">
        <v>78.435485534736003</v>
      </c>
      <c r="AM5265">
        <v>91.257455161866801</v>
      </c>
      <c r="AN5265">
        <v>1.0000000346436899</v>
      </c>
    </row>
    <row r="5266" spans="1:40" x14ac:dyDescent="0.25">
      <c r="A5266" t="str">
        <f>"20190303162925988"</f>
        <v>20190303162925988</v>
      </c>
      <c r="B5266" t="str">
        <f>"1551601765977563"</f>
        <v>1551601765977563</v>
      </c>
      <c r="C5266" t="s">
        <v>40</v>
      </c>
      <c r="D5266">
        <v>5.0020470000000001</v>
      </c>
      <c r="E5266">
        <v>0.39725129999999997</v>
      </c>
      <c r="F5266" t="s">
        <v>41</v>
      </c>
      <c r="G5266">
        <v>-343.471</v>
      </c>
      <c r="H5266" s="1">
        <v>-3.3383810000000002E-6</v>
      </c>
      <c r="I5266">
        <v>21.70271</v>
      </c>
      <c r="J5266">
        <v>-359.0034</v>
      </c>
      <c r="K5266">
        <v>1.12114</v>
      </c>
      <c r="L5266">
        <v>17.709320000000002</v>
      </c>
      <c r="M5266">
        <v>0.99933959999999999</v>
      </c>
      <c r="N5266">
        <v>-1.263674E-2</v>
      </c>
      <c r="O5266">
        <v>-3.4069799999999997E-2</v>
      </c>
      <c r="P5266">
        <v>0.98219480000000003</v>
      </c>
      <c r="Q5266">
        <v>0.18748300000000001</v>
      </c>
      <c r="R5266">
        <v>-1.198073E-2</v>
      </c>
      <c r="S5266">
        <v>3.1069339999999999</v>
      </c>
      <c r="T5266">
        <v>-0.2220598</v>
      </c>
      <c r="U5266">
        <v>0.78991699999999998</v>
      </c>
      <c r="V5266">
        <v>-2.1504479999999999E-2</v>
      </c>
      <c r="W5266">
        <v>0.19987640000000001</v>
      </c>
      <c r="X5266">
        <v>0.97958509999999999</v>
      </c>
      <c r="Y5266">
        <v>-0.27843479999999998</v>
      </c>
      <c r="Z5266">
        <v>1.3545099999999999E-2</v>
      </c>
      <c r="AA5266">
        <v>0.96035959999999998</v>
      </c>
      <c r="AB5266">
        <v>32</v>
      </c>
      <c r="AC5266">
        <v>15.5323999999999</v>
      </c>
      <c r="AD5266">
        <v>-1.1211433383810001</v>
      </c>
      <c r="AE5266">
        <v>3.99338999999999</v>
      </c>
      <c r="AF5266">
        <v>-4.4983157891674903</v>
      </c>
      <c r="AG5266">
        <v>-1.1211433383810001</v>
      </c>
      <c r="AH5266">
        <v>15.312483564388501</v>
      </c>
      <c r="AI5266">
        <v>94.018374904046695</v>
      </c>
      <c r="AJ5266">
        <v>106.37109381201201</v>
      </c>
      <c r="AK5266">
        <v>15.9988737176695</v>
      </c>
      <c r="AL5266">
        <v>78.470268582142097</v>
      </c>
      <c r="AM5266">
        <v>91.257591683833795</v>
      </c>
      <c r="AN5266">
        <v>0.99999999303952003</v>
      </c>
    </row>
    <row r="5267" spans="1:40" x14ac:dyDescent="0.25">
      <c r="A5267" t="str">
        <f>"20190303162925999"</f>
        <v>20190303162925999</v>
      </c>
      <c r="B5267" t="str">
        <f>"1551601765987326"</f>
        <v>1551601765987326</v>
      </c>
      <c r="C5267" t="s">
        <v>40</v>
      </c>
      <c r="D5267">
        <v>4.9562229999999996</v>
      </c>
      <c r="E5267">
        <v>0.39746930000000003</v>
      </c>
      <c r="F5267" t="s">
        <v>41</v>
      </c>
      <c r="G5267">
        <v>-343.42630000000003</v>
      </c>
      <c r="H5267" s="1">
        <v>-3.346836E-6</v>
      </c>
      <c r="I5267">
        <v>21.66235</v>
      </c>
      <c r="J5267">
        <v>-358.84539999999998</v>
      </c>
      <c r="K5267">
        <v>1.1211500000000001</v>
      </c>
      <c r="L5267">
        <v>17.703889999999902</v>
      </c>
      <c r="M5267">
        <v>0.99934049999999996</v>
      </c>
      <c r="N5267">
        <v>-1.2624639999999999E-2</v>
      </c>
      <c r="O5267">
        <v>-3.4048719999999998E-2</v>
      </c>
      <c r="P5267">
        <v>0.98225709999999999</v>
      </c>
      <c r="Q5267">
        <v>0.1871427</v>
      </c>
      <c r="R5267">
        <v>-1.219841E-2</v>
      </c>
      <c r="S5267">
        <v>3.1066280000000002</v>
      </c>
      <c r="T5267">
        <v>-0.2235955</v>
      </c>
      <c r="U5267">
        <v>0.78839110000000001</v>
      </c>
      <c r="V5267">
        <v>-2.127716E-2</v>
      </c>
      <c r="W5267">
        <v>0.19952410000000001</v>
      </c>
      <c r="X5267">
        <v>0.97966189999999997</v>
      </c>
      <c r="Y5267">
        <v>-0.27798410000000001</v>
      </c>
      <c r="Z5267">
        <v>1.360953E-2</v>
      </c>
      <c r="AA5267">
        <v>0.96048929999999999</v>
      </c>
      <c r="AB5267">
        <v>32</v>
      </c>
      <c r="AC5267">
        <v>15.419099999999901</v>
      </c>
      <c r="AD5267">
        <v>-1.121153346836</v>
      </c>
      <c r="AE5267">
        <v>3.9584600000000001</v>
      </c>
      <c r="AF5267">
        <v>-4.4590892106858098</v>
      </c>
      <c r="AG5267">
        <v>-1.121153346836</v>
      </c>
      <c r="AH5267">
        <v>15.1999732104816</v>
      </c>
      <c r="AI5267">
        <v>94.048499443307705</v>
      </c>
      <c r="AJ5267">
        <v>106.349665385173</v>
      </c>
      <c r="AK5267">
        <v>15.8801652074321</v>
      </c>
      <c r="AL5267">
        <v>78.4908690471689</v>
      </c>
      <c r="AM5267">
        <v>91.244204593919704</v>
      </c>
      <c r="AN5267">
        <v>1.00000001116504</v>
      </c>
    </row>
    <row r="5268" spans="1:40" x14ac:dyDescent="0.25">
      <c r="A5268" t="str">
        <f>"20190303162926017"</f>
        <v>20190303162926017</v>
      </c>
      <c r="B5268" t="str">
        <f>"1551601766006844"</f>
        <v>1551601766006844</v>
      </c>
      <c r="C5268" t="s">
        <v>40</v>
      </c>
      <c r="D5268">
        <v>4.9877129999999896</v>
      </c>
      <c r="E5268">
        <v>0.39779009999999998</v>
      </c>
      <c r="F5268" t="s">
        <v>41</v>
      </c>
      <c r="G5268">
        <v>-343.37889999999999</v>
      </c>
      <c r="H5268" s="1">
        <v>-3.3547510000000002E-6</v>
      </c>
      <c r="I5268">
        <v>21.615739999999999</v>
      </c>
      <c r="J5268">
        <v>-358.58569999999997</v>
      </c>
      <c r="K5268">
        <v>1.1211139999999999</v>
      </c>
      <c r="L5268">
        <v>17.69492</v>
      </c>
      <c r="M5268">
        <v>0.99935549999999995</v>
      </c>
      <c r="N5268">
        <v>-1.2443910000000001E-2</v>
      </c>
      <c r="O5268">
        <v>-3.3671800000000002E-2</v>
      </c>
      <c r="P5268">
        <v>0.98225320000000005</v>
      </c>
      <c r="Q5268">
        <v>0.18720310000000001</v>
      </c>
      <c r="R5268">
        <v>-1.155783E-2</v>
      </c>
      <c r="S5268">
        <v>3.106903</v>
      </c>
      <c r="T5268">
        <v>-0.22521669999999999</v>
      </c>
      <c r="U5268">
        <v>0.78582759999999996</v>
      </c>
      <c r="V5268">
        <v>-2.1549559999999999E-2</v>
      </c>
      <c r="W5268">
        <v>0.19940730000000001</v>
      </c>
      <c r="X5268">
        <v>0.97967969999999904</v>
      </c>
      <c r="Y5268">
        <v>-0.27685029999999999</v>
      </c>
      <c r="Z5268">
        <v>1.360871E-2</v>
      </c>
      <c r="AA5268">
        <v>0.96081669999999997</v>
      </c>
      <c r="AB5268">
        <v>32</v>
      </c>
      <c r="AC5268">
        <v>15.2067999999999</v>
      </c>
      <c r="AD5268">
        <v>-1.1211173547510001</v>
      </c>
      <c r="AE5268">
        <v>3.9208199999999902</v>
      </c>
      <c r="AF5268">
        <v>-4.4082097228980501</v>
      </c>
      <c r="AG5268">
        <v>-1.1211173547510001</v>
      </c>
      <c r="AH5268">
        <v>14.9897485732617</v>
      </c>
      <c r="AI5268">
        <v>94.104157421611305</v>
      </c>
      <c r="AJ5268">
        <v>106.387641094114</v>
      </c>
      <c r="AK5268">
        <v>15.6646665899335</v>
      </c>
      <c r="AL5268">
        <v>78.497698123494999</v>
      </c>
      <c r="AM5268">
        <v>91.260105482226294</v>
      </c>
      <c r="AN5268">
        <v>0.99999998471078599</v>
      </c>
    </row>
    <row r="5269" spans="1:40" x14ac:dyDescent="0.25">
      <c r="A5269" t="str">
        <f>"20190303162926028"</f>
        <v>20190303162926028</v>
      </c>
      <c r="B5269" t="str">
        <f>"1551601766017580"</f>
        <v>1551601766017580</v>
      </c>
      <c r="C5269" t="s">
        <v>40</v>
      </c>
      <c r="D5269">
        <v>4.9864839999999999</v>
      </c>
      <c r="E5269">
        <v>0.39800799999999997</v>
      </c>
      <c r="F5269" t="s">
        <v>41</v>
      </c>
      <c r="G5269">
        <v>-342.8974</v>
      </c>
      <c r="H5269" s="1">
        <v>-3.572098E-6</v>
      </c>
      <c r="I5269">
        <v>21.656330000000001</v>
      </c>
      <c r="J5269">
        <v>-358.42989999999998</v>
      </c>
      <c r="K5269">
        <v>1.1211279999999999</v>
      </c>
      <c r="L5269">
        <v>17.689540000000001</v>
      </c>
      <c r="M5269">
        <v>0.9993609</v>
      </c>
      <c r="N5269">
        <v>-1.237864E-2</v>
      </c>
      <c r="O5269">
        <v>-3.3538239999999997E-2</v>
      </c>
      <c r="P5269">
        <v>0.98214970000000001</v>
      </c>
      <c r="Q5269">
        <v>0.18776509999999999</v>
      </c>
      <c r="R5269">
        <v>-1.1258010000000001E-2</v>
      </c>
      <c r="S5269">
        <v>3.1057429999999999</v>
      </c>
      <c r="T5269">
        <v>-0.22194240000000001</v>
      </c>
      <c r="U5269">
        <v>0.78424069999999901</v>
      </c>
      <c r="V5269">
        <v>-2.1731380000000002E-2</v>
      </c>
      <c r="W5269">
        <v>0.1999021</v>
      </c>
      <c r="X5269">
        <v>0.97957490000000003</v>
      </c>
      <c r="Y5269">
        <v>-0.27637060000000002</v>
      </c>
      <c r="Z5269">
        <v>1.340101E-2</v>
      </c>
      <c r="AA5269">
        <v>0.96095770000000003</v>
      </c>
      <c r="AB5269">
        <v>32</v>
      </c>
      <c r="AC5269">
        <v>15.532499999999899</v>
      </c>
      <c r="AD5269">
        <v>-1.121131572098</v>
      </c>
      <c r="AE5269">
        <v>3.96679</v>
      </c>
      <c r="AF5269">
        <v>-4.4636990663742102</v>
      </c>
      <c r="AG5269">
        <v>-1.121131572098</v>
      </c>
      <c r="AH5269">
        <v>15.3158029813267</v>
      </c>
      <c r="AI5269">
        <v>94.019973696222195</v>
      </c>
      <c r="AJ5269">
        <v>106.248446989242</v>
      </c>
      <c r="AK5269">
        <v>15.992353370280499</v>
      </c>
      <c r="AL5269">
        <v>78.468766342068804</v>
      </c>
      <c r="AM5269">
        <v>91.2708697978007</v>
      </c>
      <c r="AN5269">
        <v>1.0000000435855601</v>
      </c>
    </row>
    <row r="5270" spans="1:40" x14ac:dyDescent="0.25">
      <c r="A5270" t="str">
        <f>"20190303162926040"</f>
        <v>20190303162926040</v>
      </c>
      <c r="B5270" t="str">
        <f>"1551601766027340"</f>
        <v>1551601766027340</v>
      </c>
      <c r="C5270" t="s">
        <v>40</v>
      </c>
      <c r="D5270">
        <v>4.9651249999999996</v>
      </c>
      <c r="E5270">
        <v>0.39824300000000001</v>
      </c>
      <c r="F5270" t="s">
        <v>41</v>
      </c>
      <c r="G5270">
        <v>-342.48259999999999</v>
      </c>
      <c r="H5270" s="1">
        <v>-3.7645539999999999E-6</v>
      </c>
      <c r="I5270">
        <v>21.71087</v>
      </c>
      <c r="J5270">
        <v>-358.27359999999999</v>
      </c>
      <c r="K5270">
        <v>1.121189</v>
      </c>
      <c r="L5270">
        <v>17.684200000000001</v>
      </c>
      <c r="M5270">
        <v>0.99936000000000003</v>
      </c>
      <c r="N5270">
        <v>-1.2386660000000001E-2</v>
      </c>
      <c r="O5270">
        <v>-3.3561699999999903E-2</v>
      </c>
      <c r="P5270">
        <v>0.98212790000000005</v>
      </c>
      <c r="Q5270">
        <v>0.18787909999999999</v>
      </c>
      <c r="R5270">
        <v>-1.1236879999999999E-2</v>
      </c>
      <c r="S5270">
        <v>3.1052550000000001</v>
      </c>
      <c r="T5270">
        <v>-0.2183071</v>
      </c>
      <c r="U5270">
        <v>0.78305049999999998</v>
      </c>
      <c r="V5270">
        <v>-2.1808379999999999E-2</v>
      </c>
      <c r="W5270">
        <v>0.2000198</v>
      </c>
      <c r="X5270">
        <v>0.97954909999999995</v>
      </c>
      <c r="Y5270">
        <v>-0.27610879999999999</v>
      </c>
      <c r="Z5270">
        <v>1.3197469999999999E-2</v>
      </c>
      <c r="AA5270">
        <v>0.9610358</v>
      </c>
      <c r="AB5270">
        <v>32</v>
      </c>
      <c r="AC5270">
        <v>15.790999999999899</v>
      </c>
      <c r="AD5270">
        <v>-1.1211927645540001</v>
      </c>
      <c r="AE5270">
        <v>4.0266699999999904</v>
      </c>
      <c r="AF5270">
        <v>-4.5329578879982</v>
      </c>
      <c r="AG5270">
        <v>-1.1211927645540001</v>
      </c>
      <c r="AH5270">
        <v>15.5732346573868</v>
      </c>
      <c r="AI5270">
        <v>93.954341544079099</v>
      </c>
      <c r="AJ5270">
        <v>106.228884949901</v>
      </c>
      <c r="AK5270">
        <v>16.258241544634799</v>
      </c>
      <c r="AL5270">
        <v>78.461882911179998</v>
      </c>
      <c r="AM5270">
        <v>91.275404919831701</v>
      </c>
      <c r="AN5270">
        <v>0.99999998257053702</v>
      </c>
    </row>
    <row r="5271" spans="1:40" x14ac:dyDescent="0.25">
      <c r="A5271" t="str">
        <f>"20190303162926051"</f>
        <v>20190303162926051</v>
      </c>
      <c r="B5271" t="str">
        <f>"1551601766046860"</f>
        <v>1551601766046860</v>
      </c>
      <c r="C5271" t="s">
        <v>40</v>
      </c>
      <c r="D5271">
        <v>4.9406369999999997</v>
      </c>
      <c r="E5271">
        <v>0.39857409999999999</v>
      </c>
      <c r="F5271" t="s">
        <v>41</v>
      </c>
      <c r="G5271">
        <v>-342.22519999999997</v>
      </c>
      <c r="H5271" s="1">
        <v>-3.8780349999999999E-6</v>
      </c>
      <c r="I5271">
        <v>21.722329999999999</v>
      </c>
      <c r="J5271">
        <v>-358.10489999999999</v>
      </c>
      <c r="K5271">
        <v>1.1212759999999999</v>
      </c>
      <c r="L5271">
        <v>17.6785</v>
      </c>
      <c r="M5271">
        <v>0.99935390000000002</v>
      </c>
      <c r="N5271">
        <v>-1.242333E-2</v>
      </c>
      <c r="O5271">
        <v>-3.3729099999999998E-2</v>
      </c>
      <c r="P5271">
        <v>0.98212569999999999</v>
      </c>
      <c r="Q5271">
        <v>0.18787680000000001</v>
      </c>
      <c r="R5271">
        <v>-1.1465889999999999E-2</v>
      </c>
      <c r="S5271">
        <v>3.1050420000000001</v>
      </c>
      <c r="T5271">
        <v>-0.2169278</v>
      </c>
      <c r="U5271">
        <v>0.78131099999999998</v>
      </c>
      <c r="V5271">
        <v>-2.1789570000000001E-2</v>
      </c>
      <c r="W5271">
        <v>0.20004830000000001</v>
      </c>
      <c r="X5271">
        <v>0.97954370000000002</v>
      </c>
      <c r="Y5271">
        <v>-0.2757888</v>
      </c>
      <c r="Z5271">
        <v>1.3124469999999999E-2</v>
      </c>
      <c r="AA5271">
        <v>0.96112869999999995</v>
      </c>
      <c r="AB5271">
        <v>32</v>
      </c>
      <c r="AC5271">
        <v>15.8797</v>
      </c>
      <c r="AD5271">
        <v>-1.121279878035</v>
      </c>
      <c r="AE5271">
        <v>4.0438299999999998</v>
      </c>
      <c r="AF5271">
        <v>-4.5558463659842703</v>
      </c>
      <c r="AG5271">
        <v>-1.121279878035</v>
      </c>
      <c r="AH5271">
        <v>15.6609294386342</v>
      </c>
      <c r="AI5271">
        <v>93.932750181117598</v>
      </c>
      <c r="AJ5271">
        <v>106.21999003061801</v>
      </c>
      <c r="AK5271">
        <v>16.348630387809798</v>
      </c>
      <c r="AL5271">
        <v>78.460216313570697</v>
      </c>
      <c r="AM5271">
        <v>91.274312252687196</v>
      </c>
      <c r="AN5271">
        <v>0.99999998395168199</v>
      </c>
    </row>
    <row r="5272" spans="1:40" x14ac:dyDescent="0.25">
      <c r="A5272" t="str">
        <f>"20190303162926063"</f>
        <v>20190303162926063</v>
      </c>
      <c r="B5272" t="str">
        <f>"1551601766057597"</f>
        <v>1551601766057597</v>
      </c>
      <c r="C5272" t="s">
        <v>40</v>
      </c>
      <c r="D5272">
        <v>4.9444379999999999</v>
      </c>
      <c r="E5272">
        <v>0.39872980000000002</v>
      </c>
      <c r="F5272" t="s">
        <v>41</v>
      </c>
      <c r="G5272">
        <v>-342.04640000000001</v>
      </c>
      <c r="H5272" s="1">
        <v>-3.9498930000000001E-6</v>
      </c>
      <c r="I5272">
        <v>21.704000000000001</v>
      </c>
      <c r="J5272">
        <v>-357.94119999999998</v>
      </c>
      <c r="K5272">
        <v>1.121372</v>
      </c>
      <c r="L5272">
        <v>17.672969999999999</v>
      </c>
      <c r="M5272">
        <v>0.99934579999999995</v>
      </c>
      <c r="N5272">
        <v>-1.24706E-2</v>
      </c>
      <c r="O5272">
        <v>-3.3950849999999998E-2</v>
      </c>
      <c r="P5272">
        <v>0.98219400000000001</v>
      </c>
      <c r="Q5272">
        <v>0.18748970000000001</v>
      </c>
      <c r="R5272">
        <v>-1.1955439999999999E-2</v>
      </c>
      <c r="S5272">
        <v>3.105194</v>
      </c>
      <c r="T5272">
        <v>-0.2168175</v>
      </c>
      <c r="U5272">
        <v>0.77841190000000005</v>
      </c>
      <c r="V5272">
        <v>-2.1569720000000001E-2</v>
      </c>
      <c r="W5272">
        <v>0.19970350000000001</v>
      </c>
      <c r="X5272">
        <v>0.97961889999999996</v>
      </c>
      <c r="Y5272">
        <v>-0.27514850000000002</v>
      </c>
      <c r="Z5272">
        <v>1.311054E-2</v>
      </c>
      <c r="AA5272">
        <v>0.96131239999999996</v>
      </c>
      <c r="AB5272">
        <v>32</v>
      </c>
      <c r="AC5272">
        <v>15.894799999999901</v>
      </c>
      <c r="AD5272">
        <v>-1.121375949893</v>
      </c>
      <c r="AE5272">
        <v>4.0310300000000003</v>
      </c>
      <c r="AF5272">
        <v>-4.5471249858697398</v>
      </c>
      <c r="AG5272">
        <v>-1.121375949893</v>
      </c>
      <c r="AH5272">
        <v>15.6754613570325</v>
      </c>
      <c r="AI5272">
        <v>93.930318263199496</v>
      </c>
      <c r="AJ5272">
        <v>106.176343701435</v>
      </c>
      <c r="AK5272">
        <v>16.360131980333701</v>
      </c>
      <c r="AL5272">
        <v>78.480378530710595</v>
      </c>
      <c r="AM5272">
        <v>91.261362209120307</v>
      </c>
      <c r="AN5272">
        <v>0.99999996498516797</v>
      </c>
    </row>
    <row r="5273" spans="1:40" x14ac:dyDescent="0.25">
      <c r="A5273" t="str">
        <f>"20190303162926075"</f>
        <v>20190303162926075</v>
      </c>
      <c r="B5273" t="str">
        <f>"1551601766067356"</f>
        <v>1551601766067356</v>
      </c>
      <c r="C5273" t="s">
        <v>40</v>
      </c>
      <c r="D5273">
        <v>4.9503979999999999</v>
      </c>
      <c r="E5273">
        <v>0.39891359999999998</v>
      </c>
      <c r="F5273" t="s">
        <v>41</v>
      </c>
      <c r="G5273">
        <v>-341.83019999999999</v>
      </c>
      <c r="H5273" s="1">
        <v>-4.0228590000000004E-6</v>
      </c>
      <c r="I5273">
        <v>21.70025</v>
      </c>
      <c r="J5273">
        <v>-357.77569999999997</v>
      </c>
      <c r="K5273">
        <v>1.121405</v>
      </c>
      <c r="L5273">
        <v>17.667449999999999</v>
      </c>
      <c r="M5273">
        <v>0.99934049999999996</v>
      </c>
      <c r="N5273">
        <v>-1.247382E-2</v>
      </c>
      <c r="O5273">
        <v>-3.4102550000000002E-2</v>
      </c>
      <c r="P5273">
        <v>0.98220620000000003</v>
      </c>
      <c r="Q5273">
        <v>0.18737119999999999</v>
      </c>
      <c r="R5273">
        <v>-1.277475E-2</v>
      </c>
      <c r="S5273">
        <v>3.1051639999999998</v>
      </c>
      <c r="T5273">
        <v>-0.21612890000000001</v>
      </c>
      <c r="U5273">
        <v>0.77621459999999998</v>
      </c>
      <c r="V5273">
        <v>-2.0923259999999999E-2</v>
      </c>
      <c r="W5273">
        <v>0.19958680000000001</v>
      </c>
      <c r="X5273">
        <v>0.97965679999999999</v>
      </c>
      <c r="Y5273">
        <v>-0.27466210000000002</v>
      </c>
      <c r="Z5273">
        <v>1.306327E-2</v>
      </c>
      <c r="AA5273">
        <v>0.96145210000000003</v>
      </c>
      <c r="AB5273">
        <v>32</v>
      </c>
      <c r="AC5273">
        <v>15.9454999999999</v>
      </c>
      <c r="AD5273">
        <v>-1.1214090228589999</v>
      </c>
      <c r="AE5273">
        <v>4.0327999999999999</v>
      </c>
      <c r="AF5273">
        <v>-4.5531127021587396</v>
      </c>
      <c r="AG5273">
        <v>-1.1214090228589999</v>
      </c>
      <c r="AH5273">
        <v>15.725581836768001</v>
      </c>
      <c r="AI5273">
        <v>93.918513696706896</v>
      </c>
      <c r="AJ5273">
        <v>106.14760163766501</v>
      </c>
      <c r="AK5273">
        <v>16.4098238131918</v>
      </c>
      <c r="AL5273">
        <v>78.487203428157599</v>
      </c>
      <c r="AM5273">
        <v>91.223522625963298</v>
      </c>
      <c r="AN5273">
        <v>1.00000005966475</v>
      </c>
    </row>
    <row r="5274" spans="1:40" x14ac:dyDescent="0.25">
      <c r="A5274" t="str">
        <f>"20190303162926086"</f>
        <v>20190303162926086</v>
      </c>
      <c r="B5274" t="str">
        <f>"1551601766077117"</f>
        <v>1551601766077117</v>
      </c>
      <c r="C5274" t="s">
        <v>40</v>
      </c>
      <c r="D5274">
        <v>4.9763039999999998</v>
      </c>
      <c r="E5274">
        <v>0.39895700000000001</v>
      </c>
      <c r="F5274" t="s">
        <v>41</v>
      </c>
      <c r="G5274">
        <v>-341.54739999999998</v>
      </c>
      <c r="H5274" s="1">
        <v>-4.1197529999999997E-6</v>
      </c>
      <c r="I5274">
        <v>21.703869999999998</v>
      </c>
      <c r="J5274">
        <v>-357.60520000000002</v>
      </c>
      <c r="K5274">
        <v>1.1214170000000001</v>
      </c>
      <c r="L5274">
        <v>17.661799999999999</v>
      </c>
      <c r="M5274">
        <v>0.99933740000000004</v>
      </c>
      <c r="N5274">
        <v>-1.2467219999999999E-2</v>
      </c>
      <c r="O5274">
        <v>-3.4192899999999998E-2</v>
      </c>
      <c r="P5274">
        <v>0.98221860000000005</v>
      </c>
      <c r="Q5274">
        <v>0.18726100000000001</v>
      </c>
      <c r="R5274">
        <v>-1.34159E-2</v>
      </c>
      <c r="S5274">
        <v>3.1053470000000001</v>
      </c>
      <c r="T5274">
        <v>-0.21458540000000001</v>
      </c>
      <c r="U5274">
        <v>0.77239990000000003</v>
      </c>
      <c r="V5274">
        <v>-2.038655E-2</v>
      </c>
      <c r="W5274">
        <v>0.19946990000000001</v>
      </c>
      <c r="X5274">
        <v>0.97969189999999995</v>
      </c>
      <c r="Y5274">
        <v>-0.27363680000000001</v>
      </c>
      <c r="Z5274">
        <v>1.294328E-2</v>
      </c>
      <c r="AA5274">
        <v>0.96174599999999999</v>
      </c>
      <c r="AB5274">
        <v>32</v>
      </c>
      <c r="AC5274">
        <v>16.0578</v>
      </c>
      <c r="AD5274">
        <v>-1.121421119753</v>
      </c>
      <c r="AE5274">
        <v>4.0420699999999998</v>
      </c>
      <c r="AF5274">
        <v>-4.5678609007796602</v>
      </c>
      <c r="AG5274">
        <v>-1.121421119753</v>
      </c>
      <c r="AH5274">
        <v>15.837548594618299</v>
      </c>
      <c r="AI5274">
        <v>93.892092632472199</v>
      </c>
      <c r="AJ5274">
        <v>106.088602923124</v>
      </c>
      <c r="AK5274">
        <v>16.521225257939999</v>
      </c>
      <c r="AL5274">
        <v>78.494038468843897</v>
      </c>
      <c r="AM5274">
        <v>91.192104088216297</v>
      </c>
      <c r="AN5274">
        <v>1.0000000356762599</v>
      </c>
    </row>
    <row r="5275" spans="1:40" x14ac:dyDescent="0.25">
      <c r="A5275" t="str">
        <f>"20190303162926098"</f>
        <v>20190303162926098</v>
      </c>
      <c r="B5275" t="str">
        <f>"1551601766086877"</f>
        <v>1551601766086877</v>
      </c>
      <c r="C5275" t="s">
        <v>40</v>
      </c>
      <c r="D5275">
        <v>5.0981959999999997</v>
      </c>
      <c r="E5275">
        <v>0.39895700000000001</v>
      </c>
      <c r="F5275" t="s">
        <v>41</v>
      </c>
      <c r="G5275">
        <v>-341.43310000000002</v>
      </c>
      <c r="H5275" s="1">
        <v>-4.1533389999999997E-6</v>
      </c>
      <c r="I5275">
        <v>21.673999999999999</v>
      </c>
      <c r="J5275">
        <v>-357.43740000000003</v>
      </c>
      <c r="K5275">
        <v>1.1213949999999999</v>
      </c>
      <c r="L5275">
        <v>17.65625</v>
      </c>
      <c r="M5275">
        <v>0.99933989999999995</v>
      </c>
      <c r="N5275">
        <v>-1.243934E-2</v>
      </c>
      <c r="O5275">
        <v>-3.4137870000000001E-2</v>
      </c>
      <c r="P5275">
        <v>0.98211250000000005</v>
      </c>
      <c r="Q5275">
        <v>0.18778629999999999</v>
      </c>
      <c r="R5275">
        <v>-1.384523E-2</v>
      </c>
      <c r="S5275">
        <v>3.105896</v>
      </c>
      <c r="T5275">
        <v>-0.21537210000000001</v>
      </c>
      <c r="U5275">
        <v>0.77056880000000005</v>
      </c>
      <c r="V5275">
        <v>-1.9898180000000001E-2</v>
      </c>
      <c r="W5275">
        <v>0.19996710000000001</v>
      </c>
      <c r="X5275">
        <v>0.97960049999999999</v>
      </c>
      <c r="Y5275">
        <v>-0.27300659999999999</v>
      </c>
      <c r="Z5275">
        <v>1.2952969999999999E-2</v>
      </c>
      <c r="AA5275">
        <v>0.96192500000000003</v>
      </c>
      <c r="AB5275">
        <v>32</v>
      </c>
      <c r="AC5275">
        <v>16.004300000000001</v>
      </c>
      <c r="AD5275">
        <v>-1.121399153339</v>
      </c>
      <c r="AE5275">
        <v>4.0177500000000004</v>
      </c>
      <c r="AF5275">
        <v>-4.54083069945729</v>
      </c>
      <c r="AG5275">
        <v>-1.121399153339</v>
      </c>
      <c r="AH5275">
        <v>15.7848989624095</v>
      </c>
      <c r="AI5275">
        <v>93.905735185059001</v>
      </c>
      <c r="AJ5275">
        <v>106.048902056393</v>
      </c>
      <c r="AK5275">
        <v>16.463283838764401</v>
      </c>
      <c r="AL5275">
        <v>78.464964384478705</v>
      </c>
      <c r="AM5275">
        <v>91.163663119547294</v>
      </c>
      <c r="AN5275">
        <v>0.99999995912498496</v>
      </c>
    </row>
    <row r="5276" spans="1:40" x14ac:dyDescent="0.25">
      <c r="A5276" t="str">
        <f>"20190303162926110"</f>
        <v>20190303162926110</v>
      </c>
      <c r="B5276" t="str">
        <f>"1551601766097612"</f>
        <v>1551601766097612</v>
      </c>
      <c r="C5276" t="s">
        <v>40</v>
      </c>
      <c r="D5276">
        <v>5.0124810000000002</v>
      </c>
      <c r="E5276">
        <v>0.40099079999999998</v>
      </c>
      <c r="F5276" t="s">
        <v>41</v>
      </c>
      <c r="G5276">
        <v>-341.09629999999999</v>
      </c>
      <c r="H5276" s="1">
        <v>-4.2736419999999999E-6</v>
      </c>
      <c r="I5276">
        <v>21.706060000000001</v>
      </c>
      <c r="J5276">
        <v>-357.27100000000002</v>
      </c>
      <c r="K5276">
        <v>1.1213709999999999</v>
      </c>
      <c r="L5276">
        <v>17.650729999999999</v>
      </c>
      <c r="M5276">
        <v>0.9993457</v>
      </c>
      <c r="N5276">
        <v>-1.2411220000000001E-2</v>
      </c>
      <c r="O5276">
        <v>-3.397638E-2</v>
      </c>
      <c r="P5276">
        <v>0.98206380000000004</v>
      </c>
      <c r="Q5276">
        <v>0.1880105</v>
      </c>
      <c r="R5276">
        <v>-1.425214E-2</v>
      </c>
      <c r="S5276">
        <v>3.1062620000000001</v>
      </c>
      <c r="T5276">
        <v>-0.21316460000000001</v>
      </c>
      <c r="U5276">
        <v>0.76983639999999998</v>
      </c>
      <c r="V5276">
        <v>-1.9324709999999998E-2</v>
      </c>
      <c r="W5276">
        <v>0.20016419999999999</v>
      </c>
      <c r="X5276">
        <v>0.97957179999999999</v>
      </c>
      <c r="Y5276">
        <v>-0.27262769999999997</v>
      </c>
      <c r="Z5276">
        <v>1.280567E-2</v>
      </c>
      <c r="AA5276">
        <v>0.96203439999999996</v>
      </c>
      <c r="AB5276">
        <v>32</v>
      </c>
      <c r="AC5276">
        <v>16.174699999999898</v>
      </c>
      <c r="AD5276">
        <v>-1.121375273642</v>
      </c>
      <c r="AE5276">
        <v>4.0553299999999997</v>
      </c>
      <c r="AF5276">
        <v>-4.5818679700256899</v>
      </c>
      <c r="AG5276">
        <v>-1.121375273642</v>
      </c>
      <c r="AH5276">
        <v>15.9554097409459</v>
      </c>
      <c r="AI5276">
        <v>93.864554530009201</v>
      </c>
      <c r="AJ5276">
        <v>106.02232161610399</v>
      </c>
      <c r="AK5276">
        <v>16.638091735549299</v>
      </c>
      <c r="AL5276">
        <v>78.4534392039549</v>
      </c>
      <c r="AM5276">
        <v>91.130168017661305</v>
      </c>
      <c r="AN5276">
        <v>1.0000000313667301</v>
      </c>
    </row>
    <row r="5277" spans="1:40" x14ac:dyDescent="0.25">
      <c r="A5277" t="str">
        <f>"20190303162926121"</f>
        <v>20190303162926121</v>
      </c>
      <c r="B5277" t="str">
        <f>"1551601766107373"</f>
        <v>1551601766107373</v>
      </c>
      <c r="C5277" t="s">
        <v>40</v>
      </c>
      <c r="D5277">
        <v>5.0542800000000003</v>
      </c>
      <c r="E5277">
        <v>0.40099079999999998</v>
      </c>
      <c r="F5277" t="s">
        <v>41</v>
      </c>
      <c r="G5277">
        <v>-340.50810000000001</v>
      </c>
      <c r="H5277" s="1">
        <v>-4.4749430000000003E-6</v>
      </c>
      <c r="I5277">
        <v>21.71237</v>
      </c>
      <c r="J5277">
        <v>-357.11450000000002</v>
      </c>
      <c r="K5277">
        <v>1.1213489999999999</v>
      </c>
      <c r="L5277">
        <v>17.645569999999999</v>
      </c>
      <c r="M5277">
        <v>0.99935309999999999</v>
      </c>
      <c r="N5277">
        <v>-1.238451E-2</v>
      </c>
      <c r="O5277">
        <v>-3.3765129999999997E-2</v>
      </c>
      <c r="P5277">
        <v>0.98195209999999999</v>
      </c>
      <c r="Q5277">
        <v>0.18854370000000001</v>
      </c>
      <c r="R5277">
        <v>-1.4898160000000001E-2</v>
      </c>
      <c r="S5277">
        <v>3.105499</v>
      </c>
      <c r="T5277">
        <v>-0.20774509999999999</v>
      </c>
      <c r="U5277">
        <v>0.75247189999999997</v>
      </c>
      <c r="V5277">
        <v>-1.8459550000000002E-2</v>
      </c>
      <c r="W5277">
        <v>0.20067199999999999</v>
      </c>
      <c r="X5277">
        <v>0.97948460000000004</v>
      </c>
      <c r="Y5277">
        <v>-0.26744970000000001</v>
      </c>
      <c r="Z5277">
        <v>1.2305109999999999E-2</v>
      </c>
      <c r="AA5277">
        <v>0.96349320000000005</v>
      </c>
      <c r="AB5277">
        <v>32</v>
      </c>
      <c r="AC5277">
        <v>16.606400000000001</v>
      </c>
      <c r="AD5277">
        <v>-1.1213534749430001</v>
      </c>
      <c r="AE5277">
        <v>4.06679999999999</v>
      </c>
      <c r="AF5277">
        <v>-4.6054298325941101</v>
      </c>
      <c r="AG5277">
        <v>-1.1213534749430001</v>
      </c>
      <c r="AH5277">
        <v>16.389102072040998</v>
      </c>
      <c r="AI5277">
        <v>93.7685958976016</v>
      </c>
      <c r="AJ5277">
        <v>105.695661588129</v>
      </c>
      <c r="AK5277">
        <v>17.060776192380398</v>
      </c>
      <c r="AL5277">
        <v>78.423742011783105</v>
      </c>
      <c r="AM5277">
        <v>91.079679164536898</v>
      </c>
      <c r="AN5277">
        <v>1.00000004410368</v>
      </c>
    </row>
    <row r="5278" spans="1:40" x14ac:dyDescent="0.25">
      <c r="A5278" t="str">
        <f>"20190303162926135"</f>
        <v>20190303162926135</v>
      </c>
      <c r="B5278" t="str">
        <f>"1551601766126892"</f>
        <v>1551601766126892</v>
      </c>
      <c r="C5278" t="s">
        <v>40</v>
      </c>
      <c r="D5278">
        <v>5.0592449999999998</v>
      </c>
      <c r="E5278">
        <v>0.47321220000000003</v>
      </c>
      <c r="F5278" t="s">
        <v>41</v>
      </c>
      <c r="G5278">
        <v>-340.17160000000001</v>
      </c>
      <c r="H5278" s="1">
        <v>-4.5946190000000003E-6</v>
      </c>
      <c r="I5278">
        <v>21.741620000000001</v>
      </c>
      <c r="J5278">
        <v>-356.928</v>
      </c>
      <c r="K5278">
        <v>1.121346</v>
      </c>
      <c r="L5278">
        <v>17.639500000000002</v>
      </c>
      <c r="M5278">
        <v>0.9993649</v>
      </c>
      <c r="N5278">
        <v>-1.2359899999999899E-2</v>
      </c>
      <c r="O5278">
        <v>-3.342709E-2</v>
      </c>
      <c r="P5278">
        <v>0.98181819999999997</v>
      </c>
      <c r="Q5278">
        <v>0.18920200000000001</v>
      </c>
      <c r="R5278">
        <v>-1.534746E-2</v>
      </c>
      <c r="S5278">
        <v>3.1060180000000002</v>
      </c>
      <c r="T5278">
        <v>-0.20556949999999999</v>
      </c>
      <c r="U5278">
        <v>0.75091549999999996</v>
      </c>
      <c r="V5278">
        <v>-1.767254E-2</v>
      </c>
      <c r="W5278">
        <v>0.2013054</v>
      </c>
      <c r="X5278">
        <v>0.97936909999999999</v>
      </c>
      <c r="Y5278">
        <v>-0.26664779999999999</v>
      </c>
      <c r="Z5278">
        <v>1.213682E-2</v>
      </c>
      <c r="AA5278">
        <v>0.96371759999999995</v>
      </c>
      <c r="AB5278">
        <v>32</v>
      </c>
      <c r="AC5278">
        <v>16.756399999999999</v>
      </c>
      <c r="AD5278">
        <v>-1.1213505946190001</v>
      </c>
      <c r="AE5278">
        <v>4.1021199999999904</v>
      </c>
      <c r="AF5278">
        <v>-4.6403812277391401</v>
      </c>
      <c r="AG5278">
        <v>-1.1213505946190001</v>
      </c>
      <c r="AH5278">
        <v>16.540017726517998</v>
      </c>
      <c r="AI5278">
        <v>93.734735318498707</v>
      </c>
      <c r="AJ5278">
        <v>105.671718490827</v>
      </c>
      <c r="AK5278">
        <v>17.2151895571422</v>
      </c>
      <c r="AL5278">
        <v>78.3866944450603</v>
      </c>
      <c r="AM5278">
        <v>91.033779884178699</v>
      </c>
      <c r="AN5278">
        <v>1.00000000838701</v>
      </c>
    </row>
    <row r="5279" spans="1:40" x14ac:dyDescent="0.25">
      <c r="A5279" t="str">
        <f>"20190303162926154"</f>
        <v>20190303162926154</v>
      </c>
      <c r="B5279" t="str">
        <f>"1551601766147388"</f>
        <v>1551601766147388</v>
      </c>
      <c r="C5279" t="s">
        <v>40</v>
      </c>
      <c r="D5279">
        <v>4.9949149999999998</v>
      </c>
      <c r="E5279">
        <v>0.4753617</v>
      </c>
      <c r="F5279" t="s">
        <v>42</v>
      </c>
      <c r="G5279">
        <v>-313.54570000000001</v>
      </c>
      <c r="H5279">
        <v>-0.05</v>
      </c>
      <c r="I5279">
        <v>20.078230000000001</v>
      </c>
      <c r="J5279">
        <v>-356.66820000000001</v>
      </c>
      <c r="K5279">
        <v>1.121383</v>
      </c>
      <c r="L5279">
        <v>17.6311</v>
      </c>
      <c r="M5279">
        <v>0.99938190000000005</v>
      </c>
      <c r="N5279">
        <v>-1.233164E-2</v>
      </c>
      <c r="O5279">
        <v>-3.2921350000000002E-2</v>
      </c>
      <c r="P5279">
        <v>0.98172570000000003</v>
      </c>
      <c r="Q5279">
        <v>0.1895763</v>
      </c>
      <c r="R5279">
        <v>-1.6602849999999999E-2</v>
      </c>
      <c r="S5279">
        <v>3.0742799999999999</v>
      </c>
      <c r="T5279">
        <v>-8.3007220000000007E-2</v>
      </c>
      <c r="U5279">
        <v>0.172821</v>
      </c>
      <c r="V5279">
        <v>-1.5932720000000001E-2</v>
      </c>
      <c r="W5279">
        <v>0.20165240000000001</v>
      </c>
      <c r="X5279">
        <v>0.97932759999999996</v>
      </c>
      <c r="Y5279">
        <v>-8.8917399999999994E-2</v>
      </c>
      <c r="Z5279">
        <v>2.2306169999999998E-3</v>
      </c>
      <c r="AA5279">
        <v>0.99603649999999999</v>
      </c>
      <c r="AB5279">
        <v>32</v>
      </c>
      <c r="AC5279">
        <v>43.122500000000002</v>
      </c>
      <c r="AD5279">
        <v>-1.1713830000000001</v>
      </c>
      <c r="AE5279">
        <v>2.4471299999999898</v>
      </c>
      <c r="AF5279">
        <v>-3.8627210403936099</v>
      </c>
      <c r="AG5279">
        <v>-1.1713830000000001</v>
      </c>
      <c r="AH5279">
        <v>42.986935063089199</v>
      </c>
      <c r="AI5279">
        <v>91.554648317654596</v>
      </c>
      <c r="AJ5279">
        <v>95.134695188209506</v>
      </c>
      <c r="AK5279">
        <v>43.176027354156098</v>
      </c>
      <c r="AL5279">
        <v>78.366396990475096</v>
      </c>
      <c r="AM5279">
        <v>90.932065107014296</v>
      </c>
      <c r="AN5279">
        <v>1.0000000450570501</v>
      </c>
    </row>
    <row r="5280" spans="1:40" x14ac:dyDescent="0.25">
      <c r="A5280" t="str">
        <f>"20190303162926167"</f>
        <v>20190303162926167</v>
      </c>
      <c r="B5280" t="str">
        <f>"1551601766157149"</f>
        <v>1551601766157149</v>
      </c>
      <c r="C5280" t="s">
        <v>40</v>
      </c>
      <c r="D5280">
        <v>4.836309</v>
      </c>
      <c r="E5280">
        <v>0.47561369999999997</v>
      </c>
      <c r="F5280" t="s">
        <v>42</v>
      </c>
      <c r="G5280">
        <v>-308.96030000000002</v>
      </c>
      <c r="H5280">
        <v>-0.05</v>
      </c>
      <c r="I5280">
        <v>19.99577</v>
      </c>
      <c r="J5280">
        <v>-356.47300000000001</v>
      </c>
      <c r="K5280">
        <v>1.12144</v>
      </c>
      <c r="L5280">
        <v>17.62491</v>
      </c>
      <c r="M5280">
        <v>0.99939500000000003</v>
      </c>
      <c r="N5280">
        <v>-1.2314810000000001E-2</v>
      </c>
      <c r="O5280">
        <v>-3.2527359999999998E-2</v>
      </c>
      <c r="P5280">
        <v>0.9816587</v>
      </c>
      <c r="Q5280">
        <v>0.18990650000000001</v>
      </c>
      <c r="R5280">
        <v>-1.6788669999999999E-2</v>
      </c>
      <c r="S5280">
        <v>3.0729679999999999</v>
      </c>
      <c r="T5280">
        <v>-7.5451370000000004E-2</v>
      </c>
      <c r="U5280">
        <v>0.15231320000000001</v>
      </c>
      <c r="V5280">
        <v>-1.538114E-2</v>
      </c>
      <c r="W5280">
        <v>0.20196439999999999</v>
      </c>
      <c r="X5280">
        <v>0.97927209999999998</v>
      </c>
      <c r="Y5280">
        <v>-8.1929059999999998E-2</v>
      </c>
      <c r="Z5280">
        <v>1.9077759999999999E-3</v>
      </c>
      <c r="AA5280">
        <v>0.99663630000000003</v>
      </c>
      <c r="AB5280">
        <v>32</v>
      </c>
      <c r="AC5280">
        <v>47.512700000000002</v>
      </c>
      <c r="AD5280">
        <v>-1.17144</v>
      </c>
      <c r="AE5280">
        <v>2.37086</v>
      </c>
      <c r="AF5280">
        <v>-3.9128124907361101</v>
      </c>
      <c r="AG5280">
        <v>-1.17144</v>
      </c>
      <c r="AH5280">
        <v>47.381699925266503</v>
      </c>
      <c r="AI5280">
        <v>91.411459285657202</v>
      </c>
      <c r="AJ5280">
        <v>94.720811966519094</v>
      </c>
      <c r="AK5280">
        <v>47.5574164675633</v>
      </c>
      <c r="AL5280">
        <v>78.348144905931406</v>
      </c>
      <c r="AM5280">
        <v>90.899854030869605</v>
      </c>
      <c r="AN5280">
        <v>1.00000002208673</v>
      </c>
    </row>
    <row r="5281" spans="1:40" x14ac:dyDescent="0.25">
      <c r="A5281" t="str">
        <f>"20190303162926180"</f>
        <v>20190303162926180</v>
      </c>
      <c r="B5281" t="str">
        <f>"1551601766166909"</f>
        <v>1551601766166909</v>
      </c>
      <c r="C5281" t="s">
        <v>40</v>
      </c>
      <c r="D5281">
        <v>4.9920530000000003</v>
      </c>
      <c r="E5281">
        <v>0.47561930000000002</v>
      </c>
      <c r="F5281" t="s">
        <v>42</v>
      </c>
      <c r="G5281">
        <v>-307.94009999999997</v>
      </c>
      <c r="H5281">
        <v>-0.05</v>
      </c>
      <c r="I5281">
        <v>20.000579999999999</v>
      </c>
      <c r="J5281">
        <v>-356.27690000000001</v>
      </c>
      <c r="K5281">
        <v>1.121518</v>
      </c>
      <c r="L5281">
        <v>17.618870000000001</v>
      </c>
      <c r="M5281">
        <v>0.99940819999999997</v>
      </c>
      <c r="N5281">
        <v>-1.2301609999999999E-2</v>
      </c>
      <c r="O5281">
        <v>-3.2124369999999999E-2</v>
      </c>
      <c r="P5281">
        <v>0.98166520000000002</v>
      </c>
      <c r="Q5281">
        <v>0.18986030000000001</v>
      </c>
      <c r="R5281">
        <v>-1.6931149999999999E-2</v>
      </c>
      <c r="S5281">
        <v>3.0729679999999999</v>
      </c>
      <c r="T5281">
        <v>-7.4172260000000004E-2</v>
      </c>
      <c r="U5281">
        <v>0.1504211</v>
      </c>
      <c r="V5281">
        <v>-1.487375E-2</v>
      </c>
      <c r="W5281">
        <v>0.20190330000000001</v>
      </c>
      <c r="X5281">
        <v>0.97929250000000001</v>
      </c>
      <c r="Y5281">
        <v>-8.0916639999999998E-2</v>
      </c>
      <c r="Z5281">
        <v>1.8539019999999999E-3</v>
      </c>
      <c r="AA5281">
        <v>0.99671909999999997</v>
      </c>
      <c r="AB5281">
        <v>32</v>
      </c>
      <c r="AC5281">
        <v>48.336799999999997</v>
      </c>
      <c r="AD5281">
        <v>-1.1715180000000001</v>
      </c>
      <c r="AE5281">
        <v>2.3817099999999898</v>
      </c>
      <c r="AF5281">
        <v>-3.93108370449945</v>
      </c>
      <c r="AG5281">
        <v>-1.1715180000000001</v>
      </c>
      <c r="AH5281">
        <v>48.207083086067797</v>
      </c>
      <c r="AI5281">
        <v>91.387511683867203</v>
      </c>
      <c r="AJ5281">
        <v>94.6619132512064</v>
      </c>
      <c r="AK5281">
        <v>48.381284947623598</v>
      </c>
      <c r="AL5281">
        <v>78.351718884856496</v>
      </c>
      <c r="AM5281">
        <v>90.870156342395404</v>
      </c>
      <c r="AN5281">
        <v>0.99999998577310101</v>
      </c>
    </row>
    <row r="5282" spans="1:40" x14ac:dyDescent="0.25">
      <c r="A5282" t="str">
        <f>"20190303162926197"</f>
        <v>20190303162926197</v>
      </c>
      <c r="B5282" t="str">
        <f>"1551601766187404"</f>
        <v>1551601766187404</v>
      </c>
      <c r="C5282" t="s">
        <v>40</v>
      </c>
      <c r="D5282">
        <v>4.8558830000000004</v>
      </c>
      <c r="E5282">
        <v>0.4755027</v>
      </c>
      <c r="F5282" t="s">
        <v>42</v>
      </c>
      <c r="G5282">
        <v>-307.85590000000002</v>
      </c>
      <c r="H5282">
        <v>-0.05</v>
      </c>
      <c r="I5282">
        <v>19.990020000000001</v>
      </c>
      <c r="J5282">
        <v>-356.05599999999998</v>
      </c>
      <c r="K5282">
        <v>1.1216109999999999</v>
      </c>
      <c r="L5282">
        <v>17.612210000000001</v>
      </c>
      <c r="M5282">
        <v>0.99942379999999997</v>
      </c>
      <c r="N5282">
        <v>-1.229119E-2</v>
      </c>
      <c r="O5282">
        <v>-3.1641509999999998E-2</v>
      </c>
      <c r="P5282">
        <v>0.98164750000000001</v>
      </c>
      <c r="Q5282">
        <v>0.18995429999999999</v>
      </c>
      <c r="R5282">
        <v>-1.6908579999999999E-2</v>
      </c>
      <c r="S5282">
        <v>3.0729980000000001</v>
      </c>
      <c r="T5282">
        <v>-7.4349399999999996E-2</v>
      </c>
      <c r="U5282">
        <v>0.15048220000000001</v>
      </c>
      <c r="V5282">
        <v>-1.4457899999999999E-2</v>
      </c>
      <c r="W5282">
        <v>0.20198540000000001</v>
      </c>
      <c r="X5282">
        <v>0.97928179999999998</v>
      </c>
      <c r="Y5282">
        <v>-8.0454410000000004E-2</v>
      </c>
      <c r="Z5282">
        <v>1.8438040000000001E-3</v>
      </c>
      <c r="AA5282">
        <v>0.99675659999999999</v>
      </c>
      <c r="AB5282">
        <v>32</v>
      </c>
      <c r="AC5282">
        <v>48.2000999999999</v>
      </c>
      <c r="AD5282">
        <v>-1.171611</v>
      </c>
      <c r="AE5282">
        <v>2.37780999999999</v>
      </c>
      <c r="AF5282">
        <v>-3.89955979661408</v>
      </c>
      <c r="AG5282">
        <v>-1.171611</v>
      </c>
      <c r="AH5282">
        <v>48.072384322087501</v>
      </c>
      <c r="AI5282">
        <v>91.391556395276993</v>
      </c>
      <c r="AJ5282">
        <v>94.637593469420906</v>
      </c>
      <c r="AK5282">
        <v>48.244516510720402</v>
      </c>
      <c r="AL5282">
        <v>78.346915975584096</v>
      </c>
      <c r="AM5282">
        <v>90.845840769874201</v>
      </c>
      <c r="AN5282">
        <v>0.99999998824840497</v>
      </c>
    </row>
    <row r="5283" spans="1:40" x14ac:dyDescent="0.25">
      <c r="A5283" t="str">
        <f>"20190303162926208"</f>
        <v>20190303162926208</v>
      </c>
      <c r="B5283" t="str">
        <f>"1551601766197164"</f>
        <v>1551601766197164</v>
      </c>
      <c r="C5283" t="s">
        <v>40</v>
      </c>
      <c r="D5283">
        <v>4.9930879999999904</v>
      </c>
      <c r="E5283">
        <v>0.47539439999999999</v>
      </c>
      <c r="F5283" t="s">
        <v>42</v>
      </c>
      <c r="G5283">
        <v>-310.51850000000002</v>
      </c>
      <c r="H5283">
        <v>-0.05</v>
      </c>
      <c r="I5283">
        <v>19.868099999999998</v>
      </c>
      <c r="J5283">
        <v>-355.88810000000001</v>
      </c>
      <c r="K5283">
        <v>1.1216809999999999</v>
      </c>
      <c r="L5283">
        <v>17.60727</v>
      </c>
      <c r="M5283">
        <v>0.9994362</v>
      </c>
      <c r="N5283">
        <v>-1.2285239999999999E-2</v>
      </c>
      <c r="O5283">
        <v>-3.1247770000000001E-2</v>
      </c>
      <c r="P5283">
        <v>0.98164359999999995</v>
      </c>
      <c r="Q5283">
        <v>0.18999859999999999</v>
      </c>
      <c r="R5283">
        <v>-1.6632750000000002E-2</v>
      </c>
      <c r="S5283">
        <v>3.0740050000000001</v>
      </c>
      <c r="T5283">
        <v>-7.9089399999999893E-2</v>
      </c>
      <c r="U5283">
        <v>0.15228269999999999</v>
      </c>
      <c r="V5283">
        <v>-1.4372329999999999E-2</v>
      </c>
      <c r="W5283">
        <v>0.2020218</v>
      </c>
      <c r="X5283">
        <v>0.97927560000000002</v>
      </c>
      <c r="Y5283">
        <v>-8.0623689999999998E-2</v>
      </c>
      <c r="Z5283">
        <v>1.951822E-3</v>
      </c>
      <c r="AA5283">
        <v>0.99674269999999998</v>
      </c>
      <c r="AB5283">
        <v>32</v>
      </c>
      <c r="AC5283">
        <v>45.369599999999899</v>
      </c>
      <c r="AD5283">
        <v>-1.171681</v>
      </c>
      <c r="AE5283">
        <v>2.2608299999999901</v>
      </c>
      <c r="AF5283">
        <v>-3.6750865718765899</v>
      </c>
      <c r="AG5283">
        <v>-1.171681</v>
      </c>
      <c r="AH5283">
        <v>45.2466878344257</v>
      </c>
      <c r="AI5283">
        <v>91.478498710731799</v>
      </c>
      <c r="AJ5283">
        <v>94.643560258165493</v>
      </c>
      <c r="AK5283">
        <v>45.4108121229132</v>
      </c>
      <c r="AL5283">
        <v>78.344787075911398</v>
      </c>
      <c r="AM5283">
        <v>90.840840651141505</v>
      </c>
      <c r="AN5283">
        <v>1.00000003615011</v>
      </c>
    </row>
    <row r="5284" spans="1:40" x14ac:dyDescent="0.25">
      <c r="A5284" t="str">
        <f>"20190303162926219"</f>
        <v>20190303162926219</v>
      </c>
      <c r="B5284" t="str">
        <f>"1551601766206925"</f>
        <v>1551601766206925</v>
      </c>
      <c r="C5284" t="s">
        <v>40</v>
      </c>
      <c r="D5284">
        <v>4.870209</v>
      </c>
      <c r="E5284">
        <v>0.47529660000000001</v>
      </c>
      <c r="F5284" t="s">
        <v>42</v>
      </c>
      <c r="G5284">
        <v>-309.82510000000002</v>
      </c>
      <c r="H5284">
        <v>-0.05</v>
      </c>
      <c r="I5284">
        <v>19.920819999999999</v>
      </c>
      <c r="J5284">
        <v>-355.73250000000002</v>
      </c>
      <c r="K5284">
        <v>1.1217469999999901</v>
      </c>
      <c r="L5284">
        <v>17.602779999999999</v>
      </c>
      <c r="M5284">
        <v>0.99944840000000001</v>
      </c>
      <c r="N5284">
        <v>-1.228133E-2</v>
      </c>
      <c r="O5284">
        <v>-3.085748E-2</v>
      </c>
      <c r="P5284">
        <v>0.98168599999999995</v>
      </c>
      <c r="Q5284">
        <v>0.1898347</v>
      </c>
      <c r="R5284">
        <v>-1.59901E-2</v>
      </c>
      <c r="S5284">
        <v>3.0738829999999999</v>
      </c>
      <c r="T5284">
        <v>-7.8188779999999999E-2</v>
      </c>
      <c r="U5284">
        <v>0.15438840000000001</v>
      </c>
      <c r="V5284">
        <v>-1.4655359999999999E-2</v>
      </c>
      <c r="W5284">
        <v>0.2018528</v>
      </c>
      <c r="X5284">
        <v>0.97930620000000002</v>
      </c>
      <c r="Y5284">
        <v>-8.0918279999999995E-2</v>
      </c>
      <c r="Z5284">
        <v>1.931323E-3</v>
      </c>
      <c r="AA5284">
        <v>0.99671889999999996</v>
      </c>
      <c r="AB5284">
        <v>32</v>
      </c>
      <c r="AC5284">
        <v>45.907400000000003</v>
      </c>
      <c r="AD5284">
        <v>-1.1717470000000001</v>
      </c>
      <c r="AE5284">
        <v>2.3180399999999999</v>
      </c>
      <c r="AF5284">
        <v>-3.7312047776305302</v>
      </c>
      <c r="AG5284">
        <v>-1.1717470000000001</v>
      </c>
      <c r="AH5284">
        <v>45.784249336857201</v>
      </c>
      <c r="AI5284">
        <v>91.461197102648697</v>
      </c>
      <c r="AJ5284">
        <v>94.6590451581352</v>
      </c>
      <c r="AK5284">
        <v>45.950977872773599</v>
      </c>
      <c r="AL5284">
        <v>78.354673114168094</v>
      </c>
      <c r="AM5284">
        <v>90.857369840075606</v>
      </c>
      <c r="AN5284">
        <v>0.99999998290150405</v>
      </c>
    </row>
    <row r="5285" spans="1:40" x14ac:dyDescent="0.25">
      <c r="A5285" t="str">
        <f>"20190303162926231"</f>
        <v>20190303162926231</v>
      </c>
      <c r="B5285" t="str">
        <f>"1551601766217661"</f>
        <v>1551601766217661</v>
      </c>
      <c r="C5285" t="s">
        <v>40</v>
      </c>
      <c r="D5285">
        <v>4.9916879999999999</v>
      </c>
      <c r="E5285">
        <v>0.47519400000000001</v>
      </c>
      <c r="F5285" t="s">
        <v>42</v>
      </c>
      <c r="G5285">
        <v>-309.36649999999997</v>
      </c>
      <c r="H5285">
        <v>-0.05</v>
      </c>
      <c r="I5285">
        <v>19.98152</v>
      </c>
      <c r="J5285">
        <v>-355.5752</v>
      </c>
      <c r="K5285">
        <v>1.1218049999999999</v>
      </c>
      <c r="L5285">
        <v>17.598389999999998</v>
      </c>
      <c r="M5285">
        <v>0.99946170000000001</v>
      </c>
      <c r="N5285">
        <v>-1.2278910000000001E-2</v>
      </c>
      <c r="O5285">
        <v>-3.0426410000000001E-2</v>
      </c>
      <c r="P5285">
        <v>0.98170299999999999</v>
      </c>
      <c r="Q5285">
        <v>0.18977720000000001</v>
      </c>
      <c r="R5285">
        <v>-1.5620749999999999E-2</v>
      </c>
      <c r="S5285">
        <v>3.073547</v>
      </c>
      <c r="T5285">
        <v>-7.767367E-2</v>
      </c>
      <c r="U5285">
        <v>0.157684299999999</v>
      </c>
      <c r="V5285">
        <v>-1.462053E-2</v>
      </c>
      <c r="W5285">
        <v>0.2017912</v>
      </c>
      <c r="X5285">
        <v>0.97931950000000001</v>
      </c>
      <c r="Y5285">
        <v>-8.1560110000000005E-2</v>
      </c>
      <c r="Z5285">
        <v>1.925988E-3</v>
      </c>
      <c r="AA5285">
        <v>0.99666659999999996</v>
      </c>
      <c r="AB5285">
        <v>32</v>
      </c>
      <c r="AC5285">
        <v>46.2087</v>
      </c>
      <c r="AD5285">
        <v>-1.171805</v>
      </c>
      <c r="AE5285">
        <v>2.38313</v>
      </c>
      <c r="AF5285">
        <v>-3.7856691409765801</v>
      </c>
      <c r="AG5285">
        <v>-1.171805</v>
      </c>
      <c r="AH5285">
        <v>46.085229296613299</v>
      </c>
      <c r="AI5285">
        <v>91.451653421120497</v>
      </c>
      <c r="AJ5285">
        <v>94.696015654961201</v>
      </c>
      <c r="AK5285">
        <v>46.255299989562197</v>
      </c>
      <c r="AL5285">
        <v>78.358277665062104</v>
      </c>
      <c r="AM5285">
        <v>90.855320899389895</v>
      </c>
      <c r="AN5285">
        <v>1.00000006568758</v>
      </c>
    </row>
    <row r="5286" spans="1:40" x14ac:dyDescent="0.25">
      <c r="A5286" t="str">
        <f>"20190303162926244"</f>
        <v>20190303162926244</v>
      </c>
      <c r="B5286" t="str">
        <f>"1551601766237180"</f>
        <v>1551601766237180</v>
      </c>
      <c r="C5286" t="s">
        <v>40</v>
      </c>
      <c r="D5286">
        <v>4.9940379999999998</v>
      </c>
      <c r="E5286">
        <v>0.47505520000000001</v>
      </c>
      <c r="F5286" t="s">
        <v>42</v>
      </c>
      <c r="G5286">
        <v>-308.66739999999999</v>
      </c>
      <c r="H5286">
        <v>-0.05</v>
      </c>
      <c r="I5286">
        <v>20.03819</v>
      </c>
      <c r="J5286">
        <v>-355.38740000000001</v>
      </c>
      <c r="K5286">
        <v>1.1218669999999999</v>
      </c>
      <c r="L5286">
        <v>17.5932</v>
      </c>
      <c r="M5286">
        <v>0.99947799999999998</v>
      </c>
      <c r="N5286">
        <v>-1.227698E-2</v>
      </c>
      <c r="O5286">
        <v>-2.9887299999999999E-2</v>
      </c>
      <c r="P5286">
        <v>0.98169550000000005</v>
      </c>
      <c r="Q5286">
        <v>0.18985659999999999</v>
      </c>
      <c r="R5286">
        <v>-1.513172E-2</v>
      </c>
      <c r="S5286">
        <v>3.0733030000000001</v>
      </c>
      <c r="T5286">
        <v>-7.6774239999999994E-2</v>
      </c>
      <c r="U5286">
        <v>0.1598511</v>
      </c>
      <c r="V5286">
        <v>-1.4600220000000001E-2</v>
      </c>
      <c r="W5286">
        <v>0.2018673</v>
      </c>
      <c r="X5286">
        <v>0.97930410000000001</v>
      </c>
      <c r="Y5286">
        <v>-8.1728209999999996E-2</v>
      </c>
      <c r="Z5286">
        <v>1.9015639999999999E-3</v>
      </c>
      <c r="AA5286">
        <v>0.99665280000000001</v>
      </c>
      <c r="AB5286">
        <v>32</v>
      </c>
      <c r="AC5286">
        <v>46.72</v>
      </c>
      <c r="AD5286">
        <v>-1.171867</v>
      </c>
      <c r="AE5286">
        <v>2.4449900000000002</v>
      </c>
      <c r="AF5286">
        <v>-3.8379293025430101</v>
      </c>
      <c r="AG5286">
        <v>-1.171867</v>
      </c>
      <c r="AH5286">
        <v>46.596810115724601</v>
      </c>
      <c r="AI5286">
        <v>91.435772772030703</v>
      </c>
      <c r="AJ5286">
        <v>94.708517792289797</v>
      </c>
      <c r="AK5286">
        <v>46.769281441539199</v>
      </c>
      <c r="AL5286">
        <v>78.353825617646393</v>
      </c>
      <c r="AM5286">
        <v>90.854146342536296</v>
      </c>
      <c r="AN5286">
        <v>1.00000004675507</v>
      </c>
    </row>
    <row r="5287" spans="1:40" x14ac:dyDescent="0.25">
      <c r="A5287" t="str">
        <f>"20190303162926254"</f>
        <v>20190303162926254</v>
      </c>
      <c r="B5287" t="str">
        <f>"1551601766246940"</f>
        <v>1551601766246940</v>
      </c>
      <c r="C5287" t="s">
        <v>40</v>
      </c>
      <c r="D5287">
        <v>4.9926339999999998</v>
      </c>
      <c r="E5287">
        <v>0.47499029999999998</v>
      </c>
      <c r="F5287" t="s">
        <v>42</v>
      </c>
      <c r="G5287">
        <v>-307.55810000000002</v>
      </c>
      <c r="H5287">
        <v>-0.05</v>
      </c>
      <c r="I5287">
        <v>20.12396</v>
      </c>
      <c r="J5287">
        <v>-355.22390000000001</v>
      </c>
      <c r="K5287">
        <v>1.1219049999999999</v>
      </c>
      <c r="L5287">
        <v>17.58887</v>
      </c>
      <c r="M5287">
        <v>0.99949330000000003</v>
      </c>
      <c r="N5287">
        <v>-1.227665E-2</v>
      </c>
      <c r="O5287">
        <v>-2.9373799999999999E-2</v>
      </c>
      <c r="P5287">
        <v>0.98171339999999996</v>
      </c>
      <c r="Q5287">
        <v>0.18976699999999999</v>
      </c>
      <c r="R5287">
        <v>-1.5085980000000001E-2</v>
      </c>
      <c r="S5287">
        <v>3.0729679999999999</v>
      </c>
      <c r="T5287">
        <v>-7.5290919999999997E-2</v>
      </c>
      <c r="U5287">
        <v>0.16259770000000001</v>
      </c>
      <c r="V5287">
        <v>-1.415453E-2</v>
      </c>
      <c r="W5287">
        <v>0.2017776</v>
      </c>
      <c r="X5287">
        <v>0.97932900000000001</v>
      </c>
      <c r="Y5287">
        <v>-8.2111409999999996E-2</v>
      </c>
      <c r="Z5287">
        <v>1.8683899999999999E-3</v>
      </c>
      <c r="AA5287">
        <v>0.99662139999999999</v>
      </c>
      <c r="AB5287">
        <v>32</v>
      </c>
      <c r="AC5287">
        <v>47.665799999999898</v>
      </c>
      <c r="AD5287">
        <v>-1.171905</v>
      </c>
      <c r="AE5287">
        <v>2.5350899999999998</v>
      </c>
      <c r="AF5287">
        <v>-3.9318568941689001</v>
      </c>
      <c r="AG5287">
        <v>-1.171905</v>
      </c>
      <c r="AH5287">
        <v>47.542101668739001</v>
      </c>
      <c r="AI5287">
        <v>91.407243175276605</v>
      </c>
      <c r="AJ5287">
        <v>94.727752461584899</v>
      </c>
      <c r="AK5287">
        <v>47.718804375696202</v>
      </c>
      <c r="AL5287">
        <v>78.359071538066502</v>
      </c>
      <c r="AM5287">
        <v>90.828055092225796</v>
      </c>
      <c r="AN5287">
        <v>0.99999992041113706</v>
      </c>
    </row>
    <row r="5288" spans="1:40" x14ac:dyDescent="0.25">
      <c r="A5288" t="str">
        <f>"20190303162926266"</f>
        <v>20190303162926266</v>
      </c>
      <c r="B5288" t="str">
        <f>"1551601766257676"</f>
        <v>1551601766257676</v>
      </c>
      <c r="C5288" t="s">
        <v>40</v>
      </c>
      <c r="D5288">
        <v>4.9971139999999998</v>
      </c>
      <c r="E5288">
        <v>0.47492299999999998</v>
      </c>
      <c r="F5288" t="s">
        <v>42</v>
      </c>
      <c r="G5288">
        <v>-307.63139999999999</v>
      </c>
      <c r="H5288">
        <v>-0.05</v>
      </c>
      <c r="I5288">
        <v>20.118359999999999</v>
      </c>
      <c r="J5288">
        <v>-355.06549999999999</v>
      </c>
      <c r="K5288">
        <v>1.121942</v>
      </c>
      <c r="L5288">
        <v>17.584689999999998</v>
      </c>
      <c r="M5288">
        <v>0.99950799999999995</v>
      </c>
      <c r="N5288">
        <v>-1.22766E-2</v>
      </c>
      <c r="O5288">
        <v>-2.8866659999999999E-2</v>
      </c>
      <c r="P5288">
        <v>0.98170999999999997</v>
      </c>
      <c r="Q5288">
        <v>0.18977260000000001</v>
      </c>
      <c r="R5288">
        <v>-1.524038E-2</v>
      </c>
      <c r="S5288">
        <v>3.0730590000000002</v>
      </c>
      <c r="T5288">
        <v>-7.567024E-2</v>
      </c>
      <c r="U5288">
        <v>0.16333010000000001</v>
      </c>
      <c r="V5288">
        <v>-1.351334E-2</v>
      </c>
      <c r="W5288">
        <v>0.20178409999999999</v>
      </c>
      <c r="X5288">
        <v>0.97933680000000001</v>
      </c>
      <c r="Y5288">
        <v>-8.1840830000000003E-2</v>
      </c>
      <c r="Z5288">
        <v>1.865771E-3</v>
      </c>
      <c r="AA5288">
        <v>0.99664370000000002</v>
      </c>
      <c r="AB5288">
        <v>32</v>
      </c>
      <c r="AC5288">
        <v>47.434100000000001</v>
      </c>
      <c r="AD5288">
        <v>-1.171942</v>
      </c>
      <c r="AE5288">
        <v>2.5336699999999999</v>
      </c>
      <c r="AF5288">
        <v>-3.8996074177097402</v>
      </c>
      <c r="AG5288">
        <v>-1.171942</v>
      </c>
      <c r="AH5288">
        <v>47.312387366601598</v>
      </c>
      <c r="AI5288">
        <v>91.414150044351899</v>
      </c>
      <c r="AJ5288">
        <v>94.711813411885501</v>
      </c>
      <c r="AK5288">
        <v>47.487286555361202</v>
      </c>
      <c r="AL5288">
        <v>78.358692240709502</v>
      </c>
      <c r="AM5288">
        <v>90.7905433716451</v>
      </c>
      <c r="AN5288">
        <v>1.0000000006025</v>
      </c>
    </row>
    <row r="5289" spans="1:40" x14ac:dyDescent="0.25">
      <c r="A5289" t="str">
        <f>"20190303162926278"</f>
        <v>20190303162926278</v>
      </c>
      <c r="B5289" t="str">
        <f>"1551601766267436"</f>
        <v>1551601766267436</v>
      </c>
      <c r="C5289" t="s">
        <v>40</v>
      </c>
      <c r="D5289">
        <v>4.9950479999999997</v>
      </c>
      <c r="E5289">
        <v>0.47483839999999999</v>
      </c>
      <c r="F5289" t="s">
        <v>42</v>
      </c>
      <c r="G5289">
        <v>-307.38600000000002</v>
      </c>
      <c r="H5289">
        <v>-0.05</v>
      </c>
      <c r="I5289">
        <v>20.117370000000001</v>
      </c>
      <c r="J5289">
        <v>-354.89789999999999</v>
      </c>
      <c r="K5289">
        <v>1.1219749999999999</v>
      </c>
      <c r="L5289">
        <v>17.580379999999899</v>
      </c>
      <c r="M5289">
        <v>0.99952390000000002</v>
      </c>
      <c r="N5289">
        <v>-1.2277150000000001E-2</v>
      </c>
      <c r="O5289">
        <v>-2.830821E-2</v>
      </c>
      <c r="P5289">
        <v>0.98171679999999995</v>
      </c>
      <c r="Q5289">
        <v>0.18973899999999999</v>
      </c>
      <c r="R5289">
        <v>-1.521603E-2</v>
      </c>
      <c r="S5289">
        <v>3.0730590000000002</v>
      </c>
      <c r="T5289">
        <v>-7.5534459999999998E-2</v>
      </c>
      <c r="U5289">
        <v>0.16323850000000001</v>
      </c>
      <c r="V5289">
        <v>-1.299788E-2</v>
      </c>
      <c r="W5289">
        <v>0.2017515</v>
      </c>
      <c r="X5289">
        <v>0.97935050000000001</v>
      </c>
      <c r="Y5289">
        <v>-8.1254800000000002E-2</v>
      </c>
      <c r="Z5289">
        <v>1.845036E-3</v>
      </c>
      <c r="AA5289">
        <v>0.99669160000000001</v>
      </c>
      <c r="AB5289">
        <v>32</v>
      </c>
      <c r="AC5289">
        <v>47.511899999999997</v>
      </c>
      <c r="AD5289">
        <v>-1.171975</v>
      </c>
      <c r="AE5289">
        <v>2.5369899999999999</v>
      </c>
      <c r="AF5289">
        <v>-3.8786979500174299</v>
      </c>
      <c r="AG5289">
        <v>-1.171975</v>
      </c>
      <c r="AH5289">
        <v>47.392279005520898</v>
      </c>
      <c r="AI5289">
        <v>91.411873634853507</v>
      </c>
      <c r="AJ5289">
        <v>94.678796342423297</v>
      </c>
      <c r="AK5289">
        <v>47.565175628028797</v>
      </c>
      <c r="AL5289">
        <v>78.360599383356302</v>
      </c>
      <c r="AM5289">
        <v>90.760381441523094</v>
      </c>
      <c r="AN5289">
        <v>1.00000000724349</v>
      </c>
    </row>
    <row r="5290" spans="1:40" x14ac:dyDescent="0.25">
      <c r="A5290" t="str">
        <f>"20190303162926296"</f>
        <v>20190303162926296</v>
      </c>
      <c r="B5290" t="str">
        <f>"1551601766286956"</f>
        <v>1551601766286956</v>
      </c>
      <c r="C5290" t="s">
        <v>40</v>
      </c>
      <c r="D5290">
        <v>4.9935</v>
      </c>
      <c r="E5290">
        <v>0.47470020000000002</v>
      </c>
      <c r="F5290" t="s">
        <v>42</v>
      </c>
      <c r="G5290">
        <v>-307.66980000000001</v>
      </c>
      <c r="H5290">
        <v>-0.05</v>
      </c>
      <c r="I5290">
        <v>20.097470000000001</v>
      </c>
      <c r="J5290">
        <v>-354.6447</v>
      </c>
      <c r="K5290">
        <v>1.122018</v>
      </c>
      <c r="L5290">
        <v>17.57413</v>
      </c>
      <c r="M5290">
        <v>0.99954799999999999</v>
      </c>
      <c r="N5290">
        <v>-1.2278829999999999E-2</v>
      </c>
      <c r="O5290">
        <v>-2.7444329999999999E-2</v>
      </c>
      <c r="P5290">
        <v>0.981931</v>
      </c>
      <c r="Q5290">
        <v>0.1885869</v>
      </c>
      <c r="R5290">
        <v>-1.5702649999999999E-2</v>
      </c>
      <c r="S5290">
        <v>3.0731510000000002</v>
      </c>
      <c r="T5290">
        <v>-7.6260690000000006E-2</v>
      </c>
      <c r="U5290">
        <v>0.16378779999999901</v>
      </c>
      <c r="V5290">
        <v>-1.167582E-2</v>
      </c>
      <c r="W5290">
        <v>0.2006066</v>
      </c>
      <c r="X5290">
        <v>0.97960230000000004</v>
      </c>
      <c r="Y5290">
        <v>-8.0569160000000001E-2</v>
      </c>
      <c r="Z5290">
        <v>1.8377420000000001E-3</v>
      </c>
      <c r="AA5290">
        <v>0.9967473</v>
      </c>
      <c r="AB5290">
        <v>32</v>
      </c>
      <c r="AC5290">
        <v>46.974899999999899</v>
      </c>
      <c r="AD5290">
        <v>-1.172018</v>
      </c>
      <c r="AE5290">
        <v>2.5233400000000001</v>
      </c>
      <c r="AF5290">
        <v>-3.8093166832779102</v>
      </c>
      <c r="AG5290">
        <v>-1.172018</v>
      </c>
      <c r="AH5290">
        <v>46.858861323377802</v>
      </c>
      <c r="AI5290">
        <v>91.428054944179905</v>
      </c>
      <c r="AJ5290">
        <v>94.647549385180099</v>
      </c>
      <c r="AK5290">
        <v>47.028049122937098</v>
      </c>
      <c r="AL5290">
        <v>78.427566410812105</v>
      </c>
      <c r="AM5290">
        <v>90.682872562265104</v>
      </c>
      <c r="AN5290">
        <v>0.99999999945076101</v>
      </c>
    </row>
    <row r="5291" spans="1:40" x14ac:dyDescent="0.25">
      <c r="A5291" t="str">
        <f>"20190303162926309"</f>
        <v>20190303162926309</v>
      </c>
      <c r="B5291" t="str">
        <f>"1551601766297692"</f>
        <v>1551601766297692</v>
      </c>
      <c r="C5291" t="s">
        <v>40</v>
      </c>
      <c r="D5291">
        <v>4.8489630000000004</v>
      </c>
      <c r="E5291">
        <v>0.47460790000000003</v>
      </c>
      <c r="F5291" t="s">
        <v>42</v>
      </c>
      <c r="G5291">
        <v>-309.66820000000001</v>
      </c>
      <c r="H5291">
        <v>-0.05</v>
      </c>
      <c r="I5291">
        <v>19.956009999999999</v>
      </c>
      <c r="J5291">
        <v>-354.47250000000003</v>
      </c>
      <c r="K5291">
        <v>1.1220410000000001</v>
      </c>
      <c r="L5291">
        <v>17.569979999999902</v>
      </c>
      <c r="M5291">
        <v>0.99956409999999996</v>
      </c>
      <c r="N5291">
        <v>-1.228022E-2</v>
      </c>
      <c r="O5291">
        <v>-2.6849390000000001E-2</v>
      </c>
      <c r="P5291">
        <v>0.9820316</v>
      </c>
      <c r="Q5291">
        <v>0.18801309999999999</v>
      </c>
      <c r="R5291">
        <v>-1.6279419999999999E-2</v>
      </c>
      <c r="S5291">
        <v>3.0731809999999999</v>
      </c>
      <c r="T5291">
        <v>-8.0082420000000001E-2</v>
      </c>
      <c r="U5291">
        <v>0.16275020000000001</v>
      </c>
      <c r="V5291">
        <v>-1.052049E-2</v>
      </c>
      <c r="W5291">
        <v>0.20003760000000001</v>
      </c>
      <c r="X5291">
        <v>0.97973169999999998</v>
      </c>
      <c r="Y5291">
        <v>-7.9636659999999998E-2</v>
      </c>
      <c r="Z5291">
        <v>1.8958309999999999E-3</v>
      </c>
      <c r="AA5291">
        <v>0.99682219999999999</v>
      </c>
      <c r="AB5291">
        <v>32</v>
      </c>
      <c r="AC5291">
        <v>44.804299999999998</v>
      </c>
      <c r="AD5291">
        <v>-1.1720409999999899</v>
      </c>
      <c r="AE5291">
        <v>2.3860299999999999</v>
      </c>
      <c r="AF5291">
        <v>-3.5857816641221998</v>
      </c>
      <c r="AG5291">
        <v>-1.1720409999999899</v>
      </c>
      <c r="AH5291">
        <v>44.693579592500697</v>
      </c>
      <c r="AI5291">
        <v>91.497366565318401</v>
      </c>
      <c r="AJ5291">
        <v>94.587035338216594</v>
      </c>
      <c r="AK5291">
        <v>44.852509038398601</v>
      </c>
      <c r="AL5291">
        <v>78.460841781410707</v>
      </c>
      <c r="AM5291">
        <v>90.615226095746394</v>
      </c>
      <c r="AN5291">
        <v>0.99999996305424399</v>
      </c>
    </row>
    <row r="5292" spans="1:40" x14ac:dyDescent="0.25">
      <c r="A5292" t="str">
        <f>"20190303162926320"</f>
        <v>20190303162926320</v>
      </c>
      <c r="B5292" t="str">
        <f>"1551601766307453"</f>
        <v>1551601766307453</v>
      </c>
      <c r="C5292" t="s">
        <v>40</v>
      </c>
      <c r="D5292">
        <v>4.9860449999999998</v>
      </c>
      <c r="E5292">
        <v>0.47455439999999999</v>
      </c>
      <c r="F5292" t="s">
        <v>42</v>
      </c>
      <c r="G5292">
        <v>-310.2774</v>
      </c>
      <c r="H5292">
        <v>-0.05</v>
      </c>
      <c r="I5292">
        <v>19.890730000000001</v>
      </c>
      <c r="J5292">
        <v>-354.30950000000001</v>
      </c>
      <c r="K5292">
        <v>1.122058</v>
      </c>
      <c r="L5292">
        <v>17.566129999999902</v>
      </c>
      <c r="M5292">
        <v>0.99957929999999995</v>
      </c>
      <c r="N5292">
        <v>-1.228161E-2</v>
      </c>
      <c r="O5292">
        <v>-2.628225E-2</v>
      </c>
      <c r="P5292">
        <v>0.98210660000000005</v>
      </c>
      <c r="Q5292">
        <v>0.18754219999999999</v>
      </c>
      <c r="R5292">
        <v>-1.7174350000000001E-2</v>
      </c>
      <c r="S5292">
        <v>3.0731809999999999</v>
      </c>
      <c r="T5292">
        <v>-8.1499810000000006E-2</v>
      </c>
      <c r="U5292">
        <v>0.16137699999999999</v>
      </c>
      <c r="V5292">
        <v>-9.0735929999999996E-3</v>
      </c>
      <c r="W5292">
        <v>0.19957230000000001</v>
      </c>
      <c r="X5292">
        <v>0.97984110000000002</v>
      </c>
      <c r="Y5292">
        <v>-7.8626039999999994E-2</v>
      </c>
      <c r="Z5292">
        <v>1.898905E-3</v>
      </c>
      <c r="AA5292">
        <v>0.99690230000000002</v>
      </c>
      <c r="AB5292">
        <v>32</v>
      </c>
      <c r="AC5292">
        <v>44.0321</v>
      </c>
      <c r="AD5292">
        <v>-1.172058</v>
      </c>
      <c r="AE5292">
        <v>2.3246000000000002</v>
      </c>
      <c r="AF5292">
        <v>-3.47868869716602</v>
      </c>
      <c r="AG5292">
        <v>-1.172058</v>
      </c>
      <c r="AH5292">
        <v>43.924751447494799</v>
      </c>
      <c r="AI5292">
        <v>91.523709973783895</v>
      </c>
      <c r="AJ5292">
        <v>94.5281766999843</v>
      </c>
      <c r="AK5292">
        <v>44.077871826250302</v>
      </c>
      <c r="AL5292">
        <v>78.488050661179997</v>
      </c>
      <c r="AM5292">
        <v>90.530559214520494</v>
      </c>
      <c r="AN5292">
        <v>1.00000000713321</v>
      </c>
    </row>
    <row r="5293" spans="1:40" x14ac:dyDescent="0.25">
      <c r="A5293" t="str">
        <f>"20190303162926331"</f>
        <v>20190303162926331</v>
      </c>
      <c r="B5293" t="str">
        <f>"1551601766326972"</f>
        <v>1551601766326972</v>
      </c>
      <c r="C5293" t="s">
        <v>40</v>
      </c>
      <c r="D5293">
        <v>5.0427119999999999</v>
      </c>
      <c r="E5293">
        <v>0.47485699999999997</v>
      </c>
      <c r="F5293" t="s">
        <v>42</v>
      </c>
      <c r="G5293">
        <v>-310.60090000000002</v>
      </c>
      <c r="H5293">
        <v>-0.05</v>
      </c>
      <c r="I5293">
        <v>19.825289999999999</v>
      </c>
      <c r="J5293">
        <v>-354.15370000000001</v>
      </c>
      <c r="K5293">
        <v>1.1220730000000001</v>
      </c>
      <c r="L5293">
        <v>17.562560000000001</v>
      </c>
      <c r="M5293">
        <v>0.99959330000000002</v>
      </c>
      <c r="N5293">
        <v>-1.228312E-2</v>
      </c>
      <c r="O5293">
        <v>-2.5740539999999999E-2</v>
      </c>
      <c r="P5293">
        <v>0.98217209999999999</v>
      </c>
      <c r="Q5293">
        <v>0.18702089999999999</v>
      </c>
      <c r="R5293">
        <v>-1.90092E-2</v>
      </c>
      <c r="S5293">
        <v>3.0732119999999998</v>
      </c>
      <c r="T5293">
        <v>-8.2408910000000002E-2</v>
      </c>
      <c r="U5293">
        <v>0.15884400000000001</v>
      </c>
      <c r="V5293">
        <v>-6.7096580000000003E-3</v>
      </c>
      <c r="W5293">
        <v>0.19905919999999999</v>
      </c>
      <c r="X5293">
        <v>0.97996450000000002</v>
      </c>
      <c r="Y5293">
        <v>-7.7265669999999995E-2</v>
      </c>
      <c r="Z5293">
        <v>1.8838559999999999E-3</v>
      </c>
      <c r="AA5293">
        <v>0.99700869999999997</v>
      </c>
      <c r="AB5293">
        <v>32</v>
      </c>
      <c r="AC5293">
        <v>43.552799999999898</v>
      </c>
      <c r="AD5293">
        <v>-1.1720729999999999</v>
      </c>
      <c r="AE5293">
        <v>2.2627299999999901</v>
      </c>
      <c r="AF5293">
        <v>-3.3806953844162</v>
      </c>
      <c r="AG5293">
        <v>-1.1720729999999999</v>
      </c>
      <c r="AH5293">
        <v>43.448736428412701</v>
      </c>
      <c r="AI5293">
        <v>91.540581830832906</v>
      </c>
      <c r="AJ5293">
        <v>94.449153358746102</v>
      </c>
      <c r="AK5293">
        <v>43.5958203687603</v>
      </c>
      <c r="AL5293">
        <v>78.518051025665599</v>
      </c>
      <c r="AM5293">
        <v>90.392288780063197</v>
      </c>
      <c r="AN5293">
        <v>1.0000000029376801</v>
      </c>
    </row>
    <row r="5294" spans="1:40" x14ac:dyDescent="0.25">
      <c r="A5294" t="str">
        <f>"20190303162926345"</f>
        <v>20190303162926345</v>
      </c>
      <c r="B5294" t="str">
        <f>"1551601766337708"</f>
        <v>1551601766337708</v>
      </c>
      <c r="C5294" t="s">
        <v>40</v>
      </c>
      <c r="D5294">
        <v>4.9364330000000001</v>
      </c>
      <c r="E5294">
        <v>0.51646859999999895</v>
      </c>
      <c r="F5294" t="s">
        <v>42</v>
      </c>
      <c r="G5294">
        <v>-310.7038</v>
      </c>
      <c r="H5294">
        <v>-0.05</v>
      </c>
      <c r="I5294">
        <v>19.688839999999999</v>
      </c>
      <c r="J5294">
        <v>-353.95780000000002</v>
      </c>
      <c r="K5294">
        <v>1.12209</v>
      </c>
      <c r="L5294">
        <v>17.55817</v>
      </c>
      <c r="M5294">
        <v>0.99961040000000001</v>
      </c>
      <c r="N5294">
        <v>-1.228511E-2</v>
      </c>
      <c r="O5294">
        <v>-2.5060559999999999E-2</v>
      </c>
      <c r="P5294">
        <v>0.98223110000000002</v>
      </c>
      <c r="Q5294">
        <v>0.18649979999999999</v>
      </c>
      <c r="R5294">
        <v>-2.0975110000000002E-2</v>
      </c>
      <c r="S5294">
        <v>3.0731809999999999</v>
      </c>
      <c r="T5294">
        <v>-8.2899810000000004E-2</v>
      </c>
      <c r="U5294">
        <v>0.15039060000000001</v>
      </c>
      <c r="V5294">
        <v>-4.078328E-3</v>
      </c>
      <c r="W5294">
        <v>0.198547</v>
      </c>
      <c r="X5294">
        <v>0.98008289999999998</v>
      </c>
      <c r="Y5294">
        <v>-7.3853379999999996E-2</v>
      </c>
      <c r="Z5294">
        <v>1.817279E-3</v>
      </c>
      <c r="AA5294">
        <v>0.99726740000000003</v>
      </c>
      <c r="AB5294">
        <v>32</v>
      </c>
      <c r="AC5294">
        <v>43.253999999999998</v>
      </c>
      <c r="AD5294">
        <v>-1.1720899999999901</v>
      </c>
      <c r="AE5294">
        <v>2.1306699999999901</v>
      </c>
      <c r="AF5294">
        <v>-3.21169943020492</v>
      </c>
      <c r="AG5294">
        <v>-1.1720899999999901</v>
      </c>
      <c r="AH5294">
        <v>43.155401556644499</v>
      </c>
      <c r="AI5294">
        <v>91.551468259373905</v>
      </c>
      <c r="AJ5294">
        <v>94.256204527938806</v>
      </c>
      <c r="AK5294">
        <v>43.290616670513103</v>
      </c>
      <c r="AL5294">
        <v>78.547995803130902</v>
      </c>
      <c r="AM5294">
        <v>90.238418232950195</v>
      </c>
      <c r="AN5294">
        <v>1.0000000174203401</v>
      </c>
    </row>
    <row r="5295" spans="1:40" x14ac:dyDescent="0.25">
      <c r="A5295" t="str">
        <f>"20190303162926358"</f>
        <v>20190303162926358</v>
      </c>
      <c r="B5295" t="str">
        <f>"1551601766347468"</f>
        <v>1551601766347468</v>
      </c>
      <c r="C5295" t="s">
        <v>40</v>
      </c>
      <c r="D5295">
        <v>4.9107250000000002</v>
      </c>
      <c r="E5295">
        <v>0.5260783</v>
      </c>
      <c r="F5295" t="s">
        <v>42</v>
      </c>
      <c r="G5295">
        <v>-297.19420000000002</v>
      </c>
      <c r="H5295">
        <v>-0.05</v>
      </c>
      <c r="I5295">
        <v>14.07635</v>
      </c>
      <c r="J5295">
        <v>-353.77839999999998</v>
      </c>
      <c r="K5295">
        <v>1.122106</v>
      </c>
      <c r="L5295">
        <v>17.554289999999899</v>
      </c>
      <c r="M5295">
        <v>0.99962589999999996</v>
      </c>
      <c r="N5295">
        <v>-1.2286989999999999E-2</v>
      </c>
      <c r="O5295">
        <v>-2.444404E-2</v>
      </c>
      <c r="P5295">
        <v>0.98230150000000005</v>
      </c>
      <c r="Q5295">
        <v>0.185838</v>
      </c>
      <c r="R5295">
        <v>-2.341677E-2</v>
      </c>
      <c r="S5295">
        <v>3.0622560000000001</v>
      </c>
      <c r="T5295">
        <v>-6.3231350000000006E-2</v>
      </c>
      <c r="U5295">
        <v>-0.18783569999999999</v>
      </c>
      <c r="V5295">
        <v>-1.0318630000000001E-3</v>
      </c>
      <c r="W5295">
        <v>0.1978955</v>
      </c>
      <c r="X5295">
        <v>0.98022260000000005</v>
      </c>
      <c r="Y5295">
        <v>3.6793979999999997E-2</v>
      </c>
      <c r="Z5295">
        <v>-4.0184090000000002E-4</v>
      </c>
      <c r="AA5295">
        <v>0.99932279999999996</v>
      </c>
      <c r="AB5295">
        <v>32</v>
      </c>
      <c r="AC5295">
        <v>56.584199999999903</v>
      </c>
      <c r="AD5295">
        <v>-1.1721059999999901</v>
      </c>
      <c r="AE5295">
        <v>-3.47793999999999</v>
      </c>
      <c r="AF5295">
        <v>2.0927554683699401</v>
      </c>
      <c r="AG5295">
        <v>-1.1721059999999901</v>
      </c>
      <c r="AH5295">
        <v>56.628104565631901</v>
      </c>
      <c r="AI5295">
        <v>91.184947760293596</v>
      </c>
      <c r="AJ5295">
        <v>87.883533025674893</v>
      </c>
      <c r="AK5295">
        <v>56.678882175125601</v>
      </c>
      <c r="AL5295">
        <v>78.586079715953105</v>
      </c>
      <c r="AM5295">
        <v>90.0603142317851</v>
      </c>
      <c r="AN5295">
        <v>1.0000000196061301</v>
      </c>
    </row>
    <row r="5296" spans="1:40" x14ac:dyDescent="0.25">
      <c r="A5296" t="str">
        <f>"20190303162926377"</f>
        <v>20190303162926377</v>
      </c>
      <c r="B5296" t="str">
        <f>"1551601766366988"</f>
        <v>1551601766366988</v>
      </c>
      <c r="C5296" t="s">
        <v>40</v>
      </c>
      <c r="D5296">
        <v>4.8549290000000003</v>
      </c>
      <c r="E5296">
        <v>0.53289609999999998</v>
      </c>
      <c r="F5296" t="s">
        <v>42</v>
      </c>
      <c r="G5296">
        <v>-311.34739999999999</v>
      </c>
      <c r="H5296">
        <v>-0.05</v>
      </c>
      <c r="I5296">
        <v>13.789540000000001</v>
      </c>
      <c r="J5296">
        <v>-353.5102</v>
      </c>
      <c r="K5296">
        <v>1.122115</v>
      </c>
      <c r="L5296">
        <v>17.548649999999999</v>
      </c>
      <c r="M5296">
        <v>0.99964750000000002</v>
      </c>
      <c r="N5296">
        <v>-1.228985E-2</v>
      </c>
      <c r="O5296">
        <v>-2.3532419999999998E-2</v>
      </c>
      <c r="P5296">
        <v>0.98239359999999998</v>
      </c>
      <c r="Q5296">
        <v>0.18465200000000001</v>
      </c>
      <c r="R5296">
        <v>-2.8401800000000001E-2</v>
      </c>
      <c r="S5296">
        <v>3.0635680000000001</v>
      </c>
      <c r="T5296">
        <v>-8.4627510000000003E-2</v>
      </c>
      <c r="U5296">
        <v>-0.27182009999999901</v>
      </c>
      <c r="V5296">
        <v>4.8500590000000003E-3</v>
      </c>
      <c r="W5296">
        <v>0.19672729999999999</v>
      </c>
      <c r="X5296">
        <v>0.98044620000000005</v>
      </c>
      <c r="Y5296">
        <v>6.488004E-2</v>
      </c>
      <c r="Z5296">
        <v>-9.3405500000000004E-4</v>
      </c>
      <c r="AA5296">
        <v>0.99789260000000002</v>
      </c>
      <c r="AB5296">
        <v>32</v>
      </c>
      <c r="AC5296">
        <v>42.162799999999997</v>
      </c>
      <c r="AD5296">
        <v>-1.172115</v>
      </c>
      <c r="AE5296">
        <v>-3.7591100000000002</v>
      </c>
      <c r="AF5296">
        <v>2.76368216050881</v>
      </c>
      <c r="AG5296">
        <v>-1.172115</v>
      </c>
      <c r="AH5296">
        <v>42.207228320538697</v>
      </c>
      <c r="AI5296">
        <v>91.5873250440155</v>
      </c>
      <c r="AJ5296">
        <v>86.253684344736001</v>
      </c>
      <c r="AK5296">
        <v>42.313850157597699</v>
      </c>
      <c r="AL5296">
        <v>78.654354106302804</v>
      </c>
      <c r="AM5296">
        <v>89.716572266363798</v>
      </c>
      <c r="AN5296">
        <v>0.99999995236601502</v>
      </c>
    </row>
    <row r="5297" spans="1:40" x14ac:dyDescent="0.25">
      <c r="A5297" t="str">
        <f>"20190303162926389"</f>
        <v>20190303162926389</v>
      </c>
      <c r="B5297" t="str">
        <f>"1551601766377725"</f>
        <v>1551601766377725</v>
      </c>
      <c r="C5297" t="s">
        <v>40</v>
      </c>
      <c r="D5297">
        <v>4.8611240000000002</v>
      </c>
      <c r="E5297">
        <v>0.534390699999999</v>
      </c>
      <c r="F5297" t="s">
        <v>41</v>
      </c>
      <c r="G5297">
        <v>-320.37920000000003</v>
      </c>
      <c r="H5297" s="1">
        <v>-5.549532E-6</v>
      </c>
      <c r="I5297">
        <v>13.859030000000001</v>
      </c>
      <c r="J5297">
        <v>-353.33530000000002</v>
      </c>
      <c r="K5297">
        <v>1.1221129999999999</v>
      </c>
      <c r="L5297">
        <v>17.545069999999999</v>
      </c>
      <c r="M5297">
        <v>0.99966120000000003</v>
      </c>
      <c r="N5297">
        <v>-1.2291649999999999E-2</v>
      </c>
      <c r="O5297">
        <v>-2.2947550000000001E-2</v>
      </c>
      <c r="P5297">
        <v>0.98246560000000005</v>
      </c>
      <c r="Q5297">
        <v>0.18391560000000001</v>
      </c>
      <c r="R5297">
        <v>-3.0603430000000001E-2</v>
      </c>
      <c r="S5297">
        <v>3.0634160000000001</v>
      </c>
      <c r="T5297">
        <v>-0.1037556</v>
      </c>
      <c r="U5297">
        <v>-0.34115600000000001</v>
      </c>
      <c r="V5297">
        <v>7.6284680000000002E-3</v>
      </c>
      <c r="W5297">
        <v>0.19600020000000001</v>
      </c>
      <c r="X5297">
        <v>0.98057419999999995</v>
      </c>
      <c r="Y5297">
        <v>8.7780280000000002E-2</v>
      </c>
      <c r="Z5297">
        <v>-1.5298579999999901E-3</v>
      </c>
      <c r="AA5297">
        <v>0.99613870000000004</v>
      </c>
      <c r="AB5297">
        <v>32</v>
      </c>
      <c r="AC5297">
        <v>32.9560999999999</v>
      </c>
      <c r="AD5297">
        <v>-1.1221185495320001</v>
      </c>
      <c r="AE5297">
        <v>-3.6860400000000002</v>
      </c>
      <c r="AF5297">
        <v>2.92540079969557</v>
      </c>
      <c r="AG5297">
        <v>-1.1221185495320001</v>
      </c>
      <c r="AH5297">
        <v>32.994233841272496</v>
      </c>
      <c r="AI5297">
        <v>91.940246402115704</v>
      </c>
      <c r="AJ5297">
        <v>84.933176479944905</v>
      </c>
      <c r="AK5297">
        <v>33.142670179854697</v>
      </c>
      <c r="AL5297">
        <v>78.696841781874397</v>
      </c>
      <c r="AM5297">
        <v>89.554271157420501</v>
      </c>
      <c r="AN5297">
        <v>1.00000001681485</v>
      </c>
    </row>
    <row r="5298" spans="1:40" x14ac:dyDescent="0.25">
      <c r="A5298" t="str">
        <f>"20190303162926401"</f>
        <v>20190303162926401</v>
      </c>
      <c r="B5298" t="str">
        <f>"1551601766397245"</f>
        <v>1551601766397245</v>
      </c>
      <c r="C5298" t="s">
        <v>40</v>
      </c>
      <c r="D5298">
        <v>4.8462769999999997</v>
      </c>
      <c r="E5298">
        <v>0.53627590000000003</v>
      </c>
      <c r="F5298" t="s">
        <v>41</v>
      </c>
      <c r="G5298">
        <v>-324.24299999999999</v>
      </c>
      <c r="H5298" s="1">
        <v>-3.6741839999999999E-6</v>
      </c>
      <c r="I5298">
        <v>14.134600000000001</v>
      </c>
      <c r="J5298">
        <v>-353.1755</v>
      </c>
      <c r="K5298">
        <v>1.1221110000000001</v>
      </c>
      <c r="L5298">
        <v>17.541929999999901</v>
      </c>
      <c r="M5298">
        <v>0.99967309999999998</v>
      </c>
      <c r="N5298">
        <v>-1.229323E-2</v>
      </c>
      <c r="O5298">
        <v>-2.2419080000000001E-2</v>
      </c>
      <c r="P5298">
        <v>0.98252139999999999</v>
      </c>
      <c r="Q5298">
        <v>0.18324979999999999</v>
      </c>
      <c r="R5298">
        <v>-3.2728920000000002E-2</v>
      </c>
      <c r="S5298">
        <v>3.064514</v>
      </c>
      <c r="T5298">
        <v>-0.1182015</v>
      </c>
      <c r="U5298">
        <v>-0.35925289999999999</v>
      </c>
      <c r="V5298">
        <v>1.0276479999999999E-2</v>
      </c>
      <c r="W5298">
        <v>0.19534280000000001</v>
      </c>
      <c r="X5298">
        <v>0.98068120000000003</v>
      </c>
      <c r="Y5298">
        <v>9.405152E-2</v>
      </c>
      <c r="Z5298">
        <v>-1.80094E-3</v>
      </c>
      <c r="AA5298">
        <v>0.9955657</v>
      </c>
      <c r="AB5298">
        <v>32</v>
      </c>
      <c r="AC5298">
        <v>28.932500000000001</v>
      </c>
      <c r="AD5298">
        <v>-1.122114674184</v>
      </c>
      <c r="AE5298">
        <v>-3.4073299999999902</v>
      </c>
      <c r="AF5298">
        <v>2.7536990168471398</v>
      </c>
      <c r="AG5298">
        <v>-1.122114674184</v>
      </c>
      <c r="AH5298">
        <v>28.958658570252801</v>
      </c>
      <c r="AI5298">
        <v>92.209080215951104</v>
      </c>
      <c r="AJ5298">
        <v>84.568037490682002</v>
      </c>
      <c r="AK5298">
        <v>29.110924166124999</v>
      </c>
      <c r="AL5298">
        <v>78.735250475354206</v>
      </c>
      <c r="AM5298">
        <v>89.399624075484496</v>
      </c>
      <c r="AN5298">
        <v>1.0000000157932301</v>
      </c>
    </row>
    <row r="5299" spans="1:40" x14ac:dyDescent="0.25">
      <c r="A5299" t="str">
        <f>"20190303162926411"</f>
        <v>20190303162926411</v>
      </c>
      <c r="B5299" t="str">
        <f>"1551601766407005"</f>
        <v>1551601766407005</v>
      </c>
      <c r="C5299" t="s">
        <v>40</v>
      </c>
      <c r="D5299">
        <v>4.8848219999999998</v>
      </c>
      <c r="E5299">
        <v>0.53644820000000004</v>
      </c>
      <c r="F5299" t="s">
        <v>41</v>
      </c>
      <c r="G5299">
        <v>-326.8141</v>
      </c>
      <c r="H5299" s="1">
        <v>-2.6302039999999999E-6</v>
      </c>
      <c r="I5299">
        <v>14.26994</v>
      </c>
      <c r="J5299">
        <v>-353.02600000000001</v>
      </c>
      <c r="K5299">
        <v>1.122107</v>
      </c>
      <c r="L5299">
        <v>17.53903</v>
      </c>
      <c r="M5299">
        <v>0.99968389999999996</v>
      </c>
      <c r="N5299">
        <v>-1.2294569999999999E-2</v>
      </c>
      <c r="O5299">
        <v>-2.1934260000000001E-2</v>
      </c>
      <c r="P5299">
        <v>0.98256739999999998</v>
      </c>
      <c r="Q5299">
        <v>0.1825222</v>
      </c>
      <c r="R5299">
        <v>-3.5316269999999997E-2</v>
      </c>
      <c r="S5299">
        <v>3.0650330000000001</v>
      </c>
      <c r="T5299">
        <v>-0.13046749999999999</v>
      </c>
      <c r="U5299">
        <v>-0.3804321</v>
      </c>
      <c r="V5299">
        <v>1.334396E-2</v>
      </c>
      <c r="W5299">
        <v>0.19462389999999999</v>
      </c>
      <c r="X5299">
        <v>0.98078719999999997</v>
      </c>
      <c r="Y5299">
        <v>0.1012696</v>
      </c>
      <c r="Z5299">
        <v>-2.1108049999999999E-3</v>
      </c>
      <c r="AA5299">
        <v>0.99485679999999999</v>
      </c>
      <c r="AB5299">
        <v>32</v>
      </c>
      <c r="AC5299">
        <v>26.2119</v>
      </c>
      <c r="AD5299">
        <v>-1.1221096302039999</v>
      </c>
      <c r="AE5299">
        <v>-3.2690899999999998</v>
      </c>
      <c r="AF5299">
        <v>2.6884698546488202</v>
      </c>
      <c r="AG5299">
        <v>-1.1221096302039999</v>
      </c>
      <c r="AH5299">
        <v>26.229969900508699</v>
      </c>
      <c r="AI5299">
        <v>92.436850155781002</v>
      </c>
      <c r="AJ5299">
        <v>84.147841629734998</v>
      </c>
      <c r="AK5299">
        <v>26.391254634123399</v>
      </c>
      <c r="AL5299">
        <v>78.777246594701396</v>
      </c>
      <c r="AM5299">
        <v>89.220518558080002</v>
      </c>
      <c r="AN5299">
        <v>1.00000002770176</v>
      </c>
    </row>
    <row r="5300" spans="1:40" x14ac:dyDescent="0.25">
      <c r="A5300" t="str">
        <f>"20190303162926431"</f>
        <v>20190303162926431</v>
      </c>
      <c r="B5300" t="str">
        <f>"1551601766427500"</f>
        <v>1551601766427500</v>
      </c>
      <c r="C5300" t="s">
        <v>40</v>
      </c>
      <c r="D5300">
        <v>4.8868619999999998</v>
      </c>
      <c r="E5300">
        <v>0.53641130000000004</v>
      </c>
      <c r="F5300" t="s">
        <v>41</v>
      </c>
      <c r="G5300">
        <v>-327.88699999999898</v>
      </c>
      <c r="H5300" s="1">
        <v>-2.1974540000000001E-6</v>
      </c>
      <c r="I5300">
        <v>14.347810000000001</v>
      </c>
      <c r="J5300">
        <v>-352.74700000000001</v>
      </c>
      <c r="K5300">
        <v>1.1221030000000001</v>
      </c>
      <c r="L5300">
        <v>17.533809999999999</v>
      </c>
      <c r="M5300">
        <v>0.99970289999999995</v>
      </c>
      <c r="N5300">
        <v>-1.229703E-2</v>
      </c>
      <c r="O5300">
        <v>-2.1045930000000001E-2</v>
      </c>
      <c r="P5300">
        <v>0.98253550000000001</v>
      </c>
      <c r="Q5300">
        <v>0.18157570000000001</v>
      </c>
      <c r="R5300">
        <v>-4.0675799999999998E-2</v>
      </c>
      <c r="S5300">
        <v>3.064667</v>
      </c>
      <c r="T5300">
        <v>-0.136795</v>
      </c>
      <c r="U5300">
        <v>-0.3890381</v>
      </c>
      <c r="V5300">
        <v>1.958669E-2</v>
      </c>
      <c r="W5300">
        <v>0.19369259999999999</v>
      </c>
      <c r="X5300">
        <v>0.98086669999999998</v>
      </c>
      <c r="Y5300">
        <v>0.10490389999999999</v>
      </c>
      <c r="Z5300">
        <v>-2.3017160000000001E-3</v>
      </c>
      <c r="AA5300">
        <v>0.99447969999999997</v>
      </c>
      <c r="AB5300">
        <v>32</v>
      </c>
      <c r="AC5300">
        <v>24.86</v>
      </c>
      <c r="AD5300">
        <v>-1.1221051974539999</v>
      </c>
      <c r="AE5300">
        <v>-3.1859999999999902</v>
      </c>
      <c r="AF5300">
        <v>2.6567276411042799</v>
      </c>
      <c r="AG5300">
        <v>-1.1221051974539999</v>
      </c>
      <c r="AH5300">
        <v>24.871696873022799</v>
      </c>
      <c r="AI5300">
        <v>92.568597771176002</v>
      </c>
      <c r="AJ5300">
        <v>83.902938113323401</v>
      </c>
      <c r="AK5300">
        <v>25.038343139606798</v>
      </c>
      <c r="AL5300">
        <v>78.831640648527298</v>
      </c>
      <c r="AM5300">
        <v>88.856026468093603</v>
      </c>
      <c r="AN5300">
        <v>0.99999997244440197</v>
      </c>
    </row>
    <row r="5301" spans="1:40" x14ac:dyDescent="0.25">
      <c r="A5301" t="str">
        <f>"20190303162926443"</f>
        <v>20190303162926443</v>
      </c>
      <c r="B5301" t="str">
        <f>"1551601766437261"</f>
        <v>1551601766437261</v>
      </c>
      <c r="C5301" t="s">
        <v>40</v>
      </c>
      <c r="D5301">
        <v>4.8915579999999999</v>
      </c>
      <c r="E5301">
        <v>0.536807699999999</v>
      </c>
      <c r="F5301" t="s">
        <v>41</v>
      </c>
      <c r="G5301">
        <v>-328.9323</v>
      </c>
      <c r="H5301" s="1">
        <v>-1.783802E-6</v>
      </c>
      <c r="I5301">
        <v>14.39378</v>
      </c>
      <c r="J5301">
        <v>-352.58080000000001</v>
      </c>
      <c r="K5301">
        <v>1.1220969999999999</v>
      </c>
      <c r="L5301">
        <v>17.53079</v>
      </c>
      <c r="M5301">
        <v>0.99971370000000004</v>
      </c>
      <c r="N5301">
        <v>-1.229853E-2</v>
      </c>
      <c r="O5301">
        <v>-2.0526829999999999E-2</v>
      </c>
      <c r="P5301">
        <v>0.98246960000000005</v>
      </c>
      <c r="Q5301">
        <v>0.18130959999999999</v>
      </c>
      <c r="R5301">
        <v>-4.3365880000000002E-2</v>
      </c>
      <c r="S5301">
        <v>3.0632630000000001</v>
      </c>
      <c r="T5301">
        <v>-0.1443354</v>
      </c>
      <c r="U5301">
        <v>-0.40390009999999998</v>
      </c>
      <c r="V5301">
        <v>2.27943E-2</v>
      </c>
      <c r="W5301">
        <v>0.19343389999999999</v>
      </c>
      <c r="X5301">
        <v>0.98084850000000001</v>
      </c>
      <c r="Y5301">
        <v>0.11020199999999999</v>
      </c>
      <c r="Z5301">
        <v>-2.5539820000000002E-3</v>
      </c>
      <c r="AA5301">
        <v>0.99390590000000001</v>
      </c>
      <c r="AB5301">
        <v>32</v>
      </c>
      <c r="AC5301">
        <v>23.648499999999999</v>
      </c>
      <c r="AD5301">
        <v>-1.122098783802</v>
      </c>
      <c r="AE5301">
        <v>-3.1370100000000001</v>
      </c>
      <c r="AF5301">
        <v>2.6450314258963101</v>
      </c>
      <c r="AG5301">
        <v>-1.122098783802</v>
      </c>
      <c r="AH5301">
        <v>23.655576806299901</v>
      </c>
      <c r="AI5301">
        <v>92.698986703844696</v>
      </c>
      <c r="AJ5301">
        <v>83.620013718096999</v>
      </c>
      <c r="AK5301">
        <v>23.8294274157677</v>
      </c>
      <c r="AL5301">
        <v>78.846749297290501</v>
      </c>
      <c r="AM5301">
        <v>88.668721876720397</v>
      </c>
      <c r="AN5301">
        <v>1.00000001686697</v>
      </c>
    </row>
    <row r="5302" spans="1:40" x14ac:dyDescent="0.25">
      <c r="A5302" t="str">
        <f>"20190303162926454"</f>
        <v>20190303162926454</v>
      </c>
      <c r="B5302" t="str">
        <f>"1551601766447020"</f>
        <v>1551601766447020</v>
      </c>
      <c r="C5302" t="s">
        <v>40</v>
      </c>
      <c r="D5302">
        <v>4.9233589999999996</v>
      </c>
      <c r="E5302">
        <v>0.53716609999999998</v>
      </c>
      <c r="F5302" t="s">
        <v>41</v>
      </c>
      <c r="G5302">
        <v>-328.63319999999999</v>
      </c>
      <c r="H5302" s="1">
        <v>-1.9276399999999998E-6</v>
      </c>
      <c r="I5302">
        <v>14.284940000000001</v>
      </c>
      <c r="J5302">
        <v>-352.41269999999997</v>
      </c>
      <c r="K5302">
        <v>1.1220920000000001</v>
      </c>
      <c r="L5302">
        <v>17.527889999999999</v>
      </c>
      <c r="M5302">
        <v>0.99972399999999995</v>
      </c>
      <c r="N5302">
        <v>-1.2299849999999999E-2</v>
      </c>
      <c r="O5302">
        <v>-2.0016559999999999E-2</v>
      </c>
      <c r="P5302">
        <v>0.98239330000000002</v>
      </c>
      <c r="Q5302">
        <v>0.1811767</v>
      </c>
      <c r="R5302">
        <v>-4.5589659999999997E-2</v>
      </c>
      <c r="S5302">
        <v>3.0616759999999998</v>
      </c>
      <c r="T5302">
        <v>-0.1434588</v>
      </c>
      <c r="U5302">
        <v>-0.41497800000000001</v>
      </c>
      <c r="V5302">
        <v>2.552712E-2</v>
      </c>
      <c r="W5302">
        <v>0.1933067</v>
      </c>
      <c r="X5302">
        <v>0.98080619999999996</v>
      </c>
      <c r="Y5302">
        <v>0.11430360000000001</v>
      </c>
      <c r="Z5302">
        <v>-2.6832779999999999E-3</v>
      </c>
      <c r="AA5302">
        <v>0.99344219999999905</v>
      </c>
      <c r="AB5302">
        <v>32</v>
      </c>
      <c r="AC5302">
        <v>23.779499999999899</v>
      </c>
      <c r="AD5302">
        <v>-1.1220939276399999</v>
      </c>
      <c r="AE5302">
        <v>-3.24295</v>
      </c>
      <c r="AF5302">
        <v>2.7602464838510898</v>
      </c>
      <c r="AG5302">
        <v>-1.1220939276399999</v>
      </c>
      <c r="AH5302">
        <v>23.7876528450264</v>
      </c>
      <c r="AI5302">
        <v>92.682739032874906</v>
      </c>
      <c r="AJ5302">
        <v>83.381173616245803</v>
      </c>
      <c r="AK5302">
        <v>23.973537146394399</v>
      </c>
      <c r="AL5302">
        <v>78.854176857690504</v>
      </c>
      <c r="AM5302">
        <v>88.509118187565505</v>
      </c>
      <c r="AN5302">
        <v>0.999999958039411</v>
      </c>
    </row>
    <row r="5303" spans="1:40" x14ac:dyDescent="0.25">
      <c r="A5303" t="str">
        <f>"20190303162926465"</f>
        <v>20190303162926465</v>
      </c>
      <c r="B5303" t="str">
        <f>"1551601766456783"</f>
        <v>1551601766456783</v>
      </c>
      <c r="C5303" t="s">
        <v>40</v>
      </c>
      <c r="D5303">
        <v>4.9259430000000002</v>
      </c>
      <c r="E5303">
        <v>0.53736479999999998</v>
      </c>
      <c r="F5303" t="s">
        <v>41</v>
      </c>
      <c r="G5303">
        <v>-328.38060000000002</v>
      </c>
      <c r="H5303" s="1">
        <v>-2.0484059999999999E-6</v>
      </c>
      <c r="I5303">
        <v>14.195650000000001</v>
      </c>
      <c r="J5303">
        <v>-352.267</v>
      </c>
      <c r="K5303">
        <v>1.122088</v>
      </c>
      <c r="L5303">
        <v>17.525389999999899</v>
      </c>
      <c r="M5303">
        <v>0.99973279999999998</v>
      </c>
      <c r="N5303">
        <v>-1.230098E-2</v>
      </c>
      <c r="O5303">
        <v>-1.9577669999999998E-2</v>
      </c>
      <c r="P5303">
        <v>0.98228959999999998</v>
      </c>
      <c r="Q5303">
        <v>0.1811661</v>
      </c>
      <c r="R5303">
        <v>-4.7814309999999999E-2</v>
      </c>
      <c r="S5303">
        <v>3.0603940000000001</v>
      </c>
      <c r="T5303">
        <v>-0.14289389999999999</v>
      </c>
      <c r="U5303">
        <v>-0.42434690000000003</v>
      </c>
      <c r="V5303">
        <v>2.819029E-2</v>
      </c>
      <c r="W5303">
        <v>0.193301</v>
      </c>
      <c r="X5303">
        <v>0.98073440000000001</v>
      </c>
      <c r="Y5303">
        <v>0.11777550000000001</v>
      </c>
      <c r="Z5303">
        <v>-2.7941020000000001E-3</v>
      </c>
      <c r="AA5303">
        <v>0.99303629999999998</v>
      </c>
      <c r="AB5303">
        <v>32</v>
      </c>
      <c r="AC5303">
        <v>23.886399999999899</v>
      </c>
      <c r="AD5303">
        <v>-1.1220900484059999</v>
      </c>
      <c r="AE5303">
        <v>-3.3297399999999899</v>
      </c>
      <c r="AF5303">
        <v>2.8552456229402101</v>
      </c>
      <c r="AG5303">
        <v>-1.1220900484059999</v>
      </c>
      <c r="AH5303">
        <v>23.895288798509299</v>
      </c>
      <c r="AI5303">
        <v>92.669593638022405</v>
      </c>
      <c r="AJ5303">
        <v>83.1860401213399</v>
      </c>
      <c r="AK5303">
        <v>24.091416322172002</v>
      </c>
      <c r="AL5303">
        <v>78.854509813906304</v>
      </c>
      <c r="AM5303">
        <v>88.353539931463004</v>
      </c>
      <c r="AN5303">
        <v>0.99999996619732101</v>
      </c>
    </row>
    <row r="5304" spans="1:40" x14ac:dyDescent="0.25">
      <c r="A5304" t="str">
        <f>"20190303162926476"</f>
        <v>20190303162926476</v>
      </c>
      <c r="B5304" t="str">
        <f>"1551601766467516"</f>
        <v>1551601766467516</v>
      </c>
      <c r="C5304" t="s">
        <v>40</v>
      </c>
      <c r="D5304">
        <v>4.9192099999999996</v>
      </c>
      <c r="E5304">
        <v>0.53748719999999905</v>
      </c>
      <c r="F5304" t="s">
        <v>41</v>
      </c>
      <c r="G5304">
        <v>-328.1728</v>
      </c>
      <c r="H5304" s="1">
        <v>-2.1485420000000002E-6</v>
      </c>
      <c r="I5304">
        <v>14.11917</v>
      </c>
      <c r="J5304">
        <v>-352.11399999999998</v>
      </c>
      <c r="K5304">
        <v>1.1220810000000001</v>
      </c>
      <c r="L5304">
        <v>17.522860000000001</v>
      </c>
      <c r="M5304">
        <v>0.99974149999999995</v>
      </c>
      <c r="N5304">
        <v>-1.230207E-2</v>
      </c>
      <c r="O5304">
        <v>-1.9128539999999999E-2</v>
      </c>
      <c r="P5304">
        <v>0.98227759999999997</v>
      </c>
      <c r="Q5304">
        <v>0.18074680000000001</v>
      </c>
      <c r="R5304">
        <v>-4.9617960000000003E-2</v>
      </c>
      <c r="S5304">
        <v>3.0592959999999998</v>
      </c>
      <c r="T5304">
        <v>-0.14247409999999999</v>
      </c>
      <c r="U5304">
        <v>-0.43249510000000002</v>
      </c>
      <c r="V5304">
        <v>3.0441759999999998E-2</v>
      </c>
      <c r="W5304">
        <v>0.19288649999999999</v>
      </c>
      <c r="X5304">
        <v>0.98074870000000003</v>
      </c>
      <c r="Y5304">
        <v>0.1208598</v>
      </c>
      <c r="Z5304">
        <v>-2.8950260000000002E-3</v>
      </c>
      <c r="AA5304">
        <v>0.99266540000000003</v>
      </c>
      <c r="AB5304">
        <v>32</v>
      </c>
      <c r="AC5304">
        <v>23.941199999999998</v>
      </c>
      <c r="AD5304">
        <v>-1.122083148542</v>
      </c>
      <c r="AE5304">
        <v>-3.4036900000000001</v>
      </c>
      <c r="AF5304">
        <v>2.93874488824674</v>
      </c>
      <c r="AG5304">
        <v>-1.122083148542</v>
      </c>
      <c r="AH5304">
        <v>23.950363459689601</v>
      </c>
      <c r="AI5304">
        <v>92.662428115507197</v>
      </c>
      <c r="AJ5304">
        <v>83.004689898110598</v>
      </c>
      <c r="AK5304">
        <v>24.1560593218694</v>
      </c>
      <c r="AL5304">
        <v>78.878714342138295</v>
      </c>
      <c r="AM5304">
        <v>88.222149512558701</v>
      </c>
      <c r="AN5304">
        <v>0.99999995759291704</v>
      </c>
    </row>
    <row r="5305" spans="1:40" x14ac:dyDescent="0.25">
      <c r="A5305" t="str">
        <f>"20190303162926488"</f>
        <v>20190303162926488</v>
      </c>
      <c r="B5305" t="str">
        <f>"1551601766477277"</f>
        <v>1551601766477277</v>
      </c>
      <c r="C5305" t="s">
        <v>40</v>
      </c>
      <c r="D5305">
        <v>4.946599</v>
      </c>
      <c r="E5305">
        <v>0.53723659999999995</v>
      </c>
      <c r="F5305" t="s">
        <v>41</v>
      </c>
      <c r="G5305">
        <v>-328.31349999999998</v>
      </c>
      <c r="H5305" s="1">
        <v>-2.097106E-6</v>
      </c>
      <c r="I5305">
        <v>14.10932</v>
      </c>
      <c r="J5305">
        <v>-351.95249999999999</v>
      </c>
      <c r="K5305">
        <v>1.1220699999999999</v>
      </c>
      <c r="L5305">
        <v>17.520199999999999</v>
      </c>
      <c r="M5305">
        <v>0.99975029999999998</v>
      </c>
      <c r="N5305">
        <v>-1.230319E-2</v>
      </c>
      <c r="O5305">
        <v>-1.8659869999999999E-2</v>
      </c>
      <c r="P5305">
        <v>0.98230079999999997</v>
      </c>
      <c r="Q5305">
        <v>0.18016380000000001</v>
      </c>
      <c r="R5305">
        <v>-5.1248910000000002E-2</v>
      </c>
      <c r="S5305">
        <v>3.0585019999999998</v>
      </c>
      <c r="T5305">
        <v>-0.1441944</v>
      </c>
      <c r="U5305">
        <v>-0.43865969999999999</v>
      </c>
      <c r="V5305">
        <v>3.2539999999999999E-2</v>
      </c>
      <c r="W5305">
        <v>0.19230820000000001</v>
      </c>
      <c r="X5305">
        <v>0.98079490000000003</v>
      </c>
      <c r="Y5305">
        <v>0.1233146</v>
      </c>
      <c r="Z5305">
        <v>-3.0074450000000001E-3</v>
      </c>
      <c r="AA5305">
        <v>0.99236310000000005</v>
      </c>
      <c r="AB5305">
        <v>32</v>
      </c>
      <c r="AC5305">
        <v>23.638999999999999</v>
      </c>
      <c r="AD5305">
        <v>-1.1220720971060001</v>
      </c>
      <c r="AE5305">
        <v>-3.4108799999999899</v>
      </c>
      <c r="AF5305">
        <v>2.9626130658911798</v>
      </c>
      <c r="AG5305">
        <v>-1.1220720971060001</v>
      </c>
      <c r="AH5305">
        <v>23.646343647650401</v>
      </c>
      <c r="AI5305">
        <v>92.695731600261496</v>
      </c>
      <c r="AJ5305">
        <v>82.858713139823706</v>
      </c>
      <c r="AK5305">
        <v>23.857612828446801</v>
      </c>
      <c r="AL5305">
        <v>78.912480761180603</v>
      </c>
      <c r="AM5305">
        <v>88.099785132060305</v>
      </c>
      <c r="AN5305">
        <v>0.99999996562662397</v>
      </c>
    </row>
    <row r="5306" spans="1:40" x14ac:dyDescent="0.25">
      <c r="A5306" t="str">
        <f>"20190303162926499"</f>
        <v>20190303162926499</v>
      </c>
      <c r="B5306" t="str">
        <f>"1551601766487303"</f>
        <v>1551601766487303</v>
      </c>
      <c r="C5306" t="s">
        <v>40</v>
      </c>
      <c r="D5306">
        <v>4.9351159999999998</v>
      </c>
      <c r="E5306">
        <v>0.53695919999999997</v>
      </c>
      <c r="F5306" t="s">
        <v>41</v>
      </c>
      <c r="G5306">
        <v>-328.58300000000003</v>
      </c>
      <c r="H5306" s="1">
        <v>-1.9834610000000001E-6</v>
      </c>
      <c r="I5306">
        <v>14.147589999999999</v>
      </c>
      <c r="J5306">
        <v>-351.79860000000002</v>
      </c>
      <c r="K5306">
        <v>1.122061</v>
      </c>
      <c r="L5306">
        <v>17.517759999999999</v>
      </c>
      <c r="M5306">
        <v>0.99975840000000005</v>
      </c>
      <c r="N5306">
        <v>-1.23042E-2</v>
      </c>
      <c r="O5306">
        <v>-1.8221950000000001E-2</v>
      </c>
      <c r="P5306">
        <v>0.98237019999999997</v>
      </c>
      <c r="Q5306">
        <v>0.17939749999999999</v>
      </c>
      <c r="R5306">
        <v>-5.2590100000000001E-2</v>
      </c>
      <c r="S5306">
        <v>3.0579529999999999</v>
      </c>
      <c r="T5306">
        <v>-0.14682590000000001</v>
      </c>
      <c r="U5306">
        <v>-0.4413147</v>
      </c>
      <c r="V5306">
        <v>3.4317019999999997E-2</v>
      </c>
      <c r="W5306">
        <v>0.1915463</v>
      </c>
      <c r="X5306">
        <v>0.98088350000000002</v>
      </c>
      <c r="Y5306">
        <v>0.12461120000000001</v>
      </c>
      <c r="Z5306">
        <v>-3.0990649999999998E-3</v>
      </c>
      <c r="AA5306">
        <v>0.99220079999999999</v>
      </c>
      <c r="AB5306">
        <v>32</v>
      </c>
      <c r="AC5306">
        <v>23.215599999999899</v>
      </c>
      <c r="AD5306">
        <v>-1.1220629834610001</v>
      </c>
      <c r="AE5306">
        <v>-3.3701699999999999</v>
      </c>
      <c r="AF5306">
        <v>2.9398191779608598</v>
      </c>
      <c r="AG5306">
        <v>-1.1220629834610001</v>
      </c>
      <c r="AH5306">
        <v>23.220037825368902</v>
      </c>
      <c r="AI5306">
        <v>92.744678266573004</v>
      </c>
      <c r="AJ5306">
        <v>82.784344230873103</v>
      </c>
      <c r="AK5306">
        <v>23.432279418561102</v>
      </c>
      <c r="AL5306">
        <v>78.956962201152706</v>
      </c>
      <c r="AM5306">
        <v>87.9962770533933</v>
      </c>
      <c r="AN5306">
        <v>1.0000000417388</v>
      </c>
    </row>
    <row r="5307" spans="1:40" x14ac:dyDescent="0.25">
      <c r="A5307" t="str">
        <f>"20190303162926509"</f>
        <v>20190303162926509</v>
      </c>
      <c r="B5307" t="str">
        <f>"1551601766497062"</f>
        <v>1551601766497062</v>
      </c>
      <c r="C5307" t="s">
        <v>40</v>
      </c>
      <c r="D5307">
        <v>4.9415089999999999</v>
      </c>
      <c r="E5307">
        <v>0.53674390000000005</v>
      </c>
      <c r="F5307" t="s">
        <v>41</v>
      </c>
      <c r="G5307">
        <v>-328.85599999999999</v>
      </c>
      <c r="H5307" s="1">
        <v>-1.8661199999999999E-6</v>
      </c>
      <c r="I5307">
        <v>14.194509999999999</v>
      </c>
      <c r="J5307">
        <v>-351.64879999999999</v>
      </c>
      <c r="K5307">
        <v>1.1220509999999999</v>
      </c>
      <c r="L5307">
        <v>17.515439999999899</v>
      </c>
      <c r="M5307">
        <v>0.99976589999999999</v>
      </c>
      <c r="N5307">
        <v>-1.2305129999999999E-2</v>
      </c>
      <c r="O5307">
        <v>-1.780093E-2</v>
      </c>
      <c r="P5307">
        <v>0.9824368</v>
      </c>
      <c r="Q5307">
        <v>0.17857479999999901</v>
      </c>
      <c r="R5307">
        <v>-5.4118529999999998E-2</v>
      </c>
      <c r="S5307">
        <v>3.0574340000000002</v>
      </c>
      <c r="T5307">
        <v>-0.149531</v>
      </c>
      <c r="U5307">
        <v>-0.44287109999999902</v>
      </c>
      <c r="V5307">
        <v>3.626451E-2</v>
      </c>
      <c r="W5307">
        <v>0.1907287</v>
      </c>
      <c r="X5307">
        <v>0.98097270000000003</v>
      </c>
      <c r="Y5307">
        <v>0.1255405</v>
      </c>
      <c r="Z5307">
        <v>-3.1818390000000001E-3</v>
      </c>
      <c r="AA5307">
        <v>0.99208339999999995</v>
      </c>
      <c r="AB5307">
        <v>32</v>
      </c>
      <c r="AC5307">
        <v>22.7928</v>
      </c>
      <c r="AD5307">
        <v>-1.12205286612</v>
      </c>
      <c r="AE5307">
        <v>-3.3209299999999899</v>
      </c>
      <c r="AF5307">
        <v>2.9077397596378001</v>
      </c>
      <c r="AG5307">
        <v>-1.12205286612</v>
      </c>
      <c r="AH5307">
        <v>22.794216084508001</v>
      </c>
      <c r="AI5307">
        <v>92.795511818100906</v>
      </c>
      <c r="AJ5307">
        <v>82.730337851071297</v>
      </c>
      <c r="AK5307">
        <v>23.006308701123501</v>
      </c>
      <c r="AL5307">
        <v>79.004686600122795</v>
      </c>
      <c r="AM5307">
        <v>87.882858903668506</v>
      </c>
      <c r="AN5307">
        <v>0.99999999491725999</v>
      </c>
    </row>
    <row r="5308" spans="1:40" x14ac:dyDescent="0.25">
      <c r="A5308" t="str">
        <f>"20190303162926520"</f>
        <v>20190303162926520</v>
      </c>
      <c r="B5308" t="str">
        <f>"1551601766506823"</f>
        <v>1551601766506823</v>
      </c>
      <c r="C5308" t="s">
        <v>40</v>
      </c>
      <c r="D5308">
        <v>4.9750920000000001</v>
      </c>
      <c r="E5308">
        <v>0.53656709999999996</v>
      </c>
      <c r="F5308" t="s">
        <v>41</v>
      </c>
      <c r="G5308">
        <v>-329.04840000000002</v>
      </c>
      <c r="H5308" s="1">
        <v>-1.7854089999999999E-6</v>
      </c>
      <c r="I5308">
        <v>14.220190000000001</v>
      </c>
      <c r="J5308">
        <v>-351.48849999999999</v>
      </c>
      <c r="K5308">
        <v>1.1220380000000001</v>
      </c>
      <c r="L5308">
        <v>17.513030000000001</v>
      </c>
      <c r="M5308">
        <v>0.99977369999999999</v>
      </c>
      <c r="N5308">
        <v>-1.230608E-2</v>
      </c>
      <c r="O5308">
        <v>-1.7355720000000002E-2</v>
      </c>
      <c r="P5308">
        <v>0.98251270000000002</v>
      </c>
      <c r="Q5308">
        <v>0.1777464</v>
      </c>
      <c r="R5308">
        <v>-5.5455089999999999E-2</v>
      </c>
      <c r="S5308">
        <v>3.0566710000000001</v>
      </c>
      <c r="T5308">
        <v>-0.151756</v>
      </c>
      <c r="U5308">
        <v>-0.44567869999999998</v>
      </c>
      <c r="V5308">
        <v>3.8043670000000002E-2</v>
      </c>
      <c r="W5308">
        <v>0.1899043</v>
      </c>
      <c r="X5308">
        <v>0.98106530000000003</v>
      </c>
      <c r="Y5308">
        <v>0.12690280000000001</v>
      </c>
      <c r="Z5308">
        <v>-3.2734299999999999E-3</v>
      </c>
      <c r="AA5308">
        <v>0.99190970000000001</v>
      </c>
      <c r="AB5308">
        <v>32</v>
      </c>
      <c r="AC5308">
        <v>22.440099999999902</v>
      </c>
      <c r="AD5308">
        <v>-1.1220397854089901</v>
      </c>
      <c r="AE5308">
        <v>-3.29284</v>
      </c>
      <c r="AF5308">
        <v>2.8957631357220102</v>
      </c>
      <c r="AG5308">
        <v>-1.1220397854089901</v>
      </c>
      <c r="AH5308">
        <v>22.4389551081915</v>
      </c>
      <c r="AI5308">
        <v>92.839134655307603</v>
      </c>
      <c r="AJ5308">
        <v>82.646580619291896</v>
      </c>
      <c r="AK5308">
        <v>22.652839198777698</v>
      </c>
      <c r="AL5308">
        <v>79.052801170570206</v>
      </c>
      <c r="AM5308">
        <v>87.779301608051895</v>
      </c>
      <c r="AN5308">
        <v>1.00000004342482</v>
      </c>
    </row>
    <row r="5309" spans="1:40" x14ac:dyDescent="0.25">
      <c r="A5309" t="str">
        <f>"20190303162926532"</f>
        <v>20190303162926532</v>
      </c>
      <c r="B5309" t="str">
        <f>"1551601766527319"</f>
        <v>1551601766527319</v>
      </c>
      <c r="C5309" t="s">
        <v>40</v>
      </c>
      <c r="D5309">
        <v>5.0081419999999897</v>
      </c>
      <c r="E5309">
        <v>0.53604609999999997</v>
      </c>
      <c r="F5309" t="s">
        <v>41</v>
      </c>
      <c r="G5309">
        <v>-329.34039999999999</v>
      </c>
      <c r="H5309" s="1">
        <v>-1.661188E-6</v>
      </c>
      <c r="I5309">
        <v>14.265689999999999</v>
      </c>
      <c r="J5309">
        <v>-351.33550000000002</v>
      </c>
      <c r="K5309">
        <v>1.122031</v>
      </c>
      <c r="L5309">
        <v>17.5108</v>
      </c>
      <c r="M5309">
        <v>0.99978089999999997</v>
      </c>
      <c r="N5309">
        <v>-1.2306879999999999E-2</v>
      </c>
      <c r="O5309">
        <v>-1.693658E-2</v>
      </c>
      <c r="P5309">
        <v>0.98265210000000003</v>
      </c>
      <c r="Q5309">
        <v>0.17664560000000001</v>
      </c>
      <c r="R5309">
        <v>-5.6492239999999999E-2</v>
      </c>
      <c r="S5309">
        <v>3.056152</v>
      </c>
      <c r="T5309">
        <v>-0.15482650000000001</v>
      </c>
      <c r="U5309">
        <v>-0.44808959999999998</v>
      </c>
      <c r="V5309">
        <v>3.9496459999999997E-2</v>
      </c>
      <c r="W5309">
        <v>0.1888078</v>
      </c>
      <c r="X5309">
        <v>0.98121950000000002</v>
      </c>
      <c r="Y5309">
        <v>0.12809999999999999</v>
      </c>
      <c r="Z5309">
        <v>-3.3733050000000001E-3</v>
      </c>
      <c r="AA5309">
        <v>0.99175550000000001</v>
      </c>
      <c r="AB5309">
        <v>32</v>
      </c>
      <c r="AC5309">
        <v>21.995100000000001</v>
      </c>
      <c r="AD5309">
        <v>-1.122032661188</v>
      </c>
      <c r="AE5309">
        <v>-3.2451099999999999</v>
      </c>
      <c r="AF5309">
        <v>2.8647982403914098</v>
      </c>
      <c r="AG5309">
        <v>-1.122032661188</v>
      </c>
      <c r="AH5309">
        <v>21.9909018920313</v>
      </c>
      <c r="AI5309">
        <v>92.896414305731</v>
      </c>
      <c r="AJ5309">
        <v>82.577764312971198</v>
      </c>
      <c r="AK5309">
        <v>22.205084829287799</v>
      </c>
      <c r="AL5309">
        <v>79.116783398941394</v>
      </c>
      <c r="AM5309">
        <v>87.694950572304805</v>
      </c>
      <c r="AN5309">
        <v>1.00000003143681</v>
      </c>
    </row>
    <row r="5310" spans="1:40" x14ac:dyDescent="0.25">
      <c r="A5310" t="str">
        <f>"20190303162926544"</f>
        <v>20190303162926544</v>
      </c>
      <c r="B5310" t="str">
        <f>"1551601766537078"</f>
        <v>1551601766537078</v>
      </c>
      <c r="C5310" t="s">
        <v>40</v>
      </c>
      <c r="D5310">
        <v>5.0084080000000002</v>
      </c>
      <c r="E5310">
        <v>0.5357305</v>
      </c>
      <c r="F5310" t="s">
        <v>41</v>
      </c>
      <c r="G5310">
        <v>-329.88159999999999</v>
      </c>
      <c r="H5310" s="1">
        <v>-1.4247539999999999E-6</v>
      </c>
      <c r="I5310">
        <v>14.37323</v>
      </c>
      <c r="J5310">
        <v>-351.15839999999997</v>
      </c>
      <c r="K5310">
        <v>1.1220220000000001</v>
      </c>
      <c r="L5310">
        <v>17.50827</v>
      </c>
      <c r="M5310">
        <v>0.99978889999999998</v>
      </c>
      <c r="N5310">
        <v>-1.2307780000000001E-2</v>
      </c>
      <c r="O5310">
        <v>-1.645392E-2</v>
      </c>
      <c r="P5310">
        <v>0.98278209999999999</v>
      </c>
      <c r="Q5310">
        <v>0.17570520000000001</v>
      </c>
      <c r="R5310">
        <v>-5.7158380000000002E-2</v>
      </c>
      <c r="S5310">
        <v>3.056</v>
      </c>
      <c r="T5310">
        <v>-0.1598271</v>
      </c>
      <c r="U5310">
        <v>-0.44692989999999999</v>
      </c>
      <c r="V5310">
        <v>4.0640759999999998E-2</v>
      </c>
      <c r="W5310">
        <v>0.18787110000000001</v>
      </c>
      <c r="X5310">
        <v>0.98135249999999996</v>
      </c>
      <c r="Y5310">
        <v>0.12820609999999999</v>
      </c>
      <c r="Z5310">
        <v>-3.472695E-3</v>
      </c>
      <c r="AA5310">
        <v>0.99174150000000005</v>
      </c>
      <c r="AB5310">
        <v>32</v>
      </c>
      <c r="AC5310">
        <v>21.276799999999898</v>
      </c>
      <c r="AD5310">
        <v>-1.12202342475399</v>
      </c>
      <c r="AE5310">
        <v>-3.13504</v>
      </c>
      <c r="AF5310">
        <v>2.7769438471741399</v>
      </c>
      <c r="AG5310">
        <v>-1.12202342475399</v>
      </c>
      <c r="AH5310">
        <v>21.2676196714058</v>
      </c>
      <c r="AI5310">
        <v>92.994601564603201</v>
      </c>
      <c r="AJ5310">
        <v>82.560892934040496</v>
      </c>
      <c r="AK5310">
        <v>21.4774765785839</v>
      </c>
      <c r="AL5310">
        <v>79.171429703922499</v>
      </c>
      <c r="AM5310">
        <v>87.628564443078901</v>
      </c>
      <c r="AN5310">
        <v>0.99999997542241803</v>
      </c>
    </row>
    <row r="5311" spans="1:40" x14ac:dyDescent="0.25">
      <c r="A5311" t="str">
        <f>"20190303162926557"</f>
        <v>20190303162926557</v>
      </c>
      <c r="B5311" t="str">
        <f>"1551601766546838"</f>
        <v>1551601766546838</v>
      </c>
      <c r="C5311" t="s">
        <v>40</v>
      </c>
      <c r="D5311">
        <v>5.0273490000000001</v>
      </c>
      <c r="E5311">
        <v>0.53551899999999997</v>
      </c>
      <c r="F5311" t="s">
        <v>41</v>
      </c>
      <c r="G5311">
        <v>-330.13679999999999</v>
      </c>
      <c r="H5311" s="1">
        <v>-5.1321350000000003E-6</v>
      </c>
      <c r="I5311">
        <v>14.4378299999999</v>
      </c>
      <c r="J5311">
        <v>-350.96589999999998</v>
      </c>
      <c r="K5311">
        <v>1.1220139999999901</v>
      </c>
      <c r="L5311">
        <v>17.505649999999999</v>
      </c>
      <c r="M5311">
        <v>0.9997973</v>
      </c>
      <c r="N5311">
        <v>-1.2308990000000001E-2</v>
      </c>
      <c r="O5311">
        <v>-1.5935359999999999E-2</v>
      </c>
      <c r="P5311">
        <v>0.98282190000000003</v>
      </c>
      <c r="Q5311">
        <v>0.17517869999999999</v>
      </c>
      <c r="R5311">
        <v>-5.808162E-2</v>
      </c>
      <c r="S5311">
        <v>3.0557859999999999</v>
      </c>
      <c r="T5311">
        <v>-0.16310229999999901</v>
      </c>
      <c r="U5311">
        <v>-0.44631959999999998</v>
      </c>
      <c r="V5311">
        <v>4.2077749999999997E-2</v>
      </c>
      <c r="W5311">
        <v>0.18734799999999999</v>
      </c>
      <c r="X5311">
        <v>0.98139200000000004</v>
      </c>
      <c r="Y5311">
        <v>0.12852819999999901</v>
      </c>
      <c r="Z5311">
        <v>-3.5553949999999998E-3</v>
      </c>
      <c r="AA5311">
        <v>0.99169949999999996</v>
      </c>
      <c r="AB5311">
        <v>32</v>
      </c>
      <c r="AC5311">
        <v>20.829099999999901</v>
      </c>
      <c r="AD5311">
        <v>-1.1220191321349999</v>
      </c>
      <c r="AE5311">
        <v>-3.0678200000000002</v>
      </c>
      <c r="AF5311">
        <v>2.7277389126924798</v>
      </c>
      <c r="AG5311">
        <v>-1.1220191321349999</v>
      </c>
      <c r="AH5311">
        <v>20.8162244178727</v>
      </c>
      <c r="AI5311">
        <v>93.059221462889397</v>
      </c>
      <c r="AJ5311">
        <v>82.5345501447636</v>
      </c>
      <c r="AK5311">
        <v>21.0241452982977</v>
      </c>
      <c r="AL5311">
        <v>79.201943568891295</v>
      </c>
      <c r="AM5311">
        <v>87.544913962906705</v>
      </c>
      <c r="AN5311">
        <v>1.00000003390653</v>
      </c>
    </row>
    <row r="5312" spans="1:40" x14ac:dyDescent="0.25">
      <c r="A5312" t="str">
        <f>"20190303162926578"</f>
        <v>20190303162926578</v>
      </c>
      <c r="B5312" t="str">
        <f>"1551601766567334"</f>
        <v>1551601766567334</v>
      </c>
      <c r="C5312" t="s">
        <v>40</v>
      </c>
      <c r="D5312">
        <v>5.0339269999999896</v>
      </c>
      <c r="E5312">
        <v>0.53514799999999996</v>
      </c>
      <c r="F5312" t="s">
        <v>41</v>
      </c>
      <c r="G5312">
        <v>-330.24939999999998</v>
      </c>
      <c r="H5312" s="1">
        <v>-5.0774979999999996E-6</v>
      </c>
      <c r="I5312">
        <v>14.4736799999999</v>
      </c>
      <c r="J5312">
        <v>-350.6857</v>
      </c>
      <c r="K5312">
        <v>1.12201</v>
      </c>
      <c r="L5312">
        <v>17.50198</v>
      </c>
      <c r="M5312">
        <v>0.9998089</v>
      </c>
      <c r="N5312">
        <v>-1.231055E-2</v>
      </c>
      <c r="O5312">
        <v>-1.518531E-2</v>
      </c>
      <c r="P5312">
        <v>0.98276560000000002</v>
      </c>
      <c r="Q5312">
        <v>0.1747668</v>
      </c>
      <c r="R5312">
        <v>-6.0239019999999997E-2</v>
      </c>
      <c r="S5312">
        <v>3.0554809999999999</v>
      </c>
      <c r="T5312">
        <v>-0.16548689999999999</v>
      </c>
      <c r="U5312">
        <v>-0.44717410000000002</v>
      </c>
      <c r="V5312">
        <v>4.4978009999999999E-2</v>
      </c>
      <c r="W5312">
        <v>0.18694179999999999</v>
      </c>
      <c r="X5312">
        <v>0.98134080000000001</v>
      </c>
      <c r="Y5312">
        <v>0.1295499</v>
      </c>
      <c r="Z5312">
        <v>-3.6581890000000001E-3</v>
      </c>
      <c r="AA5312">
        <v>0.99156619999999995</v>
      </c>
      <c r="AB5312">
        <v>32</v>
      </c>
      <c r="AC5312">
        <v>20.436299999999999</v>
      </c>
      <c r="AD5312">
        <v>-1.122015077498</v>
      </c>
      <c r="AE5312">
        <v>-3.0283000000000002</v>
      </c>
      <c r="AF5312">
        <v>2.70960351654346</v>
      </c>
      <c r="AG5312">
        <v>-1.122015077498</v>
      </c>
      <c r="AH5312">
        <v>20.419702933001499</v>
      </c>
      <c r="AI5312">
        <v>93.117831641959995</v>
      </c>
      <c r="AJ5312">
        <v>82.441264164386297</v>
      </c>
      <c r="AK5312">
        <v>20.6292301582736</v>
      </c>
      <c r="AL5312">
        <v>79.225635458470407</v>
      </c>
      <c r="AM5312">
        <v>87.375786381126801</v>
      </c>
      <c r="AN5312">
        <v>1.0000000118577199</v>
      </c>
    </row>
    <row r="5313" spans="1:40" x14ac:dyDescent="0.25">
      <c r="A5313" t="str">
        <f>"20190303162926598"</f>
        <v>20190303162926598</v>
      </c>
      <c r="B5313" t="str">
        <f>"1551601766586854"</f>
        <v>1551601766586854</v>
      </c>
      <c r="C5313" t="s">
        <v>40</v>
      </c>
      <c r="D5313">
        <v>5.0158209999999999</v>
      </c>
      <c r="E5313">
        <v>0.53477849999999905</v>
      </c>
      <c r="F5313" t="s">
        <v>41</v>
      </c>
      <c r="G5313">
        <v>-330.09820000000002</v>
      </c>
      <c r="H5313" s="1">
        <v>-5.143217E-6</v>
      </c>
      <c r="I5313">
        <v>14.468719999999999</v>
      </c>
      <c r="J5313">
        <v>-350.3963</v>
      </c>
      <c r="K5313">
        <v>1.1220019999999999</v>
      </c>
      <c r="L5313">
        <v>17.498379999999901</v>
      </c>
      <c r="M5313">
        <v>0.9998205</v>
      </c>
      <c r="N5313">
        <v>-1.2311849999999999E-2</v>
      </c>
      <c r="O5313">
        <v>-1.44139E-2</v>
      </c>
      <c r="P5313">
        <v>0.98277159999999997</v>
      </c>
      <c r="Q5313">
        <v>0.1740466</v>
      </c>
      <c r="R5313">
        <v>-6.2194939999999997E-2</v>
      </c>
      <c r="S5313">
        <v>3.0546259999999998</v>
      </c>
      <c r="T5313">
        <v>-0.1664765</v>
      </c>
      <c r="U5313">
        <v>-0.45004270000000002</v>
      </c>
      <c r="V5313">
        <v>4.7696139999999998E-2</v>
      </c>
      <c r="W5313">
        <v>0.186227</v>
      </c>
      <c r="X5313">
        <v>0.98134829999999995</v>
      </c>
      <c r="Y5313">
        <v>0.13125989999999901</v>
      </c>
      <c r="Z5313">
        <v>-3.764065E-3</v>
      </c>
      <c r="AA5313">
        <v>0.99134080000000002</v>
      </c>
      <c r="AB5313">
        <v>32</v>
      </c>
      <c r="AC5313">
        <v>20.298099999999899</v>
      </c>
      <c r="AD5313">
        <v>-1.122007143217</v>
      </c>
      <c r="AE5313">
        <v>-3.02965999999999</v>
      </c>
      <c r="AF5313">
        <v>2.7285928163540998</v>
      </c>
      <c r="AG5313">
        <v>-1.122007143217</v>
      </c>
      <c r="AH5313">
        <v>20.279051453933999</v>
      </c>
      <c r="AI5313">
        <v>93.138627425468201</v>
      </c>
      <c r="AJ5313">
        <v>82.336746467802797</v>
      </c>
      <c r="AK5313">
        <v>20.492536364691201</v>
      </c>
      <c r="AL5313">
        <v>79.267321897578299</v>
      </c>
      <c r="AM5313">
        <v>87.217462187726596</v>
      </c>
      <c r="AN5313">
        <v>0.99999995160639299</v>
      </c>
    </row>
    <row r="5314" spans="1:40" x14ac:dyDescent="0.25">
      <c r="A5314" t="str">
        <f>"20190303162926610"</f>
        <v>20190303162926610</v>
      </c>
      <c r="B5314" t="str">
        <f>"1551601766597590"</f>
        <v>1551601766597590</v>
      </c>
      <c r="C5314" t="s">
        <v>40</v>
      </c>
      <c r="D5314">
        <v>5.0374939999999997</v>
      </c>
      <c r="E5314">
        <v>0.53460249999999998</v>
      </c>
      <c r="F5314" t="s">
        <v>41</v>
      </c>
      <c r="G5314">
        <v>-330.084</v>
      </c>
      <c r="H5314" s="1">
        <v>-5.1466890000000001E-6</v>
      </c>
      <c r="I5314">
        <v>14.483510000000001</v>
      </c>
      <c r="J5314">
        <v>-350.22919999999999</v>
      </c>
      <c r="K5314">
        <v>1.1219969999999999</v>
      </c>
      <c r="L5314">
        <v>17.49643</v>
      </c>
      <c r="M5314">
        <v>0.99982669999999996</v>
      </c>
      <c r="N5314">
        <v>-1.2312399999999999E-2</v>
      </c>
      <c r="O5314">
        <v>-1.3968700000000001E-2</v>
      </c>
      <c r="P5314">
        <v>0.98284439999999995</v>
      </c>
      <c r="Q5314">
        <v>0.1735051</v>
      </c>
      <c r="R5314">
        <v>-6.2556269999999997E-2</v>
      </c>
      <c r="S5314">
        <v>3.0537719999999999</v>
      </c>
      <c r="T5314">
        <v>-0.16868379999999999</v>
      </c>
      <c r="U5314">
        <v>-0.45324710000000001</v>
      </c>
      <c r="V5314">
        <v>4.8496459999999998E-2</v>
      </c>
      <c r="W5314">
        <v>0.1856872</v>
      </c>
      <c r="X5314">
        <v>0.98141140000000004</v>
      </c>
      <c r="Y5314">
        <v>0.1327507</v>
      </c>
      <c r="Z5314">
        <v>-3.8705990000000002E-3</v>
      </c>
      <c r="AA5314">
        <v>0.99114190000000002</v>
      </c>
      <c r="AB5314">
        <v>32</v>
      </c>
      <c r="AC5314">
        <v>20.1451999999999</v>
      </c>
      <c r="AD5314">
        <v>-1.122002146689</v>
      </c>
      <c r="AE5314">
        <v>-3.0129199999999998</v>
      </c>
      <c r="AF5314">
        <v>2.72294062094275</v>
      </c>
      <c r="AG5314">
        <v>-1.122002146689</v>
      </c>
      <c r="AH5314">
        <v>20.124263949070599</v>
      </c>
      <c r="AI5314">
        <v>93.162390193615707</v>
      </c>
      <c r="AJ5314">
        <v>82.2943147633178</v>
      </c>
      <c r="AK5314">
        <v>20.338615831324802</v>
      </c>
      <c r="AL5314">
        <v>79.298799602477501</v>
      </c>
      <c r="AM5314">
        <v>87.171029277999295</v>
      </c>
      <c r="AN5314">
        <v>0.99999998946316504</v>
      </c>
    </row>
    <row r="5315" spans="1:40" x14ac:dyDescent="0.25">
      <c r="A5315" t="str">
        <f>"20190303162926621"</f>
        <v>20190303162926621</v>
      </c>
      <c r="B5315" t="str">
        <f>"1551601766607351"</f>
        <v>1551601766607351</v>
      </c>
      <c r="C5315" t="s">
        <v>40</v>
      </c>
      <c r="D5315">
        <v>5.0620820000000002</v>
      </c>
      <c r="E5315">
        <v>0.53440940000000003</v>
      </c>
      <c r="F5315" t="s">
        <v>41</v>
      </c>
      <c r="G5315">
        <v>-330.11250000000001</v>
      </c>
      <c r="H5315" s="1">
        <v>-5.1296589999999997E-6</v>
      </c>
      <c r="I5315">
        <v>14.5108</v>
      </c>
      <c r="J5315">
        <v>-350.06950000000001</v>
      </c>
      <c r="K5315">
        <v>1.1219939999999999</v>
      </c>
      <c r="L5315">
        <v>17.494599999999998</v>
      </c>
      <c r="M5315">
        <v>0.99983259999999996</v>
      </c>
      <c r="N5315">
        <v>-1.231281E-2</v>
      </c>
      <c r="O5315">
        <v>-1.354377E-2</v>
      </c>
      <c r="P5315">
        <v>0.98296479999999997</v>
      </c>
      <c r="Q5315">
        <v>0.17270469999999999</v>
      </c>
      <c r="R5315">
        <v>-6.2876059999999998E-2</v>
      </c>
      <c r="S5315">
        <v>3.0535890000000001</v>
      </c>
      <c r="T5315">
        <v>-0.1703124</v>
      </c>
      <c r="U5315">
        <v>-0.45318599999999998</v>
      </c>
      <c r="V5315">
        <v>4.9235080000000001E-2</v>
      </c>
      <c r="W5315">
        <v>0.1848902</v>
      </c>
      <c r="X5315">
        <v>0.98152510000000004</v>
      </c>
      <c r="Y5315">
        <v>0.1331561</v>
      </c>
      <c r="Z5315">
        <v>-3.930635E-3</v>
      </c>
      <c r="AA5315">
        <v>0.9910873</v>
      </c>
      <c r="AB5315">
        <v>32</v>
      </c>
      <c r="AC5315">
        <v>19.956999999999901</v>
      </c>
      <c r="AD5315">
        <v>-1.1219991296589999</v>
      </c>
      <c r="AE5315">
        <v>-2.9837999999999898</v>
      </c>
      <c r="AF5315">
        <v>2.7048502992391601</v>
      </c>
      <c r="AG5315">
        <v>-1.1219991296589999</v>
      </c>
      <c r="AH5315">
        <v>19.9339549615263</v>
      </c>
      <c r="AI5315">
        <v>93.192347850697999</v>
      </c>
      <c r="AJ5315">
        <v>82.272695584194395</v>
      </c>
      <c r="AK5315">
        <v>20.147894619448699</v>
      </c>
      <c r="AL5315">
        <v>79.345269118143804</v>
      </c>
      <c r="AM5315">
        <v>87.12834668072</v>
      </c>
      <c r="AN5315">
        <v>1.0000000005443199</v>
      </c>
    </row>
    <row r="5316" spans="1:40" x14ac:dyDescent="0.25">
      <c r="A5316" t="str">
        <f>"20190303162926632"</f>
        <v>20190303162926632</v>
      </c>
      <c r="B5316" t="str">
        <f>"1551601766626871"</f>
        <v>1551601766626871</v>
      </c>
      <c r="C5316" t="s">
        <v>40</v>
      </c>
      <c r="D5316">
        <v>5.0139469999999999</v>
      </c>
      <c r="E5316">
        <v>0.53406200000000004</v>
      </c>
      <c r="F5316" t="s">
        <v>41</v>
      </c>
      <c r="G5316">
        <v>-330.20749999999998</v>
      </c>
      <c r="H5316" s="1">
        <v>-5.0821290000000002E-6</v>
      </c>
      <c r="I5316">
        <v>14.548920000000001</v>
      </c>
      <c r="J5316">
        <v>-349.9092</v>
      </c>
      <c r="K5316">
        <v>1.1219939999999999</v>
      </c>
      <c r="L5316">
        <v>17.492889999999999</v>
      </c>
      <c r="M5316">
        <v>0.99983829999999996</v>
      </c>
      <c r="N5316">
        <v>-1.231322E-2</v>
      </c>
      <c r="O5316">
        <v>-1.311644E-2</v>
      </c>
      <c r="P5316">
        <v>0.98306510000000003</v>
      </c>
      <c r="Q5316">
        <v>0.17210159999999999</v>
      </c>
      <c r="R5316">
        <v>-6.2964069999999997E-2</v>
      </c>
      <c r="S5316">
        <v>3.0533450000000002</v>
      </c>
      <c r="T5316">
        <v>-0.1724821</v>
      </c>
      <c r="U5316">
        <v>-0.45281979999999999</v>
      </c>
      <c r="V5316">
        <v>4.9743780000000001E-2</v>
      </c>
      <c r="W5316">
        <v>0.18428939999999999</v>
      </c>
      <c r="X5316">
        <v>0.98161240000000005</v>
      </c>
      <c r="Y5316">
        <v>0.13346839999999999</v>
      </c>
      <c r="Z5316">
        <v>-3.9977789999999999E-3</v>
      </c>
      <c r="AA5316">
        <v>0.99104499999999995</v>
      </c>
      <c r="AB5316">
        <v>32</v>
      </c>
      <c r="AC5316">
        <v>19.701699999999999</v>
      </c>
      <c r="AD5316">
        <v>-1.121999082129</v>
      </c>
      <c r="AE5316">
        <v>-2.94396999999999</v>
      </c>
      <c r="AF5316">
        <v>2.6767891572320099</v>
      </c>
      <c r="AG5316">
        <v>-1.121999082129</v>
      </c>
      <c r="AH5316">
        <v>19.676201582349201</v>
      </c>
      <c r="AI5316">
        <v>93.233927217299197</v>
      </c>
      <c r="AJ5316">
        <v>82.252928627468293</v>
      </c>
      <c r="AK5316">
        <v>19.8891173972555</v>
      </c>
      <c r="AL5316">
        <v>79.380293928585502</v>
      </c>
      <c r="AM5316">
        <v>87.098984592748906</v>
      </c>
      <c r="AN5316">
        <v>0.99999996521740298</v>
      </c>
    </row>
    <row r="5317" spans="1:40" x14ac:dyDescent="0.25">
      <c r="A5317" t="str">
        <f>"20190303162926644"</f>
        <v>20190303162926644</v>
      </c>
      <c r="B5317" t="str">
        <f>"1551601766637607"</f>
        <v>1551601766637607</v>
      </c>
      <c r="C5317" t="s">
        <v>40</v>
      </c>
      <c r="D5317">
        <v>5.0521669999999999</v>
      </c>
      <c r="E5317">
        <v>0.53390490000000002</v>
      </c>
      <c r="F5317" t="s">
        <v>41</v>
      </c>
      <c r="G5317">
        <v>-330.18389999999999</v>
      </c>
      <c r="H5317" s="1">
        <v>-5.0863720000000002E-6</v>
      </c>
      <c r="I5317">
        <v>14.58196</v>
      </c>
      <c r="J5317">
        <v>-349.74509999999998</v>
      </c>
      <c r="K5317">
        <v>1.1219920000000001</v>
      </c>
      <c r="L5317">
        <v>17.49118</v>
      </c>
      <c r="M5317">
        <v>0.99984379999999995</v>
      </c>
      <c r="N5317">
        <v>-1.2313630000000001E-2</v>
      </c>
      <c r="O5317">
        <v>-1.267862E-2</v>
      </c>
      <c r="P5317">
        <v>0.98306729999999998</v>
      </c>
      <c r="Q5317">
        <v>0.1719831</v>
      </c>
      <c r="R5317">
        <v>-6.3250249999999994E-2</v>
      </c>
      <c r="S5317">
        <v>3.053223</v>
      </c>
      <c r="T5317">
        <v>-0.1736712</v>
      </c>
      <c r="U5317">
        <v>-0.4505615</v>
      </c>
      <c r="V5317">
        <v>5.0461659999999998E-2</v>
      </c>
      <c r="W5317">
        <v>0.1841718</v>
      </c>
      <c r="X5317">
        <v>0.98159790000000002</v>
      </c>
      <c r="Y5317">
        <v>0.1331879</v>
      </c>
      <c r="Z5317">
        <v>-4.028495E-3</v>
      </c>
      <c r="AA5317">
        <v>0.99108260000000004</v>
      </c>
      <c r="AB5317">
        <v>32</v>
      </c>
      <c r="AC5317">
        <v>19.5611999999999</v>
      </c>
      <c r="AD5317">
        <v>-1.1219970863719999</v>
      </c>
      <c r="AE5317">
        <v>-2.9092199999999901</v>
      </c>
      <c r="AF5317">
        <v>2.6524207493979501</v>
      </c>
      <c r="AG5317">
        <v>-1.1219970863719999</v>
      </c>
      <c r="AH5317">
        <v>19.533640722463701</v>
      </c>
      <c r="AI5317">
        <v>93.257583172954995</v>
      </c>
      <c r="AJ5317">
        <v>82.267254092073998</v>
      </c>
      <c r="AK5317">
        <v>19.744805219802899</v>
      </c>
      <c r="AL5317">
        <v>79.387149995006396</v>
      </c>
      <c r="AM5317">
        <v>87.057148109177106</v>
      </c>
      <c r="AN5317">
        <v>1.0000000341648001</v>
      </c>
    </row>
    <row r="5318" spans="1:40" x14ac:dyDescent="0.25">
      <c r="A5318" t="str">
        <f>"20190303162926655"</f>
        <v>20190303162926655</v>
      </c>
      <c r="B5318" t="str">
        <f>"1551601766647367"</f>
        <v>1551601766647367</v>
      </c>
      <c r="C5318" t="s">
        <v>40</v>
      </c>
      <c r="D5318">
        <v>5.045509</v>
      </c>
      <c r="E5318">
        <v>0.53377529999999995</v>
      </c>
      <c r="F5318" t="s">
        <v>41</v>
      </c>
      <c r="G5318">
        <v>-330.04289999999997</v>
      </c>
      <c r="H5318" s="1">
        <v>-5.1462099999999998E-6</v>
      </c>
      <c r="I5318">
        <v>14.585739999999999</v>
      </c>
      <c r="J5318">
        <v>-349.58210000000003</v>
      </c>
      <c r="K5318">
        <v>1.1219870000000001</v>
      </c>
      <c r="L5318">
        <v>17.489529999999998</v>
      </c>
      <c r="M5318">
        <v>0.99984930000000005</v>
      </c>
      <c r="N5318">
        <v>-1.2314E-2</v>
      </c>
      <c r="O5318">
        <v>-1.224342E-2</v>
      </c>
      <c r="P5318">
        <v>0.9831434</v>
      </c>
      <c r="Q5318">
        <v>0.17155129999999999</v>
      </c>
      <c r="R5318">
        <v>-6.3242140000000002E-2</v>
      </c>
      <c r="S5318">
        <v>3.053131</v>
      </c>
      <c r="T5318">
        <v>-0.1738693</v>
      </c>
      <c r="U5318">
        <v>-0.45022580000000001</v>
      </c>
      <c r="V5318">
        <v>5.088231E-2</v>
      </c>
      <c r="W5318">
        <v>0.1837415</v>
      </c>
      <c r="X5318">
        <v>0.9816568</v>
      </c>
      <c r="Y5318">
        <v>0.133515299999999</v>
      </c>
      <c r="Z5318">
        <v>-4.0626869999999997E-3</v>
      </c>
      <c r="AA5318">
        <v>0.99103839999999999</v>
      </c>
      <c r="AB5318">
        <v>32</v>
      </c>
      <c r="AC5318">
        <v>19.539200000000001</v>
      </c>
      <c r="AD5318">
        <v>-1.12199214621</v>
      </c>
      <c r="AE5318">
        <v>-2.9037899999999901</v>
      </c>
      <c r="AF5318">
        <v>2.65575980238861</v>
      </c>
      <c r="AG5318">
        <v>-1.12199214621</v>
      </c>
      <c r="AH5318">
        <v>19.510347809195601</v>
      </c>
      <c r="AI5318">
        <v>93.261304829672895</v>
      </c>
      <c r="AJ5318">
        <v>82.248506466444596</v>
      </c>
      <c r="AK5318">
        <v>19.722210782260799</v>
      </c>
      <c r="AL5318">
        <v>79.412232163955096</v>
      </c>
      <c r="AM5318">
        <v>87.032837787940807</v>
      </c>
      <c r="AN5318">
        <v>1.00000001063971</v>
      </c>
    </row>
    <row r="5319" spans="1:40" x14ac:dyDescent="0.25">
      <c r="A5319" t="str">
        <f>"20190303162926666"</f>
        <v>20190303162926666</v>
      </c>
      <c r="B5319" t="str">
        <f>"1551601766657126"</f>
        <v>1551601766657126</v>
      </c>
      <c r="C5319" t="s">
        <v>40</v>
      </c>
      <c r="D5319">
        <v>5.0339919999999996</v>
      </c>
      <c r="E5319">
        <v>0.53370010000000001</v>
      </c>
      <c r="F5319" t="s">
        <v>41</v>
      </c>
      <c r="G5319">
        <v>-329.95280000000002</v>
      </c>
      <c r="H5319" s="1">
        <v>-1.336153E-6</v>
      </c>
      <c r="I5319">
        <v>14.603440000000001</v>
      </c>
      <c r="J5319">
        <v>-349.43369999999999</v>
      </c>
      <c r="K5319">
        <v>1.121985</v>
      </c>
      <c r="L5319">
        <v>17.488099999999999</v>
      </c>
      <c r="M5319">
        <v>0.99985400000000002</v>
      </c>
      <c r="N5319">
        <v>-1.231432E-2</v>
      </c>
      <c r="O5319">
        <v>-1.1846840000000001E-2</v>
      </c>
      <c r="P5319">
        <v>0.98324840000000002</v>
      </c>
      <c r="Q5319">
        <v>0.17098829999999901</v>
      </c>
      <c r="R5319">
        <v>-6.313212E-2</v>
      </c>
      <c r="S5319">
        <v>3.0530089999999999</v>
      </c>
      <c r="T5319">
        <v>-0.17450589999999999</v>
      </c>
      <c r="U5319">
        <v>-0.44888309999999998</v>
      </c>
      <c r="V5319">
        <v>5.1162659999999999E-2</v>
      </c>
      <c r="W5319">
        <v>0.18318039999999999</v>
      </c>
      <c r="X5319">
        <v>0.98174709999999998</v>
      </c>
      <c r="Y5319">
        <v>0.13348550000000001</v>
      </c>
      <c r="Z5319">
        <v>-4.0908259999999997E-3</v>
      </c>
      <c r="AA5319">
        <v>0.99104230000000004</v>
      </c>
      <c r="AB5319">
        <v>32</v>
      </c>
      <c r="AC5319">
        <v>19.480899999999899</v>
      </c>
      <c r="AD5319">
        <v>-1.121986336153</v>
      </c>
      <c r="AE5319">
        <v>-2.8846599999999998</v>
      </c>
      <c r="AF5319">
        <v>2.6450672614463002</v>
      </c>
      <c r="AG5319">
        <v>-1.121986336153</v>
      </c>
      <c r="AH5319">
        <v>19.4505744437656</v>
      </c>
      <c r="AI5319">
        <v>93.2713457799982</v>
      </c>
      <c r="AJ5319">
        <v>82.255899315738105</v>
      </c>
      <c r="AK5319">
        <v>19.661639818401699</v>
      </c>
      <c r="AL5319">
        <v>79.444936033694106</v>
      </c>
      <c r="AM5319">
        <v>87.016792773122802</v>
      </c>
      <c r="AN5319">
        <v>1.00000002254042</v>
      </c>
    </row>
    <row r="5320" spans="1:40" x14ac:dyDescent="0.25">
      <c r="A5320" t="str">
        <f>"20190303162926677"</f>
        <v>20190303162926677</v>
      </c>
      <c r="B5320" t="str">
        <f>"1551601766666887"</f>
        <v>1551601766666887</v>
      </c>
      <c r="C5320" t="s">
        <v>40</v>
      </c>
      <c r="D5320">
        <v>5.0279530000000001</v>
      </c>
      <c r="E5320">
        <v>0.53364100000000003</v>
      </c>
      <c r="F5320" t="s">
        <v>41</v>
      </c>
      <c r="G5320">
        <v>-329.96080000000001</v>
      </c>
      <c r="H5320" s="1">
        <v>-5.1727520000000002E-6</v>
      </c>
      <c r="I5320">
        <v>14.634650000000001</v>
      </c>
      <c r="J5320">
        <v>-349.27359999999999</v>
      </c>
      <c r="K5320">
        <v>1.121983</v>
      </c>
      <c r="L5320">
        <v>17.486629999999899</v>
      </c>
      <c r="M5320">
        <v>0.9998591</v>
      </c>
      <c r="N5320">
        <v>-1.231464E-2</v>
      </c>
      <c r="O5320">
        <v>-1.1418559999999999E-2</v>
      </c>
      <c r="P5320">
        <v>0.98341089999999998</v>
      </c>
      <c r="Q5320">
        <v>0.17003009999999999</v>
      </c>
      <c r="R5320">
        <v>-6.3192170000000006E-2</v>
      </c>
      <c r="S5320">
        <v>3.0530089999999999</v>
      </c>
      <c r="T5320">
        <v>-0.17590799999999901</v>
      </c>
      <c r="U5320">
        <v>-0.44735720000000001</v>
      </c>
      <c r="V5320">
        <v>5.1644240000000001E-2</v>
      </c>
      <c r="W5320">
        <v>0.182225</v>
      </c>
      <c r="X5320">
        <v>0.98189970000000004</v>
      </c>
      <c r="Y5320">
        <v>0.13342119999999999</v>
      </c>
      <c r="Z5320">
        <v>-4.1329950000000004E-3</v>
      </c>
      <c r="AA5320">
        <v>0.99105080000000001</v>
      </c>
      <c r="AB5320">
        <v>32</v>
      </c>
      <c r="AC5320">
        <v>19.3127999999999</v>
      </c>
      <c r="AD5320">
        <v>-1.121988172752</v>
      </c>
      <c r="AE5320">
        <v>-2.85197999999999</v>
      </c>
      <c r="AF5320">
        <v>2.6225903940999502</v>
      </c>
      <c r="AG5320">
        <v>-1.121988172752</v>
      </c>
      <c r="AH5320">
        <v>19.280424217741398</v>
      </c>
      <c r="AI5320">
        <v>93.300142255692606</v>
      </c>
      <c r="AJ5320">
        <v>82.2539685950033</v>
      </c>
      <c r="AK5320">
        <v>19.490294914420598</v>
      </c>
      <c r="AL5320">
        <v>79.500613861718605</v>
      </c>
      <c r="AM5320">
        <v>86.989231229401796</v>
      </c>
      <c r="AN5320">
        <v>1.00000004950513</v>
      </c>
    </row>
    <row r="5321" spans="1:40" x14ac:dyDescent="0.25">
      <c r="A5321" t="str">
        <f>"20190303162926689"</f>
        <v>20190303162926689</v>
      </c>
      <c r="B5321" t="str">
        <f>"1551601766677623"</f>
        <v>1551601766677623</v>
      </c>
      <c r="C5321" t="s">
        <v>40</v>
      </c>
      <c r="D5321">
        <v>5.027075</v>
      </c>
      <c r="E5321">
        <v>0.53358969999999994</v>
      </c>
      <c r="F5321" t="s">
        <v>41</v>
      </c>
      <c r="G5321">
        <v>-330.13470000000001</v>
      </c>
      <c r="H5321" s="1">
        <v>-5.0888810000000002E-6</v>
      </c>
      <c r="I5321">
        <v>14.686959999999999</v>
      </c>
      <c r="J5321">
        <v>-349.11</v>
      </c>
      <c r="K5321">
        <v>1.1219760000000001</v>
      </c>
      <c r="L5321">
        <v>17.485229999999898</v>
      </c>
      <c r="M5321">
        <v>0.99986390000000003</v>
      </c>
      <c r="N5321">
        <v>-1.231494E-2</v>
      </c>
      <c r="O5321">
        <v>-1.0980729999999999E-2</v>
      </c>
      <c r="P5321">
        <v>0.98357989999999995</v>
      </c>
      <c r="Q5321">
        <v>0.1691175</v>
      </c>
      <c r="R5321">
        <v>-6.3008179999999997E-2</v>
      </c>
      <c r="S5321">
        <v>3.0528559999999998</v>
      </c>
      <c r="T5321">
        <v>-0.17896879999999901</v>
      </c>
      <c r="U5321">
        <v>-0.44656370000000001</v>
      </c>
      <c r="V5321">
        <v>5.1891449999999999E-2</v>
      </c>
      <c r="W5321">
        <v>0.1813148</v>
      </c>
      <c r="X5321">
        <v>0.98205509999999996</v>
      </c>
      <c r="Y5321">
        <v>0.13360129999999901</v>
      </c>
      <c r="Z5321">
        <v>-4.2147510000000001E-3</v>
      </c>
      <c r="AA5321">
        <v>0.99102619999999997</v>
      </c>
      <c r="AB5321">
        <v>32</v>
      </c>
      <c r="AC5321">
        <v>18.975300000000001</v>
      </c>
      <c r="AD5321">
        <v>-1.121981088881</v>
      </c>
      <c r="AE5321">
        <v>-2.7982699999999898</v>
      </c>
      <c r="AF5321">
        <v>2.5808916164642302</v>
      </c>
      <c r="AG5321">
        <v>-1.121981088881</v>
      </c>
      <c r="AH5321">
        <v>18.940076665603499</v>
      </c>
      <c r="AI5321">
        <v>93.359180332056098</v>
      </c>
      <c r="AJ5321">
        <v>82.240316785800204</v>
      </c>
      <c r="AK5321">
        <v>19.148011572972301</v>
      </c>
      <c r="AL5321">
        <v>79.553647440211193</v>
      </c>
      <c r="AM5321">
        <v>86.975323835193805</v>
      </c>
      <c r="AN5321">
        <v>0.99999999935907602</v>
      </c>
    </row>
    <row r="5322" spans="1:40" x14ac:dyDescent="0.25">
      <c r="A5322" t="str">
        <f>"20190303162926700"</f>
        <v>20190303162926700</v>
      </c>
      <c r="B5322" t="str">
        <f>"1551601766687384"</f>
        <v>1551601766687384</v>
      </c>
      <c r="C5322" t="s">
        <v>40</v>
      </c>
      <c r="D5322">
        <v>5.0517029999999998</v>
      </c>
      <c r="E5322">
        <v>0.53353879999999998</v>
      </c>
      <c r="F5322" t="s">
        <v>41</v>
      </c>
      <c r="G5322">
        <v>-330.29039999999998</v>
      </c>
      <c r="H5322" s="1">
        <v>-5.0123240000000001E-6</v>
      </c>
      <c r="I5322">
        <v>14.741860000000001</v>
      </c>
      <c r="J5322">
        <v>-348.96080000000001</v>
      </c>
      <c r="K5322">
        <v>1.121972</v>
      </c>
      <c r="L5322">
        <v>17.483979999999999</v>
      </c>
      <c r="M5322">
        <v>0.99986830000000004</v>
      </c>
      <c r="N5322">
        <v>-1.23152E-2</v>
      </c>
      <c r="O5322">
        <v>-1.0581399999999999E-2</v>
      </c>
      <c r="P5322">
        <v>0.98372020000000004</v>
      </c>
      <c r="Q5322">
        <v>0.1682825</v>
      </c>
      <c r="R5322">
        <v>-6.3057630000000003E-2</v>
      </c>
      <c r="S5322">
        <v>3.0528559999999998</v>
      </c>
      <c r="T5322">
        <v>-0.1820041</v>
      </c>
      <c r="U5322">
        <v>-0.44500729999999999</v>
      </c>
      <c r="V5322">
        <v>5.2334079999999998E-2</v>
      </c>
      <c r="W5322">
        <v>0.180482</v>
      </c>
      <c r="X5322">
        <v>0.98218499999999997</v>
      </c>
      <c r="Y5322">
        <v>0.13349420000000001</v>
      </c>
      <c r="Z5322">
        <v>-4.284876E-3</v>
      </c>
      <c r="AA5322">
        <v>0.99104029999999999</v>
      </c>
      <c r="AB5322">
        <v>32</v>
      </c>
      <c r="AC5322">
        <v>18.670400000000001</v>
      </c>
      <c r="AD5322">
        <v>-1.121977012324</v>
      </c>
      <c r="AE5322">
        <v>-2.7421199999999901</v>
      </c>
      <c r="AF5322">
        <v>2.5354297293963302</v>
      </c>
      <c r="AG5322">
        <v>-1.121977012324</v>
      </c>
      <c r="AH5322">
        <v>18.632505920205801</v>
      </c>
      <c r="AI5322">
        <v>93.414575306131994</v>
      </c>
      <c r="AJ5322">
        <v>82.251035670936801</v>
      </c>
      <c r="AK5322">
        <v>18.837662094734402</v>
      </c>
      <c r="AL5322">
        <v>79.602163714768693</v>
      </c>
      <c r="AM5322">
        <v>86.949974781482894</v>
      </c>
      <c r="AN5322">
        <v>0.99999999123922301</v>
      </c>
    </row>
    <row r="5323" spans="1:40" x14ac:dyDescent="0.25">
      <c r="A5323" t="str">
        <f>"20190303162926712"</f>
        <v>20190303162926712</v>
      </c>
      <c r="B5323" t="str">
        <f>"1551601766706904"</f>
        <v>1551601766706904</v>
      </c>
      <c r="C5323" t="s">
        <v>40</v>
      </c>
      <c r="D5323">
        <v>5.0159079999999996</v>
      </c>
      <c r="E5323">
        <v>0.53350909999999996</v>
      </c>
      <c r="F5323" t="s">
        <v>41</v>
      </c>
      <c r="G5323">
        <v>-330.41430000000003</v>
      </c>
      <c r="H5323" s="1">
        <v>-4.9517709999999996E-6</v>
      </c>
      <c r="I5323">
        <v>14.783670000000001</v>
      </c>
      <c r="J5323">
        <v>-348.78309999999999</v>
      </c>
      <c r="K5323">
        <v>1.1219680000000001</v>
      </c>
      <c r="L5323">
        <v>17.482569999999999</v>
      </c>
      <c r="M5323">
        <v>0.99987320000000002</v>
      </c>
      <c r="N5323">
        <v>-1.231552E-2</v>
      </c>
      <c r="O5323">
        <v>-1.010543E-2</v>
      </c>
      <c r="P5323">
        <v>0.98377689999999995</v>
      </c>
      <c r="Q5323">
        <v>0.16791970000000001</v>
      </c>
      <c r="R5323">
        <v>-6.3138100000000003E-2</v>
      </c>
      <c r="S5323">
        <v>3.052765</v>
      </c>
      <c r="T5323">
        <v>-0.18467720000000001</v>
      </c>
      <c r="U5323">
        <v>-0.44445800000000002</v>
      </c>
      <c r="V5323">
        <v>5.2883489999999998E-2</v>
      </c>
      <c r="W5323">
        <v>0.1801208</v>
      </c>
      <c r="X5323">
        <v>0.98222189999999998</v>
      </c>
      <c r="Y5323">
        <v>0.133787299999999</v>
      </c>
      <c r="Z5323">
        <v>-4.3672509999999999E-3</v>
      </c>
      <c r="AA5323">
        <v>0.99100049999999995</v>
      </c>
      <c r="AB5323">
        <v>32</v>
      </c>
      <c r="AC5323">
        <v>18.368799999999901</v>
      </c>
      <c r="AD5323">
        <v>-1.121972951771</v>
      </c>
      <c r="AE5323">
        <v>-2.6989000000000001</v>
      </c>
      <c r="AF5323">
        <v>2.5039790271542302</v>
      </c>
      <c r="AG5323">
        <v>-1.121972951771</v>
      </c>
      <c r="AH5323">
        <v>18.328203452183601</v>
      </c>
      <c r="AI5323">
        <v>93.470865546586793</v>
      </c>
      <c r="AJ5323">
        <v>82.2204758411347</v>
      </c>
      <c r="AK5323">
        <v>18.532451971004001</v>
      </c>
      <c r="AL5323">
        <v>79.623204000724698</v>
      </c>
      <c r="AM5323">
        <v>86.918132188360502</v>
      </c>
      <c r="AN5323">
        <v>1.0000000134734099</v>
      </c>
    </row>
    <row r="5324" spans="1:40" x14ac:dyDescent="0.25">
      <c r="A5324" t="str">
        <f>"20190303162926724"</f>
        <v>20190303162926724</v>
      </c>
      <c r="B5324" t="str">
        <f>"1551601766717640"</f>
        <v>1551601766717640</v>
      </c>
      <c r="C5324" t="s">
        <v>40</v>
      </c>
      <c r="D5324">
        <v>5.0075419999999999</v>
      </c>
      <c r="E5324">
        <v>0.53337419999999902</v>
      </c>
      <c r="F5324" t="s">
        <v>41</v>
      </c>
      <c r="G5324">
        <v>-330.31169999999997</v>
      </c>
      <c r="H5324" s="1">
        <v>-4.9938289999999997E-6</v>
      </c>
      <c r="I5324">
        <v>14.7945799999999</v>
      </c>
      <c r="J5324">
        <v>-348.61009999999999</v>
      </c>
      <c r="K5324">
        <v>1.121964</v>
      </c>
      <c r="L5324">
        <v>17.481259999999999</v>
      </c>
      <c r="M5324">
        <v>0.99987780000000004</v>
      </c>
      <c r="N5324">
        <v>-1.231584E-2</v>
      </c>
      <c r="O5324">
        <v>-9.6426870000000005E-3</v>
      </c>
      <c r="P5324">
        <v>0.98384110000000002</v>
      </c>
      <c r="Q5324">
        <v>0.16748150000000001</v>
      </c>
      <c r="R5324">
        <v>-6.3301750000000004E-2</v>
      </c>
      <c r="S5324">
        <v>3.0526430000000002</v>
      </c>
      <c r="T5324">
        <v>-0.18542149999999999</v>
      </c>
      <c r="U5324">
        <v>-0.44421389999999999</v>
      </c>
      <c r="V5324">
        <v>5.3503120000000001E-2</v>
      </c>
      <c r="W5324">
        <v>0.1796846</v>
      </c>
      <c r="X5324">
        <v>0.98226820000000004</v>
      </c>
      <c r="Y5324">
        <v>0.1341705</v>
      </c>
      <c r="Z5324">
        <v>-4.4173670000000002E-3</v>
      </c>
      <c r="AA5324">
        <v>0.99094839999999995</v>
      </c>
      <c r="AB5324">
        <v>32</v>
      </c>
      <c r="AC5324">
        <v>18.298400000000001</v>
      </c>
      <c r="AD5324">
        <v>-1.1219689938290001</v>
      </c>
      <c r="AE5324">
        <v>-2.68668</v>
      </c>
      <c r="AF5324">
        <v>2.5008921636003301</v>
      </c>
      <c r="AG5324">
        <v>-1.1219689938290001</v>
      </c>
      <c r="AH5324">
        <v>18.256271025009301</v>
      </c>
      <c r="AI5324">
        <v>93.484323044422496</v>
      </c>
      <c r="AJ5324">
        <v>82.199710088945494</v>
      </c>
      <c r="AK5324">
        <v>18.460896721873102</v>
      </c>
      <c r="AL5324">
        <v>79.648610578032802</v>
      </c>
      <c r="AM5324">
        <v>86.882239793830195</v>
      </c>
      <c r="AN5324">
        <v>0.99999997802906604</v>
      </c>
    </row>
    <row r="5325" spans="1:40" x14ac:dyDescent="0.25">
      <c r="A5325" t="str">
        <f>"20190303162926736"</f>
        <v>20190303162926736</v>
      </c>
      <c r="B5325" t="str">
        <f>"1551601766727398"</f>
        <v>1551601766727398</v>
      </c>
      <c r="C5325" t="s">
        <v>40</v>
      </c>
      <c r="D5325">
        <v>5.0275850000000002</v>
      </c>
      <c r="E5325">
        <v>0.53323379999999998</v>
      </c>
      <c r="F5325" t="s">
        <v>41</v>
      </c>
      <c r="G5325">
        <v>-330.25779999999997</v>
      </c>
      <c r="H5325" s="1">
        <v>-5.0132469999999999E-6</v>
      </c>
      <c r="I5325">
        <v>14.815440000000001</v>
      </c>
      <c r="J5325">
        <v>-348.44389999999999</v>
      </c>
      <c r="K5325">
        <v>1.121961</v>
      </c>
      <c r="L5325">
        <v>17.480129999999999</v>
      </c>
      <c r="M5325">
        <v>0.99988189999999999</v>
      </c>
      <c r="N5325">
        <v>-1.2316199999999999E-2</v>
      </c>
      <c r="O5325">
        <v>-9.1987839999999998E-3</v>
      </c>
      <c r="P5325">
        <v>0.9838306</v>
      </c>
      <c r="Q5325">
        <v>0.1674379</v>
      </c>
      <c r="R5325">
        <v>-6.3577099999999998E-2</v>
      </c>
      <c r="S5325">
        <v>3.052521</v>
      </c>
      <c r="T5325">
        <v>-0.1866159</v>
      </c>
      <c r="U5325">
        <v>-0.4433899</v>
      </c>
      <c r="V5325">
        <v>5.4216359999999998E-2</v>
      </c>
      <c r="W5325">
        <v>0.17964189999999999</v>
      </c>
      <c r="X5325">
        <v>0.98223689999999997</v>
      </c>
      <c r="Y5325">
        <v>0.13434989999999999</v>
      </c>
      <c r="Z5325">
        <v>-4.4679819999999997E-3</v>
      </c>
      <c r="AA5325">
        <v>0.99092389999999997</v>
      </c>
      <c r="AB5325">
        <v>32</v>
      </c>
      <c r="AC5325">
        <v>18.1861</v>
      </c>
      <c r="AD5325">
        <v>-1.121966013247</v>
      </c>
      <c r="AE5325">
        <v>-2.6646899999999998</v>
      </c>
      <c r="AF5325">
        <v>2.4880039931043001</v>
      </c>
      <c r="AG5325">
        <v>-1.121966013247</v>
      </c>
      <c r="AH5325">
        <v>18.1422443051915</v>
      </c>
      <c r="AI5325">
        <v>93.506087925547106</v>
      </c>
      <c r="AJ5325">
        <v>82.191240728028703</v>
      </c>
      <c r="AK5325">
        <v>18.346389291461101</v>
      </c>
      <c r="AL5325">
        <v>79.651097563270596</v>
      </c>
      <c r="AM5325">
        <v>86.840660690744897</v>
      </c>
      <c r="AN5325">
        <v>0.99999997682443398</v>
      </c>
    </row>
    <row r="5326" spans="1:40" x14ac:dyDescent="0.25">
      <c r="A5326" t="str">
        <f>"20190303162926757"</f>
        <v>20190303162926757</v>
      </c>
      <c r="B5326" t="str">
        <f>"1551601766746918"</f>
        <v>1551601766746918</v>
      </c>
      <c r="C5326" t="s">
        <v>40</v>
      </c>
      <c r="D5326">
        <v>5.0129679999999999</v>
      </c>
      <c r="E5326">
        <v>0.53313769999999905</v>
      </c>
      <c r="F5326" t="s">
        <v>41</v>
      </c>
      <c r="G5326">
        <v>-330.07960000000003</v>
      </c>
      <c r="H5326" s="1">
        <v>-5.0899969999999997E-6</v>
      </c>
      <c r="I5326">
        <v>14.813929999999999</v>
      </c>
      <c r="J5326">
        <v>-348.15379999999999</v>
      </c>
      <c r="K5326">
        <v>1.121953</v>
      </c>
      <c r="L5326">
        <v>17.478269999999998</v>
      </c>
      <c r="M5326">
        <v>0.99988869999999996</v>
      </c>
      <c r="N5326">
        <v>-1.2316519999999999E-2</v>
      </c>
      <c r="O5326">
        <v>-8.4273290000000008E-3</v>
      </c>
      <c r="P5326">
        <v>0.98379899999999998</v>
      </c>
      <c r="Q5326">
        <v>0.16722790000000001</v>
      </c>
      <c r="R5326">
        <v>-6.4607429999999993E-2</v>
      </c>
      <c r="S5326">
        <v>3.0523989999999999</v>
      </c>
      <c r="T5326">
        <v>-0.18648580000000001</v>
      </c>
      <c r="U5326">
        <v>-0.44314579999999998</v>
      </c>
      <c r="V5326">
        <v>5.6008059999999998E-2</v>
      </c>
      <c r="W5326">
        <v>0.17943410000000001</v>
      </c>
      <c r="X5326">
        <v>0.9821744</v>
      </c>
      <c r="Y5326">
        <v>0.135040299999999</v>
      </c>
      <c r="Z5326">
        <v>-4.5283249999999997E-3</v>
      </c>
      <c r="AA5326">
        <v>0.99082979999999998</v>
      </c>
      <c r="AB5326">
        <v>32</v>
      </c>
      <c r="AC5326">
        <v>18.074199999999902</v>
      </c>
      <c r="AD5326">
        <v>-1.1219580899969901</v>
      </c>
      <c r="AE5326">
        <v>-2.6643400000000002</v>
      </c>
      <c r="AF5326">
        <v>2.5024788302161798</v>
      </c>
      <c r="AG5326">
        <v>-1.1219580899969901</v>
      </c>
      <c r="AH5326">
        <v>18.0280227387635</v>
      </c>
      <c r="AI5326">
        <v>93.527424407992697</v>
      </c>
      <c r="AJ5326">
        <v>82.097243760361593</v>
      </c>
      <c r="AK5326">
        <v>18.235426897135302</v>
      </c>
      <c r="AL5326">
        <v>79.663200792093704</v>
      </c>
      <c r="AM5326">
        <v>86.736268163974998</v>
      </c>
      <c r="AN5326">
        <v>1.00000002552156</v>
      </c>
    </row>
    <row r="5327" spans="1:40" x14ac:dyDescent="0.25">
      <c r="A5327" t="str">
        <f>"20190303162926779"</f>
        <v>20190303162926779</v>
      </c>
      <c r="B5327" t="str">
        <f>"1551601766767415"</f>
        <v>1551601766767415</v>
      </c>
      <c r="C5327" t="s">
        <v>40</v>
      </c>
      <c r="D5327">
        <v>5.0139379999999996</v>
      </c>
      <c r="E5327">
        <v>0.53302919999999998</v>
      </c>
      <c r="F5327" t="s">
        <v>41</v>
      </c>
      <c r="G5327">
        <v>-329.74360000000001</v>
      </c>
      <c r="H5327" s="1">
        <v>-1.3659889999999901E-6</v>
      </c>
      <c r="I5327">
        <v>14.793139999999999</v>
      </c>
      <c r="J5327">
        <v>-347.84980000000002</v>
      </c>
      <c r="K5327">
        <v>1.121947</v>
      </c>
      <c r="L5327">
        <v>17.476559999999999</v>
      </c>
      <c r="M5327">
        <v>0.99989519999999998</v>
      </c>
      <c r="N5327">
        <v>-1.231673E-2</v>
      </c>
      <c r="O5327">
        <v>-7.6291010000000001E-3</v>
      </c>
      <c r="P5327">
        <v>0.98374890000000004</v>
      </c>
      <c r="Q5327">
        <v>0.1669301</v>
      </c>
      <c r="R5327">
        <v>-6.6128499999999896E-2</v>
      </c>
      <c r="S5327">
        <v>3.051758</v>
      </c>
      <c r="T5327">
        <v>-0.18598000000000001</v>
      </c>
      <c r="U5327">
        <v>-0.44509890000000002</v>
      </c>
      <c r="V5327">
        <v>5.8318450000000001E-2</v>
      </c>
      <c r="W5327">
        <v>0.17913850000000001</v>
      </c>
      <c r="X5327">
        <v>0.98209389999999996</v>
      </c>
      <c r="Y5327">
        <v>0.13647889999999999</v>
      </c>
      <c r="Z5327">
        <v>-4.6102729999999998E-3</v>
      </c>
      <c r="AA5327">
        <v>0.99063219999999996</v>
      </c>
      <c r="AB5327">
        <v>32</v>
      </c>
      <c r="AC5327">
        <v>18.106200000000001</v>
      </c>
      <c r="AD5327">
        <v>-1.1219483659889999</v>
      </c>
      <c r="AE5327">
        <v>-2.6834199999999999</v>
      </c>
      <c r="AF5327">
        <v>2.5356705865129601</v>
      </c>
      <c r="AG5327">
        <v>-1.1219483659889999</v>
      </c>
      <c r="AH5327">
        <v>18.0582993948553</v>
      </c>
      <c r="AI5327">
        <v>93.520722637737606</v>
      </c>
      <c r="AJ5327">
        <v>82.007025227503703</v>
      </c>
      <c r="AK5327">
        <v>18.269936247657899</v>
      </c>
      <c r="AL5327">
        <v>79.680416479550999</v>
      </c>
      <c r="AM5327">
        <v>86.601667246136003</v>
      </c>
      <c r="AN5327">
        <v>1.0000000361049299</v>
      </c>
    </row>
    <row r="5328" spans="1:40" x14ac:dyDescent="0.25">
      <c r="A5328" t="str">
        <f>"20190303162926796"</f>
        <v>20190303162926796</v>
      </c>
      <c r="B5328" t="str">
        <f>"1551601766786934"</f>
        <v>1551601766786934</v>
      </c>
      <c r="C5328" t="s">
        <v>40</v>
      </c>
      <c r="D5328">
        <v>5.0181319999999996</v>
      </c>
      <c r="E5328">
        <v>0.53293570000000001</v>
      </c>
      <c r="F5328" t="s">
        <v>41</v>
      </c>
      <c r="G5328">
        <v>-329.42290000000003</v>
      </c>
      <c r="H5328" s="1">
        <v>-1.496592E-6</v>
      </c>
      <c r="I5328">
        <v>14.765180000000001</v>
      </c>
      <c r="J5328">
        <v>-347.61</v>
      </c>
      <c r="K5328">
        <v>1.1219429999999999</v>
      </c>
      <c r="L5328">
        <v>17.4754</v>
      </c>
      <c r="M5328">
        <v>0.99989969999999995</v>
      </c>
      <c r="N5328">
        <v>-1.2316830000000001E-2</v>
      </c>
      <c r="O5328">
        <v>-7.0119759999999996E-3</v>
      </c>
      <c r="P5328">
        <v>0.98370029999999997</v>
      </c>
      <c r="Q5328">
        <v>0.1669793</v>
      </c>
      <c r="R5328">
        <v>-6.6723320000000003E-2</v>
      </c>
      <c r="S5328">
        <v>3.0508730000000002</v>
      </c>
      <c r="T5328">
        <v>-0.1857569</v>
      </c>
      <c r="U5328">
        <v>-0.44891360000000002</v>
      </c>
      <c r="V5328">
        <v>5.9524859999999999E-2</v>
      </c>
      <c r="W5328">
        <v>0.17918779999999901</v>
      </c>
      <c r="X5328">
        <v>0.98201249999999995</v>
      </c>
      <c r="Y5328">
        <v>0.1383395</v>
      </c>
      <c r="Z5328">
        <v>-4.7042660000000004E-3</v>
      </c>
      <c r="AA5328">
        <v>0.99037370000000002</v>
      </c>
      <c r="AB5328">
        <v>32</v>
      </c>
      <c r="AC5328">
        <v>18.187099999999901</v>
      </c>
      <c r="AD5328">
        <v>-1.121944496592</v>
      </c>
      <c r="AE5328">
        <v>-2.7102200000000001</v>
      </c>
      <c r="AF5328">
        <v>2.5730371293661598</v>
      </c>
      <c r="AG5328">
        <v>-1.121944496592</v>
      </c>
      <c r="AH5328">
        <v>18.1381324560083</v>
      </c>
      <c r="AI5328">
        <v>93.504555533104096</v>
      </c>
      <c r="AJ5328">
        <v>81.926013605041007</v>
      </c>
      <c r="AK5328">
        <v>18.3540493764791</v>
      </c>
      <c r="AL5328">
        <v>79.677545103885095</v>
      </c>
      <c r="AM5328">
        <v>86.531250409435003</v>
      </c>
      <c r="AN5328">
        <v>1.0000000133915501</v>
      </c>
    </row>
    <row r="5329" spans="1:40" x14ac:dyDescent="0.25">
      <c r="A5329" t="str">
        <f>"20190303162926812"</f>
        <v>20190303162926812</v>
      </c>
      <c r="B5329" t="str">
        <f>"1551601766807431"</f>
        <v>1551601766807431</v>
      </c>
      <c r="C5329" t="s">
        <v>40</v>
      </c>
      <c r="D5329">
        <v>5.0708299999999999</v>
      </c>
      <c r="E5329">
        <v>0.53281160000000005</v>
      </c>
      <c r="F5329" t="s">
        <v>41</v>
      </c>
      <c r="G5329">
        <v>-328.99169999999998</v>
      </c>
      <c r="H5329" s="1">
        <v>-1.671936E-6</v>
      </c>
      <c r="I5329">
        <v>14.72852</v>
      </c>
      <c r="J5329">
        <v>-347.38909999999998</v>
      </c>
      <c r="K5329">
        <v>1.121929</v>
      </c>
      <c r="L5329">
        <v>17.474429999999899</v>
      </c>
      <c r="M5329">
        <v>0.9999034</v>
      </c>
      <c r="N5329">
        <v>-1.2316850000000001E-2</v>
      </c>
      <c r="O5329">
        <v>-6.4550809999999997E-3</v>
      </c>
      <c r="P5329">
        <v>0.98350649999999995</v>
      </c>
      <c r="Q5329">
        <v>0.16724720000000001</v>
      </c>
      <c r="R5329">
        <v>-6.8875060000000002E-2</v>
      </c>
      <c r="S5329">
        <v>3.0503849999999999</v>
      </c>
      <c r="T5329">
        <v>-0.1838167</v>
      </c>
      <c r="U5329">
        <v>-0.45004270000000002</v>
      </c>
      <c r="V5329">
        <v>6.2230479999999998E-2</v>
      </c>
      <c r="W5329">
        <v>0.1794557</v>
      </c>
      <c r="X5329">
        <v>0.9817958</v>
      </c>
      <c r="Y5329">
        <v>0.1392755</v>
      </c>
      <c r="Z5329">
        <v>-4.7258949999999999E-3</v>
      </c>
      <c r="AA5329">
        <v>0.99024239999999997</v>
      </c>
      <c r="AB5329">
        <v>32</v>
      </c>
      <c r="AC5329">
        <v>18.397400000000001</v>
      </c>
      <c r="AD5329">
        <v>-1.121930671936</v>
      </c>
      <c r="AE5329">
        <v>-2.7459099999999901</v>
      </c>
      <c r="AF5329">
        <v>2.6175646445052698</v>
      </c>
      <c r="AG5329">
        <v>-1.121930671936</v>
      </c>
      <c r="AH5329">
        <v>18.3479949312919</v>
      </c>
      <c r="AI5329">
        <v>93.464138835460602</v>
      </c>
      <c r="AJ5329">
        <v>81.880846034280793</v>
      </c>
      <c r="AK5329">
        <v>18.5676948246008</v>
      </c>
      <c r="AL5329">
        <v>79.661942379666499</v>
      </c>
      <c r="AM5329">
        <v>86.373196552599595</v>
      </c>
      <c r="AN5329">
        <v>0.99999998690058001</v>
      </c>
    </row>
    <row r="5330" spans="1:40" x14ac:dyDescent="0.25">
      <c r="A5330" t="str">
        <f>"20190303162926827"</f>
        <v>20190303162926827</v>
      </c>
      <c r="B5330" t="str">
        <f>"1551601766817190"</f>
        <v>1551601766817190</v>
      </c>
      <c r="C5330" t="s">
        <v>40</v>
      </c>
      <c r="D5330">
        <v>5.0133599999999996</v>
      </c>
      <c r="E5330">
        <v>0.53277079999999999</v>
      </c>
      <c r="F5330" t="s">
        <v>41</v>
      </c>
      <c r="G5330">
        <v>-328.63229999999999</v>
      </c>
      <c r="H5330" s="1">
        <v>-1.825719E-6</v>
      </c>
      <c r="I5330">
        <v>14.669219999999999</v>
      </c>
      <c r="J5330">
        <v>-347.16370000000001</v>
      </c>
      <c r="K5330">
        <v>1.1219129999999999</v>
      </c>
      <c r="L5330">
        <v>17.47354</v>
      </c>
      <c r="M5330">
        <v>0.99990679999999998</v>
      </c>
      <c r="N5330">
        <v>-1.231581E-2</v>
      </c>
      <c r="O5330">
        <v>-5.9004859999999999E-3</v>
      </c>
      <c r="P5330">
        <v>0.98348829999999998</v>
      </c>
      <c r="Q5330">
        <v>0.16706199999999999</v>
      </c>
      <c r="R5330">
        <v>-6.9578860000000006E-2</v>
      </c>
      <c r="S5330">
        <v>3.0493769999999998</v>
      </c>
      <c r="T5330">
        <v>-0.18239749999999999</v>
      </c>
      <c r="U5330">
        <v>-0.45605469999999998</v>
      </c>
      <c r="V5330">
        <v>6.3486879999999996E-2</v>
      </c>
      <c r="W5330">
        <v>0.17926900000000001</v>
      </c>
      <c r="X5330">
        <v>0.98174950000000005</v>
      </c>
      <c r="Y5330">
        <v>0.14177970000000001</v>
      </c>
      <c r="Z5330">
        <v>-4.813543E-3</v>
      </c>
      <c r="AA5330">
        <v>0.9898865</v>
      </c>
      <c r="AB5330">
        <v>32</v>
      </c>
      <c r="AC5330">
        <v>18.531400000000001</v>
      </c>
      <c r="AD5330">
        <v>-1.1219148257189999</v>
      </c>
      <c r="AE5330">
        <v>-2.8043199999999899</v>
      </c>
      <c r="AF5330">
        <v>2.6852966875383402</v>
      </c>
      <c r="AG5330">
        <v>-1.1219148257189999</v>
      </c>
      <c r="AH5330">
        <v>18.481403048191702</v>
      </c>
      <c r="AI5330">
        <v>93.437869715046801</v>
      </c>
      <c r="AJ5330">
        <v>81.732934079171798</v>
      </c>
      <c r="AK5330">
        <v>18.709135998382799</v>
      </c>
      <c r="AL5330">
        <v>79.672816176419403</v>
      </c>
      <c r="AM5330">
        <v>86.300000713653006</v>
      </c>
      <c r="AN5330">
        <v>1.00000001952169</v>
      </c>
    </row>
    <row r="5331" spans="1:40" x14ac:dyDescent="0.25">
      <c r="A5331" t="str">
        <f>"20190303162926846"</f>
        <v>20190303162926846</v>
      </c>
      <c r="B5331" t="str">
        <f>"1551601766837687"</f>
        <v>1551601766837687</v>
      </c>
      <c r="C5331" t="s">
        <v>40</v>
      </c>
      <c r="D5331">
        <v>5.0525640000000003</v>
      </c>
      <c r="E5331">
        <v>0.53277479999999999</v>
      </c>
      <c r="F5331" t="s">
        <v>41</v>
      </c>
      <c r="G5331">
        <v>-328.40339999999998</v>
      </c>
      <c r="H5331" s="1">
        <v>-1.9173599999999998E-6</v>
      </c>
      <c r="I5331">
        <v>14.655189999999999</v>
      </c>
      <c r="J5331">
        <v>-346.9042</v>
      </c>
      <c r="K5331">
        <v>1.121896</v>
      </c>
      <c r="L5331">
        <v>17.472660000000001</v>
      </c>
      <c r="M5331">
        <v>0.99991019999999997</v>
      </c>
      <c r="N5331">
        <v>-1.2311000000000001E-2</v>
      </c>
      <c r="O5331">
        <v>-5.2837250000000004E-3</v>
      </c>
      <c r="P5331">
        <v>0.98349070000000005</v>
      </c>
      <c r="Q5331">
        <v>0.1663625</v>
      </c>
      <c r="R5331">
        <v>-7.1200949999999999E-2</v>
      </c>
      <c r="S5331">
        <v>3.0489199999999999</v>
      </c>
      <c r="T5331">
        <v>-0.18233360000000001</v>
      </c>
      <c r="U5331">
        <v>-0.45803830000000001</v>
      </c>
      <c r="V5331">
        <v>6.5725859999999997E-2</v>
      </c>
      <c r="W5331">
        <v>0.1785648</v>
      </c>
      <c r="X5331">
        <v>0.98173049999999995</v>
      </c>
      <c r="Y5331">
        <v>0.14303850000000001</v>
      </c>
      <c r="Z5331">
        <v>-4.8865380000000002E-3</v>
      </c>
      <c r="AA5331">
        <v>0.98970499999999995</v>
      </c>
      <c r="AB5331">
        <v>32</v>
      </c>
      <c r="AC5331">
        <v>18.500800000000002</v>
      </c>
      <c r="AD5331">
        <v>-1.1218979173600001</v>
      </c>
      <c r="AE5331">
        <v>-2.8174700000000001</v>
      </c>
      <c r="AF5331">
        <v>2.7099308336582499</v>
      </c>
      <c r="AG5331">
        <v>-1.1218979173600001</v>
      </c>
      <c r="AH5331">
        <v>18.449124874256899</v>
      </c>
      <c r="AI5331">
        <v>93.443037298873904</v>
      </c>
      <c r="AJ5331">
        <v>81.6437680246177</v>
      </c>
      <c r="AK5331">
        <v>18.680808030867201</v>
      </c>
      <c r="AL5331">
        <v>79.713825647227296</v>
      </c>
      <c r="AM5331">
        <v>86.169821422702299</v>
      </c>
      <c r="AN5331">
        <v>1.00000002555101</v>
      </c>
    </row>
    <row r="5332" spans="1:40" x14ac:dyDescent="0.25">
      <c r="A5332" t="str">
        <f>"20190303162926859"</f>
        <v>20190303162926859</v>
      </c>
      <c r="B5332" t="str">
        <f>"1551601766847446"</f>
        <v>1551601766847446</v>
      </c>
      <c r="C5332" t="s">
        <v>40</v>
      </c>
      <c r="D5332">
        <v>5.0514049999999999</v>
      </c>
      <c r="E5332">
        <v>0.53277929999999996</v>
      </c>
      <c r="F5332" t="s">
        <v>41</v>
      </c>
      <c r="G5332">
        <v>-328.23989999999998</v>
      </c>
      <c r="H5332" s="1">
        <v>-1.9857100000000002E-6</v>
      </c>
      <c r="I5332">
        <v>14.634230000000001</v>
      </c>
      <c r="J5332">
        <v>-346.72219999999999</v>
      </c>
      <c r="K5332">
        <v>1.121877</v>
      </c>
      <c r="L5332">
        <v>17.472110000000001</v>
      </c>
      <c r="M5332">
        <v>0.99991240000000003</v>
      </c>
      <c r="N5332">
        <v>-1.2305770000000001E-2</v>
      </c>
      <c r="O5332">
        <v>-4.8669309999999997E-3</v>
      </c>
      <c r="P5332">
        <v>0.98352220000000001</v>
      </c>
      <c r="Q5332">
        <v>0.1659881</v>
      </c>
      <c r="R5332">
        <v>-7.1639010000000003E-2</v>
      </c>
      <c r="S5332">
        <v>3.0477910000000001</v>
      </c>
      <c r="T5332">
        <v>-0.18320059999999999</v>
      </c>
      <c r="U5332">
        <v>-0.463501</v>
      </c>
      <c r="V5332">
        <v>6.6581370000000001E-2</v>
      </c>
      <c r="W5332">
        <v>0.1781838</v>
      </c>
      <c r="X5332">
        <v>0.981742</v>
      </c>
      <c r="Y5332">
        <v>0.145231</v>
      </c>
      <c r="Z5332">
        <v>-5.0046830000000002E-3</v>
      </c>
      <c r="AA5332">
        <v>0.98938510000000002</v>
      </c>
      <c r="AB5332">
        <v>32</v>
      </c>
      <c r="AC5332">
        <v>18.482299999999999</v>
      </c>
      <c r="AD5332">
        <v>-1.12187898571</v>
      </c>
      <c r="AE5332">
        <v>-2.8378800000000002</v>
      </c>
      <c r="AF5332">
        <v>2.7380315468676399</v>
      </c>
      <c r="AG5332">
        <v>-1.12187898571</v>
      </c>
      <c r="AH5332">
        <v>18.429554016613501</v>
      </c>
      <c r="AI5332">
        <v>93.445791353184006</v>
      </c>
      <c r="AJ5332">
        <v>81.549525045284</v>
      </c>
      <c r="AK5332">
        <v>18.6655803676578</v>
      </c>
      <c r="AL5332">
        <v>79.736010349968097</v>
      </c>
      <c r="AM5332">
        <v>86.120163128869706</v>
      </c>
      <c r="AN5332">
        <v>0.99999994998875696</v>
      </c>
    </row>
    <row r="5333" spans="1:40" x14ac:dyDescent="0.25">
      <c r="A5333" t="str">
        <f>"20190303162926872"</f>
        <v>20190303162926872</v>
      </c>
      <c r="B5333" t="str">
        <f>"1551601766866966"</f>
        <v>1551601766866966</v>
      </c>
      <c r="C5333" t="s">
        <v>40</v>
      </c>
      <c r="D5333">
        <v>5.0226290000000002</v>
      </c>
      <c r="E5333">
        <v>0.53277549999999996</v>
      </c>
      <c r="F5333" t="s">
        <v>41</v>
      </c>
      <c r="G5333">
        <v>-328.11610000000002</v>
      </c>
      <c r="H5333" s="1">
        <v>-2.0335850000000001E-6</v>
      </c>
      <c r="I5333">
        <v>14.6330299999999</v>
      </c>
      <c r="J5333">
        <v>-346.55669999999998</v>
      </c>
      <c r="K5333">
        <v>1.121858</v>
      </c>
      <c r="L5333">
        <v>17.471679999999999</v>
      </c>
      <c r="M5333">
        <v>0.99991430000000003</v>
      </c>
      <c r="N5333">
        <v>-1.2300760000000001E-2</v>
      </c>
      <c r="O5333">
        <v>-4.4992390000000004E-3</v>
      </c>
      <c r="P5333">
        <v>0.98348100000000005</v>
      </c>
      <c r="Q5333">
        <v>0.16598640000000001</v>
      </c>
      <c r="R5333">
        <v>-7.2205660000000005E-2</v>
      </c>
      <c r="S5333">
        <v>3.0473940000000002</v>
      </c>
      <c r="T5333">
        <v>-0.1837463</v>
      </c>
      <c r="U5333">
        <v>-0.46499629999999997</v>
      </c>
      <c r="V5333">
        <v>6.7516770000000004E-2</v>
      </c>
      <c r="W5333">
        <v>0.17817529999999901</v>
      </c>
      <c r="X5333">
        <v>0.98167969999999904</v>
      </c>
      <c r="Y5333">
        <v>0.14608450000000001</v>
      </c>
      <c r="Z5333">
        <v>-5.065099E-3</v>
      </c>
      <c r="AA5333">
        <v>0.98925909999999995</v>
      </c>
      <c r="AB5333">
        <v>32</v>
      </c>
      <c r="AC5333">
        <v>18.4405999999999</v>
      </c>
      <c r="AD5333">
        <v>-1.121860033585</v>
      </c>
      <c r="AE5333">
        <v>-2.8386499999999999</v>
      </c>
      <c r="AF5333">
        <v>2.74571945360867</v>
      </c>
      <c r="AG5333">
        <v>-1.121860033585</v>
      </c>
      <c r="AH5333">
        <v>18.386710749511099</v>
      </c>
      <c r="AI5333">
        <v>93.453359149987705</v>
      </c>
      <c r="AJ5333">
        <v>81.506684169057493</v>
      </c>
      <c r="AK5333">
        <v>18.6244107944135</v>
      </c>
      <c r="AL5333">
        <v>79.736505725895697</v>
      </c>
      <c r="AM5333">
        <v>86.065576495638098</v>
      </c>
      <c r="AN5333">
        <v>0.99999999257670602</v>
      </c>
    </row>
    <row r="5334" spans="1:40" x14ac:dyDescent="0.25">
      <c r="A5334" t="str">
        <f>"20190303162926884"</f>
        <v>20190303162926884</v>
      </c>
      <c r="B5334" t="str">
        <f>"1551601766877703"</f>
        <v>1551601766877703</v>
      </c>
      <c r="C5334" t="s">
        <v>40</v>
      </c>
      <c r="D5334">
        <v>5.0244</v>
      </c>
      <c r="E5334">
        <v>0.53278499999999995</v>
      </c>
      <c r="F5334" t="s">
        <v>41</v>
      </c>
      <c r="G5334">
        <v>-327.89859999999999</v>
      </c>
      <c r="H5334" s="1">
        <v>-2.1226970000000002E-6</v>
      </c>
      <c r="I5334">
        <v>14.61199</v>
      </c>
      <c r="J5334">
        <v>-346.36169999999998</v>
      </c>
      <c r="K5334">
        <v>1.1218379999999999</v>
      </c>
      <c r="L5334">
        <v>17.471219999999999</v>
      </c>
      <c r="M5334">
        <v>0.99991609999999997</v>
      </c>
      <c r="N5334">
        <v>-1.22947E-2</v>
      </c>
      <c r="O5334">
        <v>-4.0756789999999996E-3</v>
      </c>
      <c r="P5334">
        <v>0.98349770000000003</v>
      </c>
      <c r="Q5334">
        <v>0.16571900000000001</v>
      </c>
      <c r="R5334">
        <v>-7.2590219999999997E-2</v>
      </c>
      <c r="S5334">
        <v>3.0470280000000001</v>
      </c>
      <c r="T5334">
        <v>-0.18320929999999999</v>
      </c>
      <c r="U5334">
        <v>-0.4670105</v>
      </c>
      <c r="V5334">
        <v>6.8326650000000003E-2</v>
      </c>
      <c r="W5334">
        <v>0.17789949999999999</v>
      </c>
      <c r="X5334">
        <v>0.98167369999999998</v>
      </c>
      <c r="Y5334">
        <v>0.14715899999999901</v>
      </c>
      <c r="Z5334">
        <v>-5.1118259999999999E-3</v>
      </c>
      <c r="AA5334">
        <v>0.98909959999999997</v>
      </c>
      <c r="AB5334">
        <v>32</v>
      </c>
      <c r="AC5334">
        <v>18.463100000000001</v>
      </c>
      <c r="AD5334">
        <v>-1.1218401226969901</v>
      </c>
      <c r="AE5334">
        <v>-2.8592300000000002</v>
      </c>
      <c r="AF5334">
        <v>2.7739495359466999</v>
      </c>
      <c r="AG5334">
        <v>-1.1218401226969901</v>
      </c>
      <c r="AH5334">
        <v>18.408230734701799</v>
      </c>
      <c r="AI5334">
        <v>93.4485847384327</v>
      </c>
      <c r="AJ5334">
        <v>81.430533850084203</v>
      </c>
      <c r="AK5334">
        <v>18.649833245122899</v>
      </c>
      <c r="AL5334">
        <v>79.752564623089796</v>
      </c>
      <c r="AM5334">
        <v>86.018508763863906</v>
      </c>
      <c r="AN5334">
        <v>1.00000000823608</v>
      </c>
    </row>
    <row r="5335" spans="1:40" x14ac:dyDescent="0.25">
      <c r="A5335" t="str">
        <f>"20190303162926899"</f>
        <v>20190303162926899</v>
      </c>
      <c r="B5335" t="str">
        <f>"1551601766887463"</f>
        <v>1551601766887463</v>
      </c>
      <c r="C5335" t="s">
        <v>40</v>
      </c>
      <c r="D5335">
        <v>5.0718940000000003</v>
      </c>
      <c r="E5335">
        <v>0.53280360000000004</v>
      </c>
      <c r="F5335" t="s">
        <v>41</v>
      </c>
      <c r="G5335">
        <v>-327.74990000000003</v>
      </c>
      <c r="H5335" s="1">
        <v>-2.18028E-6</v>
      </c>
      <c r="I5335">
        <v>14.610150000000001</v>
      </c>
      <c r="J5335">
        <v>-346.15030000000002</v>
      </c>
      <c r="K5335">
        <v>1.1218170000000001</v>
      </c>
      <c r="L5335">
        <v>17.470829999999999</v>
      </c>
      <c r="M5335">
        <v>0.99991790000000003</v>
      </c>
      <c r="N5335">
        <v>-1.228837E-2</v>
      </c>
      <c r="O5335">
        <v>-3.6402370000000002E-3</v>
      </c>
      <c r="P5335">
        <v>0.98340519999999998</v>
      </c>
      <c r="Q5335">
        <v>0.16585139999999901</v>
      </c>
      <c r="R5335">
        <v>-7.3534840000000004E-2</v>
      </c>
      <c r="S5335">
        <v>3.0467219999999999</v>
      </c>
      <c r="T5335">
        <v>-0.1836438</v>
      </c>
      <c r="U5335">
        <v>-0.46835329999999997</v>
      </c>
      <c r="V5335">
        <v>6.9709069999999998E-2</v>
      </c>
      <c r="W5335">
        <v>0.17802290000000001</v>
      </c>
      <c r="X5335">
        <v>0.98155420000000004</v>
      </c>
      <c r="Y5335">
        <v>0.14802670000000001</v>
      </c>
      <c r="Z5335">
        <v>-5.173558E-3</v>
      </c>
      <c r="AA5335">
        <v>0.98896989999999996</v>
      </c>
      <c r="AB5335">
        <v>32</v>
      </c>
      <c r="AC5335">
        <v>18.400399999999902</v>
      </c>
      <c r="AD5335">
        <v>-1.1218191802799999</v>
      </c>
      <c r="AE5335">
        <v>-2.8606799999999901</v>
      </c>
      <c r="AF5335">
        <v>2.78357184393486</v>
      </c>
      <c r="AG5335">
        <v>-1.1218191802799999</v>
      </c>
      <c r="AH5335">
        <v>18.3441167005398</v>
      </c>
      <c r="AI5335">
        <v>93.460007660965104</v>
      </c>
      <c r="AJ5335">
        <v>81.371649863028694</v>
      </c>
      <c r="AK5335">
        <v>18.587989886123101</v>
      </c>
      <c r="AL5335">
        <v>79.745380351045497</v>
      </c>
      <c r="AM5335">
        <v>85.937727294788601</v>
      </c>
      <c r="AN5335">
        <v>1.0000000774511499</v>
      </c>
    </row>
    <row r="5336" spans="1:40" x14ac:dyDescent="0.25">
      <c r="A5336" t="str">
        <f>"20190303162926911"</f>
        <v>20190303162926911</v>
      </c>
      <c r="B5336" t="str">
        <f>"1551601766906983"</f>
        <v>1551601766906983</v>
      </c>
      <c r="C5336" t="s">
        <v>40</v>
      </c>
      <c r="D5336">
        <v>5.0549660000000003</v>
      </c>
      <c r="E5336">
        <v>0.53270640000000002</v>
      </c>
      <c r="F5336" t="s">
        <v>41</v>
      </c>
      <c r="G5336">
        <v>-327.42360000000002</v>
      </c>
      <c r="H5336" s="1">
        <v>-2.316409E-6</v>
      </c>
      <c r="I5336">
        <v>14.569559999999999</v>
      </c>
      <c r="J5336">
        <v>-345.9846</v>
      </c>
      <c r="K5336">
        <v>1.121801</v>
      </c>
      <c r="L5336">
        <v>17.470549999999999</v>
      </c>
      <c r="M5336">
        <v>0.99991920000000001</v>
      </c>
      <c r="N5336">
        <v>-1.2283540000000001E-2</v>
      </c>
      <c r="O5336">
        <v>-3.3124999999999999E-3</v>
      </c>
      <c r="P5336">
        <v>0.98330960000000001</v>
      </c>
      <c r="Q5336">
        <v>0.16618629999999901</v>
      </c>
      <c r="R5336">
        <v>-7.4057269999999994E-2</v>
      </c>
      <c r="S5336">
        <v>3.0461119999999999</v>
      </c>
      <c r="T5336">
        <v>-0.1824769</v>
      </c>
      <c r="U5336">
        <v>-0.4719238</v>
      </c>
      <c r="V5336">
        <v>7.056105E-2</v>
      </c>
      <c r="W5336">
        <v>0.17834990000000001</v>
      </c>
      <c r="X5336">
        <v>0.98143389999999997</v>
      </c>
      <c r="Y5336">
        <v>0.1495127</v>
      </c>
      <c r="Z5336">
        <v>-5.2158739999999997E-3</v>
      </c>
      <c r="AA5336">
        <v>0.98874600000000001</v>
      </c>
      <c r="AB5336">
        <v>32</v>
      </c>
      <c r="AC5336">
        <v>18.5609999999999</v>
      </c>
      <c r="AD5336">
        <v>-1.121803316409</v>
      </c>
      <c r="AE5336">
        <v>-2.90098999999999</v>
      </c>
      <c r="AF5336">
        <v>2.8293972541086299</v>
      </c>
      <c r="AG5336">
        <v>-1.121803316409</v>
      </c>
      <c r="AH5336">
        <v>18.504526146416801</v>
      </c>
      <c r="AI5336">
        <v>93.429446175198393</v>
      </c>
      <c r="AJ5336">
        <v>81.306635420143394</v>
      </c>
      <c r="AK5336">
        <v>18.7531709160261</v>
      </c>
      <c r="AL5336">
        <v>79.7263393722708</v>
      </c>
      <c r="AM5336">
        <v>85.8877454370935</v>
      </c>
      <c r="AN5336">
        <v>1.0000000243381599</v>
      </c>
    </row>
    <row r="5337" spans="1:40" x14ac:dyDescent="0.25">
      <c r="A5337" t="str">
        <f>"20190303162926924"</f>
        <v>20190303162926924</v>
      </c>
      <c r="B5337" t="str">
        <f>"1551601766917720"</f>
        <v>1551601766917720</v>
      </c>
      <c r="C5337" t="s">
        <v>40</v>
      </c>
      <c r="D5337">
        <v>5.0668680000000004</v>
      </c>
      <c r="E5337">
        <v>0.53273169999999903</v>
      </c>
      <c r="F5337" t="s">
        <v>41</v>
      </c>
      <c r="G5337">
        <v>-327.10359999999997</v>
      </c>
      <c r="H5337" s="1">
        <v>-2.4467659999999999E-6</v>
      </c>
      <c r="I5337">
        <v>14.541429999999901</v>
      </c>
      <c r="J5337">
        <v>-345.79390000000001</v>
      </c>
      <c r="K5337">
        <v>1.1217779999999999</v>
      </c>
      <c r="L5337">
        <v>17.470310000000001</v>
      </c>
      <c r="M5337">
        <v>0.99992029999999998</v>
      </c>
      <c r="N5337">
        <v>-1.227806E-2</v>
      </c>
      <c r="O5337">
        <v>-2.9443799999999999E-3</v>
      </c>
      <c r="P5337">
        <v>0.98323700000000003</v>
      </c>
      <c r="Q5337">
        <v>0.16645179999999901</v>
      </c>
      <c r="R5337">
        <v>-7.4424530000000003E-2</v>
      </c>
      <c r="S5337">
        <v>3.0459290000000001</v>
      </c>
      <c r="T5337">
        <v>-0.18097250000000001</v>
      </c>
      <c r="U5337">
        <v>-0.47253420000000002</v>
      </c>
      <c r="V5337">
        <v>7.1298440000000005E-2</v>
      </c>
      <c r="W5337">
        <v>0.1786066</v>
      </c>
      <c r="X5337">
        <v>0.98133389999999998</v>
      </c>
      <c r="Y5337">
        <v>0.150082299999999</v>
      </c>
      <c r="Z5337">
        <v>-5.2181999999999897E-3</v>
      </c>
      <c r="AA5337">
        <v>0.98865970000000003</v>
      </c>
      <c r="AB5337">
        <v>32</v>
      </c>
      <c r="AC5337">
        <v>18.690300000000001</v>
      </c>
      <c r="AD5337">
        <v>-1.121780446766</v>
      </c>
      <c r="AE5337">
        <v>-2.9288799999999999</v>
      </c>
      <c r="AF5337">
        <v>2.8637628580342702</v>
      </c>
      <c r="AG5337">
        <v>-1.121780446766</v>
      </c>
      <c r="AH5337">
        <v>18.633328827745999</v>
      </c>
      <c r="AI5337">
        <v>93.405326226012704</v>
      </c>
      <c r="AJ5337">
        <v>81.262558355404593</v>
      </c>
      <c r="AK5337">
        <v>18.8854566341594</v>
      </c>
      <c r="AL5337">
        <v>79.711391332035404</v>
      </c>
      <c r="AM5337">
        <v>85.844498613760607</v>
      </c>
      <c r="AN5337">
        <v>1.0000000041996</v>
      </c>
    </row>
    <row r="5338" spans="1:40" x14ac:dyDescent="0.25">
      <c r="A5338" t="str">
        <f>"20190303162926936"</f>
        <v>20190303162926936</v>
      </c>
      <c r="B5338" t="str">
        <f>"1551601766927479"</f>
        <v>1551601766927479</v>
      </c>
      <c r="C5338" t="s">
        <v>40</v>
      </c>
      <c r="D5338">
        <v>5.0653300000000003</v>
      </c>
      <c r="E5338">
        <v>0.53275220000000001</v>
      </c>
      <c r="F5338" t="s">
        <v>41</v>
      </c>
      <c r="G5338">
        <v>-326.77050000000003</v>
      </c>
      <c r="H5338" s="1">
        <v>-2.5825109999999999E-6</v>
      </c>
      <c r="I5338">
        <v>14.511990000000001</v>
      </c>
      <c r="J5338">
        <v>-345.62979999999999</v>
      </c>
      <c r="K5338">
        <v>1.121764</v>
      </c>
      <c r="L5338">
        <v>17.47015</v>
      </c>
      <c r="M5338">
        <v>0.99992110000000001</v>
      </c>
      <c r="N5338">
        <v>-1.227353E-2</v>
      </c>
      <c r="O5338">
        <v>-2.642737E-3</v>
      </c>
      <c r="P5338">
        <v>0.98316440000000005</v>
      </c>
      <c r="Q5338">
        <v>0.16666320000000001</v>
      </c>
      <c r="R5338">
        <v>-7.4908390000000005E-2</v>
      </c>
      <c r="S5338">
        <v>3.0456850000000002</v>
      </c>
      <c r="T5338">
        <v>-0.1795995</v>
      </c>
      <c r="U5338">
        <v>-0.47363280000000002</v>
      </c>
      <c r="V5338">
        <v>7.2085689999999994E-2</v>
      </c>
      <c r="W5338">
        <v>0.17881059999999999</v>
      </c>
      <c r="X5338">
        <v>0.98123919999999998</v>
      </c>
      <c r="Y5338">
        <v>0.1507433</v>
      </c>
      <c r="Z5338">
        <v>-5.2232820000000001E-3</v>
      </c>
      <c r="AA5338">
        <v>0.98855910000000002</v>
      </c>
      <c r="AB5338">
        <v>32</v>
      </c>
      <c r="AC5338">
        <v>18.859299999999902</v>
      </c>
      <c r="AD5338">
        <v>-1.1217665825109999</v>
      </c>
      <c r="AE5338">
        <v>-2.9581599999999999</v>
      </c>
      <c r="AF5338">
        <v>2.8982978814330398</v>
      </c>
      <c r="AG5338">
        <v>-1.1217665825109999</v>
      </c>
      <c r="AH5338">
        <v>18.802128378945</v>
      </c>
      <c r="AI5338">
        <v>93.374552317055802</v>
      </c>
      <c r="AJ5338">
        <v>81.2369813832386</v>
      </c>
      <c r="AK5338">
        <v>19.0572433067715</v>
      </c>
      <c r="AL5338">
        <v>79.699511426049796</v>
      </c>
      <c r="AM5338">
        <v>85.798374547604496</v>
      </c>
      <c r="AN5338">
        <v>0.99999997249588701</v>
      </c>
    </row>
    <row r="5339" spans="1:40" x14ac:dyDescent="0.25">
      <c r="A5339" t="str">
        <f>"20190303162926946"</f>
        <v>20190303162926946</v>
      </c>
      <c r="B5339" t="str">
        <f>"1551601766937239"</f>
        <v>1551601766937239</v>
      </c>
      <c r="C5339" t="s">
        <v>40</v>
      </c>
      <c r="D5339">
        <v>5.066414</v>
      </c>
      <c r="E5339">
        <v>0.53272900000000001</v>
      </c>
      <c r="F5339" t="s">
        <v>41</v>
      </c>
      <c r="G5339">
        <v>-326.50420000000003</v>
      </c>
      <c r="H5339" s="1">
        <v>-2.690725E-6</v>
      </c>
      <c r="I5339">
        <v>14.48964</v>
      </c>
      <c r="J5339">
        <v>-345.48099999999999</v>
      </c>
      <c r="K5339">
        <v>1.12175</v>
      </c>
      <c r="L5339">
        <v>17.470029999999898</v>
      </c>
      <c r="M5339">
        <v>0.99992190000000003</v>
      </c>
      <c r="N5339">
        <v>-1.2269510000000001E-2</v>
      </c>
      <c r="O5339">
        <v>-2.374326E-3</v>
      </c>
      <c r="P5339">
        <v>0.98307029999999995</v>
      </c>
      <c r="Q5339">
        <v>0.16691879999999901</v>
      </c>
      <c r="R5339">
        <v>-7.557324E-2</v>
      </c>
      <c r="S5339">
        <v>3.0455019999999999</v>
      </c>
      <c r="T5339">
        <v>-0.17862729999999999</v>
      </c>
      <c r="U5339">
        <v>-0.47460940000000001</v>
      </c>
      <c r="V5339">
        <v>7.3020150000000006E-2</v>
      </c>
      <c r="W5339">
        <v>0.17905929999999901</v>
      </c>
      <c r="X5339">
        <v>0.98112480000000002</v>
      </c>
      <c r="Y5339">
        <v>0.15132860000000001</v>
      </c>
      <c r="Z5339">
        <v>-5.2331349999999999E-3</v>
      </c>
      <c r="AA5339">
        <v>0.98846970000000001</v>
      </c>
      <c r="AB5339">
        <v>32</v>
      </c>
      <c r="AC5339">
        <v>18.976799999999901</v>
      </c>
      <c r="AD5339">
        <v>-1.1217526907249999</v>
      </c>
      <c r="AE5339">
        <v>-2.9803899999999901</v>
      </c>
      <c r="AF5339">
        <v>2.9253454031813502</v>
      </c>
      <c r="AG5339">
        <v>-1.1217526907249999</v>
      </c>
      <c r="AH5339">
        <v>18.9193069014702</v>
      </c>
      <c r="AI5339">
        <v>93.353418524132806</v>
      </c>
      <c r="AJ5339">
        <v>81.210405095485498</v>
      </c>
      <c r="AK5339">
        <v>19.1769692198502</v>
      </c>
      <c r="AL5339">
        <v>79.685028758565906</v>
      </c>
      <c r="AM5339">
        <v>85.743612539081596</v>
      </c>
      <c r="AN5339">
        <v>1.0000000241987701</v>
      </c>
    </row>
    <row r="5340" spans="1:40" x14ac:dyDescent="0.25">
      <c r="A5340" t="str">
        <f>"20190303162926959"</f>
        <v>20190303162926959</v>
      </c>
      <c r="B5340" t="str">
        <f>"1551601766946999"</f>
        <v>1551601766946999</v>
      </c>
      <c r="C5340" t="s">
        <v>40</v>
      </c>
      <c r="D5340">
        <v>5.064762</v>
      </c>
      <c r="E5340">
        <v>0.53273749999999997</v>
      </c>
      <c r="F5340" t="s">
        <v>41</v>
      </c>
      <c r="G5340">
        <v>-326.28530000000001</v>
      </c>
      <c r="H5340" s="1">
        <v>-2.7800410000000001E-6</v>
      </c>
      <c r="I5340">
        <v>14.4698799999999</v>
      </c>
      <c r="J5340">
        <v>-345.30309999999997</v>
      </c>
      <c r="K5340">
        <v>1.121739</v>
      </c>
      <c r="L5340">
        <v>17.469909999999999</v>
      </c>
      <c r="M5340">
        <v>0.9999228</v>
      </c>
      <c r="N5340">
        <v>-1.2264870000000001E-2</v>
      </c>
      <c r="O5340">
        <v>-2.0624200000000001E-3</v>
      </c>
      <c r="P5340">
        <v>0.98305279999999995</v>
      </c>
      <c r="Q5340">
        <v>0.16685079999999999</v>
      </c>
      <c r="R5340">
        <v>-7.5949630000000004E-2</v>
      </c>
      <c r="S5340">
        <v>3.045258</v>
      </c>
      <c r="T5340">
        <v>-0.1779578</v>
      </c>
      <c r="U5340">
        <v>-0.47595209999999999</v>
      </c>
      <c r="V5340">
        <v>7.3709789999999997E-2</v>
      </c>
      <c r="W5340">
        <v>0.17898420000000001</v>
      </c>
      <c r="X5340">
        <v>0.98108689999999998</v>
      </c>
      <c r="Y5340">
        <v>0.15207470000000001</v>
      </c>
      <c r="Z5340">
        <v>-5.2575709999999999E-3</v>
      </c>
      <c r="AA5340">
        <v>0.98835499999999998</v>
      </c>
      <c r="AB5340">
        <v>32</v>
      </c>
      <c r="AC5340">
        <v>19.017799999999902</v>
      </c>
      <c r="AD5340">
        <v>-1.1217417800409999</v>
      </c>
      <c r="AE5340">
        <v>-3.0000300000000002</v>
      </c>
      <c r="AF5340">
        <v>2.9507812223792902</v>
      </c>
      <c r="AG5340">
        <v>-1.1217417800409999</v>
      </c>
      <c r="AH5340">
        <v>18.959586872963801</v>
      </c>
      <c r="AI5340">
        <v>93.345765530507506</v>
      </c>
      <c r="AJ5340">
        <v>81.153723737562501</v>
      </c>
      <c r="AK5340">
        <v>19.220596994809998</v>
      </c>
      <c r="AL5340">
        <v>79.689401981718802</v>
      </c>
      <c r="AM5340">
        <v>85.703397492082601</v>
      </c>
      <c r="AN5340">
        <v>0.99999999117154603</v>
      </c>
    </row>
    <row r="5341" spans="1:40" x14ac:dyDescent="0.25">
      <c r="A5341" t="str">
        <f>"20190303162926972"</f>
        <v>20190303162926972</v>
      </c>
      <c r="B5341" t="str">
        <f>"1551601766956759"</f>
        <v>1551601766956759</v>
      </c>
      <c r="C5341" t="s">
        <v>40</v>
      </c>
      <c r="D5341">
        <v>5.0664579999999999</v>
      </c>
      <c r="E5341">
        <v>0.53274030000000006</v>
      </c>
      <c r="F5341" t="s">
        <v>41</v>
      </c>
      <c r="G5341">
        <v>-326.10509999999999</v>
      </c>
      <c r="H5341" s="1">
        <v>-2.8506919999999999E-6</v>
      </c>
      <c r="I5341">
        <v>14.464410000000001</v>
      </c>
      <c r="J5341">
        <v>-345.13529999999997</v>
      </c>
      <c r="K5341">
        <v>1.1217269999999999</v>
      </c>
      <c r="L5341">
        <v>17.46988</v>
      </c>
      <c r="M5341">
        <v>0.99992329999999996</v>
      </c>
      <c r="N5341">
        <v>-1.2260739999999999E-2</v>
      </c>
      <c r="O5341">
        <v>-1.7757490000000001E-3</v>
      </c>
      <c r="P5341">
        <v>0.98300469999999895</v>
      </c>
      <c r="Q5341">
        <v>0.16700039999999999</v>
      </c>
      <c r="R5341">
        <v>-7.6242770000000001E-2</v>
      </c>
      <c r="S5341">
        <v>3.0450740000000001</v>
      </c>
      <c r="T5341">
        <v>-0.17792450000000001</v>
      </c>
      <c r="U5341">
        <v>-0.4767151</v>
      </c>
      <c r="V5341">
        <v>7.4289930000000004E-2</v>
      </c>
      <c r="W5341">
        <v>0.17912819999999999</v>
      </c>
      <c r="X5341">
        <v>0.98101689999999997</v>
      </c>
      <c r="Y5341">
        <v>0.15260750000000001</v>
      </c>
      <c r="Z5341">
        <v>-5.2885249999999996E-3</v>
      </c>
      <c r="AA5341">
        <v>0.9882727</v>
      </c>
      <c r="AB5341">
        <v>32</v>
      </c>
      <c r="AC5341">
        <v>19.030199999999901</v>
      </c>
      <c r="AD5341">
        <v>-1.1217298506919999</v>
      </c>
      <c r="AE5341">
        <v>-3.0054699999999901</v>
      </c>
      <c r="AF5341">
        <v>2.96163015218273</v>
      </c>
      <c r="AG5341">
        <v>-1.1217298506919999</v>
      </c>
      <c r="AH5341">
        <v>18.971196375134301</v>
      </c>
      <c r="AI5341">
        <v>93.343445283491903</v>
      </c>
      <c r="AJ5341">
        <v>81.127063096481194</v>
      </c>
      <c r="AK5341">
        <v>19.233715785571999</v>
      </c>
      <c r="AL5341">
        <v>79.681016284976494</v>
      </c>
      <c r="AM5341">
        <v>85.669400986262104</v>
      </c>
      <c r="AN5341">
        <v>1.0000000319101201</v>
      </c>
    </row>
    <row r="5342" spans="1:40" x14ac:dyDescent="0.25">
      <c r="A5342" t="str">
        <f>"20190303162927005"</f>
        <v>20190303162927005</v>
      </c>
      <c r="B5342" t="str">
        <f>"1551601766996774"</f>
        <v>1551601766996774</v>
      </c>
      <c r="C5342" t="s">
        <v>40</v>
      </c>
      <c r="D5342">
        <v>5.236281</v>
      </c>
      <c r="E5342">
        <v>0.50231320000000002</v>
      </c>
      <c r="F5342" t="s">
        <v>41</v>
      </c>
      <c r="G5342">
        <v>-325.88159999999999</v>
      </c>
      <c r="H5342" s="1">
        <v>-2.9398720000000001E-6</v>
      </c>
      <c r="I5342">
        <v>14.451890000000001</v>
      </c>
      <c r="J5342">
        <v>-344.6678</v>
      </c>
      <c r="K5342">
        <v>1.121705</v>
      </c>
      <c r="L5342">
        <v>17.469940000000001</v>
      </c>
      <c r="M5342">
        <v>0.99992449999999999</v>
      </c>
      <c r="N5342">
        <v>-1.225029E-2</v>
      </c>
      <c r="O5342">
        <v>-9.9893240000000004E-4</v>
      </c>
      <c r="P5342">
        <v>0.98287480000000005</v>
      </c>
      <c r="Q5342">
        <v>0.1673171</v>
      </c>
      <c r="R5342">
        <v>-7.7217889999999997E-2</v>
      </c>
      <c r="S5342">
        <v>3.0449830000000002</v>
      </c>
      <c r="T5342">
        <v>-0.1774017</v>
      </c>
      <c r="U5342">
        <v>-0.47729490000000002</v>
      </c>
      <c r="V5342">
        <v>7.6039209999999996E-2</v>
      </c>
      <c r="W5342">
        <v>0.17942939999999999</v>
      </c>
      <c r="X5342">
        <v>0.98082780000000003</v>
      </c>
      <c r="Y5342">
        <v>0.15356239999999999</v>
      </c>
      <c r="Z5342">
        <v>-5.3440939999999998E-3</v>
      </c>
      <c r="AA5342">
        <v>0.98812449999999996</v>
      </c>
      <c r="AB5342">
        <v>32</v>
      </c>
      <c r="AC5342">
        <v>18.786200000000001</v>
      </c>
      <c r="AD5342">
        <v>-1.121707939872</v>
      </c>
      <c r="AE5342">
        <v>-3.0180500000000001</v>
      </c>
      <c r="AF5342">
        <v>2.9888930969233201</v>
      </c>
      <c r="AG5342">
        <v>-1.121707939872</v>
      </c>
      <c r="AH5342">
        <v>18.724130292724102</v>
      </c>
      <c r="AI5342">
        <v>93.385564453921901</v>
      </c>
      <c r="AJ5342">
        <v>80.930513377182095</v>
      </c>
      <c r="AK5342">
        <v>18.9943350993425</v>
      </c>
      <c r="AL5342">
        <v>79.663474489554901</v>
      </c>
      <c r="AM5342">
        <v>85.566980389386501</v>
      </c>
      <c r="AN5342">
        <v>1.00000002214731</v>
      </c>
    </row>
    <row r="5343" spans="1:40" x14ac:dyDescent="0.25">
      <c r="A5343" t="str">
        <f>"20190303162927015"</f>
        <v>20190303162927015</v>
      </c>
      <c r="B5343" t="str">
        <f>"1551601767007510"</f>
        <v>1551601767007510</v>
      </c>
      <c r="C5343" t="s">
        <v>40</v>
      </c>
      <c r="D5343">
        <v>5.3003629999999999</v>
      </c>
      <c r="E5343">
        <v>0.4978011</v>
      </c>
      <c r="F5343" t="s">
        <v>42</v>
      </c>
      <c r="G5343">
        <v>-316.77510000000001</v>
      </c>
      <c r="H5343">
        <v>-0.05</v>
      </c>
      <c r="I5343">
        <v>15.293839999999999</v>
      </c>
      <c r="J5343">
        <v>-344.50889999999998</v>
      </c>
      <c r="K5343">
        <v>1.1216900000000001</v>
      </c>
      <c r="L5343">
        <v>17.470089999999999</v>
      </c>
      <c r="M5343">
        <v>0.99992479999999995</v>
      </c>
      <c r="N5343">
        <v>-1.224716E-2</v>
      </c>
      <c r="O5343">
        <v>-7.4114769999999996E-4</v>
      </c>
      <c r="P5343">
        <v>0.98282219999999998</v>
      </c>
      <c r="Q5343">
        <v>0.1674129</v>
      </c>
      <c r="R5343">
        <v>-7.7674820000000006E-2</v>
      </c>
      <c r="S5343">
        <v>3.0553889999999999</v>
      </c>
      <c r="T5343">
        <v>-0.1283494</v>
      </c>
      <c r="U5343">
        <v>-0.2383728</v>
      </c>
      <c r="V5343">
        <v>7.6752020000000004E-2</v>
      </c>
      <c r="W5343">
        <v>0.17952089999999901</v>
      </c>
      <c r="X5343">
        <v>0.9807555</v>
      </c>
      <c r="Y5343">
        <v>7.6954910000000001E-2</v>
      </c>
      <c r="Z5343">
        <v>-2.0634109999999998E-3</v>
      </c>
      <c r="AA5343">
        <v>0.99703249999999999</v>
      </c>
      <c r="AB5343">
        <v>32</v>
      </c>
      <c r="AC5343">
        <v>27.733799999999899</v>
      </c>
      <c r="AD5343">
        <v>-1.1716899999999999</v>
      </c>
      <c r="AE5343">
        <v>-2.17625</v>
      </c>
      <c r="AF5343">
        <v>2.15187570547993</v>
      </c>
      <c r="AG5343">
        <v>-1.1716899999999999</v>
      </c>
      <c r="AH5343">
        <v>27.686291398935602</v>
      </c>
      <c r="AI5343">
        <v>92.416046139112495</v>
      </c>
      <c r="AJ5343">
        <v>85.555705865361105</v>
      </c>
      <c r="AK5343">
        <v>27.794498699107901</v>
      </c>
      <c r="AL5343">
        <v>79.658145042334397</v>
      </c>
      <c r="AM5343">
        <v>85.525263650587902</v>
      </c>
      <c r="AN5343">
        <v>0.99999998844557003</v>
      </c>
    </row>
    <row r="5344" spans="1:40" x14ac:dyDescent="0.25">
      <c r="A5344" t="str">
        <f>"20190303162927027"</f>
        <v>20190303162927027</v>
      </c>
      <c r="B5344" t="str">
        <f>"1551601767017271"</f>
        <v>1551601767017271</v>
      </c>
      <c r="C5344" t="s">
        <v>40</v>
      </c>
      <c r="D5344">
        <v>5.2362349999999998</v>
      </c>
      <c r="E5344">
        <v>0.4953301</v>
      </c>
      <c r="F5344" t="s">
        <v>42</v>
      </c>
      <c r="G5344">
        <v>-312.29020000000003</v>
      </c>
      <c r="H5344">
        <v>-0.05</v>
      </c>
      <c r="I5344">
        <v>15.32103</v>
      </c>
      <c r="J5344">
        <v>-344.35449999999997</v>
      </c>
      <c r="K5344">
        <v>1.121683</v>
      </c>
      <c r="L5344">
        <v>17.470210000000002</v>
      </c>
      <c r="M5344">
        <v>0.99992499999999995</v>
      </c>
      <c r="N5344">
        <v>-1.224424E-2</v>
      </c>
      <c r="O5344">
        <v>-4.9145949999999895E-4</v>
      </c>
      <c r="P5344">
        <v>0.98274740000000005</v>
      </c>
      <c r="Q5344">
        <v>0.1674706</v>
      </c>
      <c r="R5344">
        <v>-7.8495289999999995E-2</v>
      </c>
      <c r="S5344">
        <v>3.0552980000000001</v>
      </c>
      <c r="T5344">
        <v>-0.111111</v>
      </c>
      <c r="U5344">
        <v>-0.20379639999999999</v>
      </c>
      <c r="V5344">
        <v>7.7819840000000001E-2</v>
      </c>
      <c r="W5344">
        <v>0.17957479999999901</v>
      </c>
      <c r="X5344">
        <v>0.98066149999999996</v>
      </c>
      <c r="Y5344">
        <v>6.6006330000000002E-2</v>
      </c>
      <c r="Z5344">
        <v>-1.5913920000000001E-3</v>
      </c>
      <c r="AA5344">
        <v>0.99781790000000004</v>
      </c>
      <c r="AB5344">
        <v>32</v>
      </c>
      <c r="AC5344">
        <v>32.064299999999903</v>
      </c>
      <c r="AD5344">
        <v>-1.171683</v>
      </c>
      <c r="AE5344">
        <v>-2.1491799999999999</v>
      </c>
      <c r="AF5344">
        <v>2.1305880194302498</v>
      </c>
      <c r="AG5344">
        <v>-1.171683</v>
      </c>
      <c r="AH5344">
        <v>32.0227838718287</v>
      </c>
      <c r="AI5344">
        <v>92.090844387909399</v>
      </c>
      <c r="AJ5344">
        <v>86.193521130962793</v>
      </c>
      <c r="AK5344">
        <v>32.114964319813303</v>
      </c>
      <c r="AL5344">
        <v>79.655005977863496</v>
      </c>
      <c r="AM5344">
        <v>85.462833509301205</v>
      </c>
      <c r="AN5344">
        <v>1.0000000069374499</v>
      </c>
    </row>
    <row r="5345" spans="1:40" x14ac:dyDescent="0.25">
      <c r="A5345" t="str">
        <f>"20190303162927037"</f>
        <v>20190303162927037</v>
      </c>
      <c r="B5345" t="str">
        <f>"1551601767027031"</f>
        <v>1551601767027031</v>
      </c>
      <c r="C5345" t="s">
        <v>40</v>
      </c>
      <c r="D5345">
        <v>5.2354979999999998</v>
      </c>
      <c r="E5345">
        <v>0.49433179999999999</v>
      </c>
      <c r="F5345" t="s">
        <v>42</v>
      </c>
      <c r="G5345">
        <v>-310.30599999999998</v>
      </c>
      <c r="H5345">
        <v>-0.05</v>
      </c>
      <c r="I5345">
        <v>15.39188</v>
      </c>
      <c r="J5345">
        <v>-344.20060000000001</v>
      </c>
      <c r="K5345">
        <v>1.121678</v>
      </c>
      <c r="L5345">
        <v>17.470400000000001</v>
      </c>
      <c r="M5345">
        <v>0.99992510000000001</v>
      </c>
      <c r="N5345">
        <v>-1.2241510000000001E-2</v>
      </c>
      <c r="O5345">
        <v>-2.436649E-4</v>
      </c>
      <c r="P5345">
        <v>0.98271900000000001</v>
      </c>
      <c r="Q5345">
        <v>0.16739229999999899</v>
      </c>
      <c r="R5345">
        <v>-7.901677E-2</v>
      </c>
      <c r="S5345">
        <v>3.0557249999999998</v>
      </c>
      <c r="T5345">
        <v>-0.1051542</v>
      </c>
      <c r="U5345">
        <v>-0.18652340000000001</v>
      </c>
      <c r="V5345">
        <v>7.8586589999999998E-2</v>
      </c>
      <c r="W5345">
        <v>0.17949370000000001</v>
      </c>
      <c r="X5345">
        <v>0.98061520000000002</v>
      </c>
      <c r="Y5345">
        <v>6.0635550000000003E-2</v>
      </c>
      <c r="Z5345">
        <v>-1.408271E-3</v>
      </c>
      <c r="AA5345">
        <v>0.99815900000000002</v>
      </c>
      <c r="AB5345">
        <v>32</v>
      </c>
      <c r="AC5345">
        <v>33.894599999999997</v>
      </c>
      <c r="AD5345">
        <v>-1.171678</v>
      </c>
      <c r="AE5345">
        <v>-2.0785200000000001</v>
      </c>
      <c r="AF5345">
        <v>2.0677987037926</v>
      </c>
      <c r="AG5345">
        <v>-1.171678</v>
      </c>
      <c r="AH5345">
        <v>33.854801722112398</v>
      </c>
      <c r="AI5345">
        <v>91.978469656218707</v>
      </c>
      <c r="AJ5345">
        <v>86.504804831804094</v>
      </c>
      <c r="AK5345">
        <v>33.938123408029497</v>
      </c>
      <c r="AL5345">
        <v>79.659729397886693</v>
      </c>
      <c r="AM5345">
        <v>85.418103328812506</v>
      </c>
      <c r="AN5345">
        <v>1.0000000054692699</v>
      </c>
    </row>
    <row r="5346" spans="1:40" x14ac:dyDescent="0.25">
      <c r="A5346" t="str">
        <f>"20190303162927049"</f>
        <v>20190303162927049</v>
      </c>
      <c r="B5346" t="str">
        <f>"1551601767036791"</f>
        <v>1551601767036791</v>
      </c>
      <c r="C5346" t="s">
        <v>40</v>
      </c>
      <c r="D5346">
        <v>5.2941539999999998</v>
      </c>
      <c r="E5346">
        <v>0.49392249999999999</v>
      </c>
      <c r="F5346" t="s">
        <v>42</v>
      </c>
      <c r="G5346">
        <v>-308.4151</v>
      </c>
      <c r="H5346">
        <v>-0.05</v>
      </c>
      <c r="I5346">
        <v>15.36115</v>
      </c>
      <c r="J5346">
        <v>-344.04750000000001</v>
      </c>
      <c r="K5346">
        <v>1.1216759999999999</v>
      </c>
      <c r="L5346">
        <v>17.470610000000001</v>
      </c>
      <c r="M5346">
        <v>0.99992510000000001</v>
      </c>
      <c r="N5346">
        <v>-1.223894E-2</v>
      </c>
      <c r="O5346" s="1">
        <v>3.0044579999999999E-6</v>
      </c>
      <c r="P5346">
        <v>0.98266929999999997</v>
      </c>
      <c r="Q5346">
        <v>0.167192799999999</v>
      </c>
      <c r="R5346">
        <v>-8.0047820000000006E-2</v>
      </c>
      <c r="S5346">
        <v>3.0552980000000001</v>
      </c>
      <c r="T5346">
        <v>-0.10003570000000001</v>
      </c>
      <c r="U5346">
        <v>-0.1800842</v>
      </c>
      <c r="V5346">
        <v>7.9861570000000007E-2</v>
      </c>
      <c r="W5346">
        <v>0.17929149999999999</v>
      </c>
      <c r="X5346">
        <v>0.98054920000000001</v>
      </c>
      <c r="Y5346">
        <v>5.8799329999999997E-2</v>
      </c>
      <c r="Z5346">
        <v>-1.3218429999999901E-3</v>
      </c>
      <c r="AA5346">
        <v>0.99826899999999996</v>
      </c>
      <c r="AB5346">
        <v>32</v>
      </c>
      <c r="AC5346">
        <v>35.632399999999997</v>
      </c>
      <c r="AD5346">
        <v>-1.1716759999999999</v>
      </c>
      <c r="AE5346">
        <v>-2.1094599999999999</v>
      </c>
      <c r="AF5346">
        <v>2.1072965136377202</v>
      </c>
      <c r="AG5346">
        <v>-1.1716759999999999</v>
      </c>
      <c r="AH5346">
        <v>35.594042121204602</v>
      </c>
      <c r="AI5346">
        <v>91.882074575516299</v>
      </c>
      <c r="AJ5346">
        <v>86.611836736826007</v>
      </c>
      <c r="AK5346">
        <v>35.675612927761399</v>
      </c>
      <c r="AL5346">
        <v>79.671505826682093</v>
      </c>
      <c r="AM5346">
        <v>85.343779366789093</v>
      </c>
      <c r="AN5346">
        <v>1.0000000229778701</v>
      </c>
    </row>
    <row r="5347" spans="1:40" x14ac:dyDescent="0.25">
      <c r="A5347" t="str">
        <f>"20190303162927059"</f>
        <v>20190303162927059</v>
      </c>
      <c r="B5347" t="str">
        <f>"1551601767047526"</f>
        <v>1551601767047526</v>
      </c>
      <c r="C5347" t="s">
        <v>40</v>
      </c>
      <c r="D5347">
        <v>5.2931819999999998</v>
      </c>
      <c r="E5347">
        <v>0.49375609999999998</v>
      </c>
      <c r="F5347" t="s">
        <v>42</v>
      </c>
      <c r="G5347">
        <v>-306.81920000000002</v>
      </c>
      <c r="H5347">
        <v>-0.05</v>
      </c>
      <c r="I5347">
        <v>15.279590000000001</v>
      </c>
      <c r="J5347">
        <v>-343.89499999999998</v>
      </c>
      <c r="K5347">
        <v>1.121672</v>
      </c>
      <c r="L5347">
        <v>17.470859999999998</v>
      </c>
      <c r="M5347">
        <v>0.99992519999999996</v>
      </c>
      <c r="N5347">
        <v>-1.2236510000000001E-2</v>
      </c>
      <c r="O5347">
        <v>2.4824949999999998E-4</v>
      </c>
      <c r="P5347">
        <v>0.98264359999999995</v>
      </c>
      <c r="Q5347">
        <v>0.16698279999999999</v>
      </c>
      <c r="R5347">
        <v>-8.0801300000000006E-2</v>
      </c>
      <c r="S5347">
        <v>3.0546880000000001</v>
      </c>
      <c r="T5347">
        <v>-9.6139189999999999E-2</v>
      </c>
      <c r="U5347">
        <v>-0.1797791</v>
      </c>
      <c r="V5347">
        <v>8.0857200000000004E-2</v>
      </c>
      <c r="W5347">
        <v>0.1790794</v>
      </c>
      <c r="X5347">
        <v>0.9805064</v>
      </c>
      <c r="Y5347">
        <v>5.895918E-2</v>
      </c>
      <c r="Z5347">
        <v>-1.2927170000000001E-3</v>
      </c>
      <c r="AA5347">
        <v>0.99825949999999997</v>
      </c>
      <c r="AB5347">
        <v>32</v>
      </c>
      <c r="AC5347">
        <v>37.075799999999902</v>
      </c>
      <c r="AD5347">
        <v>-1.1716719999999901</v>
      </c>
      <c r="AE5347">
        <v>-2.1912699999999998</v>
      </c>
      <c r="AF5347">
        <v>2.1982869027272001</v>
      </c>
      <c r="AG5347">
        <v>-1.1716719999999901</v>
      </c>
      <c r="AH5347">
        <v>37.0383936922155</v>
      </c>
      <c r="AI5347">
        <v>91.808708847294895</v>
      </c>
      <c r="AJ5347">
        <v>86.603389967503105</v>
      </c>
      <c r="AK5347">
        <v>37.122067397733097</v>
      </c>
      <c r="AL5347">
        <v>79.683858559723603</v>
      </c>
      <c r="AM5347">
        <v>85.285785673464801</v>
      </c>
      <c r="AN5347">
        <v>1.0000000593685701</v>
      </c>
    </row>
    <row r="5348" spans="1:40" x14ac:dyDescent="0.25">
      <c r="A5348" t="str">
        <f>"20190303162927070"</f>
        <v>20190303162927070</v>
      </c>
      <c r="B5348" t="str">
        <f>"1551601767057288"</f>
        <v>1551601767057288</v>
      </c>
      <c r="C5348" t="s">
        <v>40</v>
      </c>
      <c r="D5348">
        <v>5.2912480000000004</v>
      </c>
      <c r="E5348">
        <v>0.49377109999999902</v>
      </c>
      <c r="F5348" t="s">
        <v>42</v>
      </c>
      <c r="G5348">
        <v>-306.52879999999999</v>
      </c>
      <c r="H5348">
        <v>-0.05</v>
      </c>
      <c r="I5348">
        <v>15.261469999999999</v>
      </c>
      <c r="J5348">
        <v>-343.7396</v>
      </c>
      <c r="K5348">
        <v>1.121669</v>
      </c>
      <c r="L5348">
        <v>17.471160000000001</v>
      </c>
      <c r="M5348">
        <v>0.99992519999999996</v>
      </c>
      <c r="N5348">
        <v>-1.2234220000000001E-2</v>
      </c>
      <c r="O5348">
        <v>4.9802419999999997E-4</v>
      </c>
      <c r="P5348">
        <v>0.98260449999999999</v>
      </c>
      <c r="Q5348">
        <v>0.16672490000000001</v>
      </c>
      <c r="R5348">
        <v>-8.1804769999999999E-2</v>
      </c>
      <c r="S5348">
        <v>3.054443</v>
      </c>
      <c r="T5348">
        <v>-9.5776559999999997E-2</v>
      </c>
      <c r="U5348">
        <v>-0.18060300000000001</v>
      </c>
      <c r="V5348">
        <v>8.2107299999999994E-2</v>
      </c>
      <c r="W5348">
        <v>0.17881949999999999</v>
      </c>
      <c r="X5348">
        <v>0.98044989999999999</v>
      </c>
      <c r="Y5348">
        <v>5.9481430000000002E-2</v>
      </c>
      <c r="Z5348">
        <v>-1.305343E-3</v>
      </c>
      <c r="AA5348">
        <v>0.99822849999999996</v>
      </c>
      <c r="AB5348">
        <v>32</v>
      </c>
      <c r="AC5348">
        <v>37.210799999999999</v>
      </c>
      <c r="AD5348">
        <v>-1.1716690000000001</v>
      </c>
      <c r="AE5348">
        <v>-2.2096900000000002</v>
      </c>
      <c r="AF5348">
        <v>2.2260237475297502</v>
      </c>
      <c r="AG5348">
        <v>-1.1716690000000001</v>
      </c>
      <c r="AH5348">
        <v>37.172969101767102</v>
      </c>
      <c r="AI5348">
        <v>91.802103744094396</v>
      </c>
      <c r="AJ5348">
        <v>86.5730571706994</v>
      </c>
      <c r="AK5348">
        <v>37.257987355882001</v>
      </c>
      <c r="AL5348">
        <v>79.698993576096498</v>
      </c>
      <c r="AM5348">
        <v>85.212962687038498</v>
      </c>
      <c r="AN5348">
        <v>1.00000001435177</v>
      </c>
    </row>
    <row r="5349" spans="1:40" x14ac:dyDescent="0.25">
      <c r="A5349" t="str">
        <f>"20190303162927082"</f>
        <v>20190303162927082</v>
      </c>
      <c r="B5349" t="str">
        <f>"1551601767067047"</f>
        <v>1551601767067047</v>
      </c>
      <c r="C5349" t="s">
        <v>40</v>
      </c>
      <c r="D5349">
        <v>5.2924199999999999</v>
      </c>
      <c r="E5349">
        <v>0.49363649999999998</v>
      </c>
      <c r="F5349" t="s">
        <v>42</v>
      </c>
      <c r="G5349">
        <v>-306.41800000000001</v>
      </c>
      <c r="H5349">
        <v>-0.05</v>
      </c>
      <c r="I5349">
        <v>15.22688</v>
      </c>
      <c r="J5349">
        <v>-343.57769999999999</v>
      </c>
      <c r="K5349">
        <v>1.1216660000000001</v>
      </c>
      <c r="L5349">
        <v>17.471499999999999</v>
      </c>
      <c r="M5349">
        <v>0.99992510000000001</v>
      </c>
      <c r="N5349">
        <v>-1.223192E-2</v>
      </c>
      <c r="O5349">
        <v>7.5787100000000002E-4</v>
      </c>
      <c r="P5349">
        <v>0.9825332</v>
      </c>
      <c r="Q5349">
        <v>0.166494</v>
      </c>
      <c r="R5349">
        <v>-8.3117689999999994E-2</v>
      </c>
      <c r="S5349">
        <v>3.0541079999999998</v>
      </c>
      <c r="T5349">
        <v>-9.5880149999999997E-2</v>
      </c>
      <c r="U5349">
        <v>-0.18365480000000001</v>
      </c>
      <c r="V5349">
        <v>8.3676979999999998E-2</v>
      </c>
      <c r="W5349">
        <v>0.17858640000000001</v>
      </c>
      <c r="X5349">
        <v>0.98035969999999995</v>
      </c>
      <c r="Y5349">
        <v>6.0740200000000001E-2</v>
      </c>
      <c r="Z5349">
        <v>-1.3388040000000001E-3</v>
      </c>
      <c r="AA5349">
        <v>0.9981527</v>
      </c>
      <c r="AB5349">
        <v>32</v>
      </c>
      <c r="AC5349">
        <v>37.159700000000001</v>
      </c>
      <c r="AD5349">
        <v>-1.1716660000000001</v>
      </c>
      <c r="AE5349">
        <v>-2.2446199999999901</v>
      </c>
      <c r="AF5349">
        <v>2.2705346111473399</v>
      </c>
      <c r="AG5349">
        <v>-1.1716660000000001</v>
      </c>
      <c r="AH5349">
        <v>37.121217212455299</v>
      </c>
      <c r="AI5349">
        <v>91.8044703630123</v>
      </c>
      <c r="AJ5349">
        <v>86.499840532881805</v>
      </c>
      <c r="AK5349">
        <v>37.209043201488797</v>
      </c>
      <c r="AL5349">
        <v>79.712567994226006</v>
      </c>
      <c r="AM5349">
        <v>85.121437708582704</v>
      </c>
      <c r="AN5349">
        <v>1.0000000403154801</v>
      </c>
    </row>
    <row r="5350" spans="1:40" x14ac:dyDescent="0.25">
      <c r="A5350" t="str">
        <f>"20190303162927093"</f>
        <v>20190303162927093</v>
      </c>
      <c r="B5350" t="str">
        <f>"1551601767087543"</f>
        <v>1551601767087543</v>
      </c>
      <c r="C5350" t="s">
        <v>40</v>
      </c>
      <c r="D5350">
        <v>5.2946400000000002</v>
      </c>
      <c r="E5350">
        <v>0.49349460000000001</v>
      </c>
      <c r="F5350" t="s">
        <v>42</v>
      </c>
      <c r="G5350">
        <v>-305.78559999999999</v>
      </c>
      <c r="H5350">
        <v>-0.05</v>
      </c>
      <c r="I5350">
        <v>15.16</v>
      </c>
      <c r="J5350">
        <v>-343.4203</v>
      </c>
      <c r="K5350">
        <v>1.121658</v>
      </c>
      <c r="L5350">
        <v>17.471889999999998</v>
      </c>
      <c r="M5350">
        <v>0.9999247</v>
      </c>
      <c r="N5350">
        <v>-1.222989E-2</v>
      </c>
      <c r="O5350">
        <v>1.007389E-3</v>
      </c>
      <c r="P5350">
        <v>0.98246199999999995</v>
      </c>
      <c r="Q5350">
        <v>0.16644239999999999</v>
      </c>
      <c r="R5350">
        <v>-8.4056210000000006E-2</v>
      </c>
      <c r="S5350">
        <v>3.0535890000000001</v>
      </c>
      <c r="T5350">
        <v>-9.4670299999999999E-2</v>
      </c>
      <c r="U5350">
        <v>-0.18676760000000001</v>
      </c>
      <c r="V5350">
        <v>8.4862190000000004E-2</v>
      </c>
      <c r="W5350">
        <v>0.17853150000000001</v>
      </c>
      <c r="X5350">
        <v>0.98026780000000002</v>
      </c>
      <c r="Y5350">
        <v>6.2013150000000003E-2</v>
      </c>
      <c r="Z5350">
        <v>-1.358759E-3</v>
      </c>
      <c r="AA5350">
        <v>0.99807440000000003</v>
      </c>
      <c r="AB5350">
        <v>32</v>
      </c>
      <c r="AC5350">
        <v>37.634700000000002</v>
      </c>
      <c r="AD5350">
        <v>-1.1716580000000001</v>
      </c>
      <c r="AE5350">
        <v>-2.3118899999999898</v>
      </c>
      <c r="AF5350">
        <v>2.3475377058566198</v>
      </c>
      <c r="AG5350">
        <v>-1.1716580000000001</v>
      </c>
      <c r="AH5350">
        <v>37.596049695828697</v>
      </c>
      <c r="AI5350">
        <v>91.781542960323705</v>
      </c>
      <c r="AJ5350">
        <v>86.427028734670799</v>
      </c>
      <c r="AK5350">
        <v>37.687486895262801</v>
      </c>
      <c r="AL5350">
        <v>79.715764737110604</v>
      </c>
      <c r="AM5350">
        <v>85.052216283076405</v>
      </c>
      <c r="AN5350">
        <v>1.0000000237503399</v>
      </c>
    </row>
    <row r="5351" spans="1:40" x14ac:dyDescent="0.25">
      <c r="A5351" t="str">
        <f>"20190303162927105"</f>
        <v>20190303162927105</v>
      </c>
      <c r="B5351" t="str">
        <f>"1551601767097303"</f>
        <v>1551601767097303</v>
      </c>
      <c r="C5351" t="s">
        <v>40</v>
      </c>
      <c r="D5351">
        <v>5.2898239999999896</v>
      </c>
      <c r="E5351">
        <v>0.49338120000000002</v>
      </c>
      <c r="F5351" t="s">
        <v>42</v>
      </c>
      <c r="G5351">
        <v>-304.7792</v>
      </c>
      <c r="H5351">
        <v>-0.05</v>
      </c>
      <c r="I5351">
        <v>15.08301</v>
      </c>
      <c r="J5351">
        <v>-343.25560000000002</v>
      </c>
      <c r="K5351">
        <v>1.1216520000000001</v>
      </c>
      <c r="L5351">
        <v>17.47232</v>
      </c>
      <c r="M5351">
        <v>0.99992440000000005</v>
      </c>
      <c r="N5351">
        <v>-1.222784E-2</v>
      </c>
      <c r="O5351">
        <v>1.2664309999999999E-3</v>
      </c>
      <c r="P5351">
        <v>0.98240450000000001</v>
      </c>
      <c r="Q5351">
        <v>0.16632759999999999</v>
      </c>
      <c r="R5351">
        <v>-8.4949469999999999E-2</v>
      </c>
      <c r="S5351">
        <v>3.0531009999999998</v>
      </c>
      <c r="T5351">
        <v>-9.2574719999999999E-2</v>
      </c>
      <c r="U5351">
        <v>-0.18875120000000001</v>
      </c>
      <c r="V5351">
        <v>8.6011909999999997E-2</v>
      </c>
      <c r="W5351">
        <v>0.1784142</v>
      </c>
      <c r="X5351">
        <v>0.98018890000000003</v>
      </c>
      <c r="Y5351">
        <v>6.2928369999999997E-2</v>
      </c>
      <c r="Z5351">
        <v>-1.3610439999999901E-3</v>
      </c>
      <c r="AA5351">
        <v>0.99801709999999999</v>
      </c>
      <c r="AB5351">
        <v>32</v>
      </c>
      <c r="AC5351">
        <v>38.476399999999998</v>
      </c>
      <c r="AD5351">
        <v>-1.1716519999999999</v>
      </c>
      <c r="AE5351">
        <v>-2.38931</v>
      </c>
      <c r="AF5351">
        <v>2.43578946470477</v>
      </c>
      <c r="AG5351">
        <v>-1.1716519999999999</v>
      </c>
      <c r="AH5351">
        <v>38.437837498389499</v>
      </c>
      <c r="AI5351">
        <v>91.742441302396301</v>
      </c>
      <c r="AJ5351">
        <v>86.374039153114396</v>
      </c>
      <c r="AK5351">
        <v>38.532754771467701</v>
      </c>
      <c r="AL5351">
        <v>79.722594716076003</v>
      </c>
      <c r="AM5351">
        <v>84.985121225040999</v>
      </c>
      <c r="AN5351">
        <v>0.99999997755334802</v>
      </c>
    </row>
    <row r="5352" spans="1:40" x14ac:dyDescent="0.25">
      <c r="A5352" t="str">
        <f>"20190303162927115"</f>
        <v>20190303162927115</v>
      </c>
      <c r="B5352" t="str">
        <f>"1551601767107063"</f>
        <v>1551601767107063</v>
      </c>
      <c r="C5352" t="s">
        <v>40</v>
      </c>
      <c r="D5352">
        <v>5.2326689999999996</v>
      </c>
      <c r="E5352">
        <v>0.49336609999999997</v>
      </c>
      <c r="F5352" t="s">
        <v>42</v>
      </c>
      <c r="G5352">
        <v>-304.29939999999999</v>
      </c>
      <c r="H5352">
        <v>-0.05</v>
      </c>
      <c r="I5352">
        <v>15.03877</v>
      </c>
      <c r="J5352">
        <v>-343.09410000000003</v>
      </c>
      <c r="K5352">
        <v>1.1216440000000001</v>
      </c>
      <c r="L5352">
        <v>17.472809999999999</v>
      </c>
      <c r="M5352">
        <v>0.99992409999999998</v>
      </c>
      <c r="N5352">
        <v>-1.2225990000000001E-2</v>
      </c>
      <c r="O5352">
        <v>1.511601E-3</v>
      </c>
      <c r="P5352">
        <v>0.98231239999999997</v>
      </c>
      <c r="Q5352">
        <v>0.16651839999999901</v>
      </c>
      <c r="R5352">
        <v>-8.5637640000000001E-2</v>
      </c>
      <c r="S5352">
        <v>3.0527950000000001</v>
      </c>
      <c r="T5352">
        <v>-9.1816309999999998E-2</v>
      </c>
      <c r="U5352">
        <v>-0.19070429999999999</v>
      </c>
      <c r="V5352">
        <v>8.6943919999999994E-2</v>
      </c>
      <c r="W5352">
        <v>0.17860139999999999</v>
      </c>
      <c r="X5352">
        <v>0.98007259999999996</v>
      </c>
      <c r="Y5352">
        <v>6.3815230000000001E-2</v>
      </c>
      <c r="Z5352">
        <v>-1.3760759999999999E-3</v>
      </c>
      <c r="AA5352">
        <v>0.99796079999999998</v>
      </c>
      <c r="AB5352">
        <v>32</v>
      </c>
      <c r="AC5352">
        <v>38.794699999999999</v>
      </c>
      <c r="AD5352">
        <v>-1.1716439999999999</v>
      </c>
      <c r="AE5352">
        <v>-2.4340399999999902</v>
      </c>
      <c r="AF5352">
        <v>2.4904210827013098</v>
      </c>
      <c r="AG5352">
        <v>-1.1716439999999999</v>
      </c>
      <c r="AH5352">
        <v>38.755765240171797</v>
      </c>
      <c r="AI5352">
        <v>91.728046661714004</v>
      </c>
      <c r="AJ5352">
        <v>86.323264448634603</v>
      </c>
      <c r="AK5352">
        <v>38.853369045466401</v>
      </c>
      <c r="AL5352">
        <v>79.711694129435301</v>
      </c>
      <c r="AM5352">
        <v>84.930464102070204</v>
      </c>
      <c r="AN5352">
        <v>1.0000000032888401</v>
      </c>
    </row>
    <row r="5353" spans="1:40" x14ac:dyDescent="0.25">
      <c r="A5353" t="str">
        <f>"20190303162927136"</f>
        <v>20190303162927136</v>
      </c>
      <c r="B5353" t="str">
        <f>"1551601767127559"</f>
        <v>1551601767127559</v>
      </c>
      <c r="C5353" t="s">
        <v>40</v>
      </c>
      <c r="D5353">
        <v>5.2334139999999998</v>
      </c>
      <c r="E5353">
        <v>0.49340539999999999</v>
      </c>
      <c r="F5353" t="s">
        <v>42</v>
      </c>
      <c r="G5353">
        <v>-303.51490000000001</v>
      </c>
      <c r="H5353">
        <v>-0.05</v>
      </c>
      <c r="I5353">
        <v>14.97044</v>
      </c>
      <c r="J5353">
        <v>-342.82139999999998</v>
      </c>
      <c r="K5353">
        <v>1.1216250000000001</v>
      </c>
      <c r="L5353">
        <v>17.473659999999999</v>
      </c>
      <c r="M5353">
        <v>0.99992360000000002</v>
      </c>
      <c r="N5353">
        <v>-1.2223070000000001E-2</v>
      </c>
      <c r="O5353">
        <v>1.908559E-3</v>
      </c>
      <c r="P5353">
        <v>0.98215969999999997</v>
      </c>
      <c r="Q5353">
        <v>0.16689409999999999</v>
      </c>
      <c r="R5353">
        <v>-8.6654599999999998E-2</v>
      </c>
      <c r="S5353">
        <v>3.052521</v>
      </c>
      <c r="T5353">
        <v>-9.0362189999999995E-2</v>
      </c>
      <c r="U5353">
        <v>-0.1929932</v>
      </c>
      <c r="V5353">
        <v>8.8358060000000002E-2</v>
      </c>
      <c r="W5353">
        <v>0.17896919999999999</v>
      </c>
      <c r="X5353">
        <v>0.97987900000000006</v>
      </c>
      <c r="Y5353">
        <v>6.4962610000000004E-2</v>
      </c>
      <c r="Z5353">
        <v>-1.391041E-3</v>
      </c>
      <c r="AA5353">
        <v>0.99788670000000002</v>
      </c>
      <c r="AB5353">
        <v>32</v>
      </c>
      <c r="AC5353">
        <v>39.3064999999999</v>
      </c>
      <c r="AD5353">
        <v>-1.1716249999999999</v>
      </c>
      <c r="AE5353">
        <v>-2.50321999999999</v>
      </c>
      <c r="AF5353">
        <v>2.5759603608136401</v>
      </c>
      <c r="AG5353">
        <v>-1.1716249999999999</v>
      </c>
      <c r="AH5353">
        <v>39.266903498402399</v>
      </c>
      <c r="AI5353">
        <v>91.705390476451001</v>
      </c>
      <c r="AJ5353">
        <v>86.246699715415502</v>
      </c>
      <c r="AK5353">
        <v>39.368743785825203</v>
      </c>
      <c r="AL5353">
        <v>79.690275489939395</v>
      </c>
      <c r="AM5353">
        <v>84.847436073959003</v>
      </c>
      <c r="AN5353">
        <v>0.99999998797830103</v>
      </c>
    </row>
    <row r="5354" spans="1:40" x14ac:dyDescent="0.25">
      <c r="A5354" t="str">
        <f>"20190303162927148"</f>
        <v>20190303162927148</v>
      </c>
      <c r="B5354" t="str">
        <f>"1551601767137320"</f>
        <v>1551601767137320</v>
      </c>
      <c r="C5354" t="s">
        <v>40</v>
      </c>
      <c r="D5354">
        <v>5.2931939999999997</v>
      </c>
      <c r="E5354">
        <v>0.49336380000000002</v>
      </c>
      <c r="F5354" t="s">
        <v>42</v>
      </c>
      <c r="G5354">
        <v>-302.39929999999998</v>
      </c>
      <c r="H5354">
        <v>-0.05</v>
      </c>
      <c r="I5354">
        <v>14.8578299999999</v>
      </c>
      <c r="J5354">
        <v>-342.66109999999998</v>
      </c>
      <c r="K5354">
        <v>1.121618</v>
      </c>
      <c r="L5354">
        <v>17.474209999999999</v>
      </c>
      <c r="M5354">
        <v>0.99992320000000001</v>
      </c>
      <c r="N5354">
        <v>-1.222147E-2</v>
      </c>
      <c r="O5354">
        <v>2.1278220000000001E-3</v>
      </c>
      <c r="P5354">
        <v>0.98204919999999996</v>
      </c>
      <c r="Q5354">
        <v>0.16722429999999999</v>
      </c>
      <c r="R5354">
        <v>-8.7268360000000003E-2</v>
      </c>
      <c r="S5354">
        <v>3.0520939999999999</v>
      </c>
      <c r="T5354">
        <v>-8.8464139999999997E-2</v>
      </c>
      <c r="U5354">
        <v>-0.19750980000000001</v>
      </c>
      <c r="V5354">
        <v>8.9192899999999894E-2</v>
      </c>
      <c r="W5354">
        <v>0.179293799999999</v>
      </c>
      <c r="X5354">
        <v>0.97974399999999995</v>
      </c>
      <c r="Y5354">
        <v>6.6661219999999993E-2</v>
      </c>
      <c r="Z5354">
        <v>-1.408402E-3</v>
      </c>
      <c r="AA5354">
        <v>0.99777470000000001</v>
      </c>
      <c r="AB5354">
        <v>31</v>
      </c>
      <c r="AC5354">
        <v>40.261800000000001</v>
      </c>
      <c r="AD5354">
        <v>-1.171618</v>
      </c>
      <c r="AE5354">
        <v>-2.6163799999999999</v>
      </c>
      <c r="AF5354">
        <v>2.6997738257651598</v>
      </c>
      <c r="AG5354">
        <v>-1.171618</v>
      </c>
      <c r="AH5354">
        <v>40.222223906828802</v>
      </c>
      <c r="AI5354">
        <v>91.664731666248898</v>
      </c>
      <c r="AJ5354">
        <v>86.159984316213794</v>
      </c>
      <c r="AK5354">
        <v>40.329750352057403</v>
      </c>
      <c r="AL5354">
        <v>79.671371352205796</v>
      </c>
      <c r="AM5354">
        <v>84.798305758576305</v>
      </c>
      <c r="AN5354">
        <v>0.99999997283242403</v>
      </c>
    </row>
    <row r="5355" spans="1:40" x14ac:dyDescent="0.25">
      <c r="A5355" t="str">
        <f>"20190303162927160"</f>
        <v>20190303162927160</v>
      </c>
      <c r="B5355" t="str">
        <f>"1551601767147078"</f>
        <v>1551601767147078</v>
      </c>
      <c r="C5355" t="s">
        <v>40</v>
      </c>
      <c r="D5355">
        <v>5.2313689999999999</v>
      </c>
      <c r="E5355">
        <v>0.4933205</v>
      </c>
      <c r="F5355" t="s">
        <v>42</v>
      </c>
      <c r="G5355">
        <v>-302.02659999999997</v>
      </c>
      <c r="H5355">
        <v>-0.05</v>
      </c>
      <c r="I5355">
        <v>14.81865</v>
      </c>
      <c r="J5355">
        <v>-342.4812</v>
      </c>
      <c r="K5355">
        <v>1.121597</v>
      </c>
      <c r="L5355">
        <v>17.474820000000001</v>
      </c>
      <c r="M5355">
        <v>0.99992270000000005</v>
      </c>
      <c r="N5355">
        <v>-1.221978E-2</v>
      </c>
      <c r="O5355">
        <v>2.3568899999999999E-3</v>
      </c>
      <c r="P5355">
        <v>0.98201890000000003</v>
      </c>
      <c r="Q5355">
        <v>0.1673299</v>
      </c>
      <c r="R5355">
        <v>-8.7405170000000004E-2</v>
      </c>
      <c r="S5355">
        <v>3.0521240000000001</v>
      </c>
      <c r="T5355">
        <v>-8.8002199999999905E-2</v>
      </c>
      <c r="U5355">
        <v>-0.1994629</v>
      </c>
      <c r="V5355">
        <v>8.9563779999999996E-2</v>
      </c>
      <c r="W5355">
        <v>0.17939279999999999</v>
      </c>
      <c r="X5355">
        <v>0.97969200000000001</v>
      </c>
      <c r="Y5355">
        <v>6.7524769999999998E-2</v>
      </c>
      <c r="Z5355">
        <v>-1.4244850000000001E-3</v>
      </c>
      <c r="AA5355">
        <v>0.99771659999999995</v>
      </c>
      <c r="AB5355">
        <v>31</v>
      </c>
      <c r="AC5355">
        <v>40.454599999999999</v>
      </c>
      <c r="AD5355">
        <v>-1.171597</v>
      </c>
      <c r="AE5355">
        <v>-2.6561699999999999</v>
      </c>
      <c r="AF5355">
        <v>2.7492208214365301</v>
      </c>
      <c r="AG5355">
        <v>-1.171597</v>
      </c>
      <c r="AH5355">
        <v>40.414475639333602</v>
      </c>
      <c r="AI5355">
        <v>91.656686568654195</v>
      </c>
      <c r="AJ5355">
        <v>86.108412942442897</v>
      </c>
      <c r="AK5355">
        <v>40.524815802884497</v>
      </c>
      <c r="AL5355">
        <v>79.665605151149705</v>
      </c>
      <c r="AM5355">
        <v>84.7765198731216</v>
      </c>
      <c r="AN5355">
        <v>0.99999993112186103</v>
      </c>
    </row>
    <row r="5356" spans="1:40" x14ac:dyDescent="0.25">
      <c r="A5356" t="str">
        <f>"20190303162927173"</f>
        <v>20190303162927173</v>
      </c>
      <c r="B5356" t="str">
        <f>"1551601767167575"</f>
        <v>1551601767167575</v>
      </c>
      <c r="C5356" t="s">
        <v>40</v>
      </c>
      <c r="D5356">
        <v>5.2903129999999896</v>
      </c>
      <c r="E5356">
        <v>0.49329650000000003</v>
      </c>
      <c r="F5356" t="s">
        <v>42</v>
      </c>
      <c r="G5356">
        <v>-301.76889999999997</v>
      </c>
      <c r="H5356">
        <v>-0.05</v>
      </c>
      <c r="I5356">
        <v>14.80803</v>
      </c>
      <c r="J5356">
        <v>-342.30689999999998</v>
      </c>
      <c r="K5356">
        <v>1.1215710000000001</v>
      </c>
      <c r="L5356">
        <v>17.475460000000002</v>
      </c>
      <c r="M5356">
        <v>0.99992210000000004</v>
      </c>
      <c r="N5356">
        <v>-1.221826E-2</v>
      </c>
      <c r="O5356">
        <v>2.55185E-3</v>
      </c>
      <c r="P5356">
        <v>0.9819715</v>
      </c>
      <c r="Q5356">
        <v>0.1675952</v>
      </c>
      <c r="R5356">
        <v>-8.7430240000000006E-2</v>
      </c>
      <c r="S5356">
        <v>3.0520939999999999</v>
      </c>
      <c r="T5356">
        <v>-8.7831380000000001E-2</v>
      </c>
      <c r="U5356">
        <v>-0.19992070000000001</v>
      </c>
      <c r="V5356">
        <v>8.9791510000000005E-2</v>
      </c>
      <c r="W5356">
        <v>0.17965030000000001</v>
      </c>
      <c r="X5356">
        <v>0.97962400000000005</v>
      </c>
      <c r="Y5356">
        <v>6.786884E-2</v>
      </c>
      <c r="Z5356">
        <v>-1.4327000000000001E-3</v>
      </c>
      <c r="AA5356">
        <v>0.99769319999999895</v>
      </c>
      <c r="AB5356">
        <v>31</v>
      </c>
      <c r="AC5356">
        <v>40.537999999999997</v>
      </c>
      <c r="AD5356">
        <v>-1.1715709999999999</v>
      </c>
      <c r="AE5356">
        <v>-2.66743</v>
      </c>
      <c r="AF5356">
        <v>2.7685734699609101</v>
      </c>
      <c r="AG5356">
        <v>-1.1715709999999999</v>
      </c>
      <c r="AH5356">
        <v>40.4973812883973</v>
      </c>
      <c r="AI5356">
        <v>91.653222260454996</v>
      </c>
      <c r="AJ5356">
        <v>86.089101657223694</v>
      </c>
      <c r="AK5356">
        <v>40.608810237243397</v>
      </c>
      <c r="AL5356">
        <v>79.650608179586797</v>
      </c>
      <c r="AM5356">
        <v>84.762950621313607</v>
      </c>
      <c r="AN5356">
        <v>0.99999996346708397</v>
      </c>
    </row>
    <row r="5357" spans="1:40" x14ac:dyDescent="0.25">
      <c r="A5357" t="str">
        <f>"20190303162927186"</f>
        <v>20190303162927186</v>
      </c>
      <c r="B5357" t="str">
        <f>"1551601767177334"</f>
        <v>1551601767177334</v>
      </c>
      <c r="C5357" t="s">
        <v>40</v>
      </c>
      <c r="D5357">
        <v>5.288405</v>
      </c>
      <c r="E5357">
        <v>0.49328870000000002</v>
      </c>
      <c r="F5357" t="s">
        <v>42</v>
      </c>
      <c r="G5357">
        <v>-301.2088</v>
      </c>
      <c r="H5357">
        <v>-0.05</v>
      </c>
      <c r="I5357">
        <v>14.781420000000001</v>
      </c>
      <c r="J5357">
        <v>-342.12040000000002</v>
      </c>
      <c r="K5357">
        <v>1.1215379999999999</v>
      </c>
      <c r="L5357">
        <v>17.476140000000001</v>
      </c>
      <c r="M5357">
        <v>0.99992159999999997</v>
      </c>
      <c r="N5357">
        <v>-1.221671E-2</v>
      </c>
      <c r="O5357">
        <v>2.742506E-3</v>
      </c>
      <c r="P5357">
        <v>0.98200739999999997</v>
      </c>
      <c r="Q5357">
        <v>0.1674784</v>
      </c>
      <c r="R5357">
        <v>-8.7249579999999993E-2</v>
      </c>
      <c r="S5357">
        <v>3.052155</v>
      </c>
      <c r="T5357">
        <v>-8.7006570000000005E-2</v>
      </c>
      <c r="U5357">
        <v>-0.20007320000000001</v>
      </c>
      <c r="V5357">
        <v>8.9811970000000005E-2</v>
      </c>
      <c r="W5357">
        <v>0.17952509999999999</v>
      </c>
      <c r="X5357">
        <v>0.97964510000000005</v>
      </c>
      <c r="Y5357">
        <v>6.8107929999999997E-2</v>
      </c>
      <c r="Z5357">
        <v>-1.430752E-3</v>
      </c>
      <c r="AA5357">
        <v>0.99767689999999998</v>
      </c>
      <c r="AB5357">
        <v>31</v>
      </c>
      <c r="AC5357">
        <v>40.9116</v>
      </c>
      <c r="AD5357">
        <v>-1.171538</v>
      </c>
      <c r="AE5357">
        <v>-2.6947199999999998</v>
      </c>
      <c r="AF5357">
        <v>2.8046286555574702</v>
      </c>
      <c r="AG5357">
        <v>-1.171538</v>
      </c>
      <c r="AH5357">
        <v>40.870685633232199</v>
      </c>
      <c r="AI5357">
        <v>91.638055452750507</v>
      </c>
      <c r="AJ5357">
        <v>86.074402500303094</v>
      </c>
      <c r="AK5357">
        <v>40.9835502038502</v>
      </c>
      <c r="AL5357">
        <v>79.6579004079193</v>
      </c>
      <c r="AM5357">
        <v>84.761876134371406</v>
      </c>
      <c r="AN5357">
        <v>0.99999998671964996</v>
      </c>
    </row>
    <row r="5358" spans="1:40" x14ac:dyDescent="0.25">
      <c r="A5358" t="str">
        <f>"20190303162927202"</f>
        <v>20190303162927202</v>
      </c>
      <c r="B5358" t="str">
        <f>"1551601767187095"</f>
        <v>1551601767187095</v>
      </c>
      <c r="C5358" t="s">
        <v>40</v>
      </c>
      <c r="D5358">
        <v>5.2270240000000001</v>
      </c>
      <c r="E5358">
        <v>0.49323240000000002</v>
      </c>
      <c r="F5358" t="s">
        <v>42</v>
      </c>
      <c r="G5358">
        <v>-301.25889999999998</v>
      </c>
      <c r="H5358">
        <v>-0.05</v>
      </c>
      <c r="I5358">
        <v>14.80498</v>
      </c>
      <c r="J5358">
        <v>-341.88049999999998</v>
      </c>
      <c r="K5358">
        <v>1.1214930000000001</v>
      </c>
      <c r="L5358">
        <v>17.477079999999901</v>
      </c>
      <c r="M5358">
        <v>0.99992110000000001</v>
      </c>
      <c r="N5358">
        <v>-1.2214869999999999E-2</v>
      </c>
      <c r="O5358">
        <v>2.9430110000000002E-3</v>
      </c>
      <c r="P5358">
        <v>0.98209659999999999</v>
      </c>
      <c r="Q5358">
        <v>0.16720960000000001</v>
      </c>
      <c r="R5358">
        <v>-8.6761859999999996E-2</v>
      </c>
      <c r="S5358">
        <v>3.0521850000000001</v>
      </c>
      <c r="T5358">
        <v>-8.7509039999999996E-2</v>
      </c>
      <c r="U5358">
        <v>-0.1995239</v>
      </c>
      <c r="V5358">
        <v>8.9542109999999994E-2</v>
      </c>
      <c r="W5358">
        <v>0.17924499999999999</v>
      </c>
      <c r="X5358">
        <v>0.97972110000000001</v>
      </c>
      <c r="Y5358">
        <v>6.8128090000000002E-2</v>
      </c>
      <c r="Z5358">
        <v>-1.44044299999999E-3</v>
      </c>
      <c r="AA5358">
        <v>0.99767550000000005</v>
      </c>
      <c r="AB5358">
        <v>31</v>
      </c>
      <c r="AC5358">
        <v>40.621600000000001</v>
      </c>
      <c r="AD5358">
        <v>-1.1714929999999999</v>
      </c>
      <c r="AE5358">
        <v>-2.6720999999999901</v>
      </c>
      <c r="AF5358">
        <v>2.7893372677494201</v>
      </c>
      <c r="AG5358">
        <v>-1.1714929999999999</v>
      </c>
      <c r="AH5358">
        <v>40.579954615783599</v>
      </c>
      <c r="AI5358">
        <v>91.649708398903101</v>
      </c>
      <c r="AJ5358">
        <v>86.067855008682201</v>
      </c>
      <c r="AK5358">
        <v>40.692573215039602</v>
      </c>
      <c r="AL5358">
        <v>79.674213676384198</v>
      </c>
      <c r="AM5358">
        <v>84.777930962666602</v>
      </c>
      <c r="AN5358">
        <v>0.999999996636731</v>
      </c>
    </row>
    <row r="5359" spans="1:40" x14ac:dyDescent="0.25">
      <c r="A5359" t="str">
        <f>"20190303162927225"</f>
        <v>20190303162927225</v>
      </c>
      <c r="B5359" t="str">
        <f>"1551601767217351"</f>
        <v>1551601767217351</v>
      </c>
      <c r="C5359" t="s">
        <v>40</v>
      </c>
      <c r="D5359">
        <v>5.2320650000000004</v>
      </c>
      <c r="E5359">
        <v>0.49315219999999999</v>
      </c>
      <c r="F5359" t="s">
        <v>42</v>
      </c>
      <c r="G5359">
        <v>-301.63069999999999</v>
      </c>
      <c r="H5359">
        <v>-0.05</v>
      </c>
      <c r="I5359">
        <v>14.86858</v>
      </c>
      <c r="J5359">
        <v>-341.56959999999998</v>
      </c>
      <c r="K5359">
        <v>1.1214249999999999</v>
      </c>
      <c r="L5359">
        <v>17.478210000000001</v>
      </c>
      <c r="M5359">
        <v>0.99992049999999999</v>
      </c>
      <c r="N5359">
        <v>-1.2212819999999999E-2</v>
      </c>
      <c r="O5359">
        <v>3.1282549999999999E-3</v>
      </c>
      <c r="P5359">
        <v>0.98215600000000003</v>
      </c>
      <c r="Q5359">
        <v>0.16736379999999901</v>
      </c>
      <c r="R5359">
        <v>-8.5785249999999993E-2</v>
      </c>
      <c r="S5359">
        <v>3.0523380000000002</v>
      </c>
      <c r="T5359">
        <v>-8.8840009999999997E-2</v>
      </c>
      <c r="U5359">
        <v>-0.19781489999999999</v>
      </c>
      <c r="V5359">
        <v>8.877546E-2</v>
      </c>
      <c r="W5359">
        <v>0.17938390000000001</v>
      </c>
      <c r="X5359">
        <v>0.97976549999999996</v>
      </c>
      <c r="Y5359">
        <v>6.7752580000000007E-2</v>
      </c>
      <c r="Z5359">
        <v>-1.451822E-3</v>
      </c>
      <c r="AA5359">
        <v>0.99770110000000001</v>
      </c>
      <c r="AB5359">
        <v>31</v>
      </c>
      <c r="AC5359">
        <v>39.938899999999897</v>
      </c>
      <c r="AD5359">
        <v>-1.1714249999999999</v>
      </c>
      <c r="AE5359">
        <v>-2.6096300000000001</v>
      </c>
      <c r="AF5359">
        <v>2.73222514499439</v>
      </c>
      <c r="AG5359">
        <v>-1.1714249999999999</v>
      </c>
      <c r="AH5359">
        <v>39.896364459203397</v>
      </c>
      <c r="AI5359">
        <v>91.677890438415005</v>
      </c>
      <c r="AJ5359">
        <v>86.082326556114694</v>
      </c>
      <c r="AK5359">
        <v>40.006964241681104</v>
      </c>
      <c r="AL5359">
        <v>79.666124738473499</v>
      </c>
      <c r="AM5359">
        <v>84.822631069102698</v>
      </c>
      <c r="AN5359">
        <v>1.00000005043383</v>
      </c>
    </row>
    <row r="5360" spans="1:40" x14ac:dyDescent="0.25">
      <c r="A5360" t="str">
        <f>"20190303162927235"</f>
        <v>20190303162927235</v>
      </c>
      <c r="B5360" t="str">
        <f>"1551601767227111"</f>
        <v>1551601767227111</v>
      </c>
      <c r="C5360" t="s">
        <v>40</v>
      </c>
      <c r="D5360">
        <v>5.2351140000000003</v>
      </c>
      <c r="E5360">
        <v>0.4930969</v>
      </c>
      <c r="F5360" t="s">
        <v>42</v>
      </c>
      <c r="G5360">
        <v>-301.20060000000001</v>
      </c>
      <c r="H5360">
        <v>-0.05</v>
      </c>
      <c r="I5360">
        <v>14.918810000000001</v>
      </c>
      <c r="J5360">
        <v>-341.41210000000001</v>
      </c>
      <c r="K5360">
        <v>1.1213919999999999</v>
      </c>
      <c r="L5360">
        <v>17.47879</v>
      </c>
      <c r="M5360">
        <v>0.99992049999999999</v>
      </c>
      <c r="N5360">
        <v>-1.2211919999999999E-2</v>
      </c>
      <c r="O5360">
        <v>3.1882379999999999E-3</v>
      </c>
      <c r="P5360">
        <v>0.98209409999999997</v>
      </c>
      <c r="Q5360">
        <v>0.1677671</v>
      </c>
      <c r="R5360">
        <v>-8.5707770000000003E-2</v>
      </c>
      <c r="S5360">
        <v>3.0527039999999999</v>
      </c>
      <c r="T5360">
        <v>-8.8583229999999999E-2</v>
      </c>
      <c r="U5360">
        <v>-0.19354250000000001</v>
      </c>
      <c r="V5360">
        <v>8.8770379999999996E-2</v>
      </c>
      <c r="W5360">
        <v>0.17977839999999901</v>
      </c>
      <c r="X5360">
        <v>0.97969360000000005</v>
      </c>
      <c r="Y5360">
        <v>6.641503E-2</v>
      </c>
      <c r="Z5360">
        <v>-1.422031E-3</v>
      </c>
      <c r="AA5360">
        <v>0.99779110000000004</v>
      </c>
      <c r="AB5360">
        <v>31</v>
      </c>
      <c r="AC5360">
        <v>40.211500000000001</v>
      </c>
      <c r="AD5360">
        <v>-1.171392</v>
      </c>
      <c r="AE5360">
        <v>-2.5599799999999902</v>
      </c>
      <c r="AF5360">
        <v>2.68591029285589</v>
      </c>
      <c r="AG5360">
        <v>-1.171392</v>
      </c>
      <c r="AH5360">
        <v>40.169183120233498</v>
      </c>
      <c r="AI5360">
        <v>91.666635729260506</v>
      </c>
      <c r="AJ5360">
        <v>86.1746149673654</v>
      </c>
      <c r="AK5360">
        <v>40.275917691168502</v>
      </c>
      <c r="AL5360">
        <v>79.643147515246</v>
      </c>
      <c r="AM5360">
        <v>84.822547841710303</v>
      </c>
      <c r="AN5360">
        <v>1.0000000016764301</v>
      </c>
    </row>
    <row r="5361" spans="1:40" x14ac:dyDescent="0.25">
      <c r="A5361" t="str">
        <f>"20190303162927258"</f>
        <v>20190303162927258</v>
      </c>
      <c r="B5361" t="str">
        <f>"1551601767247609"</f>
        <v>1551601767247609</v>
      </c>
      <c r="C5361" t="s">
        <v>40</v>
      </c>
      <c r="D5361">
        <v>5.3361429999999999</v>
      </c>
      <c r="E5361">
        <v>0.49314249999999998</v>
      </c>
      <c r="F5361" t="s">
        <v>42</v>
      </c>
      <c r="G5361">
        <v>-300.483</v>
      </c>
      <c r="H5361">
        <v>-0.05</v>
      </c>
      <c r="I5361">
        <v>14.899929999999999</v>
      </c>
      <c r="J5361">
        <v>-341.10930000000002</v>
      </c>
      <c r="K5361">
        <v>1.12134</v>
      </c>
      <c r="L5361">
        <v>17.479859999999999</v>
      </c>
      <c r="M5361">
        <v>0.99992020000000004</v>
      </c>
      <c r="N5361">
        <v>-1.2210510000000001E-2</v>
      </c>
      <c r="O5361">
        <v>3.2643220000000001E-3</v>
      </c>
      <c r="P5361">
        <v>0.98206499999999997</v>
      </c>
      <c r="Q5361">
        <v>0.16769510000000001</v>
      </c>
      <c r="R5361">
        <v>-8.6180019999999996E-2</v>
      </c>
      <c r="S5361">
        <v>3.052826</v>
      </c>
      <c r="T5361">
        <v>-8.7371950000000004E-2</v>
      </c>
      <c r="U5361">
        <v>-0.1923523</v>
      </c>
      <c r="V5361">
        <v>8.9341859999999995E-2</v>
      </c>
      <c r="W5361">
        <v>0.17969260000000001</v>
      </c>
      <c r="X5361">
        <v>0.97965740000000001</v>
      </c>
      <c r="Y5361">
        <v>6.6102060000000004E-2</v>
      </c>
      <c r="Z5361">
        <v>-1.4023939999999999E-3</v>
      </c>
      <c r="AA5361">
        <v>0.99781189999999997</v>
      </c>
      <c r="AB5361">
        <v>31</v>
      </c>
      <c r="AC5361">
        <v>40.626300000000001</v>
      </c>
      <c r="AD5361">
        <v>-1.17134</v>
      </c>
      <c r="AE5361">
        <v>-2.5799300000000001</v>
      </c>
      <c r="AF5361">
        <v>2.7102994647226102</v>
      </c>
      <c r="AG5361">
        <v>-1.17134</v>
      </c>
      <c r="AH5361">
        <v>40.584059637836802</v>
      </c>
      <c r="AI5361">
        <v>91.649543631737799</v>
      </c>
      <c r="AJ5361">
        <v>86.179325549171907</v>
      </c>
      <c r="AK5361">
        <v>40.691321645672403</v>
      </c>
      <c r="AL5361">
        <v>79.648144961420002</v>
      </c>
      <c r="AM5361">
        <v>84.789208197046705</v>
      </c>
      <c r="AN5361">
        <v>1.0000000099088799</v>
      </c>
    </row>
    <row r="5362" spans="1:40" x14ac:dyDescent="0.25">
      <c r="A5362" t="str">
        <f>"20190303162927269"</f>
        <v>20190303162927269</v>
      </c>
      <c r="B5362" t="str">
        <f>"1551601767257368"</f>
        <v>1551601767257368</v>
      </c>
      <c r="C5362" t="s">
        <v>40</v>
      </c>
      <c r="D5362">
        <v>5.2833880000000004</v>
      </c>
      <c r="E5362">
        <v>0.49314249999999998</v>
      </c>
      <c r="F5362" t="s">
        <v>42</v>
      </c>
      <c r="G5362">
        <v>-300.18090000000001</v>
      </c>
      <c r="H5362">
        <v>-0.05</v>
      </c>
      <c r="I5362">
        <v>14.891970000000001</v>
      </c>
      <c r="J5362">
        <v>-340.94929999999999</v>
      </c>
      <c r="K5362">
        <v>1.1213139999999999</v>
      </c>
      <c r="L5362">
        <v>17.480439999999899</v>
      </c>
      <c r="M5362">
        <v>0.99992009999999998</v>
      </c>
      <c r="N5362">
        <v>-1.220981E-2</v>
      </c>
      <c r="O5362">
        <v>3.2826779999999998E-3</v>
      </c>
      <c r="P5362">
        <v>0.9820719</v>
      </c>
      <c r="Q5362">
        <v>0.16740369999999999</v>
      </c>
      <c r="R5362">
        <v>-8.6666469999999995E-2</v>
      </c>
      <c r="S5362">
        <v>3.0527340000000001</v>
      </c>
      <c r="T5362">
        <v>-8.7367059999999996E-2</v>
      </c>
      <c r="U5362">
        <v>-0.19302369999999999</v>
      </c>
      <c r="V5362">
        <v>8.9857190000000003E-2</v>
      </c>
      <c r="W5362">
        <v>0.1793952</v>
      </c>
      <c r="X5362">
        <v>0.97966470000000005</v>
      </c>
      <c r="Y5362">
        <v>6.6340709999999997E-2</v>
      </c>
      <c r="Z5362">
        <v>-1.4075120000000001E-3</v>
      </c>
      <c r="AA5362">
        <v>0.99779609999999996</v>
      </c>
      <c r="AB5362">
        <v>31</v>
      </c>
      <c r="AC5362">
        <v>40.7683999999999</v>
      </c>
      <c r="AD5362">
        <v>-1.171314</v>
      </c>
      <c r="AE5362">
        <v>-2.5884699999999898</v>
      </c>
      <c r="AF5362">
        <v>2.7200592515139199</v>
      </c>
      <c r="AG5362">
        <v>-1.171314</v>
      </c>
      <c r="AH5362">
        <v>40.726199434882901</v>
      </c>
      <c r="AI5362">
        <v>91.643752487491497</v>
      </c>
      <c r="AJ5362">
        <v>86.178951090100398</v>
      </c>
      <c r="AK5362">
        <v>40.833736287880797</v>
      </c>
      <c r="AL5362">
        <v>79.665465449765307</v>
      </c>
      <c r="AM5362">
        <v>84.759357707106702</v>
      </c>
      <c r="AN5362">
        <v>0.99999993840191104</v>
      </c>
    </row>
    <row r="5363" spans="1:40" x14ac:dyDescent="0.25">
      <c r="A5363" t="str">
        <f>"20190303162927279"</f>
        <v>20190303162927279</v>
      </c>
      <c r="B5363" t="str">
        <f>"1551601767267127"</f>
        <v>1551601767267127</v>
      </c>
      <c r="C5363" t="s">
        <v>40</v>
      </c>
      <c r="D5363">
        <v>5.1726429999999999</v>
      </c>
      <c r="E5363">
        <v>0.49425849999999999</v>
      </c>
      <c r="F5363" t="s">
        <v>42</v>
      </c>
      <c r="G5363">
        <v>-300.41609999999997</v>
      </c>
      <c r="H5363">
        <v>-0.05</v>
      </c>
      <c r="I5363">
        <v>14.90489</v>
      </c>
      <c r="J5363">
        <v>-340.80160000000001</v>
      </c>
      <c r="K5363">
        <v>1.1212869999999999</v>
      </c>
      <c r="L5363">
        <v>17.480929999999901</v>
      </c>
      <c r="M5363">
        <v>0.99992009999999998</v>
      </c>
      <c r="N5363">
        <v>-1.220914E-2</v>
      </c>
      <c r="O5363">
        <v>3.2897769999999998E-3</v>
      </c>
      <c r="P5363">
        <v>0.98210070000000005</v>
      </c>
      <c r="Q5363">
        <v>0.1670452</v>
      </c>
      <c r="R5363">
        <v>-8.7030460000000004E-2</v>
      </c>
      <c r="S5363">
        <v>3.0526430000000002</v>
      </c>
      <c r="T5363">
        <v>-8.821416E-2</v>
      </c>
      <c r="U5363">
        <v>-0.19396969999999999</v>
      </c>
      <c r="V5363">
        <v>9.0237189999999995E-2</v>
      </c>
      <c r="W5363">
        <v>0.17903160000000001</v>
      </c>
      <c r="X5363">
        <v>0.97969629999999996</v>
      </c>
      <c r="Y5363">
        <v>6.6656809999999997E-2</v>
      </c>
      <c r="Z5363">
        <v>-1.4242320000000001E-3</v>
      </c>
      <c r="AA5363">
        <v>0.99777499999999997</v>
      </c>
      <c r="AB5363">
        <v>31</v>
      </c>
      <c r="AC5363">
        <v>40.3855</v>
      </c>
      <c r="AD5363">
        <v>-1.171287</v>
      </c>
      <c r="AE5363">
        <v>-2.5760399999999901</v>
      </c>
      <c r="AF5363">
        <v>2.7066277781080599</v>
      </c>
      <c r="AG5363">
        <v>-1.171287</v>
      </c>
      <c r="AH5363">
        <v>40.343009010561701</v>
      </c>
      <c r="AI5363">
        <v>91.659285127692598</v>
      </c>
      <c r="AJ5363">
        <v>86.161756319227706</v>
      </c>
      <c r="AK5363">
        <v>40.450662827596098</v>
      </c>
      <c r="AL5363">
        <v>79.686641168796896</v>
      </c>
      <c r="AM5363">
        <v>84.737488358505601</v>
      </c>
      <c r="AN5363">
        <v>0.99999995224567095</v>
      </c>
    </row>
    <row r="5364" spans="1:40" x14ac:dyDescent="0.25">
      <c r="A5364" t="str">
        <f>"20190303162927291"</f>
        <v>20190303162927291</v>
      </c>
      <c r="B5364" t="str">
        <f>"1551601767287624"</f>
        <v>1551601767287624</v>
      </c>
      <c r="C5364" t="s">
        <v>40</v>
      </c>
      <c r="D5364">
        <v>5.1562479999999997</v>
      </c>
      <c r="E5364">
        <v>0.53085369999999998</v>
      </c>
      <c r="F5364" t="s">
        <v>42</v>
      </c>
      <c r="G5364">
        <v>-300.20830000000001</v>
      </c>
      <c r="H5364">
        <v>-0.05</v>
      </c>
      <c r="I5364">
        <v>14.77397</v>
      </c>
      <c r="J5364">
        <v>-340.63819999999998</v>
      </c>
      <c r="K5364">
        <v>1.121265</v>
      </c>
      <c r="L5364">
        <v>17.481479999999902</v>
      </c>
      <c r="M5364">
        <v>0.99992009999999998</v>
      </c>
      <c r="N5364">
        <v>-1.220836E-2</v>
      </c>
      <c r="O5364">
        <v>3.2878500000000001E-3</v>
      </c>
      <c r="P5364">
        <v>0.98210909999999996</v>
      </c>
      <c r="Q5364">
        <v>0.1667949</v>
      </c>
      <c r="R5364">
        <v>-8.7415580000000007E-2</v>
      </c>
      <c r="S5364">
        <v>3.0515439999999998</v>
      </c>
      <c r="T5364">
        <v>-8.8049890000000006E-2</v>
      </c>
      <c r="U5364">
        <v>-0.20349120000000001</v>
      </c>
      <c r="V5364">
        <v>9.0628340000000002E-2</v>
      </c>
      <c r="W5364">
        <v>0.17877680000000001</v>
      </c>
      <c r="X5364">
        <v>0.97970679999999999</v>
      </c>
      <c r="Y5364">
        <v>6.9775690000000001E-2</v>
      </c>
      <c r="Z5364">
        <v>-1.4865290000000001E-3</v>
      </c>
      <c r="AA5364">
        <v>0.99756160000000005</v>
      </c>
      <c r="AB5364">
        <v>31</v>
      </c>
      <c r="AC5364">
        <v>40.429899999999897</v>
      </c>
      <c r="AD5364">
        <v>-1.171265</v>
      </c>
      <c r="AE5364">
        <v>-2.7075099999999899</v>
      </c>
      <c r="AF5364">
        <v>2.8380614302008</v>
      </c>
      <c r="AG5364">
        <v>-1.171265</v>
      </c>
      <c r="AH5364">
        <v>40.387034345108802</v>
      </c>
      <c r="AI5364">
        <v>91.6570860664214</v>
      </c>
      <c r="AJ5364">
        <v>85.9803418291893</v>
      </c>
      <c r="AK5364">
        <v>40.503567714151004</v>
      </c>
      <c r="AL5364">
        <v>79.701480308160598</v>
      </c>
      <c r="AM5364">
        <v>84.714862243748996</v>
      </c>
      <c r="AN5364">
        <v>1.00000002709781</v>
      </c>
    </row>
    <row r="5365" spans="1:40" x14ac:dyDescent="0.25">
      <c r="A5365" t="str">
        <f>"20190303162927304"</f>
        <v>20190303162927304</v>
      </c>
      <c r="B5365" t="str">
        <f>"1551601767297384"</f>
        <v>1551601767297384</v>
      </c>
      <c r="C5365" t="s">
        <v>40</v>
      </c>
      <c r="D5365">
        <v>5.1333510000000002</v>
      </c>
      <c r="E5365">
        <v>0.53153519999999999</v>
      </c>
      <c r="F5365" t="s">
        <v>42</v>
      </c>
      <c r="G5365">
        <v>-316.31639999999999</v>
      </c>
      <c r="H5365">
        <v>-0.05</v>
      </c>
      <c r="I5365">
        <v>13.5235</v>
      </c>
      <c r="J5365">
        <v>-340.46190000000001</v>
      </c>
      <c r="K5365">
        <v>1.1212470000000001</v>
      </c>
      <c r="L5365">
        <v>17.482089999999999</v>
      </c>
      <c r="M5365">
        <v>0.99992009999999998</v>
      </c>
      <c r="N5365">
        <v>-1.22075E-2</v>
      </c>
      <c r="O5365">
        <v>3.2810500000000002E-3</v>
      </c>
      <c r="P5365">
        <v>0.98216150000000002</v>
      </c>
      <c r="Q5365">
        <v>0.166127</v>
      </c>
      <c r="R5365">
        <v>-8.8096569999999999E-2</v>
      </c>
      <c r="S5365">
        <v>3.0355530000000002</v>
      </c>
      <c r="T5365">
        <v>-0.14618349999999999</v>
      </c>
      <c r="U5365">
        <v>-0.49398799999999998</v>
      </c>
      <c r="V5365">
        <v>9.1310050000000004E-2</v>
      </c>
      <c r="W5365">
        <v>0.1781054</v>
      </c>
      <c r="X5365">
        <v>0.97976580000000002</v>
      </c>
      <c r="Y5365">
        <v>0.1636243</v>
      </c>
      <c r="Z5365">
        <v>-5.0349879999999998E-3</v>
      </c>
      <c r="AA5365">
        <v>0.98650990000000005</v>
      </c>
      <c r="AB5365">
        <v>31</v>
      </c>
      <c r="AC5365">
        <v>24.145499999999998</v>
      </c>
      <c r="AD5365">
        <v>-1.1712469999999999</v>
      </c>
      <c r="AE5365">
        <v>-3.9585899999999898</v>
      </c>
      <c r="AF5365">
        <v>4.0285660336000504</v>
      </c>
      <c r="AG5365">
        <v>-1.1712469999999999</v>
      </c>
      <c r="AH5365">
        <v>24.077209622618302</v>
      </c>
      <c r="AI5365">
        <v>92.746859522875695</v>
      </c>
      <c r="AJ5365">
        <v>80.501335772584</v>
      </c>
      <c r="AK5365">
        <v>24.439991551422199</v>
      </c>
      <c r="AL5365">
        <v>79.7405763014565</v>
      </c>
      <c r="AM5365">
        <v>84.675653683149903</v>
      </c>
      <c r="AN5365">
        <v>1.0000000407948999</v>
      </c>
    </row>
    <row r="5366" spans="1:40" x14ac:dyDescent="0.25">
      <c r="A5366" t="str">
        <f>"20190303162927315"</f>
        <v>20190303162927315</v>
      </c>
      <c r="B5366" t="str">
        <f>"1551601767307143"</f>
        <v>1551601767307143</v>
      </c>
      <c r="C5366" t="s">
        <v>40</v>
      </c>
      <c r="D5366">
        <v>5.1720709999999999</v>
      </c>
      <c r="E5366">
        <v>0.53149209999999902</v>
      </c>
      <c r="F5366" t="s">
        <v>42</v>
      </c>
      <c r="G5366">
        <v>-316.01139999999998</v>
      </c>
      <c r="H5366">
        <v>-0.05</v>
      </c>
      <c r="I5366">
        <v>13.444179999999999</v>
      </c>
      <c r="J5366">
        <v>-340.2842</v>
      </c>
      <c r="K5366">
        <v>1.1212359999999999</v>
      </c>
      <c r="L5366">
        <v>17.482669999999999</v>
      </c>
      <c r="M5366">
        <v>0.99992020000000004</v>
      </c>
      <c r="N5366">
        <v>-1.2206669999999999E-2</v>
      </c>
      <c r="O5366">
        <v>3.2684279999999999E-3</v>
      </c>
      <c r="P5366">
        <v>0.98218380000000005</v>
      </c>
      <c r="Q5366">
        <v>0.16568339999999901</v>
      </c>
      <c r="R5366">
        <v>-8.8679889999999997E-2</v>
      </c>
      <c r="S5366">
        <v>3.0340880000000001</v>
      </c>
      <c r="T5366">
        <v>-0.14534079999999999</v>
      </c>
      <c r="U5366">
        <v>-0.50106809999999902</v>
      </c>
      <c r="V5366">
        <v>9.1885939999999999E-2</v>
      </c>
      <c r="W5366">
        <v>0.17765829999999999</v>
      </c>
      <c r="X5366">
        <v>0.97979309999999997</v>
      </c>
      <c r="Y5366">
        <v>0.16592779999999999</v>
      </c>
      <c r="Z5366">
        <v>-5.0813400000000002E-3</v>
      </c>
      <c r="AA5366">
        <v>0.98612480000000002</v>
      </c>
      <c r="AB5366">
        <v>31</v>
      </c>
      <c r="AC5366">
        <v>24.2728</v>
      </c>
      <c r="AD5366">
        <v>-1.1712359999999999</v>
      </c>
      <c r="AE5366">
        <v>-4.0384900000000004</v>
      </c>
      <c r="AF5366">
        <v>4.1084998638896701</v>
      </c>
      <c r="AG5366">
        <v>-1.1712359999999999</v>
      </c>
      <c r="AH5366">
        <v>24.204630931413099</v>
      </c>
      <c r="AI5366">
        <v>92.731313017732205</v>
      </c>
      <c r="AJ5366">
        <v>80.366420413349203</v>
      </c>
      <c r="AK5366">
        <v>24.5787657018247</v>
      </c>
      <c r="AL5366">
        <v>79.766608070040405</v>
      </c>
      <c r="AM5366">
        <v>84.642416395959899</v>
      </c>
      <c r="AN5366">
        <v>1.00000000816809</v>
      </c>
    </row>
    <row r="5367" spans="1:40" x14ac:dyDescent="0.25">
      <c r="A5367" t="str">
        <f>"20190303162927328"</f>
        <v>20190303162927328</v>
      </c>
      <c r="B5367" t="str">
        <f>"1551601767316903"</f>
        <v>1551601767316903</v>
      </c>
      <c r="C5367" t="s">
        <v>40</v>
      </c>
      <c r="D5367">
        <v>5.0470769999999998</v>
      </c>
      <c r="E5367">
        <v>0.53264549999999999</v>
      </c>
      <c r="F5367" t="s">
        <v>42</v>
      </c>
      <c r="G5367">
        <v>-315.9418</v>
      </c>
      <c r="H5367">
        <v>-0.05</v>
      </c>
      <c r="I5367">
        <v>13.453480000000001</v>
      </c>
      <c r="J5367">
        <v>-340.12119999999999</v>
      </c>
      <c r="K5367">
        <v>1.1212230000000001</v>
      </c>
      <c r="L5367">
        <v>17.483219999999999</v>
      </c>
      <c r="M5367">
        <v>0.99992020000000004</v>
      </c>
      <c r="N5367">
        <v>-1.220595E-2</v>
      </c>
      <c r="O5367">
        <v>3.2568580000000001E-3</v>
      </c>
      <c r="P5367">
        <v>0.98221760000000002</v>
      </c>
      <c r="Q5367">
        <v>0.1650952</v>
      </c>
      <c r="R5367">
        <v>-8.9400750000000001E-2</v>
      </c>
      <c r="S5367">
        <v>3.0336609999999999</v>
      </c>
      <c r="T5367">
        <v>-0.1459646</v>
      </c>
      <c r="U5367">
        <v>-0.50213620000000003</v>
      </c>
      <c r="V5367">
        <v>9.2599470000000003E-2</v>
      </c>
      <c r="W5367">
        <v>0.17706839999999999</v>
      </c>
      <c r="X5367">
        <v>0.9798327</v>
      </c>
      <c r="Y5367">
        <v>0.16627430000000001</v>
      </c>
      <c r="Z5367">
        <v>-5.1093479999999997E-3</v>
      </c>
      <c r="AA5367">
        <v>0.98606629999999995</v>
      </c>
      <c r="AB5367">
        <v>31</v>
      </c>
      <c r="AC5367">
        <v>24.179399999999902</v>
      </c>
      <c r="AD5367">
        <v>-1.1712229999999999</v>
      </c>
      <c r="AE5367">
        <v>-4.0297400000000003</v>
      </c>
      <c r="AF5367">
        <v>4.0991154295101104</v>
      </c>
      <c r="AG5367">
        <v>-1.1712229999999999</v>
      </c>
      <c r="AH5367">
        <v>24.111102862286302</v>
      </c>
      <c r="AI5367">
        <v>92.741739694842195</v>
      </c>
      <c r="AJ5367">
        <v>80.351428233064098</v>
      </c>
      <c r="AK5367">
        <v>24.485093258060601</v>
      </c>
      <c r="AL5367">
        <v>79.800951264678304</v>
      </c>
      <c r="AM5367">
        <v>84.601274484084001</v>
      </c>
      <c r="AN5367">
        <v>1.00000000005606</v>
      </c>
    </row>
    <row r="5368" spans="1:40" x14ac:dyDescent="0.25">
      <c r="A5368" t="str">
        <f>"20190303162927340"</f>
        <v>20190303162927340</v>
      </c>
      <c r="B5368" t="str">
        <f>"1551601767327640"</f>
        <v>1551601767327640</v>
      </c>
      <c r="C5368" t="s">
        <v>40</v>
      </c>
      <c r="D5368">
        <v>5.0749000000000004</v>
      </c>
      <c r="E5368">
        <v>0.53364279999999997</v>
      </c>
      <c r="F5368" t="s">
        <v>42</v>
      </c>
      <c r="G5368">
        <v>-315.77190000000002</v>
      </c>
      <c r="H5368">
        <v>-0.05</v>
      </c>
      <c r="I5368">
        <v>13.36111</v>
      </c>
      <c r="J5368">
        <v>-339.94260000000003</v>
      </c>
      <c r="K5368">
        <v>1.1212120000000001</v>
      </c>
      <c r="L5368">
        <v>17.48376</v>
      </c>
      <c r="M5368">
        <v>0.99992029999999998</v>
      </c>
      <c r="N5368">
        <v>-1.2205229999999999E-2</v>
      </c>
      <c r="O5368">
        <v>3.244481E-3</v>
      </c>
      <c r="P5368">
        <v>0.98222549999999997</v>
      </c>
      <c r="Q5368">
        <v>0.16457239999999901</v>
      </c>
      <c r="R5368">
        <v>-9.027346E-2</v>
      </c>
      <c r="S5368">
        <v>3.0321039999999999</v>
      </c>
      <c r="T5368">
        <v>-0.14584720000000001</v>
      </c>
      <c r="U5368">
        <v>-0.51330569999999998</v>
      </c>
      <c r="V5368">
        <v>9.3463019999999994E-2</v>
      </c>
      <c r="W5368">
        <v>0.1765427</v>
      </c>
      <c r="X5368">
        <v>0.97984559999999998</v>
      </c>
      <c r="Y5368">
        <v>0.16987099999999999</v>
      </c>
      <c r="Z5368">
        <v>-5.2146609999999998E-3</v>
      </c>
      <c r="AA5368">
        <v>0.98545249999999995</v>
      </c>
      <c r="AB5368">
        <v>31</v>
      </c>
      <c r="AC5368">
        <v>24.1707</v>
      </c>
      <c r="AD5368">
        <v>-1.1712119999999999</v>
      </c>
      <c r="AE5368">
        <v>-4.1226500000000001</v>
      </c>
      <c r="AF5368">
        <v>4.1914922295663599</v>
      </c>
      <c r="AG5368">
        <v>-1.1712119999999999</v>
      </c>
      <c r="AH5368">
        <v>24.102204464863199</v>
      </c>
      <c r="AI5368">
        <v>92.740943508021601</v>
      </c>
      <c r="AJ5368">
        <v>80.134644164432103</v>
      </c>
      <c r="AK5368">
        <v>24.4919702091426</v>
      </c>
      <c r="AL5368">
        <v>79.831554086568005</v>
      </c>
      <c r="AM5368">
        <v>84.5513007924215</v>
      </c>
      <c r="AN5368">
        <v>1.00000003043508</v>
      </c>
    </row>
    <row r="5369" spans="1:40" x14ac:dyDescent="0.25">
      <c r="A5369" t="str">
        <f>"20190303162927353"</f>
        <v>20190303162927353</v>
      </c>
      <c r="B5369" t="str">
        <f>"1551601767337399"</f>
        <v>1551601767337399</v>
      </c>
      <c r="C5369" t="s">
        <v>40</v>
      </c>
      <c r="D5369">
        <v>5.0556409999999996</v>
      </c>
      <c r="E5369">
        <v>0.53405760000000002</v>
      </c>
      <c r="F5369" t="s">
        <v>42</v>
      </c>
      <c r="G5369">
        <v>-315.34739999999999</v>
      </c>
      <c r="H5369">
        <v>-0.05</v>
      </c>
      <c r="I5369">
        <v>13.2321299999999</v>
      </c>
      <c r="J5369">
        <v>-339.78829999999999</v>
      </c>
      <c r="K5369">
        <v>1.1212070000000001</v>
      </c>
      <c r="L5369">
        <v>17.484279999999998</v>
      </c>
      <c r="M5369">
        <v>0.99992040000000004</v>
      </c>
      <c r="N5369">
        <v>-1.2204649999999999E-2</v>
      </c>
      <c r="O5369">
        <v>3.235487E-3</v>
      </c>
      <c r="P5369">
        <v>0.98227920000000002</v>
      </c>
      <c r="Q5369">
        <v>0.16386029999999999</v>
      </c>
      <c r="R5369">
        <v>-9.0982720000000003E-2</v>
      </c>
      <c r="S5369">
        <v>3.0303339999999999</v>
      </c>
      <c r="T5369">
        <v>-0.14430279999999901</v>
      </c>
      <c r="U5369">
        <v>-0.52383420000000003</v>
      </c>
      <c r="V5369">
        <v>9.4165239999999997E-2</v>
      </c>
      <c r="W5369">
        <v>0.17583019999999999</v>
      </c>
      <c r="X5369">
        <v>0.97990639999999996</v>
      </c>
      <c r="Y5369">
        <v>0.17328199999999999</v>
      </c>
      <c r="Z5369">
        <v>-5.2728239999999997E-3</v>
      </c>
      <c r="AA5369">
        <v>0.98485820000000002</v>
      </c>
      <c r="AB5369">
        <v>31</v>
      </c>
      <c r="AC5369">
        <v>24.440899999999999</v>
      </c>
      <c r="AD5369">
        <v>-1.1712069999999899</v>
      </c>
      <c r="AE5369">
        <v>-4.2521500000000003</v>
      </c>
      <c r="AF5369">
        <v>4.3215796403609898</v>
      </c>
      <c r="AG5369">
        <v>-1.1712069999999899</v>
      </c>
      <c r="AH5369">
        <v>24.372689944737001</v>
      </c>
      <c r="AI5369">
        <v>92.708988268314599</v>
      </c>
      <c r="AJ5369">
        <v>79.945252522892204</v>
      </c>
      <c r="AK5369">
        <v>24.780552688895199</v>
      </c>
      <c r="AL5369">
        <v>79.873025282825495</v>
      </c>
      <c r="AM5369">
        <v>84.510950483200105</v>
      </c>
      <c r="AN5369">
        <v>0.99999995220862703</v>
      </c>
    </row>
    <row r="5370" spans="1:40" x14ac:dyDescent="0.25">
      <c r="A5370" t="str">
        <f>"20190303162927364"</f>
        <v>20190303162927364</v>
      </c>
      <c r="B5370" t="str">
        <f>"1551601767356919"</f>
        <v>1551601767356919</v>
      </c>
      <c r="C5370" t="s">
        <v>40</v>
      </c>
      <c r="D5370">
        <v>5.046424</v>
      </c>
      <c r="E5370">
        <v>0.53462460000000001</v>
      </c>
      <c r="F5370" t="s">
        <v>42</v>
      </c>
      <c r="G5370">
        <v>-315.53899999999999</v>
      </c>
      <c r="H5370">
        <v>-0.05</v>
      </c>
      <c r="I5370">
        <v>13.25081</v>
      </c>
      <c r="J5370">
        <v>-339.60989999999998</v>
      </c>
      <c r="K5370">
        <v>1.1212009999999999</v>
      </c>
      <c r="L5370">
        <v>17.48489</v>
      </c>
      <c r="M5370">
        <v>0.99992040000000004</v>
      </c>
      <c r="N5370">
        <v>-1.2204E-2</v>
      </c>
      <c r="O5370">
        <v>3.2262020000000001E-3</v>
      </c>
      <c r="P5370">
        <v>0.98233619999999999</v>
      </c>
      <c r="Q5370">
        <v>0.1631204</v>
      </c>
      <c r="R5370">
        <v>-9.1694159999999997E-2</v>
      </c>
      <c r="S5370">
        <v>3.029541</v>
      </c>
      <c r="T5370">
        <v>-0.14632249999999999</v>
      </c>
      <c r="U5370">
        <v>-0.52890009999999998</v>
      </c>
      <c r="V5370">
        <v>9.4869259999999997E-2</v>
      </c>
      <c r="W5370">
        <v>0.17508950000000001</v>
      </c>
      <c r="X5370">
        <v>0.97997120000000004</v>
      </c>
      <c r="Y5370">
        <v>0.17490600000000001</v>
      </c>
      <c r="Z5370">
        <v>-5.3813680000000001E-3</v>
      </c>
      <c r="AA5370">
        <v>0.98457039999999996</v>
      </c>
      <c r="AB5370">
        <v>31</v>
      </c>
      <c r="AC5370">
        <v>24.070899999999899</v>
      </c>
      <c r="AD5370">
        <v>-1.1712009999999999</v>
      </c>
      <c r="AE5370">
        <v>-4.2340799999999899</v>
      </c>
      <c r="AF5370">
        <v>4.3018426445559701</v>
      </c>
      <c r="AG5370">
        <v>-1.1712009999999999</v>
      </c>
      <c r="AH5370">
        <v>24.001995909315401</v>
      </c>
      <c r="AI5370">
        <v>92.749839704292995</v>
      </c>
      <c r="AJ5370">
        <v>79.838846342109406</v>
      </c>
      <c r="AK5370">
        <v>24.4125658125424</v>
      </c>
      <c r="AL5370">
        <v>79.916133822498296</v>
      </c>
      <c r="AM5370">
        <v>84.470528807166602</v>
      </c>
      <c r="AN5370">
        <v>1.00000003116631</v>
      </c>
    </row>
    <row r="5371" spans="1:40" x14ac:dyDescent="0.25">
      <c r="A5371" t="str">
        <f>"20190303162927380"</f>
        <v>20190303162927380</v>
      </c>
      <c r="B5371" t="str">
        <f>"1551601767367655"</f>
        <v>1551601767367655</v>
      </c>
      <c r="C5371" t="s">
        <v>40</v>
      </c>
      <c r="D5371">
        <v>5.0421620000000003</v>
      </c>
      <c r="E5371">
        <v>0.53477799999999998</v>
      </c>
      <c r="F5371" t="s">
        <v>42</v>
      </c>
      <c r="G5371">
        <v>-315.38330000000002</v>
      </c>
      <c r="H5371">
        <v>-0.05</v>
      </c>
      <c r="I5371">
        <v>13.2023799999999</v>
      </c>
      <c r="J5371">
        <v>-339.37689999999998</v>
      </c>
      <c r="K5371">
        <v>1.121192</v>
      </c>
      <c r="L5371">
        <v>17.485600000000002</v>
      </c>
      <c r="M5371">
        <v>0.99992029999999998</v>
      </c>
      <c r="N5371">
        <v>-1.2203220000000001E-2</v>
      </c>
      <c r="O5371">
        <v>3.2178910000000001E-3</v>
      </c>
      <c r="P5371">
        <v>0.98242960000000001</v>
      </c>
      <c r="Q5371">
        <v>0.16206229999999999</v>
      </c>
      <c r="R5371">
        <v>-9.2561229999999994E-2</v>
      </c>
      <c r="S5371">
        <v>3.0282900000000001</v>
      </c>
      <c r="T5371">
        <v>-0.1463988</v>
      </c>
      <c r="U5371">
        <v>-0.53530880000000003</v>
      </c>
      <c r="V5371">
        <v>9.572949E-2</v>
      </c>
      <c r="W5371">
        <v>0.17403160000000001</v>
      </c>
      <c r="X5371">
        <v>0.98007599999999995</v>
      </c>
      <c r="Y5371">
        <v>0.17698429999999901</v>
      </c>
      <c r="Z5371">
        <v>-5.4470609999999996E-3</v>
      </c>
      <c r="AA5371">
        <v>0.98419860000000003</v>
      </c>
      <c r="AB5371">
        <v>31</v>
      </c>
      <c r="AC5371">
        <v>23.993599999999901</v>
      </c>
      <c r="AD5371">
        <v>-1.171192</v>
      </c>
      <c r="AE5371">
        <v>-4.28322</v>
      </c>
      <c r="AF5371">
        <v>4.3503669636634497</v>
      </c>
      <c r="AG5371">
        <v>-1.171192</v>
      </c>
      <c r="AH5371">
        <v>23.924448025408001</v>
      </c>
      <c r="AI5371">
        <v>92.757461799229802</v>
      </c>
      <c r="AJ5371">
        <v>79.694070174645802</v>
      </c>
      <c r="AK5371">
        <v>24.344950128103498</v>
      </c>
      <c r="AL5371">
        <v>79.977692353349696</v>
      </c>
      <c r="AM5371">
        <v>84.421297931399295</v>
      </c>
      <c r="AN5371">
        <v>1.0000000494151</v>
      </c>
    </row>
    <row r="5372" spans="1:40" x14ac:dyDescent="0.25">
      <c r="A5372" t="str">
        <f>"20190303162927394"</f>
        <v>20190303162927394</v>
      </c>
      <c r="B5372" t="str">
        <f>"1551601767387175"</f>
        <v>1551601767387175</v>
      </c>
      <c r="C5372" t="s">
        <v>40</v>
      </c>
      <c r="D5372">
        <v>5.0917450000000004</v>
      </c>
      <c r="E5372">
        <v>0.53498059999999903</v>
      </c>
      <c r="F5372" t="s">
        <v>42</v>
      </c>
      <c r="G5372">
        <v>-315.15190000000001</v>
      </c>
      <c r="H5372">
        <v>-0.05</v>
      </c>
      <c r="I5372">
        <v>13.170529999999999</v>
      </c>
      <c r="J5372">
        <v>-339.21050000000002</v>
      </c>
      <c r="K5372">
        <v>1.1211869999999999</v>
      </c>
      <c r="L5372">
        <v>17.486149999999999</v>
      </c>
      <c r="M5372">
        <v>0.99992049999999999</v>
      </c>
      <c r="N5372">
        <v>-1.22027E-2</v>
      </c>
      <c r="O5372">
        <v>3.2138330000000001E-3</v>
      </c>
      <c r="P5372">
        <v>0.98242770000000001</v>
      </c>
      <c r="Q5372">
        <v>0.16188930000000001</v>
      </c>
      <c r="R5372">
        <v>-9.2889260000000001E-2</v>
      </c>
      <c r="S5372">
        <v>3.0270079999999999</v>
      </c>
      <c r="T5372">
        <v>-0.146344899999999</v>
      </c>
      <c r="U5372">
        <v>-0.53918459999999901</v>
      </c>
      <c r="V5372">
        <v>9.6053459999999993E-2</v>
      </c>
      <c r="W5372">
        <v>0.17385789999999901</v>
      </c>
      <c r="X5372">
        <v>0.98007509999999998</v>
      </c>
      <c r="Y5372">
        <v>0.1782715</v>
      </c>
      <c r="Z5372">
        <v>-5.4855019999999997E-3</v>
      </c>
      <c r="AA5372">
        <v>0.98396609999999995</v>
      </c>
      <c r="AB5372">
        <v>31</v>
      </c>
      <c r="AC5372">
        <v>24.058599999999998</v>
      </c>
      <c r="AD5372">
        <v>-1.171187</v>
      </c>
      <c r="AE5372">
        <v>-4.3156199999999902</v>
      </c>
      <c r="AF5372">
        <v>4.3828610618102699</v>
      </c>
      <c r="AG5372">
        <v>-1.171187</v>
      </c>
      <c r="AH5372">
        <v>23.989526878500701</v>
      </c>
      <c r="AI5372">
        <v>92.749564004527301</v>
      </c>
      <c r="AJ5372">
        <v>79.6463123885557</v>
      </c>
      <c r="AK5372">
        <v>24.414719943722702</v>
      </c>
      <c r="AL5372">
        <v>79.987798390191202</v>
      </c>
      <c r="AM5372">
        <v>84.402532945697502</v>
      </c>
      <c r="AN5372">
        <v>1.0000000191051901</v>
      </c>
    </row>
    <row r="5373" spans="1:40" x14ac:dyDescent="0.25">
      <c r="A5373" t="str">
        <f>"20190303162927406"</f>
        <v>20190303162927406</v>
      </c>
      <c r="B5373" t="str">
        <f>"1551601767396935"</f>
        <v>1551601767396935</v>
      </c>
      <c r="C5373" t="s">
        <v>40</v>
      </c>
      <c r="D5373">
        <v>5.08317</v>
      </c>
      <c r="E5373">
        <v>0.53506699999999996</v>
      </c>
      <c r="F5373" t="s">
        <v>42</v>
      </c>
      <c r="G5373">
        <v>-314.36540000000002</v>
      </c>
      <c r="H5373">
        <v>-0.05</v>
      </c>
      <c r="I5373">
        <v>13.03773</v>
      </c>
      <c r="J5373">
        <v>-339.01729999999998</v>
      </c>
      <c r="K5373">
        <v>1.121186</v>
      </c>
      <c r="L5373">
        <v>17.48676</v>
      </c>
      <c r="M5373">
        <v>0.99992049999999999</v>
      </c>
      <c r="N5373">
        <v>-1.220212E-2</v>
      </c>
      <c r="O5373">
        <v>3.2106719999999999E-3</v>
      </c>
      <c r="P5373">
        <v>0.98246169999999999</v>
      </c>
      <c r="Q5373">
        <v>0.1614197</v>
      </c>
      <c r="R5373">
        <v>-9.3344350000000006E-2</v>
      </c>
      <c r="S5373">
        <v>3.025909</v>
      </c>
      <c r="T5373">
        <v>-0.14264009999999999</v>
      </c>
      <c r="U5373">
        <v>-0.5417786</v>
      </c>
      <c r="V5373">
        <v>9.6505649999999998E-2</v>
      </c>
      <c r="W5373">
        <v>0.173388299999999</v>
      </c>
      <c r="X5373">
        <v>0.98011389999999998</v>
      </c>
      <c r="Y5373">
        <v>0.1791576</v>
      </c>
      <c r="Z5373">
        <v>-5.4008210000000001E-3</v>
      </c>
      <c r="AA5373">
        <v>0.9838055</v>
      </c>
      <c r="AB5373">
        <v>31</v>
      </c>
      <c r="AC5373">
        <v>24.651899999999898</v>
      </c>
      <c r="AD5373">
        <v>-1.1711860000000001</v>
      </c>
      <c r="AE5373">
        <v>-4.4490299999999996</v>
      </c>
      <c r="AF5373">
        <v>4.51828557713743</v>
      </c>
      <c r="AG5373">
        <v>-1.1711860000000001</v>
      </c>
      <c r="AH5373">
        <v>24.583749767196299</v>
      </c>
      <c r="AI5373">
        <v>92.682680359837804</v>
      </c>
      <c r="AJ5373">
        <v>79.585743865363597</v>
      </c>
      <c r="AK5373">
        <v>25.022936155041599</v>
      </c>
      <c r="AL5373">
        <v>80.015119747066393</v>
      </c>
      <c r="AM5373">
        <v>84.376571519889893</v>
      </c>
      <c r="AN5373">
        <v>1.00000005001601</v>
      </c>
    </row>
    <row r="5374" spans="1:40" x14ac:dyDescent="0.25">
      <c r="A5374" t="str">
        <f>"20190303162927425"</f>
        <v>20190303162927425</v>
      </c>
      <c r="B5374" t="str">
        <f>"1551601767417433"</f>
        <v>1551601767417433</v>
      </c>
      <c r="C5374" t="s">
        <v>40</v>
      </c>
      <c r="D5374">
        <v>5.0494719999999997</v>
      </c>
      <c r="E5374">
        <v>0.53518779999999999</v>
      </c>
      <c r="F5374" t="s">
        <v>42</v>
      </c>
      <c r="G5374">
        <v>-314.20819999999998</v>
      </c>
      <c r="H5374">
        <v>-0.05</v>
      </c>
      <c r="I5374">
        <v>13.02397</v>
      </c>
      <c r="J5374">
        <v>-338.74520000000001</v>
      </c>
      <c r="K5374">
        <v>1.121183</v>
      </c>
      <c r="L5374">
        <v>17.487639999999999</v>
      </c>
      <c r="M5374">
        <v>0.99992049999999999</v>
      </c>
      <c r="N5374">
        <v>-1.2201399999999999E-2</v>
      </c>
      <c r="O5374">
        <v>3.2084710000000001E-3</v>
      </c>
      <c r="P5374">
        <v>0.98247779999999996</v>
      </c>
      <c r="Q5374">
        <v>0.16087299999999999</v>
      </c>
      <c r="R5374">
        <v>-9.4114710000000004E-2</v>
      </c>
      <c r="S5374">
        <v>3.0253909999999999</v>
      </c>
      <c r="T5374">
        <v>-0.142822</v>
      </c>
      <c r="U5374">
        <v>-0.54422000000000004</v>
      </c>
      <c r="V5374">
        <v>9.727392E-2</v>
      </c>
      <c r="W5374">
        <v>0.17284070000000001</v>
      </c>
      <c r="X5374">
        <v>0.98013459999999997</v>
      </c>
      <c r="Y5374">
        <v>0.1799521</v>
      </c>
      <c r="Z5374">
        <v>-5.4301999999999996E-3</v>
      </c>
      <c r="AA5374">
        <v>0.98366039999999999</v>
      </c>
      <c r="AB5374">
        <v>31</v>
      </c>
      <c r="AC5374">
        <v>24.536999999999999</v>
      </c>
      <c r="AD5374">
        <v>-1.1711830000000001</v>
      </c>
      <c r="AE5374">
        <v>-4.4636699999999898</v>
      </c>
      <c r="AF5374">
        <v>4.5323838773827196</v>
      </c>
      <c r="AG5374">
        <v>-1.1711830000000001</v>
      </c>
      <c r="AH5374">
        <v>24.4685905646996</v>
      </c>
      <c r="AI5374">
        <v>92.694588676047104</v>
      </c>
      <c r="AJ5374">
        <v>79.505889106767</v>
      </c>
      <c r="AK5374">
        <v>24.912368363011101</v>
      </c>
      <c r="AL5374">
        <v>80.046975170131702</v>
      </c>
      <c r="AM5374">
        <v>84.332213347888896</v>
      </c>
      <c r="AN5374">
        <v>0.99999997860290701</v>
      </c>
    </row>
    <row r="5375" spans="1:40" x14ac:dyDescent="0.25">
      <c r="A5375" t="str">
        <f>"20190303162927435"</f>
        <v>20190303162927435</v>
      </c>
      <c r="B5375" t="str">
        <f>"1551601767427191"</f>
        <v>1551601767427191</v>
      </c>
      <c r="C5375" t="s">
        <v>40</v>
      </c>
      <c r="D5375">
        <v>5.0794810000000004</v>
      </c>
      <c r="E5375">
        <v>0.53521160000000001</v>
      </c>
      <c r="F5375" t="s">
        <v>42</v>
      </c>
      <c r="G5375">
        <v>-313.92919999999998</v>
      </c>
      <c r="H5375">
        <v>-0.05</v>
      </c>
      <c r="I5375">
        <v>12.9937</v>
      </c>
      <c r="J5375">
        <v>-338.59190000000001</v>
      </c>
      <c r="K5375">
        <v>1.1211789999999999</v>
      </c>
      <c r="L5375">
        <v>17.488129999999899</v>
      </c>
      <c r="M5375">
        <v>0.99992060000000005</v>
      </c>
      <c r="N5375">
        <v>-1.2201099999999999E-2</v>
      </c>
      <c r="O5375">
        <v>3.2072749999999999E-3</v>
      </c>
      <c r="P5375">
        <v>0.98245539999999998</v>
      </c>
      <c r="Q5375">
        <v>0.16066649999999999</v>
      </c>
      <c r="R5375">
        <v>-9.4700619999999999E-2</v>
      </c>
      <c r="S5375">
        <v>3.0244450000000001</v>
      </c>
      <c r="T5375">
        <v>-0.142738</v>
      </c>
      <c r="U5375">
        <v>-0.54769899999999905</v>
      </c>
      <c r="V5375">
        <v>9.7858730000000005E-2</v>
      </c>
      <c r="W5375">
        <v>0.1726336</v>
      </c>
      <c r="X5375">
        <v>0.98011289999999995</v>
      </c>
      <c r="Y5375">
        <v>0.1810988</v>
      </c>
      <c r="Z5375">
        <v>-5.4624699999999997E-3</v>
      </c>
      <c r="AA5375">
        <v>0.98344980000000004</v>
      </c>
      <c r="AB5375">
        <v>31</v>
      </c>
      <c r="AC5375">
        <v>24.662700000000001</v>
      </c>
      <c r="AD5375">
        <v>-1.171179</v>
      </c>
      <c r="AE5375">
        <v>-4.4944299999999897</v>
      </c>
      <c r="AF5375">
        <v>4.5635523467961701</v>
      </c>
      <c r="AG5375">
        <v>-1.171179</v>
      </c>
      <c r="AH5375">
        <v>24.594476964092301</v>
      </c>
      <c r="AI5375">
        <v>92.680654364776004</v>
      </c>
      <c r="AJ5375">
        <v>79.4882088310532</v>
      </c>
      <c r="AK5375">
        <v>25.041684596074099</v>
      </c>
      <c r="AL5375">
        <v>80.059022370865094</v>
      </c>
      <c r="AM5375">
        <v>84.298237102815506</v>
      </c>
      <c r="AN5375">
        <v>0.99999999381629101</v>
      </c>
    </row>
    <row r="5376" spans="1:40" x14ac:dyDescent="0.25">
      <c r="A5376" t="str">
        <f>"20190303162927447"</f>
        <v>20190303162927447</v>
      </c>
      <c r="B5376" t="str">
        <f>"1551601767436952"</f>
        <v>1551601767436952</v>
      </c>
      <c r="C5376" t="s">
        <v>40</v>
      </c>
      <c r="D5376">
        <v>5.0277599999999998</v>
      </c>
      <c r="E5376">
        <v>0.53528149999999997</v>
      </c>
      <c r="F5376" t="s">
        <v>42</v>
      </c>
      <c r="G5376">
        <v>-313.83600000000001</v>
      </c>
      <c r="H5376">
        <v>-0.05</v>
      </c>
      <c r="I5376">
        <v>12.98836</v>
      </c>
      <c r="J5376">
        <v>-338.43880000000001</v>
      </c>
      <c r="K5376">
        <v>1.121167</v>
      </c>
      <c r="L5376">
        <v>17.488620000000001</v>
      </c>
      <c r="M5376">
        <v>0.99992040000000004</v>
      </c>
      <c r="N5376">
        <v>-1.2200809999999999E-2</v>
      </c>
      <c r="O5376">
        <v>3.2047569999999999E-3</v>
      </c>
      <c r="P5376">
        <v>0.98250590000000004</v>
      </c>
      <c r="Q5376">
        <v>0.15998670000000001</v>
      </c>
      <c r="R5376">
        <v>-9.5321660000000002E-2</v>
      </c>
      <c r="S5376">
        <v>3.0239560000000001</v>
      </c>
      <c r="T5376">
        <v>-0.14306070000000001</v>
      </c>
      <c r="U5376">
        <v>-0.54965209999999998</v>
      </c>
      <c r="V5376">
        <v>9.8477980000000007E-2</v>
      </c>
      <c r="W5376">
        <v>0.17195389999999999</v>
      </c>
      <c r="X5376">
        <v>0.9801704</v>
      </c>
      <c r="Y5376">
        <v>0.18173719999999999</v>
      </c>
      <c r="Z5376">
        <v>-5.4916799999999997E-3</v>
      </c>
      <c r="AA5376">
        <v>0.98333179999999998</v>
      </c>
      <c r="AB5376">
        <v>31</v>
      </c>
      <c r="AC5376">
        <v>24.602799999999998</v>
      </c>
      <c r="AD5376">
        <v>-1.1711670000000001</v>
      </c>
      <c r="AE5376">
        <v>-4.5002599999999999</v>
      </c>
      <c r="AF5376">
        <v>4.5690702380541799</v>
      </c>
      <c r="AG5376">
        <v>-1.1711670000000001</v>
      </c>
      <c r="AH5376">
        <v>24.534454082666301</v>
      </c>
      <c r="AI5376">
        <v>92.686848144458295</v>
      </c>
      <c r="AJ5376">
        <v>79.450612661931103</v>
      </c>
      <c r="AK5376">
        <v>24.983744157284001</v>
      </c>
      <c r="AL5376">
        <v>80.098557945808807</v>
      </c>
      <c r="AM5376">
        <v>84.2627306713416</v>
      </c>
      <c r="AN5376">
        <v>1.0000000346531199</v>
      </c>
    </row>
    <row r="5377" spans="1:40" x14ac:dyDescent="0.25">
      <c r="A5377" t="str">
        <f>"20190303162927459"</f>
        <v>20190303162927459</v>
      </c>
      <c r="B5377" t="str">
        <f>"1551601767447687"</f>
        <v>1551601767447687</v>
      </c>
      <c r="C5377" t="s">
        <v>40</v>
      </c>
      <c r="D5377">
        <v>5.0734199999999996</v>
      </c>
      <c r="E5377">
        <v>0.5354293</v>
      </c>
      <c r="F5377" t="s">
        <v>42</v>
      </c>
      <c r="G5377">
        <v>-313.86</v>
      </c>
      <c r="H5377">
        <v>-0.05</v>
      </c>
      <c r="I5377">
        <v>13.001010000000001</v>
      </c>
      <c r="J5377">
        <v>-338.26659999999998</v>
      </c>
      <c r="K5377">
        <v>1.1211599999999999</v>
      </c>
      <c r="L5377">
        <v>17.489139999999999</v>
      </c>
      <c r="M5377">
        <v>0.99992040000000004</v>
      </c>
      <c r="N5377">
        <v>-1.220049E-2</v>
      </c>
      <c r="O5377">
        <v>3.1994770000000001E-3</v>
      </c>
      <c r="P5377">
        <v>0.98249850000000005</v>
      </c>
      <c r="Q5377">
        <v>0.15966810000000001</v>
      </c>
      <c r="R5377">
        <v>-9.5930340000000003E-2</v>
      </c>
      <c r="S5377">
        <v>3.0233150000000002</v>
      </c>
      <c r="T5377">
        <v>-0.14405989999999999</v>
      </c>
      <c r="U5377">
        <v>-0.55200199999999999</v>
      </c>
      <c r="V5377">
        <v>9.9082539999999997E-2</v>
      </c>
      <c r="W5377">
        <v>0.17163399999999901</v>
      </c>
      <c r="X5377">
        <v>0.98016550000000002</v>
      </c>
      <c r="Y5377">
        <v>0.1825041</v>
      </c>
      <c r="Z5377">
        <v>-5.5457909999999996E-3</v>
      </c>
      <c r="AA5377">
        <v>0.98318950000000005</v>
      </c>
      <c r="AB5377">
        <v>31</v>
      </c>
      <c r="AC5377">
        <v>24.406599999999901</v>
      </c>
      <c r="AD5377">
        <v>-1.17116</v>
      </c>
      <c r="AE5377">
        <v>-4.4881299999999902</v>
      </c>
      <c r="AF5377">
        <v>4.5560535891357503</v>
      </c>
      <c r="AG5377">
        <v>-1.17116</v>
      </c>
      <c r="AH5377">
        <v>24.337906985492999</v>
      </c>
      <c r="AI5377">
        <v>92.708025291636105</v>
      </c>
      <c r="AJ5377">
        <v>79.3969565015977</v>
      </c>
      <c r="AK5377">
        <v>24.788363328126099</v>
      </c>
      <c r="AL5377">
        <v>80.117163064902797</v>
      </c>
      <c r="AM5377">
        <v>84.227717817461297</v>
      </c>
      <c r="AN5377">
        <v>0.99999999353955005</v>
      </c>
    </row>
    <row r="5378" spans="1:40" x14ac:dyDescent="0.25">
      <c r="A5378" t="str">
        <f>"20190303162927470"</f>
        <v>20190303162927470</v>
      </c>
      <c r="B5378" t="str">
        <f>"1551601767457447"</f>
        <v>1551601767457447</v>
      </c>
      <c r="C5378" t="s">
        <v>40</v>
      </c>
      <c r="D5378">
        <v>5.0457919999999996</v>
      </c>
      <c r="E5378">
        <v>0.53555710000000001</v>
      </c>
      <c r="F5378" t="s">
        <v>42</v>
      </c>
      <c r="G5378">
        <v>-313.64280000000002</v>
      </c>
      <c r="H5378">
        <v>-0.05</v>
      </c>
      <c r="I5378">
        <v>12.96837</v>
      </c>
      <c r="J5378">
        <v>-338.12630000000001</v>
      </c>
      <c r="K5378">
        <v>1.1211549999999999</v>
      </c>
      <c r="L5378">
        <v>17.48959</v>
      </c>
      <c r="M5378">
        <v>0.99992060000000005</v>
      </c>
      <c r="N5378">
        <v>-1.2200229999999999E-2</v>
      </c>
      <c r="O5378">
        <v>3.1885059999999998E-3</v>
      </c>
      <c r="P5378">
        <v>0.98256739999999998</v>
      </c>
      <c r="Q5378">
        <v>0.15901129999999999</v>
      </c>
      <c r="R5378">
        <v>-9.6317459999999994E-2</v>
      </c>
      <c r="S5378">
        <v>3.0226139999999999</v>
      </c>
      <c r="T5378">
        <v>-0.1437619</v>
      </c>
      <c r="U5378">
        <v>-0.55493159999999997</v>
      </c>
      <c r="V5378">
        <v>9.9460750000000001E-2</v>
      </c>
      <c r="W5378">
        <v>0.1709772</v>
      </c>
      <c r="X5378">
        <v>0.98024199999999995</v>
      </c>
      <c r="Y5378">
        <v>0.18345520000000001</v>
      </c>
      <c r="Z5378">
        <v>-5.5651679999999997E-3</v>
      </c>
      <c r="AA5378">
        <v>0.98301229999999995</v>
      </c>
      <c r="AB5378">
        <v>31</v>
      </c>
      <c r="AC5378">
        <v>24.4834999999999</v>
      </c>
      <c r="AD5378">
        <v>-1.1711549999999999</v>
      </c>
      <c r="AE5378">
        <v>-4.5212199999999996</v>
      </c>
      <c r="AF5378">
        <v>4.5891143545321604</v>
      </c>
      <c r="AG5378">
        <v>-1.1711549999999999</v>
      </c>
      <c r="AH5378">
        <v>24.4149360411289</v>
      </c>
      <c r="AI5378">
        <v>92.699109730604505</v>
      </c>
      <c r="AJ5378">
        <v>79.354697819809402</v>
      </c>
      <c r="AK5378">
        <v>24.870075924399899</v>
      </c>
      <c r="AL5378">
        <v>80.155359731657796</v>
      </c>
      <c r="AM5378">
        <v>84.206283063708099</v>
      </c>
      <c r="AN5378">
        <v>1.0000000111372001</v>
      </c>
    </row>
    <row r="5379" spans="1:40" x14ac:dyDescent="0.25">
      <c r="A5379" t="str">
        <f>"20190303162927480"</f>
        <v>20190303162927480</v>
      </c>
      <c r="B5379" t="str">
        <f>"1551601767467208"</f>
        <v>1551601767467208</v>
      </c>
      <c r="C5379" t="s">
        <v>40</v>
      </c>
      <c r="D5379">
        <v>5.0608510000000004</v>
      </c>
      <c r="E5379">
        <v>0.53566530000000001</v>
      </c>
      <c r="F5379" t="s">
        <v>42</v>
      </c>
      <c r="G5379">
        <v>-313.64620000000002</v>
      </c>
      <c r="H5379">
        <v>-0.05</v>
      </c>
      <c r="I5379">
        <v>12.97725</v>
      </c>
      <c r="J5379">
        <v>-337.96940000000001</v>
      </c>
      <c r="K5379">
        <v>1.1211439999999999</v>
      </c>
      <c r="L5379">
        <v>17.490079999999999</v>
      </c>
      <c r="M5379">
        <v>0.9999207</v>
      </c>
      <c r="N5379">
        <v>-1.2199929999999999E-2</v>
      </c>
      <c r="O5379">
        <v>3.1729169999999999E-3</v>
      </c>
      <c r="P5379">
        <v>0.98256960000000004</v>
      </c>
      <c r="Q5379">
        <v>0.15859899999999999</v>
      </c>
      <c r="R5379">
        <v>-9.6971119999999994E-2</v>
      </c>
      <c r="S5379">
        <v>3.0220030000000002</v>
      </c>
      <c r="T5379">
        <v>-0.14457639999999999</v>
      </c>
      <c r="U5379">
        <v>-0.55703740000000002</v>
      </c>
      <c r="V5379">
        <v>0.1001018</v>
      </c>
      <c r="W5379">
        <v>0.170563299999999</v>
      </c>
      <c r="X5379">
        <v>0.98024889999999998</v>
      </c>
      <c r="Y5379">
        <v>0.18413399999999999</v>
      </c>
      <c r="Z5379">
        <v>-5.6108819999999898E-3</v>
      </c>
      <c r="AA5379">
        <v>0.98288509999999996</v>
      </c>
      <c r="AB5379">
        <v>31</v>
      </c>
      <c r="AC5379">
        <v>24.3231999999999</v>
      </c>
      <c r="AD5379">
        <v>-1.171144</v>
      </c>
      <c r="AE5379">
        <v>-4.5128299999999903</v>
      </c>
      <c r="AF5379">
        <v>4.5797244255413796</v>
      </c>
      <c r="AG5379">
        <v>-1.171144</v>
      </c>
      <c r="AH5379">
        <v>24.254398672474299</v>
      </c>
      <c r="AI5379">
        <v>92.716499764638797</v>
      </c>
      <c r="AJ5379">
        <v>79.3072801515371</v>
      </c>
      <c r="AK5379">
        <v>24.710752903259699</v>
      </c>
      <c r="AL5379">
        <v>80.179428459352295</v>
      </c>
      <c r="AM5379">
        <v>84.169238307272806</v>
      </c>
      <c r="AN5379">
        <v>1.00000005781066</v>
      </c>
    </row>
    <row r="5380" spans="1:40" x14ac:dyDescent="0.25">
      <c r="A5380" t="str">
        <f>"20190303162927492"</f>
        <v>20190303162927492</v>
      </c>
      <c r="B5380" t="str">
        <f>"1551601767487703"</f>
        <v>1551601767487703</v>
      </c>
      <c r="C5380" t="s">
        <v>40</v>
      </c>
      <c r="D5380">
        <v>5.0702429999999996</v>
      </c>
      <c r="E5380">
        <v>0.53594509999999995</v>
      </c>
      <c r="F5380" t="s">
        <v>42</v>
      </c>
      <c r="G5380">
        <v>-313.5838</v>
      </c>
      <c r="H5380">
        <v>-0.05</v>
      </c>
      <c r="I5380">
        <v>12.969799999999999</v>
      </c>
      <c r="J5380">
        <v>-337.80560000000003</v>
      </c>
      <c r="K5380">
        <v>1.121129</v>
      </c>
      <c r="L5380">
        <v>17.490570000000002</v>
      </c>
      <c r="M5380">
        <v>0.9999207</v>
      </c>
      <c r="N5380">
        <v>-1.2199649999999999E-2</v>
      </c>
      <c r="O5380">
        <v>3.1424740000000001E-3</v>
      </c>
      <c r="P5380">
        <v>0.98256129999999997</v>
      </c>
      <c r="Q5380">
        <v>0.15821679999999999</v>
      </c>
      <c r="R5380">
        <v>-9.7678650000000006E-2</v>
      </c>
      <c r="S5380">
        <v>3.0213619999999999</v>
      </c>
      <c r="T5380">
        <v>-0.14510410000000001</v>
      </c>
      <c r="U5380">
        <v>-0.56005859999999996</v>
      </c>
      <c r="V5380">
        <v>0.1007837</v>
      </c>
      <c r="W5380">
        <v>0.17017750000000001</v>
      </c>
      <c r="X5380">
        <v>0.98024599999999995</v>
      </c>
      <c r="Y5380">
        <v>0.18508839999999999</v>
      </c>
      <c r="Z5380">
        <v>-5.6554739999999997E-3</v>
      </c>
      <c r="AA5380">
        <v>0.98270559999999996</v>
      </c>
      <c r="AB5380">
        <v>31</v>
      </c>
      <c r="AC5380">
        <v>24.221800000000002</v>
      </c>
      <c r="AD5380">
        <v>-1.1711290000000001</v>
      </c>
      <c r="AE5380">
        <v>-4.5207699999999997</v>
      </c>
      <c r="AF5380">
        <v>4.58650856446517</v>
      </c>
      <c r="AG5380">
        <v>-1.1711290000000001</v>
      </c>
      <c r="AH5380">
        <v>24.152910317033001</v>
      </c>
      <c r="AI5380">
        <v>92.727327315864699</v>
      </c>
      <c r="AJ5380">
        <v>79.247858563680595</v>
      </c>
      <c r="AK5380">
        <v>24.612409080161001</v>
      </c>
      <c r="AL5380">
        <v>80.201860344866205</v>
      </c>
      <c r="AM5380">
        <v>84.129777976226904</v>
      </c>
      <c r="AN5380">
        <v>0.99999997810396901</v>
      </c>
    </row>
    <row r="5381" spans="1:40" x14ac:dyDescent="0.25">
      <c r="A5381" t="str">
        <f>"20190303162927505"</f>
        <v>20190303162927505</v>
      </c>
      <c r="B5381" t="str">
        <f>"1551601767497464"</f>
        <v>1551601767497464</v>
      </c>
      <c r="C5381" t="s">
        <v>40</v>
      </c>
      <c r="D5381">
        <v>5.0816119999999998</v>
      </c>
      <c r="E5381">
        <v>0.53610740000000001</v>
      </c>
      <c r="F5381" t="s">
        <v>42</v>
      </c>
      <c r="G5381">
        <v>-313.2242</v>
      </c>
      <c r="H5381">
        <v>-0.05</v>
      </c>
      <c r="I5381">
        <v>12.89748</v>
      </c>
      <c r="J5381">
        <v>-337.63209999999998</v>
      </c>
      <c r="K5381">
        <v>1.1211139999999999</v>
      </c>
      <c r="L5381">
        <v>17.49109</v>
      </c>
      <c r="M5381">
        <v>0.9999209</v>
      </c>
      <c r="N5381">
        <v>-1.2199379999999999E-2</v>
      </c>
      <c r="O5381">
        <v>3.103527E-3</v>
      </c>
      <c r="P5381">
        <v>0.98256619999999995</v>
      </c>
      <c r="Q5381">
        <v>0.15788099999999999</v>
      </c>
      <c r="R5381">
        <v>-9.8171159999999993E-2</v>
      </c>
      <c r="S5381">
        <v>3.0203549999999999</v>
      </c>
      <c r="T5381">
        <v>-0.143899</v>
      </c>
      <c r="U5381">
        <v>-0.56436160000000002</v>
      </c>
      <c r="V5381">
        <v>0.101244</v>
      </c>
      <c r="W5381">
        <v>0.169838299999999</v>
      </c>
      <c r="X5381">
        <v>0.9802575</v>
      </c>
      <c r="Y5381">
        <v>0.18646370000000001</v>
      </c>
      <c r="Z5381">
        <v>-5.6582739999999996E-3</v>
      </c>
      <c r="AA5381">
        <v>0.98244549999999997</v>
      </c>
      <c r="AB5381">
        <v>31</v>
      </c>
      <c r="AC5381">
        <v>24.407899999999898</v>
      </c>
      <c r="AD5381">
        <v>-1.171114</v>
      </c>
      <c r="AE5381">
        <v>-4.59361</v>
      </c>
      <c r="AF5381">
        <v>4.6589852093342001</v>
      </c>
      <c r="AG5381">
        <v>-1.171114</v>
      </c>
      <c r="AH5381">
        <v>24.339408318983001</v>
      </c>
      <c r="AI5381">
        <v>92.7056691361921</v>
      </c>
      <c r="AJ5381">
        <v>79.163674242622704</v>
      </c>
      <c r="AK5381">
        <v>24.808959037008499</v>
      </c>
      <c r="AL5381">
        <v>80.221583186350998</v>
      </c>
      <c r="AM5381">
        <v>84.103224649955607</v>
      </c>
      <c r="AN5381">
        <v>1.0000000809945599</v>
      </c>
    </row>
    <row r="5382" spans="1:40" x14ac:dyDescent="0.25">
      <c r="A5382" t="str">
        <f>"20190303162927516"</f>
        <v>20190303162927516</v>
      </c>
      <c r="B5382" t="str">
        <f>"1551601767507225"</f>
        <v>1551601767507225</v>
      </c>
      <c r="C5382" t="s">
        <v>40</v>
      </c>
      <c r="D5382">
        <v>5.0731659999999996</v>
      </c>
      <c r="E5382">
        <v>0.53623489999999996</v>
      </c>
      <c r="F5382" t="s">
        <v>42</v>
      </c>
      <c r="G5382">
        <v>-313.10059999999999</v>
      </c>
      <c r="H5382">
        <v>-0.05</v>
      </c>
      <c r="I5382">
        <v>12.882809999999999</v>
      </c>
      <c r="J5382">
        <v>-337.46179999999998</v>
      </c>
      <c r="K5382">
        <v>1.1210929999999999</v>
      </c>
      <c r="L5382">
        <v>17.491579999999999</v>
      </c>
      <c r="M5382">
        <v>0.99992110000000001</v>
      </c>
      <c r="N5382">
        <v>-1.219917E-2</v>
      </c>
      <c r="O5382">
        <v>3.0463949999999999E-3</v>
      </c>
      <c r="P5382">
        <v>0.98255990000000004</v>
      </c>
      <c r="Q5382">
        <v>0.15765570000000001</v>
      </c>
      <c r="R5382">
        <v>-9.8595489999999994E-2</v>
      </c>
      <c r="S5382">
        <v>3.0197449999999999</v>
      </c>
      <c r="T5382">
        <v>-0.1441598</v>
      </c>
      <c r="U5382">
        <v>-0.56726069999999995</v>
      </c>
      <c r="V5382">
        <v>0.1016194</v>
      </c>
      <c r="W5382">
        <v>0.1696085</v>
      </c>
      <c r="X5382">
        <v>0.98025830000000003</v>
      </c>
      <c r="Y5382">
        <v>0.18735250000000001</v>
      </c>
      <c r="Z5382">
        <v>-5.6915830000000001E-3</v>
      </c>
      <c r="AA5382">
        <v>0.98227629999999999</v>
      </c>
      <c r="AB5382">
        <v>31</v>
      </c>
      <c r="AC5382">
        <v>24.3612</v>
      </c>
      <c r="AD5382">
        <v>-1.1710929999999999</v>
      </c>
      <c r="AE5382">
        <v>-4.60876999999999</v>
      </c>
      <c r="AF5382">
        <v>4.6725431863167799</v>
      </c>
      <c r="AG5382">
        <v>-1.1710929999999999</v>
      </c>
      <c r="AH5382">
        <v>24.2928467069903</v>
      </c>
      <c r="AI5382">
        <v>92.710335456917306</v>
      </c>
      <c r="AJ5382">
        <v>79.112558121531507</v>
      </c>
      <c r="AK5382">
        <v>24.765833718491599</v>
      </c>
      <c r="AL5382">
        <v>80.2349422035646</v>
      </c>
      <c r="AM5382">
        <v>84.081519864082495</v>
      </c>
      <c r="AN5382">
        <v>0.99999994022374805</v>
      </c>
    </row>
    <row r="5383" spans="1:40" x14ac:dyDescent="0.25">
      <c r="A5383" t="str">
        <f>"20190303162927527"</f>
        <v>20190303162927527</v>
      </c>
      <c r="B5383" t="str">
        <f>"1551601767516983"</f>
        <v>1551601767516983</v>
      </c>
      <c r="C5383" t="s">
        <v>40</v>
      </c>
      <c r="D5383">
        <v>5.0451829999999998</v>
      </c>
      <c r="E5383">
        <v>0.53633209999999998</v>
      </c>
      <c r="F5383" t="s">
        <v>42</v>
      </c>
      <c r="G5383">
        <v>-312.8888</v>
      </c>
      <c r="H5383">
        <v>-0.05</v>
      </c>
      <c r="I5383">
        <v>12.85446</v>
      </c>
      <c r="J5383">
        <v>-337.3109</v>
      </c>
      <c r="K5383">
        <v>1.121076</v>
      </c>
      <c r="L5383">
        <v>17.491969999999998</v>
      </c>
      <c r="M5383">
        <v>0.99992110000000001</v>
      </c>
      <c r="N5383">
        <v>-1.2199E-2</v>
      </c>
      <c r="O5383">
        <v>2.9875489999999999E-3</v>
      </c>
      <c r="P5383">
        <v>0.98256810000000006</v>
      </c>
      <c r="Q5383">
        <v>0.15731239999999999</v>
      </c>
      <c r="R5383">
        <v>-9.9058889999999997E-2</v>
      </c>
      <c r="S5383">
        <v>3.0191349999999999</v>
      </c>
      <c r="T5383">
        <v>-0.14388500000000001</v>
      </c>
      <c r="U5383">
        <v>-0.56973269999999998</v>
      </c>
      <c r="V5383">
        <v>0.1020321</v>
      </c>
      <c r="W5383">
        <v>0.169260299999999</v>
      </c>
      <c r="X5383">
        <v>0.98027569999999997</v>
      </c>
      <c r="Y5383">
        <v>0.18810730000000001</v>
      </c>
      <c r="Z5383">
        <v>-5.7039069999999898E-3</v>
      </c>
      <c r="AA5383">
        <v>0.98213200000000001</v>
      </c>
      <c r="AB5383">
        <v>31</v>
      </c>
      <c r="AC5383">
        <v>24.4221</v>
      </c>
      <c r="AD5383">
        <v>-1.171076</v>
      </c>
      <c r="AE5383">
        <v>-4.6375099999999998</v>
      </c>
      <c r="AF5383">
        <v>4.7000260889635204</v>
      </c>
      <c r="AG5383">
        <v>-1.171076</v>
      </c>
      <c r="AH5383">
        <v>24.3540856549346</v>
      </c>
      <c r="AI5383">
        <v>92.703167842458598</v>
      </c>
      <c r="AJ5383">
        <v>79.076934847031694</v>
      </c>
      <c r="AK5383">
        <v>24.8310924512516</v>
      </c>
      <c r="AL5383">
        <v>80.255186097963801</v>
      </c>
      <c r="AM5383">
        <v>84.057759913262501</v>
      </c>
      <c r="AN5383">
        <v>1.00000002329849</v>
      </c>
    </row>
    <row r="5384" spans="1:40" x14ac:dyDescent="0.25">
      <c r="A5384" t="str">
        <f>"20190303162927538"</f>
        <v>20190303162927538</v>
      </c>
      <c r="B5384" t="str">
        <f>"1551601767527720"</f>
        <v>1551601767527720</v>
      </c>
      <c r="C5384" t="s">
        <v>40</v>
      </c>
      <c r="D5384">
        <v>5.0748579999999999</v>
      </c>
      <c r="E5384">
        <v>0.53648629999999997</v>
      </c>
      <c r="F5384" t="s">
        <v>42</v>
      </c>
      <c r="G5384">
        <v>-312.8202</v>
      </c>
      <c r="H5384">
        <v>-0.05</v>
      </c>
      <c r="I5384">
        <v>12.84911</v>
      </c>
      <c r="J5384">
        <v>-337.15410000000003</v>
      </c>
      <c r="K5384">
        <v>1.1210549999999999</v>
      </c>
      <c r="L5384">
        <v>17.492370000000001</v>
      </c>
      <c r="M5384">
        <v>0.99992139999999996</v>
      </c>
      <c r="N5384">
        <v>-1.2198850000000001E-2</v>
      </c>
      <c r="O5384">
        <v>2.9138860000000001E-3</v>
      </c>
      <c r="P5384">
        <v>0.98255029999999999</v>
      </c>
      <c r="Q5384">
        <v>0.15737419999999999</v>
      </c>
      <c r="R5384">
        <v>-9.9139050000000006E-2</v>
      </c>
      <c r="S5384">
        <v>3.0186459999999999</v>
      </c>
      <c r="T5384">
        <v>-0.144343</v>
      </c>
      <c r="U5384">
        <v>-0.57226560000000004</v>
      </c>
      <c r="V5384">
        <v>0.10204770000000001</v>
      </c>
      <c r="W5384">
        <v>0.16931760000000001</v>
      </c>
      <c r="X5384">
        <v>0.98026409999999997</v>
      </c>
      <c r="Y5384">
        <v>0.18885689999999999</v>
      </c>
      <c r="Z5384">
        <v>-5.7387050000000002E-3</v>
      </c>
      <c r="AA5384">
        <v>0.98198779999999997</v>
      </c>
      <c r="AB5384">
        <v>31</v>
      </c>
      <c r="AC5384">
        <v>24.3339</v>
      </c>
      <c r="AD5384">
        <v>-1.171055</v>
      </c>
      <c r="AE5384">
        <v>-4.6432599999999997</v>
      </c>
      <c r="AF5384">
        <v>4.7036410190329603</v>
      </c>
      <c r="AG5384">
        <v>-1.171055</v>
      </c>
      <c r="AH5384">
        <v>24.266040885216501</v>
      </c>
      <c r="AI5384">
        <v>92.712483741182893</v>
      </c>
      <c r="AJ5384">
        <v>79.030034393924296</v>
      </c>
      <c r="AK5384">
        <v>24.7454308689898</v>
      </c>
      <c r="AL5384">
        <v>80.251854191784503</v>
      </c>
      <c r="AM5384">
        <v>84.056788063221404</v>
      </c>
      <c r="AN5384">
        <v>0.99999994424692795</v>
      </c>
    </row>
    <row r="5385" spans="1:40" x14ac:dyDescent="0.25">
      <c r="A5385" t="str">
        <f>"20190303162927550"</f>
        <v>20190303162927550</v>
      </c>
      <c r="B5385" t="str">
        <f>"1551601767537479"</f>
        <v>1551601767537479</v>
      </c>
      <c r="C5385" t="s">
        <v>40</v>
      </c>
      <c r="D5385">
        <v>5.070894</v>
      </c>
      <c r="E5385">
        <v>0.53659880000000004</v>
      </c>
      <c r="F5385" t="s">
        <v>42</v>
      </c>
      <c r="G5385">
        <v>-312.41669999999999</v>
      </c>
      <c r="H5385">
        <v>-0.05</v>
      </c>
      <c r="I5385">
        <v>12.79074</v>
      </c>
      <c r="J5385">
        <v>-337.00360000000001</v>
      </c>
      <c r="K5385">
        <v>1.121041</v>
      </c>
      <c r="L5385">
        <v>17.492709999999999</v>
      </c>
      <c r="M5385">
        <v>0.99992170000000002</v>
      </c>
      <c r="N5385">
        <v>-1.219874E-2</v>
      </c>
      <c r="O5385">
        <v>2.8280530000000001E-3</v>
      </c>
      <c r="P5385">
        <v>0.98254929999999996</v>
      </c>
      <c r="Q5385">
        <v>0.15723589999999901</v>
      </c>
      <c r="R5385">
        <v>-9.9368600000000001E-2</v>
      </c>
      <c r="S5385">
        <v>3.0183409999999999</v>
      </c>
      <c r="T5385">
        <v>-0.1428864</v>
      </c>
      <c r="U5385">
        <v>-0.5736694</v>
      </c>
      <c r="V5385">
        <v>0.10220120000000001</v>
      </c>
      <c r="W5385">
        <v>0.16917380000000001</v>
      </c>
      <c r="X5385">
        <v>0.98027299999999995</v>
      </c>
      <c r="Y5385">
        <v>0.18923580000000001</v>
      </c>
      <c r="Z5385">
        <v>-5.7007400000000001E-3</v>
      </c>
      <c r="AA5385">
        <v>0.98191510000000004</v>
      </c>
      <c r="AB5385">
        <v>31</v>
      </c>
      <c r="AC5385">
        <v>24.5869</v>
      </c>
      <c r="AD5385">
        <v>-1.171041</v>
      </c>
      <c r="AE5385">
        <v>-4.7019699999999904</v>
      </c>
      <c r="AF5385">
        <v>4.7610700433085</v>
      </c>
      <c r="AG5385">
        <v>-1.171041</v>
      </c>
      <c r="AH5385">
        <v>24.519842752416299</v>
      </c>
      <c r="AI5385">
        <v>92.684248125603105</v>
      </c>
      <c r="AJ5385">
        <v>79.011494081578206</v>
      </c>
      <c r="AK5385">
        <v>25.005235723427798</v>
      </c>
      <c r="AL5385">
        <v>80.260214542978503</v>
      </c>
      <c r="AM5385">
        <v>84.047966075332795</v>
      </c>
      <c r="AN5385">
        <v>1.0000000072084301</v>
      </c>
    </row>
    <row r="5386" spans="1:40" x14ac:dyDescent="0.25">
      <c r="A5386" t="str">
        <f>"20190303162927559"</f>
        <v>20190303162927559</v>
      </c>
      <c r="B5386" t="str">
        <f>"1551601767547240"</f>
        <v>1551601767547240</v>
      </c>
      <c r="C5386" t="s">
        <v>40</v>
      </c>
      <c r="D5386">
        <v>5.0917859999999999</v>
      </c>
      <c r="E5386">
        <v>0.53660600000000003</v>
      </c>
      <c r="F5386" t="s">
        <v>42</v>
      </c>
      <c r="G5386">
        <v>-312.29079999999999</v>
      </c>
      <c r="H5386">
        <v>-0.05</v>
      </c>
      <c r="I5386">
        <v>12.78552</v>
      </c>
      <c r="J5386">
        <v>-336.85210000000001</v>
      </c>
      <c r="K5386">
        <v>1.1210180000000001</v>
      </c>
      <c r="L5386">
        <v>17.493069999999999</v>
      </c>
      <c r="M5386">
        <v>0.99992199999999998</v>
      </c>
      <c r="N5386">
        <v>-1.219862E-2</v>
      </c>
      <c r="O5386">
        <v>2.7312349999999998E-3</v>
      </c>
      <c r="P5386">
        <v>0.98260460000000005</v>
      </c>
      <c r="Q5386">
        <v>0.15674759999999999</v>
      </c>
      <c r="R5386">
        <v>-9.9592539999999993E-2</v>
      </c>
      <c r="S5386">
        <v>3.0180359999999999</v>
      </c>
      <c r="T5386">
        <v>-0.14301249999999999</v>
      </c>
      <c r="U5386">
        <v>-0.57485959999999903</v>
      </c>
      <c r="V5386">
        <v>0.10233879999999999</v>
      </c>
      <c r="W5386">
        <v>0.1686812</v>
      </c>
      <c r="X5386">
        <v>0.98034350000000003</v>
      </c>
      <c r="Y5386">
        <v>0.1895319</v>
      </c>
      <c r="Z5386">
        <v>-5.7104900000000004E-3</v>
      </c>
      <c r="AA5386">
        <v>0.98185800000000001</v>
      </c>
      <c r="AB5386">
        <v>31</v>
      </c>
      <c r="AC5386">
        <v>24.561299999999999</v>
      </c>
      <c r="AD5386">
        <v>-1.1710179999999999</v>
      </c>
      <c r="AE5386">
        <v>-4.7075500000000003</v>
      </c>
      <c r="AF5386">
        <v>4.7641742470847701</v>
      </c>
      <c r="AG5386">
        <v>-1.1710179999999999</v>
      </c>
      <c r="AH5386">
        <v>24.494643410149699</v>
      </c>
      <c r="AI5386">
        <v>92.686788823512401</v>
      </c>
      <c r="AJ5386">
        <v>78.993468442490496</v>
      </c>
      <c r="AK5386">
        <v>24.9811167725404</v>
      </c>
      <c r="AL5386">
        <v>80.288849688565307</v>
      </c>
      <c r="AM5386">
        <v>84.040435635400598</v>
      </c>
      <c r="AN5386">
        <v>0.99999997760556403</v>
      </c>
    </row>
    <row r="5387" spans="1:40" x14ac:dyDescent="0.25">
      <c r="A5387" t="str">
        <f>"20190303162927571"</f>
        <v>20190303162927571</v>
      </c>
      <c r="B5387" t="str">
        <f>"1551601767556999"</f>
        <v>1551601767556999</v>
      </c>
      <c r="C5387" t="s">
        <v>40</v>
      </c>
      <c r="D5387">
        <v>5.100956</v>
      </c>
      <c r="E5387">
        <v>0.53660600000000003</v>
      </c>
      <c r="F5387" t="s">
        <v>42</v>
      </c>
      <c r="G5387">
        <v>-312.70150000000001</v>
      </c>
      <c r="H5387">
        <v>-0.05</v>
      </c>
      <c r="I5387">
        <v>12.89128</v>
      </c>
      <c r="J5387">
        <v>-336.69389999999999</v>
      </c>
      <c r="K5387">
        <v>1.120992</v>
      </c>
      <c r="L5387">
        <v>17.493379999999998</v>
      </c>
      <c r="M5387">
        <v>0.99992230000000004</v>
      </c>
      <c r="N5387">
        <v>-1.2198550000000001E-2</v>
      </c>
      <c r="O5387">
        <v>2.6074869999999999E-3</v>
      </c>
      <c r="P5387">
        <v>0.98266969999999998</v>
      </c>
      <c r="Q5387">
        <v>0.15625530000000001</v>
      </c>
      <c r="R5387">
        <v>-9.9722409999999997E-2</v>
      </c>
      <c r="S5387">
        <v>3.0181879999999999</v>
      </c>
      <c r="T5387">
        <v>-0.14634639999999999</v>
      </c>
      <c r="U5387">
        <v>-0.57510380000000005</v>
      </c>
      <c r="V5387">
        <v>0.102357</v>
      </c>
      <c r="W5387">
        <v>0.16818350000000001</v>
      </c>
      <c r="X5387">
        <v>0.9804271</v>
      </c>
      <c r="Y5387">
        <v>0.1894671</v>
      </c>
      <c r="Z5387">
        <v>-5.8104150000000002E-3</v>
      </c>
      <c r="AA5387">
        <v>0.98186989999999996</v>
      </c>
      <c r="AB5387">
        <v>31</v>
      </c>
      <c r="AC5387">
        <v>23.9923999999999</v>
      </c>
      <c r="AD5387">
        <v>-1.170992</v>
      </c>
      <c r="AE5387">
        <v>-4.6020999999999903</v>
      </c>
      <c r="AF5387">
        <v>4.6539560905179203</v>
      </c>
      <c r="AG5387">
        <v>-1.170992</v>
      </c>
      <c r="AH5387">
        <v>23.925347498186799</v>
      </c>
      <c r="AI5387">
        <v>92.750551119289298</v>
      </c>
      <c r="AJ5387">
        <v>78.992293683963496</v>
      </c>
      <c r="AK5387">
        <v>24.401901205961899</v>
      </c>
      <c r="AL5387">
        <v>80.317779050317796</v>
      </c>
      <c r="AM5387">
        <v>84.039888009156996</v>
      </c>
      <c r="AN5387">
        <v>0.99999997176782895</v>
      </c>
    </row>
    <row r="5388" spans="1:40" x14ac:dyDescent="0.25">
      <c r="A5388" t="str">
        <f>"20190303162927595"</f>
        <v>20190303162927595</v>
      </c>
      <c r="B5388" t="str">
        <f>"1551601767587255"</f>
        <v>1551601767587255</v>
      </c>
      <c r="C5388" t="s">
        <v>40</v>
      </c>
      <c r="D5388">
        <v>5.146522</v>
      </c>
      <c r="E5388">
        <v>0.51409079999999996</v>
      </c>
      <c r="F5388" t="s">
        <v>42</v>
      </c>
      <c r="G5388">
        <v>-312.81720000000001</v>
      </c>
      <c r="H5388">
        <v>-0.05</v>
      </c>
      <c r="I5388">
        <v>12.94383</v>
      </c>
      <c r="J5388">
        <v>-336.36419999999998</v>
      </c>
      <c r="K5388">
        <v>1.12093</v>
      </c>
      <c r="L5388">
        <v>17.493929999999999</v>
      </c>
      <c r="M5388">
        <v>0.99992289999999995</v>
      </c>
      <c r="N5388">
        <v>-1.2198479999999999E-2</v>
      </c>
      <c r="O5388">
        <v>2.2966219999999999E-3</v>
      </c>
      <c r="P5388">
        <v>0.98282769999999997</v>
      </c>
      <c r="Q5388">
        <v>0.1551505</v>
      </c>
      <c r="R5388">
        <v>-9.9890720000000002E-2</v>
      </c>
      <c r="S5388">
        <v>3.0180660000000001</v>
      </c>
      <c r="T5388">
        <v>-0.14801589999999901</v>
      </c>
      <c r="U5388">
        <v>-0.57507319999999995</v>
      </c>
      <c r="V5388">
        <v>0.10224270000000001</v>
      </c>
      <c r="W5388">
        <v>0.1670671</v>
      </c>
      <c r="X5388">
        <v>0.98062990000000005</v>
      </c>
      <c r="Y5388">
        <v>0.18915460000000001</v>
      </c>
      <c r="Z5388">
        <v>-5.8430259999999899E-3</v>
      </c>
      <c r="AA5388">
        <v>0.98192999999999997</v>
      </c>
      <c r="AB5388">
        <v>31</v>
      </c>
      <c r="AC5388">
        <v>23.546999999999901</v>
      </c>
      <c r="AD5388">
        <v>-1.17093</v>
      </c>
      <c r="AE5388">
        <v>-4.5500999999999898</v>
      </c>
      <c r="AF5388">
        <v>4.5932212658426304</v>
      </c>
      <c r="AG5388">
        <v>-1.17093</v>
      </c>
      <c r="AH5388">
        <v>23.480514417900199</v>
      </c>
      <c r="AI5388">
        <v>92.801851701223796</v>
      </c>
      <c r="AJ5388">
        <v>78.931659772266897</v>
      </c>
      <c r="AK5388">
        <v>23.954192033777801</v>
      </c>
      <c r="AL5388">
        <v>80.382662316841405</v>
      </c>
      <c r="AM5388">
        <v>84.047718095956498</v>
      </c>
      <c r="AN5388">
        <v>0.999999993189855</v>
      </c>
    </row>
    <row r="5389" spans="1:40" x14ac:dyDescent="0.25">
      <c r="A5389" t="str">
        <f>"20190303162927608"</f>
        <v>20190303162927608</v>
      </c>
      <c r="B5389" t="str">
        <f>"1551601767597016"</f>
        <v>1551601767597016</v>
      </c>
      <c r="C5389" t="s">
        <v>40</v>
      </c>
      <c r="D5389">
        <v>5.0988600000000002</v>
      </c>
      <c r="E5389">
        <v>0.51409079999999996</v>
      </c>
      <c r="F5389" t="s">
        <v>44</v>
      </c>
      <c r="G5389">
        <v>-335.54520000000002</v>
      </c>
      <c r="H5389">
        <v>0.98822189999999999</v>
      </c>
      <c r="I5389">
        <v>17.39095</v>
      </c>
      <c r="J5389">
        <v>-336.17090000000002</v>
      </c>
      <c r="K5389">
        <v>1.120892</v>
      </c>
      <c r="L5389">
        <v>17.49417</v>
      </c>
      <c r="M5389">
        <v>0.99992349999999997</v>
      </c>
      <c r="N5389">
        <v>-1.2198489999999999E-2</v>
      </c>
      <c r="O5389">
        <v>2.0774880000000002E-3</v>
      </c>
      <c r="P5389">
        <v>0.9828074</v>
      </c>
      <c r="Q5389">
        <v>0.15522859999999999</v>
      </c>
      <c r="R5389">
        <v>-9.9968039999999994E-2</v>
      </c>
      <c r="S5389">
        <v>3.092041</v>
      </c>
      <c r="T5389">
        <v>-0.50101899999999999</v>
      </c>
      <c r="U5389">
        <v>-0.38821410000000001</v>
      </c>
      <c r="V5389">
        <v>0.10211969999999999</v>
      </c>
      <c r="W5389">
        <v>0.1671366</v>
      </c>
      <c r="X5389">
        <v>0.98063089999999997</v>
      </c>
      <c r="Y5389">
        <v>0.12488539999999999</v>
      </c>
      <c r="Z5389">
        <v>-1.109183E-2</v>
      </c>
      <c r="AA5389">
        <v>0.99210920000000002</v>
      </c>
      <c r="AB5389">
        <v>31</v>
      </c>
      <c r="AC5389">
        <v>0.62569999999999404</v>
      </c>
      <c r="AD5389">
        <v>-0.13267009999999901</v>
      </c>
      <c r="AE5389">
        <v>-0.10322000000000001</v>
      </c>
      <c r="AF5389">
        <v>0.10013700127672</v>
      </c>
      <c r="AG5389">
        <v>-0.13267009999999901</v>
      </c>
      <c r="AH5389">
        <v>0.59925618656922697</v>
      </c>
      <c r="AI5389">
        <v>102.317956539989</v>
      </c>
      <c r="AJ5389">
        <v>80.513402130296996</v>
      </c>
      <c r="AK5389">
        <v>0.62188162185434903</v>
      </c>
      <c r="AL5389">
        <v>80.378623724297597</v>
      </c>
      <c r="AM5389">
        <v>84.0548335102945</v>
      </c>
      <c r="AN5389">
        <v>1.0000000191112299</v>
      </c>
    </row>
    <row r="5390" spans="1:40" x14ac:dyDescent="0.25">
      <c r="A5390" t="str">
        <f>"20190303162927619"</f>
        <v>20190303162927619</v>
      </c>
      <c r="B5390" t="str">
        <f>"1551601767606775"</f>
        <v>1551601767606775</v>
      </c>
      <c r="C5390" t="s">
        <v>40</v>
      </c>
      <c r="D5390">
        <v>5.1961899999999996</v>
      </c>
      <c r="E5390">
        <v>0.50064140000000001</v>
      </c>
      <c r="F5390" t="s">
        <v>44</v>
      </c>
      <c r="G5390">
        <v>-335.27</v>
      </c>
      <c r="H5390">
        <v>0.97494069999999999</v>
      </c>
      <c r="I5390">
        <v>17.380559999999999</v>
      </c>
      <c r="J5390">
        <v>-336.01190000000003</v>
      </c>
      <c r="K5390">
        <v>1.120865</v>
      </c>
      <c r="L5390">
        <v>17.494289999999999</v>
      </c>
      <c r="M5390">
        <v>0.99992380000000003</v>
      </c>
      <c r="N5390">
        <v>-1.2198540000000001E-2</v>
      </c>
      <c r="O5390">
        <v>1.877624E-3</v>
      </c>
      <c r="P5390">
        <v>0.98274269999999997</v>
      </c>
      <c r="Q5390">
        <v>0.15541759999999999</v>
      </c>
      <c r="R5390">
        <v>-0.100309</v>
      </c>
      <c r="S5390">
        <v>3.0921020000000001</v>
      </c>
      <c r="T5390">
        <v>-0.50079830000000003</v>
      </c>
      <c r="U5390">
        <v>-0.3885498</v>
      </c>
      <c r="V5390">
        <v>0.1022771</v>
      </c>
      <c r="W5390">
        <v>0.16731670000000001</v>
      </c>
      <c r="X5390">
        <v>0.98058380000000001</v>
      </c>
      <c r="Y5390">
        <v>0.1247958</v>
      </c>
      <c r="Z5390">
        <v>-1.1049700000000001E-2</v>
      </c>
      <c r="AA5390">
        <v>0.99212089999999997</v>
      </c>
      <c r="AB5390">
        <v>31</v>
      </c>
      <c r="AC5390">
        <v>0.74190000000004297</v>
      </c>
      <c r="AD5390">
        <v>-0.14592430000000001</v>
      </c>
      <c r="AE5390">
        <v>-0.11373</v>
      </c>
      <c r="AF5390">
        <v>0.110929906375847</v>
      </c>
      <c r="AG5390">
        <v>-0.14592430000000001</v>
      </c>
      <c r="AH5390">
        <v>0.71467148221908405</v>
      </c>
      <c r="AI5390">
        <v>101.407283030901</v>
      </c>
      <c r="AJ5390">
        <v>81.177067768699999</v>
      </c>
      <c r="AK5390">
        <v>0.737803952928058</v>
      </c>
      <c r="AL5390">
        <v>80.3681575371767</v>
      </c>
      <c r="AM5390">
        <v>84.045451894453905</v>
      </c>
      <c r="AN5390">
        <v>1.00000003605286</v>
      </c>
    </row>
    <row r="5391" spans="1:40" x14ac:dyDescent="0.25">
      <c r="A5391" t="str">
        <f>"20190303162927637"</f>
        <v>20190303162927637</v>
      </c>
      <c r="B5391" t="str">
        <f>"1551601767627271"</f>
        <v>1551601767627271</v>
      </c>
      <c r="C5391" t="s">
        <v>40</v>
      </c>
      <c r="D5391">
        <v>5.0626439999999997</v>
      </c>
      <c r="E5391">
        <v>0.50005189999999999</v>
      </c>
      <c r="F5391" t="s">
        <v>44</v>
      </c>
      <c r="G5391">
        <v>-335.29899999999998</v>
      </c>
      <c r="H5391">
        <v>0.91716719999999896</v>
      </c>
      <c r="I5391">
        <v>17.432479999999899</v>
      </c>
      <c r="J5391">
        <v>-335.77749999999997</v>
      </c>
      <c r="K5391">
        <v>1.1208180000000001</v>
      </c>
      <c r="L5391">
        <v>17.49438</v>
      </c>
      <c r="M5391">
        <v>0.99992449999999999</v>
      </c>
      <c r="N5391">
        <v>-1.2201750000000001E-2</v>
      </c>
      <c r="O5391">
        <v>1.5401529999999901E-3</v>
      </c>
      <c r="P5391">
        <v>0.98260250000000005</v>
      </c>
      <c r="Q5391">
        <v>0.155868799999999</v>
      </c>
      <c r="R5391">
        <v>-0.1009833</v>
      </c>
      <c r="S5391">
        <v>3.1679379999999999</v>
      </c>
      <c r="T5391">
        <v>-0.90499790000000002</v>
      </c>
      <c r="U5391">
        <v>-0.27288820000000003</v>
      </c>
      <c r="V5391">
        <v>0.1026393</v>
      </c>
      <c r="W5391">
        <v>0.16775760000000001</v>
      </c>
      <c r="X5391">
        <v>0.98047059999999997</v>
      </c>
      <c r="Y5391">
        <v>8.3823229999999999E-2</v>
      </c>
      <c r="Z5391">
        <v>-1.2652780000000001E-2</v>
      </c>
      <c r="AA5391">
        <v>0.99640030000000002</v>
      </c>
      <c r="AB5391">
        <v>31</v>
      </c>
      <c r="AC5391">
        <v>0.47849999999993997</v>
      </c>
      <c r="AD5391">
        <v>-0.20365079999999999</v>
      </c>
      <c r="AE5391">
        <v>-6.1900000000001398E-2</v>
      </c>
      <c r="AF5391">
        <v>5.3165233423716297E-2</v>
      </c>
      <c r="AG5391">
        <v>-0.20365079999999999</v>
      </c>
      <c r="AH5391">
        <v>0.40606171466581198</v>
      </c>
      <c r="AI5391">
        <v>116.440356022229</v>
      </c>
      <c r="AJ5391">
        <v>82.540753809943595</v>
      </c>
      <c r="AK5391">
        <v>0.45736889542575798</v>
      </c>
      <c r="AL5391">
        <v>80.342533477331102</v>
      </c>
      <c r="AM5391">
        <v>84.023832101327898</v>
      </c>
      <c r="AN5391">
        <v>1.0000000178633</v>
      </c>
    </row>
    <row r="5392" spans="1:40" x14ac:dyDescent="0.25">
      <c r="A5392" t="str">
        <f>"20190303162927648"</f>
        <v>20190303162927648</v>
      </c>
      <c r="B5392" t="str">
        <f>"1551601767637032"</f>
        <v>1551601767637032</v>
      </c>
      <c r="C5392" t="s">
        <v>40</v>
      </c>
      <c r="D5392">
        <v>5.1033920000000004</v>
      </c>
      <c r="E5392">
        <v>0.50039330000000004</v>
      </c>
      <c r="F5392" t="s">
        <v>44</v>
      </c>
      <c r="G5392">
        <v>-335.02460000000002</v>
      </c>
      <c r="H5392">
        <v>0.90134409999999998</v>
      </c>
      <c r="I5392">
        <v>17.43036</v>
      </c>
      <c r="J5392">
        <v>-335.62040000000002</v>
      </c>
      <c r="K5392">
        <v>1.1207849999999999</v>
      </c>
      <c r="L5392">
        <v>17.49438</v>
      </c>
      <c r="M5392">
        <v>0.99992479999999995</v>
      </c>
      <c r="N5392">
        <v>-1.2205189999999999E-2</v>
      </c>
      <c r="O5392">
        <v>1.290289E-3</v>
      </c>
      <c r="P5392">
        <v>0.98257220000000001</v>
      </c>
      <c r="Q5392">
        <v>0.155690299999999</v>
      </c>
      <c r="R5392">
        <v>-0.101552</v>
      </c>
      <c r="S5392">
        <v>3.1720579999999998</v>
      </c>
      <c r="T5392">
        <v>-0.92468930000000005</v>
      </c>
      <c r="U5392">
        <v>-0.26956180000000002</v>
      </c>
      <c r="V5392">
        <v>0.1029757</v>
      </c>
      <c r="W5392">
        <v>0.16757379999999999</v>
      </c>
      <c r="X5392">
        <v>0.98046670000000002</v>
      </c>
      <c r="Y5392">
        <v>8.2358260000000003E-2</v>
      </c>
      <c r="Z5392">
        <v>-1.260611E-2</v>
      </c>
      <c r="AA5392">
        <v>0.9965231</v>
      </c>
      <c r="AB5392">
        <v>31</v>
      </c>
      <c r="AC5392">
        <v>0.595799999999997</v>
      </c>
      <c r="AD5392">
        <v>-0.21944089999999999</v>
      </c>
      <c r="AE5392">
        <v>-6.40199999999993E-2</v>
      </c>
      <c r="AF5392">
        <v>5.71275986437349E-2</v>
      </c>
      <c r="AG5392">
        <v>-0.21944089999999999</v>
      </c>
      <c r="AH5392">
        <v>0.52527439353559502</v>
      </c>
      <c r="AI5392">
        <v>112.55386046352299</v>
      </c>
      <c r="AJ5392">
        <v>83.793042464645396</v>
      </c>
      <c r="AK5392">
        <v>0.57212853418073495</v>
      </c>
      <c r="AL5392">
        <v>80.353215110670604</v>
      </c>
      <c r="AM5392">
        <v>84.004363997373503</v>
      </c>
      <c r="AN5392">
        <v>0.99999996152290904</v>
      </c>
    </row>
    <row r="5393" spans="1:40" x14ac:dyDescent="0.25">
      <c r="A5393" t="str">
        <f>"20190303162927659"</f>
        <v>20190303162927659</v>
      </c>
      <c r="B5393" t="str">
        <f>"1551601767646791"</f>
        <v>1551601767646791</v>
      </c>
      <c r="C5393" t="s">
        <v>40</v>
      </c>
      <c r="D5393">
        <v>5.0957840000000001</v>
      </c>
      <c r="E5393">
        <v>0.50057929999999995</v>
      </c>
      <c r="F5393" t="s">
        <v>44</v>
      </c>
      <c r="G5393">
        <v>-334.75650000000002</v>
      </c>
      <c r="H5393">
        <v>0.86823729999999999</v>
      </c>
      <c r="I5393">
        <v>17.419720000000002</v>
      </c>
      <c r="J5393">
        <v>-335.4547</v>
      </c>
      <c r="K5393">
        <v>1.120749</v>
      </c>
      <c r="L5393">
        <v>17.494319999999998</v>
      </c>
      <c r="M5393">
        <v>0.99992510000000001</v>
      </c>
      <c r="N5393">
        <v>-1.221004E-2</v>
      </c>
      <c r="O5393">
        <v>1.0009120000000001E-3</v>
      </c>
      <c r="P5393">
        <v>0.98260170000000002</v>
      </c>
      <c r="Q5393">
        <v>0.15515809999999999</v>
      </c>
      <c r="R5393">
        <v>-0.1020789</v>
      </c>
      <c r="S5393">
        <v>3.1719059999999999</v>
      </c>
      <c r="T5393">
        <v>-0.92713120000000004</v>
      </c>
      <c r="U5393">
        <v>-0.27310180000000001</v>
      </c>
      <c r="V5393">
        <v>0.1032325</v>
      </c>
      <c r="W5393">
        <v>0.16703789999999999</v>
      </c>
      <c r="X5393">
        <v>0.98053120000000005</v>
      </c>
      <c r="Y5393">
        <v>8.3137030000000001E-2</v>
      </c>
      <c r="Z5393">
        <v>-1.2674E-2</v>
      </c>
      <c r="AA5393">
        <v>0.9964575</v>
      </c>
      <c r="AB5393">
        <v>31</v>
      </c>
      <c r="AC5393">
        <v>0.69819999999998505</v>
      </c>
      <c r="AD5393">
        <v>-0.25251170000000001</v>
      </c>
      <c r="AE5393">
        <v>-7.4600000000000194E-2</v>
      </c>
      <c r="AF5393">
        <v>6.6676138984029396E-2</v>
      </c>
      <c r="AG5393">
        <v>-0.25251170000000001</v>
      </c>
      <c r="AH5393">
        <v>0.618180451831148</v>
      </c>
      <c r="AI5393">
        <v>112.10306668749701</v>
      </c>
      <c r="AJ5393">
        <v>83.8439503136279</v>
      </c>
      <c r="AK5393">
        <v>0.67108489565245699</v>
      </c>
      <c r="AL5393">
        <v>80.384359474285205</v>
      </c>
      <c r="AM5393">
        <v>83.989913923116404</v>
      </c>
      <c r="AN5393">
        <v>1.00000002163304</v>
      </c>
    </row>
    <row r="5394" spans="1:40" x14ac:dyDescent="0.25">
      <c r="A5394" t="str">
        <f>"20190303162927672"</f>
        <v>20190303162927672</v>
      </c>
      <c r="B5394" t="str">
        <f>"1551601767667288"</f>
        <v>1551601767667288</v>
      </c>
      <c r="C5394" t="s">
        <v>40</v>
      </c>
      <c r="D5394">
        <v>5.0469549999999996</v>
      </c>
      <c r="E5394">
        <v>0.50170199999999998</v>
      </c>
      <c r="F5394" t="s">
        <v>44</v>
      </c>
      <c r="G5394">
        <v>-334.73860000000002</v>
      </c>
      <c r="H5394">
        <v>0.9112595</v>
      </c>
      <c r="I5394">
        <v>17.43188</v>
      </c>
      <c r="J5394">
        <v>-335.29489999999998</v>
      </c>
      <c r="K5394">
        <v>1.1207129999999901</v>
      </c>
      <c r="L5394">
        <v>17.49417</v>
      </c>
      <c r="M5394">
        <v>0.99992510000000001</v>
      </c>
      <c r="N5394">
        <v>-1.221499E-2</v>
      </c>
      <c r="O5394">
        <v>6.9396339999999897E-4</v>
      </c>
      <c r="P5394">
        <v>0.98258570000000001</v>
      </c>
      <c r="Q5394">
        <v>0.15505579999999999</v>
      </c>
      <c r="R5394">
        <v>-0.1023881</v>
      </c>
      <c r="S5394">
        <v>3.1709589999999999</v>
      </c>
      <c r="T5394">
        <v>-0.9276394</v>
      </c>
      <c r="U5394">
        <v>-0.27526859999999997</v>
      </c>
      <c r="V5394">
        <v>0.10325380000000001</v>
      </c>
      <c r="W5394">
        <v>0.1669321</v>
      </c>
      <c r="X5394">
        <v>0.98054699999999995</v>
      </c>
      <c r="Y5394">
        <v>8.3521780000000004E-2</v>
      </c>
      <c r="Z5394">
        <v>-1.2657079999999999E-2</v>
      </c>
      <c r="AA5394">
        <v>0.99642560000000002</v>
      </c>
      <c r="AB5394">
        <v>31</v>
      </c>
      <c r="AC5394">
        <v>0.55629999999996405</v>
      </c>
      <c r="AD5394">
        <v>-0.20945349999999999</v>
      </c>
      <c r="AE5394">
        <v>-6.2290000000000803E-2</v>
      </c>
      <c r="AF5394">
        <v>5.4978727027057001E-2</v>
      </c>
      <c r="AG5394">
        <v>-0.20945349999999999</v>
      </c>
      <c r="AH5394">
        <v>0.48794195063698398</v>
      </c>
      <c r="AI5394">
        <v>113.10115042272599</v>
      </c>
      <c r="AJ5394">
        <v>83.571327351946493</v>
      </c>
      <c r="AK5394">
        <v>0.53383590763378796</v>
      </c>
      <c r="AL5394">
        <v>80.390507930548907</v>
      </c>
      <c r="AM5394">
        <v>83.988779092843203</v>
      </c>
      <c r="AN5394">
        <v>1.0000000462169201</v>
      </c>
    </row>
    <row r="5395" spans="1:40" x14ac:dyDescent="0.25">
      <c r="A5395" t="str">
        <f>"20190303162927681"</f>
        <v>20190303162927681</v>
      </c>
      <c r="B5395" t="str">
        <f>"1551601767677047"</f>
        <v>1551601767677047</v>
      </c>
      <c r="C5395" t="s">
        <v>40</v>
      </c>
      <c r="D5395">
        <v>5.0264949999999997</v>
      </c>
      <c r="E5395">
        <v>0.5022162</v>
      </c>
      <c r="F5395" t="s">
        <v>44</v>
      </c>
      <c r="G5395">
        <v>-334.4699</v>
      </c>
      <c r="H5395">
        <v>0.88099539999999998</v>
      </c>
      <c r="I5395">
        <v>17.420010000000001</v>
      </c>
      <c r="J5395">
        <v>-335.14269999999999</v>
      </c>
      <c r="K5395">
        <v>1.1206769999999999</v>
      </c>
      <c r="L5395">
        <v>17.49399</v>
      </c>
      <c r="M5395">
        <v>0.99992530000000002</v>
      </c>
      <c r="N5395">
        <v>-1.2219829999999999E-2</v>
      </c>
      <c r="O5395">
        <v>3.8900410000000001E-4</v>
      </c>
      <c r="P5395">
        <v>0.98254079999999999</v>
      </c>
      <c r="Q5395">
        <v>0.15494439999999901</v>
      </c>
      <c r="R5395">
        <v>-0.1029858</v>
      </c>
      <c r="S5395">
        <v>3.1688230000000002</v>
      </c>
      <c r="T5395">
        <v>-0.92071820000000004</v>
      </c>
      <c r="U5395">
        <v>-0.28451539999999997</v>
      </c>
      <c r="V5395">
        <v>0.1035653</v>
      </c>
      <c r="W5395">
        <v>0.16681689999999999</v>
      </c>
      <c r="X5395">
        <v>0.98053369999999995</v>
      </c>
      <c r="Y5395">
        <v>8.6109870000000005E-2</v>
      </c>
      <c r="Z5395">
        <v>-1.2877370000000001E-2</v>
      </c>
      <c r="AA5395">
        <v>0.99620240000000004</v>
      </c>
      <c r="AB5395">
        <v>31</v>
      </c>
      <c r="AC5395">
        <v>0.67279999999999496</v>
      </c>
      <c r="AD5395">
        <v>-0.23968159999999999</v>
      </c>
      <c r="AE5395">
        <v>-7.3979999999998797E-2</v>
      </c>
      <c r="AF5395">
        <v>6.5969530294970102E-2</v>
      </c>
      <c r="AG5395">
        <v>-0.23968159999999999</v>
      </c>
      <c r="AH5395">
        <v>0.59780927052528898</v>
      </c>
      <c r="AI5395">
        <v>111.727978879001</v>
      </c>
      <c r="AJ5395">
        <v>83.702767542116703</v>
      </c>
      <c r="AK5395">
        <v>0.64743738865768097</v>
      </c>
      <c r="AL5395">
        <v>80.397201756822298</v>
      </c>
      <c r="AM5395">
        <v>83.970696414921306</v>
      </c>
      <c r="AN5395">
        <v>0.99999999316269494</v>
      </c>
    </row>
    <row r="5396" spans="1:40" x14ac:dyDescent="0.25">
      <c r="A5396" t="str">
        <f>"20190303162927693"</f>
        <v>20190303162927693</v>
      </c>
      <c r="B5396" t="str">
        <f>"1551601767687784"</f>
        <v>1551601767687784</v>
      </c>
      <c r="C5396" t="s">
        <v>40</v>
      </c>
      <c r="D5396">
        <v>5.0830510000000002</v>
      </c>
      <c r="E5396">
        <v>0.50275099999999995</v>
      </c>
      <c r="F5396" t="s">
        <v>44</v>
      </c>
      <c r="G5396">
        <v>-334.45299999999997</v>
      </c>
      <c r="H5396">
        <v>0.92040109999999997</v>
      </c>
      <c r="I5396">
        <v>17.430769999999999</v>
      </c>
      <c r="J5396">
        <v>-334.97329999999999</v>
      </c>
      <c r="K5396">
        <v>1.1206419999999999</v>
      </c>
      <c r="L5396">
        <v>17.493679999999902</v>
      </c>
      <c r="M5396">
        <v>0.99992530000000002</v>
      </c>
      <c r="N5396">
        <v>-1.2225089999999999E-2</v>
      </c>
      <c r="O5396" s="1">
        <v>1.179346E-5</v>
      </c>
      <c r="P5396">
        <v>0.98242180000000001</v>
      </c>
      <c r="Q5396">
        <v>0.15523139999999999</v>
      </c>
      <c r="R5396">
        <v>-0.10368620000000001</v>
      </c>
      <c r="S5396">
        <v>3.1679689999999998</v>
      </c>
      <c r="T5396">
        <v>-0.91990850000000002</v>
      </c>
      <c r="U5396">
        <v>-0.28997800000000001</v>
      </c>
      <c r="V5396">
        <v>0.1039104</v>
      </c>
      <c r="W5396">
        <v>0.1670981</v>
      </c>
      <c r="X5396">
        <v>0.98044929999999997</v>
      </c>
      <c r="Y5396">
        <v>8.7424689999999999E-2</v>
      </c>
      <c r="Z5396">
        <v>-1.2961769999999999E-2</v>
      </c>
      <c r="AA5396">
        <v>0.99608680000000005</v>
      </c>
      <c r="AB5396">
        <v>31</v>
      </c>
      <c r="AC5396">
        <v>0.52029999999996301</v>
      </c>
      <c r="AD5396">
        <v>-0.200240899999999</v>
      </c>
      <c r="AE5396">
        <v>-6.2909999999995095E-2</v>
      </c>
      <c r="AF5396">
        <v>5.4901578785950499E-2</v>
      </c>
      <c r="AG5396">
        <v>-0.200240899999999</v>
      </c>
      <c r="AH5396">
        <v>0.45402105488349498</v>
      </c>
      <c r="AI5396">
        <v>113.646169817889</v>
      </c>
      <c r="AJ5396">
        <v>83.105100156728398</v>
      </c>
      <c r="AK5396">
        <v>0.49924514986479501</v>
      </c>
      <c r="AL5396">
        <v>80.3808607740974</v>
      </c>
      <c r="AM5396">
        <v>83.950237435491104</v>
      </c>
      <c r="AN5396">
        <v>0.99999998806113</v>
      </c>
    </row>
    <row r="5397" spans="1:40" x14ac:dyDescent="0.25">
      <c r="A5397" t="str">
        <f>"20190303162927704"</f>
        <v>20190303162927704</v>
      </c>
      <c r="B5397" t="str">
        <f>"1551601767697548"</f>
        <v>1551601767697548</v>
      </c>
      <c r="C5397" t="s">
        <v>40</v>
      </c>
      <c r="D5397">
        <v>5.0773869999999999</v>
      </c>
      <c r="E5397">
        <v>0.50317290000000003</v>
      </c>
      <c r="F5397" t="s">
        <v>44</v>
      </c>
      <c r="G5397">
        <v>-334.18400000000003</v>
      </c>
      <c r="H5397">
        <v>0.89213609999999899</v>
      </c>
      <c r="I5397">
        <v>17.41949</v>
      </c>
      <c r="J5397">
        <v>-334.82100000000003</v>
      </c>
      <c r="K5397">
        <v>1.1206119999999999</v>
      </c>
      <c r="L5397">
        <v>17.49335</v>
      </c>
      <c r="M5397">
        <v>0.99992519999999996</v>
      </c>
      <c r="N5397">
        <v>-1.2230090000000001E-2</v>
      </c>
      <c r="O5397">
        <v>-3.3686799999999999E-4</v>
      </c>
      <c r="P5397">
        <v>0.98228150000000003</v>
      </c>
      <c r="Q5397">
        <v>0.1558232</v>
      </c>
      <c r="R5397">
        <v>-0.1041282</v>
      </c>
      <c r="S5397">
        <v>3.1672669999999998</v>
      </c>
      <c r="T5397">
        <v>-0.91677059999999999</v>
      </c>
      <c r="U5397">
        <v>-0.29632570000000003</v>
      </c>
      <c r="V5397">
        <v>0.10402400000000001</v>
      </c>
      <c r="W5397">
        <v>0.16768479999999999</v>
      </c>
      <c r="X5397">
        <v>0.98033709999999996</v>
      </c>
      <c r="Y5397">
        <v>8.9044559999999995E-2</v>
      </c>
      <c r="Z5397">
        <v>-1.306771E-2</v>
      </c>
      <c r="AA5397">
        <v>0.99594190000000005</v>
      </c>
      <c r="AB5397">
        <v>31</v>
      </c>
      <c r="AC5397">
        <v>0.63699999999994295</v>
      </c>
      <c r="AD5397">
        <v>-0.22847590000000001</v>
      </c>
      <c r="AE5397">
        <v>-7.3859999999999801E-2</v>
      </c>
      <c r="AF5397">
        <v>6.5349821131989796E-2</v>
      </c>
      <c r="AG5397">
        <v>-0.22847590000000001</v>
      </c>
      <c r="AH5397">
        <v>0.56526901481257297</v>
      </c>
      <c r="AI5397">
        <v>111.876220215996</v>
      </c>
      <c r="AJ5397">
        <v>83.405404741173498</v>
      </c>
      <c r="AK5397">
        <v>0.61318911855150404</v>
      </c>
      <c r="AL5397">
        <v>80.346764441232807</v>
      </c>
      <c r="AM5397">
        <v>83.9429846670117</v>
      </c>
      <c r="AN5397">
        <v>1.0000000071817201</v>
      </c>
    </row>
    <row r="5398" spans="1:40" x14ac:dyDescent="0.25">
      <c r="A5398" t="str">
        <f>"20190303162927715"</f>
        <v>20190303162927715</v>
      </c>
      <c r="B5398" t="str">
        <f>"1551601767707307"</f>
        <v>1551601767707307</v>
      </c>
      <c r="C5398" t="s">
        <v>40</v>
      </c>
      <c r="D5398">
        <v>5.02501</v>
      </c>
      <c r="E5398">
        <v>0.50349829999999995</v>
      </c>
      <c r="F5398" t="s">
        <v>44</v>
      </c>
      <c r="G5398">
        <v>-333.91539999999998</v>
      </c>
      <c r="H5398">
        <v>0.85994300000000001</v>
      </c>
      <c r="I5398">
        <v>17.4071</v>
      </c>
      <c r="J5398">
        <v>-334.6705</v>
      </c>
      <c r="K5398">
        <v>1.120584</v>
      </c>
      <c r="L5398">
        <v>17.49295</v>
      </c>
      <c r="M5398">
        <v>0.99992499999999995</v>
      </c>
      <c r="N5398">
        <v>-1.2237059999999999E-2</v>
      </c>
      <c r="O5398">
        <v>-7.1235479999999995E-4</v>
      </c>
      <c r="P5398">
        <v>0.9821782</v>
      </c>
      <c r="Q5398">
        <v>0.15605169999999999</v>
      </c>
      <c r="R5398">
        <v>-0.1047585</v>
      </c>
      <c r="S5398">
        <v>3.166779</v>
      </c>
      <c r="T5398">
        <v>-0.91147820000000002</v>
      </c>
      <c r="U5398">
        <v>-0.30099490000000001</v>
      </c>
      <c r="V5398">
        <v>0.1042993</v>
      </c>
      <c r="W5398">
        <v>0.16791039999999999</v>
      </c>
      <c r="X5398">
        <v>0.98026930000000001</v>
      </c>
      <c r="Y5398">
        <v>9.0148950000000005E-2</v>
      </c>
      <c r="Z5398">
        <v>-1.306073E-2</v>
      </c>
      <c r="AA5398">
        <v>0.99584260000000002</v>
      </c>
      <c r="AB5398">
        <v>31</v>
      </c>
      <c r="AC5398">
        <v>0.75510000000002697</v>
      </c>
      <c r="AD5398">
        <v>-0.26064100000000001</v>
      </c>
      <c r="AE5398">
        <v>-8.5850000000000606E-2</v>
      </c>
      <c r="AF5398">
        <v>7.6333347968266602E-2</v>
      </c>
      <c r="AG5398">
        <v>-0.26064100000000001</v>
      </c>
      <c r="AH5398">
        <v>0.67568382769020496</v>
      </c>
      <c r="AI5398">
        <v>110.972116888583</v>
      </c>
      <c r="AJ5398">
        <v>83.554509510242497</v>
      </c>
      <c r="AK5398">
        <v>0.728223280247982</v>
      </c>
      <c r="AL5398">
        <v>80.333653253739101</v>
      </c>
      <c r="AM5398">
        <v>83.926657487229093</v>
      </c>
      <c r="AN5398">
        <v>1.0000000734655601</v>
      </c>
    </row>
    <row r="5399" spans="1:40" x14ac:dyDescent="0.25">
      <c r="A5399" t="str">
        <f>"20190303162927726"</f>
        <v>20190303162927726</v>
      </c>
      <c r="B5399" t="str">
        <f>"1551601767717068"</f>
        <v>1551601767717068</v>
      </c>
      <c r="C5399" t="s">
        <v>40</v>
      </c>
      <c r="D5399">
        <v>5.032877</v>
      </c>
      <c r="E5399">
        <v>0.50361959999999995</v>
      </c>
      <c r="F5399" t="s">
        <v>44</v>
      </c>
      <c r="G5399">
        <v>-333.89949999999999</v>
      </c>
      <c r="H5399">
        <v>0.89955370000000001</v>
      </c>
      <c r="I5399">
        <v>17.418530000000001</v>
      </c>
      <c r="J5399">
        <v>-334.50940000000003</v>
      </c>
      <c r="K5399">
        <v>1.120552</v>
      </c>
      <c r="L5399">
        <v>17.4924</v>
      </c>
      <c r="M5399">
        <v>0.99992449999999999</v>
      </c>
      <c r="N5399">
        <v>-1.224505E-2</v>
      </c>
      <c r="O5399">
        <v>-1.1241160000000001E-3</v>
      </c>
      <c r="P5399">
        <v>0.98203309999999999</v>
      </c>
      <c r="Q5399">
        <v>0.15635309999999999</v>
      </c>
      <c r="R5399">
        <v>-0.105665</v>
      </c>
      <c r="S5399">
        <v>3.1661380000000001</v>
      </c>
      <c r="T5399">
        <v>-0.90762080000000001</v>
      </c>
      <c r="U5399">
        <v>-0.30493160000000002</v>
      </c>
      <c r="V5399">
        <v>0.1048159</v>
      </c>
      <c r="W5399">
        <v>0.16820940000000001</v>
      </c>
      <c r="X5399">
        <v>0.98016289999999995</v>
      </c>
      <c r="Y5399">
        <v>9.0994259999999993E-2</v>
      </c>
      <c r="Z5399">
        <v>-1.302524E-2</v>
      </c>
      <c r="AA5399">
        <v>0.99576620000000005</v>
      </c>
      <c r="AB5399">
        <v>31</v>
      </c>
      <c r="AC5399">
        <v>0.60990000000003797</v>
      </c>
      <c r="AD5399">
        <v>-0.22099830000000001</v>
      </c>
      <c r="AE5399">
        <v>-7.3869999999999394E-2</v>
      </c>
      <c r="AF5399">
        <v>6.4799248719247499E-2</v>
      </c>
      <c r="AG5399">
        <v>-0.22099830000000001</v>
      </c>
      <c r="AH5399">
        <v>0.54009420171610401</v>
      </c>
      <c r="AI5399">
        <v>112.110486685338</v>
      </c>
      <c r="AJ5399">
        <v>83.158487339675702</v>
      </c>
      <c r="AK5399">
        <v>0.58714643655976095</v>
      </c>
      <c r="AL5399">
        <v>80.316274337650995</v>
      </c>
      <c r="AM5399">
        <v>83.896144858497706</v>
      </c>
      <c r="AN5399">
        <v>1.0000000428387801</v>
      </c>
    </row>
    <row r="5400" spans="1:40" x14ac:dyDescent="0.25">
      <c r="A5400" t="str">
        <f>"20190303162927737"</f>
        <v>20190303162927737</v>
      </c>
      <c r="B5400" t="str">
        <f>"1551601767726828"</f>
        <v>1551601767726828</v>
      </c>
      <c r="C5400" t="s">
        <v>40</v>
      </c>
      <c r="D5400">
        <v>5.0416670000000003</v>
      </c>
      <c r="E5400">
        <v>0.503884</v>
      </c>
      <c r="F5400" t="s">
        <v>44</v>
      </c>
      <c r="G5400">
        <v>-333.63029999999998</v>
      </c>
      <c r="H5400">
        <v>0.86914429999999998</v>
      </c>
      <c r="I5400">
        <v>17.406559999999999</v>
      </c>
      <c r="J5400">
        <v>-334.351</v>
      </c>
      <c r="K5400">
        <v>1.1205240000000001</v>
      </c>
      <c r="L5400">
        <v>17.491820000000001</v>
      </c>
      <c r="M5400">
        <v>0.99992389999999998</v>
      </c>
      <c r="N5400">
        <v>-1.2254080000000001E-2</v>
      </c>
      <c r="O5400">
        <v>-1.5517040000000001E-3</v>
      </c>
      <c r="P5400">
        <v>0.98192849999999998</v>
      </c>
      <c r="Q5400">
        <v>0.15637779999999901</v>
      </c>
      <c r="R5400">
        <v>-0.10659639999999999</v>
      </c>
      <c r="S5400">
        <v>3.1658330000000001</v>
      </c>
      <c r="T5400">
        <v>-0.90525869999999997</v>
      </c>
      <c r="U5400">
        <v>-0.30831910000000001</v>
      </c>
      <c r="V5400">
        <v>0.10534060000000001</v>
      </c>
      <c r="W5400">
        <v>0.16823289999999999</v>
      </c>
      <c r="X5400">
        <v>0.98010260000000005</v>
      </c>
      <c r="Y5400">
        <v>9.1640429999999995E-2</v>
      </c>
      <c r="Z5400">
        <v>-1.2975E-2</v>
      </c>
      <c r="AA5400">
        <v>0.99570760000000003</v>
      </c>
      <c r="AB5400">
        <v>31</v>
      </c>
      <c r="AC5400">
        <v>0.72070000000002199</v>
      </c>
      <c r="AD5400">
        <v>-0.25137969999999998</v>
      </c>
      <c r="AE5400">
        <v>-8.5260000000001598E-2</v>
      </c>
      <c r="AF5400">
        <v>7.5127559515162298E-2</v>
      </c>
      <c r="AG5400">
        <v>-0.25137969999999998</v>
      </c>
      <c r="AH5400">
        <v>0.64360995009178201</v>
      </c>
      <c r="AI5400">
        <v>111.20344862034</v>
      </c>
      <c r="AJ5400">
        <v>83.342085432245696</v>
      </c>
      <c r="AK5400">
        <v>0.69503213711880996</v>
      </c>
      <c r="AL5400">
        <v>80.314908282263303</v>
      </c>
      <c r="AM5400">
        <v>83.865447305957005</v>
      </c>
      <c r="AN5400">
        <v>1.00000002858876</v>
      </c>
    </row>
    <row r="5401" spans="1:40" x14ac:dyDescent="0.25">
      <c r="A5401" t="str">
        <f>"20190303162927750"</f>
        <v>20190303162927750</v>
      </c>
      <c r="B5401" t="str">
        <f>"1551601767747324"</f>
        <v>1551601767747324</v>
      </c>
      <c r="C5401" t="s">
        <v>40</v>
      </c>
      <c r="D5401">
        <v>5.0614039999999996</v>
      </c>
      <c r="E5401">
        <v>0.50429919999999995</v>
      </c>
      <c r="F5401" t="s">
        <v>44</v>
      </c>
      <c r="G5401">
        <v>-333.61349999999999</v>
      </c>
      <c r="H5401">
        <v>0.91024490000000002</v>
      </c>
      <c r="I5401">
        <v>17.41873</v>
      </c>
      <c r="J5401">
        <v>-334.20549999999997</v>
      </c>
      <c r="K5401">
        <v>1.1204970000000001</v>
      </c>
      <c r="L5401">
        <v>17.491209999999999</v>
      </c>
      <c r="M5401">
        <v>0.99992289999999995</v>
      </c>
      <c r="N5401">
        <v>-1.226239E-2</v>
      </c>
      <c r="O5401">
        <v>-1.9564529999999999E-3</v>
      </c>
      <c r="P5401">
        <v>0.98180789999999996</v>
      </c>
      <c r="Q5401">
        <v>0.156307</v>
      </c>
      <c r="R5401">
        <v>-0.1078042</v>
      </c>
      <c r="S5401">
        <v>3.1649780000000001</v>
      </c>
      <c r="T5401">
        <v>-0.90240670000000001</v>
      </c>
      <c r="U5401">
        <v>-0.31271359999999998</v>
      </c>
      <c r="V5401">
        <v>0.1061621</v>
      </c>
      <c r="W5401">
        <v>0.1681609</v>
      </c>
      <c r="X5401">
        <v>0.98002619999999896</v>
      </c>
      <c r="Y5401">
        <v>9.2627849999999998E-2</v>
      </c>
      <c r="Z5401">
        <v>-1.2976130000000001E-2</v>
      </c>
      <c r="AA5401">
        <v>0.99561630000000001</v>
      </c>
      <c r="AB5401">
        <v>31</v>
      </c>
      <c r="AC5401">
        <v>0.59199999999998398</v>
      </c>
      <c r="AD5401">
        <v>-0.210252099999999</v>
      </c>
      <c r="AE5401">
        <v>-7.2479999999998698E-2</v>
      </c>
      <c r="AF5401">
        <v>6.3437950405371396E-2</v>
      </c>
      <c r="AG5401">
        <v>-0.210252099999999</v>
      </c>
      <c r="AH5401">
        <v>0.52668778316304599</v>
      </c>
      <c r="AI5401">
        <v>111.62002250056899</v>
      </c>
      <c r="AJ5401">
        <v>83.131981672076094</v>
      </c>
      <c r="AK5401">
        <v>0.57064028953382495</v>
      </c>
      <c r="AL5401">
        <v>80.319092100777596</v>
      </c>
      <c r="AM5401">
        <v>83.8174977348623</v>
      </c>
      <c r="AN5401">
        <v>0.99999991622582596</v>
      </c>
    </row>
    <row r="5402" spans="1:40" x14ac:dyDescent="0.25">
      <c r="A5402" t="str">
        <f>"20190303162927762"</f>
        <v>20190303162927762</v>
      </c>
      <c r="B5402" t="str">
        <f>"1551601767757084"</f>
        <v>1551601767757084</v>
      </c>
      <c r="C5402" t="s">
        <v>40</v>
      </c>
      <c r="D5402">
        <v>5.0578149999999997</v>
      </c>
      <c r="E5402">
        <v>0.50440810000000003</v>
      </c>
      <c r="F5402" t="s">
        <v>44</v>
      </c>
      <c r="G5402">
        <v>-333.346</v>
      </c>
      <c r="H5402">
        <v>0.87630520000000001</v>
      </c>
      <c r="I5402">
        <v>17.404329999999899</v>
      </c>
      <c r="J5402">
        <v>-334.00170000000003</v>
      </c>
      <c r="K5402">
        <v>1.1204609999999999</v>
      </c>
      <c r="L5402">
        <v>17.49023</v>
      </c>
      <c r="M5402">
        <v>0.99992159999999997</v>
      </c>
      <c r="N5402">
        <v>-1.227406E-2</v>
      </c>
      <c r="O5402">
        <v>-2.5424530000000001E-3</v>
      </c>
      <c r="P5402">
        <v>0.98164770000000001</v>
      </c>
      <c r="Q5402">
        <v>0.15640109999999999</v>
      </c>
      <c r="R5402">
        <v>-0.10911849999999999</v>
      </c>
      <c r="S5402">
        <v>3.1636350000000002</v>
      </c>
      <c r="T5402">
        <v>-0.89876909999999899</v>
      </c>
      <c r="U5402">
        <v>-0.3191833</v>
      </c>
      <c r="V5402">
        <v>0.10691639999999999</v>
      </c>
      <c r="W5402">
        <v>0.16825499999999999</v>
      </c>
      <c r="X5402">
        <v>0.97992809999999997</v>
      </c>
      <c r="Y5402">
        <v>9.4089629999999994E-2</v>
      </c>
      <c r="Z5402">
        <v>-1.298902E-2</v>
      </c>
      <c r="AA5402">
        <v>0.995479</v>
      </c>
      <c r="AB5402">
        <v>31</v>
      </c>
      <c r="AC5402">
        <v>0.65570000000002404</v>
      </c>
      <c r="AD5402">
        <v>-0.24415580000000001</v>
      </c>
      <c r="AE5402">
        <v>-8.5900000000002294E-2</v>
      </c>
      <c r="AF5402">
        <v>7.4127990564182997E-2</v>
      </c>
      <c r="AG5402">
        <v>-0.24415580000000001</v>
      </c>
      <c r="AH5402">
        <v>0.57723266811281804</v>
      </c>
      <c r="AI5402">
        <v>112.759568546119</v>
      </c>
      <c r="AJ5402">
        <v>82.682150960282698</v>
      </c>
      <c r="AK5402">
        <v>0.63111375107453205</v>
      </c>
      <c r="AL5402">
        <v>80.313623175479705</v>
      </c>
      <c r="AM5402">
        <v>83.773295386379502</v>
      </c>
      <c r="AN5402">
        <v>0.99999997139178398</v>
      </c>
    </row>
    <row r="5403" spans="1:40" x14ac:dyDescent="0.25">
      <c r="A5403" t="str">
        <f>"20190303162927774"</f>
        <v>20190303162927774</v>
      </c>
      <c r="B5403" t="str">
        <f>"1551601767767821"</f>
        <v>1551601767767821</v>
      </c>
      <c r="C5403" t="s">
        <v>40</v>
      </c>
      <c r="D5403">
        <v>5.1042310000000004</v>
      </c>
      <c r="E5403">
        <v>0.50485570000000002</v>
      </c>
      <c r="F5403" t="s">
        <v>44</v>
      </c>
      <c r="G5403">
        <v>-333.3236</v>
      </c>
      <c r="H5403">
        <v>0.92806080000000002</v>
      </c>
      <c r="I5403">
        <v>17.420629999999999</v>
      </c>
      <c r="J5403">
        <v>-333.83690000000001</v>
      </c>
      <c r="K5403">
        <v>1.120439</v>
      </c>
      <c r="L5403">
        <v>17.489319999999999</v>
      </c>
      <c r="M5403">
        <v>0.99991980000000003</v>
      </c>
      <c r="N5403">
        <v>-1.2282970000000001E-2</v>
      </c>
      <c r="O5403">
        <v>-3.0413620000000001E-3</v>
      </c>
      <c r="P5403">
        <v>0.98157050000000001</v>
      </c>
      <c r="Q5403">
        <v>0.15602839999999901</v>
      </c>
      <c r="R5403">
        <v>-0.1103387</v>
      </c>
      <c r="S5403">
        <v>3.1630859999999998</v>
      </c>
      <c r="T5403">
        <v>-0.89740819999999999</v>
      </c>
      <c r="U5403">
        <v>-0.32391360000000002</v>
      </c>
      <c r="V5403">
        <v>0.10765710000000001</v>
      </c>
      <c r="W5403">
        <v>0.16788220000000001</v>
      </c>
      <c r="X5403">
        <v>0.97991099999999998</v>
      </c>
      <c r="Y5403">
        <v>9.5071740000000002E-2</v>
      </c>
      <c r="Z5403">
        <v>-1.298264E-2</v>
      </c>
      <c r="AA5403">
        <v>0.99538579999999999</v>
      </c>
      <c r="AB5403">
        <v>31</v>
      </c>
      <c r="AC5403">
        <v>0.51330000000001497</v>
      </c>
      <c r="AD5403">
        <v>-0.192378199999999</v>
      </c>
      <c r="AE5403">
        <v>-6.8690000000003595E-2</v>
      </c>
      <c r="AF5403">
        <v>5.8988381130808003E-2</v>
      </c>
      <c r="AG5403">
        <v>-0.192378199999999</v>
      </c>
      <c r="AH5403">
        <v>0.451238302647957</v>
      </c>
      <c r="AI5403">
        <v>112.91558495791701</v>
      </c>
      <c r="AJ5403">
        <v>82.552210861811105</v>
      </c>
      <c r="AK5403">
        <v>0.49406983992172898</v>
      </c>
      <c r="AL5403">
        <v>80.335291798586496</v>
      </c>
      <c r="AM5403">
        <v>83.730391569322606</v>
      </c>
      <c r="AN5403">
        <v>1.00000002608912</v>
      </c>
    </row>
    <row r="5404" spans="1:40" x14ac:dyDescent="0.25">
      <c r="A5404" t="str">
        <f>"20190303162927788"</f>
        <v>20190303162927788</v>
      </c>
      <c r="B5404" t="str">
        <f>"1551601767777580"</f>
        <v>1551601767777580</v>
      </c>
      <c r="C5404" t="s">
        <v>40</v>
      </c>
      <c r="D5404">
        <v>5.1206259999999997</v>
      </c>
      <c r="E5404">
        <v>0.50485570000000002</v>
      </c>
      <c r="F5404" t="s">
        <v>44</v>
      </c>
      <c r="G5404">
        <v>-333.05579999999998</v>
      </c>
      <c r="H5404">
        <v>0.89862900000000001</v>
      </c>
      <c r="I5404">
        <v>17.407260000000001</v>
      </c>
      <c r="J5404">
        <v>-333.64640000000003</v>
      </c>
      <c r="K5404">
        <v>1.120411</v>
      </c>
      <c r="L5404">
        <v>17.488160000000001</v>
      </c>
      <c r="M5404">
        <v>0.99991790000000003</v>
      </c>
      <c r="N5404">
        <v>-1.2293E-2</v>
      </c>
      <c r="O5404">
        <v>-3.6288990000000001E-3</v>
      </c>
      <c r="P5404">
        <v>0.98144089999999995</v>
      </c>
      <c r="Q5404">
        <v>0.1558793</v>
      </c>
      <c r="R5404">
        <v>-0.1116941</v>
      </c>
      <c r="S5404">
        <v>3.1618650000000001</v>
      </c>
      <c r="T5404">
        <v>-0.89779880000000001</v>
      </c>
      <c r="U5404">
        <v>-0.33074949999999997</v>
      </c>
      <c r="V5404">
        <v>0.1084479</v>
      </c>
      <c r="W5404">
        <v>0.1677332</v>
      </c>
      <c r="X5404">
        <v>0.97984930000000003</v>
      </c>
      <c r="Y5404">
        <v>9.6608219999999995E-2</v>
      </c>
      <c r="Z5404">
        <v>-1.30586E-2</v>
      </c>
      <c r="AA5404">
        <v>0.99523680000000003</v>
      </c>
      <c r="AB5404">
        <v>31</v>
      </c>
      <c r="AC5404">
        <v>0.59060000000005097</v>
      </c>
      <c r="AD5404">
        <v>-0.22178199999999901</v>
      </c>
      <c r="AE5404">
        <v>-8.0899999999999694E-2</v>
      </c>
      <c r="AF5404">
        <v>6.9180284777726794E-2</v>
      </c>
      <c r="AG5404">
        <v>-0.22178199999999901</v>
      </c>
      <c r="AH5404">
        <v>0.51904462095067205</v>
      </c>
      <c r="AI5404">
        <v>112.95476671348401</v>
      </c>
      <c r="AJ5404">
        <v>82.408140211232805</v>
      </c>
      <c r="AK5404">
        <v>0.56866553075050497</v>
      </c>
      <c r="AL5404">
        <v>80.343951531826306</v>
      </c>
      <c r="AM5404">
        <v>83.684314189707095</v>
      </c>
      <c r="AN5404">
        <v>1.0000000120535699</v>
      </c>
    </row>
    <row r="5405" spans="1:40" x14ac:dyDescent="0.25">
      <c r="A5405" t="str">
        <f>"20190303162927806"</f>
        <v>20190303162927806</v>
      </c>
      <c r="B5405" t="str">
        <f>"1551601767797099"</f>
        <v>1551601767797099</v>
      </c>
      <c r="C5405" t="s">
        <v>40</v>
      </c>
      <c r="D5405">
        <v>5.0874839999999999</v>
      </c>
      <c r="E5405">
        <v>0.51411240000000002</v>
      </c>
      <c r="F5405" t="s">
        <v>44</v>
      </c>
      <c r="G5405">
        <v>-332.78379999999999</v>
      </c>
      <c r="H5405">
        <v>0.87529829999999997</v>
      </c>
      <c r="I5405">
        <v>17.396899999999999</v>
      </c>
      <c r="J5405">
        <v>-333.39179999999999</v>
      </c>
      <c r="K5405">
        <v>1.120379</v>
      </c>
      <c r="L5405">
        <v>17.48639</v>
      </c>
      <c r="M5405">
        <v>0.99991450000000004</v>
      </c>
      <c r="N5405">
        <v>-1.2305689999999999E-2</v>
      </c>
      <c r="O5405">
        <v>-4.4417429999999997E-3</v>
      </c>
      <c r="P5405">
        <v>0.98107279999999997</v>
      </c>
      <c r="Q5405">
        <v>0.15624689999999999</v>
      </c>
      <c r="R5405">
        <v>-0.114382399999999</v>
      </c>
      <c r="S5405">
        <v>3.1612849999999999</v>
      </c>
      <c r="T5405">
        <v>-0.89833739999999995</v>
      </c>
      <c r="U5405">
        <v>-0.33508300000000002</v>
      </c>
      <c r="V5405">
        <v>0.1103546</v>
      </c>
      <c r="W5405">
        <v>0.168097</v>
      </c>
      <c r="X5405">
        <v>0.97957399999999994</v>
      </c>
      <c r="Y5405">
        <v>9.7168589999999999E-2</v>
      </c>
      <c r="Z5405">
        <v>-1.2933149999999999E-2</v>
      </c>
      <c r="AA5405">
        <v>0.99518390000000001</v>
      </c>
      <c r="AB5405">
        <v>31</v>
      </c>
      <c r="AC5405">
        <v>0.60800000000000398</v>
      </c>
      <c r="AD5405">
        <v>-0.24508070000000001</v>
      </c>
      <c r="AE5405">
        <v>-8.9490000000001402E-2</v>
      </c>
      <c r="AF5405">
        <v>7.4879579605545601E-2</v>
      </c>
      <c r="AG5405">
        <v>-0.24508070000000001</v>
      </c>
      <c r="AH5405">
        <v>0.52491043292232098</v>
      </c>
      <c r="AI5405">
        <v>114.807357716591</v>
      </c>
      <c r="AJ5405">
        <v>81.881410672828494</v>
      </c>
      <c r="AK5405">
        <v>0.58412538341103803</v>
      </c>
      <c r="AL5405">
        <v>80.322806797307393</v>
      </c>
      <c r="AM5405">
        <v>83.572403656299301</v>
      </c>
      <c r="AN5405">
        <v>0.99999998031307902</v>
      </c>
    </row>
    <row r="5406" spans="1:40" x14ac:dyDescent="0.25">
      <c r="A5406" t="str">
        <f>"20190303162927829"</f>
        <v>20190303162927829</v>
      </c>
      <c r="B5406" t="str">
        <f>"1551601767817596"</f>
        <v>1551601767817596</v>
      </c>
      <c r="C5406" t="s">
        <v>40</v>
      </c>
      <c r="D5406">
        <v>5.0819539999999996</v>
      </c>
      <c r="E5406">
        <v>0.51436110000000002</v>
      </c>
      <c r="F5406" t="s">
        <v>44</v>
      </c>
      <c r="G5406">
        <v>-332.51870000000002</v>
      </c>
      <c r="H5406">
        <v>0.83452150000000003</v>
      </c>
      <c r="I5406">
        <v>17.372640000000001</v>
      </c>
      <c r="J5406">
        <v>-333.07170000000002</v>
      </c>
      <c r="K5406">
        <v>1.1203399999999999</v>
      </c>
      <c r="L5406">
        <v>17.483829999999902</v>
      </c>
      <c r="M5406">
        <v>0.99990900000000005</v>
      </c>
      <c r="N5406">
        <v>-1.232042E-2</v>
      </c>
      <c r="O5406">
        <v>-5.5005649999999998E-3</v>
      </c>
      <c r="P5406">
        <v>0.98063460000000002</v>
      </c>
      <c r="Q5406">
        <v>0.15648339999999999</v>
      </c>
      <c r="R5406">
        <v>-0.1177661</v>
      </c>
      <c r="S5406">
        <v>3.1752929999999999</v>
      </c>
      <c r="T5406">
        <v>-1.0393650000000001</v>
      </c>
      <c r="U5406">
        <v>-0.41256710000000002</v>
      </c>
      <c r="V5406">
        <v>0.1127171</v>
      </c>
      <c r="W5406">
        <v>0.16832920000000001</v>
      </c>
      <c r="X5406">
        <v>0.9792651</v>
      </c>
      <c r="Y5406">
        <v>0.117382</v>
      </c>
      <c r="Z5406">
        <v>-1.7713019999999999E-2</v>
      </c>
      <c r="AA5406">
        <v>0.9929289</v>
      </c>
      <c r="AB5406">
        <v>31</v>
      </c>
      <c r="AC5406">
        <v>0.55299999999999705</v>
      </c>
      <c r="AD5406">
        <v>-0.28581849999999898</v>
      </c>
      <c r="AE5406">
        <v>-0.111189999999997</v>
      </c>
      <c r="AF5406">
        <v>8.6052014419600906E-2</v>
      </c>
      <c r="AG5406">
        <v>-0.28581849999999898</v>
      </c>
      <c r="AH5406">
        <v>0.44050225778429197</v>
      </c>
      <c r="AI5406">
        <v>122.489383209735</v>
      </c>
      <c r="AJ5406">
        <v>78.946486080844707</v>
      </c>
      <c r="AK5406">
        <v>0.53210845063857104</v>
      </c>
      <c r="AL5406">
        <v>80.309310596210494</v>
      </c>
      <c r="AM5406">
        <v>83.433935968990099</v>
      </c>
      <c r="AN5406">
        <v>1.0000000001415299</v>
      </c>
    </row>
    <row r="5407" spans="1:40" x14ac:dyDescent="0.25">
      <c r="A5407" t="str">
        <f>"20190303162927843"</f>
        <v>20190303162927843</v>
      </c>
      <c r="B5407" t="str">
        <f>"1551601767837116"</f>
        <v>1551601767837116</v>
      </c>
      <c r="C5407" t="s">
        <v>40</v>
      </c>
      <c r="D5407">
        <v>5.0404470000000003</v>
      </c>
      <c r="E5407">
        <v>0.51468579999999997</v>
      </c>
      <c r="F5407" t="s">
        <v>44</v>
      </c>
      <c r="G5407">
        <v>-332.23480000000001</v>
      </c>
      <c r="H5407">
        <v>0.84116270000000004</v>
      </c>
      <c r="I5407">
        <v>17.371929999999999</v>
      </c>
      <c r="J5407">
        <v>-332.86700000000002</v>
      </c>
      <c r="K5407">
        <v>1.12032</v>
      </c>
      <c r="L5407">
        <v>17.48199</v>
      </c>
      <c r="M5407">
        <v>0.99990480000000004</v>
      </c>
      <c r="N5407">
        <v>-1.232923E-2</v>
      </c>
      <c r="O5407">
        <v>-6.1910719999999997E-3</v>
      </c>
      <c r="P5407">
        <v>0.98039279999999995</v>
      </c>
      <c r="Q5407">
        <v>0.1564962</v>
      </c>
      <c r="R5407">
        <v>-0.11974460000000001</v>
      </c>
      <c r="S5407">
        <v>3.1773380000000002</v>
      </c>
      <c r="T5407">
        <v>-1.0599130000000001</v>
      </c>
      <c r="U5407">
        <v>-0.42462159999999899</v>
      </c>
      <c r="V5407">
        <v>0.114028</v>
      </c>
      <c r="W5407">
        <v>0.1683405</v>
      </c>
      <c r="X5407">
        <v>0.97911139999999997</v>
      </c>
      <c r="Y5407">
        <v>0.11998929999999999</v>
      </c>
      <c r="Z5407">
        <v>-1.824052E-2</v>
      </c>
      <c r="AA5407">
        <v>0.99260760000000003</v>
      </c>
      <c r="AB5407">
        <v>31</v>
      </c>
      <c r="AC5407">
        <v>0.63219999999995402</v>
      </c>
      <c r="AD5407">
        <v>-0.279157299999999</v>
      </c>
      <c r="AE5407">
        <v>-0.11006000000000001</v>
      </c>
      <c r="AF5407">
        <v>8.9253001384264993E-2</v>
      </c>
      <c r="AG5407">
        <v>-0.279157299999999</v>
      </c>
      <c r="AH5407">
        <v>0.53216103615024402</v>
      </c>
      <c r="AI5407">
        <v>117.35465553423001</v>
      </c>
      <c r="AJ5407">
        <v>80.479077114632105</v>
      </c>
      <c r="AK5407">
        <v>0.60752799507174204</v>
      </c>
      <c r="AL5407">
        <v>80.308653986796998</v>
      </c>
      <c r="AM5407">
        <v>83.357217726023606</v>
      </c>
      <c r="AN5407">
        <v>1.0000000211671001</v>
      </c>
    </row>
    <row r="5408" spans="1:40" x14ac:dyDescent="0.25">
      <c r="A5408" t="str">
        <f>"20190303162927855"</f>
        <v>20190303162927855</v>
      </c>
      <c r="B5408" t="str">
        <f>"1551601767846876"</f>
        <v>1551601767846876</v>
      </c>
      <c r="C5408" t="s">
        <v>40</v>
      </c>
      <c r="D5408">
        <v>5.0344819999999997</v>
      </c>
      <c r="E5408">
        <v>0.51494810000000002</v>
      </c>
      <c r="F5408" t="s">
        <v>44</v>
      </c>
      <c r="G5408">
        <v>-331.96230000000003</v>
      </c>
      <c r="H5408">
        <v>0.81933829999999996</v>
      </c>
      <c r="I5408">
        <v>17.35838</v>
      </c>
      <c r="J5408">
        <v>-332.69229999999999</v>
      </c>
      <c r="K5408">
        <v>1.120306</v>
      </c>
      <c r="L5408">
        <v>17.48029</v>
      </c>
      <c r="M5408">
        <v>0.99990089999999998</v>
      </c>
      <c r="N5408">
        <v>-1.2336059999999999E-2</v>
      </c>
      <c r="O5408">
        <v>-6.7930159999999998E-3</v>
      </c>
      <c r="P5408">
        <v>0.9801666</v>
      </c>
      <c r="Q5408">
        <v>0.15648129999999999</v>
      </c>
      <c r="R5408">
        <v>-0.12160169999999999</v>
      </c>
      <c r="S5408">
        <v>3.1757810000000002</v>
      </c>
      <c r="T5408">
        <v>-1.0563830000000001</v>
      </c>
      <c r="U5408">
        <v>-0.43264770000000002</v>
      </c>
      <c r="V5408">
        <v>0.1153023</v>
      </c>
      <c r="W5408">
        <v>0.1683231</v>
      </c>
      <c r="X5408">
        <v>0.97896510000000003</v>
      </c>
      <c r="Y5408">
        <v>0.1218818</v>
      </c>
      <c r="Z5408">
        <v>-1.83216E-2</v>
      </c>
      <c r="AA5408">
        <v>0.99237549999999997</v>
      </c>
      <c r="AB5408">
        <v>31</v>
      </c>
      <c r="AC5408">
        <v>0.72999999999996101</v>
      </c>
      <c r="AD5408">
        <v>-0.3009677</v>
      </c>
      <c r="AE5408">
        <v>-0.12190999999999901</v>
      </c>
      <c r="AF5408">
        <v>0.100352890170406</v>
      </c>
      <c r="AG5408">
        <v>-0.3009677</v>
      </c>
      <c r="AH5408">
        <v>0.62710853700879698</v>
      </c>
      <c r="AI5408">
        <v>115.356262141489</v>
      </c>
      <c r="AJ5408">
        <v>80.908340115321806</v>
      </c>
      <c r="AK5408">
        <v>0.702792555593866</v>
      </c>
      <c r="AL5408">
        <v>80.309664930241794</v>
      </c>
      <c r="AM5408">
        <v>83.282662418113702</v>
      </c>
      <c r="AN5408">
        <v>0.99999997669845397</v>
      </c>
    </row>
    <row r="5409" spans="1:40" x14ac:dyDescent="0.25">
      <c r="A5409" t="str">
        <f>"20190303162927873"</f>
        <v>20190303162927873</v>
      </c>
      <c r="B5409" t="str">
        <f>"1551601767867372"</f>
        <v>1551601767867372</v>
      </c>
      <c r="C5409" t="s">
        <v>40</v>
      </c>
      <c r="D5409">
        <v>5.0548400000000004</v>
      </c>
      <c r="E5409">
        <v>0.51506289999999999</v>
      </c>
      <c r="F5409" t="s">
        <v>44</v>
      </c>
      <c r="G5409">
        <v>-331.94170000000003</v>
      </c>
      <c r="H5409">
        <v>0.87095699999999998</v>
      </c>
      <c r="I5409">
        <v>17.375969999999999</v>
      </c>
      <c r="J5409">
        <v>-332.45740000000001</v>
      </c>
      <c r="K5409">
        <v>1.120288</v>
      </c>
      <c r="L5409">
        <v>17.47784</v>
      </c>
      <c r="M5409">
        <v>0.99989490000000003</v>
      </c>
      <c r="N5409">
        <v>-1.234471E-2</v>
      </c>
      <c r="O5409">
        <v>-7.6110369999999898E-3</v>
      </c>
      <c r="P5409">
        <v>0.97970919999999895</v>
      </c>
      <c r="Q5409">
        <v>0.1564025</v>
      </c>
      <c r="R5409">
        <v>-0.1253338</v>
      </c>
      <c r="S5409">
        <v>3.1745299999999999</v>
      </c>
      <c r="T5409">
        <v>-1.0543830000000001</v>
      </c>
      <c r="U5409">
        <v>-0.43966670000000002</v>
      </c>
      <c r="V5409">
        <v>0.1182424</v>
      </c>
      <c r="W5409">
        <v>0.1682371</v>
      </c>
      <c r="X5409">
        <v>0.97862919999999998</v>
      </c>
      <c r="Y5409">
        <v>0.123261</v>
      </c>
      <c r="Z5409">
        <v>-1.8272199999999999E-2</v>
      </c>
      <c r="AA5409">
        <v>0.99220600000000003</v>
      </c>
      <c r="AB5409">
        <v>31</v>
      </c>
      <c r="AC5409">
        <v>0.51569999999998095</v>
      </c>
      <c r="AD5409">
        <v>-0.249331</v>
      </c>
      <c r="AE5409">
        <v>-0.101869999999998</v>
      </c>
      <c r="AF5409">
        <v>7.9954080940067104E-2</v>
      </c>
      <c r="AG5409">
        <v>-0.249331</v>
      </c>
      <c r="AH5409">
        <v>0.42160902820992702</v>
      </c>
      <c r="AI5409">
        <v>120.157620758896</v>
      </c>
      <c r="AJ5409">
        <v>79.261923035000805</v>
      </c>
      <c r="AK5409">
        <v>0.496299078467903</v>
      </c>
      <c r="AL5409">
        <v>80.314664360429902</v>
      </c>
      <c r="AM5409">
        <v>83.1106604375654</v>
      </c>
      <c r="AN5409">
        <v>1.0000000490334</v>
      </c>
    </row>
    <row r="5410" spans="1:40" x14ac:dyDescent="0.25">
      <c r="A5410" t="str">
        <f>"20190303162927883"</f>
        <v>20190303162927883</v>
      </c>
      <c r="B5410" t="str">
        <f>"1551601767877131"</f>
        <v>1551601767877131</v>
      </c>
      <c r="C5410" t="s">
        <v>40</v>
      </c>
      <c r="D5410">
        <v>5.0196899999999998</v>
      </c>
      <c r="E5410">
        <v>0.51505259999999997</v>
      </c>
      <c r="F5410" t="s">
        <v>44</v>
      </c>
      <c r="G5410">
        <v>-331.66559999999998</v>
      </c>
      <c r="H5410">
        <v>0.85841369999999895</v>
      </c>
      <c r="I5410">
        <v>17.364999999999998</v>
      </c>
      <c r="J5410">
        <v>-332.30090000000001</v>
      </c>
      <c r="K5410">
        <v>1.120277</v>
      </c>
      <c r="L5410">
        <v>17.476140000000001</v>
      </c>
      <c r="M5410">
        <v>0.99989039999999996</v>
      </c>
      <c r="N5410">
        <v>-1.234993E-2</v>
      </c>
      <c r="O5410">
        <v>-8.1606979999999992E-3</v>
      </c>
      <c r="P5410">
        <v>0.97946979999999995</v>
      </c>
      <c r="Q5410">
        <v>0.1563176</v>
      </c>
      <c r="R5410">
        <v>-0.12729489999999999</v>
      </c>
      <c r="S5410">
        <v>3.1718139999999999</v>
      </c>
      <c r="T5410">
        <v>-1.0489389999999901</v>
      </c>
      <c r="U5410">
        <v>-0.45159909999999998</v>
      </c>
      <c r="V5410">
        <v>0.119671</v>
      </c>
      <c r="W5410">
        <v>0.16814870000000001</v>
      </c>
      <c r="X5410">
        <v>0.97847070000000003</v>
      </c>
      <c r="Y5410">
        <v>0.1264035</v>
      </c>
      <c r="Z5410">
        <v>-1.8551249999999998E-2</v>
      </c>
      <c r="AA5410">
        <v>0.99180539999999995</v>
      </c>
      <c r="AB5410">
        <v>31</v>
      </c>
      <c r="AC5410">
        <v>0.63530000000002895</v>
      </c>
      <c r="AD5410">
        <v>-0.26186330000000002</v>
      </c>
      <c r="AE5410">
        <v>-0.111140000000002</v>
      </c>
      <c r="AF5410">
        <v>9.0956813414379306E-2</v>
      </c>
      <c r="AG5410">
        <v>-0.26186330000000002</v>
      </c>
      <c r="AH5410">
        <v>0.54615073597580899</v>
      </c>
      <c r="AI5410">
        <v>115.312118039246</v>
      </c>
      <c r="AJ5410">
        <v>80.544650463366096</v>
      </c>
      <c r="AK5410">
        <v>0.61247543314022501</v>
      </c>
      <c r="AL5410">
        <v>80.319802241878804</v>
      </c>
      <c r="AM5410">
        <v>83.027119851184807</v>
      </c>
      <c r="AN5410">
        <v>1.00000002215558</v>
      </c>
    </row>
    <row r="5411" spans="1:40" x14ac:dyDescent="0.25">
      <c r="A5411" t="str">
        <f>"20190303162927894"</f>
        <v>20190303162927894</v>
      </c>
      <c r="B5411" t="str">
        <f>"1551601767886893"</f>
        <v>1551601767886893</v>
      </c>
      <c r="C5411" t="s">
        <v>40</v>
      </c>
      <c r="D5411">
        <v>4.9664330000000003</v>
      </c>
      <c r="E5411">
        <v>0.51510239999999996</v>
      </c>
      <c r="F5411" t="s">
        <v>44</v>
      </c>
      <c r="G5411">
        <v>-331.39879999999999</v>
      </c>
      <c r="H5411">
        <v>0.82218919999999995</v>
      </c>
      <c r="I5411">
        <v>17.345679999999899</v>
      </c>
      <c r="J5411">
        <v>-332.14679999999998</v>
      </c>
      <c r="K5411">
        <v>1.120263</v>
      </c>
      <c r="L5411">
        <v>17.474299999999999</v>
      </c>
      <c r="M5411">
        <v>0.99988589999999999</v>
      </c>
      <c r="N5411">
        <v>-1.2349529999999999E-2</v>
      </c>
      <c r="O5411">
        <v>-8.7129340000000003E-3</v>
      </c>
      <c r="P5411">
        <v>0.97922929999999997</v>
      </c>
      <c r="Q5411">
        <v>0.1560241</v>
      </c>
      <c r="R5411">
        <v>-0.1294865</v>
      </c>
      <c r="S5411">
        <v>3.1706240000000001</v>
      </c>
      <c r="T5411">
        <v>-1.047636</v>
      </c>
      <c r="U5411">
        <v>-0.457428</v>
      </c>
      <c r="V5411">
        <v>0.121327</v>
      </c>
      <c r="W5411">
        <v>0.167846</v>
      </c>
      <c r="X5411">
        <v>0.97831869999999999</v>
      </c>
      <c r="Y5411">
        <v>0.12766569999999999</v>
      </c>
      <c r="Z5411">
        <v>-1.857454E-2</v>
      </c>
      <c r="AA5411">
        <v>0.99164330000000001</v>
      </c>
      <c r="AB5411">
        <v>31</v>
      </c>
      <c r="AC5411">
        <v>0.74799999999999001</v>
      </c>
      <c r="AD5411">
        <v>-0.2980738</v>
      </c>
      <c r="AE5411">
        <v>-0.12862000000000101</v>
      </c>
      <c r="AF5411">
        <v>0.105781834280105</v>
      </c>
      <c r="AG5411">
        <v>-0.2980738</v>
      </c>
      <c r="AH5411">
        <v>0.64899332266226095</v>
      </c>
      <c r="AI5411">
        <v>114.384996021688</v>
      </c>
      <c r="AJ5411">
        <v>80.742555745287206</v>
      </c>
      <c r="AK5411">
        <v>0.72196268571880196</v>
      </c>
      <c r="AL5411">
        <v>80.337395503302801</v>
      </c>
      <c r="AM5411">
        <v>82.930511949396205</v>
      </c>
      <c r="AN5411">
        <v>0.99999999970734499</v>
      </c>
    </row>
    <row r="5412" spans="1:40" x14ac:dyDescent="0.25">
      <c r="A5412" t="str">
        <f>"20190303162927905"</f>
        <v>20190303162927905</v>
      </c>
      <c r="B5412" t="str">
        <f>"1551601767897628"</f>
        <v>1551601767897628</v>
      </c>
      <c r="C5412" t="s">
        <v>40</v>
      </c>
      <c r="D5412">
        <v>4.9668089999999996</v>
      </c>
      <c r="E5412">
        <v>0.51507409999999998</v>
      </c>
      <c r="F5412" t="s">
        <v>44</v>
      </c>
      <c r="G5412">
        <v>-331.38080000000002</v>
      </c>
      <c r="H5412">
        <v>0.86734219999999895</v>
      </c>
      <c r="I5412">
        <v>17.36178</v>
      </c>
      <c r="J5412">
        <v>-331.99270000000001</v>
      </c>
      <c r="K5412">
        <v>1.120247</v>
      </c>
      <c r="L5412">
        <v>17.472439999999999</v>
      </c>
      <c r="M5412">
        <v>0.99988089999999996</v>
      </c>
      <c r="N5412">
        <v>-1.234823E-2</v>
      </c>
      <c r="O5412">
        <v>-9.2676689999999992E-3</v>
      </c>
      <c r="P5412">
        <v>0.97887800000000003</v>
      </c>
      <c r="Q5412">
        <v>0.1561661</v>
      </c>
      <c r="R5412">
        <v>-0.13194919999999999</v>
      </c>
      <c r="S5412">
        <v>3.169006</v>
      </c>
      <c r="T5412">
        <v>-1.04634</v>
      </c>
      <c r="U5412">
        <v>-0.46423340000000002</v>
      </c>
      <c r="V5412">
        <v>0.1232539</v>
      </c>
      <c r="W5412">
        <v>0.16797570000000001</v>
      </c>
      <c r="X5412">
        <v>0.97805549999999997</v>
      </c>
      <c r="Y5412">
        <v>0.1292266</v>
      </c>
      <c r="Z5412">
        <v>-1.8648629999999999E-2</v>
      </c>
      <c r="AA5412">
        <v>0.99143970000000003</v>
      </c>
      <c r="AB5412">
        <v>31</v>
      </c>
      <c r="AC5412">
        <v>0.61189999999999101</v>
      </c>
      <c r="AD5412">
        <v>-0.25290479999999999</v>
      </c>
      <c r="AE5412">
        <v>-0.110659999999999</v>
      </c>
      <c r="AF5412">
        <v>9.0082815299288493E-2</v>
      </c>
      <c r="AG5412">
        <v>-0.25290479999999999</v>
      </c>
      <c r="AH5412">
        <v>0.525906206134512</v>
      </c>
      <c r="AI5412">
        <v>115.360487483645</v>
      </c>
      <c r="AJ5412">
        <v>80.280098401530793</v>
      </c>
      <c r="AK5412">
        <v>0.59046853356134199</v>
      </c>
      <c r="AL5412">
        <v>80.3298568293702</v>
      </c>
      <c r="AM5412">
        <v>82.817486020839397</v>
      </c>
      <c r="AN5412">
        <v>0.99999996036797401</v>
      </c>
    </row>
    <row r="5413" spans="1:40" x14ac:dyDescent="0.25">
      <c r="A5413" t="str">
        <f>"20190303162927916"</f>
        <v>20190303162927916</v>
      </c>
      <c r="B5413" t="str">
        <f>"1551601767907388"</f>
        <v>1551601767907388</v>
      </c>
      <c r="C5413" t="s">
        <v>40</v>
      </c>
      <c r="D5413">
        <v>4.9680280000000003</v>
      </c>
      <c r="E5413">
        <v>0.51501909999999995</v>
      </c>
      <c r="F5413" t="s">
        <v>44</v>
      </c>
      <c r="G5413">
        <v>-331.11419999999998</v>
      </c>
      <c r="H5413">
        <v>0.83079409999999898</v>
      </c>
      <c r="I5413">
        <v>17.34159</v>
      </c>
      <c r="J5413">
        <v>-331.83879999999999</v>
      </c>
      <c r="K5413">
        <v>1.1202299999999901</v>
      </c>
      <c r="L5413">
        <v>17.47043</v>
      </c>
      <c r="M5413">
        <v>0.99987550000000003</v>
      </c>
      <c r="N5413">
        <v>-1.234378E-2</v>
      </c>
      <c r="O5413">
        <v>-9.8300139999999998E-3</v>
      </c>
      <c r="P5413">
        <v>0.9785083</v>
      </c>
      <c r="Q5413">
        <v>0.1562849</v>
      </c>
      <c r="R5413">
        <v>-0.13452500000000001</v>
      </c>
      <c r="S5413">
        <v>3.167694</v>
      </c>
      <c r="T5413">
        <v>-1.043766</v>
      </c>
      <c r="U5413">
        <v>-0.47152709999999998</v>
      </c>
      <c r="V5413">
        <v>0.12528699999999901</v>
      </c>
      <c r="W5413">
        <v>0.1680787</v>
      </c>
      <c r="X5413">
        <v>0.97777950000000002</v>
      </c>
      <c r="Y5413">
        <v>0.13092609999999999</v>
      </c>
      <c r="Z5413">
        <v>-1.8720460000000001E-2</v>
      </c>
      <c r="AA5413">
        <v>0.99121530000000002</v>
      </c>
      <c r="AB5413">
        <v>31</v>
      </c>
      <c r="AC5413">
        <v>0.72460000000000901</v>
      </c>
      <c r="AD5413">
        <v>-0.28943590000000002</v>
      </c>
      <c r="AE5413">
        <v>-0.12884000000000001</v>
      </c>
      <c r="AF5413">
        <v>0.105407607466314</v>
      </c>
      <c r="AG5413">
        <v>-0.28943590000000002</v>
      </c>
      <c r="AH5413">
        <v>0.628608305388901</v>
      </c>
      <c r="AI5413">
        <v>114.422764600995</v>
      </c>
      <c r="AJ5413">
        <v>80.480968990437503</v>
      </c>
      <c r="AK5413">
        <v>0.70002307499431005</v>
      </c>
      <c r="AL5413">
        <v>80.323870794135303</v>
      </c>
      <c r="AM5413">
        <v>82.698238327707998</v>
      </c>
      <c r="AN5413">
        <v>1.0000000161914699</v>
      </c>
    </row>
    <row r="5414" spans="1:40" x14ac:dyDescent="0.25">
      <c r="A5414" t="str">
        <f>"20190303162927927"</f>
        <v>20190303162927927</v>
      </c>
      <c r="B5414" t="str">
        <f>"1551601767917148"</f>
        <v>1551601767917148</v>
      </c>
      <c r="C5414" t="s">
        <v>40</v>
      </c>
      <c r="D5414">
        <v>4.9611400000000003</v>
      </c>
      <c r="E5414">
        <v>0.51502499999999996</v>
      </c>
      <c r="F5414" t="s">
        <v>44</v>
      </c>
      <c r="G5414">
        <v>-331.09620000000001</v>
      </c>
      <c r="H5414">
        <v>0.87596109999999905</v>
      </c>
      <c r="I5414">
        <v>17.357890000000001</v>
      </c>
      <c r="J5414">
        <v>-331.68009999999998</v>
      </c>
      <c r="K5414">
        <v>1.1202160000000001</v>
      </c>
      <c r="L5414">
        <v>17.46829</v>
      </c>
      <c r="M5414">
        <v>0.99986960000000003</v>
      </c>
      <c r="N5414">
        <v>-1.2338689999999999E-2</v>
      </c>
      <c r="O5414">
        <v>-1.041561E-2</v>
      </c>
      <c r="P5414">
        <v>0.97808839999999997</v>
      </c>
      <c r="Q5414">
        <v>0.15651770000000001</v>
      </c>
      <c r="R5414">
        <v>-0.1372786</v>
      </c>
      <c r="S5414">
        <v>3.1663209999999999</v>
      </c>
      <c r="T5414">
        <v>-1.041398</v>
      </c>
      <c r="U5414">
        <v>-0.47940060000000001</v>
      </c>
      <c r="V5414">
        <v>0.1274767</v>
      </c>
      <c r="W5414">
        <v>0.168294</v>
      </c>
      <c r="X5414">
        <v>0.97745939999999998</v>
      </c>
      <c r="Y5414">
        <v>0.1327739</v>
      </c>
      <c r="Z5414">
        <v>-1.881273E-2</v>
      </c>
      <c r="AA5414">
        <v>0.99096779999999995</v>
      </c>
      <c r="AB5414">
        <v>31</v>
      </c>
      <c r="AC5414">
        <v>0.583899999999971</v>
      </c>
      <c r="AD5414">
        <v>-0.244254899999999</v>
      </c>
      <c r="AE5414">
        <v>-0.110399999999998</v>
      </c>
      <c r="AF5414">
        <v>8.9235619208627798E-2</v>
      </c>
      <c r="AG5414">
        <v>-0.244254899999999</v>
      </c>
      <c r="AH5414">
        <v>0.50046527084844505</v>
      </c>
      <c r="AI5414">
        <v>115.663239412064</v>
      </c>
      <c r="AJ5414">
        <v>79.890104875311096</v>
      </c>
      <c r="AK5414">
        <v>0.56399374042179296</v>
      </c>
      <c r="AL5414">
        <v>80.311356879128098</v>
      </c>
      <c r="AM5414">
        <v>82.569629738158</v>
      </c>
      <c r="AN5414">
        <v>1.00000002906362</v>
      </c>
    </row>
    <row r="5415" spans="1:40" x14ac:dyDescent="0.25">
      <c r="A5415" t="str">
        <f>"20190303162927939"</f>
        <v>20190303162927939</v>
      </c>
      <c r="B5415" t="str">
        <f>"1551601767926908"</f>
        <v>1551601767926908</v>
      </c>
      <c r="C5415" t="s">
        <v>40</v>
      </c>
      <c r="D5415">
        <v>4.9651909999999999</v>
      </c>
      <c r="E5415">
        <v>0.51498739999999998</v>
      </c>
      <c r="F5415" t="s">
        <v>44</v>
      </c>
      <c r="G5415">
        <v>-330.82920000000001</v>
      </c>
      <c r="H5415">
        <v>0.84080739999999998</v>
      </c>
      <c r="I5415">
        <v>17.336690000000001</v>
      </c>
      <c r="J5415">
        <v>-331.51199999999898</v>
      </c>
      <c r="K5415">
        <v>1.120201</v>
      </c>
      <c r="L5415">
        <v>17.465910000000001</v>
      </c>
      <c r="M5415">
        <v>0.99986299999999995</v>
      </c>
      <c r="N5415">
        <v>-1.2332559999999999E-2</v>
      </c>
      <c r="O5415">
        <v>-1.1042690000000001E-2</v>
      </c>
      <c r="P5415">
        <v>0.97762110000000002</v>
      </c>
      <c r="Q5415">
        <v>0.15688369999999999</v>
      </c>
      <c r="R5415">
        <v>-0.14015939999999999</v>
      </c>
      <c r="S5415">
        <v>3.1649780000000001</v>
      </c>
      <c r="T5415">
        <v>-1.039193</v>
      </c>
      <c r="U5415">
        <v>-0.4885254</v>
      </c>
      <c r="V5415">
        <v>0.12975419999999999</v>
      </c>
      <c r="W5415">
        <v>0.16863989999999901</v>
      </c>
      <c r="X5415">
        <v>0.97709999999999997</v>
      </c>
      <c r="Y5415">
        <v>0.13494539999999999</v>
      </c>
      <c r="Z5415">
        <v>-1.8947309999999998E-2</v>
      </c>
      <c r="AA5415">
        <v>0.99067190000000005</v>
      </c>
      <c r="AB5415">
        <v>31</v>
      </c>
      <c r="AC5415">
        <v>0.68279999999992902</v>
      </c>
      <c r="AD5415">
        <v>-0.27939359999999902</v>
      </c>
      <c r="AE5415">
        <v>-0.12922</v>
      </c>
      <c r="AF5415">
        <v>0.104740736684589</v>
      </c>
      <c r="AG5415">
        <v>-0.27939359999999902</v>
      </c>
      <c r="AH5415">
        <v>0.58897955411143899</v>
      </c>
      <c r="AI5415">
        <v>115.03451799563901</v>
      </c>
      <c r="AJ5415">
        <v>79.9162656068807</v>
      </c>
      <c r="AK5415">
        <v>0.66024868103124601</v>
      </c>
      <c r="AL5415">
        <v>80.291250509502404</v>
      </c>
      <c r="AM5415">
        <v>82.435652388744302</v>
      </c>
      <c r="AN5415">
        <v>0.99999998914482502</v>
      </c>
    </row>
    <row r="5416" spans="1:40" x14ac:dyDescent="0.25">
      <c r="A5416" t="str">
        <f>"20190303162927952"</f>
        <v>20190303162927952</v>
      </c>
      <c r="B5416" t="str">
        <f>"1551601767947404"</f>
        <v>1551601767947404</v>
      </c>
      <c r="C5416" t="s">
        <v>40</v>
      </c>
      <c r="D5416">
        <v>4.941535</v>
      </c>
      <c r="E5416">
        <v>0.51492850000000001</v>
      </c>
      <c r="F5416" t="s">
        <v>44</v>
      </c>
      <c r="G5416">
        <v>-330.80930000000001</v>
      </c>
      <c r="H5416">
        <v>0.88989249999999998</v>
      </c>
      <c r="I5416">
        <v>17.355049999999999</v>
      </c>
      <c r="J5416">
        <v>-331.3415</v>
      </c>
      <c r="K5416">
        <v>1.1201760000000001</v>
      </c>
      <c r="L5416">
        <v>17.463379999999901</v>
      </c>
      <c r="M5416">
        <v>0.99985579999999996</v>
      </c>
      <c r="N5416">
        <v>-1.232637E-2</v>
      </c>
      <c r="O5416">
        <v>-1.1688870000000001E-2</v>
      </c>
      <c r="P5416">
        <v>0.97712860000000001</v>
      </c>
      <c r="Q5416">
        <v>0.1571803</v>
      </c>
      <c r="R5416">
        <v>-0.14322979999999999</v>
      </c>
      <c r="S5416">
        <v>3.163605</v>
      </c>
      <c r="T5416">
        <v>-1.0367360000000001</v>
      </c>
      <c r="U5416">
        <v>-0.49789430000000001</v>
      </c>
      <c r="V5416">
        <v>0.1322034</v>
      </c>
      <c r="W5416">
        <v>0.16891579999999901</v>
      </c>
      <c r="X5416">
        <v>0.97672400000000004</v>
      </c>
      <c r="Y5416">
        <v>0.13717499999999999</v>
      </c>
      <c r="Z5416">
        <v>-1.9080880000000001E-2</v>
      </c>
      <c r="AA5416">
        <v>0.99036299999999999</v>
      </c>
      <c r="AB5416">
        <v>31</v>
      </c>
      <c r="AC5416">
        <v>0.53219999999998802</v>
      </c>
      <c r="AD5416">
        <v>-0.2302835</v>
      </c>
      <c r="AE5416">
        <v>-0.108329999999998</v>
      </c>
      <c r="AF5416">
        <v>8.6542573208115606E-2</v>
      </c>
      <c r="AG5416">
        <v>-0.2302835</v>
      </c>
      <c r="AH5416">
        <v>0.45214311167190102</v>
      </c>
      <c r="AI5416">
        <v>116.57580537824499</v>
      </c>
      <c r="AJ5416">
        <v>79.164342437423798</v>
      </c>
      <c r="AK5416">
        <v>0.514736341034982</v>
      </c>
      <c r="AL5416">
        <v>80.2752129191161</v>
      </c>
      <c r="AM5416">
        <v>82.291639273446407</v>
      </c>
      <c r="AN5416">
        <v>1.00000002931859</v>
      </c>
    </row>
    <row r="5417" spans="1:40" x14ac:dyDescent="0.25">
      <c r="A5417" t="str">
        <f>"20190303162927963"</f>
        <v>20190303162927963</v>
      </c>
      <c r="B5417" t="str">
        <f>"1551601767957164"</f>
        <v>1551601767957164</v>
      </c>
      <c r="C5417" t="s">
        <v>40</v>
      </c>
      <c r="D5417">
        <v>4.9575189999999996</v>
      </c>
      <c r="E5417">
        <v>0.51395679999999999</v>
      </c>
      <c r="F5417" t="s">
        <v>44</v>
      </c>
      <c r="G5417">
        <v>-330.541</v>
      </c>
      <c r="H5417">
        <v>0.8583018</v>
      </c>
      <c r="I5417">
        <v>17.33483</v>
      </c>
      <c r="J5417">
        <v>-331.18189999999998</v>
      </c>
      <c r="K5417">
        <v>1.1201620000000001</v>
      </c>
      <c r="L5417">
        <v>17.460909999999998</v>
      </c>
      <c r="M5417">
        <v>0.99984850000000003</v>
      </c>
      <c r="N5417">
        <v>-1.2320559999999999E-2</v>
      </c>
      <c r="O5417">
        <v>-1.229772E-2</v>
      </c>
      <c r="P5417">
        <v>0.97655879999999995</v>
      </c>
      <c r="Q5417">
        <v>0.15779580000000001</v>
      </c>
      <c r="R5417">
        <v>-0.146401799999999</v>
      </c>
      <c r="S5417">
        <v>3.1623230000000002</v>
      </c>
      <c r="T5417">
        <v>-1.0344139999999999</v>
      </c>
      <c r="U5417">
        <v>-0.50714110000000001</v>
      </c>
      <c r="V5417">
        <v>0.134793</v>
      </c>
      <c r="W5417">
        <v>0.16950979999999999</v>
      </c>
      <c r="X5417">
        <v>0.976267</v>
      </c>
      <c r="Y5417">
        <v>0.13939689999999999</v>
      </c>
      <c r="Z5417">
        <v>-1.922569E-2</v>
      </c>
      <c r="AA5417">
        <v>0.99004999999999999</v>
      </c>
      <c r="AB5417">
        <v>31</v>
      </c>
      <c r="AC5417">
        <v>0.64089999999998704</v>
      </c>
      <c r="AD5417">
        <v>-0.26186019999999999</v>
      </c>
      <c r="AE5417">
        <v>-0.126080000000001</v>
      </c>
      <c r="AF5417">
        <v>0.101823281624251</v>
      </c>
      <c r="AG5417">
        <v>-0.26186019999999999</v>
      </c>
      <c r="AH5417">
        <v>0.55345171811862504</v>
      </c>
      <c r="AI5417">
        <v>114.95398844385301</v>
      </c>
      <c r="AJ5417">
        <v>79.575376518885307</v>
      </c>
      <c r="AK5417">
        <v>0.62068313116535601</v>
      </c>
      <c r="AL5417">
        <v>80.240680878840806</v>
      </c>
      <c r="AM5417">
        <v>82.138883995184898</v>
      </c>
      <c r="AN5417">
        <v>0.99999999021701902</v>
      </c>
    </row>
    <row r="5418" spans="1:40" x14ac:dyDescent="0.25">
      <c r="A5418" t="str">
        <f>"20190303162927973"</f>
        <v>20190303162927973</v>
      </c>
      <c r="B5418" t="str">
        <f>"1551601767966923"</f>
        <v>1551601767966923</v>
      </c>
      <c r="C5418" t="s">
        <v>40</v>
      </c>
      <c r="D5418">
        <v>4.9455049999999998</v>
      </c>
      <c r="E5418">
        <v>0.51395679999999999</v>
      </c>
      <c r="F5418" t="s">
        <v>44</v>
      </c>
      <c r="G5418">
        <v>-330.26170000000002</v>
      </c>
      <c r="H5418">
        <v>0.85233989999999904</v>
      </c>
      <c r="I5418">
        <v>17.310690000000001</v>
      </c>
      <c r="J5418">
        <v>-331.0283</v>
      </c>
      <c r="K5418">
        <v>1.1201490000000001</v>
      </c>
      <c r="L5418">
        <v>17.458400000000001</v>
      </c>
      <c r="M5418">
        <v>0.99984110000000004</v>
      </c>
      <c r="N5418">
        <v>-1.231516E-2</v>
      </c>
      <c r="O5418">
        <v>-1.28986E-2</v>
      </c>
      <c r="P5418">
        <v>0.97591919999999999</v>
      </c>
      <c r="Q5418">
        <v>0.15859279999999901</v>
      </c>
      <c r="R5418">
        <v>-0.14976809999999999</v>
      </c>
      <c r="S5418">
        <v>3.1429749999999999</v>
      </c>
      <c r="T5418">
        <v>-0.9146706</v>
      </c>
      <c r="U5418">
        <v>-0.51248170000000004</v>
      </c>
      <c r="V5418">
        <v>0.13758709999999999</v>
      </c>
      <c r="W5418">
        <v>0.1702833</v>
      </c>
      <c r="X5418">
        <v>0.97574249999999996</v>
      </c>
      <c r="Y5418">
        <v>0.14264070000000001</v>
      </c>
      <c r="Z5418">
        <v>-1.7611720000000001E-2</v>
      </c>
      <c r="AA5418">
        <v>0.98961779999999999</v>
      </c>
      <c r="AB5418">
        <v>31</v>
      </c>
      <c r="AC5418">
        <v>0.76659999999998196</v>
      </c>
      <c r="AD5418">
        <v>-0.26780910000000002</v>
      </c>
      <c r="AE5418">
        <v>-0.14770999999999901</v>
      </c>
      <c r="AF5418">
        <v>0.12329969772862499</v>
      </c>
      <c r="AG5418">
        <v>-0.26780910000000002</v>
      </c>
      <c r="AH5418">
        <v>0.68753630749989703</v>
      </c>
      <c r="AI5418">
        <v>110.976991773778</v>
      </c>
      <c r="AJ5418">
        <v>79.832906295567199</v>
      </c>
      <c r="AK5418">
        <v>0.74808469014769496</v>
      </c>
      <c r="AL5418">
        <v>80.195709071220506</v>
      </c>
      <c r="AM5418">
        <v>81.973776478488404</v>
      </c>
      <c r="AN5418">
        <v>1.0000000193257701</v>
      </c>
    </row>
    <row r="5419" spans="1:40" x14ac:dyDescent="0.25">
      <c r="A5419" t="str">
        <f>"20190303162927986"</f>
        <v>20190303162927986</v>
      </c>
      <c r="B5419" t="str">
        <f>"1551601767977659"</f>
        <v>1551601767977659</v>
      </c>
      <c r="C5419" t="s">
        <v>40</v>
      </c>
      <c r="D5419">
        <v>4.9542619999999999</v>
      </c>
      <c r="E5419">
        <v>0.53564279999999997</v>
      </c>
      <c r="F5419" t="s">
        <v>44</v>
      </c>
      <c r="G5419">
        <v>-330.24509999999998</v>
      </c>
      <c r="H5419">
        <v>0.89279509999999995</v>
      </c>
      <c r="I5419">
        <v>17.3278</v>
      </c>
      <c r="J5419">
        <v>-330.86380000000003</v>
      </c>
      <c r="K5419">
        <v>1.1201350000000001</v>
      </c>
      <c r="L5419">
        <v>17.455660000000002</v>
      </c>
      <c r="M5419">
        <v>0.99983259999999996</v>
      </c>
      <c r="N5419">
        <v>-1.230937E-2</v>
      </c>
      <c r="O5419">
        <v>-1.3545150000000001E-2</v>
      </c>
      <c r="P5419">
        <v>0.97526139999999995</v>
      </c>
      <c r="Q5419">
        <v>0.159221</v>
      </c>
      <c r="R5419">
        <v>-0.15334410000000001</v>
      </c>
      <c r="S5419">
        <v>3.141937</v>
      </c>
      <c r="T5419">
        <v>-0.91207780000000005</v>
      </c>
      <c r="U5419">
        <v>-0.52334590000000003</v>
      </c>
      <c r="V5419">
        <v>0.140546799999999</v>
      </c>
      <c r="W5419">
        <v>0.17088699999999901</v>
      </c>
      <c r="X5419">
        <v>0.97521500000000005</v>
      </c>
      <c r="Y5419">
        <v>0.1453255</v>
      </c>
      <c r="Z5419">
        <v>-1.778857E-2</v>
      </c>
      <c r="AA5419">
        <v>0.98922399999999999</v>
      </c>
      <c r="AB5419">
        <v>31</v>
      </c>
      <c r="AC5419">
        <v>0.61870000000004599</v>
      </c>
      <c r="AD5419">
        <v>-0.22733990000000001</v>
      </c>
      <c r="AE5419">
        <v>-0.127860000000001</v>
      </c>
      <c r="AF5419">
        <v>0.10577118625422</v>
      </c>
      <c r="AG5419">
        <v>-0.22733990000000001</v>
      </c>
      <c r="AH5419">
        <v>0.54925367138427295</v>
      </c>
      <c r="AI5419">
        <v>112.11875710162199</v>
      </c>
      <c r="AJ5419">
        <v>79.099839016262294</v>
      </c>
      <c r="AK5419">
        <v>0.60378023278568604</v>
      </c>
      <c r="AL5419">
        <v>80.160605223795002</v>
      </c>
      <c r="AM5419">
        <v>81.799069210311302</v>
      </c>
      <c r="AN5419">
        <v>1.0000000329921099</v>
      </c>
    </row>
    <row r="5420" spans="1:40" x14ac:dyDescent="0.25">
      <c r="A5420" t="str">
        <f>"20190303162927998"</f>
        <v>20190303162927998</v>
      </c>
      <c r="B5420" t="str">
        <f>"1551601767987420"</f>
        <v>1551601767987420</v>
      </c>
      <c r="C5420" t="s">
        <v>40</v>
      </c>
      <c r="D5420">
        <v>4.9217000000000004</v>
      </c>
      <c r="E5420">
        <v>0.54155500000000001</v>
      </c>
      <c r="F5420" t="s">
        <v>44</v>
      </c>
      <c r="G5420">
        <v>-329.93119999999999</v>
      </c>
      <c r="H5420">
        <v>0.96099699999999999</v>
      </c>
      <c r="I5420">
        <v>17.23668</v>
      </c>
      <c r="J5420">
        <v>-330.68880000000001</v>
      </c>
      <c r="K5420">
        <v>1.12012</v>
      </c>
      <c r="L5420">
        <v>17.452549999999999</v>
      </c>
      <c r="M5420">
        <v>0.99982289999999996</v>
      </c>
      <c r="N5420">
        <v>-1.230321E-2</v>
      </c>
      <c r="O5420">
        <v>-1.4244639999999999E-2</v>
      </c>
      <c r="P5420">
        <v>0.97449540000000001</v>
      </c>
      <c r="Q5420">
        <v>0.1602104</v>
      </c>
      <c r="R5420">
        <v>-0.15713489999999999</v>
      </c>
      <c r="S5420">
        <v>3.0485229999999999</v>
      </c>
      <c r="T5420">
        <v>-0.52021249999999997</v>
      </c>
      <c r="U5420">
        <v>-0.71563719999999997</v>
      </c>
      <c r="V5420">
        <v>0.14367360000000001</v>
      </c>
      <c r="W5420">
        <v>0.17184959999999999</v>
      </c>
      <c r="X5420">
        <v>0.97458990000000001</v>
      </c>
      <c r="Y5420">
        <v>0.2116924</v>
      </c>
      <c r="Z5420">
        <v>-1.6817519999999999E-2</v>
      </c>
      <c r="AA5420">
        <v>0.97719160000000005</v>
      </c>
      <c r="AB5420">
        <v>31</v>
      </c>
      <c r="AC5420">
        <v>0.75760000000002403</v>
      </c>
      <c r="AD5420">
        <v>-0.15912299999999999</v>
      </c>
      <c r="AE5420">
        <v>-0.21586999999999801</v>
      </c>
      <c r="AF5420">
        <v>0.19701681530870499</v>
      </c>
      <c r="AG5420">
        <v>-0.15912299999999999</v>
      </c>
      <c r="AH5420">
        <v>0.73078086288518396</v>
      </c>
      <c r="AI5420">
        <v>101.872809620187</v>
      </c>
      <c r="AJ5420">
        <v>74.911912759492907</v>
      </c>
      <c r="AK5420">
        <v>0.77341866036616902</v>
      </c>
      <c r="AL5420">
        <v>80.104623158704698</v>
      </c>
      <c r="AM5420">
        <v>81.613884594194701</v>
      </c>
      <c r="AN5420">
        <v>0.99999993076956195</v>
      </c>
    </row>
    <row r="5421" spans="1:40" x14ac:dyDescent="0.25">
      <c r="A5421" t="str">
        <f>"20190303162928013"</f>
        <v>20190303162928013</v>
      </c>
      <c r="B5421" t="str">
        <f>"1551601768007543"</f>
        <v>1551601768007543</v>
      </c>
      <c r="C5421" t="s">
        <v>40</v>
      </c>
      <c r="D5421">
        <v>4.8729630000000004</v>
      </c>
      <c r="E5421">
        <v>0.54955730000000003</v>
      </c>
      <c r="F5421" t="s">
        <v>41</v>
      </c>
      <c r="G5421">
        <v>-322.21960000000001</v>
      </c>
      <c r="H5421" s="1">
        <v>-4.4287170000000003E-6</v>
      </c>
      <c r="I5421">
        <v>15.27319</v>
      </c>
      <c r="J5421">
        <v>-330.48689999999999</v>
      </c>
      <c r="K5421">
        <v>1.120104</v>
      </c>
      <c r="L5421">
        <v>17.448820000000001</v>
      </c>
      <c r="M5421">
        <v>0.99981100000000001</v>
      </c>
      <c r="N5421">
        <v>-1.229621E-2</v>
      </c>
      <c r="O5421">
        <v>-1.5064340000000001E-2</v>
      </c>
      <c r="P5421">
        <v>0.97367820000000005</v>
      </c>
      <c r="Q5421">
        <v>0.16111729999999999</v>
      </c>
      <c r="R5421">
        <v>-0.16122</v>
      </c>
      <c r="S5421">
        <v>3.0189210000000002</v>
      </c>
      <c r="T5421">
        <v>-0.39928069999999999</v>
      </c>
      <c r="U5421">
        <v>-0.77685550000000003</v>
      </c>
      <c r="V5421">
        <v>0.14697969999999999</v>
      </c>
      <c r="W5421">
        <v>0.17272699999999999</v>
      </c>
      <c r="X5421">
        <v>0.97394170000000002</v>
      </c>
      <c r="Y5421">
        <v>0.23260700000000001</v>
      </c>
      <c r="Z5421">
        <v>-1.4762890000000001E-2</v>
      </c>
      <c r="AA5421">
        <v>0.97245879999999996</v>
      </c>
      <c r="AB5421">
        <v>31</v>
      </c>
      <c r="AC5421">
        <v>8.2672999999999703</v>
      </c>
      <c r="AD5421">
        <v>-1.120108428717</v>
      </c>
      <c r="AE5421">
        <v>-2.17563</v>
      </c>
      <c r="AF5421">
        <v>2.01621843867997</v>
      </c>
      <c r="AG5421">
        <v>-1.120108428717</v>
      </c>
      <c r="AH5421">
        <v>8.1590662804252307</v>
      </c>
      <c r="AI5421">
        <v>97.591357123405004</v>
      </c>
      <c r="AJ5421">
        <v>76.119497775944296</v>
      </c>
      <c r="AK5421">
        <v>8.4788054732331197</v>
      </c>
      <c r="AL5421">
        <v>80.053589812292103</v>
      </c>
      <c r="AM5421">
        <v>81.418125238283494</v>
      </c>
      <c r="AN5421">
        <v>1.0000000418699799</v>
      </c>
    </row>
    <row r="5422" spans="1:40" x14ac:dyDescent="0.25">
      <c r="A5422" t="str">
        <f>"20190303162928028"</f>
        <v>20190303162928028</v>
      </c>
      <c r="B5422" t="str">
        <f>"1551601768017303"</f>
        <v>1551601768017303</v>
      </c>
      <c r="C5422" t="s">
        <v>40</v>
      </c>
      <c r="D5422">
        <v>4.8937780000000002</v>
      </c>
      <c r="E5422">
        <v>0.55215669999999994</v>
      </c>
      <c r="F5422" t="s">
        <v>42</v>
      </c>
      <c r="G5422">
        <v>-316.4538</v>
      </c>
      <c r="H5422">
        <v>-0.05</v>
      </c>
      <c r="I5422">
        <v>13.418089999999999</v>
      </c>
      <c r="J5422">
        <v>-330.27379999999999</v>
      </c>
      <c r="K5422">
        <v>1.1200920000000001</v>
      </c>
      <c r="L5422">
        <v>17.444700000000001</v>
      </c>
      <c r="M5422">
        <v>0.99979739999999995</v>
      </c>
      <c r="N5422">
        <v>-1.2289049999999999E-2</v>
      </c>
      <c r="O5422">
        <v>-1.5942580000000001E-2</v>
      </c>
      <c r="P5422">
        <v>0.97199469999999999</v>
      </c>
      <c r="Q5422">
        <v>0.1628571</v>
      </c>
      <c r="R5422">
        <v>-0.16942299999999999</v>
      </c>
      <c r="S5422">
        <v>2.9804689999999998</v>
      </c>
      <c r="T5422">
        <v>-0.24851670000000001</v>
      </c>
      <c r="U5422">
        <v>-0.85607909999999898</v>
      </c>
      <c r="V5422">
        <v>0.15436340000000001</v>
      </c>
      <c r="W5422">
        <v>0.17441619999999999</v>
      </c>
      <c r="X5422">
        <v>0.97249730000000001</v>
      </c>
      <c r="Y5422">
        <v>0.25978220000000002</v>
      </c>
      <c r="Z5422">
        <v>-1.1121310000000001E-2</v>
      </c>
      <c r="AA5422">
        <v>0.96560319999999999</v>
      </c>
      <c r="AB5422">
        <v>31</v>
      </c>
      <c r="AC5422">
        <v>13.819999999999901</v>
      </c>
      <c r="AD5422">
        <v>-1.1700919999999999</v>
      </c>
      <c r="AE5422">
        <v>-4.0266099999999998</v>
      </c>
      <c r="AF5422">
        <v>3.78077359249707</v>
      </c>
      <c r="AG5422">
        <v>-1.1700919999999999</v>
      </c>
      <c r="AH5422">
        <v>13.7913164977432</v>
      </c>
      <c r="AI5422">
        <v>94.677730964964795</v>
      </c>
      <c r="AJ5422">
        <v>74.669483456720499</v>
      </c>
      <c r="AK5422">
        <v>14.3479536864011</v>
      </c>
      <c r="AL5422">
        <v>79.9553139932043</v>
      </c>
      <c r="AM5422">
        <v>80.980749449499299</v>
      </c>
      <c r="AN5422">
        <v>1.00000003429464</v>
      </c>
    </row>
    <row r="5423" spans="1:40" x14ac:dyDescent="0.25">
      <c r="A5423" t="str">
        <f>"20190303162928038"</f>
        <v>20190303162928038</v>
      </c>
      <c r="B5423" t="str">
        <f>"1551601768027064"</f>
        <v>1551601768027064</v>
      </c>
      <c r="C5423" t="s">
        <v>40</v>
      </c>
      <c r="D5423">
        <v>4.8716970000000002</v>
      </c>
      <c r="E5423">
        <v>0.55357909999999999</v>
      </c>
      <c r="F5423" t="s">
        <v>42</v>
      </c>
      <c r="G5423">
        <v>-313.01859999999999</v>
      </c>
      <c r="H5423">
        <v>-0.05</v>
      </c>
      <c r="I5423">
        <v>12.18878</v>
      </c>
      <c r="J5423">
        <v>-330.12060000000002</v>
      </c>
      <c r="K5423">
        <v>1.12008</v>
      </c>
      <c r="L5423">
        <v>17.44162</v>
      </c>
      <c r="M5423">
        <v>0.99978699999999998</v>
      </c>
      <c r="N5423">
        <v>-1.228418E-2</v>
      </c>
      <c r="O5423">
        <v>-1.6583870000000001E-2</v>
      </c>
      <c r="P5423">
        <v>0.97120879999999998</v>
      </c>
      <c r="Q5423">
        <v>0.16312579999999999</v>
      </c>
      <c r="R5423">
        <v>-0.17361969999999999</v>
      </c>
      <c r="S5423">
        <v>2.962799</v>
      </c>
      <c r="T5423">
        <v>-0.20091059999999999</v>
      </c>
      <c r="U5423">
        <v>-0.90246579999999998</v>
      </c>
      <c r="V5423">
        <v>0.15795399999999901</v>
      </c>
      <c r="W5423">
        <v>0.17465799999999901</v>
      </c>
      <c r="X5423">
        <v>0.97187710000000005</v>
      </c>
      <c r="Y5423">
        <v>0.27481</v>
      </c>
      <c r="Z5423">
        <v>-9.9301279999999999E-3</v>
      </c>
      <c r="AA5423">
        <v>0.96144719999999995</v>
      </c>
      <c r="AB5423">
        <v>31</v>
      </c>
      <c r="AC5423">
        <v>17.102</v>
      </c>
      <c r="AD5423">
        <v>-1.17008</v>
      </c>
      <c r="AE5423">
        <v>-5.25284</v>
      </c>
      <c r="AF5423">
        <v>4.9473168498961</v>
      </c>
      <c r="AG5423">
        <v>-1.17008</v>
      </c>
      <c r="AH5423">
        <v>17.113564286512599</v>
      </c>
      <c r="AI5423">
        <v>93.757902864094305</v>
      </c>
      <c r="AJ5423">
        <v>73.876081350992294</v>
      </c>
      <c r="AK5423">
        <v>17.852706064019099</v>
      </c>
      <c r="AL5423">
        <v>79.941243459547394</v>
      </c>
      <c r="AM5423">
        <v>80.768736924178796</v>
      </c>
      <c r="AN5423">
        <v>0.99999999029220499</v>
      </c>
    </row>
    <row r="5424" spans="1:40" x14ac:dyDescent="0.25">
      <c r="A5424" t="str">
        <f>"20190303162928050"</f>
        <v>20190303162928050</v>
      </c>
      <c r="B5424" t="str">
        <f>"1551601768047559"</f>
        <v>1551601768047559</v>
      </c>
      <c r="C5424" t="s">
        <v>40</v>
      </c>
      <c r="D5424">
        <v>4.9153969999999996</v>
      </c>
      <c r="E5424">
        <v>0.55522419999999995</v>
      </c>
      <c r="F5424" t="s">
        <v>42</v>
      </c>
      <c r="G5424">
        <v>-310.38819999999998</v>
      </c>
      <c r="H5424">
        <v>-0.05</v>
      </c>
      <c r="I5424">
        <v>11.248150000000001</v>
      </c>
      <c r="J5424">
        <v>-329.9547</v>
      </c>
      <c r="K5424">
        <v>1.1200639999999999</v>
      </c>
      <c r="L5424">
        <v>17.438140000000001</v>
      </c>
      <c r="M5424">
        <v>0.99977519999999998</v>
      </c>
      <c r="N5424">
        <v>-1.227908E-2</v>
      </c>
      <c r="O5424">
        <v>-1.728824E-2</v>
      </c>
      <c r="P5424">
        <v>0.97040839999999995</v>
      </c>
      <c r="Q5424">
        <v>0.1632835</v>
      </c>
      <c r="R5424">
        <v>-0.1778933</v>
      </c>
      <c r="S5424">
        <v>2.9526669999999999</v>
      </c>
      <c r="T5424">
        <v>-0.1750845</v>
      </c>
      <c r="U5424">
        <v>-0.92675779999999996</v>
      </c>
      <c r="V5424">
        <v>0.16156129999999999</v>
      </c>
      <c r="W5424">
        <v>0.17478759999999999</v>
      </c>
      <c r="X5424">
        <v>0.97126069999999998</v>
      </c>
      <c r="Y5424">
        <v>0.28239130000000001</v>
      </c>
      <c r="Z5424">
        <v>-9.1531849999999994E-3</v>
      </c>
      <c r="AA5424">
        <v>0.95925559999999999</v>
      </c>
      <c r="AB5424">
        <v>31</v>
      </c>
      <c r="AC5424">
        <v>19.566500000000001</v>
      </c>
      <c r="AD5424">
        <v>-1.170064</v>
      </c>
      <c r="AE5424">
        <v>-6.1899899999999999</v>
      </c>
      <c r="AF5424">
        <v>5.8318118286498697</v>
      </c>
      <c r="AG5424">
        <v>-1.170064</v>
      </c>
      <c r="AH5424">
        <v>19.606862648732999</v>
      </c>
      <c r="AI5424">
        <v>93.273732218694306</v>
      </c>
      <c r="AJ5424">
        <v>73.435559990304895</v>
      </c>
      <c r="AK5424">
        <v>20.4892201387744</v>
      </c>
      <c r="AL5424">
        <v>79.933702558444494</v>
      </c>
      <c r="AM5424">
        <v>80.555786475358801</v>
      </c>
      <c r="AN5424">
        <v>1.00000005306796</v>
      </c>
    </row>
    <row r="5425" spans="1:40" x14ac:dyDescent="0.25">
      <c r="A5425" t="str">
        <f>"20190303162928062"</f>
        <v>20190303162928062</v>
      </c>
      <c r="B5425" t="str">
        <f>"1551601768057320"</f>
        <v>1551601768057320</v>
      </c>
      <c r="C5425" t="s">
        <v>40</v>
      </c>
      <c r="D5425">
        <v>4.9157479999999998</v>
      </c>
      <c r="E5425">
        <v>0.55562559999999905</v>
      </c>
      <c r="F5425" t="s">
        <v>42</v>
      </c>
      <c r="G5425">
        <v>-306.54410000000001</v>
      </c>
      <c r="H5425">
        <v>-0.05</v>
      </c>
      <c r="I5425">
        <v>9.8511659999999992</v>
      </c>
      <c r="J5425">
        <v>-329.79250000000002</v>
      </c>
      <c r="K5425">
        <v>1.1200479999999999</v>
      </c>
      <c r="L5425">
        <v>17.434660000000001</v>
      </c>
      <c r="M5425">
        <v>0.99976310000000002</v>
      </c>
      <c r="N5425">
        <v>-1.2274180000000001E-2</v>
      </c>
      <c r="O5425">
        <v>-1.7982229999999998E-2</v>
      </c>
      <c r="P5425">
        <v>0.96958599999999995</v>
      </c>
      <c r="Q5425">
        <v>0.1634688</v>
      </c>
      <c r="R5425">
        <v>-0.1821574</v>
      </c>
      <c r="S5425">
        <v>2.9414669999999998</v>
      </c>
      <c r="T5425">
        <v>-0.1470146</v>
      </c>
      <c r="U5425">
        <v>-0.95327759999999995</v>
      </c>
      <c r="V5425">
        <v>0.16517009999999999</v>
      </c>
      <c r="W5425">
        <v>0.17494479999999901</v>
      </c>
      <c r="X5425">
        <v>0.97062510000000002</v>
      </c>
      <c r="Y5425">
        <v>0.29073490000000002</v>
      </c>
      <c r="Z5425">
        <v>-8.2503009999999998E-3</v>
      </c>
      <c r="AA5425">
        <v>0.95676799999999995</v>
      </c>
      <c r="AB5425">
        <v>31</v>
      </c>
      <c r="AC5425">
        <v>23.2484</v>
      </c>
      <c r="AD5425">
        <v>-1.170048</v>
      </c>
      <c r="AE5425">
        <v>-7.583494</v>
      </c>
      <c r="AF5425">
        <v>7.1478144099685599</v>
      </c>
      <c r="AG5425">
        <v>-1.170048</v>
      </c>
      <c r="AH5425">
        <v>23.327614152762902</v>
      </c>
      <c r="AI5425">
        <v>92.745599182333294</v>
      </c>
      <c r="AJ5425">
        <v>72.964411432300096</v>
      </c>
      <c r="AK5425">
        <v>24.426171317295001</v>
      </c>
      <c r="AL5425">
        <v>79.924553816335404</v>
      </c>
      <c r="AM5425">
        <v>80.342555563440698</v>
      </c>
      <c r="AN5425">
        <v>0.999999964865529</v>
      </c>
    </row>
    <row r="5426" spans="1:40" x14ac:dyDescent="0.25">
      <c r="A5426" t="str">
        <f>"20190303162928073"</f>
        <v>20190303162928073</v>
      </c>
      <c r="B5426" t="str">
        <f>"1551601768067079"</f>
        <v>1551601768067079</v>
      </c>
      <c r="C5426" t="s">
        <v>40</v>
      </c>
      <c r="D5426">
        <v>4.9914579999999997</v>
      </c>
      <c r="E5426">
        <v>0.55553739999999996</v>
      </c>
      <c r="F5426" t="s">
        <v>42</v>
      </c>
      <c r="G5426">
        <v>-305.29250000000002</v>
      </c>
      <c r="H5426">
        <v>-0.05</v>
      </c>
      <c r="I5426">
        <v>9.3453370000000007</v>
      </c>
      <c r="J5426">
        <v>-329.62990000000002</v>
      </c>
      <c r="K5426">
        <v>1.120034</v>
      </c>
      <c r="L5426">
        <v>17.430999999999901</v>
      </c>
      <c r="M5426">
        <v>0.99975000000000003</v>
      </c>
      <c r="N5426">
        <v>-1.2269749999999999E-2</v>
      </c>
      <c r="O5426">
        <v>-1.869088E-2</v>
      </c>
      <c r="P5426">
        <v>0.96872259999999999</v>
      </c>
      <c r="Q5426">
        <v>0.163722799999999</v>
      </c>
      <c r="R5426">
        <v>-0.18647230000000001</v>
      </c>
      <c r="S5426">
        <v>2.9356080000000002</v>
      </c>
      <c r="T5426">
        <v>-0.14019609999999999</v>
      </c>
      <c r="U5426">
        <v>-0.96926880000000004</v>
      </c>
      <c r="V5426">
        <v>0.16881699999999999</v>
      </c>
      <c r="W5426">
        <v>0.17517070000000001</v>
      </c>
      <c r="X5426">
        <v>0.96995679999999995</v>
      </c>
      <c r="Y5426">
        <v>0.29534660000000001</v>
      </c>
      <c r="Z5426">
        <v>-8.0815969999999994E-3</v>
      </c>
      <c r="AA5426">
        <v>0.95535599999999998</v>
      </c>
      <c r="AB5426">
        <v>31</v>
      </c>
      <c r="AC5426">
        <v>24.337399999999999</v>
      </c>
      <c r="AD5426">
        <v>-1.170034</v>
      </c>
      <c r="AE5426">
        <v>-8.0856629999999896</v>
      </c>
      <c r="AF5426">
        <v>7.61348111912565</v>
      </c>
      <c r="AG5426">
        <v>-1.170034</v>
      </c>
      <c r="AH5426">
        <v>24.4334290673801</v>
      </c>
      <c r="AI5426">
        <v>92.617653913856003</v>
      </c>
      <c r="AJ5426">
        <v>72.692913227201402</v>
      </c>
      <c r="AK5426">
        <v>25.618870589921301</v>
      </c>
      <c r="AL5426">
        <v>79.911408809049902</v>
      </c>
      <c r="AM5426">
        <v>80.126804821488903</v>
      </c>
      <c r="AN5426">
        <v>1.00000007374686</v>
      </c>
    </row>
    <row r="5427" spans="1:40" x14ac:dyDescent="0.25">
      <c r="A5427" t="str">
        <f>"20190303162928084"</f>
        <v>20190303162928084</v>
      </c>
      <c r="B5427" t="str">
        <f>"1551601768076839"</f>
        <v>1551601768076839</v>
      </c>
      <c r="C5427" t="s">
        <v>40</v>
      </c>
      <c r="D5427">
        <v>5.0043490000000004</v>
      </c>
      <c r="E5427">
        <v>0.55504200000000004</v>
      </c>
      <c r="F5427" t="s">
        <v>42</v>
      </c>
      <c r="G5427">
        <v>-304.79579999999999</v>
      </c>
      <c r="H5427">
        <v>-0.05</v>
      </c>
      <c r="I5427">
        <v>9.1169429999999991</v>
      </c>
      <c r="J5427">
        <v>-329.47710000000001</v>
      </c>
      <c r="K5427">
        <v>1.1200270000000001</v>
      </c>
      <c r="L5427">
        <v>17.427520000000001</v>
      </c>
      <c r="M5427">
        <v>0.9997374</v>
      </c>
      <c r="N5427">
        <v>-1.2265679999999999E-2</v>
      </c>
      <c r="O5427">
        <v>-1.9360180000000001E-2</v>
      </c>
      <c r="P5427">
        <v>0.96788850000000004</v>
      </c>
      <c r="Q5427">
        <v>0.16381119999999999</v>
      </c>
      <c r="R5427">
        <v>-0.1906774</v>
      </c>
      <c r="S5427">
        <v>2.931305</v>
      </c>
      <c r="T5427">
        <v>-0.1381056</v>
      </c>
      <c r="U5427">
        <v>-0.98135380000000005</v>
      </c>
      <c r="V5427">
        <v>0.1723925</v>
      </c>
      <c r="W5427">
        <v>0.1752322</v>
      </c>
      <c r="X5427">
        <v>0.96931650000000003</v>
      </c>
      <c r="Y5427">
        <v>0.29867440000000001</v>
      </c>
      <c r="Z5427">
        <v>-8.0717289999999997E-3</v>
      </c>
      <c r="AA5427">
        <v>0.95432099999999997</v>
      </c>
      <c r="AB5427">
        <v>31</v>
      </c>
      <c r="AC5427">
        <v>24.6813</v>
      </c>
      <c r="AD5427">
        <v>-1.1700269999999999</v>
      </c>
      <c r="AE5427">
        <v>-8.3105770000000003</v>
      </c>
      <c r="AF5427">
        <v>7.8153740493804102</v>
      </c>
      <c r="AG5427">
        <v>-1.1700269999999999</v>
      </c>
      <c r="AH5427">
        <v>24.787547863373199</v>
      </c>
      <c r="AI5427">
        <v>92.577578393913797</v>
      </c>
      <c r="AJ5427">
        <v>72.500230790068599</v>
      </c>
      <c r="AK5427">
        <v>26.016755443203799</v>
      </c>
      <c r="AL5427">
        <v>79.907828881527905</v>
      </c>
      <c r="AM5427">
        <v>79.915415992793996</v>
      </c>
      <c r="AN5427">
        <v>0.99999998757266995</v>
      </c>
    </row>
    <row r="5428" spans="1:40" x14ac:dyDescent="0.25">
      <c r="A5428" t="str">
        <f>"20190303162928095"</f>
        <v>20190303162928095</v>
      </c>
      <c r="B5428" t="str">
        <f>"1551601768087578"</f>
        <v>1551601768087578</v>
      </c>
      <c r="C5428" t="s">
        <v>40</v>
      </c>
      <c r="D5428">
        <v>4.9009119999999999</v>
      </c>
      <c r="E5428">
        <v>0.55560069999999995</v>
      </c>
      <c r="F5428" t="s">
        <v>42</v>
      </c>
      <c r="G5428">
        <v>-304.58390000000003</v>
      </c>
      <c r="H5428">
        <v>-0.05</v>
      </c>
      <c r="I5428">
        <v>9.0119170000000004</v>
      </c>
      <c r="J5428">
        <v>-329.3218</v>
      </c>
      <c r="K5428">
        <v>1.1200139999999901</v>
      </c>
      <c r="L5428">
        <v>17.423770000000001</v>
      </c>
      <c r="M5428">
        <v>0.99972369999999999</v>
      </c>
      <c r="N5428">
        <v>-1.2261930000000001E-2</v>
      </c>
      <c r="O5428">
        <v>-2.0051300000000001E-2</v>
      </c>
      <c r="P5428">
        <v>0.96697999999999995</v>
      </c>
      <c r="Q5428">
        <v>0.16415850000000001</v>
      </c>
      <c r="R5428">
        <v>-0.19494040000000001</v>
      </c>
      <c r="S5428">
        <v>2.927826</v>
      </c>
      <c r="T5428">
        <v>-0.13761370000000001</v>
      </c>
      <c r="U5428">
        <v>-0.98980710000000005</v>
      </c>
      <c r="V5428">
        <v>0.17600759999999999</v>
      </c>
      <c r="W5428">
        <v>0.17555179999999901</v>
      </c>
      <c r="X5428">
        <v>0.96860869999999999</v>
      </c>
      <c r="Y5428">
        <v>0.30082969999999998</v>
      </c>
      <c r="Z5428">
        <v>-8.094258E-3</v>
      </c>
      <c r="AA5428">
        <v>0.95364349999999998</v>
      </c>
      <c r="AB5428">
        <v>31</v>
      </c>
      <c r="AC5428">
        <v>24.7378999999999</v>
      </c>
      <c r="AD5428">
        <v>-1.1700140000000001</v>
      </c>
      <c r="AE5428">
        <v>-8.4118530000000007</v>
      </c>
      <c r="AF5428">
        <v>7.8982603274812497</v>
      </c>
      <c r="AG5428">
        <v>-1.1700140000000001</v>
      </c>
      <c r="AH5428">
        <v>24.8517765601094</v>
      </c>
      <c r="AI5428">
        <v>92.569035994262606</v>
      </c>
      <c r="AJ5428">
        <v>72.368977520865997</v>
      </c>
      <c r="AK5428">
        <v>26.1029164492105</v>
      </c>
      <c r="AL5428">
        <v>79.889228560542193</v>
      </c>
      <c r="AM5428">
        <v>79.701055562746603</v>
      </c>
      <c r="AN5428">
        <v>0.99999996172834404</v>
      </c>
    </row>
    <row r="5429" spans="1:40" x14ac:dyDescent="0.25">
      <c r="A5429" t="str">
        <f>"20190303162928106"</f>
        <v>20190303162928106</v>
      </c>
      <c r="B5429" t="str">
        <f>"1551601768097336"</f>
        <v>1551601768097336</v>
      </c>
      <c r="C5429" t="s">
        <v>40</v>
      </c>
      <c r="D5429">
        <v>4.9197300000000004</v>
      </c>
      <c r="E5429">
        <v>0.55541649999999998</v>
      </c>
      <c r="F5429" t="s">
        <v>42</v>
      </c>
      <c r="G5429">
        <v>-303.36360000000002</v>
      </c>
      <c r="H5429">
        <v>-0.05</v>
      </c>
      <c r="I5429">
        <v>8.4776000000000007</v>
      </c>
      <c r="J5429">
        <v>-329.17219999999998</v>
      </c>
      <c r="K5429">
        <v>1.1200030000000001</v>
      </c>
      <c r="L5429">
        <v>17.42014</v>
      </c>
      <c r="M5429">
        <v>0.99971010000000005</v>
      </c>
      <c r="N5429">
        <v>-1.2258430000000001E-2</v>
      </c>
      <c r="O5429">
        <v>-2.0720949999999998E-2</v>
      </c>
      <c r="P5429">
        <v>0.96608559999999999</v>
      </c>
      <c r="Q5429">
        <v>0.16435910000000001</v>
      </c>
      <c r="R5429">
        <v>-0.19916039999999999</v>
      </c>
      <c r="S5429">
        <v>2.921783</v>
      </c>
      <c r="T5429">
        <v>-0.13169349999999999</v>
      </c>
      <c r="U5429">
        <v>-1.006958</v>
      </c>
      <c r="V5429">
        <v>0.1796006</v>
      </c>
      <c r="W5429">
        <v>0.17572550000000001</v>
      </c>
      <c r="X5429">
        <v>0.96791740000000004</v>
      </c>
      <c r="Y5429">
        <v>0.30581909999999901</v>
      </c>
      <c r="Z5429">
        <v>-7.9643769999999999E-3</v>
      </c>
      <c r="AA5429">
        <v>0.95205629999999997</v>
      </c>
      <c r="AB5429">
        <v>31</v>
      </c>
      <c r="AC5429">
        <v>25.808599999999899</v>
      </c>
      <c r="AD5429">
        <v>-1.1700029999999999</v>
      </c>
      <c r="AE5429">
        <v>-8.9425399999999993</v>
      </c>
      <c r="AF5429">
        <v>8.3904055418673504</v>
      </c>
      <c r="AG5429">
        <v>-1.1700029999999999</v>
      </c>
      <c r="AH5429">
        <v>25.9407720259949</v>
      </c>
      <c r="AI5429">
        <v>92.457279536569303</v>
      </c>
      <c r="AJ5429">
        <v>72.076473444160399</v>
      </c>
      <c r="AK5429">
        <v>27.2890356275492</v>
      </c>
      <c r="AL5429">
        <v>79.879119111932795</v>
      </c>
      <c r="AM5429">
        <v>79.488113209114999</v>
      </c>
      <c r="AN5429">
        <v>0.99999996004668401</v>
      </c>
    </row>
    <row r="5430" spans="1:40" x14ac:dyDescent="0.25">
      <c r="A5430" t="str">
        <f>"20190303162928115"</f>
        <v>20190303162928115</v>
      </c>
      <c r="B5430" t="str">
        <f>"1551601768107095"</f>
        <v>1551601768107095</v>
      </c>
      <c r="C5430" t="s">
        <v>40</v>
      </c>
      <c r="D5430">
        <v>4.9600379999999999</v>
      </c>
      <c r="E5430">
        <v>0.55585240000000002</v>
      </c>
      <c r="F5430" t="s">
        <v>42</v>
      </c>
      <c r="G5430">
        <v>-302.50439999999998</v>
      </c>
      <c r="H5430">
        <v>-0.05</v>
      </c>
      <c r="I5430">
        <v>8.1136780000000002</v>
      </c>
      <c r="J5430">
        <v>-329.02600000000001</v>
      </c>
      <c r="K5430">
        <v>1.119991</v>
      </c>
      <c r="L5430">
        <v>17.416409999999999</v>
      </c>
      <c r="M5430">
        <v>0.99969629999999998</v>
      </c>
      <c r="N5430">
        <v>-1.225527E-2</v>
      </c>
      <c r="O5430">
        <v>-2.1383429999999998E-2</v>
      </c>
      <c r="P5430">
        <v>0.96523579999999998</v>
      </c>
      <c r="Q5430">
        <v>0.16467970000000001</v>
      </c>
      <c r="R5430">
        <v>-0.2029802</v>
      </c>
      <c r="S5430">
        <v>2.9172060000000002</v>
      </c>
      <c r="T5430">
        <v>-0.12798689999999999</v>
      </c>
      <c r="U5430">
        <v>-1.0180359999999999</v>
      </c>
      <c r="V5430">
        <v>0.1828003</v>
      </c>
      <c r="W5430">
        <v>0.17602079999999901</v>
      </c>
      <c r="X5430">
        <v>0.96726460000000003</v>
      </c>
      <c r="Y5430">
        <v>0.30888680000000002</v>
      </c>
      <c r="Z5430">
        <v>-7.8714289999999992E-3</v>
      </c>
      <c r="AA5430">
        <v>0.95106630000000003</v>
      </c>
      <c r="AB5430">
        <v>31</v>
      </c>
      <c r="AC5430">
        <v>26.521599999999999</v>
      </c>
      <c r="AD5430">
        <v>-1.169991</v>
      </c>
      <c r="AE5430">
        <v>-9.3027320000000007</v>
      </c>
      <c r="AF5430">
        <v>8.7183312814398306</v>
      </c>
      <c r="AG5430">
        <v>-1.169991</v>
      </c>
      <c r="AH5430">
        <v>26.668260741709101</v>
      </c>
      <c r="AI5430">
        <v>92.387863895490696</v>
      </c>
      <c r="AJ5430">
        <v>71.896505944221005</v>
      </c>
      <c r="AK5430">
        <v>28.081565310017901</v>
      </c>
      <c r="AL5430">
        <v>79.861932575056599</v>
      </c>
      <c r="AM5430">
        <v>79.298069382328606</v>
      </c>
      <c r="AN5430">
        <v>1.00000003906294</v>
      </c>
    </row>
    <row r="5431" spans="1:40" x14ac:dyDescent="0.25">
      <c r="A5431" t="str">
        <f>"20190303162928128"</f>
        <v>20190303162928128</v>
      </c>
      <c r="B5431" t="str">
        <f>"1551601768116856"</f>
        <v>1551601768116856</v>
      </c>
      <c r="C5431" t="s">
        <v>40</v>
      </c>
      <c r="D5431">
        <v>4.9087139999999998</v>
      </c>
      <c r="E5431">
        <v>0.55602700000000005</v>
      </c>
      <c r="F5431" t="s">
        <v>42</v>
      </c>
      <c r="G5431">
        <v>-301.39499999999998</v>
      </c>
      <c r="H5431">
        <v>-0.05</v>
      </c>
      <c r="I5431">
        <v>7.6176449999999898</v>
      </c>
      <c r="J5431">
        <v>-328.86950000000002</v>
      </c>
      <c r="K5431">
        <v>1.11998</v>
      </c>
      <c r="L5431">
        <v>17.41235</v>
      </c>
      <c r="M5431">
        <v>0.99968060000000003</v>
      </c>
      <c r="N5431">
        <v>-1.225208E-2</v>
      </c>
      <c r="O5431">
        <v>-2.2097550000000001E-2</v>
      </c>
      <c r="P5431">
        <v>0.96436560000000005</v>
      </c>
      <c r="Q5431">
        <v>0.16476769999999999</v>
      </c>
      <c r="R5431">
        <v>-0.20700399999999999</v>
      </c>
      <c r="S5431">
        <v>2.9119259999999998</v>
      </c>
      <c r="T5431">
        <v>-0.1233007</v>
      </c>
      <c r="U5431">
        <v>-1.032654</v>
      </c>
      <c r="V5431">
        <v>0.18615519999999999</v>
      </c>
      <c r="W5431">
        <v>0.17608270000000001</v>
      </c>
      <c r="X5431">
        <v>0.96661319999999995</v>
      </c>
      <c r="Y5431">
        <v>0.31300519999999998</v>
      </c>
      <c r="Z5431">
        <v>-7.7595980000000004E-3</v>
      </c>
      <c r="AA5431">
        <v>0.94971969999999994</v>
      </c>
      <c r="AB5431">
        <v>31</v>
      </c>
      <c r="AC5431">
        <v>27.474499999999999</v>
      </c>
      <c r="AD5431">
        <v>-1.16998</v>
      </c>
      <c r="AE5431">
        <v>-9.7947050000000004</v>
      </c>
      <c r="AF5431">
        <v>9.1703936371540298</v>
      </c>
      <c r="AG5431">
        <v>-1.16998</v>
      </c>
      <c r="AH5431">
        <v>27.6397750253232</v>
      </c>
      <c r="AI5431">
        <v>92.300678833769595</v>
      </c>
      <c r="AJ5431">
        <v>71.645058970656393</v>
      </c>
      <c r="AK5431">
        <v>29.144847505369398</v>
      </c>
      <c r="AL5431">
        <v>79.858329057354794</v>
      </c>
      <c r="AM5431">
        <v>79.099151990762294</v>
      </c>
      <c r="AN5431">
        <v>0.99999997707028399</v>
      </c>
    </row>
    <row r="5432" spans="1:40" x14ac:dyDescent="0.25">
      <c r="A5432" t="str">
        <f>"20190303162928138"</f>
        <v>20190303162928138</v>
      </c>
      <c r="B5432" t="str">
        <f>"1551601768127591"</f>
        <v>1551601768127591</v>
      </c>
      <c r="C5432" t="s">
        <v>40</v>
      </c>
      <c r="D5432">
        <v>4.9589720000000002</v>
      </c>
      <c r="E5432">
        <v>0.55563759999999995</v>
      </c>
      <c r="F5432" t="s">
        <v>42</v>
      </c>
      <c r="G5432">
        <v>-300.70920000000001</v>
      </c>
      <c r="H5432">
        <v>-0.05</v>
      </c>
      <c r="I5432">
        <v>7.2802119999999997</v>
      </c>
      <c r="J5432">
        <v>-328.71710000000002</v>
      </c>
      <c r="K5432">
        <v>1.1199669999999999</v>
      </c>
      <c r="L5432">
        <v>17.408290000000001</v>
      </c>
      <c r="M5432">
        <v>0.99966509999999997</v>
      </c>
      <c r="N5432">
        <v>-1.224925E-2</v>
      </c>
      <c r="O5432">
        <v>-2.280022E-2</v>
      </c>
      <c r="P5432">
        <v>0.96353429999999995</v>
      </c>
      <c r="Q5432">
        <v>0.16480259999999999</v>
      </c>
      <c r="R5432">
        <v>-0.21081349999999999</v>
      </c>
      <c r="S5432">
        <v>2.906952</v>
      </c>
      <c r="T5432">
        <v>-0.1207757</v>
      </c>
      <c r="U5432">
        <v>-1.0459290000000001</v>
      </c>
      <c r="V5432">
        <v>0.18930659999999999</v>
      </c>
      <c r="W5432">
        <v>0.17609259999999999</v>
      </c>
      <c r="X5432">
        <v>0.96599919999999995</v>
      </c>
      <c r="Y5432">
        <v>0.31669999999999998</v>
      </c>
      <c r="Z5432">
        <v>-7.7299659999999996E-3</v>
      </c>
      <c r="AA5432">
        <v>0.94849430000000001</v>
      </c>
      <c r="AB5432">
        <v>31</v>
      </c>
      <c r="AC5432">
        <v>28.007899999999999</v>
      </c>
      <c r="AD5432">
        <v>-1.169967</v>
      </c>
      <c r="AE5432">
        <v>-10.128078</v>
      </c>
      <c r="AF5432">
        <v>9.4721933940100698</v>
      </c>
      <c r="AG5432">
        <v>-1.169967</v>
      </c>
      <c r="AH5432">
        <v>28.1880587676959</v>
      </c>
      <c r="AI5432">
        <v>92.253072522200597</v>
      </c>
      <c r="AJ5432">
        <v>71.425814764214707</v>
      </c>
      <c r="AK5432">
        <v>29.7600055034553</v>
      </c>
      <c r="AL5432">
        <v>79.857753300978501</v>
      </c>
      <c r="AM5432">
        <v>78.912274792647395</v>
      </c>
      <c r="AN5432">
        <v>1.0000000234894699</v>
      </c>
    </row>
    <row r="5433" spans="1:40" x14ac:dyDescent="0.25">
      <c r="A5433" t="str">
        <f>"20190303162928150"</f>
        <v>20190303162928150</v>
      </c>
      <c r="B5433" t="str">
        <f>"1551601768137352"</f>
        <v>1551601768137352</v>
      </c>
      <c r="C5433" t="s">
        <v>40</v>
      </c>
      <c r="D5433">
        <v>4.9638970000000002</v>
      </c>
      <c r="E5433">
        <v>0.55525309999999894</v>
      </c>
      <c r="F5433" t="s">
        <v>42</v>
      </c>
      <c r="G5433">
        <v>-300.40359999999998</v>
      </c>
      <c r="H5433">
        <v>-0.05</v>
      </c>
      <c r="I5433">
        <v>7.1293789999999904</v>
      </c>
      <c r="J5433">
        <v>-328.5591</v>
      </c>
      <c r="K5433">
        <v>1.119953</v>
      </c>
      <c r="L5433">
        <v>17.403960000000001</v>
      </c>
      <c r="M5433">
        <v>0.99964799999999998</v>
      </c>
      <c r="N5433">
        <v>-1.2246480000000001E-2</v>
      </c>
      <c r="O5433">
        <v>-2.3536749999999999E-2</v>
      </c>
      <c r="P5433">
        <v>0.96277729999999995</v>
      </c>
      <c r="Q5433">
        <v>0.1646097</v>
      </c>
      <c r="R5433">
        <v>-0.21439150000000001</v>
      </c>
      <c r="S5433">
        <v>2.903473</v>
      </c>
      <c r="T5433">
        <v>-0.1199771</v>
      </c>
      <c r="U5433">
        <v>-1.0540769999999999</v>
      </c>
      <c r="V5433">
        <v>0.19219310000000001</v>
      </c>
      <c r="W5433">
        <v>0.1758767</v>
      </c>
      <c r="X5433">
        <v>0.9654684</v>
      </c>
      <c r="Y5433">
        <v>0.3187179</v>
      </c>
      <c r="Z5433">
        <v>-7.7303210000000001E-3</v>
      </c>
      <c r="AA5433">
        <v>0.9478181</v>
      </c>
      <c r="AB5433">
        <v>31</v>
      </c>
      <c r="AC5433">
        <v>28.1555</v>
      </c>
      <c r="AD5433">
        <v>-1.169953</v>
      </c>
      <c r="AE5433">
        <v>-10.274581</v>
      </c>
      <c r="AF5433">
        <v>9.5943760907247508</v>
      </c>
      <c r="AG5433">
        <v>-1.169953</v>
      </c>
      <c r="AH5433">
        <v>28.346354382605899</v>
      </c>
      <c r="AI5433">
        <v>92.2388277715485</v>
      </c>
      <c r="AJ5433">
        <v>71.300608470783303</v>
      </c>
      <c r="AK5433">
        <v>29.948900637198001</v>
      </c>
      <c r="AL5433">
        <v>79.870319509440094</v>
      </c>
      <c r="AM5433">
        <v>78.741466129878802</v>
      </c>
      <c r="AN5433">
        <v>1.00000001634452</v>
      </c>
    </row>
    <row r="5434" spans="1:40" x14ac:dyDescent="0.25">
      <c r="A5434" t="str">
        <f>"20190303162928162"</f>
        <v>20190303162928162</v>
      </c>
      <c r="B5434" t="str">
        <f>"1551601768157849"</f>
        <v>1551601768157849</v>
      </c>
      <c r="C5434" t="s">
        <v>40</v>
      </c>
      <c r="D5434">
        <v>4.9721880000000001</v>
      </c>
      <c r="E5434">
        <v>0.55443419999999999</v>
      </c>
      <c r="F5434" t="s">
        <v>42</v>
      </c>
      <c r="G5434">
        <v>-300.23200000000003</v>
      </c>
      <c r="H5434">
        <v>-0.05</v>
      </c>
      <c r="I5434">
        <v>7.034332</v>
      </c>
      <c r="J5434">
        <v>-328.37699999999899</v>
      </c>
      <c r="K5434">
        <v>1.119937</v>
      </c>
      <c r="L5434">
        <v>17.398859999999999</v>
      </c>
      <c r="M5434">
        <v>0.99962759999999995</v>
      </c>
      <c r="N5434">
        <v>-1.224342E-2</v>
      </c>
      <c r="O5434">
        <v>-2.4393140000000001E-2</v>
      </c>
      <c r="P5434">
        <v>0.96208050000000001</v>
      </c>
      <c r="Q5434">
        <v>0.16417979999999999</v>
      </c>
      <c r="R5434">
        <v>-0.2178225</v>
      </c>
      <c r="S5434">
        <v>2.900055</v>
      </c>
      <c r="T5434">
        <v>-0.1197766</v>
      </c>
      <c r="U5434">
        <v>-1.061615</v>
      </c>
      <c r="V5434">
        <v>0.19481589999999999</v>
      </c>
      <c r="W5434">
        <v>0.17542369999999999</v>
      </c>
      <c r="X5434">
        <v>0.96502500000000002</v>
      </c>
      <c r="Y5434">
        <v>0.32043709999999997</v>
      </c>
      <c r="Z5434">
        <v>-7.7463990000000002E-3</v>
      </c>
      <c r="AA5434">
        <v>0.94723809999999997</v>
      </c>
      <c r="AB5434">
        <v>31</v>
      </c>
      <c r="AC5434">
        <v>28.1449999999999</v>
      </c>
      <c r="AD5434">
        <v>-1.169937</v>
      </c>
      <c r="AE5434">
        <v>-10.3645279999999</v>
      </c>
      <c r="AF5434">
        <v>9.6601485876908502</v>
      </c>
      <c r="AG5434">
        <v>-1.169937</v>
      </c>
      <c r="AH5434">
        <v>28.346335302398501</v>
      </c>
      <c r="AI5434">
        <v>92.237218880901693</v>
      </c>
      <c r="AJ5434">
        <v>71.181401393244201</v>
      </c>
      <c r="AK5434">
        <v>29.970017490756302</v>
      </c>
      <c r="AL5434">
        <v>79.896684030900701</v>
      </c>
      <c r="AM5434">
        <v>78.586722868474894</v>
      </c>
      <c r="AN5434">
        <v>0.99999998001974899</v>
      </c>
    </row>
    <row r="5435" spans="1:40" x14ac:dyDescent="0.25">
      <c r="A5435" t="str">
        <f>"20190303162928173"</f>
        <v>20190303162928173</v>
      </c>
      <c r="B5435" t="str">
        <f>"1551601768167608"</f>
        <v>1551601768167608</v>
      </c>
      <c r="C5435" t="s">
        <v>40</v>
      </c>
      <c r="D5435">
        <v>4.9758209999999998</v>
      </c>
      <c r="E5435">
        <v>0.554019699999999</v>
      </c>
      <c r="F5435" t="s">
        <v>42</v>
      </c>
      <c r="G5435">
        <v>-300.5369</v>
      </c>
      <c r="H5435">
        <v>-0.05</v>
      </c>
      <c r="I5435">
        <v>7.1640319999999997</v>
      </c>
      <c r="J5435">
        <v>-328.22820000000002</v>
      </c>
      <c r="K5435">
        <v>1.1199209999999999</v>
      </c>
      <c r="L5435">
        <v>17.394469999999998</v>
      </c>
      <c r="M5435">
        <v>0.99961</v>
      </c>
      <c r="N5435">
        <v>-1.224132E-2</v>
      </c>
      <c r="O5435">
        <v>-2.5107170000000002E-2</v>
      </c>
      <c r="P5435">
        <v>0.96137150000000005</v>
      </c>
      <c r="Q5435">
        <v>0.16394059999999999</v>
      </c>
      <c r="R5435">
        <v>-0.22110869999999999</v>
      </c>
      <c r="S5435">
        <v>2.8978579999999998</v>
      </c>
      <c r="T5435">
        <v>-0.1217781</v>
      </c>
      <c r="U5435">
        <v>-1.0653379999999999</v>
      </c>
      <c r="V5435">
        <v>0.197433</v>
      </c>
      <c r="W5435">
        <v>0.1751617</v>
      </c>
      <c r="X5435">
        <v>0.96454059999999997</v>
      </c>
      <c r="Y5435">
        <v>0.32105539999999999</v>
      </c>
      <c r="Z5435">
        <v>-7.8358990000000003E-3</v>
      </c>
      <c r="AA5435">
        <v>0.94702799999999998</v>
      </c>
      <c r="AB5435">
        <v>31</v>
      </c>
      <c r="AC5435">
        <v>27.691299999999998</v>
      </c>
      <c r="AD5435">
        <v>-1.169921</v>
      </c>
      <c r="AE5435">
        <v>-10.230437999999999</v>
      </c>
      <c r="AF5435">
        <v>9.5169632118261802</v>
      </c>
      <c r="AG5435">
        <v>-1.169921</v>
      </c>
      <c r="AH5435">
        <v>27.895633598365301</v>
      </c>
      <c r="AI5435">
        <v>92.273037469406802</v>
      </c>
      <c r="AJ5435">
        <v>71.162248274998106</v>
      </c>
      <c r="AK5435">
        <v>29.497587660277301</v>
      </c>
      <c r="AL5435">
        <v>79.911931713648698</v>
      </c>
      <c r="AM5435">
        <v>78.431852637374803</v>
      </c>
      <c r="AN5435">
        <v>0.99999998984212501</v>
      </c>
    </row>
    <row r="5436" spans="1:40" x14ac:dyDescent="0.25">
      <c r="A5436" t="str">
        <f>"20190303162928185"</f>
        <v>20190303162928185</v>
      </c>
      <c r="B5436" t="str">
        <f>"1551601768177366"</f>
        <v>1551601768177366</v>
      </c>
      <c r="C5436" t="s">
        <v>40</v>
      </c>
      <c r="D5436">
        <v>4.9815649999999998</v>
      </c>
      <c r="E5436">
        <v>0.55361800000000005</v>
      </c>
      <c r="F5436" t="s">
        <v>42</v>
      </c>
      <c r="G5436">
        <v>-300.6026</v>
      </c>
      <c r="H5436">
        <v>-0.05</v>
      </c>
      <c r="I5436">
        <v>7.166061</v>
      </c>
      <c r="J5436">
        <v>-328.07029999999997</v>
      </c>
      <c r="K5436">
        <v>1.11991</v>
      </c>
      <c r="L5436">
        <v>17.389769999999999</v>
      </c>
      <c r="M5436">
        <v>0.99959050000000005</v>
      </c>
      <c r="N5436">
        <v>-1.2239130000000001E-2</v>
      </c>
      <c r="O5436">
        <v>-2.5868430000000001E-2</v>
      </c>
      <c r="P5436">
        <v>0.96069000000000004</v>
      </c>
      <c r="Q5436">
        <v>0.16366639999999999</v>
      </c>
      <c r="R5436">
        <v>-0.22425020000000001</v>
      </c>
      <c r="S5436">
        <v>2.8948969999999998</v>
      </c>
      <c r="T5436">
        <v>-0.12259639999999999</v>
      </c>
      <c r="U5436">
        <v>-1.0718379999999901</v>
      </c>
      <c r="V5436">
        <v>0.19986029999999999</v>
      </c>
      <c r="W5436">
        <v>0.17486550000000001</v>
      </c>
      <c r="X5436">
        <v>0.96409429999999996</v>
      </c>
      <c r="Y5436">
        <v>0.32251370000000001</v>
      </c>
      <c r="Z5436">
        <v>-7.8934499999999998E-3</v>
      </c>
      <c r="AA5436">
        <v>0.94653189999999998</v>
      </c>
      <c r="AB5436">
        <v>31</v>
      </c>
      <c r="AC5436">
        <v>27.467699999999901</v>
      </c>
      <c r="AD5436">
        <v>-1.16991</v>
      </c>
      <c r="AE5436">
        <v>-10.223708999999999</v>
      </c>
      <c r="AF5436">
        <v>9.4945595394778195</v>
      </c>
      <c r="AG5436">
        <v>-1.16991</v>
      </c>
      <c r="AH5436">
        <v>27.6788955323692</v>
      </c>
      <c r="AI5436">
        <v>92.289491376019001</v>
      </c>
      <c r="AJ5436">
        <v>71.066738298449295</v>
      </c>
      <c r="AK5436">
        <v>29.2854333781933</v>
      </c>
      <c r="AL5436">
        <v>79.929168364321697</v>
      </c>
      <c r="AM5436">
        <v>78.288263226970599</v>
      </c>
      <c r="AN5436">
        <v>0.99999995094941296</v>
      </c>
    </row>
    <row r="5437" spans="1:40" x14ac:dyDescent="0.25">
      <c r="A5437" t="str">
        <f>"20190303162928196"</f>
        <v>20190303162928196</v>
      </c>
      <c r="B5437" t="str">
        <f>"1551601768187127"</f>
        <v>1551601768187127</v>
      </c>
      <c r="C5437" t="s">
        <v>40</v>
      </c>
      <c r="D5437">
        <v>4.98116</v>
      </c>
      <c r="E5437">
        <v>0.55325150000000001</v>
      </c>
      <c r="F5437" t="s">
        <v>42</v>
      </c>
      <c r="G5437">
        <v>-300.73860000000002</v>
      </c>
      <c r="H5437">
        <v>-0.05</v>
      </c>
      <c r="I5437">
        <v>7.2065890000000001</v>
      </c>
      <c r="J5437">
        <v>-327.9015</v>
      </c>
      <c r="K5437">
        <v>1.1198900000000001</v>
      </c>
      <c r="L5437">
        <v>17.384550000000001</v>
      </c>
      <c r="M5437">
        <v>0.99956860000000003</v>
      </c>
      <c r="N5437">
        <v>-1.2237120000000001E-2</v>
      </c>
      <c r="O5437">
        <v>-2.6700339999999999E-2</v>
      </c>
      <c r="P5437">
        <v>0.96005609999999997</v>
      </c>
      <c r="Q5437">
        <v>0.16332639999999901</v>
      </c>
      <c r="R5437">
        <v>-0.22719449999999999</v>
      </c>
      <c r="S5437">
        <v>2.8923030000000001</v>
      </c>
      <c r="T5437">
        <v>-0.12380240000000001</v>
      </c>
      <c r="U5437">
        <v>-1.0776059999999901</v>
      </c>
      <c r="V5437">
        <v>0.2020228</v>
      </c>
      <c r="W5437">
        <v>0.17450299999999999</v>
      </c>
      <c r="X5437">
        <v>0.96370919999999904</v>
      </c>
      <c r="Y5437">
        <v>0.323654099999999</v>
      </c>
      <c r="Z5437">
        <v>-7.95742199999999E-3</v>
      </c>
      <c r="AA5437">
        <v>0.94614200000000004</v>
      </c>
      <c r="AB5437">
        <v>31</v>
      </c>
      <c r="AC5437">
        <v>27.162899999999901</v>
      </c>
      <c r="AD5437">
        <v>-1.1698899999999901</v>
      </c>
      <c r="AE5437">
        <v>-10.177961</v>
      </c>
      <c r="AF5437">
        <v>9.4336740768136096</v>
      </c>
      <c r="AG5437">
        <v>-1.1698899999999901</v>
      </c>
      <c r="AH5437">
        <v>27.380452862500299</v>
      </c>
      <c r="AI5437">
        <v>92.313303218765697</v>
      </c>
      <c r="AJ5437">
        <v>70.989097651381101</v>
      </c>
      <c r="AK5437">
        <v>28.983651394454199</v>
      </c>
      <c r="AL5437">
        <v>79.9502625643172</v>
      </c>
      <c r="AM5437">
        <v>78.160501338653503</v>
      </c>
      <c r="AN5437">
        <v>0.99999996544673897</v>
      </c>
    </row>
    <row r="5438" spans="1:40" x14ac:dyDescent="0.25">
      <c r="A5438" t="str">
        <f>"20190303162928210"</f>
        <v>20190303162928210</v>
      </c>
      <c r="B5438" t="str">
        <f>"1551601768197865"</f>
        <v>1551601768197865</v>
      </c>
      <c r="C5438" t="s">
        <v>40</v>
      </c>
      <c r="D5438">
        <v>4.9967930000000003</v>
      </c>
      <c r="E5438">
        <v>0.55289009999999905</v>
      </c>
      <c r="F5438" t="s">
        <v>42</v>
      </c>
      <c r="G5438">
        <v>-300.86649999999997</v>
      </c>
      <c r="H5438">
        <v>-0.05</v>
      </c>
      <c r="I5438">
        <v>7.2461699999999896</v>
      </c>
      <c r="J5438">
        <v>-327.7099</v>
      </c>
      <c r="K5438">
        <v>1.1198669999999999</v>
      </c>
      <c r="L5438">
        <v>17.37848</v>
      </c>
      <c r="M5438">
        <v>0.99954270000000001</v>
      </c>
      <c r="N5438">
        <v>-1.2235080000000001E-2</v>
      </c>
      <c r="O5438">
        <v>-2.7657109999999999E-2</v>
      </c>
      <c r="P5438">
        <v>0.9594433</v>
      </c>
      <c r="Q5438">
        <v>0.16283439999999999</v>
      </c>
      <c r="R5438">
        <v>-0.2301175</v>
      </c>
      <c r="S5438">
        <v>2.8896480000000002</v>
      </c>
      <c r="T5438">
        <v>-0.12504460000000001</v>
      </c>
      <c r="U5438">
        <v>-1.0836490000000001</v>
      </c>
      <c r="V5438">
        <v>0.2040447</v>
      </c>
      <c r="W5438">
        <v>0.173988</v>
      </c>
      <c r="X5438">
        <v>0.96337629999999996</v>
      </c>
      <c r="Y5438">
        <v>0.32476159999999998</v>
      </c>
      <c r="Z5438">
        <v>-8.0182699999999992E-3</v>
      </c>
      <c r="AA5438">
        <v>0.94576190000000004</v>
      </c>
      <c r="AB5438">
        <v>31</v>
      </c>
      <c r="AC5438">
        <v>26.843399999999999</v>
      </c>
      <c r="AD5438">
        <v>-1.169867</v>
      </c>
      <c r="AE5438">
        <v>-10.13231</v>
      </c>
      <c r="AF5438">
        <v>9.3703892548890195</v>
      </c>
      <c r="AG5438">
        <v>-1.169867</v>
      </c>
      <c r="AH5438">
        <v>27.068381327308298</v>
      </c>
      <c r="AI5438">
        <v>92.338719576955398</v>
      </c>
      <c r="AJ5438">
        <v>70.905440130900502</v>
      </c>
      <c r="AK5438">
        <v>28.6682760428039</v>
      </c>
      <c r="AL5438">
        <v>79.980228443756701</v>
      </c>
      <c r="AM5438">
        <v>78.041389305428893</v>
      </c>
      <c r="AN5438">
        <v>0.99999997957188902</v>
      </c>
    </row>
    <row r="5439" spans="1:40" x14ac:dyDescent="0.25">
      <c r="A5439" t="str">
        <f>"20190303162928223"</f>
        <v>20190303162928223</v>
      </c>
      <c r="B5439" t="str">
        <f>"1551601768217385"</f>
        <v>1551601768217385</v>
      </c>
      <c r="C5439" t="s">
        <v>40</v>
      </c>
      <c r="D5439">
        <v>5.06351</v>
      </c>
      <c r="E5439">
        <v>0.55266369999999998</v>
      </c>
      <c r="F5439" t="s">
        <v>42</v>
      </c>
      <c r="G5439">
        <v>-301.06470000000002</v>
      </c>
      <c r="H5439">
        <v>-0.05</v>
      </c>
      <c r="I5439">
        <v>7.3256679999999896</v>
      </c>
      <c r="J5439">
        <v>-327.53230000000002</v>
      </c>
      <c r="K5439">
        <v>1.1198459999999999</v>
      </c>
      <c r="L5439">
        <v>17.37274</v>
      </c>
      <c r="M5439">
        <v>0.99951730000000005</v>
      </c>
      <c r="N5439">
        <v>-1.223339E-2</v>
      </c>
      <c r="O5439">
        <v>-2.8554280000000001E-2</v>
      </c>
      <c r="P5439">
        <v>0.95889029999999997</v>
      </c>
      <c r="Q5439">
        <v>0.16231770000000001</v>
      </c>
      <c r="R5439">
        <v>-0.23277120000000001</v>
      </c>
      <c r="S5439">
        <v>2.8871150000000001</v>
      </c>
      <c r="T5439">
        <v>-0.12675989999999901</v>
      </c>
      <c r="U5439">
        <v>-1.089264</v>
      </c>
      <c r="V5439">
        <v>0.20585400000000001</v>
      </c>
      <c r="W5439">
        <v>0.17344979999999999</v>
      </c>
      <c r="X5439">
        <v>0.96308850000000001</v>
      </c>
      <c r="Y5439">
        <v>0.32578760000000001</v>
      </c>
      <c r="Z5439">
        <v>-8.0995949999999994E-3</v>
      </c>
      <c r="AA5439">
        <v>0.94540829999999998</v>
      </c>
      <c r="AB5439">
        <v>31</v>
      </c>
      <c r="AC5439">
        <v>26.467600000000001</v>
      </c>
      <c r="AD5439">
        <v>-1.1698459999999999</v>
      </c>
      <c r="AE5439">
        <v>-10.047072</v>
      </c>
      <c r="AF5439">
        <v>9.2713237643444995</v>
      </c>
      <c r="AG5439">
        <v>-1.1698459999999999</v>
      </c>
      <c r="AH5439">
        <v>26.6981268325409</v>
      </c>
      <c r="AI5439">
        <v>92.370275036339095</v>
      </c>
      <c r="AJ5439">
        <v>70.849677684807006</v>
      </c>
      <c r="AK5439">
        <v>28.286321082343999</v>
      </c>
      <c r="AL5439">
        <v>80.011542153851906</v>
      </c>
      <c r="AM5439">
        <v>77.934943608987098</v>
      </c>
      <c r="AN5439">
        <v>1.00000008063414</v>
      </c>
    </row>
    <row r="5440" spans="1:40" x14ac:dyDescent="0.25">
      <c r="A5440" t="str">
        <f>"20190303162928235"</f>
        <v>20190303162928235</v>
      </c>
      <c r="B5440" t="str">
        <f>"1551601768227144"</f>
        <v>1551601768227144</v>
      </c>
      <c r="C5440" t="s">
        <v>40</v>
      </c>
      <c r="D5440">
        <v>4.9941870000000002</v>
      </c>
      <c r="E5440">
        <v>0.55311899999999903</v>
      </c>
      <c r="F5440" t="s">
        <v>42</v>
      </c>
      <c r="G5440">
        <v>-301.14269999999999</v>
      </c>
      <c r="H5440">
        <v>-0.05</v>
      </c>
      <c r="I5440">
        <v>7.3513950000000001</v>
      </c>
      <c r="J5440">
        <v>-327.35160000000002</v>
      </c>
      <c r="K5440">
        <v>1.119821</v>
      </c>
      <c r="L5440">
        <v>17.366610000000001</v>
      </c>
      <c r="M5440">
        <v>0.99949030000000005</v>
      </c>
      <c r="N5440">
        <v>-1.223193E-2</v>
      </c>
      <c r="O5440">
        <v>-2.9492250000000001E-2</v>
      </c>
      <c r="P5440">
        <v>0.95850709999999995</v>
      </c>
      <c r="Q5440">
        <v>0.16172020000000001</v>
      </c>
      <c r="R5440">
        <v>-0.23475779999999999</v>
      </c>
      <c r="S5440">
        <v>2.8843990000000002</v>
      </c>
      <c r="T5440">
        <v>-0.12786459999999999</v>
      </c>
      <c r="U5440">
        <v>-1.095337</v>
      </c>
      <c r="V5440">
        <v>0.20695279999999999</v>
      </c>
      <c r="W5440">
        <v>0.1728346</v>
      </c>
      <c r="X5440">
        <v>0.96296349999999997</v>
      </c>
      <c r="Y5440">
        <v>0.32692880000000002</v>
      </c>
      <c r="Z5440">
        <v>-8.1553619999999993E-3</v>
      </c>
      <c r="AA5440">
        <v>0.94501380000000001</v>
      </c>
      <c r="AB5440">
        <v>31</v>
      </c>
      <c r="AC5440">
        <v>26.2089</v>
      </c>
      <c r="AD5440">
        <v>-1.169821</v>
      </c>
      <c r="AE5440">
        <v>-10.015215</v>
      </c>
      <c r="AF5440">
        <v>9.2218095443905597</v>
      </c>
      <c r="AG5440">
        <v>-1.169821</v>
      </c>
      <c r="AH5440">
        <v>26.446915840084301</v>
      </c>
      <c r="AI5440">
        <v>92.3916545602073</v>
      </c>
      <c r="AJ5440">
        <v>70.776780855174906</v>
      </c>
      <c r="AK5440">
        <v>28.033009290790702</v>
      </c>
      <c r="AL5440">
        <v>80.047330042394904</v>
      </c>
      <c r="AM5440">
        <v>77.8709170919239</v>
      </c>
      <c r="AN5440">
        <v>0.999999981358624</v>
      </c>
    </row>
    <row r="5441" spans="1:40" x14ac:dyDescent="0.25">
      <c r="A5441" t="str">
        <f>"20190303162928251"</f>
        <v>20190303162928251</v>
      </c>
      <c r="B5441" t="str">
        <f>"1551601768247640"</f>
        <v>1551601768247640</v>
      </c>
      <c r="C5441" t="s">
        <v>40</v>
      </c>
      <c r="D5441">
        <v>5.0172369999999997</v>
      </c>
      <c r="E5441">
        <v>0.55418540000000005</v>
      </c>
      <c r="F5441" t="s">
        <v>42</v>
      </c>
      <c r="G5441">
        <v>-301.73520000000002</v>
      </c>
      <c r="H5441">
        <v>-0.05</v>
      </c>
      <c r="I5441">
        <v>7.5491330000000003</v>
      </c>
      <c r="J5441">
        <v>-327.13729999999998</v>
      </c>
      <c r="K5441">
        <v>1.1197809999999999</v>
      </c>
      <c r="L5441">
        <v>17.359100000000002</v>
      </c>
      <c r="M5441">
        <v>0.99945629999999996</v>
      </c>
      <c r="N5441">
        <v>-1.2230349999999999E-2</v>
      </c>
      <c r="O5441">
        <v>-3.062165E-2</v>
      </c>
      <c r="P5441">
        <v>0.95844940000000001</v>
      </c>
      <c r="Q5441">
        <v>0.1594679</v>
      </c>
      <c r="R5441">
        <v>-0.23652770000000001</v>
      </c>
      <c r="S5441">
        <v>2.8815919999999999</v>
      </c>
      <c r="T5441">
        <v>-0.1315933</v>
      </c>
      <c r="U5441">
        <v>-1.1043700000000001</v>
      </c>
      <c r="V5441">
        <v>0.2076373</v>
      </c>
      <c r="W5441">
        <v>0.1705671</v>
      </c>
      <c r="X5441">
        <v>0.96322050000000004</v>
      </c>
      <c r="Y5441">
        <v>0.32873200000000002</v>
      </c>
      <c r="Z5441">
        <v>-8.3403519999999901E-3</v>
      </c>
      <c r="AA5441">
        <v>0.94438639999999996</v>
      </c>
      <c r="AB5441">
        <v>31</v>
      </c>
      <c r="AC5441">
        <v>25.402099999999901</v>
      </c>
      <c r="AD5441">
        <v>-1.169781</v>
      </c>
      <c r="AE5441">
        <v>-9.8099670000000003</v>
      </c>
      <c r="AF5441">
        <v>9.0108247534446395</v>
      </c>
      <c r="AG5441">
        <v>-1.169781</v>
      </c>
      <c r="AH5441">
        <v>25.643282867363698</v>
      </c>
      <c r="AI5441">
        <v>92.464357935440205</v>
      </c>
      <c r="AJ5441">
        <v>70.638971950231095</v>
      </c>
      <c r="AK5441">
        <v>27.205538159368999</v>
      </c>
      <c r="AL5441">
        <v>80.179207497280004</v>
      </c>
      <c r="AM5441">
        <v>77.835143345081804</v>
      </c>
      <c r="AN5441">
        <v>1.0000000577869701</v>
      </c>
    </row>
    <row r="5442" spans="1:40" x14ac:dyDescent="0.25">
      <c r="A5442" t="str">
        <f>"20190303162928262"</f>
        <v>20190303162928262</v>
      </c>
      <c r="B5442" t="str">
        <f>"1551601768257401"</f>
        <v>1551601768257401</v>
      </c>
      <c r="C5442" t="s">
        <v>40</v>
      </c>
      <c r="D5442">
        <v>4.9704980000000001</v>
      </c>
      <c r="E5442">
        <v>0.55466930000000003</v>
      </c>
      <c r="F5442" t="s">
        <v>42</v>
      </c>
      <c r="G5442">
        <v>-303.71710000000002</v>
      </c>
      <c r="H5442">
        <v>-0.05</v>
      </c>
      <c r="I5442">
        <v>8.2741849999999992</v>
      </c>
      <c r="J5442">
        <v>-326.96899999999999</v>
      </c>
      <c r="K5442">
        <v>1.11975</v>
      </c>
      <c r="L5442">
        <v>17.353120000000001</v>
      </c>
      <c r="M5442">
        <v>0.99942830000000005</v>
      </c>
      <c r="N5442">
        <v>-1.2229220000000001E-2</v>
      </c>
      <c r="O5442">
        <v>-3.1521599999999997E-2</v>
      </c>
      <c r="P5442">
        <v>0.95842850000000002</v>
      </c>
      <c r="Q5442">
        <v>0.157949799999999</v>
      </c>
      <c r="R5442">
        <v>-0.23762810000000001</v>
      </c>
      <c r="S5442">
        <v>2.8784480000000001</v>
      </c>
      <c r="T5442">
        <v>-0.14377119999999999</v>
      </c>
      <c r="U5442">
        <v>-1.1165769999999999</v>
      </c>
      <c r="V5442">
        <v>0.2078728</v>
      </c>
      <c r="W5442">
        <v>0.16903840000000001</v>
      </c>
      <c r="X5442">
        <v>0.96343909999999999</v>
      </c>
      <c r="Y5442">
        <v>0.33164539999999998</v>
      </c>
      <c r="Z5442">
        <v>-8.9446999999999999E-3</v>
      </c>
      <c r="AA5442">
        <v>0.94336169999999997</v>
      </c>
      <c r="AB5442">
        <v>31</v>
      </c>
      <c r="AC5442">
        <v>23.2518999999999</v>
      </c>
      <c r="AD5442">
        <v>-1.1697500000000001</v>
      </c>
      <c r="AE5442">
        <v>-9.0789349999999995</v>
      </c>
      <c r="AF5442">
        <v>8.3231527443171203</v>
      </c>
      <c r="AG5442">
        <v>-1.1697500000000001</v>
      </c>
      <c r="AH5442">
        <v>23.474995228691501</v>
      </c>
      <c r="AI5442">
        <v>92.688921926775194</v>
      </c>
      <c r="AJ5442">
        <v>70.477836328472904</v>
      </c>
      <c r="AK5442">
        <v>24.934285384883701</v>
      </c>
      <c r="AL5442">
        <v>80.268085589936206</v>
      </c>
      <c r="AM5442">
        <v>77.824438427331401</v>
      </c>
      <c r="AN5442">
        <v>0.99999999053160504</v>
      </c>
    </row>
    <row r="5443" spans="1:40" x14ac:dyDescent="0.25">
      <c r="A5443" t="str">
        <f>"20190303162928274"</f>
        <v>20190303162928274</v>
      </c>
      <c r="B5443" t="str">
        <f>"1551601768267159"</f>
        <v>1551601768267159</v>
      </c>
      <c r="C5443" t="s">
        <v>40</v>
      </c>
      <c r="D5443">
        <v>4.9905660000000003</v>
      </c>
      <c r="E5443">
        <v>0.55512320000000004</v>
      </c>
      <c r="F5443" t="s">
        <v>42</v>
      </c>
      <c r="G5443">
        <v>-304.61739999999998</v>
      </c>
      <c r="H5443">
        <v>-0.05</v>
      </c>
      <c r="I5443">
        <v>8.6281739999999996</v>
      </c>
      <c r="J5443">
        <v>-326.80790000000002</v>
      </c>
      <c r="K5443">
        <v>1.119718</v>
      </c>
      <c r="L5443">
        <v>17.34714</v>
      </c>
      <c r="M5443">
        <v>0.99939990000000001</v>
      </c>
      <c r="N5443">
        <v>-1.222841E-2</v>
      </c>
      <c r="O5443">
        <v>-3.2408069999999997E-2</v>
      </c>
      <c r="P5443">
        <v>0.95853200000000005</v>
      </c>
      <c r="Q5443">
        <v>0.15624859999999999</v>
      </c>
      <c r="R5443">
        <v>-0.23833380000000001</v>
      </c>
      <c r="S5443">
        <v>2.8765559999999999</v>
      </c>
      <c r="T5443">
        <v>-0.15054200000000001</v>
      </c>
      <c r="U5443">
        <v>-1.1228640000000001</v>
      </c>
      <c r="V5443">
        <v>0.20772180000000001</v>
      </c>
      <c r="W5443">
        <v>0.16732939999999999</v>
      </c>
      <c r="X5443">
        <v>0.96377000000000002</v>
      </c>
      <c r="Y5443">
        <v>0.33277030000000002</v>
      </c>
      <c r="Z5443">
        <v>-9.2527340000000003E-3</v>
      </c>
      <c r="AA5443">
        <v>0.94296250000000004</v>
      </c>
      <c r="AB5443">
        <v>31</v>
      </c>
      <c r="AC5443">
        <v>22.1905</v>
      </c>
      <c r="AD5443">
        <v>-1.169718</v>
      </c>
      <c r="AE5443">
        <v>-8.7189659999999893</v>
      </c>
      <c r="AF5443">
        <v>7.9759820546825901</v>
      </c>
      <c r="AG5443">
        <v>-1.169718</v>
      </c>
      <c r="AH5443">
        <v>22.407492870300899</v>
      </c>
      <c r="AI5443">
        <v>92.815505211522705</v>
      </c>
      <c r="AJ5443">
        <v>70.406733740829793</v>
      </c>
      <c r="AK5443">
        <v>23.8134471815554</v>
      </c>
      <c r="AL5443">
        <v>80.367419549093498</v>
      </c>
      <c r="AM5443">
        <v>77.837072241200303</v>
      </c>
      <c r="AN5443">
        <v>1.00000004359979</v>
      </c>
    </row>
    <row r="5444" spans="1:40" x14ac:dyDescent="0.25">
      <c r="A5444" t="str">
        <f>"20190303162928285"</f>
        <v>20190303162928285</v>
      </c>
      <c r="B5444" t="str">
        <f>"1551601768276919"</f>
        <v>1551601768276919</v>
      </c>
      <c r="C5444" t="s">
        <v>40</v>
      </c>
      <c r="D5444">
        <v>4.969455</v>
      </c>
      <c r="E5444">
        <v>0.55552539999999995</v>
      </c>
      <c r="F5444" t="s">
        <v>42</v>
      </c>
      <c r="G5444">
        <v>-305.41160000000002</v>
      </c>
      <c r="H5444">
        <v>-0.05</v>
      </c>
      <c r="I5444">
        <v>8.9542079999999995</v>
      </c>
      <c r="J5444">
        <v>-326.65109999999999</v>
      </c>
      <c r="K5444">
        <v>1.1196790000000001</v>
      </c>
      <c r="L5444">
        <v>17.34122</v>
      </c>
      <c r="M5444">
        <v>0.99937140000000002</v>
      </c>
      <c r="N5444">
        <v>-1.222764E-2</v>
      </c>
      <c r="O5444">
        <v>-3.3276300000000002E-2</v>
      </c>
      <c r="P5444">
        <v>0.95869409999999999</v>
      </c>
      <c r="Q5444">
        <v>0.15429660000000001</v>
      </c>
      <c r="R5444">
        <v>-0.23895259999999999</v>
      </c>
      <c r="S5444">
        <v>2.875</v>
      </c>
      <c r="T5444">
        <v>-0.15717349999999999</v>
      </c>
      <c r="U5444">
        <v>-1.1277469999999901</v>
      </c>
      <c r="V5444">
        <v>0.20749809999999999</v>
      </c>
      <c r="W5444">
        <v>0.16537060000000001</v>
      </c>
      <c r="X5444">
        <v>0.96415620000000002</v>
      </c>
      <c r="Y5444">
        <v>0.33347490000000002</v>
      </c>
      <c r="Z5444">
        <v>-9.5398610000000002E-3</v>
      </c>
      <c r="AA5444">
        <v>0.94271070000000001</v>
      </c>
      <c r="AB5444">
        <v>31</v>
      </c>
      <c r="AC5444">
        <v>21.2394999999999</v>
      </c>
      <c r="AD5444">
        <v>-1.1696789999999999</v>
      </c>
      <c r="AE5444">
        <v>-8.3870120000000004</v>
      </c>
      <c r="AF5444">
        <v>7.6554560889932999</v>
      </c>
      <c r="AG5444">
        <v>-1.1696789999999999</v>
      </c>
      <c r="AH5444">
        <v>21.4505653995394</v>
      </c>
      <c r="AI5444">
        <v>92.939924018470805</v>
      </c>
      <c r="AJ5444">
        <v>70.359111503610393</v>
      </c>
      <c r="AK5444">
        <v>22.8057210553287</v>
      </c>
      <c r="AL5444">
        <v>80.481236313492204</v>
      </c>
      <c r="AM5444">
        <v>77.854503722003898</v>
      </c>
      <c r="AN5444">
        <v>1.0000000374232001</v>
      </c>
    </row>
    <row r="5445" spans="1:40" x14ac:dyDescent="0.25">
      <c r="A5445" t="str">
        <f>"20190303162928295"</f>
        <v>20190303162928295</v>
      </c>
      <c r="B5445" t="str">
        <f>"1551601768287656"</f>
        <v>1551601768287656</v>
      </c>
      <c r="C5445" t="s">
        <v>40</v>
      </c>
      <c r="D5445">
        <v>4.9536220000000002</v>
      </c>
      <c r="E5445">
        <v>0.55590010000000001</v>
      </c>
      <c r="F5445" t="s">
        <v>42</v>
      </c>
      <c r="G5445">
        <v>-306.28800000000001</v>
      </c>
      <c r="H5445">
        <v>-0.05</v>
      </c>
      <c r="I5445">
        <v>9.3193970000000004</v>
      </c>
      <c r="J5445">
        <v>-326.50810000000001</v>
      </c>
      <c r="K5445">
        <v>1.1196489999999999</v>
      </c>
      <c r="L5445">
        <v>17.335660000000001</v>
      </c>
      <c r="M5445">
        <v>0.99934429999999996</v>
      </c>
      <c r="N5445">
        <v>-1.2227109999999999E-2</v>
      </c>
      <c r="O5445">
        <v>-3.408489E-2</v>
      </c>
      <c r="P5445">
        <v>0.95885629999999999</v>
      </c>
      <c r="Q5445">
        <v>0.15246949999999901</v>
      </c>
      <c r="R5445">
        <v>-0.23947489999999999</v>
      </c>
      <c r="S5445">
        <v>2.8736570000000001</v>
      </c>
      <c r="T5445">
        <v>-0.1650665</v>
      </c>
      <c r="U5445">
        <v>-1.13205</v>
      </c>
      <c r="V5445">
        <v>0.2072341</v>
      </c>
      <c r="W5445">
        <v>0.1635385</v>
      </c>
      <c r="X5445">
        <v>0.96452539999999998</v>
      </c>
      <c r="Y5445">
        <v>0.3340379</v>
      </c>
      <c r="Z5445">
        <v>-9.8784519999999994E-3</v>
      </c>
      <c r="AA5445">
        <v>0.94250789999999995</v>
      </c>
      <c r="AB5445">
        <v>31</v>
      </c>
      <c r="AC5445">
        <v>20.220099999999999</v>
      </c>
      <c r="AD5445">
        <v>-1.1696489999999999</v>
      </c>
      <c r="AE5445">
        <v>-8.0162630000000004</v>
      </c>
      <c r="AF5445">
        <v>7.3012404246434501</v>
      </c>
      <c r="AG5445">
        <v>-1.1696489999999999</v>
      </c>
      <c r="AH5445">
        <v>20.422548068943399</v>
      </c>
      <c r="AI5445">
        <v>93.086947876033406</v>
      </c>
      <c r="AJ5445">
        <v>70.327583515134293</v>
      </c>
      <c r="AK5445">
        <v>21.719959948166402</v>
      </c>
      <c r="AL5445">
        <v>80.587656806930397</v>
      </c>
      <c r="AM5445">
        <v>77.874004381058398</v>
      </c>
      <c r="AN5445">
        <v>1.0000000302151</v>
      </c>
    </row>
    <row r="5446" spans="1:40" x14ac:dyDescent="0.25">
      <c r="A5446" t="str">
        <f>"20190303162928306"</f>
        <v>20190303162928306</v>
      </c>
      <c r="B5446" t="str">
        <f>"1551601768297416"</f>
        <v>1551601768297416</v>
      </c>
      <c r="C5446" t="s">
        <v>40</v>
      </c>
      <c r="D5446">
        <v>4.9566600000000003</v>
      </c>
      <c r="E5446">
        <v>0.55625179999999996</v>
      </c>
      <c r="F5446" t="s">
        <v>42</v>
      </c>
      <c r="G5446">
        <v>-306.9067</v>
      </c>
      <c r="H5446">
        <v>-0.05</v>
      </c>
      <c r="I5446">
        <v>9.5802610000000001</v>
      </c>
      <c r="J5446">
        <v>-326.35950000000003</v>
      </c>
      <c r="K5446">
        <v>1.119621</v>
      </c>
      <c r="L5446">
        <v>17.32977</v>
      </c>
      <c r="M5446">
        <v>0.99931499999999995</v>
      </c>
      <c r="N5446">
        <v>-1.2226559999999999E-2</v>
      </c>
      <c r="O5446">
        <v>-3.493127E-2</v>
      </c>
      <c r="P5446">
        <v>0.95903519999999998</v>
      </c>
      <c r="Q5446">
        <v>0.15084649999999999</v>
      </c>
      <c r="R5446">
        <v>-0.2397862</v>
      </c>
      <c r="S5446">
        <v>2.8721619999999999</v>
      </c>
      <c r="T5446">
        <v>-0.1713865</v>
      </c>
      <c r="U5446">
        <v>-1.1363829999999999</v>
      </c>
      <c r="V5446">
        <v>0.2067223</v>
      </c>
      <c r="W5446">
        <v>0.16191159999999999</v>
      </c>
      <c r="X5446">
        <v>0.96490960000000003</v>
      </c>
      <c r="Y5446">
        <v>0.33459850000000002</v>
      </c>
      <c r="Z5446">
        <v>-1.014311E-2</v>
      </c>
      <c r="AA5446">
        <v>0.94230619999999998</v>
      </c>
      <c r="AB5446">
        <v>31</v>
      </c>
      <c r="AC5446">
        <v>19.4528</v>
      </c>
      <c r="AD5446">
        <v>-1.169621</v>
      </c>
      <c r="AE5446">
        <v>-7.7495089999999998</v>
      </c>
      <c r="AF5446">
        <v>7.0432422569734898</v>
      </c>
      <c r="AG5446">
        <v>-1.169621</v>
      </c>
      <c r="AH5446">
        <v>19.6503379373593</v>
      </c>
      <c r="AI5446">
        <v>93.2069979883033</v>
      </c>
      <c r="AJ5446">
        <v>70.280870591417496</v>
      </c>
      <c r="AK5446">
        <v>20.907201051945801</v>
      </c>
      <c r="AL5446">
        <v>80.6821302872968</v>
      </c>
      <c r="AM5446">
        <v>77.907743370607605</v>
      </c>
      <c r="AN5446">
        <v>1.000000005852</v>
      </c>
    </row>
    <row r="5447" spans="1:40" x14ac:dyDescent="0.25">
      <c r="A5447" t="str">
        <f>"20190303162928316"</f>
        <v>20190303162928316</v>
      </c>
      <c r="B5447" t="str">
        <f>"1551601768307176"</f>
        <v>1551601768307176</v>
      </c>
      <c r="C5447" t="s">
        <v>40</v>
      </c>
      <c r="D5447">
        <v>4.961144</v>
      </c>
      <c r="E5447">
        <v>0.55655889999999997</v>
      </c>
      <c r="F5447" t="s">
        <v>42</v>
      </c>
      <c r="G5447">
        <v>-307.3723</v>
      </c>
      <c r="H5447">
        <v>-0.05</v>
      </c>
      <c r="I5447">
        <v>9.7921449999999997</v>
      </c>
      <c r="J5447">
        <v>-326.20949999999999</v>
      </c>
      <c r="K5447">
        <v>1.119594</v>
      </c>
      <c r="L5447">
        <v>17.32367</v>
      </c>
      <c r="M5447">
        <v>0.99928419999999896</v>
      </c>
      <c r="N5447">
        <v>-1.222605E-2</v>
      </c>
      <c r="O5447">
        <v>-3.5799449999999997E-2</v>
      </c>
      <c r="P5447">
        <v>0.95905410000000002</v>
      </c>
      <c r="Q5447">
        <v>0.14984749999999999</v>
      </c>
      <c r="R5447">
        <v>-0.24033499999999999</v>
      </c>
      <c r="S5447">
        <v>2.8710019999999998</v>
      </c>
      <c r="T5447">
        <v>-0.1768546</v>
      </c>
      <c r="U5447">
        <v>-1.13974</v>
      </c>
      <c r="V5447">
        <v>0.20643420000000001</v>
      </c>
      <c r="W5447">
        <v>0.16090599999999999</v>
      </c>
      <c r="X5447">
        <v>0.96513939999999998</v>
      </c>
      <c r="Y5447">
        <v>0.33482840000000003</v>
      </c>
      <c r="Z5447">
        <v>-1.035442E-2</v>
      </c>
      <c r="AA5447">
        <v>0.94222220000000001</v>
      </c>
      <c r="AB5447">
        <v>31</v>
      </c>
      <c r="AC5447">
        <v>18.837199999999999</v>
      </c>
      <c r="AD5447">
        <v>-1.169594</v>
      </c>
      <c r="AE5447">
        <v>-7.5315250000000002</v>
      </c>
      <c r="AF5447">
        <v>6.82958464734212</v>
      </c>
      <c r="AG5447">
        <v>-1.169594</v>
      </c>
      <c r="AH5447">
        <v>19.031511397597999</v>
      </c>
      <c r="AI5447">
        <v>93.310522366361099</v>
      </c>
      <c r="AJ5447">
        <v>70.259137380452898</v>
      </c>
      <c r="AK5447">
        <v>20.253631838683901</v>
      </c>
      <c r="AL5447">
        <v>80.740511844417995</v>
      </c>
      <c r="AM5447">
        <v>77.926891749499902</v>
      </c>
      <c r="AN5447">
        <v>0.99999994059899799</v>
      </c>
    </row>
    <row r="5448" spans="1:40" x14ac:dyDescent="0.25">
      <c r="A5448" t="str">
        <f>"20190303162928328"</f>
        <v>20190303162928328</v>
      </c>
      <c r="B5448" t="str">
        <f>"1551601768316936"</f>
        <v>1551601768316936</v>
      </c>
      <c r="C5448" t="s">
        <v>40</v>
      </c>
      <c r="D5448">
        <v>4.9594310000000004</v>
      </c>
      <c r="E5448">
        <v>0.55688660000000001</v>
      </c>
      <c r="F5448" t="s">
        <v>42</v>
      </c>
      <c r="G5448">
        <v>-307.58819999999997</v>
      </c>
      <c r="H5448">
        <v>-0.05</v>
      </c>
      <c r="I5448">
        <v>9.9044650000000001</v>
      </c>
      <c r="J5448">
        <v>-326.04770000000002</v>
      </c>
      <c r="K5448">
        <v>1.11957</v>
      </c>
      <c r="L5448">
        <v>17.316960000000002</v>
      </c>
      <c r="M5448">
        <v>0.99924999999999997</v>
      </c>
      <c r="N5448">
        <v>-1.222557E-2</v>
      </c>
      <c r="O5448">
        <v>-3.6744880000000001E-2</v>
      </c>
      <c r="P5448">
        <v>0.95901170000000002</v>
      </c>
      <c r="Q5448">
        <v>0.14865980000000001</v>
      </c>
      <c r="R5448">
        <v>-0.24124139999999999</v>
      </c>
      <c r="S5448">
        <v>2.86972</v>
      </c>
      <c r="T5448">
        <v>-0.18024580000000001</v>
      </c>
      <c r="U5448">
        <v>-1.1433719999999901</v>
      </c>
      <c r="V5448">
        <v>0.20642949999999999</v>
      </c>
      <c r="W5448">
        <v>0.15971050000000001</v>
      </c>
      <c r="X5448">
        <v>0.96533899999999995</v>
      </c>
      <c r="Y5448">
        <v>0.33508959999999999</v>
      </c>
      <c r="Z5448">
        <v>-1.0469559999999999E-2</v>
      </c>
      <c r="AA5448">
        <v>0.94212810000000002</v>
      </c>
      <c r="AB5448">
        <v>31</v>
      </c>
      <c r="AC5448">
        <v>18.459499999999998</v>
      </c>
      <c r="AD5448">
        <v>-1.16957</v>
      </c>
      <c r="AE5448">
        <v>-7.4124949999999998</v>
      </c>
      <c r="AF5448">
        <v>6.7059637744618499</v>
      </c>
      <c r="AG5448">
        <v>-1.16957</v>
      </c>
      <c r="AH5448">
        <v>18.6549351439098</v>
      </c>
      <c r="AI5448">
        <v>93.3764660305593</v>
      </c>
      <c r="AJ5448">
        <v>70.227809023290405</v>
      </c>
      <c r="AK5448">
        <v>19.8581078996156</v>
      </c>
      <c r="AL5448">
        <v>80.809906836321701</v>
      </c>
      <c r="AM5448">
        <v>77.929581609829597</v>
      </c>
      <c r="AN5448">
        <v>0.99999998360074904</v>
      </c>
    </row>
    <row r="5449" spans="1:40" x14ac:dyDescent="0.25">
      <c r="A5449" t="str">
        <f>"20190303162928339"</f>
        <v>20190303162928339</v>
      </c>
      <c r="B5449" t="str">
        <f>"1551601768327672"</f>
        <v>1551601768327672</v>
      </c>
      <c r="C5449" t="s">
        <v>40</v>
      </c>
      <c r="D5449">
        <v>4.9857230000000001</v>
      </c>
      <c r="E5449">
        <v>0.55716619999999994</v>
      </c>
      <c r="F5449" t="s">
        <v>42</v>
      </c>
      <c r="G5449">
        <v>-307.8467</v>
      </c>
      <c r="H5449">
        <v>-0.05</v>
      </c>
      <c r="I5449">
        <v>10.02933</v>
      </c>
      <c r="J5449">
        <v>-325.89179999999999</v>
      </c>
      <c r="K5449">
        <v>1.1195489999999999</v>
      </c>
      <c r="L5449">
        <v>17.31033</v>
      </c>
      <c r="M5449">
        <v>0.99921570000000004</v>
      </c>
      <c r="N5449">
        <v>-1.222519E-2</v>
      </c>
      <c r="O5449">
        <v>-3.7665009999999999E-2</v>
      </c>
      <c r="P5449">
        <v>0.95881479999999997</v>
      </c>
      <c r="Q5449">
        <v>0.1479818</v>
      </c>
      <c r="R5449">
        <v>-0.24243729999999999</v>
      </c>
      <c r="S5449">
        <v>2.8678590000000002</v>
      </c>
      <c r="T5449">
        <v>-0.1842848</v>
      </c>
      <c r="U5449">
        <v>-1.148285</v>
      </c>
      <c r="V5449">
        <v>0.2067455</v>
      </c>
      <c r="W5449">
        <v>0.15902269999999999</v>
      </c>
      <c r="X5449">
        <v>0.96538500000000005</v>
      </c>
      <c r="Y5449">
        <v>0.33579740000000002</v>
      </c>
      <c r="Z5449">
        <v>-1.063005E-2</v>
      </c>
      <c r="AA5449">
        <v>0.94187430000000005</v>
      </c>
      <c r="AB5449">
        <v>31</v>
      </c>
      <c r="AC5449">
        <v>18.045099999999898</v>
      </c>
      <c r="AD5449">
        <v>-1.1695489999999999</v>
      </c>
      <c r="AE5449">
        <v>-7.2809999999999997</v>
      </c>
      <c r="AF5449">
        <v>6.5723702510523703</v>
      </c>
      <c r="AG5449">
        <v>-1.1695489999999999</v>
      </c>
      <c r="AH5449">
        <v>18.240658092364601</v>
      </c>
      <c r="AI5449">
        <v>93.451983939745006</v>
      </c>
      <c r="AJ5449">
        <v>70.185182428851604</v>
      </c>
      <c r="AK5449">
        <v>19.423838529571501</v>
      </c>
      <c r="AL5449">
        <v>80.849825751799699</v>
      </c>
      <c r="AM5449">
        <v>77.912206473469297</v>
      </c>
      <c r="AN5449">
        <v>1.0000000595552601</v>
      </c>
    </row>
    <row r="5450" spans="1:40" x14ac:dyDescent="0.25">
      <c r="A5450" t="str">
        <f>"20190303162928351"</f>
        <v>20190303162928351</v>
      </c>
      <c r="B5450" t="str">
        <f>"1551601768347192"</f>
        <v>1551601768347192</v>
      </c>
      <c r="C5450" t="s">
        <v>40</v>
      </c>
      <c r="D5450">
        <v>4.9778779999999996</v>
      </c>
      <c r="E5450">
        <v>0.55780319999999906</v>
      </c>
      <c r="F5450" t="s">
        <v>42</v>
      </c>
      <c r="G5450">
        <v>-307.9239</v>
      </c>
      <c r="H5450">
        <v>-0.05</v>
      </c>
      <c r="I5450">
        <v>10.07939</v>
      </c>
      <c r="J5450">
        <v>-325.73250000000002</v>
      </c>
      <c r="K5450">
        <v>1.1195219999999999</v>
      </c>
      <c r="L5450">
        <v>17.303379999999901</v>
      </c>
      <c r="M5450">
        <v>0.99917940000000005</v>
      </c>
      <c r="N5450">
        <v>-1.2223039999999999E-2</v>
      </c>
      <c r="O5450">
        <v>-3.8616570000000003E-2</v>
      </c>
      <c r="P5450">
        <v>0.95857800000000004</v>
      </c>
      <c r="Q5450">
        <v>0.1471838</v>
      </c>
      <c r="R5450">
        <v>-0.24385499999999999</v>
      </c>
      <c r="S5450">
        <v>2.8659970000000001</v>
      </c>
      <c r="T5450">
        <v>-0.18655070000000001</v>
      </c>
      <c r="U5450">
        <v>-1.153381</v>
      </c>
      <c r="V5450">
        <v>0.20725350000000001</v>
      </c>
      <c r="W5450">
        <v>0.15821299999999999</v>
      </c>
      <c r="X5450">
        <v>0.96540899999999996</v>
      </c>
      <c r="Y5450">
        <v>0.33653830000000001</v>
      </c>
      <c r="Z5450">
        <v>-1.0711210000000001E-2</v>
      </c>
      <c r="AA5450">
        <v>0.94160889999999997</v>
      </c>
      <c r="AB5450">
        <v>31</v>
      </c>
      <c r="AC5450">
        <v>17.808599999999998</v>
      </c>
      <c r="AD5450">
        <v>-1.169522</v>
      </c>
      <c r="AE5450">
        <v>-7.2239899999999899</v>
      </c>
      <c r="AF5450">
        <v>6.5067454278290899</v>
      </c>
      <c r="AG5450">
        <v>-1.169522</v>
      </c>
      <c r="AH5450">
        <v>18.007611934952301</v>
      </c>
      <c r="AI5450">
        <v>93.495333076069201</v>
      </c>
      <c r="AJ5450">
        <v>70.133536945419806</v>
      </c>
      <c r="AK5450">
        <v>19.182794514118498</v>
      </c>
      <c r="AL5450">
        <v>80.896812011339804</v>
      </c>
      <c r="AM5450">
        <v>77.883674157976898</v>
      </c>
      <c r="AN5450">
        <v>0.99999995195612301</v>
      </c>
    </row>
    <row r="5451" spans="1:40" x14ac:dyDescent="0.25">
      <c r="A5451" t="str">
        <f>"20190303162928362"</f>
        <v>20190303162928362</v>
      </c>
      <c r="B5451" t="str">
        <f>"1551601768357928"</f>
        <v>1551601768357928</v>
      </c>
      <c r="C5451" t="s">
        <v>40</v>
      </c>
      <c r="D5451">
        <v>4.9517509999999998</v>
      </c>
      <c r="E5451">
        <v>0.55812539999999999</v>
      </c>
      <c r="F5451" t="s">
        <v>42</v>
      </c>
      <c r="G5451">
        <v>-307.9187</v>
      </c>
      <c r="H5451">
        <v>-0.05</v>
      </c>
      <c r="I5451">
        <v>10.0723</v>
      </c>
      <c r="J5451">
        <v>-325.56049999999999</v>
      </c>
      <c r="K5451">
        <v>1.1195010000000001</v>
      </c>
      <c r="L5451">
        <v>17.295780000000001</v>
      </c>
      <c r="M5451">
        <v>0.999139</v>
      </c>
      <c r="N5451">
        <v>-1.2219829999999999E-2</v>
      </c>
      <c r="O5451">
        <v>-3.964931E-2</v>
      </c>
      <c r="P5451">
        <v>0.95828020000000003</v>
      </c>
      <c r="Q5451">
        <v>0.1461363</v>
      </c>
      <c r="R5451">
        <v>-0.24564929999999999</v>
      </c>
      <c r="S5451">
        <v>2.862854</v>
      </c>
      <c r="T5451">
        <v>-0.18795429999999999</v>
      </c>
      <c r="U5451">
        <v>-1.1621090000000001</v>
      </c>
      <c r="V5451">
        <v>0.20806050000000001</v>
      </c>
      <c r="W5451">
        <v>0.15715109999999999</v>
      </c>
      <c r="X5451">
        <v>0.96540890000000001</v>
      </c>
      <c r="Y5451">
        <v>0.33837719999999999</v>
      </c>
      <c r="Z5451">
        <v>-1.079337E-2</v>
      </c>
      <c r="AA5451">
        <v>0.94094869999999997</v>
      </c>
      <c r="AB5451">
        <v>31</v>
      </c>
      <c r="AC5451">
        <v>17.6417999999999</v>
      </c>
      <c r="AD5451">
        <v>-1.1695009999999999</v>
      </c>
      <c r="AE5451">
        <v>-7.2234800000000003</v>
      </c>
      <c r="AF5451">
        <v>6.493821561111</v>
      </c>
      <c r="AG5451">
        <v>-1.1695009999999999</v>
      </c>
      <c r="AH5451">
        <v>17.847183321878202</v>
      </c>
      <c r="AI5451">
        <v>93.523766551475006</v>
      </c>
      <c r="AJ5451">
        <v>70.005732014365506</v>
      </c>
      <c r="AK5451">
        <v>19.0278586178602</v>
      </c>
      <c r="AL5451">
        <v>80.9584255561643</v>
      </c>
      <c r="AM5451">
        <v>77.837896464040298</v>
      </c>
      <c r="AN5451">
        <v>0.99999999204533496</v>
      </c>
    </row>
    <row r="5452" spans="1:40" x14ac:dyDescent="0.25">
      <c r="A5452" t="str">
        <f>"20190303162928373"</f>
        <v>20190303162928373</v>
      </c>
      <c r="B5452" t="str">
        <f>"1551601768367688"</f>
        <v>1551601768367688</v>
      </c>
      <c r="C5452" t="s">
        <v>40</v>
      </c>
      <c r="D5452">
        <v>4.9445180000000004</v>
      </c>
      <c r="E5452">
        <v>0.55842729999999996</v>
      </c>
      <c r="F5452" t="s">
        <v>42</v>
      </c>
      <c r="G5452">
        <v>-308.04590000000002</v>
      </c>
      <c r="H5452">
        <v>-0.05</v>
      </c>
      <c r="I5452">
        <v>10.13472</v>
      </c>
      <c r="J5452">
        <v>-325.40620000000001</v>
      </c>
      <c r="K5452">
        <v>1.1194820000000001</v>
      </c>
      <c r="L5452">
        <v>17.28867</v>
      </c>
      <c r="M5452">
        <v>0.99910140000000003</v>
      </c>
      <c r="N5452">
        <v>-1.2215169999999999E-2</v>
      </c>
      <c r="O5452">
        <v>-4.0589100000000003E-2</v>
      </c>
      <c r="P5452">
        <v>0.95793410000000001</v>
      </c>
      <c r="Q5452">
        <v>0.14529029999999901</v>
      </c>
      <c r="R5452">
        <v>-0.24749479999999999</v>
      </c>
      <c r="S5452">
        <v>2.859985</v>
      </c>
      <c r="T5452">
        <v>-0.1909699</v>
      </c>
      <c r="U5452">
        <v>-1.1693420000000001</v>
      </c>
      <c r="V5452">
        <v>0.20901030000000001</v>
      </c>
      <c r="W5452">
        <v>0.15628929999999999</v>
      </c>
      <c r="X5452">
        <v>0.96534370000000003</v>
      </c>
      <c r="Y5452">
        <v>0.33983849999999999</v>
      </c>
      <c r="Z5452">
        <v>-1.093535E-2</v>
      </c>
      <c r="AA5452">
        <v>0.94042020000000004</v>
      </c>
      <c r="AB5452">
        <v>31</v>
      </c>
      <c r="AC5452">
        <v>17.360299999999899</v>
      </c>
      <c r="AD5452">
        <v>-1.1694819999999999</v>
      </c>
      <c r="AE5452">
        <v>-7.15395</v>
      </c>
      <c r="AF5452">
        <v>6.4184630382229804</v>
      </c>
      <c r="AG5452">
        <v>-1.1694819999999999</v>
      </c>
      <c r="AH5452">
        <v>17.568232915620701</v>
      </c>
      <c r="AI5452">
        <v>93.577805849666902</v>
      </c>
      <c r="AJ5452">
        <v>69.930485294646104</v>
      </c>
      <c r="AK5452">
        <v>18.740521969754699</v>
      </c>
      <c r="AL5452">
        <v>81.008421421218202</v>
      </c>
      <c r="AM5452">
        <v>77.783239661674997</v>
      </c>
      <c r="AN5452">
        <v>1.00000005496513</v>
      </c>
    </row>
    <row r="5453" spans="1:40" x14ac:dyDescent="0.25">
      <c r="A5453" t="str">
        <f>"20190303162928385"</f>
        <v>20190303162928385</v>
      </c>
      <c r="B5453" t="str">
        <f>"1551601768377447"</f>
        <v>1551601768377447</v>
      </c>
      <c r="C5453" t="s">
        <v>40</v>
      </c>
      <c r="D5453">
        <v>4.957935</v>
      </c>
      <c r="E5453">
        <v>0.55872509999999997</v>
      </c>
      <c r="F5453" t="s">
        <v>42</v>
      </c>
      <c r="G5453">
        <v>-308.10649999999998</v>
      </c>
      <c r="H5453">
        <v>-0.05</v>
      </c>
      <c r="I5453">
        <v>10.162190000000001</v>
      </c>
      <c r="J5453">
        <v>-325.25229999999999</v>
      </c>
      <c r="K5453">
        <v>1.1194660000000001</v>
      </c>
      <c r="L5453">
        <v>17.28152</v>
      </c>
      <c r="M5453">
        <v>0.99906280000000003</v>
      </c>
      <c r="N5453">
        <v>-1.221043E-2</v>
      </c>
      <c r="O5453">
        <v>-4.152745E-2</v>
      </c>
      <c r="P5453">
        <v>0.95754220000000001</v>
      </c>
      <c r="Q5453">
        <v>0.14435249999999999</v>
      </c>
      <c r="R5453">
        <v>-0.2495503</v>
      </c>
      <c r="S5453">
        <v>2.8569640000000001</v>
      </c>
      <c r="T5453">
        <v>-0.19313540000000001</v>
      </c>
      <c r="U5453">
        <v>-1.1769099999999999</v>
      </c>
      <c r="V5453">
        <v>0.2101731</v>
      </c>
      <c r="W5453">
        <v>0.155335</v>
      </c>
      <c r="X5453">
        <v>0.96524520000000003</v>
      </c>
      <c r="Y5453">
        <v>0.34141739999999998</v>
      </c>
      <c r="Z5453">
        <v>-1.1045050000000001E-2</v>
      </c>
      <c r="AA5453">
        <v>0.93984690000000004</v>
      </c>
      <c r="AB5453">
        <v>31</v>
      </c>
      <c r="AC5453">
        <v>17.145800000000001</v>
      </c>
      <c r="AD5453">
        <v>-1.1694659999999999</v>
      </c>
      <c r="AE5453">
        <v>-7.1193299999999997</v>
      </c>
      <c r="AF5453">
        <v>6.37581356676447</v>
      </c>
      <c r="AG5453">
        <v>-1.1694659999999999</v>
      </c>
      <c r="AH5453">
        <v>17.357799754559998</v>
      </c>
      <c r="AI5453">
        <v>93.6187168262135</v>
      </c>
      <c r="AJ5453">
        <v>69.830861984913696</v>
      </c>
      <c r="AK5453">
        <v>18.528676738577399</v>
      </c>
      <c r="AL5453">
        <v>81.063774291500195</v>
      </c>
      <c r="AM5453">
        <v>77.716115855793902</v>
      </c>
      <c r="AN5453">
        <v>0.99999999515582505</v>
      </c>
    </row>
    <row r="5454" spans="1:40" x14ac:dyDescent="0.25">
      <c r="A5454" t="str">
        <f>"20190303162928396"</f>
        <v>20190303162928396</v>
      </c>
      <c r="B5454" t="str">
        <f>"1551601768387207"</f>
        <v>1551601768387207</v>
      </c>
      <c r="C5454" t="s">
        <v>40</v>
      </c>
      <c r="D5454">
        <v>4.9617570000000004</v>
      </c>
      <c r="E5454">
        <v>0.55901129999999999</v>
      </c>
      <c r="F5454" t="s">
        <v>42</v>
      </c>
      <c r="G5454">
        <v>-308.21080000000001</v>
      </c>
      <c r="H5454">
        <v>-0.05</v>
      </c>
      <c r="I5454">
        <v>10.206440000000001</v>
      </c>
      <c r="J5454">
        <v>-325.08629999999999</v>
      </c>
      <c r="K5454">
        <v>1.119448</v>
      </c>
      <c r="L5454">
        <v>17.273620000000001</v>
      </c>
      <c r="M5454">
        <v>0.99901980000000001</v>
      </c>
      <c r="N5454">
        <v>-1.220504E-2</v>
      </c>
      <c r="O5454">
        <v>-4.2549469999999999E-2</v>
      </c>
      <c r="P5454">
        <v>0.95697089999999996</v>
      </c>
      <c r="Q5454">
        <v>0.1439011</v>
      </c>
      <c r="R5454">
        <v>-0.2519904</v>
      </c>
      <c r="S5454">
        <v>2.8538209999999999</v>
      </c>
      <c r="T5454">
        <v>-0.1958423</v>
      </c>
      <c r="U5454">
        <v>-1.184814</v>
      </c>
      <c r="V5454">
        <v>0.21164839999999999</v>
      </c>
      <c r="W5454">
        <v>0.15486349999999999</v>
      </c>
      <c r="X5454">
        <v>0.96499860000000004</v>
      </c>
      <c r="Y5454">
        <v>0.34302100000000002</v>
      </c>
      <c r="Z5454">
        <v>-1.117457E-2</v>
      </c>
      <c r="AA5454">
        <v>0.93926129999999997</v>
      </c>
      <c r="AB5454">
        <v>31</v>
      </c>
      <c r="AC5454">
        <v>16.875499999999899</v>
      </c>
      <c r="AD5454">
        <v>-1.169448</v>
      </c>
      <c r="AE5454">
        <v>-7.0671799999999996</v>
      </c>
      <c r="AF5454">
        <v>6.3168725796734702</v>
      </c>
      <c r="AG5454">
        <v>-1.169448</v>
      </c>
      <c r="AH5454">
        <v>17.091111993574501</v>
      </c>
      <c r="AI5454">
        <v>93.672259600450602</v>
      </c>
      <c r="AJ5454">
        <v>69.715694630799902</v>
      </c>
      <c r="AK5454">
        <v>18.258603369081701</v>
      </c>
      <c r="AL5454">
        <v>81.091120421247794</v>
      </c>
      <c r="AM5454">
        <v>77.629471258312194</v>
      </c>
      <c r="AN5454">
        <v>1.0000000234283799</v>
      </c>
    </row>
    <row r="5455" spans="1:40" x14ac:dyDescent="0.25">
      <c r="A5455" t="str">
        <f>"20190303162928409"</f>
        <v>20190303162928409</v>
      </c>
      <c r="B5455" t="str">
        <f>"1551601768396968"</f>
        <v>1551601768396968</v>
      </c>
      <c r="C5455" t="s">
        <v>40</v>
      </c>
      <c r="D5455">
        <v>4.9500999999999999</v>
      </c>
      <c r="E5455">
        <v>0.55933310000000003</v>
      </c>
      <c r="F5455" t="s">
        <v>42</v>
      </c>
      <c r="G5455">
        <v>-308.14440000000002</v>
      </c>
      <c r="H5455">
        <v>-0.05</v>
      </c>
      <c r="I5455">
        <v>10.17896</v>
      </c>
      <c r="J5455">
        <v>-324.91539999999998</v>
      </c>
      <c r="K5455">
        <v>1.119432</v>
      </c>
      <c r="L5455">
        <v>17.26529</v>
      </c>
      <c r="M5455">
        <v>0.99897429999999998</v>
      </c>
      <c r="N5455">
        <v>-1.2199659999999999E-2</v>
      </c>
      <c r="O5455">
        <v>-4.3607609999999998E-2</v>
      </c>
      <c r="P5455">
        <v>0.95635400000000004</v>
      </c>
      <c r="Q5455">
        <v>0.14358189999999901</v>
      </c>
      <c r="R5455">
        <v>-0.25450240000000002</v>
      </c>
      <c r="S5455">
        <v>2.8501590000000001</v>
      </c>
      <c r="T5455">
        <v>-0.19673740000000001</v>
      </c>
      <c r="U5455">
        <v>-1.1935420000000001</v>
      </c>
      <c r="V5455">
        <v>0.21316399999999999</v>
      </c>
      <c r="W5455">
        <v>0.1545233</v>
      </c>
      <c r="X5455">
        <v>0.96471949999999995</v>
      </c>
      <c r="Y5455">
        <v>0.3448928</v>
      </c>
      <c r="Z5455">
        <v>-1.12351E-2</v>
      </c>
      <c r="AA5455">
        <v>0.93857489999999999</v>
      </c>
      <c r="AB5455">
        <v>31</v>
      </c>
      <c r="AC5455">
        <v>16.770999999999901</v>
      </c>
      <c r="AD5455">
        <v>-1.169432</v>
      </c>
      <c r="AE5455">
        <v>-7.0863300000000002</v>
      </c>
      <c r="AF5455">
        <v>6.3221077863070496</v>
      </c>
      <c r="AG5455">
        <v>-1.169432</v>
      </c>
      <c r="AH5455">
        <v>16.993974173589301</v>
      </c>
      <c r="AI5455">
        <v>93.690236858911007</v>
      </c>
      <c r="AJ5455">
        <v>69.593764171629502</v>
      </c>
      <c r="AK5455">
        <v>18.1695287852197</v>
      </c>
      <c r="AL5455">
        <v>81.110849974310199</v>
      </c>
      <c r="AM5455">
        <v>77.540151219153998</v>
      </c>
      <c r="AN5455">
        <v>1.00000002740956</v>
      </c>
    </row>
    <row r="5456" spans="1:40" x14ac:dyDescent="0.25">
      <c r="A5456" t="str">
        <f>"20190303162928420"</f>
        <v>20190303162928420</v>
      </c>
      <c r="B5456" t="str">
        <f>"1551601768407703"</f>
        <v>1551601768407703</v>
      </c>
      <c r="C5456" t="s">
        <v>40</v>
      </c>
      <c r="D5456">
        <v>4.9798260000000001</v>
      </c>
      <c r="E5456">
        <v>0.5596679</v>
      </c>
      <c r="F5456" t="s">
        <v>42</v>
      </c>
      <c r="G5456">
        <v>-308.04340000000002</v>
      </c>
      <c r="H5456">
        <v>-0.05</v>
      </c>
      <c r="I5456">
        <v>10.13461</v>
      </c>
      <c r="J5456">
        <v>-324.75259999999997</v>
      </c>
      <c r="K5456">
        <v>1.1194200000000001</v>
      </c>
      <c r="L5456">
        <v>17.257200000000001</v>
      </c>
      <c r="M5456">
        <v>0.99892959999999997</v>
      </c>
      <c r="N5456">
        <v>-1.2194699999999999E-2</v>
      </c>
      <c r="O5456">
        <v>-4.4622000000000002E-2</v>
      </c>
      <c r="P5456">
        <v>0.95570829999999996</v>
      </c>
      <c r="Q5456">
        <v>0.14330860000000001</v>
      </c>
      <c r="R5456">
        <v>-0.2570693</v>
      </c>
      <c r="S5456">
        <v>2.8463750000000001</v>
      </c>
      <c r="T5456">
        <v>-0.19728789999999999</v>
      </c>
      <c r="U5456">
        <v>-1.2029719999999999</v>
      </c>
      <c r="V5456">
        <v>0.21477859999999999</v>
      </c>
      <c r="W5456">
        <v>0.1542289</v>
      </c>
      <c r="X5456">
        <v>0.96440840000000005</v>
      </c>
      <c r="Y5456">
        <v>0.34701670000000001</v>
      </c>
      <c r="Z5456">
        <v>-1.129311E-2</v>
      </c>
      <c r="AA5456">
        <v>0.93779089999999998</v>
      </c>
      <c r="AB5456">
        <v>31</v>
      </c>
      <c r="AC5456">
        <v>16.7091999999999</v>
      </c>
      <c r="AD5456">
        <v>-1.1694199999999999</v>
      </c>
      <c r="AE5456">
        <v>-7.1225899999999998</v>
      </c>
      <c r="AF5456">
        <v>6.3435473456646703</v>
      </c>
      <c r="AG5456">
        <v>-1.1694199999999999</v>
      </c>
      <c r="AH5456">
        <v>16.9401855217702</v>
      </c>
      <c r="AI5456">
        <v>93.6989257278982</v>
      </c>
      <c r="AJ5456">
        <v>69.470712633025201</v>
      </c>
      <c r="AK5456">
        <v>18.126721203104601</v>
      </c>
      <c r="AL5456">
        <v>81.127922101972104</v>
      </c>
      <c r="AM5456">
        <v>77.444834014365597</v>
      </c>
      <c r="AN5456">
        <v>0.99999998130186396</v>
      </c>
    </row>
    <row r="5457" spans="1:40" x14ac:dyDescent="0.25">
      <c r="A5457" t="str">
        <f>"20190303162928432"</f>
        <v>20190303162928432</v>
      </c>
      <c r="B5457" t="str">
        <f>"1551601768427223"</f>
        <v>1551601768427223</v>
      </c>
      <c r="C5457" t="s">
        <v>40</v>
      </c>
      <c r="D5457">
        <v>4.9744609999999998</v>
      </c>
      <c r="E5457">
        <v>0.56024799999999997</v>
      </c>
      <c r="F5457" t="s">
        <v>42</v>
      </c>
      <c r="G5457">
        <v>-307.916</v>
      </c>
      <c r="H5457">
        <v>-0.05</v>
      </c>
      <c r="I5457">
        <v>10.07382</v>
      </c>
      <c r="J5457">
        <v>-324.59539999999998</v>
      </c>
      <c r="K5457">
        <v>1.1194059999999999</v>
      </c>
      <c r="L5457">
        <v>17.249179999999999</v>
      </c>
      <c r="M5457">
        <v>0.99888500000000002</v>
      </c>
      <c r="N5457">
        <v>-1.2190060000000001E-2</v>
      </c>
      <c r="O5457">
        <v>-4.5612819999999998E-2</v>
      </c>
      <c r="P5457">
        <v>0.95497509999999997</v>
      </c>
      <c r="Q5457">
        <v>0.14349990000000001</v>
      </c>
      <c r="R5457">
        <v>-0.25967420000000002</v>
      </c>
      <c r="S5457">
        <v>2.842438</v>
      </c>
      <c r="T5457">
        <v>-0.19742799999999999</v>
      </c>
      <c r="U5457">
        <v>-1.2127380000000001</v>
      </c>
      <c r="V5457">
        <v>0.2164613</v>
      </c>
      <c r="W5457">
        <v>0.15439710000000001</v>
      </c>
      <c r="X5457">
        <v>0.96400520000000001</v>
      </c>
      <c r="Y5457">
        <v>0.3492748</v>
      </c>
      <c r="Z5457">
        <v>-1.1340279999999999E-2</v>
      </c>
      <c r="AA5457">
        <v>0.93695170000000005</v>
      </c>
      <c r="AB5457">
        <v>31</v>
      </c>
      <c r="AC5457">
        <v>16.679399999999902</v>
      </c>
      <c r="AD5457">
        <v>-1.1694059999999999</v>
      </c>
      <c r="AE5457">
        <v>-7.1753600000000004</v>
      </c>
      <c r="AF5457">
        <v>6.3805739498619198</v>
      </c>
      <c r="AG5457">
        <v>-1.1694059999999999</v>
      </c>
      <c r="AH5457">
        <v>16.919171197111101</v>
      </c>
      <c r="AI5457">
        <v>93.700237319428695</v>
      </c>
      <c r="AJ5457">
        <v>69.337489654945003</v>
      </c>
      <c r="AK5457">
        <v>18.120087977701601</v>
      </c>
      <c r="AL5457">
        <v>81.118168216658702</v>
      </c>
      <c r="AM5457">
        <v>77.344502919909601</v>
      </c>
      <c r="AN5457">
        <v>0.99999999225656999</v>
      </c>
    </row>
    <row r="5458" spans="1:40" x14ac:dyDescent="0.25">
      <c r="A5458" t="str">
        <f>"20190303162928442"</f>
        <v>20190303162928442</v>
      </c>
      <c r="B5458" t="str">
        <f>"1551601768437960"</f>
        <v>1551601768437960</v>
      </c>
      <c r="C5458" t="s">
        <v>40</v>
      </c>
      <c r="D5458">
        <v>4.9975420000000002</v>
      </c>
      <c r="E5458">
        <v>0.56024799999999997</v>
      </c>
      <c r="F5458" t="s">
        <v>42</v>
      </c>
      <c r="G5458">
        <v>-307.60849999999999</v>
      </c>
      <c r="H5458">
        <v>-0.05</v>
      </c>
      <c r="I5458">
        <v>9.9187159999999999</v>
      </c>
      <c r="J5458">
        <v>-324.44290000000001</v>
      </c>
      <c r="K5458">
        <v>1.1193919999999999</v>
      </c>
      <c r="L5458">
        <v>17.241329999999898</v>
      </c>
      <c r="M5458">
        <v>0.99884050000000002</v>
      </c>
      <c r="N5458">
        <v>-1.218555E-2</v>
      </c>
      <c r="O5458">
        <v>-4.6578130000000002E-2</v>
      </c>
      <c r="P5458">
        <v>0.9541174</v>
      </c>
      <c r="Q5458">
        <v>0.14391870000000001</v>
      </c>
      <c r="R5458">
        <v>-0.26258019999999999</v>
      </c>
      <c r="S5458">
        <v>2.837799</v>
      </c>
      <c r="T5458">
        <v>-0.1953579</v>
      </c>
      <c r="U5458">
        <v>-1.2246090000000001</v>
      </c>
      <c r="V5458">
        <v>0.21847710000000001</v>
      </c>
      <c r="W5458">
        <v>0.1547905</v>
      </c>
      <c r="X5458">
        <v>0.96348730000000005</v>
      </c>
      <c r="Y5458">
        <v>0.35223789999999999</v>
      </c>
      <c r="Z5458">
        <v>-1.1321410000000001E-2</v>
      </c>
      <c r="AA5458">
        <v>0.93584199999999995</v>
      </c>
      <c r="AB5458">
        <v>31</v>
      </c>
      <c r="AC5458">
        <v>16.834399999999999</v>
      </c>
      <c r="AD5458">
        <v>-1.169392</v>
      </c>
      <c r="AE5458">
        <v>-7.32261399999999</v>
      </c>
      <c r="AF5458">
        <v>6.5041013292208802</v>
      </c>
      <c r="AG5458">
        <v>-1.169392</v>
      </c>
      <c r="AH5458">
        <v>17.087889457668801</v>
      </c>
      <c r="AI5458">
        <v>93.659518038322304</v>
      </c>
      <c r="AJ5458">
        <v>69.161855552378796</v>
      </c>
      <c r="AK5458">
        <v>18.321211146317399</v>
      </c>
      <c r="AL5458">
        <v>81.095354389525298</v>
      </c>
      <c r="AM5458">
        <v>77.223856774788302</v>
      </c>
      <c r="AN5458">
        <v>1.0000000596879699</v>
      </c>
    </row>
    <row r="5459" spans="1:40" x14ac:dyDescent="0.25">
      <c r="A5459" t="str">
        <f>"20190303162928501"</f>
        <v>20190303162928501</v>
      </c>
      <c r="B5459" t="str">
        <f>"1551601768497496"</f>
        <v>1551601768497496</v>
      </c>
      <c r="C5459" t="s">
        <v>40</v>
      </c>
      <c r="D5459">
        <v>5.3151580000000003</v>
      </c>
      <c r="E5459">
        <v>0.58150740000000001</v>
      </c>
      <c r="F5459" t="s">
        <v>42</v>
      </c>
      <c r="G5459">
        <v>-307.41129999999998</v>
      </c>
      <c r="H5459">
        <v>-0.05</v>
      </c>
      <c r="I5459">
        <v>9.8343659999999993</v>
      </c>
      <c r="J5459">
        <v>-323.63479999999998</v>
      </c>
      <c r="K5459">
        <v>1.1192470000000001</v>
      </c>
      <c r="L5459">
        <v>17.196719999999999</v>
      </c>
      <c r="M5459">
        <v>0.99857320000000005</v>
      </c>
      <c r="N5459">
        <v>-1.2167600000000001E-2</v>
      </c>
      <c r="O5459">
        <v>-5.199492E-2</v>
      </c>
      <c r="P5459">
        <v>0.9521965</v>
      </c>
      <c r="Q5459">
        <v>0.14385889999999901</v>
      </c>
      <c r="R5459">
        <v>-0.2694935</v>
      </c>
      <c r="S5459">
        <v>2.834381</v>
      </c>
      <c r="T5459">
        <v>-0.19460959999999999</v>
      </c>
      <c r="U5459">
        <v>-1.232666</v>
      </c>
      <c r="V5459">
        <v>0.2202953</v>
      </c>
      <c r="W5459">
        <v>0.1546256</v>
      </c>
      <c r="X5459">
        <v>0.9630997</v>
      </c>
      <c r="Y5459">
        <v>0.34983009999999998</v>
      </c>
      <c r="Z5459">
        <v>-1.0906290000000001E-2</v>
      </c>
      <c r="AA5459">
        <v>0.93674970000000002</v>
      </c>
      <c r="AB5459">
        <v>31</v>
      </c>
      <c r="AC5459">
        <v>16.223500000000001</v>
      </c>
      <c r="AD5459">
        <v>-1.1692469999999999</v>
      </c>
      <c r="AE5459">
        <v>-7.3623539999999998</v>
      </c>
      <c r="AF5459">
        <v>6.48087721072622</v>
      </c>
      <c r="AG5459">
        <v>-1.1692469999999999</v>
      </c>
      <c r="AH5459">
        <v>16.513259125579498</v>
      </c>
      <c r="AI5459">
        <v>93.771030429338495</v>
      </c>
      <c r="AJ5459">
        <v>68.571727464123001</v>
      </c>
      <c r="AK5459">
        <v>17.777981744732902</v>
      </c>
      <c r="AL5459">
        <v>81.104917638366302</v>
      </c>
      <c r="AM5459">
        <v>77.116053115485698</v>
      </c>
      <c r="AN5459">
        <v>1.00000006375876</v>
      </c>
    </row>
    <row r="5460" spans="1:40" x14ac:dyDescent="0.25">
      <c r="A5460" t="str">
        <f>"20190303162928511"</f>
        <v>20190303162928511</v>
      </c>
      <c r="B5460" t="str">
        <f>"1551601768507256"</f>
        <v>1551601768507256</v>
      </c>
      <c r="C5460" t="s">
        <v>40</v>
      </c>
      <c r="D5460">
        <v>5.309158</v>
      </c>
      <c r="E5460">
        <v>0.58236460000000001</v>
      </c>
      <c r="F5460" t="s">
        <v>42</v>
      </c>
      <c r="G5460">
        <v>-315.3938</v>
      </c>
      <c r="H5460">
        <v>-0.05</v>
      </c>
      <c r="I5460">
        <v>13.065860000000001</v>
      </c>
      <c r="J5460">
        <v>-323.49400000000003</v>
      </c>
      <c r="K5460">
        <v>1.1192139999999999</v>
      </c>
      <c r="L5460">
        <v>17.188320000000001</v>
      </c>
      <c r="M5460">
        <v>0.99852099999999999</v>
      </c>
      <c r="N5460">
        <v>-1.216539E-2</v>
      </c>
      <c r="O5460">
        <v>-5.2989910000000001E-2</v>
      </c>
      <c r="P5460">
        <v>0.94876769999999999</v>
      </c>
      <c r="Q5460">
        <v>0.141759</v>
      </c>
      <c r="R5460">
        <v>-0.28239120000000001</v>
      </c>
      <c r="S5460">
        <v>2.8119510000000001</v>
      </c>
      <c r="T5460">
        <v>-0.39896609999999899</v>
      </c>
      <c r="U5460">
        <v>-1.4095150000000001</v>
      </c>
      <c r="V5460">
        <v>0.2323964</v>
      </c>
      <c r="W5460">
        <v>0.15242329999999901</v>
      </c>
      <c r="X5460">
        <v>0.96060350000000005</v>
      </c>
      <c r="Y5460">
        <v>0.39697500000000002</v>
      </c>
      <c r="Z5460">
        <v>-2.259945E-2</v>
      </c>
      <c r="AA5460">
        <v>0.91755120000000001</v>
      </c>
      <c r="AB5460">
        <v>31</v>
      </c>
      <c r="AC5460">
        <v>8.1002000000000294</v>
      </c>
      <c r="AD5460">
        <v>-1.169214</v>
      </c>
      <c r="AE5460">
        <v>-4.1224600000000002</v>
      </c>
      <c r="AF5460">
        <v>3.62737794359998</v>
      </c>
      <c r="AG5460">
        <v>-1.169214</v>
      </c>
      <c r="AH5460">
        <v>8.1720453662383097</v>
      </c>
      <c r="AI5460">
        <v>97.450348007157501</v>
      </c>
      <c r="AJ5460">
        <v>66.064695586605396</v>
      </c>
      <c r="AK5460">
        <v>9.0170537090209706</v>
      </c>
      <c r="AL5460">
        <v>81.232613596967596</v>
      </c>
      <c r="AM5460">
        <v>76.3998898143752</v>
      </c>
      <c r="AN5460">
        <v>1.0000000166640499</v>
      </c>
    </row>
    <row r="5461" spans="1:40" x14ac:dyDescent="0.25">
      <c r="A5461" t="str">
        <f>"20190303162928519"</f>
        <v>20190303162928519</v>
      </c>
      <c r="B5461" t="str">
        <f>"1551601768507256"</f>
        <v>1551601768507256</v>
      </c>
      <c r="C5461" t="s">
        <v>40</v>
      </c>
      <c r="D5461">
        <v>5.309158</v>
      </c>
      <c r="E5461">
        <v>0.58236460000000001</v>
      </c>
      <c r="F5461" t="s">
        <v>42</v>
      </c>
      <c r="G5461">
        <v>-315.20280000000002</v>
      </c>
      <c r="H5461">
        <v>-0.05</v>
      </c>
      <c r="I5461">
        <v>12.866759999999999</v>
      </c>
      <c r="J5461">
        <v>-323.35559999999998</v>
      </c>
      <c r="K5461">
        <v>1.1191879999999901</v>
      </c>
      <c r="L5461">
        <v>17.180050000000001</v>
      </c>
      <c r="M5461">
        <v>0.99846829999999998</v>
      </c>
      <c r="N5461">
        <v>-1.21633E-2</v>
      </c>
      <c r="O5461">
        <v>-5.3974389999999997E-2</v>
      </c>
      <c r="P5461">
        <v>0.94759550000000004</v>
      </c>
      <c r="Q5461">
        <v>0.1421491</v>
      </c>
      <c r="R5461">
        <v>-0.28610619999999998</v>
      </c>
      <c r="S5461">
        <v>2.788208</v>
      </c>
      <c r="T5461">
        <v>-0.39318900000000001</v>
      </c>
      <c r="U5461">
        <v>-1.4532780000000001</v>
      </c>
      <c r="V5461">
        <v>0.23523240000000001</v>
      </c>
      <c r="W5461">
        <v>0.1527734</v>
      </c>
      <c r="X5461">
        <v>0.95985730000000002</v>
      </c>
      <c r="Y5461">
        <v>0.4105048</v>
      </c>
      <c r="Z5461">
        <v>-2.3270809999999999E-2</v>
      </c>
      <c r="AA5461">
        <v>0.91156139999999997</v>
      </c>
      <c r="AB5461">
        <v>31</v>
      </c>
      <c r="AC5461">
        <v>8.1527999999999494</v>
      </c>
      <c r="AD5461">
        <v>-1.1691879999999999</v>
      </c>
      <c r="AE5461">
        <v>-4.3132900000000003</v>
      </c>
      <c r="AF5461">
        <v>3.8057731726395398</v>
      </c>
      <c r="AG5461">
        <v>-1.1691879999999999</v>
      </c>
      <c r="AH5461">
        <v>8.2413118693931597</v>
      </c>
      <c r="AI5461">
        <v>97.339233170943103</v>
      </c>
      <c r="AJ5461">
        <v>65.212877584766105</v>
      </c>
      <c r="AK5461">
        <v>9.1526024358937104</v>
      </c>
      <c r="AL5461">
        <v>81.212316618418996</v>
      </c>
      <c r="AM5461">
        <v>76.229906124884195</v>
      </c>
      <c r="AN5461">
        <v>1.0000000150602999</v>
      </c>
    </row>
    <row r="5462" spans="1:40" x14ac:dyDescent="0.25">
      <c r="A5462" t="str">
        <f>"20190303162928529"</f>
        <v>20190303162928529</v>
      </c>
      <c r="B5462" t="str">
        <f>"1551601768517015"</f>
        <v>1551601768517015</v>
      </c>
      <c r="C5462" t="s">
        <v>40</v>
      </c>
      <c r="D5462">
        <v>5.183446</v>
      </c>
      <c r="E5462">
        <v>0.58381430000000001</v>
      </c>
      <c r="F5462" t="s">
        <v>42</v>
      </c>
      <c r="G5462">
        <v>-315.05900000000003</v>
      </c>
      <c r="H5462">
        <v>-0.05</v>
      </c>
      <c r="I5462">
        <v>12.814539999999999</v>
      </c>
      <c r="J5462">
        <v>-323.22280000000001</v>
      </c>
      <c r="K5462">
        <v>1.119151</v>
      </c>
      <c r="L5462">
        <v>17.171879999999899</v>
      </c>
      <c r="M5462">
        <v>0.99841400000000002</v>
      </c>
      <c r="N5462">
        <v>-1.216007E-2</v>
      </c>
      <c r="O5462">
        <v>-5.4971520000000003E-2</v>
      </c>
      <c r="P5462">
        <v>0.94642910000000002</v>
      </c>
      <c r="Q5462">
        <v>0.142202</v>
      </c>
      <c r="R5462">
        <v>-0.2899157</v>
      </c>
      <c r="S5462">
        <v>2.782654</v>
      </c>
      <c r="T5462">
        <v>-0.39214100000000002</v>
      </c>
      <c r="U5462">
        <v>-1.464172</v>
      </c>
      <c r="V5462">
        <v>0.2381549</v>
      </c>
      <c r="W5462">
        <v>0.1527781</v>
      </c>
      <c r="X5462">
        <v>0.95913559999999998</v>
      </c>
      <c r="Y5462">
        <v>0.41313509999999998</v>
      </c>
      <c r="Z5462">
        <v>-2.330869E-2</v>
      </c>
      <c r="AA5462">
        <v>0.91037140000000005</v>
      </c>
      <c r="AB5462">
        <v>31</v>
      </c>
      <c r="AC5462">
        <v>8.1637999999999806</v>
      </c>
      <c r="AD5462">
        <v>-1.1691510000000001</v>
      </c>
      <c r="AE5462">
        <v>-4.35733999999999</v>
      </c>
      <c r="AF5462">
        <v>3.8406354933241298</v>
      </c>
      <c r="AG5462">
        <v>-1.1691510000000001</v>
      </c>
      <c r="AH5462">
        <v>8.2591660910440599</v>
      </c>
      <c r="AI5462">
        <v>97.314410337587404</v>
      </c>
      <c r="AJ5462">
        <v>65.060869279224406</v>
      </c>
      <c r="AK5462">
        <v>9.1832031216147101</v>
      </c>
      <c r="AL5462">
        <v>81.212044011233203</v>
      </c>
      <c r="AM5462">
        <v>76.055380265956302</v>
      </c>
      <c r="AN5462">
        <v>1.00000000171049</v>
      </c>
    </row>
    <row r="5463" spans="1:40" x14ac:dyDescent="0.25">
      <c r="A5463" t="str">
        <f>"20190303162928541"</f>
        <v>20190303162928541</v>
      </c>
      <c r="B5463" t="str">
        <f>"1551601768537511"</f>
        <v>1551601768537511</v>
      </c>
      <c r="C5463" t="s">
        <v>40</v>
      </c>
      <c r="D5463">
        <v>5.2104509999999999</v>
      </c>
      <c r="E5463">
        <v>0.58560889999999999</v>
      </c>
      <c r="F5463" t="s">
        <v>42</v>
      </c>
      <c r="G5463">
        <v>-314.70299999999997</v>
      </c>
      <c r="H5463">
        <v>-0.05</v>
      </c>
      <c r="I5463">
        <v>12.60188</v>
      </c>
      <c r="J5463">
        <v>-323.06029999999998</v>
      </c>
      <c r="K5463">
        <v>1.119094</v>
      </c>
      <c r="L5463">
        <v>17.161770000000001</v>
      </c>
      <c r="M5463">
        <v>0.99834440000000002</v>
      </c>
      <c r="N5463">
        <v>-1.2155310000000001E-2</v>
      </c>
      <c r="O5463">
        <v>-5.6222880000000003E-2</v>
      </c>
      <c r="P5463">
        <v>0.94506570000000001</v>
      </c>
      <c r="Q5463">
        <v>0.14228360000000001</v>
      </c>
      <c r="R5463">
        <v>-0.29428989999999999</v>
      </c>
      <c r="S5463">
        <v>2.7715450000000001</v>
      </c>
      <c r="T5463">
        <v>-0.38032899999999997</v>
      </c>
      <c r="U5463">
        <v>-1.4866330000000001</v>
      </c>
      <c r="V5463">
        <v>0.24141550000000001</v>
      </c>
      <c r="W5463">
        <v>0.1527975</v>
      </c>
      <c r="X5463">
        <v>0.95831699999999997</v>
      </c>
      <c r="Y5463">
        <v>0.41936240000000002</v>
      </c>
      <c r="Z5463">
        <v>-2.3041840000000001E-2</v>
      </c>
      <c r="AA5463">
        <v>0.90752639999999996</v>
      </c>
      <c r="AB5463">
        <v>31</v>
      </c>
      <c r="AC5463">
        <v>8.3573000000000093</v>
      </c>
      <c r="AD5463">
        <v>-1.1690940000000001</v>
      </c>
      <c r="AE5463">
        <v>-4.5598900000000002</v>
      </c>
      <c r="AF5463">
        <v>4.0221177989555503</v>
      </c>
      <c r="AG5463">
        <v>-1.1690940000000001</v>
      </c>
      <c r="AH5463">
        <v>8.47270197400006</v>
      </c>
      <c r="AI5463">
        <v>97.105341605206206</v>
      </c>
      <c r="AJ5463">
        <v>64.6056116731841</v>
      </c>
      <c r="AK5463">
        <v>9.4515020557441307</v>
      </c>
      <c r="AL5463">
        <v>81.210919217530503</v>
      </c>
      <c r="AM5463">
        <v>75.860475615970699</v>
      </c>
      <c r="AN5463">
        <v>0.99999999606774903</v>
      </c>
    </row>
    <row r="5464" spans="1:40" x14ac:dyDescent="0.25">
      <c r="A5464" t="str">
        <f>"20190303162928553"</f>
        <v>20190303162928553</v>
      </c>
      <c r="B5464" t="str">
        <f>"1551601768547272"</f>
        <v>1551601768547272</v>
      </c>
      <c r="C5464" t="s">
        <v>40</v>
      </c>
      <c r="D5464">
        <v>5.2365519999999997</v>
      </c>
      <c r="E5464">
        <v>0.58608789999999999</v>
      </c>
      <c r="F5464" t="s">
        <v>42</v>
      </c>
      <c r="G5464">
        <v>-314.1497</v>
      </c>
      <c r="H5464">
        <v>-0.05</v>
      </c>
      <c r="I5464">
        <v>12.2706</v>
      </c>
      <c r="J5464">
        <v>-322.89929999999998</v>
      </c>
      <c r="K5464">
        <v>1.1190100000000001</v>
      </c>
      <c r="L5464">
        <v>17.151399999999999</v>
      </c>
      <c r="M5464">
        <v>0.99826780000000004</v>
      </c>
      <c r="N5464">
        <v>-1.215082E-2</v>
      </c>
      <c r="O5464">
        <v>-5.7564299999999999E-2</v>
      </c>
      <c r="P5464">
        <v>0.94370229999999999</v>
      </c>
      <c r="Q5464">
        <v>0.14226140000000001</v>
      </c>
      <c r="R5464">
        <v>-0.2986434</v>
      </c>
      <c r="S5464">
        <v>2.7575069999999999</v>
      </c>
      <c r="T5464">
        <v>-0.36179149999999999</v>
      </c>
      <c r="U5464">
        <v>-1.513641</v>
      </c>
      <c r="V5464">
        <v>0.24457999999999999</v>
      </c>
      <c r="W5464">
        <v>0.15269750000000001</v>
      </c>
      <c r="X5464">
        <v>0.9575302</v>
      </c>
      <c r="Y5464">
        <v>0.42712060000000002</v>
      </c>
      <c r="Z5464">
        <v>-2.251268E-2</v>
      </c>
      <c r="AA5464">
        <v>0.90391440000000001</v>
      </c>
      <c r="AB5464">
        <v>31</v>
      </c>
      <c r="AC5464">
        <v>8.7495999999999796</v>
      </c>
      <c r="AD5464">
        <v>-1.1690100000000001</v>
      </c>
      <c r="AE5464">
        <v>-4.88079999999999</v>
      </c>
      <c r="AF5464">
        <v>4.3103211266976</v>
      </c>
      <c r="AG5464">
        <v>-1.1690100000000001</v>
      </c>
      <c r="AH5464">
        <v>8.8949700030854206</v>
      </c>
      <c r="AI5464">
        <v>96.745004597726194</v>
      </c>
      <c r="AJ5464">
        <v>64.146117572300994</v>
      </c>
      <c r="AK5464">
        <v>9.9531876276470008</v>
      </c>
      <c r="AL5464">
        <v>81.216716805502401</v>
      </c>
      <c r="AM5464">
        <v>75.671426488875298</v>
      </c>
      <c r="AN5464">
        <v>0.99999999340914403</v>
      </c>
    </row>
    <row r="5465" spans="1:40" x14ac:dyDescent="0.25">
      <c r="A5465" t="str">
        <f>"20190303162928564"</f>
        <v>20190303162928564</v>
      </c>
      <c r="B5465" t="str">
        <f>"1551601768557033"</f>
        <v>1551601768557033</v>
      </c>
      <c r="C5465" t="s">
        <v>40</v>
      </c>
      <c r="D5465">
        <v>5.2255370000000001</v>
      </c>
      <c r="E5465">
        <v>0.58638840000000003</v>
      </c>
      <c r="F5465" t="s">
        <v>42</v>
      </c>
      <c r="G5465">
        <v>-313.85000000000002</v>
      </c>
      <c r="H5465">
        <v>-0.05</v>
      </c>
      <c r="I5465">
        <v>12.113429999999999</v>
      </c>
      <c r="J5465">
        <v>-322.73349999999999</v>
      </c>
      <c r="K5465">
        <v>1.118919</v>
      </c>
      <c r="L5465">
        <v>17.140560000000001</v>
      </c>
      <c r="M5465">
        <v>0.99818519999999999</v>
      </c>
      <c r="N5465">
        <v>-1.21463E-2</v>
      </c>
      <c r="O5465">
        <v>-5.8983830000000001E-2</v>
      </c>
      <c r="P5465">
        <v>0.94236039999999999</v>
      </c>
      <c r="Q5465">
        <v>0.1419522</v>
      </c>
      <c r="R5465">
        <v>-0.30299670000000001</v>
      </c>
      <c r="S5465">
        <v>2.7483219999999999</v>
      </c>
      <c r="T5465">
        <v>-0.35503439999999997</v>
      </c>
      <c r="U5465">
        <v>-1.53006</v>
      </c>
      <c r="V5465">
        <v>0.24767310000000001</v>
      </c>
      <c r="W5465">
        <v>0.1523041</v>
      </c>
      <c r="X5465">
        <v>0.95679749999999997</v>
      </c>
      <c r="Y5465">
        <v>0.43130669999999999</v>
      </c>
      <c r="Z5465">
        <v>-2.23158E-2</v>
      </c>
      <c r="AA5465">
        <v>0.90192930000000004</v>
      </c>
      <c r="AB5465">
        <v>31</v>
      </c>
      <c r="AC5465">
        <v>8.8834999999999695</v>
      </c>
      <c r="AD5465">
        <v>-1.168919</v>
      </c>
      <c r="AE5465">
        <v>-5.0271299999999997</v>
      </c>
      <c r="AF5465">
        <v>4.4361769177547901</v>
      </c>
      <c r="AG5465">
        <v>-1.168919</v>
      </c>
      <c r="AH5465">
        <v>9.0459400844960296</v>
      </c>
      <c r="AI5465">
        <v>96.617867520703598</v>
      </c>
      <c r="AJ5465">
        <v>63.876423317738102</v>
      </c>
      <c r="AK5465">
        <v>10.142734803122501</v>
      </c>
      <c r="AL5465">
        <v>81.2395236088757</v>
      </c>
      <c r="AM5465">
        <v>75.487178575589098</v>
      </c>
      <c r="AN5465">
        <v>0.99999997967333398</v>
      </c>
    </row>
    <row r="5466" spans="1:40" x14ac:dyDescent="0.25">
      <c r="A5466" t="str">
        <f>"20190303162928574"</f>
        <v>20190303162928574</v>
      </c>
      <c r="B5466" t="str">
        <f>"1551601768567770"</f>
        <v>1551601768567770</v>
      </c>
      <c r="C5466" t="s">
        <v>40</v>
      </c>
      <c r="D5466">
        <v>5.2746719999999998</v>
      </c>
      <c r="E5466">
        <v>0.58662300000000001</v>
      </c>
      <c r="F5466" t="s">
        <v>42</v>
      </c>
      <c r="G5466">
        <v>-313.57709999999997</v>
      </c>
      <c r="H5466">
        <v>-0.05</v>
      </c>
      <c r="I5466">
        <v>11.975680000000001</v>
      </c>
      <c r="J5466">
        <v>-322.57870000000003</v>
      </c>
      <c r="K5466">
        <v>1.118808</v>
      </c>
      <c r="L5466">
        <v>17.130040000000001</v>
      </c>
      <c r="M5466">
        <v>0.99809859999999995</v>
      </c>
      <c r="N5466">
        <v>-1.214399E-2</v>
      </c>
      <c r="O5466">
        <v>-6.0428830000000003E-2</v>
      </c>
      <c r="P5466">
        <v>0.94091190000000002</v>
      </c>
      <c r="Q5466">
        <v>0.1419453</v>
      </c>
      <c r="R5466">
        <v>-0.30746790000000002</v>
      </c>
      <c r="S5466">
        <v>2.7393489999999998</v>
      </c>
      <c r="T5466">
        <v>-0.34970830000000003</v>
      </c>
      <c r="U5466">
        <v>-1.5451969999999999</v>
      </c>
      <c r="V5466">
        <v>0.25087660000000001</v>
      </c>
      <c r="W5466">
        <v>0.152200799999999</v>
      </c>
      <c r="X5466">
        <v>0.95597900000000002</v>
      </c>
      <c r="Y5466">
        <v>0.43509379999999998</v>
      </c>
      <c r="Z5466">
        <v>-2.2162830000000001E-2</v>
      </c>
      <c r="AA5466">
        <v>0.90011229999999998</v>
      </c>
      <c r="AB5466">
        <v>31</v>
      </c>
      <c r="AC5466">
        <v>9.0016000000000496</v>
      </c>
      <c r="AD5466">
        <v>-1.1688080000000001</v>
      </c>
      <c r="AE5466">
        <v>-5.1543599999999996</v>
      </c>
      <c r="AF5466">
        <v>4.5432585864660497</v>
      </c>
      <c r="AG5466">
        <v>-1.1688080000000001</v>
      </c>
      <c r="AH5466">
        <v>9.18008576972802</v>
      </c>
      <c r="AI5466">
        <v>96.509868408063298</v>
      </c>
      <c r="AJ5466">
        <v>63.669021004970197</v>
      </c>
      <c r="AK5466">
        <v>10.3092815202575</v>
      </c>
      <c r="AL5466">
        <v>81.245512259845697</v>
      </c>
      <c r="AM5466">
        <v>75.295502654822897</v>
      </c>
      <c r="AN5466">
        <v>1.0000000001945999</v>
      </c>
    </row>
    <row r="5467" spans="1:40" x14ac:dyDescent="0.25">
      <c r="A5467" t="str">
        <f>"20190303162928586"</f>
        <v>20190303162928586</v>
      </c>
      <c r="B5467" t="str">
        <f>"1551601768577527"</f>
        <v>1551601768577527</v>
      </c>
      <c r="C5467" t="s">
        <v>40</v>
      </c>
      <c r="D5467">
        <v>5.2177819999999997</v>
      </c>
      <c r="E5467">
        <v>0.5870166</v>
      </c>
      <c r="F5467" t="s">
        <v>42</v>
      </c>
      <c r="G5467">
        <v>-313.31200000000001</v>
      </c>
      <c r="H5467">
        <v>-0.05</v>
      </c>
      <c r="I5467">
        <v>11.834210000000001</v>
      </c>
      <c r="J5467">
        <v>-322.4332</v>
      </c>
      <c r="K5467">
        <v>1.1187009999999999</v>
      </c>
      <c r="L5467">
        <v>17.119959999999999</v>
      </c>
      <c r="M5467">
        <v>0.99801359999999995</v>
      </c>
      <c r="N5467">
        <v>-1.2142160000000001E-2</v>
      </c>
      <c r="O5467">
        <v>-6.1819930000000002E-2</v>
      </c>
      <c r="P5467">
        <v>0.93940480000000004</v>
      </c>
      <c r="Q5467">
        <v>0.14172470000000001</v>
      </c>
      <c r="R5467">
        <v>-0.312143</v>
      </c>
      <c r="S5467">
        <v>2.7304689999999998</v>
      </c>
      <c r="T5467">
        <v>-0.34439130000000001</v>
      </c>
      <c r="U5467">
        <v>-1.560425</v>
      </c>
      <c r="V5467">
        <v>0.25433939999999999</v>
      </c>
      <c r="W5467">
        <v>0.15188270000000001</v>
      </c>
      <c r="X5467">
        <v>0.95511420000000002</v>
      </c>
      <c r="Y5467">
        <v>0.43893209999999999</v>
      </c>
      <c r="Z5467">
        <v>-2.20162E-2</v>
      </c>
      <c r="AA5467">
        <v>0.89825049999999995</v>
      </c>
      <c r="AB5467">
        <v>31</v>
      </c>
      <c r="AC5467">
        <v>9.1211999999999804</v>
      </c>
      <c r="AD5467">
        <v>-1.168701</v>
      </c>
      <c r="AE5467">
        <v>-5.2857499999999904</v>
      </c>
      <c r="AF5467">
        <v>4.6545207481670499</v>
      </c>
      <c r="AG5467">
        <v>-1.168701</v>
      </c>
      <c r="AH5467">
        <v>9.3160454014868499</v>
      </c>
      <c r="AI5467">
        <v>96.403116966041594</v>
      </c>
      <c r="AJ5467">
        <v>63.452181651853799</v>
      </c>
      <c r="AK5467">
        <v>10.479462168693701</v>
      </c>
      <c r="AL5467">
        <v>81.263952517797705</v>
      </c>
      <c r="AM5467">
        <v>75.088619074900706</v>
      </c>
      <c r="AN5467">
        <v>1.00000000999664</v>
      </c>
    </row>
    <row r="5468" spans="1:40" x14ac:dyDescent="0.25">
      <c r="A5468" t="str">
        <f>"20190303162928596"</f>
        <v>20190303162928596</v>
      </c>
      <c r="B5468" t="str">
        <f>"1551601768587288"</f>
        <v>1551601768587288</v>
      </c>
      <c r="C5468" t="s">
        <v>40</v>
      </c>
      <c r="D5468">
        <v>5.2478410000000002</v>
      </c>
      <c r="E5468">
        <v>0.58707980000000004</v>
      </c>
      <c r="F5468" t="s">
        <v>42</v>
      </c>
      <c r="G5468">
        <v>-313.01459999999997</v>
      </c>
      <c r="H5468">
        <v>-0.05</v>
      </c>
      <c r="I5468">
        <v>11.658910000000001</v>
      </c>
      <c r="J5468">
        <v>-322.28390000000002</v>
      </c>
      <c r="K5468">
        <v>1.118582</v>
      </c>
      <c r="L5468">
        <v>17.109249999999999</v>
      </c>
      <c r="M5468">
        <v>0.99791799999999997</v>
      </c>
      <c r="N5468">
        <v>-1.2141880000000001E-2</v>
      </c>
      <c r="O5468">
        <v>-6.3344289999999998E-2</v>
      </c>
      <c r="P5468">
        <v>0.93768079999999998</v>
      </c>
      <c r="Q5468">
        <v>0.1423808</v>
      </c>
      <c r="R5468">
        <v>-0.31699060000000001</v>
      </c>
      <c r="S5468">
        <v>2.7203369999999998</v>
      </c>
      <c r="T5468">
        <v>-0.33755230000000003</v>
      </c>
      <c r="U5468">
        <v>-1.5773010000000001</v>
      </c>
      <c r="V5468">
        <v>0.25787310000000002</v>
      </c>
      <c r="W5468">
        <v>0.15242990000000001</v>
      </c>
      <c r="X5468">
        <v>0.95407889999999995</v>
      </c>
      <c r="Y5468">
        <v>0.44324649999999999</v>
      </c>
      <c r="Z5468">
        <v>-2.180758E-2</v>
      </c>
      <c r="AA5468">
        <v>0.8961344</v>
      </c>
      <c r="AB5468">
        <v>31</v>
      </c>
      <c r="AC5468">
        <v>9.2693000000000403</v>
      </c>
      <c r="AD5468">
        <v>-1.168582</v>
      </c>
      <c r="AE5468">
        <v>-5.45033999999999</v>
      </c>
      <c r="AF5468">
        <v>4.7955550813477901</v>
      </c>
      <c r="AG5468">
        <v>-1.168582</v>
      </c>
      <c r="AH5468">
        <v>9.4839467257917693</v>
      </c>
      <c r="AI5468">
        <v>96.274970725155399</v>
      </c>
      <c r="AJ5468">
        <v>63.176570034895398</v>
      </c>
      <c r="AK5468">
        <v>10.691500265473501</v>
      </c>
      <c r="AL5468">
        <v>81.232230638946902</v>
      </c>
      <c r="AM5468">
        <v>74.875212657204898</v>
      </c>
      <c r="AN5468">
        <v>0.999999978771414</v>
      </c>
    </row>
    <row r="5469" spans="1:40" x14ac:dyDescent="0.25">
      <c r="A5469" t="str">
        <f>"20190303162928608"</f>
        <v>20190303162928608</v>
      </c>
      <c r="B5469" t="str">
        <f>"1551601768598024"</f>
        <v>1551601768598024</v>
      </c>
      <c r="C5469" t="s">
        <v>40</v>
      </c>
      <c r="D5469">
        <v>5.2424980000000003</v>
      </c>
      <c r="E5469">
        <v>0.58712330000000001</v>
      </c>
      <c r="F5469" t="s">
        <v>42</v>
      </c>
      <c r="G5469">
        <v>-312.73880000000003</v>
      </c>
      <c r="H5469">
        <v>-0.05</v>
      </c>
      <c r="I5469">
        <v>11.50357</v>
      </c>
      <c r="J5469">
        <v>-322.11619999999999</v>
      </c>
      <c r="K5469">
        <v>1.1184419999999999</v>
      </c>
      <c r="L5469">
        <v>17.09695</v>
      </c>
      <c r="M5469">
        <v>0.99780290000000005</v>
      </c>
      <c r="N5469">
        <v>-1.214197E-2</v>
      </c>
      <c r="O5469">
        <v>-6.5131789999999995E-2</v>
      </c>
      <c r="P5469">
        <v>0.93575240000000004</v>
      </c>
      <c r="Q5469">
        <v>0.14294079999999901</v>
      </c>
      <c r="R5469">
        <v>-0.32239079999999998</v>
      </c>
      <c r="S5469">
        <v>2.711487</v>
      </c>
      <c r="T5469">
        <v>-0.3319589</v>
      </c>
      <c r="U5469">
        <v>-1.5924069999999999</v>
      </c>
      <c r="V5469">
        <v>0.26173059999999998</v>
      </c>
      <c r="W5469">
        <v>0.15286340000000001</v>
      </c>
      <c r="X5469">
        <v>0.95295850000000004</v>
      </c>
      <c r="Y5469">
        <v>0.44668790000000003</v>
      </c>
      <c r="Z5469">
        <v>-2.1575500000000001E-2</v>
      </c>
      <c r="AA5469">
        <v>0.89442960000000005</v>
      </c>
      <c r="AB5469">
        <v>31</v>
      </c>
      <c r="AC5469">
        <v>9.3773999999999607</v>
      </c>
      <c r="AD5469">
        <v>-1.168442</v>
      </c>
      <c r="AE5469">
        <v>-5.5933799999999998</v>
      </c>
      <c r="AF5469">
        <v>4.9144128081648804</v>
      </c>
      <c r="AG5469">
        <v>-1.168442</v>
      </c>
      <c r="AH5469">
        <v>9.6117511575221002</v>
      </c>
      <c r="AI5469">
        <v>96.177461912713198</v>
      </c>
      <c r="AJ5469">
        <v>62.919696574051201</v>
      </c>
      <c r="AK5469">
        <v>10.858290393544699</v>
      </c>
      <c r="AL5469">
        <v>81.207098704253994</v>
      </c>
      <c r="AM5469">
        <v>74.642363383905504</v>
      </c>
      <c r="AN5469">
        <v>1.0000000143790799</v>
      </c>
    </row>
    <row r="5470" spans="1:40" x14ac:dyDescent="0.25">
      <c r="A5470" t="str">
        <f>"20190303162928619"</f>
        <v>20190303162928619</v>
      </c>
      <c r="B5470" t="str">
        <f>"1551601768607783"</f>
        <v>1551601768607783</v>
      </c>
      <c r="C5470" t="s">
        <v>40</v>
      </c>
      <c r="D5470">
        <v>5.2898199999999997</v>
      </c>
      <c r="E5470">
        <v>0.58704129999999999</v>
      </c>
      <c r="F5470" t="s">
        <v>42</v>
      </c>
      <c r="G5470">
        <v>-312.46019999999999</v>
      </c>
      <c r="H5470">
        <v>-0.05</v>
      </c>
      <c r="I5470">
        <v>11.34784</v>
      </c>
      <c r="J5470">
        <v>-321.95609999999999</v>
      </c>
      <c r="K5470">
        <v>1.118301</v>
      </c>
      <c r="L5470">
        <v>17.08484</v>
      </c>
      <c r="M5470">
        <v>0.99768380000000001</v>
      </c>
      <c r="N5470">
        <v>-1.214262E-2</v>
      </c>
      <c r="O5470">
        <v>-6.6933080000000006E-2</v>
      </c>
      <c r="P5470">
        <v>0.93379350000000005</v>
      </c>
      <c r="Q5470">
        <v>0.14344179999999901</v>
      </c>
      <c r="R5470">
        <v>-0.32780320000000002</v>
      </c>
      <c r="S5470">
        <v>2.7016909999999998</v>
      </c>
      <c r="T5470">
        <v>-0.3269204</v>
      </c>
      <c r="U5470">
        <v>-1.6085510000000001</v>
      </c>
      <c r="V5470">
        <v>0.265594</v>
      </c>
      <c r="W5470">
        <v>0.15323519999999999</v>
      </c>
      <c r="X5470">
        <v>0.95182920000000004</v>
      </c>
      <c r="Y5470">
        <v>0.45049020000000001</v>
      </c>
      <c r="Z5470">
        <v>-2.1397639999999999E-2</v>
      </c>
      <c r="AA5470">
        <v>0.89252489999999995</v>
      </c>
      <c r="AB5470">
        <v>31</v>
      </c>
      <c r="AC5470">
        <v>9.4959000000000007</v>
      </c>
      <c r="AD5470">
        <v>-1.168301</v>
      </c>
      <c r="AE5470">
        <v>-5.7370000000000001</v>
      </c>
      <c r="AF5470">
        <v>5.0326872600606896</v>
      </c>
      <c r="AG5470">
        <v>-1.168301</v>
      </c>
      <c r="AH5470">
        <v>9.7504992832670592</v>
      </c>
      <c r="AI5470">
        <v>96.077580009051204</v>
      </c>
      <c r="AJ5470">
        <v>62.699632010505198</v>
      </c>
      <c r="AK5470">
        <v>11.0347226769488</v>
      </c>
      <c r="AL5470">
        <v>81.185542151198504</v>
      </c>
      <c r="AM5470">
        <v>74.409018233180603</v>
      </c>
      <c r="AN5470">
        <v>1.00000001266384</v>
      </c>
    </row>
    <row r="5471" spans="1:40" x14ac:dyDescent="0.25">
      <c r="A5471" t="str">
        <f>"20190303162928632"</f>
        <v>20190303162928632</v>
      </c>
      <c r="B5471" t="str">
        <f>"1551601768627305"</f>
        <v>1551601768627305</v>
      </c>
      <c r="C5471" t="s">
        <v>40</v>
      </c>
      <c r="D5471">
        <v>5.3121799999999997</v>
      </c>
      <c r="E5471">
        <v>0.58683969999999996</v>
      </c>
      <c r="F5471" t="s">
        <v>42</v>
      </c>
      <c r="G5471">
        <v>-312.1875</v>
      </c>
      <c r="H5471">
        <v>-0.05</v>
      </c>
      <c r="I5471">
        <v>11.19218</v>
      </c>
      <c r="J5471">
        <v>-321.79809999999998</v>
      </c>
      <c r="K5471">
        <v>1.118155</v>
      </c>
      <c r="L5471">
        <v>17.072420000000001</v>
      </c>
      <c r="M5471">
        <v>0.9975541</v>
      </c>
      <c r="N5471">
        <v>-1.2144469999999999E-2</v>
      </c>
      <c r="O5471">
        <v>-6.8837200000000001E-2</v>
      </c>
      <c r="P5471">
        <v>0.93196829999999997</v>
      </c>
      <c r="Q5471">
        <v>0.1431915</v>
      </c>
      <c r="R5471">
        <v>-0.33306439999999998</v>
      </c>
      <c r="S5471">
        <v>2.692078</v>
      </c>
      <c r="T5471">
        <v>-0.32196720000000001</v>
      </c>
      <c r="U5471">
        <v>-1.6239319999999999</v>
      </c>
      <c r="V5471">
        <v>0.26920070000000001</v>
      </c>
      <c r="W5471">
        <v>0.1528545</v>
      </c>
      <c r="X5471">
        <v>0.95087670000000002</v>
      </c>
      <c r="Y5471">
        <v>0.4539821</v>
      </c>
      <c r="Z5471">
        <v>-2.1194210000000002E-2</v>
      </c>
      <c r="AA5471">
        <v>0.89075869999999902</v>
      </c>
      <c r="AB5471">
        <v>31</v>
      </c>
      <c r="AC5471">
        <v>9.6105999999999696</v>
      </c>
      <c r="AD5471">
        <v>-1.1681549999999901</v>
      </c>
      <c r="AE5471">
        <v>-5.8802399999999997</v>
      </c>
      <c r="AF5471">
        <v>5.1493199046265303</v>
      </c>
      <c r="AG5471">
        <v>-1.1681549999999901</v>
      </c>
      <c r="AH5471">
        <v>9.8863325727557498</v>
      </c>
      <c r="AI5471">
        <v>95.982514205841895</v>
      </c>
      <c r="AJ5471">
        <v>62.487138704116099</v>
      </c>
      <c r="AK5471">
        <v>11.2080173680869</v>
      </c>
      <c r="AL5471">
        <v>81.207614633736995</v>
      </c>
      <c r="AM5471">
        <v>74.192763611597201</v>
      </c>
      <c r="AN5471">
        <v>1.00000000682681</v>
      </c>
    </row>
    <row r="5472" spans="1:40" x14ac:dyDescent="0.25">
      <c r="A5472" t="str">
        <f>"20190303162928643"</f>
        <v>20190303162928643</v>
      </c>
      <c r="B5472" t="str">
        <f>"1551601768637063"</f>
        <v>1551601768637063</v>
      </c>
      <c r="C5472" t="s">
        <v>40</v>
      </c>
      <c r="D5472">
        <v>5.2528030000000001</v>
      </c>
      <c r="E5472">
        <v>0.58674209999999904</v>
      </c>
      <c r="F5472" t="s">
        <v>42</v>
      </c>
      <c r="G5472">
        <v>-311.96769999999998</v>
      </c>
      <c r="H5472">
        <v>-0.05</v>
      </c>
      <c r="I5472">
        <v>11.070130000000001</v>
      </c>
      <c r="J5472">
        <v>-321.62</v>
      </c>
      <c r="K5472">
        <v>1.117982</v>
      </c>
      <c r="L5472">
        <v>17.058139999999899</v>
      </c>
      <c r="M5472">
        <v>0.99739840000000002</v>
      </c>
      <c r="N5472">
        <v>-1.2146789999999999E-2</v>
      </c>
      <c r="O5472">
        <v>-7.1056540000000001E-2</v>
      </c>
      <c r="P5472">
        <v>0.93016010000000005</v>
      </c>
      <c r="Q5472">
        <v>0.14283789999999999</v>
      </c>
      <c r="R5472">
        <v>-0.3382307</v>
      </c>
      <c r="S5472">
        <v>2.682617</v>
      </c>
      <c r="T5472">
        <v>-0.31877850000000002</v>
      </c>
      <c r="U5472">
        <v>-1.6379699999999999</v>
      </c>
      <c r="V5472">
        <v>0.27242260000000001</v>
      </c>
      <c r="W5472">
        <v>0.1523582</v>
      </c>
      <c r="X5472">
        <v>0.95003839999999995</v>
      </c>
      <c r="Y5472">
        <v>0.45682139999999999</v>
      </c>
      <c r="Z5472">
        <v>-2.1016179999999999E-2</v>
      </c>
      <c r="AA5472">
        <v>0.88931009999999999</v>
      </c>
      <c r="AB5472">
        <v>31</v>
      </c>
      <c r="AC5472">
        <v>9.6523000000000199</v>
      </c>
      <c r="AD5472">
        <v>-1.1679820000000001</v>
      </c>
      <c r="AE5472">
        <v>-5.9880099999999903</v>
      </c>
      <c r="AF5472">
        <v>5.2316471946209298</v>
      </c>
      <c r="AG5472">
        <v>-1.1679820000000001</v>
      </c>
      <c r="AH5472">
        <v>9.94823259910331</v>
      </c>
      <c r="AI5472">
        <v>95.932487220660207</v>
      </c>
      <c r="AJ5472">
        <v>62.260696877591499</v>
      </c>
      <c r="AK5472">
        <v>11.3005153053819</v>
      </c>
      <c r="AL5472">
        <v>81.236387729898297</v>
      </c>
      <c r="AM5472">
        <v>73.999806488236302</v>
      </c>
      <c r="AN5472">
        <v>1.00000002778627</v>
      </c>
    </row>
    <row r="5473" spans="1:40" x14ac:dyDescent="0.25">
      <c r="A5473" t="str">
        <f>"20190303162928654"</f>
        <v>20190303162928654</v>
      </c>
      <c r="B5473" t="str">
        <f>"1551601768647799"</f>
        <v>1551601768647799</v>
      </c>
      <c r="C5473" t="s">
        <v>40</v>
      </c>
      <c r="D5473">
        <v>5.1543210000000004</v>
      </c>
      <c r="E5473">
        <v>0.58674209999999904</v>
      </c>
      <c r="F5473" t="s">
        <v>42</v>
      </c>
      <c r="G5473">
        <v>-311.78500000000003</v>
      </c>
      <c r="H5473">
        <v>-0.05</v>
      </c>
      <c r="I5473">
        <v>10.97847</v>
      </c>
      <c r="J5473">
        <v>-321.46319999999997</v>
      </c>
      <c r="K5473">
        <v>1.117812</v>
      </c>
      <c r="L5473">
        <v>17.04486</v>
      </c>
      <c r="M5473">
        <v>0.9972432</v>
      </c>
      <c r="N5473">
        <v>-1.215134E-2</v>
      </c>
      <c r="O5473">
        <v>-7.3201520000000006E-2</v>
      </c>
      <c r="P5473">
        <v>0.92851229999999996</v>
      </c>
      <c r="Q5473">
        <v>0.1422049</v>
      </c>
      <c r="R5473">
        <v>-0.34299200000000002</v>
      </c>
      <c r="S5473">
        <v>2.6731259999999999</v>
      </c>
      <c r="T5473">
        <v>-0.31745410000000002</v>
      </c>
      <c r="U5473">
        <v>-1.6524350000000001</v>
      </c>
      <c r="V5473">
        <v>0.2752986</v>
      </c>
      <c r="W5473">
        <v>0.151591899999999</v>
      </c>
      <c r="X5473">
        <v>0.94933160000000005</v>
      </c>
      <c r="Y5473">
        <v>0.45980549999999998</v>
      </c>
      <c r="Z5473">
        <v>-2.0955100000000001E-2</v>
      </c>
      <c r="AA5473">
        <v>0.88777240000000002</v>
      </c>
      <c r="AB5473">
        <v>31</v>
      </c>
      <c r="AC5473">
        <v>9.67819999999994</v>
      </c>
      <c r="AD5473">
        <v>-1.1678120000000001</v>
      </c>
      <c r="AE5473">
        <v>-6.0663900000000002</v>
      </c>
      <c r="AF5473">
        <v>5.2863432928532799</v>
      </c>
      <c r="AG5473">
        <v>-1.1678120000000001</v>
      </c>
      <c r="AH5473">
        <v>9.9918880185027295</v>
      </c>
      <c r="AI5473">
        <v>95.898216020013706</v>
      </c>
      <c r="AJ5473">
        <v>62.118316774935302</v>
      </c>
      <c r="AK5473">
        <v>11.3642877670154</v>
      </c>
      <c r="AL5473">
        <v>81.280808834687605</v>
      </c>
      <c r="AM5473">
        <v>73.828262086694906</v>
      </c>
      <c r="AN5473">
        <v>0.99999995503306405</v>
      </c>
    </row>
    <row r="5474" spans="1:40" x14ac:dyDescent="0.25">
      <c r="A5474" t="str">
        <f>"20190303162928664"</f>
        <v>20190303162928664</v>
      </c>
      <c r="B5474" t="str">
        <f>"1551601768657560"</f>
        <v>1551601768657560</v>
      </c>
      <c r="C5474" t="s">
        <v>40</v>
      </c>
      <c r="D5474">
        <v>5.1468860000000003</v>
      </c>
      <c r="E5474">
        <v>0.59280500000000003</v>
      </c>
      <c r="F5474" t="s">
        <v>42</v>
      </c>
      <c r="G5474">
        <v>-311.70749999999998</v>
      </c>
      <c r="H5474">
        <v>-0.05</v>
      </c>
      <c r="I5474">
        <v>10.94223</v>
      </c>
      <c r="J5474">
        <v>-321.32429999999999</v>
      </c>
      <c r="K5474">
        <v>1.1176649999999999</v>
      </c>
      <c r="L5474">
        <v>17.03302</v>
      </c>
      <c r="M5474">
        <v>0.99709460000000005</v>
      </c>
      <c r="N5474">
        <v>-1.2120250000000001E-2</v>
      </c>
      <c r="O5474">
        <v>-7.5203489999999998E-2</v>
      </c>
      <c r="P5474">
        <v>0.92708219999999997</v>
      </c>
      <c r="Q5474">
        <v>0.14154829999999999</v>
      </c>
      <c r="R5474">
        <v>-0.34710649999999998</v>
      </c>
      <c r="S5474">
        <v>2.6641849999999998</v>
      </c>
      <c r="T5474">
        <v>-0.31891819999999999</v>
      </c>
      <c r="U5474">
        <v>-1.6665650000000001</v>
      </c>
      <c r="V5474">
        <v>0.27764309999999998</v>
      </c>
      <c r="W5474">
        <v>0.15078920000000001</v>
      </c>
      <c r="X5474">
        <v>0.94877650000000002</v>
      </c>
      <c r="Y5474">
        <v>0.46271400000000001</v>
      </c>
      <c r="Z5474">
        <v>-2.1038560000000001E-2</v>
      </c>
      <c r="AA5474">
        <v>0.88625789999999904</v>
      </c>
      <c r="AB5474">
        <v>31</v>
      </c>
      <c r="AC5474">
        <v>9.6168000000000102</v>
      </c>
      <c r="AD5474">
        <v>-1.167665</v>
      </c>
      <c r="AE5474">
        <v>-6.0907900000000001</v>
      </c>
      <c r="AF5474">
        <v>5.2945604490817599</v>
      </c>
      <c r="AG5474">
        <v>-1.167665</v>
      </c>
      <c r="AH5474">
        <v>9.9430253892329503</v>
      </c>
      <c r="AI5474">
        <v>95.917911664779496</v>
      </c>
      <c r="AJ5474">
        <v>61.965150298130801</v>
      </c>
      <c r="AK5474">
        <v>11.3251739850713</v>
      </c>
      <c r="AL5474">
        <v>81.327335042231596</v>
      </c>
      <c r="AM5474">
        <v>73.688794370420595</v>
      </c>
      <c r="AN5474">
        <v>0.99999996038324901</v>
      </c>
    </row>
    <row r="5475" spans="1:40" x14ac:dyDescent="0.25">
      <c r="A5475" t="str">
        <f>"20190303162928675"</f>
        <v>20190303162928675</v>
      </c>
      <c r="B5475" t="str">
        <f>"1551601768667320"</f>
        <v>1551601768667320</v>
      </c>
      <c r="C5475" t="s">
        <v>40</v>
      </c>
      <c r="D5475">
        <v>5.2993410000000001</v>
      </c>
      <c r="E5475">
        <v>0.59280500000000003</v>
      </c>
      <c r="F5475" t="s">
        <v>42</v>
      </c>
      <c r="G5475">
        <v>-306.03500000000003</v>
      </c>
      <c r="H5475">
        <v>-0.05</v>
      </c>
      <c r="I5475">
        <v>6.9586940000000004</v>
      </c>
      <c r="J5475">
        <v>-321.17570000000001</v>
      </c>
      <c r="K5475">
        <v>1.1174959999999901</v>
      </c>
      <c r="L5475">
        <v>17.019839999999999</v>
      </c>
      <c r="M5475">
        <v>0.99688889999999997</v>
      </c>
      <c r="N5475">
        <v>-1.189079E-2</v>
      </c>
      <c r="O5475">
        <v>-7.7918189999999998E-2</v>
      </c>
      <c r="P5475">
        <v>0.92530040000000002</v>
      </c>
      <c r="Q5475">
        <v>0.1419685</v>
      </c>
      <c r="R5475">
        <v>-0.35166009999999998</v>
      </c>
      <c r="S5475">
        <v>2.6200869999999998</v>
      </c>
      <c r="T5475">
        <v>-0.20009969999999999</v>
      </c>
      <c r="U5475">
        <v>-1.72640999999999</v>
      </c>
      <c r="V5475">
        <v>0.2797714</v>
      </c>
      <c r="W5475">
        <v>0.15089710000000001</v>
      </c>
      <c r="X5475">
        <v>0.94813389999999997</v>
      </c>
      <c r="Y5475">
        <v>0.48240959999999999</v>
      </c>
      <c r="Z5475">
        <v>-1.535077E-2</v>
      </c>
      <c r="AA5475">
        <v>0.87581129999999996</v>
      </c>
      <c r="AB5475">
        <v>31</v>
      </c>
      <c r="AC5475">
        <v>15.140699999999899</v>
      </c>
      <c r="AD5475">
        <v>-1.1674960000000001</v>
      </c>
      <c r="AE5475">
        <v>-10.0611459999999</v>
      </c>
      <c r="AF5475">
        <v>8.8143782457667292</v>
      </c>
      <c r="AG5475">
        <v>-1.1674960000000001</v>
      </c>
      <c r="AH5475">
        <v>15.813439583009499</v>
      </c>
      <c r="AI5475">
        <v>93.689778897116597</v>
      </c>
      <c r="AJ5475">
        <v>60.864795682272202</v>
      </c>
      <c r="AK5475">
        <v>18.141697335556898</v>
      </c>
      <c r="AL5475">
        <v>81.321081018917397</v>
      </c>
      <c r="AM5475">
        <v>73.559943810254495</v>
      </c>
      <c r="AN5475">
        <v>0.999999931687787</v>
      </c>
    </row>
    <row r="5476" spans="1:40" x14ac:dyDescent="0.25">
      <c r="A5476" t="str">
        <f>"20190303162928686"</f>
        <v>20190303162928686</v>
      </c>
      <c r="B5476" t="str">
        <f>"1551601768677080"</f>
        <v>1551601768677080</v>
      </c>
      <c r="C5476" t="s">
        <v>40</v>
      </c>
      <c r="D5476">
        <v>5.3281090000000004</v>
      </c>
      <c r="E5476">
        <v>0.58141540000000003</v>
      </c>
      <c r="F5476" t="s">
        <v>42</v>
      </c>
      <c r="G5476">
        <v>-305.77910000000003</v>
      </c>
      <c r="H5476">
        <v>-0.05</v>
      </c>
      <c r="I5476">
        <v>6.7599179999999901</v>
      </c>
      <c r="J5476">
        <v>-321.01580000000001</v>
      </c>
      <c r="K5476">
        <v>1.11727</v>
      </c>
      <c r="L5476">
        <v>17.00543</v>
      </c>
      <c r="M5476">
        <v>0.99665990000000004</v>
      </c>
      <c r="N5476">
        <v>-1.1619249999999999E-2</v>
      </c>
      <c r="O5476">
        <v>-8.0833639999999998E-2</v>
      </c>
      <c r="P5476">
        <v>0.92338719999999996</v>
      </c>
      <c r="Q5476">
        <v>0.14235519999999999</v>
      </c>
      <c r="R5476">
        <v>-0.3564988</v>
      </c>
      <c r="S5476">
        <v>2.6112669999999998</v>
      </c>
      <c r="T5476">
        <v>-0.19800709999999999</v>
      </c>
      <c r="U5476">
        <v>-1.7400819999999999</v>
      </c>
      <c r="V5476">
        <v>0.28202240000000001</v>
      </c>
      <c r="W5476">
        <v>0.15090329999999999</v>
      </c>
      <c r="X5476">
        <v>0.94746589999999997</v>
      </c>
      <c r="Y5476">
        <v>0.48441139999999999</v>
      </c>
      <c r="Z5476">
        <v>-1.50767E-2</v>
      </c>
      <c r="AA5476">
        <v>0.874710399999999</v>
      </c>
      <c r="AB5476">
        <v>31</v>
      </c>
      <c r="AC5476">
        <v>15.2366999999999</v>
      </c>
      <c r="AD5476">
        <v>-1.16727</v>
      </c>
      <c r="AE5476">
        <v>-10.245512</v>
      </c>
      <c r="AF5476">
        <v>8.9441109700778796</v>
      </c>
      <c r="AG5476">
        <v>-1.16727</v>
      </c>
      <c r="AH5476">
        <v>15.9506054741762</v>
      </c>
      <c r="AI5476">
        <v>93.652243719424405</v>
      </c>
      <c r="AJ5476">
        <v>60.718993193166703</v>
      </c>
      <c r="AK5476">
        <v>18.324340514484799</v>
      </c>
      <c r="AL5476">
        <v>81.320722581257201</v>
      </c>
      <c r="AM5476">
        <v>73.423853447972405</v>
      </c>
      <c r="AN5476">
        <v>1.0000000358577199</v>
      </c>
    </row>
    <row r="5477" spans="1:40" x14ac:dyDescent="0.25">
      <c r="A5477" t="str">
        <f>"20190303162928696"</f>
        <v>20190303162928696</v>
      </c>
      <c r="B5477" t="str">
        <f>"1551601768687815"</f>
        <v>1551601768687815</v>
      </c>
      <c r="C5477" t="s">
        <v>40</v>
      </c>
      <c r="D5477">
        <v>5.3272769999999996</v>
      </c>
      <c r="E5477">
        <v>0.58101049999999999</v>
      </c>
      <c r="F5477" t="s">
        <v>42</v>
      </c>
      <c r="G5477">
        <v>-310.41860000000003</v>
      </c>
      <c r="H5477">
        <v>-0.05</v>
      </c>
      <c r="I5477">
        <v>10.334820000000001</v>
      </c>
      <c r="J5477">
        <v>-320.86349999999999</v>
      </c>
      <c r="K5477">
        <v>1.1169530000000001</v>
      </c>
      <c r="L5477">
        <v>16.991150000000001</v>
      </c>
      <c r="M5477">
        <v>0.99643599999999999</v>
      </c>
      <c r="N5477">
        <v>-1.1305809999999999E-2</v>
      </c>
      <c r="O5477">
        <v>-8.359258E-2</v>
      </c>
      <c r="P5477">
        <v>0.9213595</v>
      </c>
      <c r="Q5477">
        <v>0.14330960000000001</v>
      </c>
      <c r="R5477">
        <v>-0.36133019999999999</v>
      </c>
      <c r="S5477">
        <v>2.649902</v>
      </c>
      <c r="T5477">
        <v>-0.29188380000000003</v>
      </c>
      <c r="U5477">
        <v>-1.6680299999999999</v>
      </c>
      <c r="V5477">
        <v>0.28445949999999998</v>
      </c>
      <c r="W5477">
        <v>0.151387299999999</v>
      </c>
      <c r="X5477">
        <v>0.94665969999999999</v>
      </c>
      <c r="Y5477">
        <v>0.45816459999999998</v>
      </c>
      <c r="Z5477">
        <v>-1.8398089999999999E-2</v>
      </c>
      <c r="AA5477">
        <v>0.88867689999999999</v>
      </c>
      <c r="AB5477">
        <v>32</v>
      </c>
      <c r="AC5477">
        <v>10.444899999999899</v>
      </c>
      <c r="AD5477">
        <v>-1.1669529999999999</v>
      </c>
      <c r="AE5477">
        <v>-6.6563299999999996</v>
      </c>
      <c r="AF5477">
        <v>5.7091768790678596</v>
      </c>
      <c r="AG5477">
        <v>-1.1669529999999999</v>
      </c>
      <c r="AH5477">
        <v>10.8683139204139</v>
      </c>
      <c r="AI5477">
        <v>95.429938478467193</v>
      </c>
      <c r="AJ5477">
        <v>62.286841001473498</v>
      </c>
      <c r="AK5477">
        <v>12.3319393208593</v>
      </c>
      <c r="AL5477">
        <v>81.292668421870104</v>
      </c>
      <c r="AM5477">
        <v>73.275128614951797</v>
      </c>
      <c r="AN5477">
        <v>0.999999954672814</v>
      </c>
    </row>
    <row r="5478" spans="1:40" x14ac:dyDescent="0.25">
      <c r="A5478" t="str">
        <f>"20190303162928708"</f>
        <v>20190303162928708</v>
      </c>
      <c r="B5478" t="str">
        <f>"1551601768697576"</f>
        <v>1551601768697576</v>
      </c>
      <c r="C5478" t="s">
        <v>40</v>
      </c>
      <c r="D5478">
        <v>5.3212159999999997</v>
      </c>
      <c r="E5478">
        <v>0.58069499999999996</v>
      </c>
      <c r="F5478" t="s">
        <v>42</v>
      </c>
      <c r="G5478">
        <v>-310.39319999999998</v>
      </c>
      <c r="H5478">
        <v>-0.05</v>
      </c>
      <c r="I5478">
        <v>10.33981</v>
      </c>
      <c r="J5478">
        <v>-320.70679999999999</v>
      </c>
      <c r="K5478">
        <v>1.1165799999999999</v>
      </c>
      <c r="L5478">
        <v>16.97607</v>
      </c>
      <c r="M5478">
        <v>0.996201</v>
      </c>
      <c r="N5478">
        <v>-1.10954E-2</v>
      </c>
      <c r="O5478">
        <v>-8.6373899999999906E-2</v>
      </c>
      <c r="P5478">
        <v>0.91935560000000005</v>
      </c>
      <c r="Q5478">
        <v>0.1444223</v>
      </c>
      <c r="R5478">
        <v>-0.36596099999999998</v>
      </c>
      <c r="S5478">
        <v>2.6433719999999998</v>
      </c>
      <c r="T5478">
        <v>-0.2946144</v>
      </c>
      <c r="U5478">
        <v>-1.67923</v>
      </c>
      <c r="V5478">
        <v>0.28670089999999998</v>
      </c>
      <c r="W5478">
        <v>0.152093899999999</v>
      </c>
      <c r="X5478">
        <v>0.94586999999999999</v>
      </c>
      <c r="Y5478">
        <v>0.45933770000000002</v>
      </c>
      <c r="Z5478">
        <v>-1.8301250000000002E-2</v>
      </c>
      <c r="AA5478">
        <v>0.88807320000000001</v>
      </c>
      <c r="AB5478">
        <v>32</v>
      </c>
      <c r="AC5478">
        <v>10.313599999999999</v>
      </c>
      <c r="AD5478">
        <v>-1.16658</v>
      </c>
      <c r="AE5478">
        <v>-6.63626</v>
      </c>
      <c r="AF5478">
        <v>5.6692796409204096</v>
      </c>
      <c r="AG5478">
        <v>-1.16658</v>
      </c>
      <c r="AH5478">
        <v>10.751011211232001</v>
      </c>
      <c r="AI5478">
        <v>95.482540565063502</v>
      </c>
      <c r="AJ5478">
        <v>62.196186723685202</v>
      </c>
      <c r="AK5478">
        <v>12.2100729976274</v>
      </c>
      <c r="AL5478">
        <v>81.251709400921001</v>
      </c>
      <c r="AM5478">
        <v>73.137516472334895</v>
      </c>
      <c r="AN5478">
        <v>1.00000000868901</v>
      </c>
    </row>
    <row r="5479" spans="1:40" x14ac:dyDescent="0.25">
      <c r="A5479" t="str">
        <f>"20190303162928719"</f>
        <v>20190303162928719</v>
      </c>
      <c r="B5479" t="str">
        <f>"1551601768707336"</f>
        <v>1551601768707336</v>
      </c>
      <c r="C5479" t="s">
        <v>40</v>
      </c>
      <c r="D5479">
        <v>5.3315140000000003</v>
      </c>
      <c r="E5479">
        <v>0.58062419999999904</v>
      </c>
      <c r="F5479" t="s">
        <v>42</v>
      </c>
      <c r="G5479">
        <v>-310.1157</v>
      </c>
      <c r="H5479">
        <v>-0.05</v>
      </c>
      <c r="I5479">
        <v>10.183</v>
      </c>
      <c r="J5479">
        <v>-320.55200000000002</v>
      </c>
      <c r="K5479">
        <v>1.1161589999999999</v>
      </c>
      <c r="L5479">
        <v>16.960660000000001</v>
      </c>
      <c r="M5479">
        <v>0.99596600000000002</v>
      </c>
      <c r="N5479">
        <v>-1.101915E-2</v>
      </c>
      <c r="O5479">
        <v>-8.9052399999999907E-2</v>
      </c>
      <c r="P5479">
        <v>0.9173</v>
      </c>
      <c r="Q5479">
        <v>0.14573429999999901</v>
      </c>
      <c r="R5479">
        <v>-0.37057030000000002</v>
      </c>
      <c r="S5479">
        <v>2.6358030000000001</v>
      </c>
      <c r="T5479">
        <v>-0.29032529999999901</v>
      </c>
      <c r="U5479">
        <v>-1.690582</v>
      </c>
      <c r="V5479">
        <v>0.289051</v>
      </c>
      <c r="W5479">
        <v>0.15308869999999999</v>
      </c>
      <c r="X5479">
        <v>0.94499390000000005</v>
      </c>
      <c r="Y5479">
        <v>0.46087240000000002</v>
      </c>
      <c r="Z5479">
        <v>-1.7934829999999999E-2</v>
      </c>
      <c r="AA5479">
        <v>0.887285199999999</v>
      </c>
      <c r="AB5479">
        <v>32</v>
      </c>
      <c r="AC5479">
        <v>10.436299999999999</v>
      </c>
      <c r="AD5479">
        <v>-1.1661589999999999</v>
      </c>
      <c r="AE5479">
        <v>-6.77766</v>
      </c>
      <c r="AF5479">
        <v>5.7706168755980096</v>
      </c>
      <c r="AG5479">
        <v>-1.1661589999999999</v>
      </c>
      <c r="AH5479">
        <v>10.902686543526301</v>
      </c>
      <c r="AI5479">
        <v>95.400439582734606</v>
      </c>
      <c r="AJ5479">
        <v>62.108449826195503</v>
      </c>
      <c r="AK5479">
        <v>12.390662605551301</v>
      </c>
      <c r="AL5479">
        <v>81.194036542219493</v>
      </c>
      <c r="AM5479">
        <v>72.992383357050898</v>
      </c>
      <c r="AN5479">
        <v>1.0000000508529401</v>
      </c>
    </row>
    <row r="5480" spans="1:40" x14ac:dyDescent="0.25">
      <c r="A5480" t="str">
        <f>"20190303162928732"</f>
        <v>20190303162928732</v>
      </c>
      <c r="B5480" t="str">
        <f>"1551601768727832"</f>
        <v>1551601768727832</v>
      </c>
      <c r="C5480" t="s">
        <v>40</v>
      </c>
      <c r="D5480">
        <v>5.3595360000000003</v>
      </c>
      <c r="E5480">
        <v>0.58040760000000002</v>
      </c>
      <c r="F5480" t="s">
        <v>42</v>
      </c>
      <c r="G5480">
        <v>-309.77609999999999</v>
      </c>
      <c r="H5480">
        <v>-0.05</v>
      </c>
      <c r="I5480">
        <v>9.9702149999999996</v>
      </c>
      <c r="J5480">
        <v>-320.3836</v>
      </c>
      <c r="K5480">
        <v>1.1156509999999999</v>
      </c>
      <c r="L5480">
        <v>16.943239999999999</v>
      </c>
      <c r="M5480">
        <v>0.99569540000000001</v>
      </c>
      <c r="N5480">
        <v>-1.1108389999999999E-2</v>
      </c>
      <c r="O5480">
        <v>-9.2019920000000005E-2</v>
      </c>
      <c r="P5480">
        <v>0.91517700000000002</v>
      </c>
      <c r="Q5480">
        <v>0.14654339999999999</v>
      </c>
      <c r="R5480">
        <v>-0.37546859999999999</v>
      </c>
      <c r="S5480">
        <v>2.6271360000000001</v>
      </c>
      <c r="T5480">
        <v>-0.28430640000000001</v>
      </c>
      <c r="U5480">
        <v>-1.7042539999999999</v>
      </c>
      <c r="V5480">
        <v>0.29144019999999998</v>
      </c>
      <c r="W5480">
        <v>0.15370400000000001</v>
      </c>
      <c r="X5480">
        <v>0.94415979999999999</v>
      </c>
      <c r="Y5480">
        <v>0.46288190000000001</v>
      </c>
      <c r="Z5480">
        <v>-1.7547940000000001E-2</v>
      </c>
      <c r="AA5480">
        <v>0.88624629999999904</v>
      </c>
      <c r="AB5480">
        <v>32</v>
      </c>
      <c r="AC5480">
        <v>10.6075</v>
      </c>
      <c r="AD5480">
        <v>-1.165651</v>
      </c>
      <c r="AE5480">
        <v>-6.9730249999999998</v>
      </c>
      <c r="AF5480">
        <v>5.9173795851704796</v>
      </c>
      <c r="AG5480">
        <v>-1.165651</v>
      </c>
      <c r="AH5480">
        <v>11.1105020765039</v>
      </c>
      <c r="AI5480">
        <v>95.2904971070096</v>
      </c>
      <c r="AJ5480">
        <v>61.960531711233102</v>
      </c>
      <c r="AK5480">
        <v>12.6418898824816</v>
      </c>
      <c r="AL5480">
        <v>81.158359926678699</v>
      </c>
      <c r="AM5480">
        <v>72.845757937908701</v>
      </c>
      <c r="AN5480">
        <v>1.0000000188640299</v>
      </c>
    </row>
    <row r="5481" spans="1:40" x14ac:dyDescent="0.25">
      <c r="A5481" t="str">
        <f>"20190303162928743"</f>
        <v>20190303162928743</v>
      </c>
      <c r="B5481" t="str">
        <f>"1551601768737592"</f>
        <v>1551601768737592</v>
      </c>
      <c r="C5481" t="s">
        <v>40</v>
      </c>
      <c r="D5481">
        <v>5.3302300000000002</v>
      </c>
      <c r="E5481">
        <v>0.58026730000000004</v>
      </c>
      <c r="F5481" t="s">
        <v>42</v>
      </c>
      <c r="G5481">
        <v>-309.54230000000001</v>
      </c>
      <c r="H5481">
        <v>-0.05</v>
      </c>
      <c r="I5481">
        <v>9.8291930000000001</v>
      </c>
      <c r="J5481">
        <v>-320.21280000000002</v>
      </c>
      <c r="K5481">
        <v>1.1151059999999999</v>
      </c>
      <c r="L5481">
        <v>16.925229999999999</v>
      </c>
      <c r="M5481">
        <v>0.99540770000000001</v>
      </c>
      <c r="N5481">
        <v>-1.128942E-2</v>
      </c>
      <c r="O5481">
        <v>-9.5058749999999997E-2</v>
      </c>
      <c r="P5481">
        <v>0.91317130000000002</v>
      </c>
      <c r="Q5481">
        <v>0.1478672</v>
      </c>
      <c r="R5481">
        <v>-0.37980740000000002</v>
      </c>
      <c r="S5481">
        <v>2.6182859999999999</v>
      </c>
      <c r="T5481">
        <v>-0.28151500000000002</v>
      </c>
      <c r="U5481">
        <v>-1.7181090000000001</v>
      </c>
      <c r="V5481">
        <v>0.29321439999999999</v>
      </c>
      <c r="W5481">
        <v>0.15491479999999999</v>
      </c>
      <c r="X5481">
        <v>0.94341220000000003</v>
      </c>
      <c r="Y5481">
        <v>0.46485510000000002</v>
      </c>
      <c r="Z5481">
        <v>-1.7346360000000002E-2</v>
      </c>
      <c r="AA5481">
        <v>0.88521679999999903</v>
      </c>
      <c r="AB5481">
        <v>32</v>
      </c>
      <c r="AC5481">
        <v>10.670500000000001</v>
      </c>
      <c r="AD5481">
        <v>-1.165106</v>
      </c>
      <c r="AE5481">
        <v>-7.0960369999999902</v>
      </c>
      <c r="AF5481">
        <v>5.9999123046286797</v>
      </c>
      <c r="AG5481">
        <v>-1.165106</v>
      </c>
      <c r="AH5481">
        <v>11.204138393718999</v>
      </c>
      <c r="AI5481">
        <v>95.237777872128405</v>
      </c>
      <c r="AJ5481">
        <v>61.830568280249999</v>
      </c>
      <c r="AK5481">
        <v>12.7628028583097</v>
      </c>
      <c r="AL5481">
        <v>81.088144397865506</v>
      </c>
      <c r="AM5481">
        <v>72.734650778571293</v>
      </c>
      <c r="AN5481">
        <v>0.99999992936761695</v>
      </c>
    </row>
    <row r="5482" spans="1:40" x14ac:dyDescent="0.25">
      <c r="A5482" t="str">
        <f>"20190303162928755"</f>
        <v>20190303162928755</v>
      </c>
      <c r="B5482" t="str">
        <f>"1551601768747352"</f>
        <v>1551601768747352</v>
      </c>
      <c r="C5482" t="s">
        <v>40</v>
      </c>
      <c r="D5482">
        <v>5.3651150000000003</v>
      </c>
      <c r="E5482">
        <v>0.58019229999999999</v>
      </c>
      <c r="F5482" t="s">
        <v>42</v>
      </c>
      <c r="G5482">
        <v>-309.19150000000002</v>
      </c>
      <c r="H5482">
        <v>-0.05</v>
      </c>
      <c r="I5482">
        <v>9.6141970000000008</v>
      </c>
      <c r="J5482">
        <v>-320.05200000000002</v>
      </c>
      <c r="K5482">
        <v>1.11449</v>
      </c>
      <c r="L5482">
        <v>16.907229999999998</v>
      </c>
      <c r="M5482">
        <v>0.99510419999999999</v>
      </c>
      <c r="N5482">
        <v>-1.162961E-2</v>
      </c>
      <c r="O5482">
        <v>-9.8145159999999995E-2</v>
      </c>
      <c r="P5482">
        <v>0.91122579999999997</v>
      </c>
      <c r="Q5482">
        <v>0.1484953</v>
      </c>
      <c r="R5482">
        <v>-0.38420989999999999</v>
      </c>
      <c r="S5482">
        <v>2.6098629999999998</v>
      </c>
      <c r="T5482">
        <v>-0.2758987</v>
      </c>
      <c r="U5482">
        <v>-1.7312620000000001</v>
      </c>
      <c r="V5482">
        <v>0.29499629999999999</v>
      </c>
      <c r="W5482">
        <v>0.155588</v>
      </c>
      <c r="X5482">
        <v>0.94274579999999997</v>
      </c>
      <c r="Y5482">
        <v>0.46657900000000002</v>
      </c>
      <c r="Z5482">
        <v>-1.705243E-2</v>
      </c>
      <c r="AA5482">
        <v>0.88431510000000002</v>
      </c>
      <c r="AB5482">
        <v>32</v>
      </c>
      <c r="AC5482">
        <v>10.8605</v>
      </c>
      <c r="AD5482">
        <v>-1.16449</v>
      </c>
      <c r="AE5482">
        <v>-7.2930329999999897</v>
      </c>
      <c r="AF5482">
        <v>6.1431646751502802</v>
      </c>
      <c r="AG5482">
        <v>-1.16449</v>
      </c>
      <c r="AH5482">
        <v>11.433290924266601</v>
      </c>
      <c r="AI5482">
        <v>95.126848923132101</v>
      </c>
      <c r="AJ5482">
        <v>61.750638282224898</v>
      </c>
      <c r="AK5482">
        <v>13.031295044815399</v>
      </c>
      <c r="AL5482">
        <v>81.049100481581306</v>
      </c>
      <c r="AM5482">
        <v>72.6244818104757</v>
      </c>
      <c r="AN5482">
        <v>1.0000000430876601</v>
      </c>
    </row>
    <row r="5483" spans="1:40" x14ac:dyDescent="0.25">
      <c r="A5483" t="str">
        <f>"20190303162928766"</f>
        <v>20190303162928766</v>
      </c>
      <c r="B5483" t="str">
        <f>"1551601768757112"</f>
        <v>1551601768757112</v>
      </c>
      <c r="C5483" t="s">
        <v>40</v>
      </c>
      <c r="D5483">
        <v>5.1487239999999996</v>
      </c>
      <c r="E5483">
        <v>0.58019229999999999</v>
      </c>
      <c r="F5483" t="s">
        <v>42</v>
      </c>
      <c r="G5483">
        <v>-308.98930000000001</v>
      </c>
      <c r="H5483">
        <v>-0.05</v>
      </c>
      <c r="I5483">
        <v>9.4872589999999999</v>
      </c>
      <c r="J5483">
        <v>-319.87479999999999</v>
      </c>
      <c r="K5483">
        <v>1.1137760000000001</v>
      </c>
      <c r="L5483">
        <v>16.88702</v>
      </c>
      <c r="M5483">
        <v>0.99475639999999999</v>
      </c>
      <c r="N5483">
        <v>-1.208128E-2</v>
      </c>
      <c r="O5483">
        <v>-0.1015572</v>
      </c>
      <c r="P5483">
        <v>0.90939099999999995</v>
      </c>
      <c r="Q5483">
        <v>0.149080399999999</v>
      </c>
      <c r="R5483">
        <v>-0.38830890000000001</v>
      </c>
      <c r="S5483">
        <v>2.6012569999999999</v>
      </c>
      <c r="T5483">
        <v>-0.27381660000000002</v>
      </c>
      <c r="U5483">
        <v>-1.74472</v>
      </c>
      <c r="V5483">
        <v>0.29617680000000002</v>
      </c>
      <c r="W5483">
        <v>0.15630669999999999</v>
      </c>
      <c r="X5483">
        <v>0.9422566</v>
      </c>
      <c r="Y5483">
        <v>0.4680687</v>
      </c>
      <c r="Z5483">
        <v>-1.6932280000000001E-2</v>
      </c>
      <c r="AA5483">
        <v>0.88352980000000003</v>
      </c>
      <c r="AB5483">
        <v>32</v>
      </c>
      <c r="AC5483">
        <v>10.885499999999899</v>
      </c>
      <c r="AD5483">
        <v>-1.1637759999999999</v>
      </c>
      <c r="AE5483">
        <v>-7.3997609999999998</v>
      </c>
      <c r="AF5483">
        <v>6.2073890678267301</v>
      </c>
      <c r="AG5483">
        <v>-1.1637759999999999</v>
      </c>
      <c r="AH5483">
        <v>11.4909346980408</v>
      </c>
      <c r="AI5483">
        <v>95.092030998094302</v>
      </c>
      <c r="AJ5483">
        <v>61.622135867954299</v>
      </c>
      <c r="AK5483">
        <v>13.1121178248286</v>
      </c>
      <c r="AL5483">
        <v>81.007411487778597</v>
      </c>
      <c r="AM5483">
        <v>72.550652683390496</v>
      </c>
      <c r="AN5483">
        <v>0.99999999078334501</v>
      </c>
    </row>
    <row r="5484" spans="1:40" x14ac:dyDescent="0.25">
      <c r="A5484" t="str">
        <f>"20190303162928777"</f>
        <v>20190303162928777</v>
      </c>
      <c r="B5484" t="str">
        <f>"1551601768767848"</f>
        <v>1551601768767848</v>
      </c>
      <c r="C5484" t="s">
        <v>40</v>
      </c>
      <c r="D5484">
        <v>5.1890660000000004</v>
      </c>
      <c r="E5484">
        <v>0.58853759999999999</v>
      </c>
      <c r="F5484" t="s">
        <v>42</v>
      </c>
      <c r="G5484">
        <v>-308.74090000000001</v>
      </c>
      <c r="H5484">
        <v>-0.05</v>
      </c>
      <c r="I5484">
        <v>9.3407590000000003</v>
      </c>
      <c r="J5484">
        <v>-319.71519999999998</v>
      </c>
      <c r="K5484">
        <v>1.1130679999999999</v>
      </c>
      <c r="L5484">
        <v>16.868040000000001</v>
      </c>
      <c r="M5484">
        <v>0.99442929999999996</v>
      </c>
      <c r="N5484">
        <v>-1.2656830000000001E-2</v>
      </c>
      <c r="O5484">
        <v>-0.104642899999999</v>
      </c>
      <c r="P5484">
        <v>0.90766500000000006</v>
      </c>
      <c r="Q5484">
        <v>0.14940400000000001</v>
      </c>
      <c r="R5484">
        <v>-0.39220300000000002</v>
      </c>
      <c r="S5484">
        <v>2.5929259999999998</v>
      </c>
      <c r="T5484">
        <v>-0.27102680000000001</v>
      </c>
      <c r="U5484">
        <v>-1.7574160000000001</v>
      </c>
      <c r="V5484">
        <v>0.29744029999999999</v>
      </c>
      <c r="W5484">
        <v>0.15690670000000001</v>
      </c>
      <c r="X5484">
        <v>0.94175880000000001</v>
      </c>
      <c r="Y5484">
        <v>0.46962549999999997</v>
      </c>
      <c r="Z5484">
        <v>-1.6860199999999999E-2</v>
      </c>
      <c r="AA5484">
        <v>0.88270469999999901</v>
      </c>
      <c r="AB5484">
        <v>32</v>
      </c>
      <c r="AC5484">
        <v>10.9742999999999</v>
      </c>
      <c r="AD5484">
        <v>-1.163068</v>
      </c>
      <c r="AE5484">
        <v>-7.5272809999999897</v>
      </c>
      <c r="AF5484">
        <v>6.2894326373647198</v>
      </c>
      <c r="AG5484">
        <v>-1.163068</v>
      </c>
      <c r="AH5484">
        <v>11.613074005899</v>
      </c>
      <c r="AI5484">
        <v>95.032804506750793</v>
      </c>
      <c r="AJ5484">
        <v>61.560819095522803</v>
      </c>
      <c r="AK5484">
        <v>13.2579477272714</v>
      </c>
      <c r="AL5484">
        <v>80.972604994688794</v>
      </c>
      <c r="AM5484">
        <v>72.472064739424098</v>
      </c>
      <c r="AN5484">
        <v>1.0000000409731999</v>
      </c>
    </row>
    <row r="5485" spans="1:40" x14ac:dyDescent="0.25">
      <c r="A5485" t="str">
        <f>"20190303162928790"</f>
        <v>20190303162928790</v>
      </c>
      <c r="B5485" t="str">
        <f>"1551601768777609"</f>
        <v>1551601768777609</v>
      </c>
      <c r="C5485" t="s">
        <v>40</v>
      </c>
      <c r="D5485">
        <v>5.1703650000000003</v>
      </c>
      <c r="E5485">
        <v>0.58869090000000002</v>
      </c>
      <c r="F5485" t="s">
        <v>42</v>
      </c>
      <c r="G5485">
        <v>-300.48340000000002</v>
      </c>
      <c r="H5485">
        <v>-0.05</v>
      </c>
      <c r="I5485">
        <v>3.0122070000000001</v>
      </c>
      <c r="J5485">
        <v>-319.5521</v>
      </c>
      <c r="K5485">
        <v>1.112296</v>
      </c>
      <c r="L5485">
        <v>16.84796</v>
      </c>
      <c r="M5485">
        <v>0.99408269999999999</v>
      </c>
      <c r="N5485">
        <v>-1.333576E-2</v>
      </c>
      <c r="O5485">
        <v>-0.10780380000000001</v>
      </c>
      <c r="P5485">
        <v>0.90601719999999997</v>
      </c>
      <c r="Q5485">
        <v>0.14939189999999999</v>
      </c>
      <c r="R5485">
        <v>-0.39599899999999999</v>
      </c>
      <c r="S5485">
        <v>2.5397949999999998</v>
      </c>
      <c r="T5485">
        <v>-0.1535974</v>
      </c>
      <c r="U5485">
        <v>-1.829834</v>
      </c>
      <c r="V5485">
        <v>0.29852509999999999</v>
      </c>
      <c r="W5485">
        <v>0.15727550000000001</v>
      </c>
      <c r="X5485">
        <v>0.94135389999999997</v>
      </c>
      <c r="Y5485">
        <v>0.49298330000000001</v>
      </c>
      <c r="Z5485">
        <v>-1.250275E-2</v>
      </c>
      <c r="AA5485">
        <v>0.86994889999999903</v>
      </c>
      <c r="AB5485">
        <v>32</v>
      </c>
      <c r="AC5485">
        <v>19.0686999999999</v>
      </c>
      <c r="AD5485">
        <v>-1.162296</v>
      </c>
      <c r="AE5485">
        <v>-13.835753</v>
      </c>
      <c r="AF5485">
        <v>11.6708393193341</v>
      </c>
      <c r="AG5485">
        <v>-1.162296</v>
      </c>
      <c r="AH5485">
        <v>20.399579864269</v>
      </c>
      <c r="AI5485">
        <v>92.831248421936706</v>
      </c>
      <c r="AJ5485">
        <v>60.225619433549902</v>
      </c>
      <c r="AK5485">
        <v>23.5308793088576</v>
      </c>
      <c r="AL5485">
        <v>80.951208207345502</v>
      </c>
      <c r="AM5485">
        <v>72.404974244047395</v>
      </c>
      <c r="AN5485">
        <v>0.99999999163773501</v>
      </c>
    </row>
    <row r="5486" spans="1:40" x14ac:dyDescent="0.25">
      <c r="A5486" t="str">
        <f>"20190303162928803"</f>
        <v>20190303162928803</v>
      </c>
      <c r="B5486" t="str">
        <f>"1551601768797128"</f>
        <v>1551601768797128</v>
      </c>
      <c r="C5486" t="s">
        <v>40</v>
      </c>
      <c r="D5486">
        <v>5.1845480000000004</v>
      </c>
      <c r="E5486">
        <v>0.58839649999999999</v>
      </c>
      <c r="F5486" t="s">
        <v>42</v>
      </c>
      <c r="G5486">
        <v>-299.34910000000002</v>
      </c>
      <c r="H5486">
        <v>-0.05</v>
      </c>
      <c r="I5486">
        <v>2.1419830000000002</v>
      </c>
      <c r="J5486">
        <v>-319.35750000000002</v>
      </c>
      <c r="K5486">
        <v>1.111334</v>
      </c>
      <c r="L5486">
        <v>16.82339</v>
      </c>
      <c r="M5486">
        <v>0.99365329999999996</v>
      </c>
      <c r="N5486">
        <v>-1.4234520000000001E-2</v>
      </c>
      <c r="O5486">
        <v>-0.111582399999999</v>
      </c>
      <c r="P5486">
        <v>0.90412349999999997</v>
      </c>
      <c r="Q5486">
        <v>0.1489134</v>
      </c>
      <c r="R5486">
        <v>-0.40048240000000002</v>
      </c>
      <c r="S5486">
        <v>2.5302120000000001</v>
      </c>
      <c r="T5486">
        <v>-0.14556520000000001</v>
      </c>
      <c r="U5486">
        <v>-1.841766</v>
      </c>
      <c r="V5486">
        <v>0.29975269999999998</v>
      </c>
      <c r="W5486">
        <v>0.1573456</v>
      </c>
      <c r="X5486">
        <v>0.94095200000000001</v>
      </c>
      <c r="Y5486">
        <v>0.49396679999999998</v>
      </c>
      <c r="Z5486">
        <v>-1.2349590000000001E-2</v>
      </c>
      <c r="AA5486">
        <v>0.86939310000000003</v>
      </c>
      <c r="AB5486">
        <v>32</v>
      </c>
      <c r="AC5486">
        <v>20.008399999999899</v>
      </c>
      <c r="AD5486">
        <v>-1.1613340000000001</v>
      </c>
      <c r="AE5486">
        <v>-14.681407</v>
      </c>
      <c r="AF5486">
        <v>12.3298934792741</v>
      </c>
      <c r="AG5486">
        <v>-1.1613340000000001</v>
      </c>
      <c r="AH5486">
        <v>21.474751457027999</v>
      </c>
      <c r="AI5486">
        <v>92.685120035838807</v>
      </c>
      <c r="AJ5486">
        <v>60.137381063455898</v>
      </c>
      <c r="AK5486">
        <v>24.7899156918883</v>
      </c>
      <c r="AL5486">
        <v>80.947141144038298</v>
      </c>
      <c r="AM5486">
        <v>72.330034170560396</v>
      </c>
      <c r="AN5486">
        <v>0.99999999265032402</v>
      </c>
    </row>
    <row r="5487" spans="1:40" x14ac:dyDescent="0.25">
      <c r="A5487" t="str">
        <f>"20190303162928817"</f>
        <v>20190303162928817</v>
      </c>
      <c r="B5487" t="str">
        <f>"1551601768807865"</f>
        <v>1551601768807865</v>
      </c>
      <c r="C5487" t="s">
        <v>40</v>
      </c>
      <c r="D5487">
        <v>5.1641050000000002</v>
      </c>
      <c r="E5487">
        <v>0.58784009999999998</v>
      </c>
      <c r="F5487" t="s">
        <v>42</v>
      </c>
      <c r="G5487">
        <v>-300.96379999999999</v>
      </c>
      <c r="H5487">
        <v>-0.05</v>
      </c>
      <c r="I5487">
        <v>3.3219910000000001</v>
      </c>
      <c r="J5487">
        <v>-319.15410000000003</v>
      </c>
      <c r="K5487">
        <v>1.1102559999999999</v>
      </c>
      <c r="L5487">
        <v>16.796140000000001</v>
      </c>
      <c r="M5487">
        <v>0.99316059999999995</v>
      </c>
      <c r="N5487">
        <v>-1.530013E-2</v>
      </c>
      <c r="O5487">
        <v>-0.1157508</v>
      </c>
      <c r="P5487">
        <v>0.90197899999999998</v>
      </c>
      <c r="Q5487">
        <v>0.14842230000000001</v>
      </c>
      <c r="R5487">
        <v>-0.40546860000000001</v>
      </c>
      <c r="S5487">
        <v>2.5237729999999998</v>
      </c>
      <c r="T5487">
        <v>-0.15934499999999999</v>
      </c>
      <c r="U5487">
        <v>-1.852509</v>
      </c>
      <c r="V5487">
        <v>0.30113030000000002</v>
      </c>
      <c r="W5487">
        <v>0.1575839</v>
      </c>
      <c r="X5487">
        <v>0.94047219999999998</v>
      </c>
      <c r="Y5487">
        <v>0.49366339999999997</v>
      </c>
      <c r="Z5487">
        <v>-1.32414E-2</v>
      </c>
      <c r="AA5487">
        <v>0.86955229999999994</v>
      </c>
      <c r="AB5487">
        <v>32</v>
      </c>
      <c r="AC5487">
        <v>18.190300000000001</v>
      </c>
      <c r="AD5487">
        <v>-1.160256</v>
      </c>
      <c r="AE5487">
        <v>-13.474148999999899</v>
      </c>
      <c r="AF5487">
        <v>11.248221031746599</v>
      </c>
      <c r="AG5487">
        <v>-1.160256</v>
      </c>
      <c r="AH5487">
        <v>19.576399399428901</v>
      </c>
      <c r="AI5487">
        <v>92.941796397699306</v>
      </c>
      <c r="AJ5487">
        <v>60.119156721874099</v>
      </c>
      <c r="AK5487">
        <v>22.607611192041599</v>
      </c>
      <c r="AL5487">
        <v>80.933315607916697</v>
      </c>
      <c r="AM5487">
        <v>72.245425945592501</v>
      </c>
      <c r="AN5487">
        <v>1.00000005104506</v>
      </c>
    </row>
    <row r="5488" spans="1:40" x14ac:dyDescent="0.25">
      <c r="A5488" t="str">
        <f>"20190303162928834"</f>
        <v>20190303162928834</v>
      </c>
      <c r="B5488" t="str">
        <f>"1551601768827386"</f>
        <v>1551601768827386</v>
      </c>
      <c r="C5488" t="s">
        <v>40</v>
      </c>
      <c r="D5488">
        <v>5.2197550000000001</v>
      </c>
      <c r="E5488">
        <v>0.58705169999999995</v>
      </c>
      <c r="F5488" t="s">
        <v>42</v>
      </c>
      <c r="G5488">
        <v>-301.50970000000001</v>
      </c>
      <c r="H5488">
        <v>-0.05</v>
      </c>
      <c r="I5488">
        <v>3.72966</v>
      </c>
      <c r="J5488">
        <v>-318.9273</v>
      </c>
      <c r="K5488">
        <v>1.1090469999999999</v>
      </c>
      <c r="L5488">
        <v>16.764559999999999</v>
      </c>
      <c r="M5488">
        <v>0.99254489999999995</v>
      </c>
      <c r="N5488">
        <v>-1.656583E-2</v>
      </c>
      <c r="O5488">
        <v>-0.1207487</v>
      </c>
      <c r="P5488">
        <v>0.89849780000000001</v>
      </c>
      <c r="Q5488">
        <v>0.14926919999999999</v>
      </c>
      <c r="R5488">
        <v>-0.41282099999999999</v>
      </c>
      <c r="S5488">
        <v>2.515717</v>
      </c>
      <c r="T5488">
        <v>-0.1654283</v>
      </c>
      <c r="U5488">
        <v>-1.8630070000000001</v>
      </c>
      <c r="V5488">
        <v>0.304253</v>
      </c>
      <c r="W5488">
        <v>0.1593193</v>
      </c>
      <c r="X5488">
        <v>0.93917379999999995</v>
      </c>
      <c r="Y5488">
        <v>0.49289250000000001</v>
      </c>
      <c r="Z5488">
        <v>-1.378074E-2</v>
      </c>
      <c r="AA5488">
        <v>0.86998109999999995</v>
      </c>
      <c r="AB5488">
        <v>32</v>
      </c>
      <c r="AC5488">
        <v>17.417599999999901</v>
      </c>
      <c r="AD5488">
        <v>-1.1590469999999999</v>
      </c>
      <c r="AE5488">
        <v>-13.0349</v>
      </c>
      <c r="AF5488">
        <v>10.805386972669901</v>
      </c>
      <c r="AG5488">
        <v>-1.1590469999999999</v>
      </c>
      <c r="AH5488">
        <v>18.810891434912801</v>
      </c>
      <c r="AI5488">
        <v>93.058314921949801</v>
      </c>
      <c r="AJ5488">
        <v>60.125999310423801</v>
      </c>
      <c r="AK5488">
        <v>21.724396750046498</v>
      </c>
      <c r="AL5488">
        <v>80.832611608178894</v>
      </c>
      <c r="AM5488">
        <v>72.049846118970706</v>
      </c>
      <c r="AN5488">
        <v>0.99999997698396403</v>
      </c>
    </row>
    <row r="5489" spans="1:40" x14ac:dyDescent="0.25">
      <c r="A5489" t="str">
        <f>"20190303162928847"</f>
        <v>20190303162928847</v>
      </c>
      <c r="B5489" t="str">
        <f>"1551601768837143"</f>
        <v>1551601768837143</v>
      </c>
      <c r="C5489" t="s">
        <v>40</v>
      </c>
      <c r="D5489">
        <v>5.5341079999999998</v>
      </c>
      <c r="E5489">
        <v>0.58705169999999995</v>
      </c>
      <c r="F5489" t="s">
        <v>42</v>
      </c>
      <c r="G5489">
        <v>-302.49669999999998</v>
      </c>
      <c r="H5489">
        <v>-0.05</v>
      </c>
      <c r="I5489">
        <v>4.4460139999999999</v>
      </c>
      <c r="J5489">
        <v>-318.73230000000001</v>
      </c>
      <c r="K5489">
        <v>1.1079939999999999</v>
      </c>
      <c r="L5489">
        <v>16.736419999999999</v>
      </c>
      <c r="M5489">
        <v>0.99193200000000004</v>
      </c>
      <c r="N5489">
        <v>-1.7633490000000002E-2</v>
      </c>
      <c r="O5489">
        <v>-0.1255395</v>
      </c>
      <c r="P5489">
        <v>0.89552739999999997</v>
      </c>
      <c r="Q5489">
        <v>0.1497242</v>
      </c>
      <c r="R5489">
        <v>-0.41906270000000001</v>
      </c>
      <c r="S5489">
        <v>2.5052490000000001</v>
      </c>
      <c r="T5489">
        <v>-0.17672539999999901</v>
      </c>
      <c r="U5489">
        <v>-1.8782650000000001</v>
      </c>
      <c r="V5489">
        <v>0.30637160000000002</v>
      </c>
      <c r="W5489">
        <v>0.1605751</v>
      </c>
      <c r="X5489">
        <v>0.93827079999999996</v>
      </c>
      <c r="Y5489">
        <v>0.49371470000000001</v>
      </c>
      <c r="Z5489">
        <v>-1.453549E-2</v>
      </c>
      <c r="AA5489">
        <v>0.86950249999999996</v>
      </c>
      <c r="AB5489">
        <v>32</v>
      </c>
      <c r="AC5489">
        <v>16.235600000000002</v>
      </c>
      <c r="AD5489">
        <v>-1.157994</v>
      </c>
      <c r="AE5489">
        <v>-12.290406000000001</v>
      </c>
      <c r="AF5489">
        <v>10.121882170809601</v>
      </c>
      <c r="AG5489">
        <v>-1.157994</v>
      </c>
      <c r="AH5489">
        <v>17.593389153616499</v>
      </c>
      <c r="AI5489">
        <v>93.265280000119802</v>
      </c>
      <c r="AJ5489">
        <v>60.087190131692502</v>
      </c>
      <c r="AK5489">
        <v>20.330292439962101</v>
      </c>
      <c r="AL5489">
        <v>80.759721418690702</v>
      </c>
      <c r="AM5489">
        <v>71.916694710999295</v>
      </c>
      <c r="AN5489">
        <v>1.0000000070796</v>
      </c>
    </row>
    <row r="5490" spans="1:40" x14ac:dyDescent="0.25">
      <c r="A5490" t="str">
        <f>"20190303162928860"</f>
        <v>20190303162928860</v>
      </c>
      <c r="B5490" t="str">
        <f>"1551601768846904"</f>
        <v>1551601768846904</v>
      </c>
      <c r="C5490" t="s">
        <v>40</v>
      </c>
      <c r="D5490">
        <v>5.4951160000000003</v>
      </c>
      <c r="E5490">
        <v>0.58562749999999997</v>
      </c>
      <c r="F5490" t="s">
        <v>42</v>
      </c>
      <c r="G5490">
        <v>-302.30970000000002</v>
      </c>
      <c r="H5490">
        <v>-0.05</v>
      </c>
      <c r="I5490">
        <v>4.2473140000000003</v>
      </c>
      <c r="J5490">
        <v>-318.54989999999998</v>
      </c>
      <c r="K5490">
        <v>1.106997</v>
      </c>
      <c r="L5490">
        <v>16.709109999999999</v>
      </c>
      <c r="M5490">
        <v>0.99124760000000001</v>
      </c>
      <c r="N5490">
        <v>-1.8521220000000001E-2</v>
      </c>
      <c r="O5490">
        <v>-0.13071070000000001</v>
      </c>
      <c r="P5490">
        <v>0.89235219999999904</v>
      </c>
      <c r="Q5490">
        <v>0.1500561</v>
      </c>
      <c r="R5490">
        <v>-0.42566549999999997</v>
      </c>
      <c r="S5490">
        <v>2.492432</v>
      </c>
      <c r="T5490">
        <v>-0.1757464</v>
      </c>
      <c r="U5490">
        <v>-1.8954470000000001</v>
      </c>
      <c r="V5490">
        <v>0.30848730000000002</v>
      </c>
      <c r="W5490">
        <v>0.16159780000000001</v>
      </c>
      <c r="X5490">
        <v>0.93740159999999995</v>
      </c>
      <c r="Y5490">
        <v>0.49512109999999898</v>
      </c>
      <c r="Z5490">
        <v>-1.4693619999999999E-2</v>
      </c>
      <c r="AA5490">
        <v>0.86869969999999996</v>
      </c>
      <c r="AB5490">
        <v>31</v>
      </c>
      <c r="AC5490">
        <v>16.240199999999898</v>
      </c>
      <c r="AD5490">
        <v>-1.1569969999999901</v>
      </c>
      <c r="AE5490">
        <v>-12.461796</v>
      </c>
      <c r="AF5490">
        <v>10.1991303434366</v>
      </c>
      <c r="AG5490">
        <v>-1.1569969999999901</v>
      </c>
      <c r="AH5490">
        <v>17.673530669418</v>
      </c>
      <c r="AI5490">
        <v>93.245243431218697</v>
      </c>
      <c r="AJ5490">
        <v>60.011398231436097</v>
      </c>
      <c r="AK5490">
        <v>20.438067133251</v>
      </c>
      <c r="AL5490">
        <v>80.700349686065195</v>
      </c>
      <c r="AM5490">
        <v>71.784262511875099</v>
      </c>
      <c r="AN5490">
        <v>1.0000000114543399</v>
      </c>
    </row>
    <row r="5491" spans="1:40" x14ac:dyDescent="0.25">
      <c r="A5491" t="str">
        <f>"20190303162928875"</f>
        <v>20190303162928875</v>
      </c>
      <c r="B5491" t="str">
        <f>"1551601768867400"</f>
        <v>1551601768867400</v>
      </c>
      <c r="C5491" t="s">
        <v>40</v>
      </c>
      <c r="D5491">
        <v>5.6493270000000004</v>
      </c>
      <c r="E5491">
        <v>0.59625280000000003</v>
      </c>
      <c r="F5491" t="s">
        <v>42</v>
      </c>
      <c r="G5491">
        <v>-310.06529999999998</v>
      </c>
      <c r="H5491">
        <v>-0.05</v>
      </c>
      <c r="I5491">
        <v>10.27023</v>
      </c>
      <c r="J5491">
        <v>-318.33550000000002</v>
      </c>
      <c r="K5491">
        <v>1.1056649999999999</v>
      </c>
      <c r="L5491">
        <v>16.675629999999899</v>
      </c>
      <c r="M5491">
        <v>0.99035019999999996</v>
      </c>
      <c r="N5491">
        <v>-1.9412479999999999E-2</v>
      </c>
      <c r="O5491">
        <v>-0.1372207</v>
      </c>
      <c r="P5491">
        <v>0.88751259999999998</v>
      </c>
      <c r="Q5491">
        <v>0.15009710000000001</v>
      </c>
      <c r="R5491">
        <v>-0.43565179999999998</v>
      </c>
      <c r="S5491">
        <v>2.5105900000000001</v>
      </c>
      <c r="T5491">
        <v>-0.34235789999999999</v>
      </c>
      <c r="U5491">
        <v>-1.905273</v>
      </c>
      <c r="V5491">
        <v>0.31295040000000002</v>
      </c>
      <c r="W5491">
        <v>0.162211299999999</v>
      </c>
      <c r="X5491">
        <v>0.93581490000000001</v>
      </c>
      <c r="Y5491">
        <v>0.486676</v>
      </c>
      <c r="Z5491">
        <v>-2.0688249999999998E-2</v>
      </c>
      <c r="AA5491">
        <v>0.87333760000000005</v>
      </c>
      <c r="AB5491">
        <v>31</v>
      </c>
      <c r="AC5491">
        <v>8.27020000000004</v>
      </c>
      <c r="AD5491">
        <v>-1.1556649999999999</v>
      </c>
      <c r="AE5491">
        <v>-6.4053999999999904</v>
      </c>
      <c r="AF5491">
        <v>5.1469093527460004</v>
      </c>
      <c r="AG5491">
        <v>-1.1556649999999999</v>
      </c>
      <c r="AH5491">
        <v>8.9616782346607895</v>
      </c>
      <c r="AI5491">
        <v>96.380631104125499</v>
      </c>
      <c r="AJ5491">
        <v>60.130202912538003</v>
      </c>
      <c r="AK5491">
        <v>10.3989381313287</v>
      </c>
      <c r="AL5491">
        <v>80.664728582777101</v>
      </c>
      <c r="AM5491">
        <v>71.5092995447189</v>
      </c>
      <c r="AN5491">
        <v>0.99999999288493002</v>
      </c>
    </row>
    <row r="5492" spans="1:40" x14ac:dyDescent="0.25">
      <c r="A5492" t="str">
        <f>"20190303162928886"</f>
        <v>20190303162928886</v>
      </c>
      <c r="B5492" t="str">
        <f>"1551601768877160"</f>
        <v>1551601768877160</v>
      </c>
      <c r="C5492" t="s">
        <v>40</v>
      </c>
      <c r="D5492">
        <v>5.5539040000000002</v>
      </c>
      <c r="E5492">
        <v>0.59723269999999995</v>
      </c>
      <c r="F5492" t="s">
        <v>42</v>
      </c>
      <c r="G5492">
        <v>-311.09410000000003</v>
      </c>
      <c r="H5492">
        <v>-0.05</v>
      </c>
      <c r="I5492">
        <v>10.76694</v>
      </c>
      <c r="J5492">
        <v>-318.17660000000001</v>
      </c>
      <c r="K5492">
        <v>1.1045799999999999</v>
      </c>
      <c r="L5492">
        <v>16.650120000000001</v>
      </c>
      <c r="M5492">
        <v>0.98964600000000003</v>
      </c>
      <c r="N5492">
        <v>-2.0025230000000002E-2</v>
      </c>
      <c r="O5492">
        <v>-0.14212629999999901</v>
      </c>
      <c r="P5492">
        <v>0.88439500000000004</v>
      </c>
      <c r="Q5492">
        <v>0.14995520000000001</v>
      </c>
      <c r="R5492">
        <v>-0.44199460000000002</v>
      </c>
      <c r="S5492">
        <v>2.4609679999999998</v>
      </c>
      <c r="T5492">
        <v>-0.39275149999999998</v>
      </c>
      <c r="U5492">
        <v>-2.008057</v>
      </c>
      <c r="V5492">
        <v>0.31510179999999999</v>
      </c>
      <c r="W5492">
        <v>0.16243479999999999</v>
      </c>
      <c r="X5492">
        <v>0.93505389999999999</v>
      </c>
      <c r="Y5492">
        <v>0.51192439999999995</v>
      </c>
      <c r="Z5492">
        <v>-2.4410959999999999E-2</v>
      </c>
      <c r="AA5492">
        <v>0.85868359999999899</v>
      </c>
      <c r="AB5492">
        <v>32</v>
      </c>
      <c r="AC5492">
        <v>7.08249999999998</v>
      </c>
      <c r="AD5492">
        <v>-1.1545799999999999</v>
      </c>
      <c r="AE5492">
        <v>-5.8831800000000003</v>
      </c>
      <c r="AF5492">
        <v>4.7420534204941296</v>
      </c>
      <c r="AG5492">
        <v>-1.1545799999999999</v>
      </c>
      <c r="AH5492">
        <v>7.7254142858308397</v>
      </c>
      <c r="AI5492">
        <v>97.258722437459596</v>
      </c>
      <c r="AJ5492">
        <v>58.457351822835101</v>
      </c>
      <c r="AK5492">
        <v>9.13795116571211</v>
      </c>
      <c r="AL5492">
        <v>80.651750949516398</v>
      </c>
      <c r="AM5492">
        <v>71.376808879497901</v>
      </c>
      <c r="AN5492">
        <v>1.00000000225974</v>
      </c>
    </row>
    <row r="5493" spans="1:40" x14ac:dyDescent="0.25">
      <c r="A5493" t="str">
        <f>"20190303162928897"</f>
        <v>20190303162928897</v>
      </c>
      <c r="B5493" t="str">
        <f>"1551601768886921"</f>
        <v>1551601768886921</v>
      </c>
      <c r="C5493" t="s">
        <v>40</v>
      </c>
      <c r="D5493">
        <v>5.5486339999999998</v>
      </c>
      <c r="E5493">
        <v>0.59740569999999904</v>
      </c>
      <c r="F5493" t="s">
        <v>42</v>
      </c>
      <c r="G5493">
        <v>-311.40570000000002</v>
      </c>
      <c r="H5493">
        <v>-0.05</v>
      </c>
      <c r="I5493">
        <v>11.023910000000001</v>
      </c>
      <c r="J5493">
        <v>-318.02249999999998</v>
      </c>
      <c r="K5493">
        <v>1.1033790000000001</v>
      </c>
      <c r="L5493">
        <v>16.624389999999998</v>
      </c>
      <c r="M5493">
        <v>0.98893759999999997</v>
      </c>
      <c r="N5493">
        <v>-2.0572690000000001E-2</v>
      </c>
      <c r="O5493">
        <v>-0.14689969999999999</v>
      </c>
      <c r="P5493">
        <v>0.88133039999999996</v>
      </c>
      <c r="Q5493">
        <v>0.14992810000000001</v>
      </c>
      <c r="R5493">
        <v>-0.44808379999999998</v>
      </c>
      <c r="S5493">
        <v>2.446777</v>
      </c>
      <c r="T5493">
        <v>-0.41722520000000002</v>
      </c>
      <c r="U5493">
        <v>-2.033112</v>
      </c>
      <c r="V5493">
        <v>0.3171659</v>
      </c>
      <c r="W5493">
        <v>0.1626447</v>
      </c>
      <c r="X5493">
        <v>0.93431929999999996</v>
      </c>
      <c r="Y5493">
        <v>0.51500319999999999</v>
      </c>
      <c r="Z5493">
        <v>-2.5344599999999998E-2</v>
      </c>
      <c r="AA5493">
        <v>0.85681350000000001</v>
      </c>
      <c r="AB5493">
        <v>32</v>
      </c>
      <c r="AC5493">
        <v>6.6167999999999498</v>
      </c>
      <c r="AD5493">
        <v>-1.1533789999999999</v>
      </c>
      <c r="AE5493">
        <v>-5.6004799999999904</v>
      </c>
      <c r="AF5493">
        <v>4.4880365871633101</v>
      </c>
      <c r="AG5493">
        <v>-1.1533789999999999</v>
      </c>
      <c r="AH5493">
        <v>7.23970964392627</v>
      </c>
      <c r="AI5493">
        <v>97.711254712846497</v>
      </c>
      <c r="AJ5493">
        <v>58.204422331210502</v>
      </c>
      <c r="AK5493">
        <v>8.5957053959356102</v>
      </c>
      <c r="AL5493">
        <v>80.639562749439094</v>
      </c>
      <c r="AM5493">
        <v>71.249602195872797</v>
      </c>
      <c r="AN5493">
        <v>1.0000000304566901</v>
      </c>
    </row>
    <row r="5494" spans="1:40" x14ac:dyDescent="0.25">
      <c r="A5494" t="str">
        <f>"20190303162928912"</f>
        <v>20190303162928912</v>
      </c>
      <c r="B5494" t="str">
        <f>"1551601768897656"</f>
        <v>1551601768897656</v>
      </c>
      <c r="C5494" t="s">
        <v>40</v>
      </c>
      <c r="D5494">
        <v>5.5455329999999998</v>
      </c>
      <c r="E5494">
        <v>0.59619409999999995</v>
      </c>
      <c r="F5494" t="s">
        <v>42</v>
      </c>
      <c r="G5494">
        <v>-311.5763</v>
      </c>
      <c r="H5494">
        <v>-0.05</v>
      </c>
      <c r="I5494">
        <v>11.19055</v>
      </c>
      <c r="J5494">
        <v>-317.86579999999998</v>
      </c>
      <c r="K5494">
        <v>1.1020669999999999</v>
      </c>
      <c r="L5494">
        <v>16.597439999999999</v>
      </c>
      <c r="M5494">
        <v>0.98819489999999999</v>
      </c>
      <c r="N5494">
        <v>-2.1088929999999999E-2</v>
      </c>
      <c r="O5494">
        <v>-0.15174399999999999</v>
      </c>
      <c r="P5494">
        <v>0.87817849999999997</v>
      </c>
      <c r="Q5494">
        <v>0.14980689999999999</v>
      </c>
      <c r="R5494">
        <v>-0.4542698</v>
      </c>
      <c r="S5494">
        <v>2.434631</v>
      </c>
      <c r="T5494">
        <v>-0.43561319999999998</v>
      </c>
      <c r="U5494">
        <v>-2.0522770000000001</v>
      </c>
      <c r="V5494">
        <v>0.31929970000000002</v>
      </c>
      <c r="W5494">
        <v>0.16268840000000001</v>
      </c>
      <c r="X5494">
        <v>0.93358459999999999</v>
      </c>
      <c r="Y5494">
        <v>0.51652979999999904</v>
      </c>
      <c r="Z5494">
        <v>-2.583618E-2</v>
      </c>
      <c r="AA5494">
        <v>0.85587930000000001</v>
      </c>
      <c r="AB5494">
        <v>32</v>
      </c>
      <c r="AC5494">
        <v>6.2894999999999701</v>
      </c>
      <c r="AD5494">
        <v>-1.152067</v>
      </c>
      <c r="AE5494">
        <v>-5.40688999999999</v>
      </c>
      <c r="AF5494">
        <v>4.30655374090815</v>
      </c>
      <c r="AG5494">
        <v>-1.152067</v>
      </c>
      <c r="AH5494">
        <v>6.9040742603787297</v>
      </c>
      <c r="AI5494">
        <v>98.058476233686406</v>
      </c>
      <c r="AJ5494">
        <v>58.045326550364102</v>
      </c>
      <c r="AK5494">
        <v>8.2182665379411404</v>
      </c>
      <c r="AL5494">
        <v>80.637024928896295</v>
      </c>
      <c r="AM5494">
        <v>71.118555618451794</v>
      </c>
      <c r="AN5494">
        <v>1.0000000096359001</v>
      </c>
    </row>
    <row r="5495" spans="1:40" x14ac:dyDescent="0.25">
      <c r="A5495" t="str">
        <f>"20190303162928923"</f>
        <v>20190303162928923</v>
      </c>
      <c r="B5495" t="str">
        <f>"1551601768917177"</f>
        <v>1551601768917177</v>
      </c>
      <c r="C5495" t="s">
        <v>40</v>
      </c>
      <c r="D5495">
        <v>5.5348059999999997</v>
      </c>
      <c r="E5495">
        <v>0.59633150000000001</v>
      </c>
      <c r="F5495" t="s">
        <v>42</v>
      </c>
      <c r="G5495">
        <v>-311.79739999999998</v>
      </c>
      <c r="H5495">
        <v>-0.05</v>
      </c>
      <c r="I5495">
        <v>11.444839999999999</v>
      </c>
      <c r="J5495">
        <v>-317.66520000000003</v>
      </c>
      <c r="K5495">
        <v>1.100271</v>
      </c>
      <c r="L5495">
        <v>16.561859999999999</v>
      </c>
      <c r="M5495">
        <v>0.98721239999999999</v>
      </c>
      <c r="N5495">
        <v>-2.1695329999999999E-2</v>
      </c>
      <c r="O5495">
        <v>-0.1579274</v>
      </c>
      <c r="P5495">
        <v>0.87429409999999896</v>
      </c>
      <c r="Q5495">
        <v>0.14964930000000001</v>
      </c>
      <c r="R5495">
        <v>-0.46175250000000001</v>
      </c>
      <c r="S5495">
        <v>2.4282530000000002</v>
      </c>
      <c r="T5495">
        <v>-0.46099620000000002</v>
      </c>
      <c r="U5495">
        <v>-2.061798</v>
      </c>
      <c r="V5495">
        <v>0.32163170000000002</v>
      </c>
      <c r="W5495">
        <v>0.1626503</v>
      </c>
      <c r="X5495">
        <v>0.93279040000000002</v>
      </c>
      <c r="Y5495">
        <v>0.51382550000000005</v>
      </c>
      <c r="Z5495">
        <v>-2.5981440000000001E-2</v>
      </c>
      <c r="AA5495">
        <v>0.85750119999999896</v>
      </c>
      <c r="AB5495">
        <v>32</v>
      </c>
      <c r="AC5495">
        <v>5.8678000000000399</v>
      </c>
      <c r="AD5495">
        <v>-1.1502709999999901</v>
      </c>
      <c r="AE5495">
        <v>-5.1170200000000001</v>
      </c>
      <c r="AF5495">
        <v>4.0377331979407796</v>
      </c>
      <c r="AG5495">
        <v>-1.1502709999999901</v>
      </c>
      <c r="AH5495">
        <v>6.4613949273483504</v>
      </c>
      <c r="AI5495">
        <v>98.585063204007398</v>
      </c>
      <c r="AJ5495">
        <v>57.998689244574798</v>
      </c>
      <c r="AK5495">
        <v>7.70558480313837</v>
      </c>
      <c r="AL5495">
        <v>80.639237279412399</v>
      </c>
      <c r="AM5495">
        <v>70.975500797538402</v>
      </c>
      <c r="AN5495">
        <v>1.0000000004335601</v>
      </c>
    </row>
    <row r="5496" spans="1:40" x14ac:dyDescent="0.25">
      <c r="A5496" t="str">
        <f>"20190303162928933"</f>
        <v>20190303162928933</v>
      </c>
      <c r="B5496" t="str">
        <f>"1551601768926936"</f>
        <v>1551601768926936</v>
      </c>
      <c r="C5496" t="s">
        <v>40</v>
      </c>
      <c r="D5496">
        <v>5.534586</v>
      </c>
      <c r="E5496">
        <v>0.59597650000000002</v>
      </c>
      <c r="F5496" t="s">
        <v>42</v>
      </c>
      <c r="G5496">
        <v>-311.8261</v>
      </c>
      <c r="H5496">
        <v>-0.05</v>
      </c>
      <c r="I5496">
        <v>11.51723</v>
      </c>
      <c r="J5496">
        <v>-317.50729999999999</v>
      </c>
      <c r="K5496">
        <v>1.0987209999999901</v>
      </c>
      <c r="L5496">
        <v>16.532170000000001</v>
      </c>
      <c r="M5496">
        <v>0.98640380000000005</v>
      </c>
      <c r="N5496">
        <v>-2.2053819999999998E-2</v>
      </c>
      <c r="O5496">
        <v>-0.16285469999999999</v>
      </c>
      <c r="P5496">
        <v>0.87095769999999995</v>
      </c>
      <c r="Q5496">
        <v>0.14897279999999999</v>
      </c>
      <c r="R5496">
        <v>-0.4682308</v>
      </c>
      <c r="S5496">
        <v>2.4121090000000001</v>
      </c>
      <c r="T5496">
        <v>-0.47517429999999999</v>
      </c>
      <c r="U5496">
        <v>-2.083923</v>
      </c>
      <c r="V5496">
        <v>0.32404769999999999</v>
      </c>
      <c r="W5496">
        <v>0.1619041</v>
      </c>
      <c r="X5496">
        <v>0.93208380000000002</v>
      </c>
      <c r="Y5496">
        <v>0.51661029999999997</v>
      </c>
      <c r="Z5496">
        <v>-2.6266669999999999E-2</v>
      </c>
      <c r="AA5496">
        <v>0.85581770000000001</v>
      </c>
      <c r="AB5496">
        <v>32</v>
      </c>
      <c r="AC5496">
        <v>5.6811999999999898</v>
      </c>
      <c r="AD5496">
        <v>-1.1487210000000001</v>
      </c>
      <c r="AE5496">
        <v>-5.0149400000000002</v>
      </c>
      <c r="AF5496">
        <v>3.9321675037497501</v>
      </c>
      <c r="AG5496">
        <v>-1.1487210000000001</v>
      </c>
      <c r="AH5496">
        <v>6.2779655334423898</v>
      </c>
      <c r="AI5496">
        <v>98.8146561070686</v>
      </c>
      <c r="AJ5496">
        <v>57.939265908253702</v>
      </c>
      <c r="AK5496">
        <v>7.4962892455185504</v>
      </c>
      <c r="AL5496">
        <v>80.682565976768998</v>
      </c>
      <c r="AM5496">
        <v>70.829511839973094</v>
      </c>
      <c r="AN5496">
        <v>1.00000002984726</v>
      </c>
    </row>
    <row r="5497" spans="1:40" x14ac:dyDescent="0.25">
      <c r="A5497" t="str">
        <f>"20190303162928945"</f>
        <v>20190303162928945</v>
      </c>
      <c r="B5497" t="str">
        <f>"1551601768937672"</f>
        <v>1551601768937672</v>
      </c>
      <c r="C5497" t="s">
        <v>40</v>
      </c>
      <c r="D5497">
        <v>5.5418729999999998</v>
      </c>
      <c r="E5497">
        <v>0.59562780000000004</v>
      </c>
      <c r="F5497" t="s">
        <v>42</v>
      </c>
      <c r="G5497">
        <v>-311.82429999999999</v>
      </c>
      <c r="H5497">
        <v>-0.05</v>
      </c>
      <c r="I5497">
        <v>11.55968</v>
      </c>
      <c r="J5497">
        <v>-317.35300000000001</v>
      </c>
      <c r="K5497">
        <v>1.097183</v>
      </c>
      <c r="L5497">
        <v>16.50281</v>
      </c>
      <c r="M5497">
        <v>0.98558809999999997</v>
      </c>
      <c r="N5497">
        <v>-2.2381209999999999E-2</v>
      </c>
      <c r="O5497">
        <v>-0.1676764</v>
      </c>
      <c r="P5497">
        <v>0.86764159999999901</v>
      </c>
      <c r="Q5497">
        <v>0.14782609999999999</v>
      </c>
      <c r="R5497">
        <v>-0.47470630000000003</v>
      </c>
      <c r="S5497">
        <v>2.3990170000000002</v>
      </c>
      <c r="T5497">
        <v>-0.4849232</v>
      </c>
      <c r="U5497">
        <v>-2.099091</v>
      </c>
      <c r="V5497">
        <v>0.32655139999999999</v>
      </c>
      <c r="W5497">
        <v>0.160658</v>
      </c>
      <c r="X5497">
        <v>0.93142539999999996</v>
      </c>
      <c r="Y5497">
        <v>0.51762750000000002</v>
      </c>
      <c r="Z5497">
        <v>-2.619612E-2</v>
      </c>
      <c r="AA5497">
        <v>0.85520490000000005</v>
      </c>
      <c r="AB5497">
        <v>32</v>
      </c>
      <c r="AC5497">
        <v>5.5287000000000104</v>
      </c>
      <c r="AD5497">
        <v>-1.1471830000000001</v>
      </c>
      <c r="AE5497">
        <v>-4.94313</v>
      </c>
      <c r="AF5497">
        <v>3.8536383002113999</v>
      </c>
      <c r="AG5497">
        <v>-1.1471830000000001</v>
      </c>
      <c r="AH5497">
        <v>6.1327003095724599</v>
      </c>
      <c r="AI5497">
        <v>99.000077558827101</v>
      </c>
      <c r="AJ5497">
        <v>57.855754370987903</v>
      </c>
      <c r="AK5497">
        <v>7.3332509892526803</v>
      </c>
      <c r="AL5497">
        <v>80.7549094529559</v>
      </c>
      <c r="AM5497">
        <v>70.679681301627795</v>
      </c>
      <c r="AN5497">
        <v>1.00000004278555</v>
      </c>
    </row>
    <row r="5498" spans="1:40" x14ac:dyDescent="0.25">
      <c r="A5498" t="str">
        <f>"20190303162928955"</f>
        <v>20190303162928955</v>
      </c>
      <c r="B5498" t="str">
        <f>"1551601768947432"</f>
        <v>1551601768947432</v>
      </c>
      <c r="C5498" t="s">
        <v>40</v>
      </c>
      <c r="D5498">
        <v>5.549493</v>
      </c>
      <c r="E5498">
        <v>0.59538019999999903</v>
      </c>
      <c r="F5498" t="s">
        <v>42</v>
      </c>
      <c r="G5498">
        <v>-311.82650000000001</v>
      </c>
      <c r="H5498">
        <v>-0.05</v>
      </c>
      <c r="I5498">
        <v>11.604520000000001</v>
      </c>
      <c r="J5498">
        <v>-317.21269999999998</v>
      </c>
      <c r="K5498">
        <v>1.0957250000000001</v>
      </c>
      <c r="L5498">
        <v>16.47476</v>
      </c>
      <c r="M5498">
        <v>0.98481989999999997</v>
      </c>
      <c r="N5498">
        <v>-2.2609219999999999E-2</v>
      </c>
      <c r="O5498">
        <v>-0.17210120000000001</v>
      </c>
      <c r="P5498">
        <v>0.86471100000000001</v>
      </c>
      <c r="Q5498">
        <v>0.146636299999999</v>
      </c>
      <c r="R5498">
        <v>-0.4803886</v>
      </c>
      <c r="S5498">
        <v>2.3853149999999999</v>
      </c>
      <c r="T5498">
        <v>-0.49514029999999998</v>
      </c>
      <c r="U5498">
        <v>-2.114166</v>
      </c>
      <c r="V5498">
        <v>0.32857530000000001</v>
      </c>
      <c r="W5498">
        <v>0.15931409999999999</v>
      </c>
      <c r="X5498">
        <v>0.93094429999999995</v>
      </c>
      <c r="Y5498">
        <v>0.5190591</v>
      </c>
      <c r="Z5498">
        <v>-2.617473E-2</v>
      </c>
      <c r="AA5498">
        <v>0.85433749999999997</v>
      </c>
      <c r="AB5498">
        <v>32</v>
      </c>
      <c r="AC5498">
        <v>5.3861999999999703</v>
      </c>
      <c r="AD5498">
        <v>-1.1457250000000001</v>
      </c>
      <c r="AE5498">
        <v>-4.8702399999999999</v>
      </c>
      <c r="AF5498">
        <v>3.77631790051697</v>
      </c>
      <c r="AG5498">
        <v>-1.1457250000000001</v>
      </c>
      <c r="AH5498">
        <v>5.9949411268375998</v>
      </c>
      <c r="AI5498">
        <v>99.185617399584402</v>
      </c>
      <c r="AJ5498">
        <v>57.792459173433997</v>
      </c>
      <c r="AK5498">
        <v>7.1772266075162197</v>
      </c>
      <c r="AL5498">
        <v>80.832913613370394</v>
      </c>
      <c r="AM5498">
        <v>70.559597204086998</v>
      </c>
      <c r="AN5498">
        <v>0.999999999965695</v>
      </c>
    </row>
    <row r="5499" spans="1:40" x14ac:dyDescent="0.25">
      <c r="A5499" t="str">
        <f>"20190303162928965"</f>
        <v>20190303162928965</v>
      </c>
      <c r="B5499" t="str">
        <f>"1551601768957192"</f>
        <v>1551601768957192</v>
      </c>
      <c r="C5499" t="s">
        <v>40</v>
      </c>
      <c r="D5499">
        <v>5.5720769999999904</v>
      </c>
      <c r="E5499">
        <v>0.59489599999999998</v>
      </c>
      <c r="F5499" t="s">
        <v>42</v>
      </c>
      <c r="G5499">
        <v>-311.79969999999997</v>
      </c>
      <c r="H5499">
        <v>-0.05</v>
      </c>
      <c r="I5499">
        <v>11.61848</v>
      </c>
      <c r="J5499">
        <v>-317.07100000000003</v>
      </c>
      <c r="K5499">
        <v>1.0942459999999901</v>
      </c>
      <c r="L5499">
        <v>16.446110000000001</v>
      </c>
      <c r="M5499">
        <v>0.98402089999999998</v>
      </c>
      <c r="N5499">
        <v>-2.282443E-2</v>
      </c>
      <c r="O5499">
        <v>-0.17658380000000001</v>
      </c>
      <c r="P5499">
        <v>0.86192739999999901</v>
      </c>
      <c r="Q5499">
        <v>0.14550550000000001</v>
      </c>
      <c r="R5499">
        <v>-0.48570489999999999</v>
      </c>
      <c r="S5499">
        <v>2.3721920000000001</v>
      </c>
      <c r="T5499">
        <v>-0.50210109999999997</v>
      </c>
      <c r="U5499">
        <v>-2.1282040000000002</v>
      </c>
      <c r="V5499">
        <v>0.3301634</v>
      </c>
      <c r="W5499">
        <v>0.15803029999999901</v>
      </c>
      <c r="X5499">
        <v>0.93060120000000002</v>
      </c>
      <c r="Y5499">
        <v>0.52019359999999903</v>
      </c>
      <c r="Z5499">
        <v>-2.5983039999999999E-2</v>
      </c>
      <c r="AA5499">
        <v>0.853653</v>
      </c>
      <c r="AB5499">
        <v>32</v>
      </c>
      <c r="AC5499">
        <v>5.2712999999999903</v>
      </c>
      <c r="AD5499">
        <v>-1.1442460000000001</v>
      </c>
      <c r="AE5499">
        <v>-4.8276300000000001</v>
      </c>
      <c r="AF5499">
        <v>3.7251962541674599</v>
      </c>
      <c r="AG5499">
        <v>-1.1442460000000001</v>
      </c>
      <c r="AH5499">
        <v>5.89018285462957</v>
      </c>
      <c r="AI5499">
        <v>99.323833753773002</v>
      </c>
      <c r="AJ5499">
        <v>57.689039823860902</v>
      </c>
      <c r="AK5499">
        <v>7.0626227494856</v>
      </c>
      <c r="AL5499">
        <v>80.907413942360805</v>
      </c>
      <c r="AM5499">
        <v>70.466075395026095</v>
      </c>
      <c r="AN5499">
        <v>1.00000001992954</v>
      </c>
    </row>
    <row r="5500" spans="1:40" x14ac:dyDescent="0.25">
      <c r="A5500" t="str">
        <f>"20190303162928975"</f>
        <v>20190303162928975</v>
      </c>
      <c r="B5500" t="str">
        <f>"1551601768966952"</f>
        <v>1551601768966952</v>
      </c>
      <c r="C5500" t="s">
        <v>40</v>
      </c>
      <c r="D5500">
        <v>5.5401230000000004</v>
      </c>
      <c r="E5500">
        <v>0.59455859999999905</v>
      </c>
      <c r="F5500" t="s">
        <v>42</v>
      </c>
      <c r="G5500">
        <v>-311.78210000000001</v>
      </c>
      <c r="H5500">
        <v>-0.05</v>
      </c>
      <c r="I5500">
        <v>11.651960000000001</v>
      </c>
      <c r="J5500">
        <v>-316.91930000000002</v>
      </c>
      <c r="K5500">
        <v>1.0926499999999999</v>
      </c>
      <c r="L5500">
        <v>16.413969999999999</v>
      </c>
      <c r="M5500">
        <v>0.98313470000000003</v>
      </c>
      <c r="N5500">
        <v>-2.3002689999999999E-2</v>
      </c>
      <c r="O5500">
        <v>-0.18143000000000001</v>
      </c>
      <c r="P5500">
        <v>0.85876070000000004</v>
      </c>
      <c r="Q5500">
        <v>0.145091</v>
      </c>
      <c r="R5500">
        <v>-0.49140499999999998</v>
      </c>
      <c r="S5500">
        <v>2.36084</v>
      </c>
      <c r="T5500">
        <v>-0.51076920000000003</v>
      </c>
      <c r="U5500">
        <v>-2.140015</v>
      </c>
      <c r="V5500">
        <v>0.33187309999999998</v>
      </c>
      <c r="W5500">
        <v>0.1574247</v>
      </c>
      <c r="X5500">
        <v>0.93009560000000002</v>
      </c>
      <c r="Y5500">
        <v>0.52024159999999997</v>
      </c>
      <c r="Z5500">
        <v>-2.563207E-2</v>
      </c>
      <c r="AA5500">
        <v>0.85363440000000002</v>
      </c>
      <c r="AB5500">
        <v>32</v>
      </c>
      <c r="AC5500">
        <v>5.1372</v>
      </c>
      <c r="AD5500">
        <v>-1.1426499999999999</v>
      </c>
      <c r="AE5500">
        <v>-4.7620100000000001</v>
      </c>
      <c r="AF5500">
        <v>3.6534328905472102</v>
      </c>
      <c r="AG5500">
        <v>-1.1426499999999999</v>
      </c>
      <c r="AH5500">
        <v>5.7627546658925404</v>
      </c>
      <c r="AI5500">
        <v>99.506758590623605</v>
      </c>
      <c r="AJ5500">
        <v>57.6263917356858</v>
      </c>
      <c r="AK5500">
        <v>6.9182774046361004</v>
      </c>
      <c r="AL5500">
        <v>80.942552448902106</v>
      </c>
      <c r="AM5500">
        <v>70.362780773591794</v>
      </c>
      <c r="AN5500">
        <v>1.00000005790652</v>
      </c>
    </row>
    <row r="5501" spans="1:40" x14ac:dyDescent="0.25">
      <c r="A5501" t="str">
        <f>"20190303162928987"</f>
        <v>20190303162928987</v>
      </c>
      <c r="B5501" t="str">
        <f>"1551601768977688"</f>
        <v>1551601768977688</v>
      </c>
      <c r="C5501" t="s">
        <v>40</v>
      </c>
      <c r="D5501">
        <v>5.6075460000000001</v>
      </c>
      <c r="E5501">
        <v>0.59431859999999903</v>
      </c>
      <c r="F5501" t="s">
        <v>42</v>
      </c>
      <c r="G5501">
        <v>-311.70609999999999</v>
      </c>
      <c r="H5501">
        <v>-0.05</v>
      </c>
      <c r="I5501">
        <v>11.630800000000001</v>
      </c>
      <c r="J5501">
        <v>-316.76870000000002</v>
      </c>
      <c r="K5501">
        <v>1.091072</v>
      </c>
      <c r="L5501">
        <v>16.381499999999999</v>
      </c>
      <c r="M5501">
        <v>0.98222299999999996</v>
      </c>
      <c r="N5501">
        <v>-2.31477E-2</v>
      </c>
      <c r="O5501">
        <v>-0.18628549999999999</v>
      </c>
      <c r="P5501">
        <v>0.85570020000000002</v>
      </c>
      <c r="Q5501">
        <v>0.1450997</v>
      </c>
      <c r="R5501">
        <v>-0.4967126</v>
      </c>
      <c r="S5501">
        <v>2.3477169999999998</v>
      </c>
      <c r="T5501">
        <v>-0.51458019999999904</v>
      </c>
      <c r="U5501">
        <v>-2.1540530000000002</v>
      </c>
      <c r="V5501">
        <v>0.33317819999999998</v>
      </c>
      <c r="W5501">
        <v>0.15724109999999999</v>
      </c>
      <c r="X5501">
        <v>0.92965989999999998</v>
      </c>
      <c r="Y5501">
        <v>0.5211228</v>
      </c>
      <c r="Z5501">
        <v>-2.519648E-2</v>
      </c>
      <c r="AA5501">
        <v>0.85310980000000003</v>
      </c>
      <c r="AB5501">
        <v>32</v>
      </c>
      <c r="AC5501">
        <v>5.06260000000003</v>
      </c>
      <c r="AD5501">
        <v>-1.1410719999999901</v>
      </c>
      <c r="AE5501">
        <v>-4.7506999999999904</v>
      </c>
      <c r="AF5501">
        <v>3.6261976879984399</v>
      </c>
      <c r="AG5501">
        <v>-1.1410719999999901</v>
      </c>
      <c r="AH5501">
        <v>5.70504273353479</v>
      </c>
      <c r="AI5501">
        <v>99.581156531292905</v>
      </c>
      <c r="AJ5501">
        <v>57.5594416283651</v>
      </c>
      <c r="AK5501">
        <v>6.85557200918256</v>
      </c>
      <c r="AL5501">
        <v>80.9532041193536</v>
      </c>
      <c r="AM5501">
        <v>70.282970862580797</v>
      </c>
      <c r="AN5501">
        <v>1.0000000030762299</v>
      </c>
    </row>
    <row r="5502" spans="1:40" x14ac:dyDescent="0.25">
      <c r="A5502" t="str">
        <f>"20190303162928998"</f>
        <v>20190303162928998</v>
      </c>
      <c r="B5502" t="str">
        <f>"1551601768987449"</f>
        <v>1551601768987449</v>
      </c>
      <c r="C5502" t="s">
        <v>40</v>
      </c>
      <c r="D5502">
        <v>5.345313</v>
      </c>
      <c r="E5502">
        <v>0.59606429999999999</v>
      </c>
      <c r="F5502" t="s">
        <v>42</v>
      </c>
      <c r="G5502">
        <v>-311.5933</v>
      </c>
      <c r="H5502">
        <v>-0.05</v>
      </c>
      <c r="I5502">
        <v>11.57813</v>
      </c>
      <c r="J5502">
        <v>-316.61040000000003</v>
      </c>
      <c r="K5502">
        <v>1.0894269999999999</v>
      </c>
      <c r="L5502">
        <v>16.3461</v>
      </c>
      <c r="M5502">
        <v>0.98121959999999997</v>
      </c>
      <c r="N5502">
        <v>-2.3239780000000002E-2</v>
      </c>
      <c r="O5502">
        <v>-0.19148979999999999</v>
      </c>
      <c r="P5502">
        <v>0.85244439999999999</v>
      </c>
      <c r="Q5502">
        <v>0.14527909999999999</v>
      </c>
      <c r="R5502">
        <v>-0.50222789999999995</v>
      </c>
      <c r="S5502">
        <v>2.3351440000000001</v>
      </c>
      <c r="T5502">
        <v>-0.51484799999999997</v>
      </c>
      <c r="U5502">
        <v>-2.1672669999999998</v>
      </c>
      <c r="V5502">
        <v>0.334393099999999</v>
      </c>
      <c r="W5502">
        <v>0.1572025</v>
      </c>
      <c r="X5502">
        <v>0.92923020000000001</v>
      </c>
      <c r="Y5502">
        <v>0.52152010000000004</v>
      </c>
      <c r="Z5502">
        <v>-2.4524509999999999E-2</v>
      </c>
      <c r="AA5502">
        <v>0.85288649999999999</v>
      </c>
      <c r="AB5502">
        <v>31</v>
      </c>
      <c r="AC5502">
        <v>5.0171000000000197</v>
      </c>
      <c r="AD5502">
        <v>-1.139427</v>
      </c>
      <c r="AE5502">
        <v>-4.76797</v>
      </c>
      <c r="AF5502">
        <v>3.6205825638575502</v>
      </c>
      <c r="AG5502">
        <v>-1.139427</v>
      </c>
      <c r="AH5502">
        <v>5.6834401972455497</v>
      </c>
      <c r="AI5502">
        <v>99.597196107261198</v>
      </c>
      <c r="AJ5502">
        <v>57.501205898792698</v>
      </c>
      <c r="AK5502">
        <v>6.8343547219693601</v>
      </c>
      <c r="AL5502">
        <v>80.955444179792295</v>
      </c>
      <c r="AM5502">
        <v>70.208207586848502</v>
      </c>
      <c r="AN5502">
        <v>1.0000000679629399</v>
      </c>
    </row>
    <row r="5503" spans="1:40" x14ac:dyDescent="0.25">
      <c r="A5503" t="str">
        <f>"20190303162929010"</f>
        <v>20190303162929010</v>
      </c>
      <c r="B5503" t="str">
        <f>"1551601768997208"</f>
        <v>1551601768997208</v>
      </c>
      <c r="C5503" t="s">
        <v>40</v>
      </c>
      <c r="D5503">
        <v>5.5850090000000003</v>
      </c>
      <c r="E5503">
        <v>0.59550939999999997</v>
      </c>
      <c r="F5503" t="s">
        <v>42</v>
      </c>
      <c r="G5503">
        <v>-311.38060000000002</v>
      </c>
      <c r="H5503">
        <v>-0.05</v>
      </c>
      <c r="I5503">
        <v>11.382720000000001</v>
      </c>
      <c r="J5503">
        <v>-316.44729999999998</v>
      </c>
      <c r="K5503">
        <v>1.087774</v>
      </c>
      <c r="L5503">
        <v>16.308499999999999</v>
      </c>
      <c r="M5503">
        <v>0.98013030000000001</v>
      </c>
      <c r="N5503">
        <v>-2.3271489999999999E-2</v>
      </c>
      <c r="O5503">
        <v>-0.19698550000000001</v>
      </c>
      <c r="P5503">
        <v>0.84870569999999901</v>
      </c>
      <c r="Q5503">
        <v>0.14520720000000001</v>
      </c>
      <c r="R5503">
        <v>-0.50854060000000001</v>
      </c>
      <c r="S5503">
        <v>2.3122560000000001</v>
      </c>
      <c r="T5503">
        <v>-0.50377629999999995</v>
      </c>
      <c r="U5503">
        <v>-2.194458</v>
      </c>
      <c r="V5503">
        <v>0.33619139999999997</v>
      </c>
      <c r="W5503">
        <v>0.1568657</v>
      </c>
      <c r="X5503">
        <v>0.92863799999999996</v>
      </c>
      <c r="Y5503">
        <v>0.52641590000000005</v>
      </c>
      <c r="Z5503">
        <v>-2.3998269999999999E-2</v>
      </c>
      <c r="AA5503">
        <v>0.84988839999999999</v>
      </c>
      <c r="AB5503">
        <v>31</v>
      </c>
      <c r="AC5503">
        <v>5.06669999999996</v>
      </c>
      <c r="AD5503">
        <v>-1.1377740000000001</v>
      </c>
      <c r="AE5503">
        <v>-4.9257799999999996</v>
      </c>
      <c r="AF5503">
        <v>3.7340730954884598</v>
      </c>
      <c r="AG5503">
        <v>-1.1377740000000001</v>
      </c>
      <c r="AH5503">
        <v>5.7878929969509398</v>
      </c>
      <c r="AI5503">
        <v>99.379688577559605</v>
      </c>
      <c r="AJ5503">
        <v>57.171817618480198</v>
      </c>
      <c r="AK5503">
        <v>6.9812274638261496</v>
      </c>
      <c r="AL5503">
        <v>80.974983386836897</v>
      </c>
      <c r="AM5503">
        <v>70.098410586389605</v>
      </c>
      <c r="AN5503">
        <v>1.0000000201572199</v>
      </c>
    </row>
    <row r="5504" spans="1:40" x14ac:dyDescent="0.25">
      <c r="A5504" t="str">
        <f>"20190303162929021"</f>
        <v>20190303162929021</v>
      </c>
      <c r="B5504" t="str">
        <f>"1551601769017704"</f>
        <v>1551601769017704</v>
      </c>
      <c r="C5504" t="s">
        <v>40</v>
      </c>
      <c r="D5504">
        <v>5.5951959999999996</v>
      </c>
      <c r="E5504">
        <v>0.59450230000000004</v>
      </c>
      <c r="F5504" t="s">
        <v>42</v>
      </c>
      <c r="G5504">
        <v>-311.29910000000001</v>
      </c>
      <c r="H5504">
        <v>-0.05</v>
      </c>
      <c r="I5504">
        <v>11.363849999999999</v>
      </c>
      <c r="J5504">
        <v>-316.2835</v>
      </c>
      <c r="K5504">
        <v>1.086136</v>
      </c>
      <c r="L5504">
        <v>16.2699</v>
      </c>
      <c r="M5504">
        <v>0.97898490000000005</v>
      </c>
      <c r="N5504">
        <v>-2.3256619999999999E-2</v>
      </c>
      <c r="O5504">
        <v>-0.20260259999999999</v>
      </c>
      <c r="P5504">
        <v>0.84513749999999999</v>
      </c>
      <c r="Q5504">
        <v>0.1448759</v>
      </c>
      <c r="R5504">
        <v>-0.5145419</v>
      </c>
      <c r="S5504">
        <v>2.2987669999999998</v>
      </c>
      <c r="T5504">
        <v>-0.50803140000000002</v>
      </c>
      <c r="U5504">
        <v>-2.2078549999999999</v>
      </c>
      <c r="V5504">
        <v>0.33752320000000002</v>
      </c>
      <c r="W5504">
        <v>0.15627089999999999</v>
      </c>
      <c r="X5504">
        <v>0.9282551</v>
      </c>
      <c r="Y5504">
        <v>0.52658499999999997</v>
      </c>
      <c r="Z5504">
        <v>-2.3299540000000001E-2</v>
      </c>
      <c r="AA5504">
        <v>0.84980309999999903</v>
      </c>
      <c r="AB5504">
        <v>31</v>
      </c>
      <c r="AC5504">
        <v>4.9843999999999902</v>
      </c>
      <c r="AD5504">
        <v>-1.136136</v>
      </c>
      <c r="AE5504">
        <v>-4.9060499999999996</v>
      </c>
      <c r="AF5504">
        <v>3.6965717408045302</v>
      </c>
      <c r="AG5504">
        <v>-1.136136</v>
      </c>
      <c r="AH5504">
        <v>5.7241617465241603</v>
      </c>
      <c r="AI5504">
        <v>99.466154472253095</v>
      </c>
      <c r="AJ5504">
        <v>57.1462750450779</v>
      </c>
      <c r="AK5504">
        <v>6.9080732006675403</v>
      </c>
      <c r="AL5504">
        <v>81.009488440551905</v>
      </c>
      <c r="AM5504">
        <v>70.018207808486906</v>
      </c>
      <c r="AN5504">
        <v>1.0000000177005199</v>
      </c>
    </row>
    <row r="5505" spans="1:40" x14ac:dyDescent="0.25">
      <c r="A5505" t="str">
        <f>"20190303162929033"</f>
        <v>20190303162929033</v>
      </c>
      <c r="B5505" t="str">
        <f>"1551601769027466"</f>
        <v>1551601769027466</v>
      </c>
      <c r="C5505" t="s">
        <v>40</v>
      </c>
      <c r="D5505">
        <v>5.5532440000000003</v>
      </c>
      <c r="E5505">
        <v>0.59435899999999997</v>
      </c>
      <c r="F5505" t="s">
        <v>42</v>
      </c>
      <c r="G5505">
        <v>-311.23439999999999</v>
      </c>
      <c r="H5505">
        <v>-0.05</v>
      </c>
      <c r="I5505">
        <v>11.37505</v>
      </c>
      <c r="J5505">
        <v>-316.13130000000001</v>
      </c>
      <c r="K5505">
        <v>1.0846899999999999</v>
      </c>
      <c r="L5505">
        <v>16.23236</v>
      </c>
      <c r="M5505">
        <v>0.97784179999999998</v>
      </c>
      <c r="N5505">
        <v>-2.316356E-2</v>
      </c>
      <c r="O5505">
        <v>-0.20806060000000001</v>
      </c>
      <c r="P5505">
        <v>0.84166209999999997</v>
      </c>
      <c r="Q5505">
        <v>0.143848</v>
      </c>
      <c r="R5505">
        <v>-0.52049290000000004</v>
      </c>
      <c r="S5505">
        <v>2.2877200000000002</v>
      </c>
      <c r="T5505">
        <v>-0.51477189999999995</v>
      </c>
      <c r="U5505">
        <v>-2.2178040000000001</v>
      </c>
      <c r="V5505">
        <v>0.3388892</v>
      </c>
      <c r="W5505">
        <v>0.15497749999999999</v>
      </c>
      <c r="X5505">
        <v>0.92797419999999997</v>
      </c>
      <c r="Y5505">
        <v>0.5257503</v>
      </c>
      <c r="Z5505">
        <v>-2.2509660000000001E-2</v>
      </c>
      <c r="AA5505">
        <v>0.85034109999999996</v>
      </c>
      <c r="AB5505">
        <v>31</v>
      </c>
      <c r="AC5505">
        <v>4.8969000000000102</v>
      </c>
      <c r="AD5505">
        <v>-1.13469</v>
      </c>
      <c r="AE5505">
        <v>-4.85731</v>
      </c>
      <c r="AF5505">
        <v>3.6334923526348999</v>
      </c>
      <c r="AG5505">
        <v>-1.13469</v>
      </c>
      <c r="AH5505">
        <v>5.6477135752311396</v>
      </c>
      <c r="AI5505">
        <v>99.590342149912104</v>
      </c>
      <c r="AJ5505">
        <v>57.244540037564903</v>
      </c>
      <c r="AK5505">
        <v>6.8107603614138696</v>
      </c>
      <c r="AL5505">
        <v>81.084508810869394</v>
      </c>
      <c r="AM5505">
        <v>69.938186652824101</v>
      </c>
      <c r="AN5505">
        <v>1.0000000156242601</v>
      </c>
    </row>
    <row r="5506" spans="1:40" x14ac:dyDescent="0.25">
      <c r="A5506" t="str">
        <f>"20190303162929046"</f>
        <v>20190303162929046</v>
      </c>
      <c r="B5506" t="str">
        <f>"1551601769037224"</f>
        <v>1551601769037224</v>
      </c>
      <c r="C5506" t="s">
        <v>40</v>
      </c>
      <c r="D5506">
        <v>5.605118</v>
      </c>
      <c r="E5506">
        <v>0.59390529999999997</v>
      </c>
      <c r="F5506" t="s">
        <v>42</v>
      </c>
      <c r="G5506">
        <v>-311.15230000000003</v>
      </c>
      <c r="H5506">
        <v>-0.05</v>
      </c>
      <c r="I5506">
        <v>11.33846</v>
      </c>
      <c r="J5506">
        <v>-315.95549999999997</v>
      </c>
      <c r="K5506">
        <v>1.0830519999999999</v>
      </c>
      <c r="L5506">
        <v>16.18835</v>
      </c>
      <c r="M5506">
        <v>0.9764621</v>
      </c>
      <c r="N5506">
        <v>-2.302593E-2</v>
      </c>
      <c r="O5506">
        <v>-0.21445690000000001</v>
      </c>
      <c r="P5506">
        <v>0.83770169999999999</v>
      </c>
      <c r="Q5506">
        <v>0.1432358</v>
      </c>
      <c r="R5506">
        <v>-0.52701009999999904</v>
      </c>
      <c r="S5506">
        <v>2.271881</v>
      </c>
      <c r="T5506">
        <v>-0.51775289999999996</v>
      </c>
      <c r="U5506">
        <v>-2.233063</v>
      </c>
      <c r="V5506">
        <v>0.34003519999999998</v>
      </c>
      <c r="W5506">
        <v>0.15406729999999999</v>
      </c>
      <c r="X5506">
        <v>0.92770649999999999</v>
      </c>
      <c r="Y5506">
        <v>0.52606889999999995</v>
      </c>
      <c r="Z5506">
        <v>-2.158479E-2</v>
      </c>
      <c r="AA5506">
        <v>0.85016800000000003</v>
      </c>
      <c r="AB5506">
        <v>31</v>
      </c>
      <c r="AC5506">
        <v>4.80319999999994</v>
      </c>
      <c r="AD5506">
        <v>-1.1330519999999999</v>
      </c>
      <c r="AE5506">
        <v>-4.8498899999999896</v>
      </c>
      <c r="AF5506">
        <v>3.6072423423024702</v>
      </c>
      <c r="AG5506">
        <v>-1.1330519999999999</v>
      </c>
      <c r="AH5506">
        <v>5.5780557541732803</v>
      </c>
      <c r="AI5506">
        <v>99.679684467305904</v>
      </c>
      <c r="AJ5506">
        <v>57.109876232252098</v>
      </c>
      <c r="AK5506">
        <v>6.7387469270977602</v>
      </c>
      <c r="AL5506">
        <v>81.137293362442307</v>
      </c>
      <c r="AM5506">
        <v>69.870439422536094</v>
      </c>
      <c r="AN5506">
        <v>1.0000000101552899</v>
      </c>
    </row>
    <row r="5507" spans="1:40" x14ac:dyDescent="0.25">
      <c r="A5507" t="str">
        <f>"20190303162929057"</f>
        <v>20190303162929057</v>
      </c>
      <c r="B5507" t="str">
        <f>"1551601769047960"</f>
        <v>1551601769047960</v>
      </c>
      <c r="C5507" t="s">
        <v>40</v>
      </c>
      <c r="D5507">
        <v>5.2896769999999904</v>
      </c>
      <c r="E5507">
        <v>0.59390529999999997</v>
      </c>
      <c r="F5507" t="s">
        <v>42</v>
      </c>
      <c r="G5507">
        <v>-311.04500000000002</v>
      </c>
      <c r="H5507">
        <v>-0.05</v>
      </c>
      <c r="I5507">
        <v>11.29297</v>
      </c>
      <c r="J5507">
        <v>-315.78539999999998</v>
      </c>
      <c r="K5507">
        <v>1.081553</v>
      </c>
      <c r="L5507">
        <v>16.14404</v>
      </c>
      <c r="M5507">
        <v>0.97502909999999998</v>
      </c>
      <c r="N5507">
        <v>-2.282731E-2</v>
      </c>
      <c r="O5507">
        <v>-0.2209015</v>
      </c>
      <c r="P5507">
        <v>0.83372230000000003</v>
      </c>
      <c r="Q5507">
        <v>0.1429058</v>
      </c>
      <c r="R5507">
        <v>-0.53337179999999995</v>
      </c>
      <c r="S5507">
        <v>2.255585</v>
      </c>
      <c r="T5507">
        <v>-0.5204588</v>
      </c>
      <c r="U5507">
        <v>-2.2486570000000001</v>
      </c>
      <c r="V5507">
        <v>0.34097860000000002</v>
      </c>
      <c r="W5507">
        <v>0.153443</v>
      </c>
      <c r="X5507">
        <v>0.9274637</v>
      </c>
      <c r="Y5507">
        <v>0.52649939999999995</v>
      </c>
      <c r="Z5507">
        <v>-2.0613260000000001E-2</v>
      </c>
      <c r="AA5507">
        <v>0.84992559999999995</v>
      </c>
      <c r="AB5507">
        <v>31</v>
      </c>
      <c r="AC5507">
        <v>4.7403999999999602</v>
      </c>
      <c r="AD5507">
        <v>-1.131553</v>
      </c>
      <c r="AE5507">
        <v>-4.85107</v>
      </c>
      <c r="AF5507">
        <v>3.58398125564988</v>
      </c>
      <c r="AG5507">
        <v>-1.131553</v>
      </c>
      <c r="AH5507">
        <v>5.5409027653277896</v>
      </c>
      <c r="AI5507">
        <v>99.730104210132893</v>
      </c>
      <c r="AJ5507">
        <v>57.104297461241501</v>
      </c>
      <c r="AK5507">
        <v>6.69529217342125</v>
      </c>
      <c r="AL5507">
        <v>81.173493817421203</v>
      </c>
      <c r="AM5507">
        <v>69.814235165314599</v>
      </c>
      <c r="AN5507">
        <v>1.0000000373623199</v>
      </c>
    </row>
    <row r="5508" spans="1:40" x14ac:dyDescent="0.25">
      <c r="A5508" t="str">
        <f>"20190303162929068"</f>
        <v>20190303162929068</v>
      </c>
      <c r="B5508" t="str">
        <f>"1551601769057721"</f>
        <v>1551601769057721</v>
      </c>
      <c r="C5508" t="s">
        <v>40</v>
      </c>
      <c r="D5508">
        <v>5.5862959999999999</v>
      </c>
      <c r="E5508">
        <v>0.6115931</v>
      </c>
      <c r="F5508" t="s">
        <v>42</v>
      </c>
      <c r="G5508">
        <v>-310.9212</v>
      </c>
      <c r="H5508">
        <v>-0.05</v>
      </c>
      <c r="I5508">
        <v>11.21654</v>
      </c>
      <c r="J5508">
        <v>-315.64359999999999</v>
      </c>
      <c r="K5508">
        <v>1.0803389999999999</v>
      </c>
      <c r="L5508">
        <v>16.106200000000001</v>
      </c>
      <c r="M5508">
        <v>0.97377230000000004</v>
      </c>
      <c r="N5508">
        <v>-2.2636750000000001E-2</v>
      </c>
      <c r="O5508">
        <v>-0.22639599999999999</v>
      </c>
      <c r="P5508">
        <v>0.83030329999999997</v>
      </c>
      <c r="Q5508">
        <v>0.14235300000000001</v>
      </c>
      <c r="R5508">
        <v>-0.538825</v>
      </c>
      <c r="S5508">
        <v>2.2375180000000001</v>
      </c>
      <c r="T5508">
        <v>-0.52050280000000004</v>
      </c>
      <c r="U5508">
        <v>-2.2666019999999998</v>
      </c>
      <c r="V5508">
        <v>0.34180559999999899</v>
      </c>
      <c r="W5508">
        <v>0.15264150000000001</v>
      </c>
      <c r="X5508">
        <v>0.92729150000000005</v>
      </c>
      <c r="Y5508">
        <v>0.52853879999999998</v>
      </c>
      <c r="Z5508">
        <v>-1.9916659999999999E-2</v>
      </c>
      <c r="AA5508">
        <v>0.84867549999999903</v>
      </c>
      <c r="AB5508">
        <v>31</v>
      </c>
      <c r="AC5508">
        <v>4.7223999999999897</v>
      </c>
      <c r="AD5508">
        <v>-1.130339</v>
      </c>
      <c r="AE5508">
        <v>-4.8896600000000001</v>
      </c>
      <c r="AF5508">
        <v>3.5938617462118301</v>
      </c>
      <c r="AG5508">
        <v>-1.130339</v>
      </c>
      <c r="AH5508">
        <v>5.5534552360627698</v>
      </c>
      <c r="AI5508">
        <v>99.696936231750399</v>
      </c>
      <c r="AJ5508">
        <v>57.091488035214603</v>
      </c>
      <c r="AK5508">
        <v>6.7107654976730302</v>
      </c>
      <c r="AL5508">
        <v>81.2199635826384</v>
      </c>
      <c r="AM5508">
        <v>69.765789680670494</v>
      </c>
      <c r="AN5508">
        <v>1.0000000108429301</v>
      </c>
    </row>
    <row r="5509" spans="1:40" x14ac:dyDescent="0.25">
      <c r="A5509" t="str">
        <f>"20190303162929079"</f>
        <v>20190303162929079</v>
      </c>
      <c r="B5509" t="str">
        <f>"1551601769067480"</f>
        <v>1551601769067480</v>
      </c>
      <c r="C5509" t="s">
        <v>40</v>
      </c>
      <c r="D5509">
        <v>5.5883529999999997</v>
      </c>
      <c r="E5509">
        <v>0.60951690000000003</v>
      </c>
      <c r="F5509" t="s">
        <v>42</v>
      </c>
      <c r="G5509">
        <v>-308.86239999999998</v>
      </c>
      <c r="H5509">
        <v>-0.05</v>
      </c>
      <c r="I5509">
        <v>8.4493259999999992</v>
      </c>
      <c r="J5509">
        <v>-315.49509999999998</v>
      </c>
      <c r="K5509">
        <v>1.079113</v>
      </c>
      <c r="L5509">
        <v>16.06561</v>
      </c>
      <c r="M5509">
        <v>0.97239169999999997</v>
      </c>
      <c r="N5509">
        <v>-2.241048E-2</v>
      </c>
      <c r="O5509">
        <v>-0.23227629999999999</v>
      </c>
      <c r="P5509">
        <v>0.82663359999999997</v>
      </c>
      <c r="Q5509">
        <v>0.14230699999999999</v>
      </c>
      <c r="R5509">
        <v>-0.54444969999999904</v>
      </c>
      <c r="S5509">
        <v>2.1201780000000001</v>
      </c>
      <c r="T5509">
        <v>-0.35340959999999899</v>
      </c>
      <c r="U5509">
        <v>-2.3939819999999998</v>
      </c>
      <c r="V5509">
        <v>0.34250009999999997</v>
      </c>
      <c r="W5509">
        <v>0.15233749999999999</v>
      </c>
      <c r="X5509">
        <v>0.92708520000000005</v>
      </c>
      <c r="Y5509">
        <v>0.57092769999999904</v>
      </c>
      <c r="Z5509">
        <v>-2.0074459999999999E-2</v>
      </c>
      <c r="AA5509">
        <v>0.82075489999999995</v>
      </c>
      <c r="AB5509">
        <v>31</v>
      </c>
      <c r="AC5509">
        <v>6.6326999999999998</v>
      </c>
      <c r="AD5509">
        <v>-1.12911299999999</v>
      </c>
      <c r="AE5509">
        <v>-7.6162839999999896</v>
      </c>
      <c r="AF5509">
        <v>5.7944411327012899</v>
      </c>
      <c r="AG5509">
        <v>-1.12911299999999</v>
      </c>
      <c r="AH5509">
        <v>8.1192469452308895</v>
      </c>
      <c r="AI5509">
        <v>96.458159678856106</v>
      </c>
      <c r="AJ5509">
        <v>54.485790742938804</v>
      </c>
      <c r="AK5509">
        <v>10.038556428329199</v>
      </c>
      <c r="AL5509">
        <v>81.237587517198506</v>
      </c>
      <c r="AM5509">
        <v>69.723876168461501</v>
      </c>
      <c r="AN5509">
        <v>1.0000000002326499</v>
      </c>
    </row>
    <row r="5510" spans="1:40" x14ac:dyDescent="0.25">
      <c r="A5510" t="str">
        <f>"20190303162929089"</f>
        <v>20190303162929089</v>
      </c>
      <c r="B5510" t="str">
        <f>"1551601769077240"</f>
        <v>1551601769077240</v>
      </c>
      <c r="C5510" t="s">
        <v>40</v>
      </c>
      <c r="D5510">
        <v>5.5880589999999897</v>
      </c>
      <c r="E5510">
        <v>0.60811999999999999</v>
      </c>
      <c r="F5510" t="s">
        <v>42</v>
      </c>
      <c r="G5510">
        <v>-308.72030000000001</v>
      </c>
      <c r="H5510">
        <v>-0.05</v>
      </c>
      <c r="I5510">
        <v>8.3855899999999899</v>
      </c>
      <c r="J5510">
        <v>-315.3603</v>
      </c>
      <c r="K5510">
        <v>1.0780540000000001</v>
      </c>
      <c r="L5510">
        <v>16.02777</v>
      </c>
      <c r="M5510">
        <v>0.97106760000000003</v>
      </c>
      <c r="N5510">
        <v>-2.2195200000000002E-2</v>
      </c>
      <c r="O5510">
        <v>-0.23777090000000001</v>
      </c>
      <c r="P5510">
        <v>0.82337249999999995</v>
      </c>
      <c r="Q5510">
        <v>0.1423835</v>
      </c>
      <c r="R5510">
        <v>-0.54934949999999905</v>
      </c>
      <c r="S5510">
        <v>2.1125180000000001</v>
      </c>
      <c r="T5510">
        <v>-0.35207860000000002</v>
      </c>
      <c r="U5510">
        <v>-2.3947750000000001</v>
      </c>
      <c r="V5510">
        <v>0.34276630000000002</v>
      </c>
      <c r="W5510">
        <v>0.15220040000000001</v>
      </c>
      <c r="X5510">
        <v>0.92700930000000004</v>
      </c>
      <c r="Y5510">
        <v>0.5679708</v>
      </c>
      <c r="Z5510">
        <v>-1.9147190000000001E-2</v>
      </c>
      <c r="AA5510">
        <v>0.82282599999999995</v>
      </c>
      <c r="AB5510">
        <v>31</v>
      </c>
      <c r="AC5510">
        <v>6.6399999999999801</v>
      </c>
      <c r="AD5510">
        <v>-1.1280539999999999</v>
      </c>
      <c r="AE5510">
        <v>-7.6421799999999998</v>
      </c>
      <c r="AF5510">
        <v>5.7720509743046904</v>
      </c>
      <c r="AG5510">
        <v>-1.1280539999999999</v>
      </c>
      <c r="AH5510">
        <v>8.1656325655360504</v>
      </c>
      <c r="AI5510">
        <v>96.436252978470307</v>
      </c>
      <c r="AJ5510">
        <v>54.7446075907867</v>
      </c>
      <c r="AK5510">
        <v>10.0631323886864</v>
      </c>
      <c r="AL5510">
        <v>81.245535183937506</v>
      </c>
      <c r="AM5510">
        <v>69.707875706446004</v>
      </c>
      <c r="AN5510">
        <v>0.99999997023116904</v>
      </c>
    </row>
    <row r="5511" spans="1:40" x14ac:dyDescent="0.25">
      <c r="A5511" t="str">
        <f>"20190303162929098"</f>
        <v>20190303162929098</v>
      </c>
      <c r="B5511" t="str">
        <f>"1551601769087000"</f>
        <v>1551601769087000</v>
      </c>
      <c r="C5511" t="s">
        <v>40</v>
      </c>
      <c r="D5511">
        <v>5.2584549999999997</v>
      </c>
      <c r="E5511">
        <v>0.61028990000000005</v>
      </c>
      <c r="F5511" t="s">
        <v>42</v>
      </c>
      <c r="G5511">
        <v>-308.65050000000002</v>
      </c>
      <c r="H5511">
        <v>-0.05</v>
      </c>
      <c r="I5511">
        <v>8.3833310000000001</v>
      </c>
      <c r="J5511">
        <v>-315.21870000000001</v>
      </c>
      <c r="K5511">
        <v>1.076964</v>
      </c>
      <c r="L5511">
        <v>15.987209999999999</v>
      </c>
      <c r="M5511">
        <v>0.96961209999999998</v>
      </c>
      <c r="N5511">
        <v>-2.1961749999999999E-2</v>
      </c>
      <c r="O5511">
        <v>-0.2436596</v>
      </c>
      <c r="P5511">
        <v>0.81960499999999903</v>
      </c>
      <c r="Q5511">
        <v>0.14266970000000001</v>
      </c>
      <c r="R5511">
        <v>-0.55488090000000001</v>
      </c>
      <c r="S5511">
        <v>2.1048279999999999</v>
      </c>
      <c r="T5511">
        <v>-0.35386319999999999</v>
      </c>
      <c r="U5511">
        <v>-2.3980100000000002</v>
      </c>
      <c r="V5511">
        <v>0.34339540000000002</v>
      </c>
      <c r="W5511">
        <v>0.1522531</v>
      </c>
      <c r="X5511">
        <v>0.92676780000000003</v>
      </c>
      <c r="Y5511">
        <v>0.56505249999999996</v>
      </c>
      <c r="Z5511">
        <v>-1.8229220000000001E-2</v>
      </c>
      <c r="AA5511">
        <v>0.82485350000000002</v>
      </c>
      <c r="AB5511">
        <v>31</v>
      </c>
      <c r="AC5511">
        <v>6.5681999999999903</v>
      </c>
      <c r="AD5511">
        <v>-1.1269639999999901</v>
      </c>
      <c r="AE5511">
        <v>-7.6038790000000001</v>
      </c>
      <c r="AF5511">
        <v>5.7020705848056199</v>
      </c>
      <c r="AG5511">
        <v>-1.1269639999999901</v>
      </c>
      <c r="AH5511">
        <v>8.1211859567984099</v>
      </c>
      <c r="AI5511">
        <v>96.479326705797504</v>
      </c>
      <c r="AJ5511">
        <v>54.926428403061998</v>
      </c>
      <c r="AK5511">
        <v>9.9868572712491197</v>
      </c>
      <c r="AL5511">
        <v>81.242480187427503</v>
      </c>
      <c r="AM5511">
        <v>69.668813846635004</v>
      </c>
      <c r="AN5511">
        <v>0.99999998115880395</v>
      </c>
    </row>
    <row r="5512" spans="1:40" x14ac:dyDescent="0.25">
      <c r="A5512" t="str">
        <f>"20190303162929110"</f>
        <v>20190303162929110</v>
      </c>
      <c r="B5512" t="str">
        <f>"1551601769107497"</f>
        <v>1551601769107497</v>
      </c>
      <c r="C5512" t="s">
        <v>40</v>
      </c>
      <c r="D5512">
        <v>5.328983</v>
      </c>
      <c r="E5512">
        <v>0.61215969999999997</v>
      </c>
      <c r="F5512" t="s">
        <v>42</v>
      </c>
      <c r="G5512">
        <v>-308.47890000000001</v>
      </c>
      <c r="H5512">
        <v>-0.05</v>
      </c>
      <c r="I5512">
        <v>8.1175379999999997</v>
      </c>
      <c r="J5512">
        <v>-315.07119999999998</v>
      </c>
      <c r="K5512">
        <v>1.0758730000000001</v>
      </c>
      <c r="L5512">
        <v>15.94373</v>
      </c>
      <c r="M5512">
        <v>0.96800819999999999</v>
      </c>
      <c r="N5512">
        <v>-2.1714279999999999E-2</v>
      </c>
      <c r="O5512">
        <v>-0.24997720000000001</v>
      </c>
      <c r="P5512">
        <v>0.81540590000000002</v>
      </c>
      <c r="Q5512">
        <v>0.14325739999999901</v>
      </c>
      <c r="R5512">
        <v>-0.56088369999999999</v>
      </c>
      <c r="S5512">
        <v>2.0780639999999999</v>
      </c>
      <c r="T5512">
        <v>-0.34747109999999998</v>
      </c>
      <c r="U5512">
        <v>-2.4264220000000001</v>
      </c>
      <c r="V5512">
        <v>0.3441903</v>
      </c>
      <c r="W5512">
        <v>0.152592899999999</v>
      </c>
      <c r="X5512">
        <v>0.92641700000000005</v>
      </c>
      <c r="Y5512">
        <v>0.56979299999999999</v>
      </c>
      <c r="Z5512">
        <v>-1.7758349999999999E-2</v>
      </c>
      <c r="AA5512">
        <v>0.82159629999999995</v>
      </c>
      <c r="AB5512">
        <v>31</v>
      </c>
      <c r="AC5512">
        <v>6.5922999999999599</v>
      </c>
      <c r="AD5512">
        <v>-1.1258729999999999</v>
      </c>
      <c r="AE5512">
        <v>-7.82619199999999</v>
      </c>
      <c r="AF5512">
        <v>5.8583700533083602</v>
      </c>
      <c r="AG5512">
        <v>-1.1258729999999999</v>
      </c>
      <c r="AH5512">
        <v>8.2399833182748701</v>
      </c>
      <c r="AI5512">
        <v>96.354232238669894</v>
      </c>
      <c r="AJ5512">
        <v>54.588365080692903</v>
      </c>
      <c r="AK5512">
        <v>10.172778124931099</v>
      </c>
      <c r="AL5512">
        <v>81.222781128776901</v>
      </c>
      <c r="AM5512">
        <v>69.618534586681903</v>
      </c>
      <c r="AN5512">
        <v>1.0000000068167501</v>
      </c>
    </row>
    <row r="5513" spans="1:40" x14ac:dyDescent="0.25">
      <c r="A5513" t="str">
        <f>"20190303162929122"</f>
        <v>20190303162929122</v>
      </c>
      <c r="B5513" t="str">
        <f>"1551601769117256"</f>
        <v>1551601769117256</v>
      </c>
      <c r="C5513" t="s">
        <v>40</v>
      </c>
      <c r="D5513">
        <v>6.979813</v>
      </c>
      <c r="E5513">
        <v>0.61353749999999996</v>
      </c>
      <c r="F5513" t="s">
        <v>42</v>
      </c>
      <c r="G5513">
        <v>-308.29610000000002</v>
      </c>
      <c r="H5513">
        <v>-0.05</v>
      </c>
      <c r="I5513">
        <v>7.8350220000000004</v>
      </c>
      <c r="J5513">
        <v>-314.90989999999999</v>
      </c>
      <c r="K5513">
        <v>1.0747139999999999</v>
      </c>
      <c r="L5513">
        <v>15.895289999999999</v>
      </c>
      <c r="M5513">
        <v>0.9661729</v>
      </c>
      <c r="N5513">
        <v>-2.1440939999999999E-2</v>
      </c>
      <c r="O5513">
        <v>-0.25700289999999998</v>
      </c>
      <c r="P5513">
        <v>0.81036079999999999</v>
      </c>
      <c r="Q5513">
        <v>0.14377809999999999</v>
      </c>
      <c r="R5513">
        <v>-0.56801699999999999</v>
      </c>
      <c r="S5513">
        <v>2.050751</v>
      </c>
      <c r="T5513">
        <v>-0.34078760000000002</v>
      </c>
      <c r="U5513">
        <v>-2.4544069999999998</v>
      </c>
      <c r="V5513">
        <v>0.34561700000000001</v>
      </c>
      <c r="W5513">
        <v>0.15282290000000001</v>
      </c>
      <c r="X5513">
        <v>0.92584770000000005</v>
      </c>
      <c r="Y5513">
        <v>0.57392989999999999</v>
      </c>
      <c r="Z5513">
        <v>-1.7161889999999999E-2</v>
      </c>
      <c r="AA5513">
        <v>0.81872460000000002</v>
      </c>
      <c r="AB5513">
        <v>31</v>
      </c>
      <c r="AC5513">
        <v>6.6137999999999604</v>
      </c>
      <c r="AD5513">
        <v>-1.124714</v>
      </c>
      <c r="AE5513">
        <v>-8.06026799999999</v>
      </c>
      <c r="AF5513">
        <v>6.0192046366993903</v>
      </c>
      <c r="AG5513">
        <v>-1.124714</v>
      </c>
      <c r="AH5513">
        <v>8.3661799368213394</v>
      </c>
      <c r="AI5513">
        <v>96.227858167953499</v>
      </c>
      <c r="AJ5513">
        <v>54.2661658852969</v>
      </c>
      <c r="AK5513">
        <v>10.3676792376853</v>
      </c>
      <c r="AL5513">
        <v>81.209446259402895</v>
      </c>
      <c r="AM5513">
        <v>69.529502449216096</v>
      </c>
      <c r="AN5513">
        <v>0.99999995652434903</v>
      </c>
    </row>
    <row r="5514" spans="1:40" x14ac:dyDescent="0.25">
      <c r="A5514" t="str">
        <f>"20190303162929133"</f>
        <v>20190303162929133</v>
      </c>
      <c r="B5514" t="str">
        <f>"1551601769127016"</f>
        <v>1551601769127016</v>
      </c>
      <c r="C5514" t="s">
        <v>40</v>
      </c>
      <c r="D5514">
        <v>5.2009290000000004</v>
      </c>
      <c r="E5514">
        <v>0.61442240000000004</v>
      </c>
      <c r="F5514" t="s">
        <v>42</v>
      </c>
      <c r="G5514">
        <v>-308.07740000000001</v>
      </c>
      <c r="H5514">
        <v>-0.05</v>
      </c>
      <c r="I5514">
        <v>7.5063319999999996</v>
      </c>
      <c r="J5514">
        <v>-314.7561</v>
      </c>
      <c r="K5514">
        <v>1.0736460000000001</v>
      </c>
      <c r="L5514">
        <v>15.84726</v>
      </c>
      <c r="M5514">
        <v>0.96431330000000004</v>
      </c>
      <c r="N5514">
        <v>-2.1175570000000001E-2</v>
      </c>
      <c r="O5514">
        <v>-0.26391569999999998</v>
      </c>
      <c r="P5514">
        <v>0.80521149999999997</v>
      </c>
      <c r="Q5514">
        <v>0.1442311</v>
      </c>
      <c r="R5514">
        <v>-0.57517989999999997</v>
      </c>
      <c r="S5514">
        <v>2.021423</v>
      </c>
      <c r="T5514">
        <v>-0.33275090000000002</v>
      </c>
      <c r="U5514">
        <v>-2.481903</v>
      </c>
      <c r="V5514">
        <v>0.34722639999999999</v>
      </c>
      <c r="W5514">
        <v>0.15297089999999999</v>
      </c>
      <c r="X5514">
        <v>0.92522090000000001</v>
      </c>
      <c r="Y5514">
        <v>0.57844050000000002</v>
      </c>
      <c r="Z5514">
        <v>-1.660971E-2</v>
      </c>
      <c r="AA5514">
        <v>0.81555549999999999</v>
      </c>
      <c r="AB5514">
        <v>31</v>
      </c>
      <c r="AC5514">
        <v>6.6786999999999903</v>
      </c>
      <c r="AD5514">
        <v>-1.1236459999999999</v>
      </c>
      <c r="AE5514">
        <v>-8.3409279999999999</v>
      </c>
      <c r="AF5514">
        <v>6.2133540931688396</v>
      </c>
      <c r="AG5514">
        <v>-1.1236459999999999</v>
      </c>
      <c r="AH5514">
        <v>8.54906194994145</v>
      </c>
      <c r="AI5514">
        <v>96.068930826174693</v>
      </c>
      <c r="AJ5514">
        <v>53.990802501798399</v>
      </c>
      <c r="AK5514">
        <v>10.6280200246495</v>
      </c>
      <c r="AL5514">
        <v>81.200865903183299</v>
      </c>
      <c r="AM5514">
        <v>69.429375428124203</v>
      </c>
      <c r="AN5514">
        <v>0.99999999145028995</v>
      </c>
    </row>
    <row r="5515" spans="1:40" x14ac:dyDescent="0.25">
      <c r="A5515" t="str">
        <f>"20190303162929144"</f>
        <v>20190303162929144</v>
      </c>
      <c r="B5515" t="str">
        <f>"1551601769137752"</f>
        <v>1551601769137752</v>
      </c>
      <c r="C5515" t="s">
        <v>40</v>
      </c>
      <c r="D5515">
        <v>5.056616</v>
      </c>
      <c r="E5515">
        <v>0.61731069999999999</v>
      </c>
      <c r="F5515" t="s">
        <v>42</v>
      </c>
      <c r="G5515">
        <v>-307.86779999999999</v>
      </c>
      <c r="H5515">
        <v>-0.05</v>
      </c>
      <c r="I5515">
        <v>7.1896969999999998</v>
      </c>
      <c r="J5515">
        <v>-314.608</v>
      </c>
      <c r="K5515">
        <v>1.072632</v>
      </c>
      <c r="L5515">
        <v>15.800599999999999</v>
      </c>
      <c r="M5515">
        <v>0.9624625</v>
      </c>
      <c r="N5515">
        <v>-2.0919030000000002E-2</v>
      </c>
      <c r="O5515">
        <v>-0.27060719999999999</v>
      </c>
      <c r="P5515">
        <v>0.7997107</v>
      </c>
      <c r="Q5515">
        <v>0.14478379999999999</v>
      </c>
      <c r="R5515">
        <v>-0.58266649999999998</v>
      </c>
      <c r="S5515">
        <v>1.9938959999999999</v>
      </c>
      <c r="T5515">
        <v>-0.32524999999999998</v>
      </c>
      <c r="U5515">
        <v>-2.5060120000000001</v>
      </c>
      <c r="V5515">
        <v>0.3494737</v>
      </c>
      <c r="W5515">
        <v>0.1531989</v>
      </c>
      <c r="X5515">
        <v>0.92433670000000001</v>
      </c>
      <c r="Y5515">
        <v>0.58219299999999996</v>
      </c>
      <c r="Z5515">
        <v>-1.6047410000000002E-2</v>
      </c>
      <c r="AA5515">
        <v>0.81289230000000001</v>
      </c>
      <c r="AB5515">
        <v>31</v>
      </c>
      <c r="AC5515">
        <v>6.7402000000000104</v>
      </c>
      <c r="AD5515">
        <v>-1.1226320000000001</v>
      </c>
      <c r="AE5515">
        <v>-8.6109030000000004</v>
      </c>
      <c r="AF5515">
        <v>6.3977103154082098</v>
      </c>
      <c r="AG5515">
        <v>-1.1226320000000001</v>
      </c>
      <c r="AH5515">
        <v>8.7273100399970804</v>
      </c>
      <c r="AI5515">
        <v>95.922934951580402</v>
      </c>
      <c r="AJ5515">
        <v>53.756055502056803</v>
      </c>
      <c r="AK5515">
        <v>10.879197600077701</v>
      </c>
      <c r="AL5515">
        <v>81.187647192430902</v>
      </c>
      <c r="AM5515">
        <v>69.289371301576097</v>
      </c>
      <c r="AN5515">
        <v>1.00000005245989</v>
      </c>
    </row>
    <row r="5516" spans="1:40" x14ac:dyDescent="0.25">
      <c r="A5516" t="str">
        <f>"20190303162929155"</f>
        <v>20190303162929155</v>
      </c>
      <c r="B5516" t="str">
        <f>"1551601769147512"</f>
        <v>1551601769147512</v>
      </c>
      <c r="C5516" t="s">
        <v>40</v>
      </c>
      <c r="D5516">
        <v>5.6338650000000001</v>
      </c>
      <c r="E5516">
        <v>0.61731069999999999</v>
      </c>
      <c r="F5516" t="s">
        <v>42</v>
      </c>
      <c r="G5516">
        <v>-306.95949999999999</v>
      </c>
      <c r="H5516">
        <v>-0.05</v>
      </c>
      <c r="I5516">
        <v>5.8411559999999998</v>
      </c>
      <c r="J5516">
        <v>-314.44880000000001</v>
      </c>
      <c r="K5516">
        <v>1.07158</v>
      </c>
      <c r="L5516">
        <v>15.748290000000001</v>
      </c>
      <c r="M5516">
        <v>0.96036549999999998</v>
      </c>
      <c r="N5516">
        <v>-2.063885E-2</v>
      </c>
      <c r="O5516">
        <v>-0.27797880000000003</v>
      </c>
      <c r="P5516">
        <v>0.79356780000000005</v>
      </c>
      <c r="Q5516">
        <v>0.1452976</v>
      </c>
      <c r="R5516">
        <v>-0.59087970000000001</v>
      </c>
      <c r="S5516">
        <v>1.95166</v>
      </c>
      <c r="T5516">
        <v>-0.2864585</v>
      </c>
      <c r="U5516">
        <v>-2.5413209999999999</v>
      </c>
      <c r="V5516">
        <v>0.3519658</v>
      </c>
      <c r="W5516">
        <v>0.1533332</v>
      </c>
      <c r="X5516">
        <v>0.92336830000000003</v>
      </c>
      <c r="Y5516">
        <v>0.59034900000000001</v>
      </c>
      <c r="Z5516">
        <v>-1.5423849999999999E-2</v>
      </c>
      <c r="AA5516">
        <v>0.80700079999999996</v>
      </c>
      <c r="AB5516">
        <v>31</v>
      </c>
      <c r="AC5516">
        <v>7.4893000000000098</v>
      </c>
      <c r="AD5516">
        <v>-1.12158</v>
      </c>
      <c r="AE5516">
        <v>-9.9071339999999992</v>
      </c>
      <c r="AF5516">
        <v>7.3740458639839197</v>
      </c>
      <c r="AG5516">
        <v>-1.12158</v>
      </c>
      <c r="AH5516">
        <v>9.8680762886188695</v>
      </c>
      <c r="AI5516">
        <v>95.202175373053805</v>
      </c>
      <c r="AJ5516">
        <v>53.230607194507499</v>
      </c>
      <c r="AK5516">
        <v>12.369859487420999</v>
      </c>
      <c r="AL5516">
        <v>81.179859955130993</v>
      </c>
      <c r="AM5516">
        <v>69.134356021216803</v>
      </c>
      <c r="AN5516">
        <v>1.00000000601838</v>
      </c>
    </row>
    <row r="5517" spans="1:40" x14ac:dyDescent="0.25">
      <c r="A5517" t="str">
        <f>"20190303162929168"</f>
        <v>20190303162929168</v>
      </c>
      <c r="B5517" t="str">
        <f>"1551601769157272"</f>
        <v>1551601769157272</v>
      </c>
      <c r="C5517" t="s">
        <v>40</v>
      </c>
      <c r="D5517">
        <v>5.586271</v>
      </c>
      <c r="E5517">
        <v>0.59761180000000003</v>
      </c>
      <c r="F5517" t="s">
        <v>42</v>
      </c>
      <c r="G5517">
        <v>-306.90179999999998</v>
      </c>
      <c r="H5517">
        <v>-0.05</v>
      </c>
      <c r="I5517">
        <v>5.7152560000000001</v>
      </c>
      <c r="J5517">
        <v>-314.28699999999998</v>
      </c>
      <c r="K5517">
        <v>1.0705309999999999</v>
      </c>
      <c r="L5517">
        <v>15.69412</v>
      </c>
      <c r="M5517">
        <v>0.95815729999999999</v>
      </c>
      <c r="N5517">
        <v>-2.0352909999999998E-2</v>
      </c>
      <c r="O5517">
        <v>-0.28551759999999998</v>
      </c>
      <c r="P5517">
        <v>0.78714619999999902</v>
      </c>
      <c r="Q5517">
        <v>0.14534369999999999</v>
      </c>
      <c r="R5517">
        <v>-0.59939639999999905</v>
      </c>
      <c r="S5517">
        <v>1.9261779999999999</v>
      </c>
      <c r="T5517">
        <v>-0.2862537</v>
      </c>
      <c r="U5517">
        <v>-2.5606689999999999</v>
      </c>
      <c r="V5517">
        <v>0.3546743</v>
      </c>
      <c r="W5517">
        <v>0.152979799999999</v>
      </c>
      <c r="X5517">
        <v>0.92239000000000004</v>
      </c>
      <c r="Y5517">
        <v>0.59209279999999997</v>
      </c>
      <c r="Z5517">
        <v>-1.4778950000000001E-2</v>
      </c>
      <c r="AA5517">
        <v>0.80573419999999996</v>
      </c>
      <c r="AB5517">
        <v>31</v>
      </c>
      <c r="AC5517">
        <v>7.3852000000000499</v>
      </c>
      <c r="AD5517">
        <v>-1.1205309999999999</v>
      </c>
      <c r="AE5517">
        <v>-9.9788639999999997</v>
      </c>
      <c r="AF5517">
        <v>7.3940227873473798</v>
      </c>
      <c r="AG5517">
        <v>-1.1205309999999999</v>
      </c>
      <c r="AH5517">
        <v>9.8471574994152</v>
      </c>
      <c r="AI5517">
        <v>95.199336979071603</v>
      </c>
      <c r="AJ5517">
        <v>53.0978873160484</v>
      </c>
      <c r="AK5517">
        <v>12.3650181366653</v>
      </c>
      <c r="AL5517">
        <v>81.200349930562197</v>
      </c>
      <c r="AM5517">
        <v>68.967417901941701</v>
      </c>
      <c r="AN5517">
        <v>0.99999999519426497</v>
      </c>
    </row>
    <row r="5518" spans="1:40" x14ac:dyDescent="0.25">
      <c r="A5518" t="str">
        <f>"20190303162929179"</f>
        <v>20190303162929179</v>
      </c>
      <c r="B5518" t="str">
        <f>"1551601769167032"</f>
        <v>1551601769167032</v>
      </c>
      <c r="C5518" t="s">
        <v>40</v>
      </c>
      <c r="D5518">
        <v>5.5037539999999998</v>
      </c>
      <c r="E5518">
        <v>0.60160360000000002</v>
      </c>
      <c r="F5518" t="s">
        <v>42</v>
      </c>
      <c r="G5518">
        <v>-309.97859999999997</v>
      </c>
      <c r="H5518">
        <v>-0.05</v>
      </c>
      <c r="I5518">
        <v>10.454359999999999</v>
      </c>
      <c r="J5518">
        <v>-314.12759999999997</v>
      </c>
      <c r="K5518">
        <v>1.0695349999999999</v>
      </c>
      <c r="L5518">
        <v>15.639340000000001</v>
      </c>
      <c r="M5518">
        <v>0.95589469999999999</v>
      </c>
      <c r="N5518">
        <v>-2.0069460000000001E-2</v>
      </c>
      <c r="O5518">
        <v>-0.29302309999999998</v>
      </c>
      <c r="P5518">
        <v>0.78035929999999998</v>
      </c>
      <c r="Q5518">
        <v>0.1451818</v>
      </c>
      <c r="R5518">
        <v>-0.60824469999999997</v>
      </c>
      <c r="S5518">
        <v>2.0293269999999999</v>
      </c>
      <c r="T5518">
        <v>-0.52779589999999998</v>
      </c>
      <c r="U5518">
        <v>-2.468048</v>
      </c>
      <c r="V5518">
        <v>0.35785640000000002</v>
      </c>
      <c r="W5518">
        <v>0.15239359999999999</v>
      </c>
      <c r="X5518">
        <v>0.92125729999999995</v>
      </c>
      <c r="Y5518">
        <v>0.54741110000000004</v>
      </c>
      <c r="Z5518">
        <v>-1.028257E-2</v>
      </c>
      <c r="AA5518">
        <v>0.83680059999999901</v>
      </c>
      <c r="AB5518">
        <v>31</v>
      </c>
      <c r="AC5518">
        <v>4.149</v>
      </c>
      <c r="AD5518">
        <v>-1.1195349999999999</v>
      </c>
      <c r="AE5518">
        <v>-5.1849799999999897</v>
      </c>
      <c r="AF5518">
        <v>3.6378993096027399</v>
      </c>
      <c r="AG5518">
        <v>-1.1195349999999999</v>
      </c>
      <c r="AH5518">
        <v>5.3348053396345803</v>
      </c>
      <c r="AI5518">
        <v>99.836148725749993</v>
      </c>
      <c r="AJ5518">
        <v>55.709222514102798</v>
      </c>
      <c r="AK5518">
        <v>6.5534584773863296</v>
      </c>
      <c r="AL5518">
        <v>81.234335360204895</v>
      </c>
      <c r="AM5518">
        <v>68.771664922670297</v>
      </c>
      <c r="AN5518">
        <v>1.0000000125726001</v>
      </c>
    </row>
    <row r="5519" spans="1:40" x14ac:dyDescent="0.25">
      <c r="A5519" t="str">
        <f>"20190303162929190"</f>
        <v>20190303162929190</v>
      </c>
      <c r="B5519" t="str">
        <f>"1551601769177769"</f>
        <v>1551601769177769</v>
      </c>
      <c r="C5519" t="s">
        <v>40</v>
      </c>
      <c r="D5519">
        <v>5.4987300000000001</v>
      </c>
      <c r="E5519">
        <v>0.60401769999999999</v>
      </c>
      <c r="F5519" t="s">
        <v>42</v>
      </c>
      <c r="G5519">
        <v>-309.9511</v>
      </c>
      <c r="H5519">
        <v>-0.05</v>
      </c>
      <c r="I5519">
        <v>10.34282</v>
      </c>
      <c r="J5519">
        <v>-313.98599999999999</v>
      </c>
      <c r="K5519">
        <v>1.068692</v>
      </c>
      <c r="L5519">
        <v>15.5892</v>
      </c>
      <c r="M5519">
        <v>0.95381079999999996</v>
      </c>
      <c r="N5519">
        <v>-1.981774E-2</v>
      </c>
      <c r="O5519">
        <v>-0.29975380000000001</v>
      </c>
      <c r="P5519">
        <v>0.77402530000000003</v>
      </c>
      <c r="Q5519">
        <v>0.14471609999999999</v>
      </c>
      <c r="R5519">
        <v>-0.61639409999999994</v>
      </c>
      <c r="S5519">
        <v>1.983063</v>
      </c>
      <c r="T5519">
        <v>-0.53157829999999995</v>
      </c>
      <c r="U5519">
        <v>-2.5148929999999998</v>
      </c>
      <c r="V5519">
        <v>0.36099829999999999</v>
      </c>
      <c r="W5519">
        <v>0.1515358</v>
      </c>
      <c r="X5519">
        <v>0.92017230000000005</v>
      </c>
      <c r="Y5519">
        <v>0.55843999999999905</v>
      </c>
      <c r="Z5519">
        <v>-1.0311580000000001E-2</v>
      </c>
      <c r="AA5519">
        <v>0.82948080000000002</v>
      </c>
      <c r="AB5519">
        <v>31</v>
      </c>
      <c r="AC5519">
        <v>4.0348999999999897</v>
      </c>
      <c r="AD5519">
        <v>-1.118692</v>
      </c>
      <c r="AE5519">
        <v>-5.2463800000000003</v>
      </c>
      <c r="AF5519">
        <v>3.6899047771837798</v>
      </c>
      <c r="AG5519">
        <v>-1.118692</v>
      </c>
      <c r="AH5519">
        <v>5.2716122959560598</v>
      </c>
      <c r="AI5519">
        <v>99.862476787438595</v>
      </c>
      <c r="AJ5519">
        <v>55.009612551963102</v>
      </c>
      <c r="AK5519">
        <v>6.5312146844536398</v>
      </c>
      <c r="AL5519">
        <v>81.284060795885907</v>
      </c>
      <c r="AM5519">
        <v>68.579129239400103</v>
      </c>
      <c r="AN5519">
        <v>0.99999996648590905</v>
      </c>
    </row>
    <row r="5520" spans="1:40" x14ac:dyDescent="0.25">
      <c r="A5520" t="str">
        <f>"20190303162929200"</f>
        <v>20190303162929200</v>
      </c>
      <c r="B5520" t="str">
        <f>"1551601769187528"</f>
        <v>1551601769187528</v>
      </c>
      <c r="C5520" t="s">
        <v>40</v>
      </c>
      <c r="D5520">
        <v>5.4623089999999896</v>
      </c>
      <c r="E5520">
        <v>0.60544929999999997</v>
      </c>
      <c r="F5520" t="s">
        <v>42</v>
      </c>
      <c r="G5520">
        <v>-309.95929999999998</v>
      </c>
      <c r="H5520">
        <v>-0.05</v>
      </c>
      <c r="I5520">
        <v>10.312709999999999</v>
      </c>
      <c r="J5520">
        <v>-313.8553</v>
      </c>
      <c r="K5520">
        <v>1.0679320000000001</v>
      </c>
      <c r="L5520">
        <v>15.542299999999999</v>
      </c>
      <c r="M5520">
        <v>0.95183439999999997</v>
      </c>
      <c r="N5520">
        <v>-1.9585160000000001E-2</v>
      </c>
      <c r="O5520">
        <v>-0.30598609999999998</v>
      </c>
      <c r="P5520">
        <v>0.7685168</v>
      </c>
      <c r="Q5520">
        <v>0.1431897</v>
      </c>
      <c r="R5520">
        <v>-0.62360130000000003</v>
      </c>
      <c r="S5520">
        <v>1.9461059999999999</v>
      </c>
      <c r="T5520">
        <v>-0.54067399999999999</v>
      </c>
      <c r="U5520">
        <v>-2.5501710000000002</v>
      </c>
      <c r="V5520">
        <v>0.3634579</v>
      </c>
      <c r="W5520">
        <v>0.14966670000000001</v>
      </c>
      <c r="X5520">
        <v>0.91950980000000004</v>
      </c>
      <c r="Y5520">
        <v>0.56597109999999995</v>
      </c>
      <c r="Z5520">
        <v>-1.000492E-2</v>
      </c>
      <c r="AA5520">
        <v>0.8243644</v>
      </c>
      <c r="AB5520">
        <v>31</v>
      </c>
      <c r="AC5520">
        <v>3.8960000000000101</v>
      </c>
      <c r="AD5520">
        <v>-1.1179319999999999</v>
      </c>
      <c r="AE5520">
        <v>-5.2295899999999902</v>
      </c>
      <c r="AF5520">
        <v>3.6782151383577002</v>
      </c>
      <c r="AG5520">
        <v>-1.1179319999999999</v>
      </c>
      <c r="AH5520">
        <v>5.1579681745891701</v>
      </c>
      <c r="AI5520">
        <v>100.007694411191</v>
      </c>
      <c r="AJ5520">
        <v>54.506831399529197</v>
      </c>
      <c r="AK5520">
        <v>6.4330143984560202</v>
      </c>
      <c r="AL5520">
        <v>81.392388330262804</v>
      </c>
      <c r="AM5520">
        <v>68.432423612887405</v>
      </c>
      <c r="AN5520">
        <v>1.00000001922867</v>
      </c>
    </row>
    <row r="5521" spans="1:40" x14ac:dyDescent="0.25">
      <c r="A5521" t="str">
        <f>"20190303162929211"</f>
        <v>20190303162929211</v>
      </c>
      <c r="B5521" t="str">
        <f>"1551601769207048"</f>
        <v>1551601769207048</v>
      </c>
      <c r="C5521" t="s">
        <v>40</v>
      </c>
      <c r="D5521">
        <v>5.4447910000000004</v>
      </c>
      <c r="E5521">
        <v>0.6059928</v>
      </c>
      <c r="F5521" t="s">
        <v>42</v>
      </c>
      <c r="G5521">
        <v>-309.95139999999998</v>
      </c>
      <c r="H5521">
        <v>-0.05</v>
      </c>
      <c r="I5521">
        <v>10.29274</v>
      </c>
      <c r="J5521">
        <v>-313.71260000000001</v>
      </c>
      <c r="K5521">
        <v>1.067151</v>
      </c>
      <c r="L5521">
        <v>15.48944</v>
      </c>
      <c r="M5521">
        <v>0.94960259999999996</v>
      </c>
      <c r="N5521">
        <v>-1.9334130000000001E-2</v>
      </c>
      <c r="O5521">
        <v>-0.31285970000000002</v>
      </c>
      <c r="P5521">
        <v>0.76261919999999905</v>
      </c>
      <c r="Q5521">
        <v>0.14172360000000001</v>
      </c>
      <c r="R5521">
        <v>-0.6311312</v>
      </c>
      <c r="S5521">
        <v>1.9156489999999999</v>
      </c>
      <c r="T5521">
        <v>-0.54856419999999995</v>
      </c>
      <c r="U5521">
        <v>-2.5759280000000002</v>
      </c>
      <c r="V5521">
        <v>0.36573620000000001</v>
      </c>
      <c r="W5521">
        <v>0.14784800000000001</v>
      </c>
      <c r="X5521">
        <v>0.91890039999999995</v>
      </c>
      <c r="Y5521">
        <v>0.57014379999999998</v>
      </c>
      <c r="Z5521">
        <v>-9.1622140000000001E-3</v>
      </c>
      <c r="AA5521">
        <v>0.8214939</v>
      </c>
      <c r="AB5521">
        <v>31</v>
      </c>
      <c r="AC5521">
        <v>3.7612000000000299</v>
      </c>
      <c r="AD5521">
        <v>-1.117151</v>
      </c>
      <c r="AE5521">
        <v>-5.1966999999999999</v>
      </c>
      <c r="AF5521">
        <v>3.6481372751313201</v>
      </c>
      <c r="AG5521">
        <v>-1.117151</v>
      </c>
      <c r="AH5521">
        <v>5.04544163488141</v>
      </c>
      <c r="AI5521">
        <v>100.17221675144999</v>
      </c>
      <c r="AJ5521">
        <v>54.130960511436399</v>
      </c>
      <c r="AK5521">
        <v>6.3256156400779204</v>
      </c>
      <c r="AL5521">
        <v>81.497764219745406</v>
      </c>
      <c r="AM5521">
        <v>68.296699422942197</v>
      </c>
      <c r="AN5521">
        <v>0.99999997210729896</v>
      </c>
    </row>
    <row r="5522" spans="1:40" x14ac:dyDescent="0.25">
      <c r="A5522" t="str">
        <f>"20190303162929224"</f>
        <v>20190303162929224</v>
      </c>
      <c r="B5522" t="str">
        <f>"1551601769217785"</f>
        <v>1551601769217785</v>
      </c>
      <c r="C5522" t="s">
        <v>40</v>
      </c>
      <c r="D5522">
        <v>5.455311</v>
      </c>
      <c r="E5522">
        <v>0.60610909999999996</v>
      </c>
      <c r="F5522" t="s">
        <v>42</v>
      </c>
      <c r="G5522">
        <v>-309.97109999999998</v>
      </c>
      <c r="H5522">
        <v>-0.05</v>
      </c>
      <c r="I5522">
        <v>10.347530000000001</v>
      </c>
      <c r="J5522">
        <v>-313.53280000000001</v>
      </c>
      <c r="K5522">
        <v>1.0662149999999999</v>
      </c>
      <c r="L5522">
        <v>15.421810000000001</v>
      </c>
      <c r="M5522">
        <v>0.94670330000000003</v>
      </c>
      <c r="N5522">
        <v>-1.9019939999999999E-2</v>
      </c>
      <c r="O5522">
        <v>-0.32154509999999997</v>
      </c>
      <c r="P5522">
        <v>0.75567640000000003</v>
      </c>
      <c r="Q5522">
        <v>0.13944239999999999</v>
      </c>
      <c r="R5522">
        <v>-0.63992890000000002</v>
      </c>
      <c r="S5522">
        <v>1.8895569999999999</v>
      </c>
      <c r="T5522">
        <v>-0.56419189999999997</v>
      </c>
      <c r="U5522">
        <v>-2.5968019999999998</v>
      </c>
      <c r="V5522">
        <v>0.3677745</v>
      </c>
      <c r="W5522">
        <v>0.1451617</v>
      </c>
      <c r="X5522">
        <v>0.91851510000000003</v>
      </c>
      <c r="Y5522">
        <v>0.57103809999999999</v>
      </c>
      <c r="Z5522">
        <v>-7.4778309999999999E-3</v>
      </c>
      <c r="AA5522">
        <v>0.82088950000000005</v>
      </c>
      <c r="AB5522">
        <v>31</v>
      </c>
      <c r="AC5522">
        <v>3.5617000000000298</v>
      </c>
      <c r="AD5522">
        <v>-1.116215</v>
      </c>
      <c r="AE5522">
        <v>-5.0742799999999999</v>
      </c>
      <c r="AF5522">
        <v>3.5443529613429199</v>
      </c>
      <c r="AG5522">
        <v>-1.116215</v>
      </c>
      <c r="AH5522">
        <v>4.8472520044935203</v>
      </c>
      <c r="AI5522">
        <v>100.530261541138</v>
      </c>
      <c r="AJ5522">
        <v>53.8254028623614</v>
      </c>
      <c r="AK5522">
        <v>6.1077185458951702</v>
      </c>
      <c r="AL5522">
        <v>81.653356974563806</v>
      </c>
      <c r="AM5522">
        <v>68.178779413064703</v>
      </c>
      <c r="AN5522">
        <v>0.99999999546257501</v>
      </c>
    </row>
    <row r="5523" spans="1:40" x14ac:dyDescent="0.25">
      <c r="A5523" t="str">
        <f>"20190303162929237"</f>
        <v>20190303162929237</v>
      </c>
      <c r="B5523" t="str">
        <f>"1551601769227544"</f>
        <v>1551601769227544</v>
      </c>
      <c r="C5523" t="s">
        <v>40</v>
      </c>
      <c r="D5523">
        <v>5.4318140000000001</v>
      </c>
      <c r="E5523">
        <v>0.60592979999999996</v>
      </c>
      <c r="F5523" t="s">
        <v>42</v>
      </c>
      <c r="G5523">
        <v>-309.91879999999998</v>
      </c>
      <c r="H5523">
        <v>-0.05</v>
      </c>
      <c r="I5523">
        <v>10.337339999999999</v>
      </c>
      <c r="J5523">
        <v>-313.3646</v>
      </c>
      <c r="K5523">
        <v>1.06542</v>
      </c>
      <c r="L5523">
        <v>15.35608</v>
      </c>
      <c r="M5523">
        <v>0.94387989999999999</v>
      </c>
      <c r="N5523">
        <v>-1.873505E-2</v>
      </c>
      <c r="O5523">
        <v>-0.32975749999999998</v>
      </c>
      <c r="P5523">
        <v>0.7490194</v>
      </c>
      <c r="Q5523">
        <v>0.13713139999999999</v>
      </c>
      <c r="R5523">
        <v>-0.64820180000000005</v>
      </c>
      <c r="S5523">
        <v>1.859985</v>
      </c>
      <c r="T5523">
        <v>-0.57447340000000002</v>
      </c>
      <c r="U5523">
        <v>-2.6167910000000001</v>
      </c>
      <c r="V5523">
        <v>0.36968990000000002</v>
      </c>
      <c r="W5523">
        <v>0.14249229999999999</v>
      </c>
      <c r="X5523">
        <v>0.91816410000000004</v>
      </c>
      <c r="Y5523">
        <v>0.57295890000000005</v>
      </c>
      <c r="Z5523">
        <v>-5.9797019999999999E-3</v>
      </c>
      <c r="AA5523">
        <v>0.81956229999999997</v>
      </c>
      <c r="AB5523">
        <v>31</v>
      </c>
      <c r="AC5523">
        <v>3.4458000000000202</v>
      </c>
      <c r="AD5523">
        <v>-1.1154200000000001</v>
      </c>
      <c r="AE5523">
        <v>-5.0187399999999904</v>
      </c>
      <c r="AF5523">
        <v>3.4844661556401402</v>
      </c>
      <c r="AG5523">
        <v>-1.1154200000000001</v>
      </c>
      <c r="AH5523">
        <v>4.7488292820595399</v>
      </c>
      <c r="AI5523">
        <v>100.72329435417301</v>
      </c>
      <c r="AJ5523">
        <v>53.7305414729936</v>
      </c>
      <c r="AK5523">
        <v>5.9947515141453298</v>
      </c>
      <c r="AL5523">
        <v>81.807909287924701</v>
      </c>
      <c r="AM5523">
        <v>68.068295572381302</v>
      </c>
      <c r="AN5523">
        <v>0.99999999612505497</v>
      </c>
    </row>
    <row r="5524" spans="1:40" x14ac:dyDescent="0.25">
      <c r="A5524" t="str">
        <f>"20190303162929251"</f>
        <v>20190303162929251</v>
      </c>
      <c r="B5524" t="str">
        <f>"1551601769247064"</f>
        <v>1551601769247064</v>
      </c>
      <c r="C5524" t="s">
        <v>40</v>
      </c>
      <c r="D5524">
        <v>5.4339709999999997</v>
      </c>
      <c r="E5524">
        <v>0.60624999999999996</v>
      </c>
      <c r="F5524" t="s">
        <v>42</v>
      </c>
      <c r="G5524">
        <v>-309.86970000000002</v>
      </c>
      <c r="H5524">
        <v>-0.05</v>
      </c>
      <c r="I5524">
        <v>10.33615</v>
      </c>
      <c r="J5524">
        <v>-313.18529999999998</v>
      </c>
      <c r="K5524">
        <v>1.0646340000000001</v>
      </c>
      <c r="L5524">
        <v>15.28445</v>
      </c>
      <c r="M5524">
        <v>0.94076749999999998</v>
      </c>
      <c r="N5524">
        <v>-1.843916E-2</v>
      </c>
      <c r="O5524">
        <v>-0.33855099999999999</v>
      </c>
      <c r="P5524">
        <v>0.74196149999999905</v>
      </c>
      <c r="Q5524">
        <v>0.1346581</v>
      </c>
      <c r="R5524">
        <v>-0.65678049999999999</v>
      </c>
      <c r="S5524">
        <v>1.833405</v>
      </c>
      <c r="T5524">
        <v>-0.58513519999999997</v>
      </c>
      <c r="U5524">
        <v>-2.6333920000000002</v>
      </c>
      <c r="V5524">
        <v>0.37146180000000001</v>
      </c>
      <c r="W5524">
        <v>0.1396627</v>
      </c>
      <c r="X5524">
        <v>0.91788369999999997</v>
      </c>
      <c r="Y5524">
        <v>0.57327289999999997</v>
      </c>
      <c r="Z5524">
        <v>-4.09684E-3</v>
      </c>
      <c r="AA5524">
        <v>0.81935419999999903</v>
      </c>
      <c r="AB5524">
        <v>31</v>
      </c>
      <c r="AC5524">
        <v>3.3155999999999599</v>
      </c>
      <c r="AD5524">
        <v>-1.1146339999999999</v>
      </c>
      <c r="AE5524">
        <v>-4.9482999999999997</v>
      </c>
      <c r="AF5524">
        <v>3.4137565067178302</v>
      </c>
      <c r="AG5524">
        <v>-1.1146339999999999</v>
      </c>
      <c r="AH5524">
        <v>4.6330343974477701</v>
      </c>
      <c r="AI5524">
        <v>100.961592078116</v>
      </c>
      <c r="AJ5524">
        <v>53.616115567307297</v>
      </c>
      <c r="AK5524">
        <v>5.8618384632339202</v>
      </c>
      <c r="AL5524">
        <v>81.971671475761596</v>
      </c>
      <c r="AM5524">
        <v>67.967128235609394</v>
      </c>
      <c r="AN5524">
        <v>1.0000000126781099</v>
      </c>
    </row>
    <row r="5525" spans="1:40" x14ac:dyDescent="0.25">
      <c r="A5525" t="str">
        <f>"20190303162929265"</f>
        <v>20190303162929265</v>
      </c>
      <c r="B5525" t="str">
        <f>"1551601769257801"</f>
        <v>1551601769257801</v>
      </c>
      <c r="C5525" t="s">
        <v>40</v>
      </c>
      <c r="D5525">
        <v>5.4080510000000004</v>
      </c>
      <c r="E5525">
        <v>0.60647299999999904</v>
      </c>
      <c r="F5525" t="s">
        <v>42</v>
      </c>
      <c r="G5525">
        <v>-309.79129999999998</v>
      </c>
      <c r="H5525">
        <v>-0.05</v>
      </c>
      <c r="I5525">
        <v>10.286479999999999</v>
      </c>
      <c r="J5525">
        <v>-312.98669999999998</v>
      </c>
      <c r="K5525">
        <v>1.063844</v>
      </c>
      <c r="L5525">
        <v>15.203060000000001</v>
      </c>
      <c r="M5525">
        <v>0.93719410000000003</v>
      </c>
      <c r="N5525">
        <v>-1.8122079999999999E-2</v>
      </c>
      <c r="O5525">
        <v>-0.34833750000000002</v>
      </c>
      <c r="P5525">
        <v>0.73439750000000004</v>
      </c>
      <c r="Q5525">
        <v>0.1325721</v>
      </c>
      <c r="R5525">
        <v>-0.66564650000000003</v>
      </c>
      <c r="S5525">
        <v>1.8019099999999999</v>
      </c>
      <c r="T5525">
        <v>-0.59176969999999995</v>
      </c>
      <c r="U5525">
        <v>-2.653473</v>
      </c>
      <c r="V5525">
        <v>0.372722</v>
      </c>
      <c r="W5525">
        <v>0.13722879999999901</v>
      </c>
      <c r="X5525">
        <v>0.91773990000000005</v>
      </c>
      <c r="Y5525">
        <v>0.57430919999999996</v>
      </c>
      <c r="Z5525">
        <v>-2.0943730000000001E-3</v>
      </c>
      <c r="AA5525">
        <v>0.81863580000000002</v>
      </c>
      <c r="AB5525">
        <v>31</v>
      </c>
      <c r="AC5525">
        <v>3.1953999999999998</v>
      </c>
      <c r="AD5525">
        <v>-1.1138440000000001</v>
      </c>
      <c r="AE5525">
        <v>-4.9165799999999997</v>
      </c>
      <c r="AF5525">
        <v>3.3735582020444999</v>
      </c>
      <c r="AG5525">
        <v>-1.1138440000000001</v>
      </c>
      <c r="AH5525">
        <v>4.5441462023400803</v>
      </c>
      <c r="AI5525">
        <v>101.134022789128</v>
      </c>
      <c r="AJ5525">
        <v>53.409936733120198</v>
      </c>
      <c r="AK5525">
        <v>5.7680853068552604</v>
      </c>
      <c r="AL5525">
        <v>82.112479417552805</v>
      </c>
      <c r="AM5525">
        <v>67.896437638357597</v>
      </c>
      <c r="AN5525">
        <v>0.99999997844272404</v>
      </c>
    </row>
    <row r="5526" spans="1:40" x14ac:dyDescent="0.25">
      <c r="A5526" t="str">
        <f>"20190303162929277"</f>
        <v>20190303162929277</v>
      </c>
      <c r="B5526" t="str">
        <f>"1551601769267560"</f>
        <v>1551601769267560</v>
      </c>
      <c r="C5526" t="s">
        <v>40</v>
      </c>
      <c r="D5526">
        <v>5.4269619999999996</v>
      </c>
      <c r="E5526">
        <v>0.60639849999999995</v>
      </c>
      <c r="F5526" t="s">
        <v>42</v>
      </c>
      <c r="G5526">
        <v>-309.68270000000001</v>
      </c>
      <c r="H5526">
        <v>-0.05</v>
      </c>
      <c r="I5526">
        <v>10.20889</v>
      </c>
      <c r="J5526">
        <v>-312.8331</v>
      </c>
      <c r="K5526">
        <v>1.0632969999999999</v>
      </c>
      <c r="L5526">
        <v>15.138120000000001</v>
      </c>
      <c r="M5526">
        <v>0.93433029999999995</v>
      </c>
      <c r="N5526">
        <v>-1.7889510000000001E-2</v>
      </c>
      <c r="O5526">
        <v>-0.35595900000000003</v>
      </c>
      <c r="P5526">
        <v>0.72803569999999995</v>
      </c>
      <c r="Q5526">
        <v>0.1298928</v>
      </c>
      <c r="R5526">
        <v>-0.67312099999999997</v>
      </c>
      <c r="S5526">
        <v>1.7689820000000001</v>
      </c>
      <c r="T5526">
        <v>-0.59636940000000005</v>
      </c>
      <c r="U5526">
        <v>-2.67395</v>
      </c>
      <c r="V5526">
        <v>0.37437100000000001</v>
      </c>
      <c r="W5526">
        <v>0.13427520000000001</v>
      </c>
      <c r="X5526">
        <v>0.91750560000000003</v>
      </c>
      <c r="Y5526">
        <v>0.57752239999999999</v>
      </c>
      <c r="Z5526">
        <v>-8.2099069999999998E-4</v>
      </c>
      <c r="AA5526">
        <v>0.81637439999999994</v>
      </c>
      <c r="AB5526">
        <v>31</v>
      </c>
      <c r="AC5526">
        <v>3.1503999999999901</v>
      </c>
      <c r="AD5526">
        <v>-1.113297</v>
      </c>
      <c r="AE5526">
        <v>-4.9292299999999996</v>
      </c>
      <c r="AF5526">
        <v>3.36288000564319</v>
      </c>
      <c r="AG5526">
        <v>-1.113297</v>
      </c>
      <c r="AH5526">
        <v>4.5346389895254804</v>
      </c>
      <c r="AI5526">
        <v>101.15559349049801</v>
      </c>
      <c r="AJ5526">
        <v>53.439435841869901</v>
      </c>
      <c r="AK5526">
        <v>5.7542456419489501</v>
      </c>
      <c r="AL5526">
        <v>82.283289687848395</v>
      </c>
      <c r="AM5526">
        <v>67.803003203062204</v>
      </c>
      <c r="AN5526">
        <v>1.0000000005037</v>
      </c>
    </row>
    <row r="5527" spans="1:40" x14ac:dyDescent="0.25">
      <c r="A5527" t="str">
        <f>"20190303162929290"</f>
        <v>20190303162929290</v>
      </c>
      <c r="B5527" t="str">
        <f>"1551601769277320"</f>
        <v>1551601769277320</v>
      </c>
      <c r="C5527" t="s">
        <v>40</v>
      </c>
      <c r="D5527">
        <v>5.4078609999999996</v>
      </c>
      <c r="E5527">
        <v>0.60647309999999999</v>
      </c>
      <c r="F5527" t="s">
        <v>42</v>
      </c>
      <c r="G5527">
        <v>-309.61790000000002</v>
      </c>
      <c r="H5527">
        <v>-0.05</v>
      </c>
      <c r="I5527">
        <v>10.170059999999999</v>
      </c>
      <c r="J5527">
        <v>-312.67099999999999</v>
      </c>
      <c r="K5527">
        <v>1.062773</v>
      </c>
      <c r="L5527">
        <v>15.06812</v>
      </c>
      <c r="M5527">
        <v>0.93122099999999997</v>
      </c>
      <c r="N5527">
        <v>-1.7653619999999998E-2</v>
      </c>
      <c r="O5527">
        <v>-0.3640273</v>
      </c>
      <c r="P5527">
        <v>0.72193079999999998</v>
      </c>
      <c r="Q5527">
        <v>0.1295866</v>
      </c>
      <c r="R5527">
        <v>-0.67972290000000002</v>
      </c>
      <c r="S5527">
        <v>1.7409969999999999</v>
      </c>
      <c r="T5527">
        <v>-0.60283719999999996</v>
      </c>
      <c r="U5527">
        <v>-2.6901549999999999</v>
      </c>
      <c r="V5527">
        <v>0.3747549</v>
      </c>
      <c r="W5527">
        <v>0.13373979999999999</v>
      </c>
      <c r="X5527">
        <v>0.91742710000000005</v>
      </c>
      <c r="Y5527">
        <v>0.57869930000000003</v>
      </c>
      <c r="Z5527">
        <v>8.7132300000000002E-4</v>
      </c>
      <c r="AA5527">
        <v>0.81554059999999995</v>
      </c>
      <c r="AB5527">
        <v>31</v>
      </c>
      <c r="AC5527">
        <v>3.0530999999999699</v>
      </c>
      <c r="AD5527">
        <v>-1.112773</v>
      </c>
      <c r="AE5527">
        <v>-4.8980599999999903</v>
      </c>
      <c r="AF5527">
        <v>3.3266465474157001</v>
      </c>
      <c r="AG5527">
        <v>-1.112773</v>
      </c>
      <c r="AH5527">
        <v>4.4610369623545303</v>
      </c>
      <c r="AI5527">
        <v>101.308004835335</v>
      </c>
      <c r="AJ5527">
        <v>53.287682764863099</v>
      </c>
      <c r="AK5527">
        <v>5.6750058837374899</v>
      </c>
      <c r="AL5527">
        <v>82.314245257146297</v>
      </c>
      <c r="AM5527">
        <v>67.780738236188697</v>
      </c>
      <c r="AN5527">
        <v>1.0000000264962201</v>
      </c>
    </row>
    <row r="5528" spans="1:40" x14ac:dyDescent="0.25">
      <c r="A5528" t="str">
        <f>"20190303162929302"</f>
        <v>20190303162929302</v>
      </c>
      <c r="B5528" t="str">
        <f>"1551601769297816"</f>
        <v>1551601769297816</v>
      </c>
      <c r="C5528" t="s">
        <v>40</v>
      </c>
      <c r="D5528">
        <v>5.4242460000000001</v>
      </c>
      <c r="E5528">
        <v>0.60639509999999996</v>
      </c>
      <c r="F5528" t="s">
        <v>42</v>
      </c>
      <c r="G5528">
        <v>-309.49759999999998</v>
      </c>
      <c r="H5528">
        <v>-0.05</v>
      </c>
      <c r="I5528">
        <v>10.06265</v>
      </c>
      <c r="J5528">
        <v>-312.5077</v>
      </c>
      <c r="K5528">
        <v>1.0622750000000001</v>
      </c>
      <c r="L5528">
        <v>14.99634</v>
      </c>
      <c r="M5528">
        <v>0.92799969999999998</v>
      </c>
      <c r="N5528">
        <v>-1.7424039999999998E-2</v>
      </c>
      <c r="O5528">
        <v>-0.37217299999999998</v>
      </c>
      <c r="P5528">
        <v>0.71592299999999998</v>
      </c>
      <c r="Q5528">
        <v>0.12993730000000001</v>
      </c>
      <c r="R5528">
        <v>-0.68598130000000002</v>
      </c>
      <c r="S5528">
        <v>1.7156370000000001</v>
      </c>
      <c r="T5528">
        <v>-0.60159219999999902</v>
      </c>
      <c r="U5528">
        <v>-2.7060849999999999</v>
      </c>
      <c r="V5528">
        <v>0.3747299</v>
      </c>
      <c r="W5528">
        <v>0.13388439999999999</v>
      </c>
      <c r="X5528">
        <v>0.91741620000000002</v>
      </c>
      <c r="Y5528">
        <v>0.57932139999999999</v>
      </c>
      <c r="Z5528">
        <v>2.5052910000000002E-3</v>
      </c>
      <c r="AA5528">
        <v>0.81509529999999997</v>
      </c>
      <c r="AB5528">
        <v>31</v>
      </c>
      <c r="AC5528">
        <v>3.01010000000002</v>
      </c>
      <c r="AD5528">
        <v>-1.1122749999999999</v>
      </c>
      <c r="AE5528">
        <v>-4.9336900000000004</v>
      </c>
      <c r="AF5528">
        <v>3.33518067286025</v>
      </c>
      <c r="AG5528">
        <v>-1.1122749999999999</v>
      </c>
      <c r="AH5528">
        <v>4.4648892978177699</v>
      </c>
      <c r="AI5528">
        <v>101.286886996528</v>
      </c>
      <c r="AJ5528">
        <v>53.241023493021203</v>
      </c>
      <c r="AK5528">
        <v>5.6829413368442596</v>
      </c>
      <c r="AL5528">
        <v>82.305884953619</v>
      </c>
      <c r="AM5528">
        <v>67.781838002308803</v>
      </c>
      <c r="AN5528">
        <v>1.0000000072699</v>
      </c>
    </row>
    <row r="5529" spans="1:40" x14ac:dyDescent="0.25">
      <c r="A5529" t="str">
        <f>"20190303162929316"</f>
        <v>20190303162929316</v>
      </c>
      <c r="B5529" t="str">
        <f>"1551601769307577"</f>
        <v>1551601769307577</v>
      </c>
      <c r="C5529" t="s">
        <v>40</v>
      </c>
      <c r="D5529">
        <v>5.3885719999999999</v>
      </c>
      <c r="E5529">
        <v>0.60633059999999905</v>
      </c>
      <c r="F5529" t="s">
        <v>42</v>
      </c>
      <c r="G5529">
        <v>-309.35250000000002</v>
      </c>
      <c r="H5529">
        <v>-0.05</v>
      </c>
      <c r="I5529">
        <v>9.9233550000000008</v>
      </c>
      <c r="J5529">
        <v>-312.33100000000002</v>
      </c>
      <c r="K5529">
        <v>1.0618030000000001</v>
      </c>
      <c r="L5529">
        <v>14.915889999999999</v>
      </c>
      <c r="M5529">
        <v>0.92439159999999998</v>
      </c>
      <c r="N5529">
        <v>-1.7194640000000001E-2</v>
      </c>
      <c r="O5529">
        <v>-0.38105749999999999</v>
      </c>
      <c r="P5529">
        <v>0.70931230000000001</v>
      </c>
      <c r="Q5529">
        <v>0.1296986</v>
      </c>
      <c r="R5529">
        <v>-0.69285969999999997</v>
      </c>
      <c r="S5529">
        <v>1.691986</v>
      </c>
      <c r="T5529">
        <v>-0.59646650000000001</v>
      </c>
      <c r="U5529">
        <v>-2.7204280000000001</v>
      </c>
      <c r="V5529">
        <v>0.3747549</v>
      </c>
      <c r="W5529">
        <v>0.133436</v>
      </c>
      <c r="X5529">
        <v>0.91747129999999999</v>
      </c>
      <c r="Y5529">
        <v>0.57877109999999998</v>
      </c>
      <c r="Z5529">
        <v>4.333511E-3</v>
      </c>
      <c r="AA5529">
        <v>0.81547860000000005</v>
      </c>
      <c r="AB5529">
        <v>31</v>
      </c>
      <c r="AC5529">
        <v>2.97849999999994</v>
      </c>
      <c r="AD5529">
        <v>-1.1118030000000001</v>
      </c>
      <c r="AE5529">
        <v>-4.9925349999999904</v>
      </c>
      <c r="AF5529">
        <v>3.3577822483650901</v>
      </c>
      <c r="AG5529">
        <v>-1.1118030000000001</v>
      </c>
      <c r="AH5529">
        <v>4.4921331415159402</v>
      </c>
      <c r="AI5529">
        <v>101.212909341924</v>
      </c>
      <c r="AJ5529">
        <v>53.222599806124499</v>
      </c>
      <c r="AK5529">
        <v>5.7175228639114897</v>
      </c>
      <c r="AL5529">
        <v>82.331808887562701</v>
      </c>
      <c r="AM5529">
        <v>67.781704537375703</v>
      </c>
      <c r="AN5529">
        <v>0.99999999374685</v>
      </c>
    </row>
    <row r="5530" spans="1:40" x14ac:dyDescent="0.25">
      <c r="A5530" t="str">
        <f>"20190303162929328"</f>
        <v>20190303162929328</v>
      </c>
      <c r="B5530" t="str">
        <f>"1551601769317337"</f>
        <v>1551601769317337</v>
      </c>
      <c r="C5530" t="s">
        <v>40</v>
      </c>
      <c r="D5530">
        <v>5.4073339999999996</v>
      </c>
      <c r="E5530">
        <v>0.60651239999999995</v>
      </c>
      <c r="F5530" t="s">
        <v>42</v>
      </c>
      <c r="G5530">
        <v>-309.22129999999999</v>
      </c>
      <c r="H5530">
        <v>-0.05</v>
      </c>
      <c r="I5530">
        <v>9.810333</v>
      </c>
      <c r="J5530">
        <v>-312.18459999999999</v>
      </c>
      <c r="K5530">
        <v>1.061428</v>
      </c>
      <c r="L5530">
        <v>14.848140000000001</v>
      </c>
      <c r="M5530">
        <v>0.9213209</v>
      </c>
      <c r="N5530">
        <v>-1.7012240000000001E-2</v>
      </c>
      <c r="O5530">
        <v>-0.38843129999999998</v>
      </c>
      <c r="P5530">
        <v>0.70372609999999902</v>
      </c>
      <c r="Q5530">
        <v>0.12938720000000001</v>
      </c>
      <c r="R5530">
        <v>-0.69859119999999997</v>
      </c>
      <c r="S5530">
        <v>1.666229</v>
      </c>
      <c r="T5530">
        <v>-0.59571869999999905</v>
      </c>
      <c r="U5530">
        <v>-2.7356259999999999</v>
      </c>
      <c r="V5530">
        <v>0.37483119999999998</v>
      </c>
      <c r="W5530">
        <v>0.1329525</v>
      </c>
      <c r="X5530">
        <v>0.9175103</v>
      </c>
      <c r="Y5530">
        <v>0.57997259999999995</v>
      </c>
      <c r="Z5530">
        <v>5.7223999999999999E-3</v>
      </c>
      <c r="AA5530">
        <v>0.81461589999999995</v>
      </c>
      <c r="AB5530">
        <v>31</v>
      </c>
      <c r="AC5530">
        <v>2.9632999999999998</v>
      </c>
      <c r="AD5530">
        <v>-1.1114280000000001</v>
      </c>
      <c r="AE5530">
        <v>-5.0378069999999902</v>
      </c>
      <c r="AF5530">
        <v>3.3690747151162501</v>
      </c>
      <c r="AG5530">
        <v>-1.1114280000000001</v>
      </c>
      <c r="AH5530">
        <v>4.5240757301566497</v>
      </c>
      <c r="AI5530">
        <v>101.14654231087199</v>
      </c>
      <c r="AJ5530">
        <v>53.324981074013301</v>
      </c>
      <c r="AK5530">
        <v>5.7491910602633602</v>
      </c>
      <c r="AL5530">
        <v>82.359760289087902</v>
      </c>
      <c r="AM5530">
        <v>67.778473743692302</v>
      </c>
      <c r="AN5530">
        <v>0.99999997317788902</v>
      </c>
    </row>
    <row r="5531" spans="1:40" x14ac:dyDescent="0.25">
      <c r="A5531" t="str">
        <f>"20190303162929339"</f>
        <v>20190303162929339</v>
      </c>
      <c r="B5531" t="str">
        <f>"1551601769327096"</f>
        <v>1551601769327096</v>
      </c>
      <c r="C5531" t="s">
        <v>40</v>
      </c>
      <c r="D5531">
        <v>5.4202680000000001</v>
      </c>
      <c r="E5531">
        <v>0.6064503</v>
      </c>
      <c r="F5531" t="s">
        <v>42</v>
      </c>
      <c r="G5531">
        <v>-309.10210000000001</v>
      </c>
      <c r="H5531">
        <v>-0.05</v>
      </c>
      <c r="I5531">
        <v>9.6890110000000007</v>
      </c>
      <c r="J5531">
        <v>-312.03179999999998</v>
      </c>
      <c r="K5531">
        <v>1.061061</v>
      </c>
      <c r="L5531">
        <v>14.77585</v>
      </c>
      <c r="M5531">
        <v>0.91802539999999999</v>
      </c>
      <c r="N5531">
        <v>-1.6833029999999999E-2</v>
      </c>
      <c r="O5531">
        <v>-0.39616380000000001</v>
      </c>
      <c r="P5531">
        <v>0.69798490000000002</v>
      </c>
      <c r="Q5531">
        <v>0.12874079999999999</v>
      </c>
      <c r="R5531">
        <v>-0.70444499999999999</v>
      </c>
      <c r="S5531">
        <v>1.6427</v>
      </c>
      <c r="T5531">
        <v>-0.59227959999999902</v>
      </c>
      <c r="U5531">
        <v>-2.749298</v>
      </c>
      <c r="V5531">
        <v>0.3747125</v>
      </c>
      <c r="W5531">
        <v>0.13213820000000001</v>
      </c>
      <c r="X5531">
        <v>0.91767639999999995</v>
      </c>
      <c r="Y5531">
        <v>0.5802079</v>
      </c>
      <c r="Z5531">
        <v>7.2196309999999998E-3</v>
      </c>
      <c r="AA5531">
        <v>0.81443639999999995</v>
      </c>
      <c r="AB5531">
        <v>31</v>
      </c>
      <c r="AC5531">
        <v>2.92969999999996</v>
      </c>
      <c r="AD5531">
        <v>-1.1110610000000001</v>
      </c>
      <c r="AE5531">
        <v>-5.0868390000000003</v>
      </c>
      <c r="AF5531">
        <v>3.3883213453304899</v>
      </c>
      <c r="AG5531">
        <v>-1.1110610000000001</v>
      </c>
      <c r="AH5531">
        <v>4.5426911105469596</v>
      </c>
      <c r="AI5531">
        <v>101.092282991302</v>
      </c>
      <c r="AJ5531">
        <v>53.281325710384401</v>
      </c>
      <c r="AK5531">
        <v>5.7750515678031498</v>
      </c>
      <c r="AL5531">
        <v>82.406831520556807</v>
      </c>
      <c r="AM5531">
        <v>67.788456322944896</v>
      </c>
      <c r="AN5531">
        <v>0.99999996833622395</v>
      </c>
    </row>
    <row r="5532" spans="1:40" x14ac:dyDescent="0.25">
      <c r="A5532" t="str">
        <f>"20190303162929350"</f>
        <v>20190303162929350</v>
      </c>
      <c r="B5532" t="str">
        <f>"1551601769347593"</f>
        <v>1551601769347593</v>
      </c>
      <c r="C5532" t="s">
        <v>40</v>
      </c>
      <c r="D5532">
        <v>5.3858119999999996</v>
      </c>
      <c r="E5532">
        <v>0.60636480000000004</v>
      </c>
      <c r="F5532" t="s">
        <v>42</v>
      </c>
      <c r="G5532">
        <v>-308.99299999999999</v>
      </c>
      <c r="H5532">
        <v>-0.05</v>
      </c>
      <c r="I5532">
        <v>9.5932309999999994</v>
      </c>
      <c r="J5532">
        <v>-311.89170000000001</v>
      </c>
      <c r="K5532">
        <v>1.0607470000000001</v>
      </c>
      <c r="L5532">
        <v>14.707979999999999</v>
      </c>
      <c r="M5532">
        <v>0.91491909999999999</v>
      </c>
      <c r="N5532">
        <v>-1.668008E-2</v>
      </c>
      <c r="O5532">
        <v>-0.40329300000000001</v>
      </c>
      <c r="P5532">
        <v>0.69239059999999997</v>
      </c>
      <c r="Q5532">
        <v>0.1282182</v>
      </c>
      <c r="R5532">
        <v>-0.71003959999999999</v>
      </c>
      <c r="S5532">
        <v>1.6195980000000001</v>
      </c>
      <c r="T5532">
        <v>-0.59216210000000002</v>
      </c>
      <c r="U5532">
        <v>-2.7621769999999999</v>
      </c>
      <c r="V5532">
        <v>0.37490519999999999</v>
      </c>
      <c r="W5532">
        <v>0.13145279999999901</v>
      </c>
      <c r="X5532">
        <v>0.91769619999999996</v>
      </c>
      <c r="Y5532">
        <v>0.58069910000000002</v>
      </c>
      <c r="Z5532">
        <v>8.6530110000000004E-3</v>
      </c>
      <c r="AA5532">
        <v>0.81407229999999997</v>
      </c>
      <c r="AB5532">
        <v>31</v>
      </c>
      <c r="AC5532">
        <v>2.8987000000000198</v>
      </c>
      <c r="AD5532">
        <v>-1.1107469999999999</v>
      </c>
      <c r="AE5532">
        <v>-5.1147489999999998</v>
      </c>
      <c r="AF5532">
        <v>3.39003380585486</v>
      </c>
      <c r="AG5532">
        <v>-1.1107469999999999</v>
      </c>
      <c r="AH5532">
        <v>4.5529521181148196</v>
      </c>
      <c r="AI5532">
        <v>101.071600600156</v>
      </c>
      <c r="AJ5532">
        <v>53.329394134082797</v>
      </c>
      <c r="AK5532">
        <v>5.7840695961143096</v>
      </c>
      <c r="AL5532">
        <v>82.446448104393397</v>
      </c>
      <c r="AM5532">
        <v>67.778577856866093</v>
      </c>
      <c r="AN5532">
        <v>1.00000003155465</v>
      </c>
    </row>
    <row r="5533" spans="1:40" x14ac:dyDescent="0.25">
      <c r="A5533" t="str">
        <f>"20190303162929362"</f>
        <v>20190303162929362</v>
      </c>
      <c r="B5533" t="str">
        <f>"1551601769357353"</f>
        <v>1551601769357353</v>
      </c>
      <c r="C5533" t="s">
        <v>40</v>
      </c>
      <c r="D5533">
        <v>5.3845000000000001</v>
      </c>
      <c r="E5533">
        <v>0.6062651</v>
      </c>
      <c r="F5533" t="s">
        <v>42</v>
      </c>
      <c r="G5533">
        <v>-308.88040000000001</v>
      </c>
      <c r="H5533">
        <v>-0.05</v>
      </c>
      <c r="I5533">
        <v>9.47438</v>
      </c>
      <c r="J5533">
        <v>-311.74279999999999</v>
      </c>
      <c r="K5533">
        <v>1.060425</v>
      </c>
      <c r="L5533">
        <v>14.63489</v>
      </c>
      <c r="M5533">
        <v>0.9115394</v>
      </c>
      <c r="N5533">
        <v>-1.6523340000000001E-2</v>
      </c>
      <c r="O5533">
        <v>-0.410881</v>
      </c>
      <c r="P5533">
        <v>0.68617050000000002</v>
      </c>
      <c r="Q5533">
        <v>0.12818160000000001</v>
      </c>
      <c r="R5533">
        <v>-0.71605850000000004</v>
      </c>
      <c r="S5533">
        <v>1.5964969999999901</v>
      </c>
      <c r="T5533">
        <v>-0.58887049999999996</v>
      </c>
      <c r="U5533">
        <v>-2.7746279999999999</v>
      </c>
      <c r="V5533">
        <v>0.37529420000000002</v>
      </c>
      <c r="W5533">
        <v>0.13123770000000001</v>
      </c>
      <c r="X5533">
        <v>0.91756800000000005</v>
      </c>
      <c r="Y5533">
        <v>0.58075980000000005</v>
      </c>
      <c r="Z5533">
        <v>1.0124019999999999E-2</v>
      </c>
      <c r="AA5533">
        <v>0.81401199999999996</v>
      </c>
      <c r="AB5533">
        <v>31</v>
      </c>
      <c r="AC5533">
        <v>2.8623999999999801</v>
      </c>
      <c r="AD5533">
        <v>-1.110425</v>
      </c>
      <c r="AE5533">
        <v>-5.1605099999999897</v>
      </c>
      <c r="AF5533">
        <v>3.4077240212813802</v>
      </c>
      <c r="AG5533">
        <v>-1.110425</v>
      </c>
      <c r="AH5533">
        <v>4.5684333740974603</v>
      </c>
      <c r="AI5533">
        <v>101.02492976201</v>
      </c>
      <c r="AJ5533">
        <v>53.279698513370001</v>
      </c>
      <c r="AK5533">
        <v>5.8065661263272199</v>
      </c>
      <c r="AL5533">
        <v>82.458880287894004</v>
      </c>
      <c r="AM5533">
        <v>67.754962999834603</v>
      </c>
      <c r="AN5533">
        <v>1.0000000525394599</v>
      </c>
    </row>
    <row r="5534" spans="1:40" x14ac:dyDescent="0.25">
      <c r="A5534" t="str">
        <f>"20190303162929373"</f>
        <v>20190303162929373</v>
      </c>
      <c r="B5534" t="str">
        <f>"1551601769367112"</f>
        <v>1551601769367112</v>
      </c>
      <c r="C5534" t="s">
        <v>40</v>
      </c>
      <c r="D5534">
        <v>5.4223710000000001</v>
      </c>
      <c r="E5534">
        <v>0.60608269999999997</v>
      </c>
      <c r="F5534" t="s">
        <v>42</v>
      </c>
      <c r="G5534">
        <v>-308.76799999999997</v>
      </c>
      <c r="H5534">
        <v>-0.05</v>
      </c>
      <c r="I5534">
        <v>9.3600159999999999</v>
      </c>
      <c r="J5534">
        <v>-311.59829999999999</v>
      </c>
      <c r="K5534">
        <v>1.06013</v>
      </c>
      <c r="L5534">
        <v>14.56161</v>
      </c>
      <c r="M5534">
        <v>0.90815049999999997</v>
      </c>
      <c r="N5534">
        <v>-1.6386999999999999E-2</v>
      </c>
      <c r="O5534">
        <v>-0.41832320000000001</v>
      </c>
      <c r="P5534">
        <v>0.67996219999999996</v>
      </c>
      <c r="Q5534">
        <v>0.1291175</v>
      </c>
      <c r="R5534">
        <v>-0.72178949999999997</v>
      </c>
      <c r="S5534">
        <v>1.5722959999999999</v>
      </c>
      <c r="T5534">
        <v>-0.58690739999999997</v>
      </c>
      <c r="U5534">
        <v>-2.7879939999999999</v>
      </c>
      <c r="V5534">
        <v>0.37559940000000003</v>
      </c>
      <c r="W5534">
        <v>0.13200209999999901</v>
      </c>
      <c r="X5534">
        <v>0.91733339999999997</v>
      </c>
      <c r="Y5534">
        <v>0.58125590000000005</v>
      </c>
      <c r="Z5534">
        <v>1.153758E-2</v>
      </c>
      <c r="AA5534">
        <v>0.813639</v>
      </c>
      <c r="AB5534">
        <v>31</v>
      </c>
      <c r="AC5534">
        <v>2.8303000000000198</v>
      </c>
      <c r="AD5534">
        <v>-1.1101299999999901</v>
      </c>
      <c r="AE5534">
        <v>-5.2015940000000001</v>
      </c>
      <c r="AF5534">
        <v>3.4201293036728999</v>
      </c>
      <c r="AG5534">
        <v>-1.1101299999999901</v>
      </c>
      <c r="AH5534">
        <v>4.5857623895654198</v>
      </c>
      <c r="AI5534">
        <v>100.98201926883701</v>
      </c>
      <c r="AJ5534">
        <v>53.283880507597502</v>
      </c>
      <c r="AK5534">
        <v>5.8274256549779198</v>
      </c>
      <c r="AL5534">
        <v>82.414698744951394</v>
      </c>
      <c r="AM5534">
        <v>67.733501440543407</v>
      </c>
      <c r="AN5534">
        <v>1.00000001522016</v>
      </c>
    </row>
    <row r="5535" spans="1:40" x14ac:dyDescent="0.25">
      <c r="A5535" t="str">
        <f>"20190303162929384"</f>
        <v>20190303162929384</v>
      </c>
      <c r="B5535" t="str">
        <f>"1551601769377848"</f>
        <v>1551601769377848</v>
      </c>
      <c r="C5535" t="s">
        <v>40</v>
      </c>
      <c r="D5535">
        <v>5.4257970000000002</v>
      </c>
      <c r="E5535">
        <v>0.60589469999999901</v>
      </c>
      <c r="F5535" t="s">
        <v>42</v>
      </c>
      <c r="G5535">
        <v>-308.64600000000002</v>
      </c>
      <c r="H5535">
        <v>-0.05</v>
      </c>
      <c r="I5535">
        <v>9.2231290000000001</v>
      </c>
      <c r="J5535">
        <v>-311.4538</v>
      </c>
      <c r="K5535">
        <v>1.059842</v>
      </c>
      <c r="L5535">
        <v>14.487730000000001</v>
      </c>
      <c r="M5535">
        <v>0.90468689999999996</v>
      </c>
      <c r="N5535">
        <v>-1.6254459999999998E-2</v>
      </c>
      <c r="O5535">
        <v>-0.42576700000000001</v>
      </c>
      <c r="P5535">
        <v>0.67315340000000001</v>
      </c>
      <c r="Q5535">
        <v>0.13065070000000001</v>
      </c>
      <c r="R5535">
        <v>-0.72787029999999997</v>
      </c>
      <c r="S5535">
        <v>1.5491029999999999</v>
      </c>
      <c r="T5535">
        <v>-0.58249910000000005</v>
      </c>
      <c r="U5535">
        <v>-2.8011780000000002</v>
      </c>
      <c r="V5535">
        <v>0.37649549999999998</v>
      </c>
      <c r="W5535">
        <v>0.1333405</v>
      </c>
      <c r="X5535">
        <v>0.91677229999999998</v>
      </c>
      <c r="Y5535">
        <v>0.58151129999999995</v>
      </c>
      <c r="Z5535">
        <v>1.286939E-2</v>
      </c>
      <c r="AA5535">
        <v>0.81343659999999995</v>
      </c>
      <c r="AB5535">
        <v>31</v>
      </c>
      <c r="AC5535">
        <v>2.8078000000000398</v>
      </c>
      <c r="AD5535">
        <v>-1.109842</v>
      </c>
      <c r="AE5535">
        <v>-5.2646009999999901</v>
      </c>
      <c r="AF5535">
        <v>3.4485002346918998</v>
      </c>
      <c r="AG5535">
        <v>-1.109842</v>
      </c>
      <c r="AH5535">
        <v>4.6223710344815601</v>
      </c>
      <c r="AI5535">
        <v>100.893196800871</v>
      </c>
      <c r="AJ5535">
        <v>53.275377599246497</v>
      </c>
      <c r="AK5535">
        <v>5.8728372286355999</v>
      </c>
      <c r="AL5535">
        <v>82.337330021884597</v>
      </c>
      <c r="AM5535">
        <v>67.673267753192803</v>
      </c>
      <c r="AN5535">
        <v>1.00000000025389</v>
      </c>
    </row>
    <row r="5536" spans="1:40" x14ac:dyDescent="0.25">
      <c r="A5536" t="str">
        <f>"20190303162929396"</f>
        <v>20190303162929396</v>
      </c>
      <c r="B5536" t="str">
        <f>"1551601769387609"</f>
        <v>1551601769387609</v>
      </c>
      <c r="C5536" t="s">
        <v>40</v>
      </c>
      <c r="D5536">
        <v>5.4255129999999996</v>
      </c>
      <c r="E5536">
        <v>0.60579439999999996</v>
      </c>
      <c r="F5536" t="s">
        <v>42</v>
      </c>
      <c r="G5536">
        <v>-308.52080000000001</v>
      </c>
      <c r="H5536">
        <v>-0.05</v>
      </c>
      <c r="I5536">
        <v>9.0738679999999992</v>
      </c>
      <c r="J5536">
        <v>-311.30270000000002</v>
      </c>
      <c r="K5536">
        <v>1.0595589999999999</v>
      </c>
      <c r="L5536">
        <v>14.408049999999999</v>
      </c>
      <c r="M5536">
        <v>0.9009414</v>
      </c>
      <c r="N5536">
        <v>-1.6130849999999999E-2</v>
      </c>
      <c r="O5536">
        <v>-0.43364130000000001</v>
      </c>
      <c r="P5536">
        <v>0.66600499999999996</v>
      </c>
      <c r="Q5536">
        <v>0.13282550000000001</v>
      </c>
      <c r="R5536">
        <v>-0.73402679999999998</v>
      </c>
      <c r="S5536">
        <v>1.5249629999999901</v>
      </c>
      <c r="T5536">
        <v>-0.57704350000000004</v>
      </c>
      <c r="U5536">
        <v>-2.8148499999999999</v>
      </c>
      <c r="V5536">
        <v>0.37719970000000003</v>
      </c>
      <c r="W5536">
        <v>0.13531889999999999</v>
      </c>
      <c r="X5536">
        <v>0.91619280000000003</v>
      </c>
      <c r="Y5536">
        <v>0.58163560000000003</v>
      </c>
      <c r="Z5536">
        <v>1.4229210000000001E-2</v>
      </c>
      <c r="AA5536">
        <v>0.81332499999999996</v>
      </c>
      <c r="AB5536">
        <v>31</v>
      </c>
      <c r="AC5536">
        <v>2.7818999999999998</v>
      </c>
      <c r="AD5536">
        <v>-1.109559</v>
      </c>
      <c r="AE5536">
        <v>-5.3341820000000002</v>
      </c>
      <c r="AF5536">
        <v>3.4814804804039201</v>
      </c>
      <c r="AG5536">
        <v>-1.109559</v>
      </c>
      <c r="AH5536">
        <v>4.6615109711163099</v>
      </c>
      <c r="AI5536">
        <v>100.79710540374499</v>
      </c>
      <c r="AJ5536">
        <v>53.245540714081002</v>
      </c>
      <c r="AK5536">
        <v>5.9229648018329604</v>
      </c>
      <c r="AL5536">
        <v>82.222939526430693</v>
      </c>
      <c r="AM5536">
        <v>67.622867871574599</v>
      </c>
      <c r="AN5536">
        <v>1.0000000325745599</v>
      </c>
    </row>
    <row r="5537" spans="1:40" x14ac:dyDescent="0.25">
      <c r="A5537" t="str">
        <f>"20190303162929412"</f>
        <v>20190303162929412</v>
      </c>
      <c r="B5537" t="str">
        <f>"1551601769407128"</f>
        <v>1551601769407128</v>
      </c>
      <c r="C5537" t="s">
        <v>40</v>
      </c>
      <c r="D5537">
        <v>5.4276080000000002</v>
      </c>
      <c r="E5537">
        <v>0.60554229999999998</v>
      </c>
      <c r="F5537" t="s">
        <v>42</v>
      </c>
      <c r="G5537">
        <v>-308.3784</v>
      </c>
      <c r="H5537">
        <v>-0.05</v>
      </c>
      <c r="I5537">
        <v>8.8901819999999994</v>
      </c>
      <c r="J5537">
        <v>-311.10939999999999</v>
      </c>
      <c r="K5537">
        <v>1.0592170000000001</v>
      </c>
      <c r="L5537">
        <v>14.303890000000001</v>
      </c>
      <c r="M5537">
        <v>0.89599269999999998</v>
      </c>
      <c r="N5537">
        <v>-1.5985539999999999E-2</v>
      </c>
      <c r="O5537">
        <v>-0.44378099999999998</v>
      </c>
      <c r="P5537">
        <v>0.65681669999999903</v>
      </c>
      <c r="Q5537">
        <v>0.13769890000000001</v>
      </c>
      <c r="R5537">
        <v>-0.74137089999999894</v>
      </c>
      <c r="S5537">
        <v>1.4995419999999999</v>
      </c>
      <c r="T5537">
        <v>-0.5689495</v>
      </c>
      <c r="U5537">
        <v>-2.8294069999999998</v>
      </c>
      <c r="V5537">
        <v>0.37765399999999999</v>
      </c>
      <c r="W5537">
        <v>0.13995879999999999</v>
      </c>
      <c r="X5537">
        <v>0.91530809999999996</v>
      </c>
      <c r="Y5537">
        <v>0.58014399999999999</v>
      </c>
      <c r="Z5537">
        <v>1.607428E-2</v>
      </c>
      <c r="AA5537">
        <v>0.8143553</v>
      </c>
      <c r="AB5537">
        <v>31</v>
      </c>
      <c r="AC5537">
        <v>2.7309999999999901</v>
      </c>
      <c r="AD5537">
        <v>-1.1092169999999999</v>
      </c>
      <c r="AE5537">
        <v>-5.41370799999999</v>
      </c>
      <c r="AF5537">
        <v>3.5213044649491398</v>
      </c>
      <c r="AG5537">
        <v>-1.1092169999999999</v>
      </c>
      <c r="AH5537">
        <v>4.69302832498144</v>
      </c>
      <c r="AI5537">
        <v>100.70562905505</v>
      </c>
      <c r="AJ5537">
        <v>53.118124303521803</v>
      </c>
      <c r="AK5537">
        <v>5.9711357669238998</v>
      </c>
      <c r="AL5537">
        <v>81.954537517021507</v>
      </c>
      <c r="AM5537">
        <v>67.579069783238296</v>
      </c>
      <c r="AN5537">
        <v>0.99999996366952404</v>
      </c>
    </row>
    <row r="5538" spans="1:40" x14ac:dyDescent="0.25">
      <c r="A5538" t="str">
        <f>"20190303162929427"</f>
        <v>20190303162929427</v>
      </c>
      <c r="B5538" t="str">
        <f>"1551601769417864"</f>
        <v>1551601769417864</v>
      </c>
      <c r="C5538" t="s">
        <v>40</v>
      </c>
      <c r="D5538">
        <v>5.4588320000000001</v>
      </c>
      <c r="E5538">
        <v>0.60528359999999903</v>
      </c>
      <c r="F5538" t="s">
        <v>42</v>
      </c>
      <c r="G5538">
        <v>-308.15010000000001</v>
      </c>
      <c r="H5538">
        <v>-0.05</v>
      </c>
      <c r="I5538">
        <v>8.5657499999999995</v>
      </c>
      <c r="J5538">
        <v>-310.92430000000002</v>
      </c>
      <c r="K5538">
        <v>1.0589029999999999</v>
      </c>
      <c r="L5538">
        <v>14.201689999999999</v>
      </c>
      <c r="M5538">
        <v>0.89108109999999996</v>
      </c>
      <c r="N5538">
        <v>-1.5859620000000001E-2</v>
      </c>
      <c r="O5538">
        <v>-0.45356679999999999</v>
      </c>
      <c r="P5538">
        <v>0.6489047</v>
      </c>
      <c r="Q5538">
        <v>0.14041870000000001</v>
      </c>
      <c r="R5538">
        <v>-0.74780009999999997</v>
      </c>
      <c r="S5538">
        <v>1.468628</v>
      </c>
      <c r="T5538">
        <v>-0.55046809999999902</v>
      </c>
      <c r="U5538">
        <v>-2.8476560000000002</v>
      </c>
      <c r="V5538">
        <v>0.37701899999999999</v>
      </c>
      <c r="W5538">
        <v>0.14250409999999999</v>
      </c>
      <c r="X5538">
        <v>0.91517720000000002</v>
      </c>
      <c r="Y5538">
        <v>0.58064439999999995</v>
      </c>
      <c r="Z5538">
        <v>1.7012059999999999E-2</v>
      </c>
      <c r="AA5538">
        <v>0.81397949999999997</v>
      </c>
      <c r="AB5538">
        <v>31</v>
      </c>
      <c r="AC5538">
        <v>2.7742</v>
      </c>
      <c r="AD5538">
        <v>-1.108903</v>
      </c>
      <c r="AE5538">
        <v>-5.6359399999999997</v>
      </c>
      <c r="AF5538">
        <v>3.6505098253130299</v>
      </c>
      <c r="AG5538">
        <v>-1.108903</v>
      </c>
      <c r="AH5538">
        <v>4.8769675271552604</v>
      </c>
      <c r="AI5538">
        <v>100.31657211641</v>
      </c>
      <c r="AJ5538">
        <v>53.184395730476901</v>
      </c>
      <c r="AK5538">
        <v>6.1919867658969396</v>
      </c>
      <c r="AL5538">
        <v>81.807226474715804</v>
      </c>
      <c r="AM5538">
        <v>67.610159031845598</v>
      </c>
      <c r="AN5538">
        <v>1.00000002613882</v>
      </c>
    </row>
    <row r="5539" spans="1:40" x14ac:dyDescent="0.25">
      <c r="A5539" t="str">
        <f>"20190303162929442"</f>
        <v>20190303162929442</v>
      </c>
      <c r="B5539" t="str">
        <f>"1551601769427624"</f>
        <v>1551601769427624</v>
      </c>
      <c r="C5539" t="s">
        <v>40</v>
      </c>
      <c r="D5539">
        <v>5.4116809999999997</v>
      </c>
      <c r="E5539">
        <v>0.60507100000000003</v>
      </c>
      <c r="F5539" t="s">
        <v>42</v>
      </c>
      <c r="G5539">
        <v>-307.97289999999998</v>
      </c>
      <c r="H5539">
        <v>-0.05</v>
      </c>
      <c r="I5539">
        <v>8.3409270000000006</v>
      </c>
      <c r="J5539">
        <v>-310.74099999999999</v>
      </c>
      <c r="K5539">
        <v>1.058605</v>
      </c>
      <c r="L5539">
        <v>14.09787</v>
      </c>
      <c r="M5539">
        <v>0.88603399999999999</v>
      </c>
      <c r="N5539">
        <v>-1.5747859999999999E-2</v>
      </c>
      <c r="O5539">
        <v>-0.46335290000000001</v>
      </c>
      <c r="P5539">
        <v>0.6409011</v>
      </c>
      <c r="Q5539">
        <v>0.14243919999999999</v>
      </c>
      <c r="R5539">
        <v>-0.75429219999999997</v>
      </c>
      <c r="S5539">
        <v>1.441559</v>
      </c>
      <c r="T5539">
        <v>-0.54161669999999995</v>
      </c>
      <c r="U5539">
        <v>-2.862549</v>
      </c>
      <c r="V5539">
        <v>0.37645269999999997</v>
      </c>
      <c r="W5539">
        <v>0.1443535</v>
      </c>
      <c r="X5539">
        <v>0.9151205</v>
      </c>
      <c r="Y5539">
        <v>0.57973580000000002</v>
      </c>
      <c r="Z5539">
        <v>1.851394E-2</v>
      </c>
      <c r="AA5539">
        <v>0.81459409999999999</v>
      </c>
      <c r="AB5539">
        <v>31</v>
      </c>
      <c r="AC5539">
        <v>2.7681</v>
      </c>
      <c r="AD5539">
        <v>-1.1086049999999901</v>
      </c>
      <c r="AE5539">
        <v>-5.7569429999999997</v>
      </c>
      <c r="AF5539">
        <v>3.7070598223537101</v>
      </c>
      <c r="AG5539">
        <v>-1.1086049999999901</v>
      </c>
      <c r="AH5539">
        <v>4.9710381077063701</v>
      </c>
      <c r="AI5539">
        <v>100.136021199396</v>
      </c>
      <c r="AJ5539">
        <v>53.286945347689198</v>
      </c>
      <c r="AK5539">
        <v>6.2994061181037599</v>
      </c>
      <c r="AL5539">
        <v>81.700156802837398</v>
      </c>
      <c r="AM5539">
        <v>67.639226607643593</v>
      </c>
      <c r="AN5539">
        <v>1.0000000489098899</v>
      </c>
    </row>
    <row r="5540" spans="1:40" x14ac:dyDescent="0.25">
      <c r="A5540" t="str">
        <f>"20190303162929456"</f>
        <v>20190303162929456</v>
      </c>
      <c r="B5540" t="str">
        <f>"1551601769447144"</f>
        <v>1551601769447144</v>
      </c>
      <c r="C5540" t="s">
        <v>40</v>
      </c>
      <c r="D5540">
        <v>5.4592450000000001</v>
      </c>
      <c r="E5540">
        <v>0.60462019999999905</v>
      </c>
      <c r="F5540" t="s">
        <v>42</v>
      </c>
      <c r="G5540">
        <v>-307.80810000000002</v>
      </c>
      <c r="H5540">
        <v>-0.05</v>
      </c>
      <c r="I5540">
        <v>8.1243590000000001</v>
      </c>
      <c r="J5540">
        <v>-310.56619999999998</v>
      </c>
      <c r="K5540">
        <v>1.0583480000000001</v>
      </c>
      <c r="L5540">
        <v>13.99554</v>
      </c>
      <c r="M5540">
        <v>0.88101890000000005</v>
      </c>
      <c r="N5540">
        <v>-1.565739E-2</v>
      </c>
      <c r="O5540">
        <v>-0.47282190000000002</v>
      </c>
      <c r="P5540">
        <v>0.63258539999999996</v>
      </c>
      <c r="Q5540">
        <v>0.14563989999999999</v>
      </c>
      <c r="R5540">
        <v>-0.76067390000000001</v>
      </c>
      <c r="S5540">
        <v>1.4128719999999999</v>
      </c>
      <c r="T5540">
        <v>-0.53404399999999996</v>
      </c>
      <c r="U5540">
        <v>-2.8775940000000002</v>
      </c>
      <c r="V5540">
        <v>0.3762954</v>
      </c>
      <c r="W5540">
        <v>0.14738019999999999</v>
      </c>
      <c r="X5540">
        <v>0.91470260000000003</v>
      </c>
      <c r="Y5540">
        <v>0.57941229999999999</v>
      </c>
      <c r="Z5540">
        <v>1.9899759999999999E-2</v>
      </c>
      <c r="AA5540">
        <v>0.81479169999999901</v>
      </c>
      <c r="AB5540">
        <v>31</v>
      </c>
      <c r="AC5540">
        <v>2.75809999999995</v>
      </c>
      <c r="AD5540">
        <v>-1.1083479999999899</v>
      </c>
      <c r="AE5540">
        <v>-5.871181</v>
      </c>
      <c r="AF5540">
        <v>3.7592566596191199</v>
      </c>
      <c r="AG5540">
        <v>-1.1083479999999899</v>
      </c>
      <c r="AH5540">
        <v>5.0589080221485796</v>
      </c>
      <c r="AI5540">
        <v>99.973587803863495</v>
      </c>
      <c r="AJ5540">
        <v>53.3840901840138</v>
      </c>
      <c r="AK5540">
        <v>6.3994528124327896</v>
      </c>
      <c r="AL5540">
        <v>81.524864293331603</v>
      </c>
      <c r="AM5540">
        <v>67.638443841547499</v>
      </c>
      <c r="AN5540">
        <v>0.99999999892998004</v>
      </c>
    </row>
    <row r="5541" spans="1:40" x14ac:dyDescent="0.25">
      <c r="A5541" t="str">
        <f>"20190303162929470"</f>
        <v>20190303162929470</v>
      </c>
      <c r="B5541" t="str">
        <f>"1551601769457880"</f>
        <v>1551601769457880</v>
      </c>
      <c r="C5541" t="s">
        <v>40</v>
      </c>
      <c r="D5541">
        <v>5.4632849999999999</v>
      </c>
      <c r="E5541">
        <v>0.60433049999999999</v>
      </c>
      <c r="F5541" t="s">
        <v>42</v>
      </c>
      <c r="G5541">
        <v>-307.62459999999999</v>
      </c>
      <c r="H5541">
        <v>-0.05</v>
      </c>
      <c r="I5541">
        <v>7.8532710000000003</v>
      </c>
      <c r="J5541">
        <v>-310.39609999999999</v>
      </c>
      <c r="K5541">
        <v>1.058092</v>
      </c>
      <c r="L5541">
        <v>13.893829999999999</v>
      </c>
      <c r="M5541">
        <v>0.87597009999999897</v>
      </c>
      <c r="N5541">
        <v>-1.5577819999999999E-2</v>
      </c>
      <c r="O5541">
        <v>-0.48211399999999999</v>
      </c>
      <c r="P5541">
        <v>0.62385429999999997</v>
      </c>
      <c r="Q5541">
        <v>0.14651429999999999</v>
      </c>
      <c r="R5541">
        <v>-0.76768449999999999</v>
      </c>
      <c r="S5541">
        <v>1.3850100000000001</v>
      </c>
      <c r="T5541">
        <v>-0.52184379999999997</v>
      </c>
      <c r="U5541">
        <v>-2.8919679999999999</v>
      </c>
      <c r="V5541">
        <v>0.37699110000000002</v>
      </c>
      <c r="W5541">
        <v>0.14805789999999999</v>
      </c>
      <c r="X5541">
        <v>0.91430659999999997</v>
      </c>
      <c r="Y5541">
        <v>0.57896530000000002</v>
      </c>
      <c r="Z5541">
        <v>2.092627E-2</v>
      </c>
      <c r="AA5541">
        <v>0.81508359999999902</v>
      </c>
      <c r="AB5541">
        <v>31</v>
      </c>
      <c r="AC5541">
        <v>2.7715000000000001</v>
      </c>
      <c r="AD5541">
        <v>-1.1080920000000001</v>
      </c>
      <c r="AE5541">
        <v>-6.0405589999999902</v>
      </c>
      <c r="AF5541">
        <v>3.8486609587621898</v>
      </c>
      <c r="AG5541">
        <v>-1.1080920000000001</v>
      </c>
      <c r="AH5541">
        <v>5.1961881045958602</v>
      </c>
      <c r="AI5541">
        <v>99.724046815547297</v>
      </c>
      <c r="AJ5541">
        <v>53.473759609472602</v>
      </c>
      <c r="AK5541">
        <v>6.5605205490348002</v>
      </c>
      <c r="AL5541">
        <v>81.485604201321394</v>
      </c>
      <c r="AM5541">
        <v>67.592441541794201</v>
      </c>
      <c r="AN5541">
        <v>0.99999999501758996</v>
      </c>
    </row>
    <row r="5542" spans="1:40" x14ac:dyDescent="0.25">
      <c r="A5542" t="str">
        <f>"20190303162929484"</f>
        <v>20190303162929484</v>
      </c>
      <c r="B5542" t="str">
        <f>"1551601769477401"</f>
        <v>1551601769477401</v>
      </c>
      <c r="C5542" t="s">
        <v>40</v>
      </c>
      <c r="D5542">
        <v>5.6100629999999896</v>
      </c>
      <c r="E5542">
        <v>0.60381890000000005</v>
      </c>
      <c r="F5542" t="s">
        <v>42</v>
      </c>
      <c r="G5542">
        <v>-307.5052</v>
      </c>
      <c r="H5542">
        <v>-0.05</v>
      </c>
      <c r="I5542">
        <v>7.6894229999999997</v>
      </c>
      <c r="J5542">
        <v>-310.23320000000001</v>
      </c>
      <c r="K5542">
        <v>1.0578529999999999</v>
      </c>
      <c r="L5542">
        <v>13.79462</v>
      </c>
      <c r="M5542">
        <v>0.87098209999999998</v>
      </c>
      <c r="N5542">
        <v>-1.5508620000000001E-2</v>
      </c>
      <c r="O5542">
        <v>-0.4910699</v>
      </c>
      <c r="P5542">
        <v>0.61518899999999999</v>
      </c>
      <c r="Q5542">
        <v>0.1465505</v>
      </c>
      <c r="R5542">
        <v>-0.77463899999999997</v>
      </c>
      <c r="S5542">
        <v>1.3542179999999999</v>
      </c>
      <c r="T5542">
        <v>-0.51908180000000004</v>
      </c>
      <c r="U5542">
        <v>-2.9064329999999998</v>
      </c>
      <c r="V5542">
        <v>0.3779228</v>
      </c>
      <c r="W5542">
        <v>0.147899</v>
      </c>
      <c r="X5542">
        <v>0.91394759999999997</v>
      </c>
      <c r="Y5542">
        <v>0.57935890000000001</v>
      </c>
      <c r="Z5542">
        <v>2.2348110000000001E-2</v>
      </c>
      <c r="AA5542">
        <v>0.81476610000000005</v>
      </c>
      <c r="AB5542">
        <v>31</v>
      </c>
      <c r="AC5542">
        <v>2.7280000000000002</v>
      </c>
      <c r="AD5542">
        <v>-1.107853</v>
      </c>
      <c r="AE5542">
        <v>-6.1051970000000004</v>
      </c>
      <c r="AF5542">
        <v>3.8720772388968099</v>
      </c>
      <c r="AG5542">
        <v>-1.107853</v>
      </c>
      <c r="AH5542">
        <v>5.23117989080224</v>
      </c>
      <c r="AI5542">
        <v>99.660354256206105</v>
      </c>
      <c r="AJ5542">
        <v>53.491453130134502</v>
      </c>
      <c r="AK5542">
        <v>6.6019363419776704</v>
      </c>
      <c r="AL5542">
        <v>81.494809774444903</v>
      </c>
      <c r="AM5542">
        <v>67.534612868954795</v>
      </c>
      <c r="AN5542">
        <v>0.999999986253299</v>
      </c>
    </row>
    <row r="5543" spans="1:40" x14ac:dyDescent="0.25">
      <c r="A5543" t="str">
        <f>"20190303162929495"</f>
        <v>20190303162929495</v>
      </c>
      <c r="B5543" t="str">
        <f>"1551601769487160"</f>
        <v>1551601769487160</v>
      </c>
      <c r="C5543" t="s">
        <v>40</v>
      </c>
      <c r="D5543">
        <v>5.161448</v>
      </c>
      <c r="E5543">
        <v>0.60381890000000005</v>
      </c>
      <c r="F5543" t="s">
        <v>42</v>
      </c>
      <c r="G5543">
        <v>-307.3843</v>
      </c>
      <c r="H5543">
        <v>-0.05</v>
      </c>
      <c r="I5543">
        <v>7.5185389999999996</v>
      </c>
      <c r="J5543">
        <v>-310.08510000000001</v>
      </c>
      <c r="K5543">
        <v>1.0576490000000001</v>
      </c>
      <c r="L5543">
        <v>13.70135</v>
      </c>
      <c r="M5543">
        <v>0.86626059999999905</v>
      </c>
      <c r="N5543">
        <v>-1.545853E-2</v>
      </c>
      <c r="O5543">
        <v>-0.49935360000000001</v>
      </c>
      <c r="P5543">
        <v>0.60743689999999995</v>
      </c>
      <c r="Q5543">
        <v>0.14655019999999999</v>
      </c>
      <c r="R5543">
        <v>-0.7807328</v>
      </c>
      <c r="S5543">
        <v>1.3246770000000001</v>
      </c>
      <c r="T5543">
        <v>-0.51512409999999997</v>
      </c>
      <c r="U5543">
        <v>-2.9182130000000002</v>
      </c>
      <c r="V5543">
        <v>0.37835249999999998</v>
      </c>
      <c r="W5543">
        <v>0.14774570000000001</v>
      </c>
      <c r="X5543">
        <v>0.91379460000000001</v>
      </c>
      <c r="Y5543">
        <v>0.57976079999999997</v>
      </c>
      <c r="Z5543">
        <v>2.356194E-2</v>
      </c>
      <c r="AA5543">
        <v>0.814446</v>
      </c>
      <c r="AB5543">
        <v>31</v>
      </c>
      <c r="AC5543">
        <v>2.7008000000000099</v>
      </c>
      <c r="AD5543">
        <v>-1.1076489999999899</v>
      </c>
      <c r="AE5543">
        <v>-6.1828110000000001</v>
      </c>
      <c r="AF5543">
        <v>3.9025681321438301</v>
      </c>
      <c r="AG5543">
        <v>-1.1076489999999899</v>
      </c>
      <c r="AH5543">
        <v>5.2852070716510502</v>
      </c>
      <c r="AI5543">
        <v>99.569774445574794</v>
      </c>
      <c r="AJ5543">
        <v>53.558041798936003</v>
      </c>
      <c r="AK5543">
        <v>6.6626074568036699</v>
      </c>
      <c r="AL5543">
        <v>81.503690804701804</v>
      </c>
      <c r="AM5543">
        <v>67.508221830808495</v>
      </c>
      <c r="AN5543">
        <v>0.99999998855694905</v>
      </c>
    </row>
    <row r="5544" spans="1:40" x14ac:dyDescent="0.25">
      <c r="A5544" t="str">
        <f>"20190303162929508"</f>
        <v>20190303162929508</v>
      </c>
      <c r="B5544" t="str">
        <f>"1551601769497897"</f>
        <v>1551601769497897</v>
      </c>
      <c r="C5544" t="s">
        <v>40</v>
      </c>
      <c r="D5544">
        <v>5.2299860000000002</v>
      </c>
      <c r="E5544">
        <v>0.58375350000000004</v>
      </c>
      <c r="F5544" t="s">
        <v>42</v>
      </c>
      <c r="G5544">
        <v>-307.2996</v>
      </c>
      <c r="H5544">
        <v>-0.05</v>
      </c>
      <c r="I5544">
        <v>7.3975979999999897</v>
      </c>
      <c r="J5544">
        <v>-309.94499999999999</v>
      </c>
      <c r="K5544">
        <v>1.0574619999999999</v>
      </c>
      <c r="L5544">
        <v>13.61185</v>
      </c>
      <c r="M5544">
        <v>0.86168009999999995</v>
      </c>
      <c r="N5544">
        <v>-1.5414539999999999E-2</v>
      </c>
      <c r="O5544">
        <v>-0.50721779999999905</v>
      </c>
      <c r="P5544">
        <v>0.60035499999999997</v>
      </c>
      <c r="Q5544">
        <v>0.14633289999999999</v>
      </c>
      <c r="R5544">
        <v>-0.78623209999999999</v>
      </c>
      <c r="S5544">
        <v>1.2953190000000001</v>
      </c>
      <c r="T5544">
        <v>-0.51508889999999996</v>
      </c>
      <c r="U5544">
        <v>-2.9314269999999998</v>
      </c>
      <c r="V5544">
        <v>0.37835419999999997</v>
      </c>
      <c r="W5544">
        <v>0.14740420000000001</v>
      </c>
      <c r="X5544">
        <v>0.91384909999999997</v>
      </c>
      <c r="Y5544">
        <v>0.58058799999999999</v>
      </c>
      <c r="Z5544">
        <v>2.4897760000000001E-2</v>
      </c>
      <c r="AA5544">
        <v>0.81381669999999995</v>
      </c>
      <c r="AB5544">
        <v>31</v>
      </c>
      <c r="AC5544">
        <v>2.6453999999999902</v>
      </c>
      <c r="AD5544">
        <v>-1.1074619999999999</v>
      </c>
      <c r="AE5544">
        <v>-6.2142520000000001</v>
      </c>
      <c r="AF5544">
        <v>3.9082959094991998</v>
      </c>
      <c r="AG5544">
        <v>-1.1074619999999999</v>
      </c>
      <c r="AH5544">
        <v>5.2898815575511202</v>
      </c>
      <c r="AI5544">
        <v>99.557960381384703</v>
      </c>
      <c r="AJ5544">
        <v>53.542090410940702</v>
      </c>
      <c r="AK5544">
        <v>6.6696398621343604</v>
      </c>
      <c r="AL5544">
        <v>81.523474345473105</v>
      </c>
      <c r="AM5544">
        <v>67.509338597058303</v>
      </c>
      <c r="AN5544">
        <v>1.0000000382030401</v>
      </c>
    </row>
    <row r="5545" spans="1:40" x14ac:dyDescent="0.25">
      <c r="A5545" t="str">
        <f>"20190303162929524"</f>
        <v>20190303162929524</v>
      </c>
      <c r="B5545" t="str">
        <f>"1551601769517417"</f>
        <v>1551601769517417</v>
      </c>
      <c r="C5545" t="s">
        <v>40</v>
      </c>
      <c r="D5545">
        <v>5.2414160000000001</v>
      </c>
      <c r="E5545">
        <v>0.57857419999999904</v>
      </c>
      <c r="F5545" t="s">
        <v>41</v>
      </c>
      <c r="G5545">
        <v>-299.91230000000002</v>
      </c>
      <c r="H5545" s="1">
        <v>-9.9355160000000009E-7</v>
      </c>
      <c r="I5545">
        <v>-7.3541359999999996</v>
      </c>
      <c r="J5545">
        <v>-309.75659999999999</v>
      </c>
      <c r="K5545">
        <v>1.057221</v>
      </c>
      <c r="L5545">
        <v>13.488709999999999</v>
      </c>
      <c r="M5545">
        <v>0.85530599999999901</v>
      </c>
      <c r="N5545">
        <v>-1.5363369999999999E-2</v>
      </c>
      <c r="O5545">
        <v>-0.51789560000000001</v>
      </c>
      <c r="P5545">
        <v>0.59149700000000005</v>
      </c>
      <c r="Q5545">
        <v>0.14624229999999899</v>
      </c>
      <c r="R5545">
        <v>-0.79293449999999999</v>
      </c>
      <c r="S5545">
        <v>1.346527</v>
      </c>
      <c r="T5545">
        <v>-0.1419251</v>
      </c>
      <c r="U5545">
        <v>-2.813904</v>
      </c>
      <c r="V5545">
        <v>0.37729289999999999</v>
      </c>
      <c r="W5545">
        <v>0.1471972</v>
      </c>
      <c r="X5545">
        <v>0.9143211</v>
      </c>
      <c r="Y5545">
        <v>0.54757519999999904</v>
      </c>
      <c r="Z5545" s="1">
        <v>8.0058349999999996E-5</v>
      </c>
      <c r="AA5545">
        <v>0.83675650000000001</v>
      </c>
      <c r="AB5545">
        <v>31</v>
      </c>
      <c r="AC5545">
        <v>9.8442999999999703</v>
      </c>
      <c r="AD5545">
        <v>-1.0572219935516001</v>
      </c>
      <c r="AE5545">
        <v>-20.842845999999899</v>
      </c>
      <c r="AF5545">
        <v>12.703469431350801</v>
      </c>
      <c r="AG5545">
        <v>-1.0572219935516001</v>
      </c>
      <c r="AH5545">
        <v>19.1762335606739</v>
      </c>
      <c r="AI5545">
        <v>92.631551774284205</v>
      </c>
      <c r="AJ5545">
        <v>56.477157443812501</v>
      </c>
      <c r="AK5545">
        <v>23.026588707631699</v>
      </c>
      <c r="AL5545">
        <v>81.535465140406501</v>
      </c>
      <c r="AM5545">
        <v>67.576599409420695</v>
      </c>
      <c r="AN5545">
        <v>1.00000001099172</v>
      </c>
    </row>
    <row r="5546" spans="1:40" x14ac:dyDescent="0.25">
      <c r="A5546" t="str">
        <f>"20190303162929535"</f>
        <v>20190303162929535</v>
      </c>
      <c r="B5546" t="str">
        <f>"1551601769527177"</f>
        <v>1551601769527177</v>
      </c>
      <c r="C5546" t="s">
        <v>40</v>
      </c>
      <c r="D5546">
        <v>5.1692720000000003</v>
      </c>
      <c r="E5546">
        <v>0.57873889999999995</v>
      </c>
      <c r="F5546" t="s">
        <v>41</v>
      </c>
      <c r="G5546">
        <v>-299.84379999999999</v>
      </c>
      <c r="H5546" s="1">
        <v>-1.103342E-6</v>
      </c>
      <c r="I5546">
        <v>-7.1475629999999999</v>
      </c>
      <c r="J5546">
        <v>-309.60719999999998</v>
      </c>
      <c r="K5546">
        <v>1.0570469999999901</v>
      </c>
      <c r="L5546">
        <v>13.38785</v>
      </c>
      <c r="M5546">
        <v>0.85004439999999903</v>
      </c>
      <c r="N5546">
        <v>-1.533174E-2</v>
      </c>
      <c r="O5546">
        <v>-0.52648799999999996</v>
      </c>
      <c r="P5546">
        <v>0.58402259999999995</v>
      </c>
      <c r="Q5546">
        <v>0.1467107</v>
      </c>
      <c r="R5546">
        <v>-0.79836929999999995</v>
      </c>
      <c r="S5546">
        <v>1.347321</v>
      </c>
      <c r="T5546">
        <v>-0.1436955</v>
      </c>
      <c r="U5546">
        <v>-2.80484</v>
      </c>
      <c r="V5546">
        <v>0.3766447</v>
      </c>
      <c r="W5546">
        <v>0.14757400000000001</v>
      </c>
      <c r="X5546">
        <v>0.9145276</v>
      </c>
      <c r="Y5546">
        <v>0.53787580000000002</v>
      </c>
      <c r="Z5546">
        <v>9.7346209999999995E-4</v>
      </c>
      <c r="AA5546">
        <v>0.84302350000000004</v>
      </c>
      <c r="AB5546">
        <v>31</v>
      </c>
      <c r="AC5546">
        <v>9.7633999999999901</v>
      </c>
      <c r="AD5546">
        <v>-1.0570481033419901</v>
      </c>
      <c r="AE5546">
        <v>-20.535412999999998</v>
      </c>
      <c r="AF5546">
        <v>12.2905853787979</v>
      </c>
      <c r="AG5546">
        <v>-1.0570481033419901</v>
      </c>
      <c r="AH5546">
        <v>19.072000409630501</v>
      </c>
      <c r="AI5546">
        <v>92.667376589476007</v>
      </c>
      <c r="AJ5546">
        <v>57.201019192819601</v>
      </c>
      <c r="AK5546">
        <v>22.713807238577299</v>
      </c>
      <c r="AL5546">
        <v>81.513637821423998</v>
      </c>
      <c r="AM5546">
        <v>67.615873602301804</v>
      </c>
      <c r="AN5546">
        <v>1.00000002333792</v>
      </c>
    </row>
    <row r="5547" spans="1:40" x14ac:dyDescent="0.25">
      <c r="A5547" t="str">
        <f>"20190303162929550"</f>
        <v>20190303162929550</v>
      </c>
      <c r="B5547" t="str">
        <f>"1551601769536937"</f>
        <v>1551601769536937</v>
      </c>
      <c r="C5547" t="s">
        <v>40</v>
      </c>
      <c r="D5547">
        <v>5.1531669999999998</v>
      </c>
      <c r="E5547">
        <v>0.57868359999999996</v>
      </c>
      <c r="F5547" t="s">
        <v>41</v>
      </c>
      <c r="G5547">
        <v>-299.47469999999998</v>
      </c>
      <c r="H5547" s="1">
        <v>-6.4176150000000004E-7</v>
      </c>
      <c r="I5547">
        <v>-8.2625209999999996</v>
      </c>
      <c r="J5547">
        <v>-309.45249999999999</v>
      </c>
      <c r="K5547">
        <v>1.0568740000000001</v>
      </c>
      <c r="L5547">
        <v>13.281459999999999</v>
      </c>
      <c r="M5547">
        <v>0.84443539999999995</v>
      </c>
      <c r="N5547">
        <v>-1.5302059999999999E-2</v>
      </c>
      <c r="O5547">
        <v>-0.53543879999999999</v>
      </c>
      <c r="P5547">
        <v>0.57558100000000001</v>
      </c>
      <c r="Q5547">
        <v>0.1475688</v>
      </c>
      <c r="R5547">
        <v>-0.80431960000000002</v>
      </c>
      <c r="S5547">
        <v>1.3189090000000001</v>
      </c>
      <c r="T5547">
        <v>-0.13759179999999999</v>
      </c>
      <c r="U5547">
        <v>-2.818146</v>
      </c>
      <c r="V5547">
        <v>0.37654900000000002</v>
      </c>
      <c r="W5547">
        <v>0.14831730000000001</v>
      </c>
      <c r="X5547">
        <v>0.9144468</v>
      </c>
      <c r="Y5547">
        <v>0.5374968</v>
      </c>
      <c r="Z5547">
        <v>8.2005469999999999E-4</v>
      </c>
      <c r="AA5547">
        <v>0.84326540000000005</v>
      </c>
      <c r="AB5547">
        <v>31</v>
      </c>
      <c r="AC5547">
        <v>9.9778000000000002</v>
      </c>
      <c r="AD5547">
        <v>-1.05687464176149</v>
      </c>
      <c r="AE5547">
        <v>-21.543980999999999</v>
      </c>
      <c r="AF5547">
        <v>12.8260884159876</v>
      </c>
      <c r="AG5547">
        <v>-1.05687464176149</v>
      </c>
      <c r="AH5547">
        <v>19.923948418604301</v>
      </c>
      <c r="AI5547">
        <v>92.553843095088794</v>
      </c>
      <c r="AJ5547">
        <v>57.228495944631199</v>
      </c>
      <c r="AK5547">
        <v>23.718963903390399</v>
      </c>
      <c r="AL5547">
        <v>81.470576313217705</v>
      </c>
      <c r="AM5547">
        <v>67.619217664105904</v>
      </c>
      <c r="AN5547">
        <v>1.0000000604552599</v>
      </c>
    </row>
    <row r="5548" spans="1:40" x14ac:dyDescent="0.25">
      <c r="A5548" t="str">
        <f>"20190303162929568"</f>
        <v>20190303162929568</v>
      </c>
      <c r="B5548" t="str">
        <f>"1551601769557433"</f>
        <v>1551601769557433</v>
      </c>
      <c r="C5548" t="s">
        <v>40</v>
      </c>
      <c r="D5548">
        <v>5.1554539999999998</v>
      </c>
      <c r="E5548">
        <v>0.57814969999999999</v>
      </c>
      <c r="F5548" t="s">
        <v>41</v>
      </c>
      <c r="G5548">
        <v>-299.23379999999997</v>
      </c>
      <c r="H5548" s="1">
        <v>-2.6512399999999999E-7</v>
      </c>
      <c r="I5548">
        <v>-9.1497080000000004</v>
      </c>
      <c r="J5548">
        <v>-309.24849999999998</v>
      </c>
      <c r="K5548">
        <v>1.056657</v>
      </c>
      <c r="L5548">
        <v>13.137449999999999</v>
      </c>
      <c r="M5548">
        <v>0.83676299999999904</v>
      </c>
      <c r="N5548">
        <v>-1.526957E-2</v>
      </c>
      <c r="O5548">
        <v>-0.54735259999999997</v>
      </c>
      <c r="P5548">
        <v>0.56397059999999999</v>
      </c>
      <c r="Q5548">
        <v>0.14761479999999999</v>
      </c>
      <c r="R5548">
        <v>-0.81249450000000001</v>
      </c>
      <c r="S5548">
        <v>1.289825</v>
      </c>
      <c r="T5548">
        <v>-0.1334004</v>
      </c>
      <c r="U5548">
        <v>-2.831299</v>
      </c>
      <c r="V5548">
        <v>0.3767624</v>
      </c>
      <c r="W5548">
        <v>0.14820920000000001</v>
      </c>
      <c r="X5548">
        <v>0.91437639999999998</v>
      </c>
      <c r="Y5548">
        <v>0.53421739999999995</v>
      </c>
      <c r="Z5548">
        <v>1.018625E-3</v>
      </c>
      <c r="AA5548">
        <v>0.8453465</v>
      </c>
      <c r="AB5548">
        <v>31</v>
      </c>
      <c r="AC5548">
        <v>10.014699999999999</v>
      </c>
      <c r="AD5548">
        <v>-1.056657265124</v>
      </c>
      <c r="AE5548">
        <v>-22.287158000000002</v>
      </c>
      <c r="AF5548">
        <v>13.144447555804801</v>
      </c>
      <c r="AG5548">
        <v>-1.056657265124</v>
      </c>
      <c r="AH5548">
        <v>20.542841231423701</v>
      </c>
      <c r="AI5548">
        <v>92.480877410750097</v>
      </c>
      <c r="AJ5548">
        <v>57.386635514927598</v>
      </c>
      <c r="AK5548">
        <v>24.411090757742102</v>
      </c>
      <c r="AL5548">
        <v>81.476839002665102</v>
      </c>
      <c r="AM5548">
        <v>67.606232501559504</v>
      </c>
      <c r="AN5548">
        <v>1.00000003694767</v>
      </c>
    </row>
    <row r="5549" spans="1:40" x14ac:dyDescent="0.25">
      <c r="A5549" t="str">
        <f>"20190303162929580"</f>
        <v>20190303162929580</v>
      </c>
      <c r="B5549" t="str">
        <f>"1551601769567192"</f>
        <v>1551601769567192</v>
      </c>
      <c r="C5549" t="s">
        <v>40</v>
      </c>
      <c r="D5549">
        <v>5.1792639999999999</v>
      </c>
      <c r="E5549">
        <v>0.57810169999999905</v>
      </c>
      <c r="F5549" t="s">
        <v>41</v>
      </c>
      <c r="G5549">
        <v>-299.65199999999999</v>
      </c>
      <c r="H5549" s="1">
        <v>-4.1855050000000001E-7</v>
      </c>
      <c r="I5549">
        <v>-8.668196</v>
      </c>
      <c r="J5549">
        <v>-309.08909999999997</v>
      </c>
      <c r="K5549">
        <v>1.056497</v>
      </c>
      <c r="L5549">
        <v>13.02197</v>
      </c>
      <c r="M5549">
        <v>0.83054380000000005</v>
      </c>
      <c r="N5549">
        <v>-1.5248859999999999E-2</v>
      </c>
      <c r="O5549">
        <v>-0.55674460000000003</v>
      </c>
      <c r="P5549">
        <v>0.55469199999999996</v>
      </c>
      <c r="Q5549">
        <v>0.1473053</v>
      </c>
      <c r="R5549">
        <v>-0.81891269999999905</v>
      </c>
      <c r="S5549">
        <v>1.253174</v>
      </c>
      <c r="T5549">
        <v>-0.13798569999999999</v>
      </c>
      <c r="U5549">
        <v>-2.847534</v>
      </c>
      <c r="V5549">
        <v>0.37693179999999998</v>
      </c>
      <c r="W5549">
        <v>0.14778669999999999</v>
      </c>
      <c r="X5549">
        <v>0.91437489999999999</v>
      </c>
      <c r="Y5549">
        <v>0.53557440000000001</v>
      </c>
      <c r="Z5549">
        <v>1.822223E-3</v>
      </c>
      <c r="AA5549">
        <v>0.84448609999999902</v>
      </c>
      <c r="AB5549">
        <v>31</v>
      </c>
      <c r="AC5549">
        <v>9.4370999999999796</v>
      </c>
      <c r="AD5549">
        <v>-1.0564974185505001</v>
      </c>
      <c r="AE5549">
        <v>-21.690166000000001</v>
      </c>
      <c r="AF5549">
        <v>12.736653503075299</v>
      </c>
      <c r="AG5549">
        <v>-1.0564974185505001</v>
      </c>
      <c r="AH5549">
        <v>19.8764711094571</v>
      </c>
      <c r="AI5549">
        <v>92.562466777557802</v>
      </c>
      <c r="AJ5549">
        <v>57.348637867054101</v>
      </c>
      <c r="AK5549">
        <v>23.6307560822308</v>
      </c>
      <c r="AL5549">
        <v>81.501315480162305</v>
      </c>
      <c r="AM5549">
        <v>67.597125802732293</v>
      </c>
      <c r="AN5549">
        <v>0.99999997414906905</v>
      </c>
    </row>
    <row r="5550" spans="1:40" x14ac:dyDescent="0.25">
      <c r="A5550" t="str">
        <f>"20190303162929595"</f>
        <v>20190303162929595</v>
      </c>
      <c r="B5550" t="str">
        <f>"1551601769587689"</f>
        <v>1551601769587689</v>
      </c>
      <c r="C5550" t="s">
        <v>40</v>
      </c>
      <c r="D5550">
        <v>5.275703</v>
      </c>
      <c r="E5550">
        <v>0.57706169999999901</v>
      </c>
      <c r="F5550" t="s">
        <v>41</v>
      </c>
      <c r="G5550">
        <v>-299.86079999999998</v>
      </c>
      <c r="H5550" s="1">
        <v>-4.1436649999999998E-7</v>
      </c>
      <c r="I5550">
        <v>-8.5987119999999901</v>
      </c>
      <c r="J5550">
        <v>-308.93310000000002</v>
      </c>
      <c r="K5550">
        <v>1.0563530000000001</v>
      </c>
      <c r="L5550">
        <v>12.905519999999999</v>
      </c>
      <c r="M5550">
        <v>0.8242351</v>
      </c>
      <c r="N5550">
        <v>-1.523361E-2</v>
      </c>
      <c r="O5550">
        <v>-0.56604270000000001</v>
      </c>
      <c r="P5550">
        <v>0.54553149999999995</v>
      </c>
      <c r="Q5550">
        <v>0.146558299999999</v>
      </c>
      <c r="R5550">
        <v>-0.82517640000000003</v>
      </c>
      <c r="S5550">
        <v>1.2212829999999999</v>
      </c>
      <c r="T5550">
        <v>-0.13981769999999999</v>
      </c>
      <c r="U5550">
        <v>-2.8612980000000001</v>
      </c>
      <c r="V5550">
        <v>0.37696059999999998</v>
      </c>
      <c r="W5550">
        <v>0.14694489999999999</v>
      </c>
      <c r="X5550">
        <v>0.9144987</v>
      </c>
      <c r="Y5550">
        <v>0.53551269999999995</v>
      </c>
      <c r="Z5550">
        <v>2.408496E-3</v>
      </c>
      <c r="AA5550">
        <v>0.84452369999999899</v>
      </c>
      <c r="AB5550">
        <v>31</v>
      </c>
      <c r="AC5550">
        <v>9.0723000000000393</v>
      </c>
      <c r="AD5550">
        <v>-1.0563534143664901</v>
      </c>
      <c r="AE5550">
        <v>-21.504231999999998</v>
      </c>
      <c r="AF5550">
        <v>12.564956271423</v>
      </c>
      <c r="AG5550">
        <v>-1.0563534143664901</v>
      </c>
      <c r="AH5550">
        <v>19.612128107617099</v>
      </c>
      <c r="AI5550">
        <v>92.596743312749794</v>
      </c>
      <c r="AJ5550">
        <v>57.353419659543903</v>
      </c>
      <c r="AK5550">
        <v>23.315865361345701</v>
      </c>
      <c r="AL5550">
        <v>81.550079564429097</v>
      </c>
      <c r="AM5550">
        <v>67.598316493192698</v>
      </c>
      <c r="AN5550">
        <v>0.99999998494502895</v>
      </c>
    </row>
    <row r="5551" spans="1:40" x14ac:dyDescent="0.25">
      <c r="A5551" t="str">
        <f>"20190303162929608"</f>
        <v>20190303162929608</v>
      </c>
      <c r="B5551" t="str">
        <f>"1551601769597449"</f>
        <v>1551601769597449</v>
      </c>
      <c r="C5551" t="s">
        <v>40</v>
      </c>
      <c r="D5551">
        <v>5.3011809999999997</v>
      </c>
      <c r="E5551">
        <v>0.57663390000000003</v>
      </c>
      <c r="F5551" t="s">
        <v>41</v>
      </c>
      <c r="G5551">
        <v>-300.53469999999999</v>
      </c>
      <c r="H5551" s="1">
        <v>-1.186461E-6</v>
      </c>
      <c r="I5551">
        <v>-7.2537060000000002</v>
      </c>
      <c r="J5551">
        <v>-308.78789999999998</v>
      </c>
      <c r="K5551">
        <v>1.0562240000000001</v>
      </c>
      <c r="L5551">
        <v>12.79523</v>
      </c>
      <c r="M5551">
        <v>0.81820340000000003</v>
      </c>
      <c r="N5551">
        <v>-1.5220849999999999E-2</v>
      </c>
      <c r="O5551">
        <v>-0.57472730000000005</v>
      </c>
      <c r="P5551">
        <v>0.53712709999999997</v>
      </c>
      <c r="Q5551">
        <v>0.1461818</v>
      </c>
      <c r="R5551">
        <v>-0.83073790000000003</v>
      </c>
      <c r="S5551">
        <v>1.196259</v>
      </c>
      <c r="T5551">
        <v>-0.15046609999999999</v>
      </c>
      <c r="U5551">
        <v>-2.8714599999999999</v>
      </c>
      <c r="V5551">
        <v>0.37664150000000002</v>
      </c>
      <c r="W5551">
        <v>0.14649770000000001</v>
      </c>
      <c r="X5551">
        <v>0.91470189999999996</v>
      </c>
      <c r="Y5551">
        <v>0.53388849999999999</v>
      </c>
      <c r="Z5551">
        <v>3.9905929999999997E-3</v>
      </c>
      <c r="AA5551">
        <v>0.84554549999999995</v>
      </c>
      <c r="AB5551">
        <v>31</v>
      </c>
      <c r="AC5551">
        <v>8.2531999999999908</v>
      </c>
      <c r="AD5551">
        <v>-1.0562251864609999</v>
      </c>
      <c r="AE5551">
        <v>-20.048935999999902</v>
      </c>
      <c r="AF5551">
        <v>11.634507801341501</v>
      </c>
      <c r="AG5551">
        <v>-1.0562251864609999</v>
      </c>
      <c r="AH5551">
        <v>18.234310180566698</v>
      </c>
      <c r="AI5551">
        <v>92.795632879836901</v>
      </c>
      <c r="AJ5551">
        <v>57.459851311959397</v>
      </c>
      <c r="AK5551">
        <v>21.655656332355999</v>
      </c>
      <c r="AL5551">
        <v>81.575982527620198</v>
      </c>
      <c r="AM5551">
        <v>67.619889521706398</v>
      </c>
      <c r="AN5551">
        <v>0.99999998074557395</v>
      </c>
    </row>
    <row r="5552" spans="1:40" x14ac:dyDescent="0.25">
      <c r="A5552" t="str">
        <f>"20190303162929622"</f>
        <v>20190303162929622</v>
      </c>
      <c r="B5552" t="str">
        <f>"1551601769617945"</f>
        <v>1551601769617945</v>
      </c>
      <c r="C5552" t="s">
        <v>40</v>
      </c>
      <c r="D5552">
        <v>5.304278</v>
      </c>
      <c r="E5552">
        <v>0.5757466</v>
      </c>
      <c r="F5552" t="s">
        <v>41</v>
      </c>
      <c r="G5552">
        <v>-300.8664</v>
      </c>
      <c r="H5552" s="1">
        <v>-1.5310250000000001E-6</v>
      </c>
      <c r="I5552">
        <v>-6.7115020000000003</v>
      </c>
      <c r="J5552">
        <v>-308.62369999999999</v>
      </c>
      <c r="K5552">
        <v>1.0560860000000001</v>
      </c>
      <c r="L5552">
        <v>12.667719999999999</v>
      </c>
      <c r="M5552">
        <v>0.81117309999999998</v>
      </c>
      <c r="N5552">
        <v>-1.520884E-2</v>
      </c>
      <c r="O5552">
        <v>-0.58460840000000003</v>
      </c>
      <c r="P5552">
        <v>0.52756510000000001</v>
      </c>
      <c r="Q5552">
        <v>0.1462116</v>
      </c>
      <c r="R5552">
        <v>-0.83683759999999996</v>
      </c>
      <c r="S5552">
        <v>1.1703490000000001</v>
      </c>
      <c r="T5552">
        <v>-0.1560502</v>
      </c>
      <c r="U5552">
        <v>-2.8819889999999999</v>
      </c>
      <c r="V5552">
        <v>0.37606410000000001</v>
      </c>
      <c r="W5552">
        <v>0.14646189999999901</v>
      </c>
      <c r="X5552">
        <v>0.91494520000000001</v>
      </c>
      <c r="Y5552">
        <v>0.53122740000000002</v>
      </c>
      <c r="Z5552">
        <v>5.175153E-3</v>
      </c>
      <c r="AA5552">
        <v>0.84721349999999995</v>
      </c>
      <c r="AB5552">
        <v>31</v>
      </c>
      <c r="AC5552">
        <v>7.7572999999999803</v>
      </c>
      <c r="AD5552">
        <v>-1.056087531025</v>
      </c>
      <c r="AE5552">
        <v>-19.379221999999999</v>
      </c>
      <c r="AF5552">
        <v>11.157654349140699</v>
      </c>
      <c r="AG5552">
        <v>-1.056087531025</v>
      </c>
      <c r="AH5552">
        <v>17.578810872380199</v>
      </c>
      <c r="AI5552">
        <v>92.903701939082296</v>
      </c>
      <c r="AJ5552">
        <v>57.595813724316997</v>
      </c>
      <c r="AK5552">
        <v>20.8476176848819</v>
      </c>
      <c r="AL5552">
        <v>81.578056307318803</v>
      </c>
      <c r="AM5552">
        <v>67.656179277477307</v>
      </c>
      <c r="AN5552">
        <v>1.0000000072317199</v>
      </c>
    </row>
    <row r="5553" spans="1:40" x14ac:dyDescent="0.25">
      <c r="A5553" t="str">
        <f>"20190303162929640"</f>
        <v>20190303162929640</v>
      </c>
      <c r="B5553" t="str">
        <f>"1551601769627705"</f>
        <v>1551601769627705</v>
      </c>
      <c r="C5553" t="s">
        <v>40</v>
      </c>
      <c r="D5553">
        <v>5.3283519999999998</v>
      </c>
      <c r="E5553">
        <v>0.5752794</v>
      </c>
      <c r="F5553" t="s">
        <v>41</v>
      </c>
      <c r="G5553">
        <v>-301.30810000000002</v>
      </c>
      <c r="H5553" s="1">
        <v>-2.0659410000000001E-6</v>
      </c>
      <c r="I5553">
        <v>-5.8285039999999997</v>
      </c>
      <c r="J5553">
        <v>-308.43759999999997</v>
      </c>
      <c r="K5553">
        <v>1.0559480000000001</v>
      </c>
      <c r="L5553">
        <v>12.51831</v>
      </c>
      <c r="M5553">
        <v>0.80289270000000001</v>
      </c>
      <c r="N5553">
        <v>-1.5199249999999999E-2</v>
      </c>
      <c r="O5553">
        <v>-0.59592990000000001</v>
      </c>
      <c r="P5553">
        <v>0.51694280000000004</v>
      </c>
      <c r="Q5553">
        <v>0.14649909999999999</v>
      </c>
      <c r="R5553">
        <v>-0.843391</v>
      </c>
      <c r="S5553">
        <v>1.1440429999999999</v>
      </c>
      <c r="T5553">
        <v>-0.16515539999999901</v>
      </c>
      <c r="U5553">
        <v>-2.8925169999999998</v>
      </c>
      <c r="V5553">
        <v>0.37479770000000001</v>
      </c>
      <c r="W5553">
        <v>0.14671189999999901</v>
      </c>
      <c r="X5553">
        <v>0.91542460000000003</v>
      </c>
      <c r="Y5553">
        <v>0.52704319999999905</v>
      </c>
      <c r="Z5553">
        <v>6.9469669999999897E-3</v>
      </c>
      <c r="AA5553">
        <v>0.84981010000000001</v>
      </c>
      <c r="AB5553">
        <v>31</v>
      </c>
      <c r="AC5553">
        <v>7.1294999999999398</v>
      </c>
      <c r="AD5553">
        <v>-1.0559500659409999</v>
      </c>
      <c r="AE5553">
        <v>-18.346813999999998</v>
      </c>
      <c r="AF5553">
        <v>10.452967555893901</v>
      </c>
      <c r="AG5553">
        <v>-1.0559500659409999</v>
      </c>
      <c r="AH5553">
        <v>16.611753450010401</v>
      </c>
      <c r="AI5553">
        <v>93.079611820428696</v>
      </c>
      <c r="AJ5553">
        <v>57.819791356443098</v>
      </c>
      <c r="AK5553">
        <v>19.6552770000899</v>
      </c>
      <c r="AL5553">
        <v>81.563575438515599</v>
      </c>
      <c r="AM5553">
        <v>67.734581418472999</v>
      </c>
      <c r="AN5553">
        <v>0.99999994790602798</v>
      </c>
    </row>
    <row r="5554" spans="1:40" x14ac:dyDescent="0.25">
      <c r="A5554" t="str">
        <f>"20190303162929660"</f>
        <v>20190303162929660</v>
      </c>
      <c r="B5554" t="str">
        <f>"1551601769647224"</f>
        <v>1551601769647224</v>
      </c>
      <c r="C5554" t="s">
        <v>40</v>
      </c>
      <c r="D5554">
        <v>5.3899609999999996</v>
      </c>
      <c r="E5554">
        <v>0.57431639999999995</v>
      </c>
      <c r="F5554" t="s">
        <v>41</v>
      </c>
      <c r="G5554">
        <v>-301.40230000000003</v>
      </c>
      <c r="H5554" s="1">
        <v>-2.0598839999999999E-6</v>
      </c>
      <c r="I5554">
        <v>-5.89438</v>
      </c>
      <c r="J5554">
        <v>-308.21370000000002</v>
      </c>
      <c r="K5554">
        <v>1.055796</v>
      </c>
      <c r="L5554">
        <v>12.33328</v>
      </c>
      <c r="M5554">
        <v>0.79254259999999999</v>
      </c>
      <c r="N5554">
        <v>-1.518956E-2</v>
      </c>
      <c r="O5554">
        <v>-0.60962740000000004</v>
      </c>
      <c r="P5554">
        <v>0.50376160000000003</v>
      </c>
      <c r="Q5554">
        <v>0.1472908</v>
      </c>
      <c r="R5554">
        <v>-0.85119339999999999</v>
      </c>
      <c r="S5554">
        <v>1.110168</v>
      </c>
      <c r="T5554">
        <v>-0.16663039999999901</v>
      </c>
      <c r="U5554">
        <v>-2.905548</v>
      </c>
      <c r="V5554">
        <v>0.37327329999999997</v>
      </c>
      <c r="W5554">
        <v>0.14746890000000001</v>
      </c>
      <c r="X5554">
        <v>0.91592569999999995</v>
      </c>
      <c r="Y5554">
        <v>0.52237359999999999</v>
      </c>
      <c r="Z5554">
        <v>8.0187669999999996E-3</v>
      </c>
      <c r="AA5554">
        <v>0.85267899999999996</v>
      </c>
      <c r="AB5554">
        <v>31</v>
      </c>
      <c r="AC5554">
        <v>6.8113999999999901</v>
      </c>
      <c r="AD5554">
        <v>-1.055798059884</v>
      </c>
      <c r="AE5554">
        <v>-18.22766</v>
      </c>
      <c r="AF5554">
        <v>10.2647493424665</v>
      </c>
      <c r="AG5554">
        <v>-1.055798059884</v>
      </c>
      <c r="AH5554">
        <v>16.463841209368599</v>
      </c>
      <c r="AI5554">
        <v>93.114850347151005</v>
      </c>
      <c r="AJ5554">
        <v>58.0576024887716</v>
      </c>
      <c r="AK5554">
        <v>19.430333398432101</v>
      </c>
      <c r="AL5554">
        <v>81.519725684453107</v>
      </c>
      <c r="AM5554">
        <v>67.827303081107402</v>
      </c>
      <c r="AN5554">
        <v>0.99999996044029404</v>
      </c>
    </row>
    <row r="5555" spans="1:40" x14ac:dyDescent="0.25">
      <c r="A5555" t="str">
        <f>"20190303162929679"</f>
        <v>20190303162929679</v>
      </c>
      <c r="B5555" t="str">
        <f>"1551601769667721"</f>
        <v>1551601769667721</v>
      </c>
      <c r="C5555" t="s">
        <v>40</v>
      </c>
      <c r="D5555">
        <v>5.409046</v>
      </c>
      <c r="E5555">
        <v>0.57338409999999995</v>
      </c>
      <c r="F5555" t="s">
        <v>41</v>
      </c>
      <c r="G5555">
        <v>-301.53879999999998</v>
      </c>
      <c r="H5555" s="1">
        <v>-2.1195120000000001E-6</v>
      </c>
      <c r="I5555">
        <v>-5.8450850000000001</v>
      </c>
      <c r="J5555">
        <v>-308.00830000000002</v>
      </c>
      <c r="K5555">
        <v>1.0556730000000001</v>
      </c>
      <c r="L5555">
        <v>12.157500000000001</v>
      </c>
      <c r="M5555">
        <v>0.78263749999999999</v>
      </c>
      <c r="N5555">
        <v>-1.5182380000000001E-2</v>
      </c>
      <c r="O5555">
        <v>-0.62229309999999904</v>
      </c>
      <c r="P5555">
        <v>0.4917763</v>
      </c>
      <c r="Q5555">
        <v>0.147483</v>
      </c>
      <c r="R5555">
        <v>-0.85814080000000004</v>
      </c>
      <c r="S5555">
        <v>1.07196</v>
      </c>
      <c r="T5555">
        <v>-0.1695586</v>
      </c>
      <c r="U5555">
        <v>-2.919403</v>
      </c>
      <c r="V5555">
        <v>0.37139549999999999</v>
      </c>
      <c r="W5555">
        <v>0.1476613</v>
      </c>
      <c r="X5555">
        <v>0.91665779999999997</v>
      </c>
      <c r="Y5555">
        <v>0.51980729999999997</v>
      </c>
      <c r="Z5555">
        <v>9.1711229999999998E-3</v>
      </c>
      <c r="AA5555">
        <v>0.8542343</v>
      </c>
      <c r="AB5555">
        <v>31</v>
      </c>
      <c r="AC5555">
        <v>6.4695000000000302</v>
      </c>
      <c r="AD5555">
        <v>-1.05567511951199</v>
      </c>
      <c r="AE5555">
        <v>-18.002585</v>
      </c>
      <c r="AF5555">
        <v>10.0341717321405</v>
      </c>
      <c r="AG5555">
        <v>-1.05567511951199</v>
      </c>
      <c r="AH5555">
        <v>16.218635431431899</v>
      </c>
      <c r="AI5555">
        <v>93.168262413536198</v>
      </c>
      <c r="AJ5555">
        <v>58.255682594347199</v>
      </c>
      <c r="AK5555">
        <v>19.1008687646856</v>
      </c>
      <c r="AL5555">
        <v>81.508580291569402</v>
      </c>
      <c r="AM5555">
        <v>67.944047193611198</v>
      </c>
      <c r="AN5555">
        <v>0.99999999961939001</v>
      </c>
    </row>
    <row r="5556" spans="1:40" x14ac:dyDescent="0.25">
      <c r="A5556" t="str">
        <f>"20190303162929694"</f>
        <v>20190303162929694</v>
      </c>
      <c r="B5556" t="str">
        <f>"1551601769687241"</f>
        <v>1551601769687241</v>
      </c>
      <c r="C5556" t="s">
        <v>40</v>
      </c>
      <c r="D5556">
        <v>5.5764699999999996</v>
      </c>
      <c r="E5556">
        <v>0.57376649999999996</v>
      </c>
      <c r="F5556" t="s">
        <v>41</v>
      </c>
      <c r="G5556">
        <v>-301.67680000000001</v>
      </c>
      <c r="H5556" s="1">
        <v>-2.212277E-6</v>
      </c>
      <c r="I5556">
        <v>-5.7264949999999999</v>
      </c>
      <c r="J5556">
        <v>-307.85539999999997</v>
      </c>
      <c r="K5556">
        <v>1.0555890000000001</v>
      </c>
      <c r="L5556">
        <v>12.02271</v>
      </c>
      <c r="M5556">
        <v>0.77500389999999997</v>
      </c>
      <c r="N5556">
        <v>-1.5177639999999999E-2</v>
      </c>
      <c r="O5556">
        <v>-0.63177439999999996</v>
      </c>
      <c r="P5556">
        <v>0.48197210000000001</v>
      </c>
      <c r="Q5556">
        <v>0.14752470000000001</v>
      </c>
      <c r="R5556">
        <v>-0.86367819999999995</v>
      </c>
      <c r="S5556">
        <v>1.0376590000000001</v>
      </c>
      <c r="T5556">
        <v>-0.17301420000000001</v>
      </c>
      <c r="U5556">
        <v>-2.931</v>
      </c>
      <c r="V5556">
        <v>0.37068950000000001</v>
      </c>
      <c r="W5556">
        <v>0.1476806</v>
      </c>
      <c r="X5556">
        <v>0.91694050000000005</v>
      </c>
      <c r="Y5556">
        <v>0.51935200000000004</v>
      </c>
      <c r="Z5556">
        <v>1.0177429999999999E-2</v>
      </c>
      <c r="AA5556">
        <v>0.85449979999999903</v>
      </c>
      <c r="AB5556">
        <v>31</v>
      </c>
      <c r="AC5556">
        <v>6.1785999999999497</v>
      </c>
      <c r="AD5556">
        <v>-1.0555912122769999</v>
      </c>
      <c r="AE5556">
        <v>-17.749205</v>
      </c>
      <c r="AF5556">
        <v>9.8223685831393599</v>
      </c>
      <c r="AG5556">
        <v>-1.0555912122769999</v>
      </c>
      <c r="AH5556">
        <v>15.9534449988085</v>
      </c>
      <c r="AI5556">
        <v>93.224862907101397</v>
      </c>
      <c r="AJ5556">
        <v>58.379829096552001</v>
      </c>
      <c r="AK5556">
        <v>18.764477203495101</v>
      </c>
      <c r="AL5556">
        <v>81.507462851094303</v>
      </c>
      <c r="AM5556">
        <v>67.988103155078306</v>
      </c>
      <c r="AN5556">
        <v>1.00000007278342</v>
      </c>
    </row>
    <row r="5557" spans="1:40" x14ac:dyDescent="0.25">
      <c r="A5557" t="str">
        <f>"20190303162929713"</f>
        <v>20190303162929713</v>
      </c>
      <c r="B5557" t="str">
        <f>"1551601769707737"</f>
        <v>1551601769707737</v>
      </c>
      <c r="C5557" t="s">
        <v>40</v>
      </c>
      <c r="D5557">
        <v>5.6126579999999997</v>
      </c>
      <c r="E5557">
        <v>0.59107759999999998</v>
      </c>
      <c r="F5557" t="s">
        <v>41</v>
      </c>
      <c r="G5557">
        <v>-301.77589999999998</v>
      </c>
      <c r="H5557" s="1">
        <v>-2.1789910000000002E-6</v>
      </c>
      <c r="I5557">
        <v>-5.852684</v>
      </c>
      <c r="J5557">
        <v>-307.64249999999998</v>
      </c>
      <c r="K5557">
        <v>1.0554730000000001</v>
      </c>
      <c r="L5557">
        <v>11.82959</v>
      </c>
      <c r="M5557">
        <v>0.76400230000000002</v>
      </c>
      <c r="N5557">
        <v>-1.517113E-2</v>
      </c>
      <c r="O5557">
        <v>-0.64503540000000004</v>
      </c>
      <c r="P5557">
        <v>0.46816869999999999</v>
      </c>
      <c r="Q5557">
        <v>0.1464145</v>
      </c>
      <c r="R5557">
        <v>-0.8714248</v>
      </c>
      <c r="S5557">
        <v>1.001404</v>
      </c>
      <c r="T5557">
        <v>-0.17387469999999999</v>
      </c>
      <c r="U5557">
        <v>-2.9443969999999999</v>
      </c>
      <c r="V5557">
        <v>0.3696024</v>
      </c>
      <c r="W5557">
        <v>0.1465515</v>
      </c>
      <c r="X5557">
        <v>0.91756020000000005</v>
      </c>
      <c r="Y5557">
        <v>0.51525410000000005</v>
      </c>
      <c r="Z5557">
        <v>1.119012E-2</v>
      </c>
      <c r="AA5557">
        <v>0.85696439999999996</v>
      </c>
      <c r="AB5557">
        <v>31</v>
      </c>
      <c r="AC5557">
        <v>5.8666</v>
      </c>
      <c r="AD5557">
        <v>-1.055475178991</v>
      </c>
      <c r="AE5557">
        <v>-17.682274</v>
      </c>
      <c r="AF5557">
        <v>9.6951323990740104</v>
      </c>
      <c r="AG5557">
        <v>-1.055475178991</v>
      </c>
      <c r="AH5557">
        <v>15.8387765577171</v>
      </c>
      <c r="AI5557">
        <v>93.252974984363703</v>
      </c>
      <c r="AJ5557">
        <v>58.528627836448599</v>
      </c>
      <c r="AK5557">
        <v>18.600442546733401</v>
      </c>
      <c r="AL5557">
        <v>81.572866532267994</v>
      </c>
      <c r="AM5557">
        <v>68.059932352395805</v>
      </c>
      <c r="AN5557">
        <v>0.99999999843102505</v>
      </c>
    </row>
    <row r="5558" spans="1:40" x14ac:dyDescent="0.25">
      <c r="A5558" t="str">
        <f>"20190303162929726"</f>
        <v>20190303162929726</v>
      </c>
      <c r="B5558" t="str">
        <f>"1551601769717497"</f>
        <v>1551601769717497</v>
      </c>
      <c r="C5558" t="s">
        <v>40</v>
      </c>
      <c r="D5558">
        <v>5.6638159999999997</v>
      </c>
      <c r="E5558">
        <v>0.59128099999999995</v>
      </c>
      <c r="F5558" t="s">
        <v>42</v>
      </c>
      <c r="G5558">
        <v>-304.20179999999999</v>
      </c>
      <c r="H5558">
        <v>-0.05</v>
      </c>
      <c r="I5558">
        <v>-0.5755768</v>
      </c>
      <c r="J5558">
        <v>-307.50990000000002</v>
      </c>
      <c r="K5558">
        <v>1.05541</v>
      </c>
      <c r="L5558">
        <v>11.70627</v>
      </c>
      <c r="M5558">
        <v>0.75693569999999999</v>
      </c>
      <c r="N5558">
        <v>-1.516697E-2</v>
      </c>
      <c r="O5558">
        <v>-0.65331340000000004</v>
      </c>
      <c r="P5558">
        <v>0.45909939999999999</v>
      </c>
      <c r="Q5558">
        <v>0.1461556</v>
      </c>
      <c r="R5558">
        <v>-0.87628009999999901</v>
      </c>
      <c r="S5558">
        <v>0.84197999999999995</v>
      </c>
      <c r="T5558">
        <v>-0.27052619999999999</v>
      </c>
      <c r="U5558">
        <v>-3.035736</v>
      </c>
      <c r="V5558">
        <v>0.36917349999999999</v>
      </c>
      <c r="W5558">
        <v>0.14627319999999999</v>
      </c>
      <c r="X5558">
        <v>0.91777719999999896</v>
      </c>
      <c r="Y5558">
        <v>0.55412869999999903</v>
      </c>
      <c r="Z5558">
        <v>2.2993599999999999E-2</v>
      </c>
      <c r="AA5558">
        <v>0.8321134</v>
      </c>
      <c r="AB5558">
        <v>31</v>
      </c>
      <c r="AC5558">
        <v>3.30810000000002</v>
      </c>
      <c r="AD5558">
        <v>-1.10541</v>
      </c>
      <c r="AE5558">
        <v>-12.2818468</v>
      </c>
      <c r="AF5558">
        <v>7.0826694681714404</v>
      </c>
      <c r="AG5558">
        <v>-1.10541</v>
      </c>
      <c r="AH5558">
        <v>10.450197488288801</v>
      </c>
      <c r="AI5558">
        <v>95.004207679726704</v>
      </c>
      <c r="AJ5558">
        <v>55.8723627155291</v>
      </c>
      <c r="AK5558">
        <v>12.6725200969541</v>
      </c>
      <c r="AL5558">
        <v>81.588985289331404</v>
      </c>
      <c r="AM5558">
        <v>68.087670573500603</v>
      </c>
      <c r="AN5558">
        <v>0.99999995549016296</v>
      </c>
    </row>
    <row r="5559" spans="1:40" x14ac:dyDescent="0.25">
      <c r="A5559" t="str">
        <f>"20190303162929746"</f>
        <v>20190303162929746</v>
      </c>
      <c r="B5559" t="str">
        <f>"1551601769737494"</f>
        <v>1551601769737494</v>
      </c>
      <c r="C5559" t="s">
        <v>40</v>
      </c>
      <c r="D5559">
        <v>5.4905150000000003</v>
      </c>
      <c r="E5559">
        <v>0.59230729999999998</v>
      </c>
      <c r="F5559" t="s">
        <v>42</v>
      </c>
      <c r="G5559">
        <v>-304.19560000000001</v>
      </c>
      <c r="H5559">
        <v>-0.05</v>
      </c>
      <c r="I5559">
        <v>-0.78256230000000004</v>
      </c>
      <c r="J5559">
        <v>-307.30900000000003</v>
      </c>
      <c r="K5559">
        <v>1.055321</v>
      </c>
      <c r="L5559">
        <v>11.5137</v>
      </c>
      <c r="M5559">
        <v>0.7458726</v>
      </c>
      <c r="N5559">
        <v>-1.5160710000000001E-2</v>
      </c>
      <c r="O5559">
        <v>-0.66591610000000001</v>
      </c>
      <c r="P5559">
        <v>0.44511129999999999</v>
      </c>
      <c r="Q5559">
        <v>0.1457637</v>
      </c>
      <c r="R5559">
        <v>-0.88353179999999998</v>
      </c>
      <c r="S5559">
        <v>0.80810550000000003</v>
      </c>
      <c r="T5559">
        <v>-0.26953050000000001</v>
      </c>
      <c r="U5559">
        <v>-3.0451350000000001</v>
      </c>
      <c r="V5559">
        <v>0.36842150000000001</v>
      </c>
      <c r="W5559">
        <v>0.1458632</v>
      </c>
      <c r="X5559">
        <v>0.91814459999999998</v>
      </c>
      <c r="Y5559">
        <v>0.54948439999999998</v>
      </c>
      <c r="Z5559">
        <v>2.4311369999999999E-2</v>
      </c>
      <c r="AA5559">
        <v>0.83515019999999995</v>
      </c>
      <c r="AB5559">
        <v>31</v>
      </c>
      <c r="AC5559">
        <v>3.1134000000000102</v>
      </c>
      <c r="AD5559">
        <v>-1.105321</v>
      </c>
      <c r="AE5559">
        <v>-12.2962623</v>
      </c>
      <c r="AF5559">
        <v>7.0454974540625797</v>
      </c>
      <c r="AG5559">
        <v>-1.105321</v>
      </c>
      <c r="AH5559">
        <v>10.4324673704186</v>
      </c>
      <c r="AI5559">
        <v>95.017851300177398</v>
      </c>
      <c r="AJ5559">
        <v>55.967137377199101</v>
      </c>
      <c r="AK5559">
        <v>12.6371335485185</v>
      </c>
      <c r="AL5559">
        <v>81.612731543871007</v>
      </c>
      <c r="AM5559">
        <v>68.136017116827603</v>
      </c>
      <c r="AN5559">
        <v>0.99999999064282397</v>
      </c>
    </row>
    <row r="5560" spans="1:40" x14ac:dyDescent="0.25">
      <c r="A5560" t="str">
        <f>"20190303162929769"</f>
        <v>20190303162929769</v>
      </c>
      <c r="B5560" t="str">
        <f>"1551601769757014"</f>
        <v>1551601769757014</v>
      </c>
      <c r="C5560" t="s">
        <v>40</v>
      </c>
      <c r="D5560">
        <v>5.5016020000000001</v>
      </c>
      <c r="E5560">
        <v>0.592086</v>
      </c>
      <c r="F5560" t="s">
        <v>41</v>
      </c>
      <c r="G5560">
        <v>-304.25099999999998</v>
      </c>
      <c r="H5560" s="1">
        <v>-4.8249229999999997E-6</v>
      </c>
      <c r="I5560">
        <v>-0.94902319999999996</v>
      </c>
      <c r="J5560">
        <v>-307.0772</v>
      </c>
      <c r="K5560">
        <v>1.055234</v>
      </c>
      <c r="L5560">
        <v>11.2829</v>
      </c>
      <c r="M5560">
        <v>0.73256169999999998</v>
      </c>
      <c r="N5560">
        <v>-1.515323E-2</v>
      </c>
      <c r="O5560">
        <v>-0.68053200000000003</v>
      </c>
      <c r="P5560">
        <v>0.42832599999999998</v>
      </c>
      <c r="Q5560">
        <v>0.1444743</v>
      </c>
      <c r="R5560">
        <v>-0.89200000000000002</v>
      </c>
      <c r="S5560">
        <v>0.75082399999999905</v>
      </c>
      <c r="T5560">
        <v>-0.2591136</v>
      </c>
      <c r="U5560">
        <v>-3.0599669999999999</v>
      </c>
      <c r="V5560">
        <v>0.36775069999999999</v>
      </c>
      <c r="W5560">
        <v>0.14455409999999999</v>
      </c>
      <c r="X5560">
        <v>0.91862049999999995</v>
      </c>
      <c r="Y5560">
        <v>0.54870319999999995</v>
      </c>
      <c r="Z5560">
        <v>2.4262100000000002E-2</v>
      </c>
      <c r="AA5560">
        <v>0.83566509999999905</v>
      </c>
      <c r="AB5560">
        <v>31</v>
      </c>
      <c r="AC5560">
        <v>2.82620000000002</v>
      </c>
      <c r="AD5560">
        <v>-1.055238824923</v>
      </c>
      <c r="AE5560">
        <v>-12.231923200000001</v>
      </c>
      <c r="AF5560">
        <v>6.9887497897349604</v>
      </c>
      <c r="AG5560">
        <v>-1.055238824923</v>
      </c>
      <c r="AH5560">
        <v>10.3228412556332</v>
      </c>
      <c r="AI5560">
        <v>94.838476774011696</v>
      </c>
      <c r="AJ5560">
        <v>55.901290836485501</v>
      </c>
      <c r="AK5560">
        <v>12.510683602031801</v>
      </c>
      <c r="AL5560">
        <v>81.688541402581095</v>
      </c>
      <c r="AM5560">
        <v>68.182327367463401</v>
      </c>
      <c r="AN5560">
        <v>1.00000004409877</v>
      </c>
    </row>
    <row r="5561" spans="1:40" x14ac:dyDescent="0.25">
      <c r="A5561" t="str">
        <f>"20190303162929793"</f>
        <v>20190303162929793</v>
      </c>
      <c r="B5561" t="str">
        <f>"1551601769787271"</f>
        <v>1551601769787271</v>
      </c>
      <c r="C5561" t="s">
        <v>40</v>
      </c>
      <c r="D5561">
        <v>5.3753270000000004</v>
      </c>
      <c r="E5561">
        <v>0.59136060000000001</v>
      </c>
      <c r="F5561" t="s">
        <v>41</v>
      </c>
      <c r="G5561">
        <v>-304.214</v>
      </c>
      <c r="H5561" s="1">
        <v>-4.6439050000000001E-6</v>
      </c>
      <c r="I5561">
        <v>-1.4032990000000001</v>
      </c>
      <c r="J5561">
        <v>-306.85210000000001</v>
      </c>
      <c r="K5561">
        <v>1.0551600000000001</v>
      </c>
      <c r="L5561">
        <v>11.04993</v>
      </c>
      <c r="M5561">
        <v>0.71906969999999903</v>
      </c>
      <c r="N5561">
        <v>-1.5145250000000001E-2</v>
      </c>
      <c r="O5561">
        <v>-0.69477309999999903</v>
      </c>
      <c r="P5561">
        <v>0.41207240000000001</v>
      </c>
      <c r="Q5561">
        <v>0.1432175</v>
      </c>
      <c r="R5561">
        <v>-0.89982519999999999</v>
      </c>
      <c r="S5561">
        <v>0.69326779999999999</v>
      </c>
      <c r="T5561">
        <v>-0.2555056</v>
      </c>
      <c r="U5561">
        <v>-3.0717159999999999</v>
      </c>
      <c r="V5561">
        <v>0.36650250000000001</v>
      </c>
      <c r="W5561">
        <v>0.1433111</v>
      </c>
      <c r="X5561">
        <v>0.91931379999999996</v>
      </c>
      <c r="Y5561">
        <v>0.54791089999999998</v>
      </c>
      <c r="Z5561">
        <v>2.5124480000000001E-2</v>
      </c>
      <c r="AA5561">
        <v>0.83615930000000005</v>
      </c>
      <c r="AB5561">
        <v>31</v>
      </c>
      <c r="AC5561">
        <v>2.6381000000000001</v>
      </c>
      <c r="AD5561">
        <v>-1.055164643905</v>
      </c>
      <c r="AE5561">
        <v>-12.453228999999901</v>
      </c>
      <c r="AF5561">
        <v>7.0740697015761098</v>
      </c>
      <c r="AG5561">
        <v>-1.055164643905</v>
      </c>
      <c r="AH5561">
        <v>10.4783595181748</v>
      </c>
      <c r="AI5561">
        <v>94.770861924150694</v>
      </c>
      <c r="AJ5561">
        <v>55.976228775538999</v>
      </c>
      <c r="AK5561">
        <v>12.6866801315643</v>
      </c>
      <c r="AL5561">
        <v>81.760509129469895</v>
      </c>
      <c r="AM5561">
        <v>68.264331090202006</v>
      </c>
      <c r="AN5561">
        <v>1.0000000083799501</v>
      </c>
    </row>
    <row r="5562" spans="1:40" x14ac:dyDescent="0.25">
      <c r="A5562" t="str">
        <f>"20190303162929814"</f>
        <v>20190303162929814</v>
      </c>
      <c r="B5562" t="str">
        <f>"1551601769807767"</f>
        <v>1551601769807767</v>
      </c>
      <c r="C5562" t="s">
        <v>40</v>
      </c>
      <c r="D5562">
        <v>5.3381600000000002</v>
      </c>
      <c r="E5562">
        <v>0.59104029999999996</v>
      </c>
      <c r="F5562" t="s">
        <v>41</v>
      </c>
      <c r="G5562">
        <v>-304.1112</v>
      </c>
      <c r="H5562" s="1">
        <v>-4.3422910000000003E-6</v>
      </c>
      <c r="I5562">
        <v>-2.1412409999999999</v>
      </c>
      <c r="J5562">
        <v>-306.64190000000002</v>
      </c>
      <c r="K5562">
        <v>1.055107</v>
      </c>
      <c r="L5562">
        <v>10.82404</v>
      </c>
      <c r="M5562">
        <v>0.70594519999999905</v>
      </c>
      <c r="N5562">
        <v>-1.5136989999999999E-2</v>
      </c>
      <c r="O5562">
        <v>-0.70810499999999998</v>
      </c>
      <c r="P5562">
        <v>0.39709250000000001</v>
      </c>
      <c r="Q5562">
        <v>0.1428509</v>
      </c>
      <c r="R5562">
        <v>-0.90659339999999999</v>
      </c>
      <c r="S5562">
        <v>0.63998409999999994</v>
      </c>
      <c r="T5562">
        <v>-0.2463784</v>
      </c>
      <c r="U5562">
        <v>-3.0801090000000002</v>
      </c>
      <c r="V5562">
        <v>0.36458220000000002</v>
      </c>
      <c r="W5562">
        <v>0.14299589999999901</v>
      </c>
      <c r="X5562">
        <v>0.92012609999999995</v>
      </c>
      <c r="Y5562">
        <v>0.54660799999999998</v>
      </c>
      <c r="Z5562">
        <v>2.504526E-2</v>
      </c>
      <c r="AA5562">
        <v>0.83701399999999904</v>
      </c>
      <c r="AB5562">
        <v>31</v>
      </c>
      <c r="AC5562">
        <v>2.5307000000000199</v>
      </c>
      <c r="AD5562">
        <v>-1.0551113422909999</v>
      </c>
      <c r="AE5562">
        <v>-12.965280999999999</v>
      </c>
      <c r="AF5562">
        <v>7.3149518492780903</v>
      </c>
      <c r="AG5562">
        <v>-1.0551113422909999</v>
      </c>
      <c r="AH5562">
        <v>10.8990384955508</v>
      </c>
      <c r="AI5562">
        <v>94.595667551508001</v>
      </c>
      <c r="AJ5562">
        <v>56.132237681371798</v>
      </c>
      <c r="AK5562">
        <v>13.1685542345919</v>
      </c>
      <c r="AL5562">
        <v>81.778756828777802</v>
      </c>
      <c r="AM5562">
        <v>68.385009331690597</v>
      </c>
      <c r="AN5562">
        <v>1.00000002393742</v>
      </c>
    </row>
    <row r="5563" spans="1:40" x14ac:dyDescent="0.25">
      <c r="A5563" t="str">
        <f>"20190303162929838"</f>
        <v>20190303162929838</v>
      </c>
      <c r="B5563" t="str">
        <f>"1551601769827286"</f>
        <v>1551601769827286</v>
      </c>
      <c r="C5563" t="s">
        <v>40</v>
      </c>
      <c r="D5563">
        <v>5.3431519999999999</v>
      </c>
      <c r="E5563">
        <v>0.59021290000000004</v>
      </c>
      <c r="F5563" t="s">
        <v>41</v>
      </c>
      <c r="G5563">
        <v>-303.92930000000001</v>
      </c>
      <c r="H5563" s="1">
        <v>-3.823617E-6</v>
      </c>
      <c r="I5563">
        <v>-3.4078460000000002</v>
      </c>
      <c r="J5563">
        <v>-306.42860000000002</v>
      </c>
      <c r="K5563">
        <v>1.0550679999999999</v>
      </c>
      <c r="L5563">
        <v>10.586</v>
      </c>
      <c r="M5563">
        <v>0.69208149999999902</v>
      </c>
      <c r="N5563">
        <v>-1.51276E-2</v>
      </c>
      <c r="O5563">
        <v>-0.72166109999999895</v>
      </c>
      <c r="P5563">
        <v>0.38166830000000002</v>
      </c>
      <c r="Q5563">
        <v>0.143127799999999</v>
      </c>
      <c r="R5563">
        <v>-0.91315040000000003</v>
      </c>
      <c r="S5563">
        <v>0.58847050000000001</v>
      </c>
      <c r="T5563">
        <v>-0.22889109999999999</v>
      </c>
      <c r="U5563">
        <v>-3.087402</v>
      </c>
      <c r="V5563">
        <v>0.36231940000000001</v>
      </c>
      <c r="W5563">
        <v>0.1433442</v>
      </c>
      <c r="X5563">
        <v>0.92096529999999999</v>
      </c>
      <c r="Y5563">
        <v>0.54425559999999995</v>
      </c>
      <c r="Z5563">
        <v>2.3567640000000001E-2</v>
      </c>
      <c r="AA5563">
        <v>0.83858840000000001</v>
      </c>
      <c r="AB5563">
        <v>31</v>
      </c>
      <c r="AC5563">
        <v>2.4992999999999999</v>
      </c>
      <c r="AD5563">
        <v>-1.055071823617</v>
      </c>
      <c r="AE5563">
        <v>-13.9938459999999</v>
      </c>
      <c r="AF5563">
        <v>7.8389519151530296</v>
      </c>
      <c r="AG5563">
        <v>-1.055071823617</v>
      </c>
      <c r="AH5563">
        <v>11.7650740994396</v>
      </c>
      <c r="AI5563">
        <v>94.268061859331198</v>
      </c>
      <c r="AJ5563">
        <v>56.324873709155902</v>
      </c>
      <c r="AK5563">
        <v>14.1767172591675</v>
      </c>
      <c r="AL5563">
        <v>81.758592747706004</v>
      </c>
      <c r="AM5563">
        <v>68.524696115709702</v>
      </c>
      <c r="AN5563">
        <v>0.999999995547045</v>
      </c>
    </row>
    <row r="5564" spans="1:40" x14ac:dyDescent="0.25">
      <c r="A5564" t="str">
        <f>"20190303162929859"</f>
        <v>20190303162929859</v>
      </c>
      <c r="B5564" t="str">
        <f>"1551601769847782"</f>
        <v>1551601769847782</v>
      </c>
      <c r="C5564" t="s">
        <v>40</v>
      </c>
      <c r="D5564">
        <v>5.5575590000000004</v>
      </c>
      <c r="E5564">
        <v>0.58886309999999997</v>
      </c>
      <c r="F5564" t="s">
        <v>41</v>
      </c>
      <c r="G5564">
        <v>-303.77530000000002</v>
      </c>
      <c r="H5564" s="1">
        <v>-3.2975160000000002E-6</v>
      </c>
      <c r="I5564">
        <v>-4.6118759999999996</v>
      </c>
      <c r="J5564">
        <v>-306.23140000000001</v>
      </c>
      <c r="K5564">
        <v>1.055048</v>
      </c>
      <c r="L5564">
        <v>10.357419999999999</v>
      </c>
      <c r="M5564">
        <v>0.67874690000000004</v>
      </c>
      <c r="N5564">
        <v>-1.511754E-2</v>
      </c>
      <c r="O5564">
        <v>-0.7342168</v>
      </c>
      <c r="P5564">
        <v>0.36750820000000001</v>
      </c>
      <c r="Q5564">
        <v>0.1436759</v>
      </c>
      <c r="R5564">
        <v>-0.91885519999999998</v>
      </c>
      <c r="S5564">
        <v>0.54003909999999999</v>
      </c>
      <c r="T5564">
        <v>-0.21474119999999999</v>
      </c>
      <c r="U5564">
        <v>-3.0932620000000002</v>
      </c>
      <c r="V5564">
        <v>0.35964669999999999</v>
      </c>
      <c r="W5564">
        <v>0.1439888</v>
      </c>
      <c r="X5564">
        <v>0.92191190000000001</v>
      </c>
      <c r="Y5564">
        <v>0.54193340000000001</v>
      </c>
      <c r="Z5564">
        <v>2.2374809999999998E-2</v>
      </c>
      <c r="AA5564">
        <v>0.84012359999999897</v>
      </c>
      <c r="AB5564">
        <v>31</v>
      </c>
      <c r="AC5564">
        <v>2.45609999999999</v>
      </c>
      <c r="AD5564">
        <v>-1.055051297516</v>
      </c>
      <c r="AE5564">
        <v>-14.969296</v>
      </c>
      <c r="AF5564">
        <v>8.3177716818687895</v>
      </c>
      <c r="AG5564">
        <v>-1.055051297516</v>
      </c>
      <c r="AH5564">
        <v>12.598281946045599</v>
      </c>
      <c r="AI5564">
        <v>93.997758272948005</v>
      </c>
      <c r="AJ5564">
        <v>56.565985015568501</v>
      </c>
      <c r="AK5564">
        <v>15.1332470733861</v>
      </c>
      <c r="AL5564">
        <v>81.721273084076003</v>
      </c>
      <c r="AM5564">
        <v>68.688765059178607</v>
      </c>
      <c r="AN5564">
        <v>1.0000000373539599</v>
      </c>
    </row>
    <row r="5565" spans="1:40" x14ac:dyDescent="0.25">
      <c r="A5565" t="str">
        <f>"20190303162929880"</f>
        <v>20190303162929880</v>
      </c>
      <c r="B5565" t="str">
        <f>"1551601769867301"</f>
        <v>1551601769867301</v>
      </c>
      <c r="C5565" t="s">
        <v>40</v>
      </c>
      <c r="D5565">
        <v>5.3834869999999997</v>
      </c>
      <c r="E5565">
        <v>0.58743210000000001</v>
      </c>
      <c r="F5565" t="s">
        <v>41</v>
      </c>
      <c r="G5565">
        <v>-303.6884</v>
      </c>
      <c r="H5565" s="1">
        <v>-2.90788E-6</v>
      </c>
      <c r="I5565">
        <v>-5.3872019999999896</v>
      </c>
      <c r="J5565">
        <v>-306.03449999999998</v>
      </c>
      <c r="K5565">
        <v>1.0550349999999999</v>
      </c>
      <c r="L5565">
        <v>10.12054</v>
      </c>
      <c r="M5565">
        <v>0.66491230000000001</v>
      </c>
      <c r="N5565">
        <v>-1.510593E-2</v>
      </c>
      <c r="O5565">
        <v>-0.74676869999999995</v>
      </c>
      <c r="P5565">
        <v>0.35315639999999998</v>
      </c>
      <c r="Q5565">
        <v>0.14441479999999901</v>
      </c>
      <c r="R5565">
        <v>-0.92435100000000003</v>
      </c>
      <c r="S5565">
        <v>0.50027469999999996</v>
      </c>
      <c r="T5565">
        <v>-0.20755019999999999</v>
      </c>
      <c r="U5565">
        <v>-3.0972900000000001</v>
      </c>
      <c r="V5565">
        <v>0.35672569999999998</v>
      </c>
      <c r="W5565">
        <v>0.14484</v>
      </c>
      <c r="X5565">
        <v>0.92291279999999998</v>
      </c>
      <c r="Y5565">
        <v>0.536933199999999</v>
      </c>
      <c r="Z5565">
        <v>2.2339970000000001E-2</v>
      </c>
      <c r="AA5565">
        <v>0.84332890000000005</v>
      </c>
      <c r="AB5565">
        <v>31</v>
      </c>
      <c r="AC5565">
        <v>2.3460999999999701</v>
      </c>
      <c r="AD5565">
        <v>-1.0550379078799901</v>
      </c>
      <c r="AE5565">
        <v>-15.507742</v>
      </c>
      <c r="AF5565">
        <v>8.5217108045135408</v>
      </c>
      <c r="AG5565">
        <v>-1.0550379078799901</v>
      </c>
      <c r="AH5565">
        <v>13.0829469780734</v>
      </c>
      <c r="AI5565">
        <v>93.865709820520294</v>
      </c>
      <c r="AJ5565">
        <v>56.921380524172797</v>
      </c>
      <c r="AK5565">
        <v>15.6491584966702</v>
      </c>
      <c r="AL5565">
        <v>81.671985470669696</v>
      </c>
      <c r="AM5565">
        <v>68.867407924684898</v>
      </c>
      <c r="AN5565">
        <v>0.99999994352216304</v>
      </c>
    </row>
    <row r="5566" spans="1:40" x14ac:dyDescent="0.25">
      <c r="A5566" t="str">
        <f>"20190303162929904"</f>
        <v>20190303162929904</v>
      </c>
      <c r="B5566" t="str">
        <f>"1551601769897557"</f>
        <v>1551601769897557</v>
      </c>
      <c r="C5566" t="s">
        <v>40</v>
      </c>
      <c r="D5566">
        <v>5.3511379999999997</v>
      </c>
      <c r="E5566">
        <v>0.58591700000000002</v>
      </c>
      <c r="F5566" t="s">
        <v>41</v>
      </c>
      <c r="G5566">
        <v>-303.62020000000001</v>
      </c>
      <c r="H5566" s="1">
        <v>-2.5547369999999998E-6</v>
      </c>
      <c r="I5566">
        <v>-6.0959379999999896</v>
      </c>
      <c r="J5566">
        <v>-305.82830000000001</v>
      </c>
      <c r="K5566">
        <v>1.0550349999999999</v>
      </c>
      <c r="L5566">
        <v>9.862762</v>
      </c>
      <c r="M5566">
        <v>0.64985329999999997</v>
      </c>
      <c r="N5566">
        <v>-1.5091749999999999E-2</v>
      </c>
      <c r="O5566">
        <v>-0.75990990000000003</v>
      </c>
      <c r="P5566">
        <v>0.33929039999999999</v>
      </c>
      <c r="Q5566">
        <v>0.14623029999999901</v>
      </c>
      <c r="R5566">
        <v>-0.92924640000000003</v>
      </c>
      <c r="S5566">
        <v>0.46160889999999999</v>
      </c>
      <c r="T5566">
        <v>-0.20172880000000001</v>
      </c>
      <c r="U5566">
        <v>-3.1006770000000001</v>
      </c>
      <c r="V5566">
        <v>0.351954299999999</v>
      </c>
      <c r="W5566">
        <v>0.14685239999999999</v>
      </c>
      <c r="X5566">
        <v>0.92442550000000001</v>
      </c>
      <c r="Y5566">
        <v>0.53050180000000002</v>
      </c>
      <c r="Z5566">
        <v>2.2566389999999999E-2</v>
      </c>
      <c r="AA5566">
        <v>0.84738340000000001</v>
      </c>
      <c r="AB5566">
        <v>31</v>
      </c>
      <c r="AC5566">
        <v>2.2081</v>
      </c>
      <c r="AD5566">
        <v>-1.0550375547369999</v>
      </c>
      <c r="AE5566">
        <v>-15.9587</v>
      </c>
      <c r="AF5566">
        <v>8.65672204126178</v>
      </c>
      <c r="AG5566">
        <v>-1.0550375547369999</v>
      </c>
      <c r="AH5566">
        <v>13.5057397242634</v>
      </c>
      <c r="AI5566">
        <v>93.762778656353603</v>
      </c>
      <c r="AJ5566">
        <v>57.341503071535101</v>
      </c>
      <c r="AK5566">
        <v>16.076596226848501</v>
      </c>
      <c r="AL5566">
        <v>81.555437515232796</v>
      </c>
      <c r="AM5566">
        <v>69.156789719093197</v>
      </c>
      <c r="AN5566">
        <v>0.99999998086224895</v>
      </c>
    </row>
    <row r="5567" spans="1:40" x14ac:dyDescent="0.25">
      <c r="A5567" t="str">
        <f>"20190303162929925"</f>
        <v>20190303162929925</v>
      </c>
      <c r="B5567" t="str">
        <f>"1551601769917758"</f>
        <v>1551601769917758</v>
      </c>
      <c r="C5567" t="s">
        <v>40</v>
      </c>
      <c r="D5567">
        <v>5.3238519999999996</v>
      </c>
      <c r="E5567">
        <v>0.58467959999999997</v>
      </c>
      <c r="F5567" t="s">
        <v>41</v>
      </c>
      <c r="G5567">
        <v>-303.40969999999999</v>
      </c>
      <c r="H5567" s="1">
        <v>-1.6777639999999999E-6</v>
      </c>
      <c r="I5567">
        <v>-7.8326500000000001</v>
      </c>
      <c r="J5567">
        <v>-305.64400000000001</v>
      </c>
      <c r="K5567">
        <v>1.055042</v>
      </c>
      <c r="L5567">
        <v>9.6224980000000002</v>
      </c>
      <c r="M5567">
        <v>0.63583480000000003</v>
      </c>
      <c r="N5567">
        <v>-1.5076880000000001E-2</v>
      </c>
      <c r="O5567">
        <v>-0.77167799999999998</v>
      </c>
      <c r="P5567">
        <v>0.32556950000000001</v>
      </c>
      <c r="Q5567">
        <v>0.14821589999999901</v>
      </c>
      <c r="R5567">
        <v>-0.93382900000000002</v>
      </c>
      <c r="S5567">
        <v>0.42407230000000001</v>
      </c>
      <c r="T5567">
        <v>-0.18498890000000001</v>
      </c>
      <c r="U5567">
        <v>-3.1026919999999998</v>
      </c>
      <c r="V5567">
        <v>0.3485103</v>
      </c>
      <c r="W5567">
        <v>0.14898310000000001</v>
      </c>
      <c r="X5567">
        <v>0.92538889999999996</v>
      </c>
      <c r="Y5567">
        <v>0.52514910000000004</v>
      </c>
      <c r="Z5567">
        <v>2.0540570000000001E-2</v>
      </c>
      <c r="AA5567">
        <v>0.85076229999999997</v>
      </c>
      <c r="AB5567">
        <v>31</v>
      </c>
      <c r="AC5567">
        <v>2.2343000000000202</v>
      </c>
      <c r="AD5567">
        <v>-1.055043677764</v>
      </c>
      <c r="AE5567">
        <v>-17.455148000000001</v>
      </c>
      <c r="AF5567">
        <v>9.3419160608643494</v>
      </c>
      <c r="AG5567">
        <v>-1.055043677764</v>
      </c>
      <c r="AH5567">
        <v>14.838753456159401</v>
      </c>
      <c r="AI5567">
        <v>93.443304891236906</v>
      </c>
      <c r="AJ5567">
        <v>57.807038904480002</v>
      </c>
      <c r="AK5567">
        <v>17.566249371533701</v>
      </c>
      <c r="AL5567">
        <v>81.431999717319798</v>
      </c>
      <c r="AM5567">
        <v>69.363146662474094</v>
      </c>
      <c r="AN5567">
        <v>1.00000000476745</v>
      </c>
    </row>
    <row r="5568" spans="1:40" x14ac:dyDescent="0.25">
      <c r="A5568" t="str">
        <f>"20190303162929948"</f>
        <v>20190303162929948</v>
      </c>
      <c r="B5568" t="str">
        <f>"1551601769937279"</f>
        <v>1551601769937279</v>
      </c>
      <c r="C5568" t="s">
        <v>40</v>
      </c>
      <c r="D5568">
        <v>5.3920830000000004</v>
      </c>
      <c r="E5568">
        <v>0.58439659999999904</v>
      </c>
      <c r="F5568" t="s">
        <v>41</v>
      </c>
      <c r="G5568">
        <v>-303.35309999999998</v>
      </c>
      <c r="H5568" s="1">
        <v>-1.2375819999999999E-6</v>
      </c>
      <c r="I5568">
        <v>-8.7319809999999993</v>
      </c>
      <c r="J5568">
        <v>-305.45760000000001</v>
      </c>
      <c r="K5568">
        <v>1.0550580000000001</v>
      </c>
      <c r="L5568">
        <v>9.3699340000000007</v>
      </c>
      <c r="M5568">
        <v>0.6211084</v>
      </c>
      <c r="N5568">
        <v>-1.505982E-2</v>
      </c>
      <c r="O5568">
        <v>-0.7835799</v>
      </c>
      <c r="P5568">
        <v>0.3107876</v>
      </c>
      <c r="Q5568">
        <v>0.14917659999999999</v>
      </c>
      <c r="R5568">
        <v>-0.93869979999999997</v>
      </c>
      <c r="S5568">
        <v>0.38763429999999999</v>
      </c>
      <c r="T5568">
        <v>-0.17852460000000001</v>
      </c>
      <c r="U5568">
        <v>-3.1057739999999998</v>
      </c>
      <c r="V5568">
        <v>0.34552280000000002</v>
      </c>
      <c r="W5568">
        <v>0.15007309999999999</v>
      </c>
      <c r="X5568">
        <v>0.92633259999999995</v>
      </c>
      <c r="Y5568">
        <v>0.51897450000000001</v>
      </c>
      <c r="Z5568">
        <v>2.0332309999999999E-2</v>
      </c>
      <c r="AA5568">
        <v>0.85454789999999903</v>
      </c>
      <c r="AB5568">
        <v>31</v>
      </c>
      <c r="AC5568">
        <v>2.10450000000003</v>
      </c>
      <c r="AD5568">
        <v>-1.055059237582</v>
      </c>
      <c r="AE5568">
        <v>-18.101915000000002</v>
      </c>
      <c r="AF5568">
        <v>9.5632424151578199</v>
      </c>
      <c r="AG5568">
        <v>-1.055059237582</v>
      </c>
      <c r="AH5568">
        <v>15.4414210708343</v>
      </c>
      <c r="AI5568">
        <v>93.324490556383907</v>
      </c>
      <c r="AJ5568">
        <v>58.229073736320601</v>
      </c>
      <c r="AK5568">
        <v>18.193576893307299</v>
      </c>
      <c r="AL5568">
        <v>81.368837282299395</v>
      </c>
      <c r="AM5568">
        <v>69.544444420429002</v>
      </c>
      <c r="AN5568">
        <v>1.0000000132430999</v>
      </c>
    </row>
    <row r="5569" spans="1:40" x14ac:dyDescent="0.25">
      <c r="A5569" t="str">
        <f>"20190303162929970"</f>
        <v>20190303162929970</v>
      </c>
      <c r="B5569" t="str">
        <f>"1551601769957775"</f>
        <v>1551601769957775</v>
      </c>
      <c r="C5569" t="s">
        <v>40</v>
      </c>
      <c r="D5569">
        <v>5.3712819999999999</v>
      </c>
      <c r="E5569">
        <v>0.58284530000000001</v>
      </c>
      <c r="F5569" t="s">
        <v>41</v>
      </c>
      <c r="G5569">
        <v>-303.3725</v>
      </c>
      <c r="H5569" s="1">
        <v>-7.8425189999999996E-7</v>
      </c>
      <c r="I5569">
        <v>-9.7018950000000004</v>
      </c>
      <c r="J5569">
        <v>-305.27769999999998</v>
      </c>
      <c r="K5569">
        <v>1.0550809999999999</v>
      </c>
      <c r="L5569">
        <v>9.1164249999999996</v>
      </c>
      <c r="M5569">
        <v>0.60635159999999999</v>
      </c>
      <c r="N5569">
        <v>-1.504138E-2</v>
      </c>
      <c r="O5569">
        <v>-0.79505439999999905</v>
      </c>
      <c r="P5569">
        <v>0.29616520000000002</v>
      </c>
      <c r="Q5569">
        <v>0.14911140000000001</v>
      </c>
      <c r="R5569">
        <v>-0.94342539999999997</v>
      </c>
      <c r="S5569">
        <v>0.3400879</v>
      </c>
      <c r="T5569">
        <v>-0.1720824</v>
      </c>
      <c r="U5569">
        <v>-3.1106569999999998</v>
      </c>
      <c r="V5569">
        <v>0.34258369999999999</v>
      </c>
      <c r="W5569">
        <v>0.1501439</v>
      </c>
      <c r="X5569">
        <v>0.92741209999999996</v>
      </c>
      <c r="Y5569">
        <v>0.51606260000000004</v>
      </c>
      <c r="Z5569">
        <v>1.9930010000000001E-2</v>
      </c>
      <c r="AA5569">
        <v>0.85631900000000005</v>
      </c>
      <c r="AB5569">
        <v>31</v>
      </c>
      <c r="AC5569">
        <v>1.90519999999998</v>
      </c>
      <c r="AD5569">
        <v>-1.0550817842519</v>
      </c>
      <c r="AE5569">
        <v>-18.81832</v>
      </c>
      <c r="AF5569">
        <v>9.8662008628888795</v>
      </c>
      <c r="AG5569">
        <v>-1.0550817842519</v>
      </c>
      <c r="AH5569">
        <v>16.068633686039899</v>
      </c>
      <c r="AI5569">
        <v>93.202654615434497</v>
      </c>
      <c r="AJ5569">
        <v>58.449920205327402</v>
      </c>
      <c r="AK5569">
        <v>18.885341023515199</v>
      </c>
      <c r="AL5569">
        <v>81.364734073318601</v>
      </c>
      <c r="AM5569">
        <v>69.725896742087897</v>
      </c>
      <c r="AN5569">
        <v>0.99999999271965401</v>
      </c>
    </row>
    <row r="5570" spans="1:40" x14ac:dyDescent="0.25">
      <c r="A5570" t="str">
        <f>"20190303162929992"</f>
        <v>20190303162929992</v>
      </c>
      <c r="B5570" t="str">
        <f>"1551601769987054"</f>
        <v>1551601769987054</v>
      </c>
      <c r="C5570" t="s">
        <v>40</v>
      </c>
      <c r="D5570">
        <v>5.4118599999999999</v>
      </c>
      <c r="E5570">
        <v>0.5813815</v>
      </c>
      <c r="F5570" t="s">
        <v>41</v>
      </c>
      <c r="G5570">
        <v>-303.42540000000002</v>
      </c>
      <c r="H5570" s="1">
        <v>-6.7612200000000005E-7</v>
      </c>
      <c r="I5570">
        <v>-9.9604420000000005</v>
      </c>
      <c r="J5570">
        <v>-305.09789999999998</v>
      </c>
      <c r="K5570">
        <v>1.055123</v>
      </c>
      <c r="L5570">
        <v>8.8528439999999993</v>
      </c>
      <c r="M5570">
        <v>0.59105030000000003</v>
      </c>
      <c r="N5570">
        <v>-1.501885E-2</v>
      </c>
      <c r="O5570">
        <v>-0.80649510000000002</v>
      </c>
      <c r="P5570">
        <v>0.281362099999999</v>
      </c>
      <c r="Q5570">
        <v>0.14945349999999999</v>
      </c>
      <c r="R5570">
        <v>-0.94789190000000001</v>
      </c>
      <c r="S5570">
        <v>0.30218509999999998</v>
      </c>
      <c r="T5570">
        <v>-0.17212839999999999</v>
      </c>
      <c r="U5570">
        <v>-3.112244</v>
      </c>
      <c r="V5570">
        <v>0.33933590000000002</v>
      </c>
      <c r="W5570">
        <v>0.15064350000000001</v>
      </c>
      <c r="X5570">
        <v>0.92852449999999997</v>
      </c>
      <c r="Y5570">
        <v>0.51006249999999997</v>
      </c>
      <c r="Z5570">
        <v>2.0896769999999999E-2</v>
      </c>
      <c r="AA5570">
        <v>0.85988349999999902</v>
      </c>
      <c r="AB5570">
        <v>31</v>
      </c>
      <c r="AC5570">
        <v>1.6724999999999499</v>
      </c>
      <c r="AD5570">
        <v>-1.055123676122</v>
      </c>
      <c r="AE5570">
        <v>-18.813285999999898</v>
      </c>
      <c r="AF5570">
        <v>9.7414350765034694</v>
      </c>
      <c r="AG5570">
        <v>-1.055123676122</v>
      </c>
      <c r="AH5570">
        <v>16.112890390174101</v>
      </c>
      <c r="AI5570">
        <v>93.207385510371793</v>
      </c>
      <c r="AJ5570">
        <v>58.843931820232598</v>
      </c>
      <c r="AK5570">
        <v>18.858262911716199</v>
      </c>
      <c r="AL5570">
        <v>81.335780124503202</v>
      </c>
      <c r="AM5570">
        <v>69.924808736088593</v>
      </c>
      <c r="AN5570">
        <v>1.0000000321106499</v>
      </c>
    </row>
    <row r="5571" spans="1:40" x14ac:dyDescent="0.25">
      <c r="A5571" t="str">
        <f>"20190303162930015"</f>
        <v>20190303162930015</v>
      </c>
      <c r="B5571" t="str">
        <f>"1551601770007317"</f>
        <v>1551601770007317</v>
      </c>
      <c r="C5571" t="s">
        <v>40</v>
      </c>
      <c r="D5571">
        <v>5.419143</v>
      </c>
      <c r="E5571">
        <v>0.5810128</v>
      </c>
      <c r="F5571" t="s">
        <v>41</v>
      </c>
      <c r="G5571">
        <v>-303.45839999999998</v>
      </c>
      <c r="H5571" s="1">
        <v>-4.8624929999999996E-6</v>
      </c>
      <c r="I5571">
        <v>-10.527229999999999</v>
      </c>
      <c r="J5571">
        <v>-304.92770000000002</v>
      </c>
      <c r="K5571">
        <v>1.055172</v>
      </c>
      <c r="L5571">
        <v>8.5930789999999995</v>
      </c>
      <c r="M5571">
        <v>0.5760419</v>
      </c>
      <c r="N5571">
        <v>-1.499092E-2</v>
      </c>
      <c r="O5571">
        <v>-0.81728269999999903</v>
      </c>
      <c r="P5571">
        <v>0.26712639999999999</v>
      </c>
      <c r="Q5571">
        <v>0.14756340000000001</v>
      </c>
      <c r="R5571">
        <v>-0.95229660000000005</v>
      </c>
      <c r="S5571">
        <v>0.2633972</v>
      </c>
      <c r="T5571">
        <v>-0.169509299999999</v>
      </c>
      <c r="U5571">
        <v>-3.113464</v>
      </c>
      <c r="V5571">
        <v>0.336151599999999</v>
      </c>
      <c r="W5571">
        <v>0.1489222</v>
      </c>
      <c r="X5571">
        <v>0.92995930000000004</v>
      </c>
      <c r="Y5571">
        <v>0.5048262</v>
      </c>
      <c r="Z5571">
        <v>2.1248610000000001E-2</v>
      </c>
      <c r="AA5571">
        <v>0.86295940000000004</v>
      </c>
      <c r="AB5571">
        <v>31</v>
      </c>
      <c r="AC5571">
        <v>1.46930000000003</v>
      </c>
      <c r="AD5571">
        <v>-1.055176862493</v>
      </c>
      <c r="AE5571">
        <v>-19.120308999999999</v>
      </c>
      <c r="AF5571">
        <v>9.7847438036159105</v>
      </c>
      <c r="AG5571">
        <v>-1.055176862493</v>
      </c>
      <c r="AH5571">
        <v>16.425197814465999</v>
      </c>
      <c r="AI5571">
        <v>93.158980869686303</v>
      </c>
      <c r="AJ5571">
        <v>59.217090370180003</v>
      </c>
      <c r="AK5571">
        <v>19.1478910785987</v>
      </c>
      <c r="AL5571">
        <v>81.435528438000105</v>
      </c>
      <c r="AM5571">
        <v>70.126639939417402</v>
      </c>
      <c r="AN5571">
        <v>1.0000000097459401</v>
      </c>
    </row>
    <row r="5572" spans="1:40" x14ac:dyDescent="0.25">
      <c r="A5572" t="str">
        <f>"20190303162930036"</f>
        <v>20190303162930036</v>
      </c>
      <c r="B5572" t="str">
        <f>"1551601770027813"</f>
        <v>1551601770027813</v>
      </c>
      <c r="C5572" t="s">
        <v>40</v>
      </c>
      <c r="D5572">
        <v>5.41214</v>
      </c>
      <c r="E5572">
        <v>0.563079199999999</v>
      </c>
      <c r="F5572" t="s">
        <v>41</v>
      </c>
      <c r="G5572">
        <v>-303.6148</v>
      </c>
      <c r="H5572" s="1">
        <v>-7.427899E-7</v>
      </c>
      <c r="I5572">
        <v>-9.9260260000000002</v>
      </c>
      <c r="J5572">
        <v>-304.7629</v>
      </c>
      <c r="K5572">
        <v>1.0552410000000001</v>
      </c>
      <c r="L5572">
        <v>8.3312989999999996</v>
      </c>
      <c r="M5572">
        <v>0.56102079999999999</v>
      </c>
      <c r="N5572">
        <v>-1.4955400000000001E-2</v>
      </c>
      <c r="O5572">
        <v>-0.82766659999999903</v>
      </c>
      <c r="P5572">
        <v>0.2530229</v>
      </c>
      <c r="Q5572">
        <v>0.1447408</v>
      </c>
      <c r="R5572">
        <v>-0.95657190000000003</v>
      </c>
      <c r="S5572">
        <v>0.2208862</v>
      </c>
      <c r="T5572">
        <v>-0.17753139999999901</v>
      </c>
      <c r="U5572">
        <v>-3.1158139999999999</v>
      </c>
      <c r="V5572">
        <v>0.33300619999999997</v>
      </c>
      <c r="W5572">
        <v>0.14628070000000001</v>
      </c>
      <c r="X5572">
        <v>0.93150889999999997</v>
      </c>
      <c r="Y5572">
        <v>0.50081030000000004</v>
      </c>
      <c r="Z5572">
        <v>2.3813190000000001E-2</v>
      </c>
      <c r="AA5572">
        <v>0.86522940000000004</v>
      </c>
      <c r="AB5572">
        <v>31</v>
      </c>
      <c r="AC5572">
        <v>1.1480999999999899</v>
      </c>
      <c r="AD5572">
        <v>-1.0552417427898999</v>
      </c>
      <c r="AE5572">
        <v>-18.257325000000002</v>
      </c>
      <c r="AF5572">
        <v>9.2627129093877194</v>
      </c>
      <c r="AG5572">
        <v>-1.0552417427898999</v>
      </c>
      <c r="AH5572">
        <v>15.7045915496715</v>
      </c>
      <c r="AI5572">
        <v>93.312370763069396</v>
      </c>
      <c r="AJ5572">
        <v>59.467504147615898</v>
      </c>
      <c r="AK5572">
        <v>18.263230308997301</v>
      </c>
      <c r="AL5572">
        <v>81.588551289221996</v>
      </c>
      <c r="AM5572">
        <v>70.328478957222401</v>
      </c>
      <c r="AN5572">
        <v>1.0000000016050601</v>
      </c>
    </row>
    <row r="5573" spans="1:40" x14ac:dyDescent="0.25">
      <c r="A5573" t="str">
        <f>"20190303162930062"</f>
        <v>20190303162930062</v>
      </c>
      <c r="B5573" t="str">
        <f>"1551601770057094"</f>
        <v>1551601770057094</v>
      </c>
      <c r="C5573" t="s">
        <v>40</v>
      </c>
      <c r="D5573">
        <v>5.4479629999999997</v>
      </c>
      <c r="E5573">
        <v>0.56217740000000005</v>
      </c>
      <c r="F5573" t="s">
        <v>41</v>
      </c>
      <c r="G5573">
        <v>-303.18209999999999</v>
      </c>
      <c r="H5573" s="1">
        <v>-1.9423949999999999E-6</v>
      </c>
      <c r="I5573">
        <v>-7.144692</v>
      </c>
      <c r="J5573">
        <v>-304.57249999999999</v>
      </c>
      <c r="K5573">
        <v>1.055374</v>
      </c>
      <c r="L5573">
        <v>8.0162960000000005</v>
      </c>
      <c r="M5573">
        <v>0.54308919999999905</v>
      </c>
      <c r="N5573">
        <v>-1.4903309999999999E-2</v>
      </c>
      <c r="O5573">
        <v>-0.83954300000000004</v>
      </c>
      <c r="P5573">
        <v>0.23667179999999999</v>
      </c>
      <c r="Q5573">
        <v>0.14271110000000001</v>
      </c>
      <c r="R5573">
        <v>-0.96105209999999996</v>
      </c>
      <c r="S5573">
        <v>0.31509399999999999</v>
      </c>
      <c r="T5573">
        <v>-0.21033180000000001</v>
      </c>
      <c r="U5573">
        <v>-3.084686</v>
      </c>
      <c r="V5573">
        <v>0.32888269999999997</v>
      </c>
      <c r="W5573">
        <v>0.1444955</v>
      </c>
      <c r="X5573">
        <v>0.93325089999999999</v>
      </c>
      <c r="Y5573">
        <v>0.45470500000000003</v>
      </c>
      <c r="Z5573">
        <v>3.355843E-2</v>
      </c>
      <c r="AA5573">
        <v>0.89000959999999996</v>
      </c>
      <c r="AB5573">
        <v>31</v>
      </c>
      <c r="AC5573">
        <v>1.3903999999999901</v>
      </c>
      <c r="AD5573">
        <v>-1.055375942395</v>
      </c>
      <c r="AE5573">
        <v>-15.160988</v>
      </c>
      <c r="AF5573">
        <v>7.0334536359548698</v>
      </c>
      <c r="AG5573">
        <v>-1.055375942395</v>
      </c>
      <c r="AH5573">
        <v>13.4204179135409</v>
      </c>
      <c r="AI5573">
        <v>93.9844160582564</v>
      </c>
      <c r="AJ5573">
        <v>62.341594067029099</v>
      </c>
      <c r="AK5573">
        <v>15.188512284058699</v>
      </c>
      <c r="AL5573">
        <v>81.691934283289399</v>
      </c>
      <c r="AM5573">
        <v>70.587264763280103</v>
      </c>
      <c r="AN5573">
        <v>1.0000000111151699</v>
      </c>
    </row>
    <row r="5574" spans="1:40" x14ac:dyDescent="0.25">
      <c r="A5574" t="str">
        <f>"20190303162930083"</f>
        <v>20190303162930083</v>
      </c>
      <c r="B5574" t="str">
        <f>"1551601770077589"</f>
        <v>1551601770077589</v>
      </c>
      <c r="C5574" t="s">
        <v>40</v>
      </c>
      <c r="D5574">
        <v>5.4374520000000004</v>
      </c>
      <c r="E5574">
        <v>0.56118690000000004</v>
      </c>
      <c r="F5574" t="s">
        <v>41</v>
      </c>
      <c r="G5574">
        <v>-303.19779999999997</v>
      </c>
      <c r="H5574" s="1">
        <v>-1.6241390000000001E-6</v>
      </c>
      <c r="I5574">
        <v>-7.82681</v>
      </c>
      <c r="J5574">
        <v>-304.43430000000001</v>
      </c>
      <c r="K5574">
        <v>1.0554969999999999</v>
      </c>
      <c r="L5574">
        <v>7.7769170000000001</v>
      </c>
      <c r="M5574">
        <v>0.52962889999999996</v>
      </c>
      <c r="N5574">
        <v>-1.485642E-2</v>
      </c>
      <c r="O5574">
        <v>-0.84809939999999995</v>
      </c>
      <c r="P5574">
        <v>0.22617809999999999</v>
      </c>
      <c r="Q5574">
        <v>0.14297309999999999</v>
      </c>
      <c r="R5574">
        <v>-0.96353630000000001</v>
      </c>
      <c r="S5574">
        <v>0.26779170000000002</v>
      </c>
      <c r="T5574">
        <v>-0.2055814</v>
      </c>
      <c r="U5574">
        <v>-3.0861510000000001</v>
      </c>
      <c r="V5574">
        <v>0.32410159999999999</v>
      </c>
      <c r="W5574">
        <v>0.14501979999999901</v>
      </c>
      <c r="X5574">
        <v>0.93484089999999997</v>
      </c>
      <c r="Y5574">
        <v>0.45407330000000001</v>
      </c>
      <c r="Z5574">
        <v>3.3286120000000002E-2</v>
      </c>
      <c r="AA5574">
        <v>0.89034239999999998</v>
      </c>
      <c r="AB5574">
        <v>31</v>
      </c>
      <c r="AC5574">
        <v>1.2365000000000299</v>
      </c>
      <c r="AD5574">
        <v>-1.0554986241390001</v>
      </c>
      <c r="AE5574">
        <v>-15.603726999999999</v>
      </c>
      <c r="AF5574">
        <v>7.1836408453363196</v>
      </c>
      <c r="AG5574">
        <v>-1.0554986241390001</v>
      </c>
      <c r="AH5574">
        <v>13.827056233676201</v>
      </c>
      <c r="AI5574">
        <v>93.875252501687399</v>
      </c>
      <c r="AJ5574">
        <v>62.546540269289302</v>
      </c>
      <c r="AK5574">
        <v>15.6174984305934</v>
      </c>
      <c r="AL5574">
        <v>81.661574646358304</v>
      </c>
      <c r="AM5574">
        <v>70.878992206622797</v>
      </c>
      <c r="AN5574">
        <v>1.0000000489137</v>
      </c>
    </row>
    <row r="5575" spans="1:40" x14ac:dyDescent="0.25">
      <c r="A5575" t="str">
        <f>"20190303162930105"</f>
        <v>20190303162930105</v>
      </c>
      <c r="B5575" t="str">
        <f>"1551601770097109"</f>
        <v>1551601770097109</v>
      </c>
      <c r="C5575" t="s">
        <v>40</v>
      </c>
      <c r="D5575">
        <v>5.4144519999999998</v>
      </c>
      <c r="E5575">
        <v>0.56074239999999997</v>
      </c>
      <c r="F5575" t="s">
        <v>41</v>
      </c>
      <c r="G5575">
        <v>-303.24509999999998</v>
      </c>
      <c r="H5575" s="1">
        <v>-1.822029E-6</v>
      </c>
      <c r="I5575">
        <v>-7.4347989999999999</v>
      </c>
      <c r="J5575">
        <v>-304.2842</v>
      </c>
      <c r="K5575">
        <v>1.0556570000000001</v>
      </c>
      <c r="L5575">
        <v>7.506958</v>
      </c>
      <c r="M5575">
        <v>0.5146136</v>
      </c>
      <c r="N5575">
        <v>-1.479922E-2</v>
      </c>
      <c r="O5575">
        <v>-0.85729460000000002</v>
      </c>
      <c r="P5575">
        <v>0.21513579999999999</v>
      </c>
      <c r="Q5575">
        <v>0.1416955</v>
      </c>
      <c r="R5575">
        <v>-0.96625050000000001</v>
      </c>
      <c r="S5575">
        <v>0.24145510000000001</v>
      </c>
      <c r="T5575">
        <v>-0.21431310000000001</v>
      </c>
      <c r="U5575">
        <v>-3.088654</v>
      </c>
      <c r="V5575">
        <v>0.31831429999999999</v>
      </c>
      <c r="W5575">
        <v>0.14405860000000001</v>
      </c>
      <c r="X5575">
        <v>0.93697549999999996</v>
      </c>
      <c r="Y5575">
        <v>0.44597589999999998</v>
      </c>
      <c r="Z5575">
        <v>3.6365740000000001E-2</v>
      </c>
      <c r="AA5575">
        <v>0.89430589999999999</v>
      </c>
      <c r="AB5575">
        <v>31</v>
      </c>
      <c r="AC5575">
        <v>1.0391000000000099</v>
      </c>
      <c r="AD5575">
        <v>-1.055658822029</v>
      </c>
      <c r="AE5575">
        <v>-14.941757000000001</v>
      </c>
      <c r="AF5575">
        <v>6.7655517473436397</v>
      </c>
      <c r="AG5575">
        <v>-1.055658822029</v>
      </c>
      <c r="AH5575">
        <v>13.2797141601311</v>
      </c>
      <c r="AI5575">
        <v>94.051578295132501</v>
      </c>
      <c r="AJ5575">
        <v>63.0027422724216</v>
      </c>
      <c r="AK5575">
        <v>14.941148355106399</v>
      </c>
      <c r="AL5575">
        <v>81.717231231887197</v>
      </c>
      <c r="AM5575">
        <v>71.2360752555022</v>
      </c>
      <c r="AN5575">
        <v>0.99999998070934903</v>
      </c>
    </row>
    <row r="5576" spans="1:40" x14ac:dyDescent="0.25">
      <c r="A5576" t="str">
        <f>"20190303162930126"</f>
        <v>20190303162930126</v>
      </c>
      <c r="B5576" t="str">
        <f>"1551601770117737"</f>
        <v>1551601770117737</v>
      </c>
      <c r="C5576" t="s">
        <v>40</v>
      </c>
      <c r="D5576">
        <v>5.4141009999999996</v>
      </c>
      <c r="E5576">
        <v>0.55991579999999996</v>
      </c>
      <c r="F5576" t="s">
        <v>41</v>
      </c>
      <c r="G5576">
        <v>-303.24689999999998</v>
      </c>
      <c r="H5576" s="1">
        <v>-1.630781E-6</v>
      </c>
      <c r="I5576">
        <v>-7.840408</v>
      </c>
      <c r="J5576">
        <v>-304.14330000000001</v>
      </c>
      <c r="K5576">
        <v>1.0558270000000001</v>
      </c>
      <c r="L5576">
        <v>7.2431950000000001</v>
      </c>
      <c r="M5576">
        <v>0.50010239999999995</v>
      </c>
      <c r="N5576">
        <v>-1.4741870000000001E-2</v>
      </c>
      <c r="O5576">
        <v>-0.86584079999999997</v>
      </c>
      <c r="P5576">
        <v>0.2063738</v>
      </c>
      <c r="Q5576">
        <v>0.1415507</v>
      </c>
      <c r="R5576">
        <v>-0.96818040000000005</v>
      </c>
      <c r="S5576">
        <v>0.2088013</v>
      </c>
      <c r="T5576">
        <v>-0.21250569999999999</v>
      </c>
      <c r="U5576">
        <v>-3.0894469999999998</v>
      </c>
      <c r="V5576">
        <v>0.31094629999999901</v>
      </c>
      <c r="W5576">
        <v>0.14428650000000001</v>
      </c>
      <c r="X5576">
        <v>0.93941140000000001</v>
      </c>
      <c r="Y5576">
        <v>0.44032739999999998</v>
      </c>
      <c r="Z5576">
        <v>3.6901589999999998E-2</v>
      </c>
      <c r="AA5576">
        <v>0.89707859999999995</v>
      </c>
      <c r="AB5576">
        <v>31</v>
      </c>
      <c r="AC5576">
        <v>0.89640000000002795</v>
      </c>
      <c r="AD5576">
        <v>-1.0558286307809901</v>
      </c>
      <c r="AE5576">
        <v>-15.083603</v>
      </c>
      <c r="AF5576">
        <v>6.7350575712919598</v>
      </c>
      <c r="AG5576">
        <v>-1.0558286307809901</v>
      </c>
      <c r="AH5576">
        <v>13.4441171840837</v>
      </c>
      <c r="AI5576">
        <v>94.016506642180303</v>
      </c>
      <c r="AJ5576">
        <v>63.390647003699598</v>
      </c>
      <c r="AK5576">
        <v>15.073820399804699</v>
      </c>
      <c r="AL5576">
        <v>81.704035716206803</v>
      </c>
      <c r="AM5576">
        <v>71.685394492868795</v>
      </c>
      <c r="AN5576">
        <v>0.99999998700794901</v>
      </c>
    </row>
    <row r="5577" spans="1:40" x14ac:dyDescent="0.25">
      <c r="A5577" t="str">
        <f>"20190303162930147"</f>
        <v>20190303162930147</v>
      </c>
      <c r="B5577" t="str">
        <f>"1551601770137256"</f>
        <v>1551601770137256</v>
      </c>
      <c r="C5577" t="s">
        <v>40</v>
      </c>
      <c r="D5577">
        <v>5.3973529999999998</v>
      </c>
      <c r="E5577">
        <v>0.55998019999999904</v>
      </c>
      <c r="F5577" t="s">
        <v>41</v>
      </c>
      <c r="G5577">
        <v>-303.20249999999999</v>
      </c>
      <c r="H5577" s="1">
        <v>-1.3688280000000001E-6</v>
      </c>
      <c r="I5577">
        <v>-8.369586</v>
      </c>
      <c r="J5577">
        <v>-304.00170000000003</v>
      </c>
      <c r="K5577">
        <v>1.0559989999999999</v>
      </c>
      <c r="L5577">
        <v>6.966888</v>
      </c>
      <c r="M5577">
        <v>0.48504799999999998</v>
      </c>
      <c r="N5577">
        <v>-1.468469E-2</v>
      </c>
      <c r="O5577">
        <v>-0.87436420000000004</v>
      </c>
      <c r="P5577">
        <v>0.19808100000000001</v>
      </c>
      <c r="Q5577">
        <v>0.14432029999999901</v>
      </c>
      <c r="R5577">
        <v>-0.9695028</v>
      </c>
      <c r="S5577">
        <v>0.18615719999999999</v>
      </c>
      <c r="T5577">
        <v>-0.20892659999999999</v>
      </c>
      <c r="U5577">
        <v>-3.0894469999999998</v>
      </c>
      <c r="V5577">
        <v>0.30255189999999998</v>
      </c>
      <c r="W5577">
        <v>0.147453799999999</v>
      </c>
      <c r="X5577">
        <v>0.941658</v>
      </c>
      <c r="Y5577">
        <v>0.4313399</v>
      </c>
      <c r="Z5577">
        <v>3.7063249999999999E-2</v>
      </c>
      <c r="AA5577">
        <v>0.90142789999999995</v>
      </c>
      <c r="AB5577">
        <v>31</v>
      </c>
      <c r="AC5577">
        <v>0.79920000000004099</v>
      </c>
      <c r="AD5577">
        <v>-1.056000368828</v>
      </c>
      <c r="AE5577">
        <v>-15.3364739999999</v>
      </c>
      <c r="AF5577">
        <v>6.7091387519216799</v>
      </c>
      <c r="AG5577">
        <v>-1.056000368828</v>
      </c>
      <c r="AH5577">
        <v>13.733865362812301</v>
      </c>
      <c r="AI5577">
        <v>93.952131299200005</v>
      </c>
      <c r="AJ5577">
        <v>63.964000745015198</v>
      </c>
      <c r="AK5577">
        <v>15.321446973943299</v>
      </c>
      <c r="AL5577">
        <v>81.520601025954406</v>
      </c>
      <c r="AM5577">
        <v>72.187943390710004</v>
      </c>
      <c r="AN5577">
        <v>1.0000000321460201</v>
      </c>
    </row>
    <row r="5578" spans="1:40" x14ac:dyDescent="0.25">
      <c r="A5578" t="str">
        <f>"20190303162930172"</f>
        <v>20190303162930172</v>
      </c>
      <c r="B5578" t="str">
        <f>"1551601770167513"</f>
        <v>1551601770167513</v>
      </c>
      <c r="C5578" t="s">
        <v>40</v>
      </c>
      <c r="D5578">
        <v>5.4269489999999996</v>
      </c>
      <c r="E5578">
        <v>0.5594633</v>
      </c>
      <c r="F5578" t="s">
        <v>41</v>
      </c>
      <c r="G5578">
        <v>-303.12740000000002</v>
      </c>
      <c r="H5578" s="1">
        <v>-4.870325E-7</v>
      </c>
      <c r="I5578">
        <v>-10.1927</v>
      </c>
      <c r="J5578">
        <v>-303.85550000000001</v>
      </c>
      <c r="K5578">
        <v>1.056163</v>
      </c>
      <c r="L5578">
        <v>6.6687929999999902</v>
      </c>
      <c r="M5578">
        <v>0.46894259999999899</v>
      </c>
      <c r="N5578">
        <v>-1.4629919999999999E-2</v>
      </c>
      <c r="O5578">
        <v>-0.88310759999999899</v>
      </c>
      <c r="P5578">
        <v>0.18762429999999999</v>
      </c>
      <c r="Q5578">
        <v>0.14907570000000001</v>
      </c>
      <c r="R5578">
        <v>-0.97086269999999997</v>
      </c>
      <c r="S5578">
        <v>0.15747069999999999</v>
      </c>
      <c r="T5578">
        <v>-0.1901882</v>
      </c>
      <c r="U5578">
        <v>-3.0904850000000001</v>
      </c>
      <c r="V5578">
        <v>0.29519759999999901</v>
      </c>
      <c r="W5578">
        <v>0.1525463</v>
      </c>
      <c r="X5578">
        <v>0.94317969999999896</v>
      </c>
      <c r="Y5578">
        <v>0.42318099999999997</v>
      </c>
      <c r="Z5578">
        <v>3.3373609999999998E-2</v>
      </c>
      <c r="AA5578">
        <v>0.90543030000000002</v>
      </c>
      <c r="AB5578">
        <v>31</v>
      </c>
      <c r="AC5578">
        <v>0.72809999999998298</v>
      </c>
      <c r="AD5578">
        <v>-1.0561634870325001</v>
      </c>
      <c r="AE5578">
        <v>-16.861492999999999</v>
      </c>
      <c r="AF5578">
        <v>7.2365189788151101</v>
      </c>
      <c r="AG5578">
        <v>-1.0561634870325001</v>
      </c>
      <c r="AH5578">
        <v>15.174153794617</v>
      </c>
      <c r="AI5578">
        <v>93.594845965038004</v>
      </c>
      <c r="AJ5578">
        <v>64.503633275716197</v>
      </c>
      <c r="AK5578">
        <v>16.844513398278401</v>
      </c>
      <c r="AL5578">
        <v>81.225482429056598</v>
      </c>
      <c r="AM5578">
        <v>72.620856248279296</v>
      </c>
      <c r="AN5578">
        <v>0.99999997159076903</v>
      </c>
    </row>
    <row r="5579" spans="1:40" x14ac:dyDescent="0.25">
      <c r="A5579" t="str">
        <f>"20190303162930194"</f>
        <v>20190303162930194</v>
      </c>
      <c r="B5579" t="str">
        <f>"1551601770187033"</f>
        <v>1551601770187033</v>
      </c>
      <c r="C5579" t="s">
        <v>40</v>
      </c>
      <c r="D5579">
        <v>5.4714519999999904</v>
      </c>
      <c r="E5579">
        <v>0.55862979999999995</v>
      </c>
      <c r="F5579" t="s">
        <v>41</v>
      </c>
      <c r="G5579">
        <v>-303.04090000000002</v>
      </c>
      <c r="H5579" s="1">
        <v>-3.8789530000000002E-6</v>
      </c>
      <c r="I5579">
        <v>-13.199809999999999</v>
      </c>
      <c r="J5579">
        <v>-303.72340000000003</v>
      </c>
      <c r="K5579">
        <v>1.0562849999999999</v>
      </c>
      <c r="L5579">
        <v>6.3874209999999998</v>
      </c>
      <c r="M5579">
        <v>0.45384269999999999</v>
      </c>
      <c r="N5579">
        <v>-1.458539E-2</v>
      </c>
      <c r="O5579">
        <v>-0.8909627</v>
      </c>
      <c r="P5579">
        <v>0.17720469999999999</v>
      </c>
      <c r="Q5579">
        <v>0.153440299999999</v>
      </c>
      <c r="R5579">
        <v>-0.97213970000000005</v>
      </c>
      <c r="S5579">
        <v>0.12670899999999999</v>
      </c>
      <c r="T5579">
        <v>-0.1642989</v>
      </c>
      <c r="U5579">
        <v>-3.0907900000000001</v>
      </c>
      <c r="V5579">
        <v>0.28904249999999998</v>
      </c>
      <c r="W5579">
        <v>0.15717979999999901</v>
      </c>
      <c r="X5579">
        <v>0.94432459999999996</v>
      </c>
      <c r="Y5579">
        <v>0.41678219999999999</v>
      </c>
      <c r="Z5579">
        <v>2.7580440000000001E-2</v>
      </c>
      <c r="AA5579">
        <v>0.9085879</v>
      </c>
      <c r="AB5579">
        <v>31</v>
      </c>
      <c r="AC5579">
        <v>0.68250000000000399</v>
      </c>
      <c r="AD5579">
        <v>-1.0562888789530001</v>
      </c>
      <c r="AE5579">
        <v>-19.587230999999999</v>
      </c>
      <c r="AF5579">
        <v>8.2583313716878202</v>
      </c>
      <c r="AG5579">
        <v>-1.0562888789530001</v>
      </c>
      <c r="AH5579">
        <v>17.7116791995463</v>
      </c>
      <c r="AI5579">
        <v>93.093898432017099</v>
      </c>
      <c r="AJ5579">
        <v>65.002020197332399</v>
      </c>
      <c r="AK5579">
        <v>19.5708804939391</v>
      </c>
      <c r="AL5579">
        <v>80.956760576290193</v>
      </c>
      <c r="AM5579">
        <v>72.981496990333298</v>
      </c>
      <c r="AN5579">
        <v>1.00000000324972</v>
      </c>
    </row>
    <row r="5580" spans="1:40" x14ac:dyDescent="0.25">
      <c r="A5580" t="str">
        <f>"20190303162930215"</f>
        <v>20190303162930215</v>
      </c>
      <c r="B5580" t="str">
        <f>"1551601770207528"</f>
        <v>1551601770207528</v>
      </c>
      <c r="C5580" t="s">
        <v>40</v>
      </c>
      <c r="D5580">
        <v>5.446936</v>
      </c>
      <c r="E5580">
        <v>0.55862639999999997</v>
      </c>
      <c r="F5580" t="s">
        <v>41</v>
      </c>
      <c r="G5580">
        <v>-302.98910000000001</v>
      </c>
      <c r="H5580" s="1">
        <v>-2.4253220000000001E-6</v>
      </c>
      <c r="I5580">
        <v>-16.611319999999999</v>
      </c>
      <c r="J5580">
        <v>-303.60140000000001</v>
      </c>
      <c r="K5580">
        <v>1.0563659999999999</v>
      </c>
      <c r="L5580">
        <v>6.1161500000000002</v>
      </c>
      <c r="M5580">
        <v>0.43935639999999998</v>
      </c>
      <c r="N5580">
        <v>-1.4548800000000001E-2</v>
      </c>
      <c r="O5580">
        <v>-0.89819509999999902</v>
      </c>
      <c r="P5580">
        <v>0.1665674</v>
      </c>
      <c r="Q5580">
        <v>0.1558195</v>
      </c>
      <c r="R5580">
        <v>-0.97364039999999996</v>
      </c>
      <c r="S5580">
        <v>9.8663329999999994E-2</v>
      </c>
      <c r="T5580">
        <v>-0.1419357</v>
      </c>
      <c r="U5580">
        <v>-3.0903930000000002</v>
      </c>
      <c r="V5580">
        <v>0.283947</v>
      </c>
      <c r="W5580">
        <v>0.15977450000000001</v>
      </c>
      <c r="X5580">
        <v>0.94543440000000001</v>
      </c>
      <c r="Y5580">
        <v>0.41031430000000002</v>
      </c>
      <c r="Z5580">
        <v>2.243943E-2</v>
      </c>
      <c r="AA5580">
        <v>0.91166809999999998</v>
      </c>
      <c r="AB5580">
        <v>31</v>
      </c>
      <c r="AC5580">
        <v>0.61230000000000395</v>
      </c>
      <c r="AD5580">
        <v>-1.05636842532199</v>
      </c>
      <c r="AE5580">
        <v>-22.72747</v>
      </c>
      <c r="AF5580">
        <v>9.4161649090491899</v>
      </c>
      <c r="AG5580">
        <v>-1.05636842532199</v>
      </c>
      <c r="AH5580">
        <v>20.640349323003001</v>
      </c>
      <c r="AI5580">
        <v>92.665952275734099</v>
      </c>
      <c r="AJ5580">
        <v>65.477442076508893</v>
      </c>
      <c r="AK5580">
        <v>22.7113208779238</v>
      </c>
      <c r="AL5580">
        <v>80.806192331689999</v>
      </c>
      <c r="AM5580">
        <v>73.283150389346403</v>
      </c>
      <c r="AN5580">
        <v>0.99999999718130494</v>
      </c>
    </row>
    <row r="5581" spans="1:40" x14ac:dyDescent="0.25">
      <c r="A5581" t="str">
        <f>"20190303162930238"</f>
        <v>20190303162930238</v>
      </c>
      <c r="B5581" t="str">
        <f>"1551601770227048"</f>
        <v>1551601770227048</v>
      </c>
      <c r="C5581" t="s">
        <v>40</v>
      </c>
      <c r="D5581">
        <v>5.4875230000000004</v>
      </c>
      <c r="E5581">
        <v>0.55837859999999995</v>
      </c>
      <c r="F5581" t="s">
        <v>41</v>
      </c>
      <c r="G5581">
        <v>-303.08629999999999</v>
      </c>
      <c r="H5581" s="1">
        <v>-1.661625E-6</v>
      </c>
      <c r="I5581">
        <v>-18.451799999999999</v>
      </c>
      <c r="J5581">
        <v>-303.47669999999999</v>
      </c>
      <c r="K5581">
        <v>1.0564480000000001</v>
      </c>
      <c r="L5581">
        <v>5.825806</v>
      </c>
      <c r="M5581">
        <v>0.42389650000000001</v>
      </c>
      <c r="N5581">
        <v>-1.45162E-2</v>
      </c>
      <c r="O5581">
        <v>-0.90559429999999996</v>
      </c>
      <c r="P5581">
        <v>0.1548023</v>
      </c>
      <c r="Q5581">
        <v>0.15706700000000001</v>
      </c>
      <c r="R5581">
        <v>-0.97538040000000004</v>
      </c>
      <c r="S5581">
        <v>6.4819340000000003E-2</v>
      </c>
      <c r="T5581">
        <v>-0.1329234</v>
      </c>
      <c r="U5581">
        <v>-3.0914000000000001</v>
      </c>
      <c r="V5581">
        <v>0.27907530000000003</v>
      </c>
      <c r="W5581">
        <v>0.16122040000000001</v>
      </c>
      <c r="X5581">
        <v>0.9466388</v>
      </c>
      <c r="Y5581">
        <v>0.40467409999999998</v>
      </c>
      <c r="Z5581">
        <v>2.061176E-2</v>
      </c>
      <c r="AA5581">
        <v>0.91422870000000001</v>
      </c>
      <c r="AB5581">
        <v>31</v>
      </c>
      <c r="AC5581">
        <v>0.39039999999999903</v>
      </c>
      <c r="AD5581">
        <v>-1.0564496616249901</v>
      </c>
      <c r="AE5581">
        <v>-24.277605999999999</v>
      </c>
      <c r="AF5581">
        <v>9.9199160032760503</v>
      </c>
      <c r="AG5581">
        <v>-1.0564496616249901</v>
      </c>
      <c r="AH5581">
        <v>22.111625507632802</v>
      </c>
      <c r="AI5581">
        <v>92.496065378552402</v>
      </c>
      <c r="AJ5581">
        <v>65.837613463425697</v>
      </c>
      <c r="AK5581">
        <v>24.257881234547199</v>
      </c>
      <c r="AL5581">
        <v>80.722260580499906</v>
      </c>
      <c r="AM5581">
        <v>73.574138869942999</v>
      </c>
      <c r="AN5581">
        <v>1.00000002905584</v>
      </c>
    </row>
    <row r="5582" spans="1:40" x14ac:dyDescent="0.25">
      <c r="A5582" t="str">
        <f>"20190303162930262"</f>
        <v>20190303162930262</v>
      </c>
      <c r="B5582" t="str">
        <f>"1551601770257304"</f>
        <v>1551601770257304</v>
      </c>
      <c r="C5582" t="s">
        <v>40</v>
      </c>
      <c r="D5582">
        <v>5.5027249999999999</v>
      </c>
      <c r="E5582">
        <v>0.55782790000000004</v>
      </c>
      <c r="F5582" t="s">
        <v>41</v>
      </c>
      <c r="G5582">
        <v>-303.23559999999998</v>
      </c>
      <c r="H5582" s="1">
        <v>-1.37945E-6</v>
      </c>
      <c r="I5582">
        <v>-19.20215</v>
      </c>
      <c r="J5582">
        <v>-303.34980000000002</v>
      </c>
      <c r="K5582">
        <v>1.0565230000000001</v>
      </c>
      <c r="L5582">
        <v>5.5158389999999997</v>
      </c>
      <c r="M5582">
        <v>0.40741739999999999</v>
      </c>
      <c r="N5582">
        <v>-1.448822E-2</v>
      </c>
      <c r="O5582">
        <v>-0.91312700000000002</v>
      </c>
      <c r="P5582">
        <v>0.1433024</v>
      </c>
      <c r="Q5582">
        <v>0.1572093</v>
      </c>
      <c r="R5582">
        <v>-0.97711289999999995</v>
      </c>
      <c r="S5582">
        <v>2.9785160000000001E-2</v>
      </c>
      <c r="T5582">
        <v>-0.1305162</v>
      </c>
      <c r="U5582">
        <v>-3.0920100000000001</v>
      </c>
      <c r="V5582">
        <v>0.27303159999999999</v>
      </c>
      <c r="W5582">
        <v>0.16160250000000001</v>
      </c>
      <c r="X5582">
        <v>0.94833449999999997</v>
      </c>
      <c r="Y5582">
        <v>0.39846199999999998</v>
      </c>
      <c r="Z5582">
        <v>2.049233E-2</v>
      </c>
      <c r="AA5582">
        <v>0.91695590000000005</v>
      </c>
      <c r="AB5582">
        <v>31</v>
      </c>
      <c r="AC5582">
        <v>0.11420000000003901</v>
      </c>
      <c r="AD5582">
        <v>-1.0565243794500001</v>
      </c>
      <c r="AE5582">
        <v>-24.717988999999999</v>
      </c>
      <c r="AF5582">
        <v>9.9491306162404793</v>
      </c>
      <c r="AG5582">
        <v>-1.0565243794500001</v>
      </c>
      <c r="AH5582">
        <v>22.578317859126901</v>
      </c>
      <c r="AI5582">
        <v>92.451951398430296</v>
      </c>
      <c r="AJ5582">
        <v>66.219322302572294</v>
      </c>
      <c r="AK5582">
        <v>24.695786708083499</v>
      </c>
      <c r="AL5582">
        <v>80.700076450824994</v>
      </c>
      <c r="AM5582">
        <v>73.938550154848699</v>
      </c>
      <c r="AN5582">
        <v>0.99999997324752898</v>
      </c>
    </row>
    <row r="5583" spans="1:40" x14ac:dyDescent="0.25">
      <c r="A5583" t="str">
        <f>"20190303162930286"</f>
        <v>20190303162930286</v>
      </c>
      <c r="B5583" t="str">
        <f>"1551601770277801"</f>
        <v>1551601770277801</v>
      </c>
      <c r="C5583" t="s">
        <v>40</v>
      </c>
      <c r="D5583">
        <v>5.499587</v>
      </c>
      <c r="E5583">
        <v>0.55737049999999999</v>
      </c>
      <c r="F5583" t="s">
        <v>41</v>
      </c>
      <c r="G5583">
        <v>-303.3691</v>
      </c>
      <c r="H5583" s="1">
        <v>-1.539239E-6</v>
      </c>
      <c r="I5583">
        <v>-18.912489999999998</v>
      </c>
      <c r="J5583">
        <v>-303.23270000000002</v>
      </c>
      <c r="K5583">
        <v>1.0565899999999999</v>
      </c>
      <c r="L5583">
        <v>5.2133180000000001</v>
      </c>
      <c r="M5583">
        <v>0.39135370000000003</v>
      </c>
      <c r="N5583">
        <v>-1.446652E-2</v>
      </c>
      <c r="O5583">
        <v>-0.92012660000000002</v>
      </c>
      <c r="P5583">
        <v>0.13352240000000001</v>
      </c>
      <c r="Q5583">
        <v>0.15788440000000001</v>
      </c>
      <c r="R5583">
        <v>-0.97838860000000005</v>
      </c>
      <c r="S5583">
        <v>-2.4414060000000001E-3</v>
      </c>
      <c r="T5583">
        <v>-0.13373470000000001</v>
      </c>
      <c r="U5583">
        <v>-3.092133</v>
      </c>
      <c r="V5583">
        <v>0.26584269999999999</v>
      </c>
      <c r="W5583">
        <v>0.16255810000000001</v>
      </c>
      <c r="X5583">
        <v>0.95021180000000005</v>
      </c>
      <c r="Y5583">
        <v>0.39193699999999998</v>
      </c>
      <c r="Z5583">
        <v>2.185221E-2</v>
      </c>
      <c r="AA5583">
        <v>0.91973249999999995</v>
      </c>
      <c r="AB5583">
        <v>31</v>
      </c>
      <c r="AC5583">
        <v>-0.13639999999998001</v>
      </c>
      <c r="AD5583">
        <v>-1.056591539239</v>
      </c>
      <c r="AE5583">
        <v>-24.125807999999999</v>
      </c>
      <c r="AF5583">
        <v>9.5499147330461103</v>
      </c>
      <c r="AG5583">
        <v>-1.056591539239</v>
      </c>
      <c r="AH5583">
        <v>22.105338291051101</v>
      </c>
      <c r="AI5583">
        <v>92.512433780654007</v>
      </c>
      <c r="AJ5583">
        <v>66.6347630438339</v>
      </c>
      <c r="AK5583">
        <v>24.103179003008101</v>
      </c>
      <c r="AL5583">
        <v>80.644590925228698</v>
      </c>
      <c r="AM5583">
        <v>74.369865504944201</v>
      </c>
      <c r="AN5583">
        <v>0.99999997093906901</v>
      </c>
    </row>
    <row r="5584" spans="1:40" x14ac:dyDescent="0.25">
      <c r="A5584" t="str">
        <f>"20190303162930309"</f>
        <v>20190303162930309</v>
      </c>
      <c r="B5584" t="str">
        <f>"1551601770297321"</f>
        <v>1551601770297321</v>
      </c>
      <c r="C5584" t="s">
        <v>40</v>
      </c>
      <c r="D5584">
        <v>5.5271330000000001</v>
      </c>
      <c r="E5584">
        <v>0.54689200000000004</v>
      </c>
      <c r="F5584" t="s">
        <v>41</v>
      </c>
      <c r="G5584">
        <v>-303.4692</v>
      </c>
      <c r="H5584" s="1">
        <v>-1.4140510000000001E-6</v>
      </c>
      <c r="I5584">
        <v>-19.266390000000001</v>
      </c>
      <c r="J5584">
        <v>-303.12099999999998</v>
      </c>
      <c r="K5584">
        <v>1.0566519999999999</v>
      </c>
      <c r="L5584">
        <v>4.908569</v>
      </c>
      <c r="M5584">
        <v>0.37517250000000002</v>
      </c>
      <c r="N5584">
        <v>-1.4448219999999999E-2</v>
      </c>
      <c r="O5584">
        <v>-0.92684250000000001</v>
      </c>
      <c r="P5584">
        <v>0.12309870000000001</v>
      </c>
      <c r="Q5584">
        <v>0.16035189999999999</v>
      </c>
      <c r="R5584">
        <v>-0.97935410000000001</v>
      </c>
      <c r="S5584">
        <v>-2.9876710000000001E-2</v>
      </c>
      <c r="T5584">
        <v>-0.13345179999999901</v>
      </c>
      <c r="U5584">
        <v>-3.091888</v>
      </c>
      <c r="V5584">
        <v>0.25921149999999998</v>
      </c>
      <c r="W5584">
        <v>0.1652817</v>
      </c>
      <c r="X5584">
        <v>0.95157309999999995</v>
      </c>
      <c r="Y5584">
        <v>0.38396999999999998</v>
      </c>
      <c r="Z5584">
        <v>2.2274829999999999E-2</v>
      </c>
      <c r="AA5584">
        <v>0.92307689999999998</v>
      </c>
      <c r="AB5584">
        <v>31</v>
      </c>
      <c r="AC5584">
        <v>-0.34820000000001899</v>
      </c>
      <c r="AD5584">
        <v>-1.056653414051</v>
      </c>
      <c r="AE5584">
        <v>-24.174959000000001</v>
      </c>
      <c r="AF5584">
        <v>9.3755782662507503</v>
      </c>
      <c r="AG5584">
        <v>-1.056653414051</v>
      </c>
      <c r="AH5584">
        <v>22.235596837608998</v>
      </c>
      <c r="AI5584">
        <v>92.507239374039202</v>
      </c>
      <c r="AJ5584">
        <v>67.137413244501104</v>
      </c>
      <c r="AK5584">
        <v>24.154497531282001</v>
      </c>
      <c r="AL5584">
        <v>80.486400652304297</v>
      </c>
      <c r="AM5584">
        <v>74.762168462461503</v>
      </c>
      <c r="AN5584">
        <v>1.00000000336537</v>
      </c>
    </row>
    <row r="5585" spans="1:40" x14ac:dyDescent="0.25">
      <c r="A5585" t="str">
        <f>"20190303162930331"</f>
        <v>20190303162930331</v>
      </c>
      <c r="B5585" t="str">
        <f>"1551601770327577"</f>
        <v>1551601770327577</v>
      </c>
      <c r="C5585" t="s">
        <v>40</v>
      </c>
      <c r="D5585">
        <v>5.5359730000000003</v>
      </c>
      <c r="E5585">
        <v>0.54727669999999995</v>
      </c>
      <c r="F5585" t="s">
        <v>41</v>
      </c>
      <c r="G5585">
        <v>-302.99970000000002</v>
      </c>
      <c r="H5585" s="1">
        <v>-3.917085E-6</v>
      </c>
      <c r="I5585">
        <v>-13.066280000000001</v>
      </c>
      <c r="J5585">
        <v>-303.01799999999997</v>
      </c>
      <c r="K5585">
        <v>1.05671</v>
      </c>
      <c r="L5585">
        <v>4.6119690000000002</v>
      </c>
      <c r="M5585">
        <v>0.35941289999999998</v>
      </c>
      <c r="N5585">
        <v>-1.443271E-2</v>
      </c>
      <c r="O5585">
        <v>-0.93306719999999999</v>
      </c>
      <c r="P5585">
        <v>0.1120361</v>
      </c>
      <c r="Q5585">
        <v>0.1632285</v>
      </c>
      <c r="R5585">
        <v>-0.98020669999999999</v>
      </c>
      <c r="S5585">
        <v>2.0843509999999999E-2</v>
      </c>
      <c r="T5585">
        <v>-0.18166779999999999</v>
      </c>
      <c r="U5585">
        <v>-3.090363</v>
      </c>
      <c r="V5585">
        <v>0.25372630000000002</v>
      </c>
      <c r="W5585">
        <v>0.16837060000000001</v>
      </c>
      <c r="X5585">
        <v>0.95250950000000001</v>
      </c>
      <c r="Y5585">
        <v>0.3529409</v>
      </c>
      <c r="Z5585">
        <v>3.6522209999999999E-2</v>
      </c>
      <c r="AA5585">
        <v>0.93493250000000006</v>
      </c>
      <c r="AB5585">
        <v>31</v>
      </c>
      <c r="AC5585">
        <v>1.8299999999953801E-2</v>
      </c>
      <c r="AD5585">
        <v>-1.056713917085</v>
      </c>
      <c r="AE5585">
        <v>-17.678248999999902</v>
      </c>
      <c r="AF5585">
        <v>6.31481165716131</v>
      </c>
      <c r="AG5585">
        <v>-1.056713917085</v>
      </c>
      <c r="AH5585">
        <v>16.444531016302498</v>
      </c>
      <c r="AI5585">
        <v>93.432965339145895</v>
      </c>
      <c r="AJ5585">
        <v>68.992871256930599</v>
      </c>
      <c r="AK5585">
        <v>17.646985320844902</v>
      </c>
      <c r="AL5585">
        <v>80.306904408626195</v>
      </c>
      <c r="AM5585">
        <v>75.084096908880099</v>
      </c>
      <c r="AN5585">
        <v>1.0000000209231401</v>
      </c>
    </row>
    <row r="5586" spans="1:40" x14ac:dyDescent="0.25">
      <c r="A5586" t="str">
        <f>"20190303162930353"</f>
        <v>20190303162930353</v>
      </c>
      <c r="B5586" t="str">
        <f>"1551601770347096"</f>
        <v>1551601770347096</v>
      </c>
      <c r="C5586" t="s">
        <v>40</v>
      </c>
      <c r="D5586">
        <v>5.5734059999999896</v>
      </c>
      <c r="E5586">
        <v>0.54698899999999995</v>
      </c>
      <c r="F5586" t="s">
        <v>41</v>
      </c>
      <c r="G5586">
        <v>-303.12209999999999</v>
      </c>
      <c r="H5586" s="1">
        <v>-3.6023939999999999E-6</v>
      </c>
      <c r="I5586">
        <v>-13.95</v>
      </c>
      <c r="J5586">
        <v>-302.91759999999999</v>
      </c>
      <c r="K5586">
        <v>1.0567550000000001</v>
      </c>
      <c r="L5586">
        <v>4.3060910000000003</v>
      </c>
      <c r="M5586">
        <v>0.34314990000000001</v>
      </c>
      <c r="N5586">
        <v>-1.4418139999999999E-2</v>
      </c>
      <c r="O5586">
        <v>-0.9391699</v>
      </c>
      <c r="P5586">
        <v>0.1012223</v>
      </c>
      <c r="Q5586">
        <v>0.163909</v>
      </c>
      <c r="R5586">
        <v>-0.98126840000000004</v>
      </c>
      <c r="S5586">
        <v>-1.7333979999999999E-2</v>
      </c>
      <c r="T5586">
        <v>-0.17601620000000001</v>
      </c>
      <c r="U5586">
        <v>-3.0918580000000002</v>
      </c>
      <c r="V5586">
        <v>0.24763089999999999</v>
      </c>
      <c r="W5586">
        <v>0.16929269999999999</v>
      </c>
      <c r="X5586">
        <v>0.95394909999999999</v>
      </c>
      <c r="Y5586">
        <v>0.34824080000000002</v>
      </c>
      <c r="Z5586">
        <v>3.5466350000000001E-2</v>
      </c>
      <c r="AA5586">
        <v>0.93673399999999996</v>
      </c>
      <c r="AB5586">
        <v>30</v>
      </c>
      <c r="AC5586">
        <v>-0.20449999999999499</v>
      </c>
      <c r="AD5586">
        <v>-1.0567586023940001</v>
      </c>
      <c r="AE5586">
        <v>-18.256091000000001</v>
      </c>
      <c r="AF5586">
        <v>6.4357462141665902</v>
      </c>
      <c r="AG5586">
        <v>-1.0567586023940001</v>
      </c>
      <c r="AH5586">
        <v>17.020151182430201</v>
      </c>
      <c r="AI5586">
        <v>93.323750517355705</v>
      </c>
      <c r="AJ5586">
        <v>69.287136983313204</v>
      </c>
      <c r="AK5586">
        <v>18.226933761597799</v>
      </c>
      <c r="AL5586">
        <v>80.253302137123697</v>
      </c>
      <c r="AM5586">
        <v>75.448056915889197</v>
      </c>
      <c r="AN5586">
        <v>0.99999998314945404</v>
      </c>
    </row>
    <row r="5587" spans="1:40" x14ac:dyDescent="0.25">
      <c r="A5587" t="str">
        <f>"20190303162930376"</f>
        <v>20190303162930376</v>
      </c>
      <c r="B5587" t="str">
        <f>"1551601770367593"</f>
        <v>1551601770367593</v>
      </c>
      <c r="C5587" t="s">
        <v>40</v>
      </c>
      <c r="D5587">
        <v>5.5623259999999997</v>
      </c>
      <c r="E5587">
        <v>0.54658809999999902</v>
      </c>
      <c r="F5587" t="s">
        <v>41</v>
      </c>
      <c r="G5587">
        <v>-303.1952</v>
      </c>
      <c r="H5587" s="1">
        <v>-3.6938320000000001E-6</v>
      </c>
      <c r="I5587">
        <v>-13.78219</v>
      </c>
      <c r="J5587">
        <v>-302.82389999999998</v>
      </c>
      <c r="K5587">
        <v>1.0568010000000001</v>
      </c>
      <c r="L5587">
        <v>4.0032040000000002</v>
      </c>
      <c r="M5587">
        <v>0.32704929999999999</v>
      </c>
      <c r="N5587">
        <v>-1.440408E-2</v>
      </c>
      <c r="O5587">
        <v>-0.94489769999999895</v>
      </c>
      <c r="P5587">
        <v>9.2770409999999998E-2</v>
      </c>
      <c r="Q5587">
        <v>0.16144620000000001</v>
      </c>
      <c r="R5587">
        <v>-0.98251180000000005</v>
      </c>
      <c r="S5587">
        <v>-4.7454830000000003E-2</v>
      </c>
      <c r="T5587">
        <v>-0.18066189999999999</v>
      </c>
      <c r="U5587">
        <v>-3.092346</v>
      </c>
      <c r="V5587">
        <v>0.23954529999999999</v>
      </c>
      <c r="W5587">
        <v>0.167155</v>
      </c>
      <c r="X5587">
        <v>0.9563876</v>
      </c>
      <c r="Y5587">
        <v>0.34133340000000001</v>
      </c>
      <c r="Z5587">
        <v>3.7332589999999999E-2</v>
      </c>
      <c r="AA5587">
        <v>0.93920060000000005</v>
      </c>
      <c r="AB5587">
        <v>30</v>
      </c>
      <c r="AC5587">
        <v>-0.371300000000019</v>
      </c>
      <c r="AD5587">
        <v>-1.0568046938319999</v>
      </c>
      <c r="AE5587">
        <v>-17.785394</v>
      </c>
      <c r="AF5587">
        <v>6.1464878631624904</v>
      </c>
      <c r="AG5587">
        <v>-1.0568046938319999</v>
      </c>
      <c r="AH5587">
        <v>16.626992728298902</v>
      </c>
      <c r="AI5587">
        <v>93.411736929160796</v>
      </c>
      <c r="AJ5587">
        <v>69.712196933541193</v>
      </c>
      <c r="AK5587">
        <v>17.758182238050502</v>
      </c>
      <c r="AL5587">
        <v>80.377554186859797</v>
      </c>
      <c r="AM5587">
        <v>75.938476511367895</v>
      </c>
      <c r="AN5587">
        <v>0.99999999310542498</v>
      </c>
    </row>
    <row r="5588" spans="1:40" x14ac:dyDescent="0.25">
      <c r="A5588" t="str">
        <f>"20190303162930398"</f>
        <v>20190303162930398</v>
      </c>
      <c r="B5588" t="str">
        <f>"1551601770387113"</f>
        <v>1551601770387113</v>
      </c>
      <c r="C5588" t="s">
        <v>40</v>
      </c>
      <c r="D5588">
        <v>5.5725769999999999</v>
      </c>
      <c r="E5588">
        <v>0.54589330000000003</v>
      </c>
      <c r="F5588" t="s">
        <v>41</v>
      </c>
      <c r="G5588">
        <v>-303.21480000000003</v>
      </c>
      <c r="H5588" s="1">
        <v>-4.0524530000000003E-6</v>
      </c>
      <c r="I5588">
        <v>-12.78058</v>
      </c>
      <c r="J5588">
        <v>-302.73840000000001</v>
      </c>
      <c r="K5588">
        <v>1.056854</v>
      </c>
      <c r="L5588">
        <v>3.7099609999999998</v>
      </c>
      <c r="M5588">
        <v>0.3114768</v>
      </c>
      <c r="N5588">
        <v>-1.438937E-2</v>
      </c>
      <c r="O5588">
        <v>-0.95014480000000001</v>
      </c>
      <c r="P5588">
        <v>8.7026489999999998E-2</v>
      </c>
      <c r="Q5588">
        <v>0.15928010000000001</v>
      </c>
      <c r="R5588">
        <v>-0.9833904</v>
      </c>
      <c r="S5588">
        <v>-7.2021479999999999E-2</v>
      </c>
      <c r="T5588">
        <v>-0.1947025</v>
      </c>
      <c r="U5588">
        <v>-3.0921940000000001</v>
      </c>
      <c r="V5588">
        <v>0.22939909999999999</v>
      </c>
      <c r="W5588">
        <v>0.16539029999999999</v>
      </c>
      <c r="X5588">
        <v>0.95917790000000003</v>
      </c>
      <c r="Y5588">
        <v>0.33332230000000002</v>
      </c>
      <c r="Z5588">
        <v>4.1923340000000003E-2</v>
      </c>
      <c r="AA5588">
        <v>0.94188039999999995</v>
      </c>
      <c r="AB5588">
        <v>30</v>
      </c>
      <c r="AC5588">
        <v>-0.47640000000001198</v>
      </c>
      <c r="AD5588">
        <v>-1.056858052453</v>
      </c>
      <c r="AE5588">
        <v>-16.490541</v>
      </c>
      <c r="AF5588">
        <v>5.5668028202904596</v>
      </c>
      <c r="AG5588">
        <v>-1.056858052453</v>
      </c>
      <c r="AH5588">
        <v>15.4581818052259</v>
      </c>
      <c r="AI5588">
        <v>93.6804759694095</v>
      </c>
      <c r="AJ5588">
        <v>70.195029379162307</v>
      </c>
      <c r="AK5588">
        <v>16.463949322882598</v>
      </c>
      <c r="AL5588">
        <v>80.480092150808801</v>
      </c>
      <c r="AM5588">
        <v>76.549663209505397</v>
      </c>
      <c r="AN5588">
        <v>1.0000000711316499</v>
      </c>
    </row>
    <row r="5589" spans="1:40" x14ac:dyDescent="0.25">
      <c r="A5589" t="str">
        <f>"20190303162930420"</f>
        <v>20190303162930420</v>
      </c>
      <c r="B5589" t="str">
        <f>"1551601770407609"</f>
        <v>1551601770407609</v>
      </c>
      <c r="C5589" t="s">
        <v>40</v>
      </c>
      <c r="D5589">
        <v>5.572635</v>
      </c>
      <c r="E5589">
        <v>0.54534490000000002</v>
      </c>
      <c r="F5589" t="s">
        <v>41</v>
      </c>
      <c r="G5589">
        <v>-303.1848</v>
      </c>
      <c r="H5589" s="1">
        <v>-4.2173030000000001E-6</v>
      </c>
      <c r="I5589">
        <v>-12.28055</v>
      </c>
      <c r="J5589">
        <v>-302.65989999999999</v>
      </c>
      <c r="K5589">
        <v>1.0569120000000001</v>
      </c>
      <c r="L5589">
        <v>3.423492</v>
      </c>
      <c r="M5589">
        <v>0.2963015</v>
      </c>
      <c r="N5589">
        <v>-1.437252E-2</v>
      </c>
      <c r="O5589">
        <v>-0.95498620000000001</v>
      </c>
      <c r="P5589">
        <v>8.6763259999999995E-2</v>
      </c>
      <c r="Q5589">
        <v>0.1568319</v>
      </c>
      <c r="R5589">
        <v>-0.98380710000000005</v>
      </c>
      <c r="S5589">
        <v>-8.6303710000000006E-2</v>
      </c>
      <c r="T5589">
        <v>-0.20431940000000001</v>
      </c>
      <c r="U5589">
        <v>-3.0914000000000001</v>
      </c>
      <c r="V5589">
        <v>0.21432889999999999</v>
      </c>
      <c r="W5589">
        <v>0.16352439999999999</v>
      </c>
      <c r="X5589">
        <v>0.96297600000000005</v>
      </c>
      <c r="Y5589">
        <v>0.32263239999999999</v>
      </c>
      <c r="Z5589">
        <v>4.5319230000000002E-2</v>
      </c>
      <c r="AA5589">
        <v>0.94543880000000002</v>
      </c>
      <c r="AB5589">
        <v>30</v>
      </c>
      <c r="AC5589">
        <v>-0.52490000000000203</v>
      </c>
      <c r="AD5589">
        <v>-1.056916217303</v>
      </c>
      <c r="AE5589">
        <v>-15.704041999999999</v>
      </c>
      <c r="AF5589">
        <v>5.1317178482359997</v>
      </c>
      <c r="AG5589">
        <v>-1.056916217303</v>
      </c>
      <c r="AH5589">
        <v>14.776293682981001</v>
      </c>
      <c r="AI5589">
        <v>93.865540266713495</v>
      </c>
      <c r="AJ5589">
        <v>70.848193541362306</v>
      </c>
      <c r="AK5589">
        <v>15.6777056666467</v>
      </c>
      <c r="AL5589">
        <v>80.588474860362297</v>
      </c>
      <c r="AM5589">
        <v>77.452243081798599</v>
      </c>
      <c r="AN5589">
        <v>0.99999994167328299</v>
      </c>
    </row>
    <row r="5590" spans="1:40" x14ac:dyDescent="0.25">
      <c r="A5590" t="str">
        <f>"20190303162930451"</f>
        <v>20190303162930451</v>
      </c>
      <c r="B5590" t="str">
        <f>"1551601770447625"</f>
        <v>1551601770447625</v>
      </c>
      <c r="C5590" t="s">
        <v>40</v>
      </c>
      <c r="D5590">
        <v>5.5969980000000001</v>
      </c>
      <c r="E5590">
        <v>0.54430789999999996</v>
      </c>
      <c r="F5590" t="s">
        <v>41</v>
      </c>
      <c r="G5590">
        <v>-303.08909999999997</v>
      </c>
      <c r="H5590" s="1">
        <v>-4.3277320000000001E-6</v>
      </c>
      <c r="I5590">
        <v>-11.906180000000001</v>
      </c>
      <c r="J5590">
        <v>-302.55430000000001</v>
      </c>
      <c r="K5590">
        <v>1.057021</v>
      </c>
      <c r="L5590">
        <v>3.005096</v>
      </c>
      <c r="M5590">
        <v>0.27425759999999899</v>
      </c>
      <c r="N5590">
        <v>-1.434041E-2</v>
      </c>
      <c r="O5590">
        <v>-0.96154930000000005</v>
      </c>
      <c r="P5590">
        <v>8.3434069999999999E-2</v>
      </c>
      <c r="Q5590">
        <v>0.15304110000000001</v>
      </c>
      <c r="R5590">
        <v>-0.98469150000000005</v>
      </c>
      <c r="S5590">
        <v>-8.6547849999999996E-2</v>
      </c>
      <c r="T5590">
        <v>-0.21310960000000001</v>
      </c>
      <c r="U5590">
        <v>-3.090973</v>
      </c>
      <c r="V5590">
        <v>0.19535040000000001</v>
      </c>
      <c r="W5590">
        <v>0.16046450000000001</v>
      </c>
      <c r="X5590">
        <v>0.96751710000000002</v>
      </c>
      <c r="Y5590">
        <v>0.30086180000000001</v>
      </c>
      <c r="Z5590">
        <v>4.88484E-2</v>
      </c>
      <c r="AA5590">
        <v>0.95241589999999998</v>
      </c>
      <c r="AB5590">
        <v>30</v>
      </c>
      <c r="AC5590">
        <v>-0.53479999999996097</v>
      </c>
      <c r="AD5590">
        <v>-1.0570253277320001</v>
      </c>
      <c r="AE5590">
        <v>-14.911276000000001</v>
      </c>
      <c r="AF5590">
        <v>4.5812494592914597</v>
      </c>
      <c r="AG5590">
        <v>-1.0570253277320001</v>
      </c>
      <c r="AH5590">
        <v>14.1218419948283</v>
      </c>
      <c r="AI5590">
        <v>94.072451804024794</v>
      </c>
      <c r="AJ5590">
        <v>72.026482232928601</v>
      </c>
      <c r="AK5590">
        <v>14.883936659319</v>
      </c>
      <c r="AL5590">
        <v>80.766141394448795</v>
      </c>
      <c r="AM5590">
        <v>78.584936006143394</v>
      </c>
      <c r="AN5590">
        <v>0.99999998666640999</v>
      </c>
    </row>
    <row r="5591" spans="1:40" x14ac:dyDescent="0.25">
      <c r="A5591" t="str">
        <f>"20190303162930481"</f>
        <v>20190303162930481</v>
      </c>
      <c r="B5591" t="str">
        <f>"1551601770477880"</f>
        <v>1551601770477880</v>
      </c>
      <c r="C5591" t="s">
        <v>40</v>
      </c>
      <c r="D5591">
        <v>5.6284450000000001</v>
      </c>
      <c r="E5591">
        <v>0.54372359999999997</v>
      </c>
      <c r="F5591" t="s">
        <v>41</v>
      </c>
      <c r="G5591">
        <v>-302.99090000000001</v>
      </c>
      <c r="H5591" s="1">
        <v>-4.4712069999999996E-6</v>
      </c>
      <c r="I5591">
        <v>-11.43338</v>
      </c>
      <c r="J5591">
        <v>-302.46069999999997</v>
      </c>
      <c r="K5591">
        <v>1.0571649999999999</v>
      </c>
      <c r="L5591">
        <v>2.598328</v>
      </c>
      <c r="M5591">
        <v>0.25298999999999999</v>
      </c>
      <c r="N5591">
        <v>-1.4300800000000001E-2</v>
      </c>
      <c r="O5591">
        <v>-0.96736339999999998</v>
      </c>
      <c r="P5591">
        <v>7.5800370000000006E-2</v>
      </c>
      <c r="Q5591">
        <v>0.15285889999999999</v>
      </c>
      <c r="R5591">
        <v>-0.98533669999999995</v>
      </c>
      <c r="S5591">
        <v>-9.3444819999999998E-2</v>
      </c>
      <c r="T5591">
        <v>-0.22619520000000001</v>
      </c>
      <c r="U5591">
        <v>-3.0897220000000001</v>
      </c>
      <c r="V5591">
        <v>0.18141499999999999</v>
      </c>
      <c r="W5591">
        <v>0.16081139999999999</v>
      </c>
      <c r="X5591">
        <v>0.97016919999999995</v>
      </c>
      <c r="Y5591">
        <v>0.28190920000000003</v>
      </c>
      <c r="Z5591">
        <v>5.3626880000000002E-2</v>
      </c>
      <c r="AA5591">
        <v>0.95794120000000005</v>
      </c>
      <c r="AB5591">
        <v>30</v>
      </c>
      <c r="AC5591">
        <v>-0.53020000000003598</v>
      </c>
      <c r="AD5591">
        <v>-1.0571694712070001</v>
      </c>
      <c r="AE5591">
        <v>-14.031707999999901</v>
      </c>
      <c r="AF5591">
        <v>4.0402912209175597</v>
      </c>
      <c r="AG5591">
        <v>-1.0571694712070001</v>
      </c>
      <c r="AH5591">
        <v>13.365239829416801</v>
      </c>
      <c r="AI5591">
        <v>94.329859376486795</v>
      </c>
      <c r="AJ5591">
        <v>73.180014699309396</v>
      </c>
      <c r="AK5591">
        <v>14.0025424883664</v>
      </c>
      <c r="AL5591">
        <v>80.746004026969899</v>
      </c>
      <c r="AM5591">
        <v>79.408401086573505</v>
      </c>
      <c r="AN5591">
        <v>0.99999999261179995</v>
      </c>
    </row>
    <row r="5592" spans="1:40" x14ac:dyDescent="0.25">
      <c r="A5592" t="str">
        <f>"20190303162930504"</f>
        <v>20190303162930504</v>
      </c>
      <c r="B5592" t="str">
        <f>"1551601770497400"</f>
        <v>1551601770497400</v>
      </c>
      <c r="C5592" t="s">
        <v>40</v>
      </c>
      <c r="D5592">
        <v>5.6423699999999997</v>
      </c>
      <c r="E5592">
        <v>0.54350790000000004</v>
      </c>
      <c r="F5592" t="s">
        <v>41</v>
      </c>
      <c r="G5592">
        <v>-302.9948</v>
      </c>
      <c r="H5592" s="1">
        <v>-4.3447729999999998E-6</v>
      </c>
      <c r="I5592">
        <v>-11.806950000000001</v>
      </c>
      <c r="J5592">
        <v>-302.39580000000001</v>
      </c>
      <c r="K5592">
        <v>1.0572999999999999</v>
      </c>
      <c r="L5592">
        <v>2.2897340000000002</v>
      </c>
      <c r="M5592">
        <v>0.23701340000000001</v>
      </c>
      <c r="N5592">
        <v>-1.426609E-2</v>
      </c>
      <c r="O5592">
        <v>-0.97140190000000004</v>
      </c>
      <c r="P5592">
        <v>7.2709419999999997E-2</v>
      </c>
      <c r="Q5592">
        <v>0.1534305</v>
      </c>
      <c r="R5592">
        <v>-0.98548139999999995</v>
      </c>
      <c r="S5592">
        <v>-0.1145325</v>
      </c>
      <c r="T5592">
        <v>-0.2266667</v>
      </c>
      <c r="U5592">
        <v>-3.0886230000000001</v>
      </c>
      <c r="V5592">
        <v>0.16837779999999899</v>
      </c>
      <c r="W5592">
        <v>0.1618646</v>
      </c>
      <c r="X5592">
        <v>0.97234189999999998</v>
      </c>
      <c r="Y5592">
        <v>0.2726344</v>
      </c>
      <c r="Z5592">
        <v>5.435156E-2</v>
      </c>
      <c r="AA5592">
        <v>0.96058120000000002</v>
      </c>
      <c r="AB5592">
        <v>30</v>
      </c>
      <c r="AC5592">
        <v>-0.59899999999998899</v>
      </c>
      <c r="AD5592">
        <v>-1.0573043447729999</v>
      </c>
      <c r="AE5592">
        <v>-14.096684</v>
      </c>
      <c r="AF5592">
        <v>3.9014626061809299</v>
      </c>
      <c r="AG5592">
        <v>-1.0573043447729999</v>
      </c>
      <c r="AH5592">
        <v>13.477269667095401</v>
      </c>
      <c r="AI5592">
        <v>94.309489529378794</v>
      </c>
      <c r="AJ5592">
        <v>73.855081844009206</v>
      </c>
      <c r="AK5592">
        <v>14.0703980265135</v>
      </c>
      <c r="AL5592">
        <v>80.6848591434605</v>
      </c>
      <c r="AM5592">
        <v>80.175673056571597</v>
      </c>
      <c r="AN5592">
        <v>1.0000000013807999</v>
      </c>
    </row>
    <row r="5593" spans="1:40" x14ac:dyDescent="0.25">
      <c r="A5593" t="str">
        <f>"20190303162930527"</f>
        <v>20190303162930527</v>
      </c>
      <c r="B5593" t="str">
        <f>"1551601770517897"</f>
        <v>1551601770517897</v>
      </c>
      <c r="C5593" t="s">
        <v>40</v>
      </c>
      <c r="D5593">
        <v>5.635586</v>
      </c>
      <c r="E5593">
        <v>0.54340540000000004</v>
      </c>
      <c r="F5593" t="s">
        <v>41</v>
      </c>
      <c r="G5593">
        <v>-302.97320000000002</v>
      </c>
      <c r="H5593" s="1">
        <v>-4.2071120000000003E-6</v>
      </c>
      <c r="I5593">
        <v>-12.200189999999999</v>
      </c>
      <c r="J5593">
        <v>-302.3331</v>
      </c>
      <c r="K5593">
        <v>1.057493</v>
      </c>
      <c r="L5593">
        <v>1.962952</v>
      </c>
      <c r="M5593">
        <v>0.22035950000000001</v>
      </c>
      <c r="N5593">
        <v>-1.421916E-2</v>
      </c>
      <c r="O5593">
        <v>-0.97531520000000005</v>
      </c>
      <c r="P5593">
        <v>6.6993090000000005E-2</v>
      </c>
      <c r="Q5593">
        <v>0.15514349999999999</v>
      </c>
      <c r="R5593">
        <v>-0.98561810000000005</v>
      </c>
      <c r="S5593">
        <v>-0.1230774</v>
      </c>
      <c r="T5593">
        <v>-0.22535350000000001</v>
      </c>
      <c r="U5593">
        <v>-3.0883790000000002</v>
      </c>
      <c r="V5593">
        <v>0.1572759</v>
      </c>
      <c r="W5593">
        <v>0.16398589999999999</v>
      </c>
      <c r="X5593">
        <v>0.97384440000000005</v>
      </c>
      <c r="Y5593">
        <v>0.25881539999999997</v>
      </c>
      <c r="Z5593">
        <v>5.457029E-2</v>
      </c>
      <c r="AA5593">
        <v>0.96438409999999997</v>
      </c>
      <c r="AB5593">
        <v>30</v>
      </c>
      <c r="AC5593">
        <v>-0.64010000000001799</v>
      </c>
      <c r="AD5593">
        <v>-1.0574972071119999</v>
      </c>
      <c r="AE5593">
        <v>-14.163142000000001</v>
      </c>
      <c r="AF5593">
        <v>3.7249364673897598</v>
      </c>
      <c r="AG5593">
        <v>-1.0574972071119999</v>
      </c>
      <c r="AH5593">
        <v>13.5982018904024</v>
      </c>
      <c r="AI5593">
        <v>94.289397341554505</v>
      </c>
      <c r="AJ5593">
        <v>74.680834854772797</v>
      </c>
      <c r="AK5593">
        <v>14.1387604365193</v>
      </c>
      <c r="AL5593">
        <v>80.561671585074507</v>
      </c>
      <c r="AM5593">
        <v>80.825942628670603</v>
      </c>
      <c r="AN5593">
        <v>0.99999999976549003</v>
      </c>
    </row>
    <row r="5594" spans="1:40" x14ac:dyDescent="0.25">
      <c r="A5594" t="str">
        <f>"20190303162930548"</f>
        <v>20190303162930548</v>
      </c>
      <c r="B5594" t="str">
        <f>"1551601770537416"</f>
        <v>1551601770537416</v>
      </c>
      <c r="C5594" t="s">
        <v>40</v>
      </c>
      <c r="D5594">
        <v>5.6448559999999999</v>
      </c>
      <c r="E5594">
        <v>0.54331229999999997</v>
      </c>
      <c r="F5594" t="s">
        <v>41</v>
      </c>
      <c r="G5594">
        <v>-302.99990000000003</v>
      </c>
      <c r="H5594" s="1">
        <v>-3.9912440000000004E-6</v>
      </c>
      <c r="I5594">
        <v>-12.84844</v>
      </c>
      <c r="J5594">
        <v>-302.28289999999998</v>
      </c>
      <c r="K5594">
        <v>1.0576680000000001</v>
      </c>
      <c r="L5594">
        <v>1.6790160000000001</v>
      </c>
      <c r="M5594">
        <v>0.20607790000000001</v>
      </c>
      <c r="N5594">
        <v>-1.417116E-2</v>
      </c>
      <c r="O5594">
        <v>-0.978433</v>
      </c>
      <c r="P5594">
        <v>6.0297259999999998E-2</v>
      </c>
      <c r="Q5594">
        <v>0.15627389999999999</v>
      </c>
      <c r="R5594">
        <v>-0.98587179999999996</v>
      </c>
      <c r="S5594">
        <v>-0.13900760000000001</v>
      </c>
      <c r="T5594">
        <v>-0.22047</v>
      </c>
      <c r="U5594">
        <v>-3.0879210000000001</v>
      </c>
      <c r="V5594">
        <v>0.14956449999999999</v>
      </c>
      <c r="W5594">
        <v>0.1653945</v>
      </c>
      <c r="X5594">
        <v>0.97482060000000004</v>
      </c>
      <c r="Y5594">
        <v>0.249669</v>
      </c>
      <c r="Z5594">
        <v>5.3550689999999998E-2</v>
      </c>
      <c r="AA5594">
        <v>0.96684939999999997</v>
      </c>
      <c r="AB5594">
        <v>30</v>
      </c>
      <c r="AC5594">
        <v>-0.71700000000004105</v>
      </c>
      <c r="AD5594">
        <v>-1.057671991244</v>
      </c>
      <c r="AE5594">
        <v>-14.5274559999999</v>
      </c>
      <c r="AF5594">
        <v>3.6762561698349998</v>
      </c>
      <c r="AG5594">
        <v>-1.057671991244</v>
      </c>
      <c r="AH5594">
        <v>13.9938017917538</v>
      </c>
      <c r="AI5594">
        <v>94.180943752207696</v>
      </c>
      <c r="AJ5594">
        <v>75.280652771269899</v>
      </c>
      <c r="AK5594">
        <v>14.507240194268601</v>
      </c>
      <c r="AL5594">
        <v>80.479847860862506</v>
      </c>
      <c r="AM5594">
        <v>81.277259497574406</v>
      </c>
      <c r="AN5594">
        <v>1.0000000412374199</v>
      </c>
    </row>
    <row r="5595" spans="1:40" x14ac:dyDescent="0.25">
      <c r="A5595" t="str">
        <f>"20190303162930570"</f>
        <v>20190303162930570</v>
      </c>
      <c r="B5595" t="str">
        <f>"1551601770557913"</f>
        <v>1551601770557913</v>
      </c>
      <c r="C5595" t="s">
        <v>40</v>
      </c>
      <c r="D5595">
        <v>5.6577869999999999</v>
      </c>
      <c r="E5595">
        <v>0.54085340000000004</v>
      </c>
      <c r="F5595" t="s">
        <v>41</v>
      </c>
      <c r="G5595">
        <v>-303.03410000000002</v>
      </c>
      <c r="H5595" s="1">
        <v>-3.8645540000000002E-6</v>
      </c>
      <c r="I5595">
        <v>-13.23854</v>
      </c>
      <c r="J5595">
        <v>-302.2353</v>
      </c>
      <c r="K5595">
        <v>1.0578829999999999</v>
      </c>
      <c r="L5595">
        <v>1.385132</v>
      </c>
      <c r="M5595">
        <v>0.19154860000000001</v>
      </c>
      <c r="N5595">
        <v>-1.4116220000000001E-2</v>
      </c>
      <c r="O5595">
        <v>-0.98138179999999997</v>
      </c>
      <c r="P5595">
        <v>5.1441340000000002E-2</v>
      </c>
      <c r="Q5595">
        <v>0.15477099999999999</v>
      </c>
      <c r="R5595">
        <v>-0.98661069999999995</v>
      </c>
      <c r="S5595">
        <v>-0.1554565</v>
      </c>
      <c r="T5595">
        <v>-0.2188852</v>
      </c>
      <c r="U5595">
        <v>-3.087189</v>
      </c>
      <c r="V5595">
        <v>0.1437667</v>
      </c>
      <c r="W5595">
        <v>0.1641068</v>
      </c>
      <c r="X5595">
        <v>0.9759099</v>
      </c>
      <c r="Y5595">
        <v>0.2404599</v>
      </c>
      <c r="Z5595">
        <v>5.3520459999999999E-2</v>
      </c>
      <c r="AA5595">
        <v>0.9691824</v>
      </c>
      <c r="AB5595">
        <v>30</v>
      </c>
      <c r="AC5595">
        <v>-0.79880000000002804</v>
      </c>
      <c r="AD5595">
        <v>-1.0578868645539901</v>
      </c>
      <c r="AE5595">
        <v>-14.623671999999999</v>
      </c>
      <c r="AF5595">
        <v>3.5668179946757501</v>
      </c>
      <c r="AG5595">
        <v>-1.0578868645539901</v>
      </c>
      <c r="AH5595">
        <v>14.126104231315701</v>
      </c>
      <c r="AI5595">
        <v>94.152953491093896</v>
      </c>
      <c r="AJ5595">
        <v>75.829111368707402</v>
      </c>
      <c r="AK5595">
        <v>14.6078107866762</v>
      </c>
      <c r="AL5595">
        <v>80.5546495800358</v>
      </c>
      <c r="AM5595">
        <v>81.619716650649494</v>
      </c>
      <c r="AN5595">
        <v>1.0000000193765699</v>
      </c>
    </row>
    <row r="5596" spans="1:40" x14ac:dyDescent="0.25">
      <c r="A5596" t="str">
        <f>"20190303162930590"</f>
        <v>20190303162930590</v>
      </c>
      <c r="B5596" t="str">
        <f>"1551601770578408"</f>
        <v>1551601770578408</v>
      </c>
      <c r="C5596" t="s">
        <v>40</v>
      </c>
      <c r="D5596">
        <v>5.8708879999999999</v>
      </c>
      <c r="E5596">
        <v>0.54118940000000004</v>
      </c>
      <c r="F5596" t="s">
        <v>41</v>
      </c>
      <c r="G5596">
        <v>-302.93329999999997</v>
      </c>
      <c r="H5596" s="1">
        <v>-4.2701970000000003E-6</v>
      </c>
      <c r="I5596">
        <v>-11.99399</v>
      </c>
      <c r="J5596">
        <v>-302.19299999999998</v>
      </c>
      <c r="K5596">
        <v>1.0582400000000001</v>
      </c>
      <c r="L5596">
        <v>1.100708</v>
      </c>
      <c r="M5596">
        <v>0.177570799999999</v>
      </c>
      <c r="N5596">
        <v>-1.4196739999999999E-2</v>
      </c>
      <c r="O5596">
        <v>-0.98400569999999998</v>
      </c>
      <c r="P5596">
        <v>4.444762E-2</v>
      </c>
      <c r="Q5596">
        <v>0.15257229999999999</v>
      </c>
      <c r="R5596">
        <v>-0.98729279999999997</v>
      </c>
      <c r="S5596">
        <v>-0.16107179999999999</v>
      </c>
      <c r="T5596">
        <v>-0.244121</v>
      </c>
      <c r="U5596">
        <v>-3.087402</v>
      </c>
      <c r="V5596">
        <v>0.13665369999999999</v>
      </c>
      <c r="W5596">
        <v>0.16233229999999901</v>
      </c>
      <c r="X5596">
        <v>0.97722770000000003</v>
      </c>
      <c r="Y5596">
        <v>0.22835949999999999</v>
      </c>
      <c r="Z5596">
        <v>6.1624180000000001E-2</v>
      </c>
      <c r="AA5596">
        <v>0.97162459999999995</v>
      </c>
      <c r="AB5596">
        <v>30</v>
      </c>
      <c r="AC5596">
        <v>-0.74029999999998997</v>
      </c>
      <c r="AD5596">
        <v>-1.0582442701970001</v>
      </c>
      <c r="AE5596">
        <v>-13.094697999999999</v>
      </c>
      <c r="AF5596">
        <v>3.0342493608034098</v>
      </c>
      <c r="AG5596">
        <v>-1.0582442701970001</v>
      </c>
      <c r="AH5596">
        <v>12.6725850719855</v>
      </c>
      <c r="AI5596">
        <v>94.642867492910696</v>
      </c>
      <c r="AJ5596">
        <v>76.534926909680607</v>
      </c>
      <c r="AK5596">
        <v>13.0736744079716</v>
      </c>
      <c r="AL5596">
        <v>80.657702678451002</v>
      </c>
      <c r="AM5596">
        <v>82.039485654143803</v>
      </c>
      <c r="AN5596">
        <v>0.99999999349713498</v>
      </c>
    </row>
    <row r="5597" spans="1:40" x14ac:dyDescent="0.25">
      <c r="A5597" t="str">
        <f>"20190303162930610"</f>
        <v>20190303162930610</v>
      </c>
      <c r="B5597" t="str">
        <f>"1551601770597928"</f>
        <v>1551601770597928</v>
      </c>
      <c r="C5597" t="s">
        <v>40</v>
      </c>
      <c r="D5597">
        <v>5.6942000000000004</v>
      </c>
      <c r="E5597">
        <v>0.53918840000000001</v>
      </c>
      <c r="F5597" t="s">
        <v>41</v>
      </c>
      <c r="G5597">
        <v>-303.01620000000003</v>
      </c>
      <c r="H5597" s="1">
        <v>-4.1116690000000002E-6</v>
      </c>
      <c r="I5597">
        <v>-12.50309</v>
      </c>
      <c r="J5597">
        <v>-302.15660000000003</v>
      </c>
      <c r="K5597">
        <v>1.0589759999999999</v>
      </c>
      <c r="L5597">
        <v>0.83663940000000003</v>
      </c>
      <c r="M5597">
        <v>0.16482820000000001</v>
      </c>
      <c r="N5597">
        <v>-1.472801E-2</v>
      </c>
      <c r="O5597">
        <v>-0.98621230000000004</v>
      </c>
      <c r="P5597">
        <v>3.9036710000000002E-2</v>
      </c>
      <c r="Q5597">
        <v>0.15037519999999999</v>
      </c>
      <c r="R5597">
        <v>-0.98785809999999996</v>
      </c>
      <c r="S5597">
        <v>-0.18664549999999999</v>
      </c>
      <c r="T5597">
        <v>-0.2399136</v>
      </c>
      <c r="U5597">
        <v>-3.0841059999999998</v>
      </c>
      <c r="V5597">
        <v>0.12915219999999999</v>
      </c>
      <c r="W5597">
        <v>0.1610617</v>
      </c>
      <c r="X5597">
        <v>0.97845740000000003</v>
      </c>
      <c r="Y5597">
        <v>0.22385659999999999</v>
      </c>
      <c r="Z5597">
        <v>6.0145120000000003E-2</v>
      </c>
      <c r="AA5597">
        <v>0.97276450000000003</v>
      </c>
      <c r="AB5597">
        <v>30</v>
      </c>
      <c r="AC5597">
        <v>-0.85960000000000003</v>
      </c>
      <c r="AD5597">
        <v>-1.0589801116690001</v>
      </c>
      <c r="AE5597">
        <v>-13.3397294</v>
      </c>
      <c r="AF5597">
        <v>3.0278395463358998</v>
      </c>
      <c r="AG5597">
        <v>-1.0589801116690001</v>
      </c>
      <c r="AH5597">
        <v>12.9343550920258</v>
      </c>
      <c r="AI5597">
        <v>94.5578838357808</v>
      </c>
      <c r="AJ5597">
        <v>76.824716567843893</v>
      </c>
      <c r="AK5597">
        <v>13.326169473703899</v>
      </c>
      <c r="AL5597">
        <v>80.731473766218102</v>
      </c>
      <c r="AM5597">
        <v>82.480670068273099</v>
      </c>
      <c r="AN5597">
        <v>1.00000002279324</v>
      </c>
    </row>
    <row r="5598" spans="1:40" x14ac:dyDescent="0.25">
      <c r="A5598" t="str">
        <f>"20190303162930633"</f>
        <v>20190303162930633</v>
      </c>
      <c r="B5598" t="str">
        <f>"1551601770627210"</f>
        <v>1551601770627210</v>
      </c>
      <c r="C5598" t="s">
        <v>40</v>
      </c>
      <c r="D5598">
        <v>5.6413739999999999</v>
      </c>
      <c r="E5598">
        <v>0.5380973</v>
      </c>
      <c r="F5598" t="s">
        <v>41</v>
      </c>
      <c r="G5598">
        <v>-303.0077</v>
      </c>
      <c r="H5598" s="1">
        <v>-3.923968E-6</v>
      </c>
      <c r="I5598">
        <v>-13.0502</v>
      </c>
      <c r="J5598">
        <v>-302.1173</v>
      </c>
      <c r="K5598">
        <v>1.060071</v>
      </c>
      <c r="L5598">
        <v>0.52749630000000003</v>
      </c>
      <c r="M5598">
        <v>0.1514914</v>
      </c>
      <c r="N5598">
        <v>-1.564254E-2</v>
      </c>
      <c r="O5598">
        <v>-0.98833499999999996</v>
      </c>
      <c r="P5598">
        <v>3.1481130000000003E-2</v>
      </c>
      <c r="Q5598">
        <v>0.15110179999999901</v>
      </c>
      <c r="R5598">
        <v>-0.98801719999999904</v>
      </c>
      <c r="S5598">
        <v>-0.1887817</v>
      </c>
      <c r="T5598">
        <v>-0.23488000000000001</v>
      </c>
      <c r="U5598">
        <v>-3.0800779999999999</v>
      </c>
      <c r="V5598">
        <v>0.1232425</v>
      </c>
      <c r="W5598">
        <v>0.1630103</v>
      </c>
      <c r="X5598">
        <v>0.97889680000000001</v>
      </c>
      <c r="Y5598">
        <v>0.2114346</v>
      </c>
      <c r="Z5598">
        <v>5.8111620000000003E-2</v>
      </c>
      <c r="AA5598">
        <v>0.97566310000000001</v>
      </c>
      <c r="AB5598">
        <v>30</v>
      </c>
      <c r="AC5598">
        <v>-0.89039999999999897</v>
      </c>
      <c r="AD5598">
        <v>-1.0600749239680001</v>
      </c>
      <c r="AE5598">
        <v>-13.577696299999999</v>
      </c>
      <c r="AF5598">
        <v>2.9195560681775898</v>
      </c>
      <c r="AG5598">
        <v>-1.0600749239680001</v>
      </c>
      <c r="AH5598">
        <v>13.205893437059901</v>
      </c>
      <c r="AI5598">
        <v>94.481694783535204</v>
      </c>
      <c r="AJ5598">
        <v>77.533583926521203</v>
      </c>
      <c r="AK5598">
        <v>13.5662518018294</v>
      </c>
      <c r="AL5598">
        <v>80.618331871210103</v>
      </c>
      <c r="AM5598">
        <v>82.824251393300003</v>
      </c>
      <c r="AN5598">
        <v>1.0000000083812799</v>
      </c>
    </row>
    <row r="5599" spans="1:40" x14ac:dyDescent="0.25">
      <c r="A5599" t="str">
        <f>"20190303162930654"</f>
        <v>20190303162930654</v>
      </c>
      <c r="B5599" t="str">
        <f>"1551601770647705"</f>
        <v>1551601770647705</v>
      </c>
      <c r="C5599" t="s">
        <v>40</v>
      </c>
      <c r="D5599">
        <v>5.6449189999999998</v>
      </c>
      <c r="E5599">
        <v>0.53843129999999995</v>
      </c>
      <c r="F5599" t="s">
        <v>41</v>
      </c>
      <c r="G5599">
        <v>-303.0419</v>
      </c>
      <c r="H5599" s="1">
        <v>-3.7099269999999999E-6</v>
      </c>
      <c r="I5599">
        <v>-13.64964</v>
      </c>
      <c r="J5599">
        <v>-302.08370000000002</v>
      </c>
      <c r="K5599">
        <v>1.060754</v>
      </c>
      <c r="L5599">
        <v>0.23376459999999999</v>
      </c>
      <c r="M5599">
        <v>0.13966809999999999</v>
      </c>
      <c r="N5599">
        <v>-1.53525E-2</v>
      </c>
      <c r="O5599">
        <v>-0.99007959999999995</v>
      </c>
      <c r="P5599">
        <v>2.5764869999999999E-2</v>
      </c>
      <c r="Q5599">
        <v>0.15329039999999999</v>
      </c>
      <c r="R5599">
        <v>-0.98784550000000004</v>
      </c>
      <c r="S5599">
        <v>-0.2007446</v>
      </c>
      <c r="T5599">
        <v>-0.23015089999999999</v>
      </c>
      <c r="U5599">
        <v>-3.0779719999999999</v>
      </c>
      <c r="V5599">
        <v>0.1171866</v>
      </c>
      <c r="W5599">
        <v>0.1650992</v>
      </c>
      <c r="X5599">
        <v>0.97929029999999995</v>
      </c>
      <c r="Y5599">
        <v>0.20357919999999999</v>
      </c>
      <c r="Z5599">
        <v>5.7221910000000001E-2</v>
      </c>
      <c r="AA5599">
        <v>0.9773849</v>
      </c>
      <c r="AB5599">
        <v>30</v>
      </c>
      <c r="AC5599">
        <v>-0.95819999999997596</v>
      </c>
      <c r="AD5599">
        <v>-1.060757709927</v>
      </c>
      <c r="AE5599">
        <v>-13.8834046</v>
      </c>
      <c r="AF5599">
        <v>2.8714197194767399</v>
      </c>
      <c r="AG5599">
        <v>-1.060757709927</v>
      </c>
      <c r="AH5599">
        <v>13.5348094566122</v>
      </c>
      <c r="AI5599">
        <v>94.384076893799005</v>
      </c>
      <c r="AJ5599">
        <v>78.0222490854146</v>
      </c>
      <c r="AK5599">
        <v>13.876646754578999</v>
      </c>
      <c r="AL5599">
        <v>80.497002451825495</v>
      </c>
      <c r="AM5599">
        <v>83.176158973571106</v>
      </c>
      <c r="AN5599">
        <v>0.999999968367144</v>
      </c>
    </row>
    <row r="5600" spans="1:40" x14ac:dyDescent="0.25">
      <c r="A5600" t="str">
        <f>"20190303162930682"</f>
        <v>20190303162930682</v>
      </c>
      <c r="B5600" t="str">
        <f>"1551601770677961"</f>
        <v>1551601770677961</v>
      </c>
      <c r="C5600" t="s">
        <v>40</v>
      </c>
      <c r="D5600">
        <v>5.6587269999999998</v>
      </c>
      <c r="E5600">
        <v>0.53869</v>
      </c>
      <c r="F5600" t="s">
        <v>41</v>
      </c>
      <c r="G5600">
        <v>-303.11020000000002</v>
      </c>
      <c r="H5600" s="1">
        <v>-3.5037090000000001E-6</v>
      </c>
      <c r="I5600">
        <v>-14.172700000000001</v>
      </c>
      <c r="J5600">
        <v>-302.04610000000002</v>
      </c>
      <c r="K5600">
        <v>1.06158</v>
      </c>
      <c r="L5600">
        <v>-0.1453247</v>
      </c>
      <c r="M5600">
        <v>0.1248831</v>
      </c>
      <c r="N5600">
        <v>-1.310687E-2</v>
      </c>
      <c r="O5600">
        <v>-0.99208499999999999</v>
      </c>
      <c r="P5600">
        <v>2.216572E-2</v>
      </c>
      <c r="Q5600">
        <v>0.1544489</v>
      </c>
      <c r="R5600">
        <v>-0.98775230000000003</v>
      </c>
      <c r="S5600">
        <v>-0.2192993</v>
      </c>
      <c r="T5600">
        <v>-0.22661970000000001</v>
      </c>
      <c r="U5600">
        <v>-3.0777890000000001</v>
      </c>
      <c r="V5600">
        <v>0.10610269999999999</v>
      </c>
      <c r="W5600">
        <v>0.164358</v>
      </c>
      <c r="X5600">
        <v>0.98067769999999999</v>
      </c>
      <c r="Y5600">
        <v>0.19485640000000001</v>
      </c>
      <c r="Z5600">
        <v>5.8638259999999998E-2</v>
      </c>
      <c r="AA5600">
        <v>0.97907739999999999</v>
      </c>
      <c r="AB5600">
        <v>30</v>
      </c>
      <c r="AC5600">
        <v>-1.0640999999999901</v>
      </c>
      <c r="AD5600">
        <v>-1.061583503709</v>
      </c>
      <c r="AE5600">
        <v>-14.027375299999999</v>
      </c>
      <c r="AF5600">
        <v>2.79180241410242</v>
      </c>
      <c r="AG5600">
        <v>-1.061583503709</v>
      </c>
      <c r="AH5600">
        <v>13.706589453275599</v>
      </c>
      <c r="AI5600">
        <v>94.339990426002004</v>
      </c>
      <c r="AJ5600">
        <v>78.487295132038</v>
      </c>
      <c r="AK5600">
        <v>14.0282470285984</v>
      </c>
      <c r="AL5600">
        <v>80.540058988959998</v>
      </c>
      <c r="AM5600">
        <v>83.825003470164006</v>
      </c>
      <c r="AN5600">
        <v>1.0000000431942799</v>
      </c>
    </row>
    <row r="5601" spans="1:40" x14ac:dyDescent="0.25">
      <c r="A5601" t="str">
        <f>"20190303162930709"</f>
        <v>20190303162930709</v>
      </c>
      <c r="B5601" t="str">
        <f>"1551601770697481"</f>
        <v>1551601770697481</v>
      </c>
      <c r="C5601" t="s">
        <v>40</v>
      </c>
      <c r="D5601">
        <v>5.6676469999999997</v>
      </c>
      <c r="E5601">
        <v>0.53843209999999997</v>
      </c>
      <c r="F5601" t="s">
        <v>41</v>
      </c>
      <c r="G5601">
        <v>-303.15390000000002</v>
      </c>
      <c r="H5601" s="1">
        <v>-3.310978E-6</v>
      </c>
      <c r="I5601">
        <v>-14.6490299999999</v>
      </c>
      <c r="J5601">
        <v>-302.0172</v>
      </c>
      <c r="K5601">
        <v>1.0633159999999999</v>
      </c>
      <c r="L5601">
        <v>-0.49838260000000001</v>
      </c>
      <c r="M5601">
        <v>0.1116516</v>
      </c>
      <c r="N5601">
        <v>-1.0662049999999999E-2</v>
      </c>
      <c r="O5601">
        <v>-0.99369030000000003</v>
      </c>
      <c r="P5601">
        <v>2.277641E-2</v>
      </c>
      <c r="Q5601">
        <v>0.15380729999999901</v>
      </c>
      <c r="R5601">
        <v>-0.98783840000000001</v>
      </c>
      <c r="S5601">
        <v>-0.23507690000000001</v>
      </c>
      <c r="T5601">
        <v>-0.22526869999999999</v>
      </c>
      <c r="U5601">
        <v>-3.0776979999999998</v>
      </c>
      <c r="V5601">
        <v>9.2170119999999994E-2</v>
      </c>
      <c r="W5601">
        <v>0.16180810000000001</v>
      </c>
      <c r="X5601">
        <v>0.98250839999999995</v>
      </c>
      <c r="Y5601">
        <v>0.18678819999999999</v>
      </c>
      <c r="Z5601">
        <v>6.0883979999999997E-2</v>
      </c>
      <c r="AA5601">
        <v>0.98051180000000004</v>
      </c>
      <c r="AB5601">
        <v>30</v>
      </c>
      <c r="AC5601">
        <v>-1.13670000000001</v>
      </c>
      <c r="AD5601">
        <v>-1.0633193109779999</v>
      </c>
      <c r="AE5601">
        <v>-14.1506474</v>
      </c>
      <c r="AF5601">
        <v>2.6945071421236402</v>
      </c>
      <c r="AG5601">
        <v>-1.0633193109779999</v>
      </c>
      <c r="AH5601">
        <v>13.8574937250073</v>
      </c>
      <c r="AI5601">
        <v>94.307484688165303</v>
      </c>
      <c r="AJ5601">
        <v>78.996481166404607</v>
      </c>
      <c r="AK5601">
        <v>14.157017660322101</v>
      </c>
      <c r="AL5601">
        <v>80.688139343499699</v>
      </c>
      <c r="AM5601">
        <v>84.6407089691983</v>
      </c>
      <c r="AN5601">
        <v>0.99999997415849096</v>
      </c>
    </row>
    <row r="5602" spans="1:40" x14ac:dyDescent="0.25">
      <c r="A5602" t="str">
        <f>"20190303162930741"</f>
        <v>20190303162930741</v>
      </c>
      <c r="B5602" t="str">
        <f>"1551601770727737"</f>
        <v>1551601770727737</v>
      </c>
      <c r="C5602" t="s">
        <v>40</v>
      </c>
      <c r="D5602">
        <v>5.7063040000000003</v>
      </c>
      <c r="E5602">
        <v>0.52806169999999997</v>
      </c>
      <c r="F5602" t="s">
        <v>41</v>
      </c>
      <c r="G5602">
        <v>-303.1112</v>
      </c>
      <c r="H5602" s="1">
        <v>-3.215196E-6</v>
      </c>
      <c r="I5602">
        <v>-14.845829999999999</v>
      </c>
      <c r="J5602">
        <v>-301.98610000000002</v>
      </c>
      <c r="K5602">
        <v>1.0666929999999999</v>
      </c>
      <c r="L5602">
        <v>-0.9508972</v>
      </c>
      <c r="M5602">
        <v>9.4858040000000005E-2</v>
      </c>
      <c r="N5602">
        <v>-7.8403750000000001E-3</v>
      </c>
      <c r="O5602">
        <v>-0.99546020000000002</v>
      </c>
      <c r="P5602">
        <v>2.8761390000000001E-2</v>
      </c>
      <c r="Q5602">
        <v>0.16038620000000001</v>
      </c>
      <c r="R5602">
        <v>-0.9866357</v>
      </c>
      <c r="S5602">
        <v>-0.23468020000000001</v>
      </c>
      <c r="T5602">
        <v>-0.2281059</v>
      </c>
      <c r="U5602">
        <v>-3.0778500000000002</v>
      </c>
      <c r="V5602">
        <v>6.9126320000000005E-2</v>
      </c>
      <c r="W5602">
        <v>0.16643369999999999</v>
      </c>
      <c r="X5602">
        <v>0.98362669999999996</v>
      </c>
      <c r="Y5602">
        <v>0.1700535</v>
      </c>
      <c r="Z5602">
        <v>6.4916210000000002E-2</v>
      </c>
      <c r="AA5602">
        <v>0.98329429999999995</v>
      </c>
      <c r="AB5602">
        <v>30</v>
      </c>
      <c r="AC5602">
        <v>-1.12509999999997</v>
      </c>
      <c r="AD5602">
        <v>-1.066696215196</v>
      </c>
      <c r="AE5602">
        <v>-13.894932799999999</v>
      </c>
      <c r="AF5602">
        <v>2.4239204847715601</v>
      </c>
      <c r="AG5602">
        <v>-1.066696215196</v>
      </c>
      <c r="AH5602">
        <v>13.645650106282901</v>
      </c>
      <c r="AI5602">
        <v>94.401167521659005</v>
      </c>
      <c r="AJ5602">
        <v>79.927432163527698</v>
      </c>
      <c r="AK5602">
        <v>13.900251729918599</v>
      </c>
      <c r="AL5602">
        <v>80.419469382402298</v>
      </c>
      <c r="AM5602">
        <v>85.980034609924104</v>
      </c>
      <c r="AN5602">
        <v>1.00000005478265</v>
      </c>
    </row>
    <row r="5603" spans="1:40" x14ac:dyDescent="0.25">
      <c r="A5603" t="str">
        <f>"20190303162930770"</f>
        <v>20190303162930770</v>
      </c>
      <c r="B5603" t="str">
        <f>"1551601770757017"</f>
        <v>1551601770757017</v>
      </c>
      <c r="C5603" t="s">
        <v>40</v>
      </c>
      <c r="D5603">
        <v>5.7089629999999998</v>
      </c>
      <c r="E5603">
        <v>0.52807869999999901</v>
      </c>
      <c r="F5603" t="s">
        <v>41</v>
      </c>
      <c r="G5603">
        <v>-302.79419999999999</v>
      </c>
      <c r="H5603" s="1">
        <v>-1.1496669999999999E-6</v>
      </c>
      <c r="I5603">
        <v>-19.464020000000001</v>
      </c>
      <c r="J5603">
        <v>-301.96370000000002</v>
      </c>
      <c r="K5603">
        <v>1.069944</v>
      </c>
      <c r="L5603">
        <v>-1.346344</v>
      </c>
      <c r="M5603">
        <v>8.0762009999999995E-2</v>
      </c>
      <c r="N5603">
        <v>-5.5815980000000001E-3</v>
      </c>
      <c r="O5603">
        <v>-0.99671790000000005</v>
      </c>
      <c r="P5603">
        <v>2.6474919999999999E-2</v>
      </c>
      <c r="Q5603">
        <v>0.1620296</v>
      </c>
      <c r="R5603">
        <v>-0.98643110000000001</v>
      </c>
      <c r="S5603">
        <v>-0.13415529999999901</v>
      </c>
      <c r="T5603">
        <v>-0.17708019999999999</v>
      </c>
      <c r="U5603">
        <v>-3.073334</v>
      </c>
      <c r="V5603">
        <v>5.6984069999999998E-2</v>
      </c>
      <c r="W5603">
        <v>0.16630300000000001</v>
      </c>
      <c r="X5603">
        <v>0.98442680000000005</v>
      </c>
      <c r="Y5603">
        <v>0.12407360000000001</v>
      </c>
      <c r="Z5603">
        <v>5.1408559999999999E-2</v>
      </c>
      <c r="AA5603">
        <v>0.99094040000000005</v>
      </c>
      <c r="AB5603">
        <v>30</v>
      </c>
      <c r="AC5603">
        <v>-0.83049999999997204</v>
      </c>
      <c r="AD5603">
        <v>-1.0699451496670001</v>
      </c>
      <c r="AE5603">
        <v>-18.117675999999999</v>
      </c>
      <c r="AF5603">
        <v>2.28308394227032</v>
      </c>
      <c r="AG5603">
        <v>-1.0699451496670001</v>
      </c>
      <c r="AH5603">
        <v>17.929020425404499</v>
      </c>
      <c r="AI5603">
        <v>93.387880770193306</v>
      </c>
      <c r="AJ5603">
        <v>82.743004613306894</v>
      </c>
      <c r="AK5603">
        <v>18.105441953327698</v>
      </c>
      <c r="AL5603">
        <v>80.427063232546601</v>
      </c>
      <c r="AM5603">
        <v>86.687100181170294</v>
      </c>
      <c r="AN5603">
        <v>0.99999999830050201</v>
      </c>
    </row>
    <row r="5604" spans="1:40" x14ac:dyDescent="0.25">
      <c r="A5604" t="str">
        <f>"20190303162930796"</f>
        <v>20190303162930796</v>
      </c>
      <c r="B5604" t="str">
        <f>"1551601770787273"</f>
        <v>1551601770787273</v>
      </c>
      <c r="C5604" t="s">
        <v>40</v>
      </c>
      <c r="D5604">
        <v>5.6902480000000004</v>
      </c>
      <c r="E5604">
        <v>0.52816030000000003</v>
      </c>
      <c r="F5604" t="s">
        <v>41</v>
      </c>
      <c r="G5604">
        <v>-302.8571</v>
      </c>
      <c r="H5604" s="1">
        <v>-8.1973239999999997E-7</v>
      </c>
      <c r="I5604">
        <v>-20.27214</v>
      </c>
      <c r="J5604">
        <v>-301.94600000000003</v>
      </c>
      <c r="K5604">
        <v>1.0729500000000001</v>
      </c>
      <c r="L5604">
        <v>-1.705597</v>
      </c>
      <c r="M5604">
        <v>6.8487030000000004E-2</v>
      </c>
      <c r="N5604">
        <v>-3.8626120000000001E-3</v>
      </c>
      <c r="O5604">
        <v>-0.99764459999999999</v>
      </c>
      <c r="P5604">
        <v>2.8238429999999998E-2</v>
      </c>
      <c r="Q5604">
        <v>0.16145799999999999</v>
      </c>
      <c r="R5604">
        <v>-0.98647560000000001</v>
      </c>
      <c r="S5604">
        <v>-0.14511109999999999</v>
      </c>
      <c r="T5604">
        <v>-0.17376739999999999</v>
      </c>
      <c r="U5604">
        <v>-3.0737000000000001</v>
      </c>
      <c r="V5604">
        <v>4.262606E-2</v>
      </c>
      <c r="W5604">
        <v>0.164461</v>
      </c>
      <c r="X5604">
        <v>0.98546210000000001</v>
      </c>
      <c r="Y5604">
        <v>0.1153805</v>
      </c>
      <c r="Z5604">
        <v>5.216196E-2</v>
      </c>
      <c r="AA5604">
        <v>0.99195089999999997</v>
      </c>
      <c r="AB5604">
        <v>30</v>
      </c>
      <c r="AC5604">
        <v>-0.91110000000003299</v>
      </c>
      <c r="AD5604">
        <v>-1.0729508197324</v>
      </c>
      <c r="AE5604">
        <v>-18.566542999999999</v>
      </c>
      <c r="AF5604">
        <v>2.1732969372505999</v>
      </c>
      <c r="AG5604">
        <v>-1.0729508197324</v>
      </c>
      <c r="AH5604">
        <v>18.399250284496599</v>
      </c>
      <c r="AI5604">
        <v>93.314429607843607</v>
      </c>
      <c r="AJ5604">
        <v>83.263506180778805</v>
      </c>
      <c r="AK5604">
        <v>18.5582018005672</v>
      </c>
      <c r="AL5604">
        <v>80.534075468263396</v>
      </c>
      <c r="AM5604">
        <v>87.523220956584893</v>
      </c>
      <c r="AN5604">
        <v>0.99999997602426605</v>
      </c>
    </row>
    <row r="5605" spans="1:40" x14ac:dyDescent="0.25">
      <c r="A5605" t="str">
        <f>"20190303162930851"</f>
        <v>20190303162930851</v>
      </c>
      <c r="B5605" t="str">
        <f>"1551601770847785"</f>
        <v>1551601770847785</v>
      </c>
      <c r="C5605" t="s">
        <v>40</v>
      </c>
      <c r="D5605">
        <v>5.6703929999999998</v>
      </c>
      <c r="E5605">
        <v>0.53629789999999999</v>
      </c>
      <c r="F5605" t="s">
        <v>41</v>
      </c>
      <c r="G5605">
        <v>-302.78120000000001</v>
      </c>
      <c r="H5605" s="1">
        <v>-9.8947900000000007E-7</v>
      </c>
      <c r="I5605">
        <v>-19.829339999999998</v>
      </c>
      <c r="J5605">
        <v>-301.91489999999999</v>
      </c>
      <c r="K5605">
        <v>1.0798399999999999</v>
      </c>
      <c r="L5605">
        <v>-2.4538880000000001</v>
      </c>
      <c r="M5605">
        <v>4.6490829999999997E-2</v>
      </c>
      <c r="N5605">
        <v>-3.446256E-3</v>
      </c>
      <c r="O5605">
        <v>-0.99891280000000005</v>
      </c>
      <c r="P5605">
        <v>2.4282600000000001E-2</v>
      </c>
      <c r="Q5605">
        <v>0.16525870000000001</v>
      </c>
      <c r="R5605">
        <v>-0.98595140000000003</v>
      </c>
      <c r="S5605">
        <v>-0.14169309999999999</v>
      </c>
      <c r="T5605">
        <v>-0.18204319999999999</v>
      </c>
      <c r="U5605">
        <v>-3.0749819999999999</v>
      </c>
      <c r="V5605">
        <v>2.4274299999999999E-2</v>
      </c>
      <c r="W5605">
        <v>0.16828969999999999</v>
      </c>
      <c r="X5605">
        <v>0.98543860000000005</v>
      </c>
      <c r="Y5605">
        <v>9.2341649999999997E-2</v>
      </c>
      <c r="Z5605">
        <v>5.5400409999999997E-2</v>
      </c>
      <c r="AA5605">
        <v>0.99418499999999999</v>
      </c>
      <c r="AB5605">
        <v>30</v>
      </c>
      <c r="AC5605">
        <v>-0.86630000000002305</v>
      </c>
      <c r="AD5605">
        <v>-1.079840989479</v>
      </c>
      <c r="AE5605">
        <v>-17.375451999999999</v>
      </c>
      <c r="AF5605">
        <v>1.66674570281899</v>
      </c>
      <c r="AG5605">
        <v>-1.079840989479</v>
      </c>
      <c r="AH5605">
        <v>17.249929337571999</v>
      </c>
      <c r="AI5605">
        <v>93.565464535852897</v>
      </c>
      <c r="AJ5605">
        <v>84.481023326682106</v>
      </c>
      <c r="AK5605">
        <v>17.363875142134901</v>
      </c>
      <c r="AL5605">
        <v>80.311606038157805</v>
      </c>
      <c r="AM5605">
        <v>88.588918949580702</v>
      </c>
      <c r="AN5605">
        <v>0.99999994956826799</v>
      </c>
    </row>
    <row r="5606" spans="1:40" x14ac:dyDescent="0.25">
      <c r="A5606" t="str">
        <f>"20190303162930876"</f>
        <v>20190303162930876</v>
      </c>
      <c r="B5606" t="str">
        <f>"1551601770867305"</f>
        <v>1551601770867305</v>
      </c>
      <c r="C5606" t="s">
        <v>40</v>
      </c>
      <c r="D5606">
        <v>5.6743579999999998</v>
      </c>
      <c r="E5606">
        <v>0.53636289999999998</v>
      </c>
      <c r="F5606" t="s">
        <v>44</v>
      </c>
      <c r="G5606">
        <v>-301.97669999999999</v>
      </c>
      <c r="H5606">
        <v>1.0062629999999999</v>
      </c>
      <c r="I5606">
        <v>-3.350565</v>
      </c>
      <c r="J5606">
        <v>-301.9042</v>
      </c>
      <c r="K5606">
        <v>1.083083</v>
      </c>
      <c r="L5606">
        <v>-2.7921450000000001</v>
      </c>
      <c r="M5606">
        <v>4.0265580000000002E-2</v>
      </c>
      <c r="N5606">
        <v>-3.428075E-3</v>
      </c>
      <c r="O5606">
        <v>-0.99918320000000005</v>
      </c>
      <c r="P5606">
        <v>2.8829839999999999E-2</v>
      </c>
      <c r="Q5606">
        <v>0.16830209999999901</v>
      </c>
      <c r="R5606">
        <v>-0.98531409999999997</v>
      </c>
      <c r="S5606">
        <v>-0.2120667</v>
      </c>
      <c r="T5606">
        <v>-0.25344480000000003</v>
      </c>
      <c r="U5606">
        <v>-3.0904539999999998</v>
      </c>
      <c r="V5606">
        <v>1.347901E-2</v>
      </c>
      <c r="W5606">
        <v>0.17149489999999901</v>
      </c>
      <c r="X5606">
        <v>0.98509279999999999</v>
      </c>
      <c r="Y5606">
        <v>0.1083504</v>
      </c>
      <c r="Z5606">
        <v>7.7877650000000007E-2</v>
      </c>
      <c r="AA5606">
        <v>0.99105759999999998</v>
      </c>
      <c r="AB5606">
        <v>30</v>
      </c>
      <c r="AC5606">
        <v>-7.2499999999990905E-2</v>
      </c>
      <c r="AD5606">
        <v>-7.6820000000000097E-2</v>
      </c>
      <c r="AE5606">
        <v>-0.55841999999999903</v>
      </c>
      <c r="AF5606">
        <v>9.3192051154851102E-2</v>
      </c>
      <c r="AG5606">
        <v>-7.6820000000000097E-2</v>
      </c>
      <c r="AH5606">
        <v>0.54490665191469101</v>
      </c>
      <c r="AI5606">
        <v>97.911198150530396</v>
      </c>
      <c r="AJ5606">
        <v>80.294947979491397</v>
      </c>
      <c r="AK5606">
        <v>0.55813020891125997</v>
      </c>
      <c r="AL5606">
        <v>80.125252965607302</v>
      </c>
      <c r="AM5606">
        <v>89.2160716296885</v>
      </c>
      <c r="AN5606">
        <v>1.0000000045242099</v>
      </c>
    </row>
    <row r="5607" spans="1:40" x14ac:dyDescent="0.25">
      <c r="A5607" t="str">
        <f>"20190303162930907"</f>
        <v>20190303162930907</v>
      </c>
      <c r="B5607" t="str">
        <f>"1551601770897561"</f>
        <v>1551601770897561</v>
      </c>
      <c r="C5607" t="s">
        <v>40</v>
      </c>
      <c r="D5607">
        <v>5.6976630000000004</v>
      </c>
      <c r="E5607">
        <v>0.53708059999999902</v>
      </c>
      <c r="F5607" t="s">
        <v>44</v>
      </c>
      <c r="G5607">
        <v>-301.95670000000001</v>
      </c>
      <c r="H5607">
        <v>1.017647</v>
      </c>
      <c r="I5607">
        <v>-3.6267200000000002</v>
      </c>
      <c r="J5607">
        <v>-301.8931</v>
      </c>
      <c r="K5607">
        <v>1.087823</v>
      </c>
      <c r="L5607">
        <v>-3.2105410000000001</v>
      </c>
      <c r="M5607">
        <v>3.4457300000000003E-2</v>
      </c>
      <c r="N5607">
        <v>-3.410756E-3</v>
      </c>
      <c r="O5607">
        <v>-0.99940030000000002</v>
      </c>
      <c r="P5607">
        <v>2.0159949999999999E-2</v>
      </c>
      <c r="Q5607">
        <v>0.17048720000000001</v>
      </c>
      <c r="R5607">
        <v>-0.98515370000000002</v>
      </c>
      <c r="S5607">
        <v>-0.19366459999999999</v>
      </c>
      <c r="T5607">
        <v>-0.24232210000000001</v>
      </c>
      <c r="U5607">
        <v>-3.0917659999999998</v>
      </c>
      <c r="V5607">
        <v>1.606724E-2</v>
      </c>
      <c r="W5607">
        <v>0.173651799999999</v>
      </c>
      <c r="X5607">
        <v>0.98467610000000005</v>
      </c>
      <c r="Y5607">
        <v>9.6682169999999998E-2</v>
      </c>
      <c r="Z5607">
        <v>7.4404020000000001E-2</v>
      </c>
      <c r="AA5607">
        <v>0.99253040000000003</v>
      </c>
      <c r="AB5607">
        <v>30</v>
      </c>
      <c r="AC5607">
        <v>-6.3600000000008095E-2</v>
      </c>
      <c r="AD5607">
        <v>-7.0176000000000002E-2</v>
      </c>
      <c r="AE5607">
        <v>-0.41617899999999902</v>
      </c>
      <c r="AF5607">
        <v>7.5796799983365998E-2</v>
      </c>
      <c r="AG5607">
        <v>-7.0176000000000002E-2</v>
      </c>
      <c r="AH5607">
        <v>0.40255584192376997</v>
      </c>
      <c r="AI5607">
        <v>99.721299871290697</v>
      </c>
      <c r="AJ5607">
        <v>79.336684990411499</v>
      </c>
      <c r="AK5607">
        <v>0.41559719889656799</v>
      </c>
      <c r="AL5607">
        <v>79.999789889083104</v>
      </c>
      <c r="AM5607">
        <v>89.065171430083495</v>
      </c>
      <c r="AN5607">
        <v>1.0000000628778301</v>
      </c>
    </row>
    <row r="5608" spans="1:40" x14ac:dyDescent="0.25">
      <c r="A5608" t="str">
        <f>"20190303162930932"</f>
        <v>20190303162930932</v>
      </c>
      <c r="B5608" t="str">
        <f>"1551601770927818"</f>
        <v>1551601770927818</v>
      </c>
      <c r="C5608" t="s">
        <v>40</v>
      </c>
      <c r="D5608">
        <v>5.7265169999999896</v>
      </c>
      <c r="E5608">
        <v>0.53480749999999999</v>
      </c>
      <c r="F5608" t="s">
        <v>44</v>
      </c>
      <c r="G5608">
        <v>-301.96050000000002</v>
      </c>
      <c r="H5608">
        <v>1.0151159999999999</v>
      </c>
      <c r="I5608">
        <v>-4.1676520000000004</v>
      </c>
      <c r="J5608">
        <v>-301.8845</v>
      </c>
      <c r="K5608">
        <v>1.092301</v>
      </c>
      <c r="L5608">
        <v>-3.5640260000000001</v>
      </c>
      <c r="M5608">
        <v>3.103036E-2</v>
      </c>
      <c r="N5608">
        <v>-3.7275799999999999E-3</v>
      </c>
      <c r="O5608">
        <v>-0.9995117</v>
      </c>
      <c r="P5608">
        <v>1.3486130000000001E-2</v>
      </c>
      <c r="Q5608">
        <v>0.16820929999999901</v>
      </c>
      <c r="R5608">
        <v>-0.98565950000000002</v>
      </c>
      <c r="S5608">
        <v>-0.21774289999999999</v>
      </c>
      <c r="T5608">
        <v>-0.23475219999999999</v>
      </c>
      <c r="U5608">
        <v>-3.0903019999999999</v>
      </c>
      <c r="V5608">
        <v>1.887865E-2</v>
      </c>
      <c r="W5608">
        <v>0.1716965</v>
      </c>
      <c r="X5608">
        <v>0.98496899999999998</v>
      </c>
      <c r="Y5608">
        <v>0.10100969999999999</v>
      </c>
      <c r="Z5608">
        <v>7.1683040000000003E-2</v>
      </c>
      <c r="AA5608">
        <v>0.99229959999999995</v>
      </c>
      <c r="AB5608">
        <v>30</v>
      </c>
      <c r="AC5608">
        <v>-7.60000000000218E-2</v>
      </c>
      <c r="AD5608">
        <v>-7.7185000000000004E-2</v>
      </c>
      <c r="AE5608">
        <v>-0.603625999999999</v>
      </c>
      <c r="AF5608">
        <v>9.3194268656469598E-2</v>
      </c>
      <c r="AG5608">
        <v>-7.7185000000000004E-2</v>
      </c>
      <c r="AH5608">
        <v>0.59145730259072804</v>
      </c>
      <c r="AI5608">
        <v>97.345447830850702</v>
      </c>
      <c r="AJ5608">
        <v>81.045684535107696</v>
      </c>
      <c r="AK5608">
        <v>0.60370890064940597</v>
      </c>
      <c r="AL5608">
        <v>80.113528295968706</v>
      </c>
      <c r="AM5608">
        <v>88.901960831377707</v>
      </c>
      <c r="AN5608">
        <v>1.00000001124953</v>
      </c>
    </row>
    <row r="5609" spans="1:40" x14ac:dyDescent="0.25">
      <c r="A5609" t="str">
        <f>"20190303162930977"</f>
        <v>20190303162930977</v>
      </c>
      <c r="B5609" t="str">
        <f>"1551601770967833"</f>
        <v>1551601770967833</v>
      </c>
      <c r="C5609" t="s">
        <v>40</v>
      </c>
      <c r="D5609">
        <v>5.7246180000000004</v>
      </c>
      <c r="E5609">
        <v>0.53558109999999903</v>
      </c>
      <c r="F5609" t="s">
        <v>41</v>
      </c>
      <c r="G5609">
        <v>-303.21609999999998</v>
      </c>
      <c r="H5609" s="1">
        <v>-4.1865380000000003E-6</v>
      </c>
      <c r="I5609">
        <v>-22.387260000000001</v>
      </c>
      <c r="J5609">
        <v>-301.8691</v>
      </c>
      <c r="K5609">
        <v>1.0997969999999999</v>
      </c>
      <c r="L5609">
        <v>-4.1778870000000001</v>
      </c>
      <c r="M5609">
        <v>2.8131070000000001E-2</v>
      </c>
      <c r="N5609">
        <v>-4.7537669999999999E-3</v>
      </c>
      <c r="O5609">
        <v>-0.99959299999999995</v>
      </c>
      <c r="P5609">
        <v>1.009811E-2</v>
      </c>
      <c r="Q5609">
        <v>0.15382109999999999</v>
      </c>
      <c r="R5609">
        <v>-0.98804740000000002</v>
      </c>
      <c r="S5609">
        <v>-0.21768190000000001</v>
      </c>
      <c r="T5609">
        <v>-0.1785622</v>
      </c>
      <c r="U5609">
        <v>-3.0770870000000001</v>
      </c>
      <c r="V5609">
        <v>1.857849E-2</v>
      </c>
      <c r="W5609">
        <v>0.15841540000000001</v>
      </c>
      <c r="X5609">
        <v>0.98719780000000001</v>
      </c>
      <c r="Y5609">
        <v>9.8486089999999998E-2</v>
      </c>
      <c r="Z5609">
        <v>5.2933910000000001E-2</v>
      </c>
      <c r="AA5609">
        <v>0.99372959999999999</v>
      </c>
      <c r="AB5609">
        <v>30</v>
      </c>
      <c r="AC5609">
        <v>-1.34699999999998</v>
      </c>
      <c r="AD5609">
        <v>-1.099801186538</v>
      </c>
      <c r="AE5609">
        <v>-18.209372999999999</v>
      </c>
      <c r="AF5609">
        <v>1.85200272376626</v>
      </c>
      <c r="AG5609">
        <v>-1.099801186538</v>
      </c>
      <c r="AH5609">
        <v>18.098611443502602</v>
      </c>
      <c r="AI5609">
        <v>93.459405082793893</v>
      </c>
      <c r="AJ5609">
        <v>84.157348492809405</v>
      </c>
      <c r="AK5609">
        <v>18.226332953219899</v>
      </c>
      <c r="AL5609">
        <v>80.885068109935901</v>
      </c>
      <c r="AM5609">
        <v>88.921853932866796</v>
      </c>
      <c r="AN5609">
        <v>1.00000004778633</v>
      </c>
    </row>
    <row r="5610" spans="1:40" x14ac:dyDescent="0.25">
      <c r="A5610" t="str">
        <f>"20190303162931000"</f>
        <v>20190303162931000</v>
      </c>
      <c r="B5610" t="str">
        <f>"1551601770987353"</f>
        <v>1551601770987353</v>
      </c>
      <c r="C5610" t="s">
        <v>40</v>
      </c>
      <c r="D5610">
        <v>5.690118</v>
      </c>
      <c r="E5610">
        <v>0.52863000000000004</v>
      </c>
      <c r="F5610" t="s">
        <v>44</v>
      </c>
      <c r="G5610">
        <v>-301.93099999999998</v>
      </c>
      <c r="H5610">
        <v>1.03755</v>
      </c>
      <c r="I5610">
        <v>-4.9954169999999998</v>
      </c>
      <c r="J5610">
        <v>-301.86099999999999</v>
      </c>
      <c r="K5610">
        <v>1.103081</v>
      </c>
      <c r="L5610">
        <v>-4.4802549999999997</v>
      </c>
      <c r="M5610">
        <v>2.8174390000000001E-2</v>
      </c>
      <c r="N5610">
        <v>-5.3435069999999999E-3</v>
      </c>
      <c r="O5610">
        <v>-0.9995889</v>
      </c>
      <c r="P5610">
        <v>7.7142699999999996E-3</v>
      </c>
      <c r="Q5610">
        <v>0.1502445</v>
      </c>
      <c r="R5610">
        <v>-0.98861929999999998</v>
      </c>
      <c r="S5610">
        <v>-0.23196410000000001</v>
      </c>
      <c r="T5610">
        <v>-0.23417840000000001</v>
      </c>
      <c r="U5610">
        <v>-3.0751339999999998</v>
      </c>
      <c r="V5610">
        <v>2.0697989999999999E-2</v>
      </c>
      <c r="W5610">
        <v>0.15545139999999999</v>
      </c>
      <c r="X5610">
        <v>0.98762669999999997</v>
      </c>
      <c r="Y5610">
        <v>0.10307520000000001</v>
      </c>
      <c r="Z5610">
        <v>7.0243319999999998E-2</v>
      </c>
      <c r="AA5610">
        <v>0.99219020000000002</v>
      </c>
      <c r="AB5610">
        <v>30</v>
      </c>
      <c r="AC5610">
        <v>-6.9999999999993096E-2</v>
      </c>
      <c r="AD5610">
        <v>-6.5530999999999895E-2</v>
      </c>
      <c r="AE5610">
        <v>-0.51516199999999901</v>
      </c>
      <c r="AF5610">
        <v>8.3165483947924598E-2</v>
      </c>
      <c r="AG5610">
        <v>-6.5530999999999895E-2</v>
      </c>
      <c r="AH5610">
        <v>0.50496256618895097</v>
      </c>
      <c r="AI5610">
        <v>97.296955115453997</v>
      </c>
      <c r="AJ5610">
        <v>80.647553327755602</v>
      </c>
      <c r="AK5610">
        <v>0.51594379823138004</v>
      </c>
      <c r="AL5610">
        <v>81.057023291401293</v>
      </c>
      <c r="AM5610">
        <v>88.799410853368698</v>
      </c>
      <c r="AN5610">
        <v>1.0000000215524401</v>
      </c>
    </row>
    <row r="5611" spans="1:40" x14ac:dyDescent="0.25">
      <c r="A5611" t="str">
        <f>"20190303162931022"</f>
        <v>20190303162931022</v>
      </c>
      <c r="B5611" t="str">
        <f>"1551601771017609"</f>
        <v>1551601771017609</v>
      </c>
      <c r="C5611" t="s">
        <v>40</v>
      </c>
      <c r="D5611">
        <v>5.751404</v>
      </c>
      <c r="E5611">
        <v>0.52736680000000002</v>
      </c>
      <c r="F5611" t="s">
        <v>44</v>
      </c>
      <c r="G5611">
        <v>-301.9076</v>
      </c>
      <c r="H5611">
        <v>1.0351669999999999</v>
      </c>
      <c r="I5611">
        <v>-5.263363</v>
      </c>
      <c r="J5611">
        <v>-301.85180000000003</v>
      </c>
      <c r="K5611">
        <v>1.1061030000000001</v>
      </c>
      <c r="L5611">
        <v>-4.7927249999999999</v>
      </c>
      <c r="M5611">
        <v>2.8948390000000001E-2</v>
      </c>
      <c r="N5611">
        <v>-5.9573380000000004E-3</v>
      </c>
      <c r="O5611">
        <v>-0.99956330000000004</v>
      </c>
      <c r="P5611">
        <v>6.7942109999999997E-3</v>
      </c>
      <c r="Q5611">
        <v>0.1514025</v>
      </c>
      <c r="R5611">
        <v>-0.98844900000000002</v>
      </c>
      <c r="S5611">
        <v>-0.18322749999999999</v>
      </c>
      <c r="T5611">
        <v>-0.26681719999999998</v>
      </c>
      <c r="U5611">
        <v>-3.076508</v>
      </c>
      <c r="V5611">
        <v>2.212447E-2</v>
      </c>
      <c r="W5611">
        <v>0.1572453</v>
      </c>
      <c r="X5611">
        <v>0.98731170000000001</v>
      </c>
      <c r="Y5611">
        <v>8.8108519999999996E-2</v>
      </c>
      <c r="Z5611">
        <v>8.0163150000000002E-2</v>
      </c>
      <c r="AA5611">
        <v>0.99287999999999998</v>
      </c>
      <c r="AB5611">
        <v>30</v>
      </c>
      <c r="AC5611">
        <v>-5.57999999999765E-2</v>
      </c>
      <c r="AD5611">
        <v>-7.0936000000000096E-2</v>
      </c>
      <c r="AE5611">
        <v>-0.470638</v>
      </c>
      <c r="AF5611">
        <v>6.7880374035709901E-2</v>
      </c>
      <c r="AG5611">
        <v>-7.0936000000000096E-2</v>
      </c>
      <c r="AH5611">
        <v>0.45855266493302999</v>
      </c>
      <c r="AI5611">
        <v>98.700354302079603</v>
      </c>
      <c r="AJ5611">
        <v>81.579554465631404</v>
      </c>
      <c r="AK5611">
        <v>0.468945847398622</v>
      </c>
      <c r="AL5611">
        <v>80.952960278576995</v>
      </c>
      <c r="AM5611">
        <v>88.716285206127196</v>
      </c>
      <c r="AN5611">
        <v>0.99999998475088003</v>
      </c>
    </row>
    <row r="5612" spans="1:40" x14ac:dyDescent="0.25">
      <c r="A5612" t="str">
        <f>"20190303162931045"</f>
        <v>20190303162931045</v>
      </c>
      <c r="B5612" t="str">
        <f>"1551601771037129"</f>
        <v>1551601771037129</v>
      </c>
      <c r="C5612" t="s">
        <v>40</v>
      </c>
      <c r="D5612">
        <v>5.73827</v>
      </c>
      <c r="E5612">
        <v>0.52551539999999997</v>
      </c>
      <c r="F5612" t="s">
        <v>44</v>
      </c>
      <c r="G5612">
        <v>-301.89600000000002</v>
      </c>
      <c r="H5612">
        <v>1.0438829999999999</v>
      </c>
      <c r="I5612">
        <v>-5.549639</v>
      </c>
      <c r="J5612">
        <v>-301.84210000000002</v>
      </c>
      <c r="K5612">
        <v>1.1086769999999999</v>
      </c>
      <c r="L5612">
        <v>-5.1054690000000003</v>
      </c>
      <c r="M5612">
        <v>3.0203009999999999E-2</v>
      </c>
      <c r="N5612">
        <v>-6.5478000000000003E-3</v>
      </c>
      <c r="O5612">
        <v>-0.99952249999999998</v>
      </c>
      <c r="P5612">
        <v>9.8952209999999992E-3</v>
      </c>
      <c r="Q5612">
        <v>0.15164920000000001</v>
      </c>
      <c r="R5612">
        <v>-0.98838510000000002</v>
      </c>
      <c r="S5612">
        <v>-0.17861939999999901</v>
      </c>
      <c r="T5612">
        <v>-0.25284250000000003</v>
      </c>
      <c r="U5612">
        <v>-3.0750120000000001</v>
      </c>
      <c r="V5612">
        <v>2.0068820000000001E-2</v>
      </c>
      <c r="W5612">
        <v>0.15810279999999999</v>
      </c>
      <c r="X5612">
        <v>0.9872187</v>
      </c>
      <c r="Y5612">
        <v>8.7926329999999997E-2</v>
      </c>
      <c r="Z5612">
        <v>7.5131890000000007E-2</v>
      </c>
      <c r="AA5612">
        <v>0.99328959999999999</v>
      </c>
      <c r="AB5612">
        <v>30</v>
      </c>
      <c r="AC5612">
        <v>-5.38999999999418E-2</v>
      </c>
      <c r="AD5612">
        <v>-6.4794000000000199E-2</v>
      </c>
      <c r="AE5612">
        <v>-0.44416999999999901</v>
      </c>
      <c r="AF5612">
        <v>6.5908781794959598E-2</v>
      </c>
      <c r="AG5612">
        <v>-6.4794000000000199E-2</v>
      </c>
      <c r="AH5612">
        <v>0.43325354843969099</v>
      </c>
      <c r="AI5612">
        <v>98.410316716002299</v>
      </c>
      <c r="AJ5612">
        <v>81.350186229041597</v>
      </c>
      <c r="AK5612">
        <v>0.443002107432097</v>
      </c>
      <c r="AL5612">
        <v>80.903206995932095</v>
      </c>
      <c r="AM5612">
        <v>88.835414756068403</v>
      </c>
      <c r="AN5612">
        <v>1.00000000726686</v>
      </c>
    </row>
    <row r="5613" spans="1:40" x14ac:dyDescent="0.25">
      <c r="A5613" t="str">
        <f>"20190303162931067"</f>
        <v>20190303162931067</v>
      </c>
      <c r="B5613" t="str">
        <f>"1551601771057625"</f>
        <v>1551601771057625</v>
      </c>
      <c r="C5613" t="s">
        <v>40</v>
      </c>
      <c r="D5613">
        <v>5.7214119999999999</v>
      </c>
      <c r="E5613">
        <v>0.52517040000000004</v>
      </c>
      <c r="F5613" t="s">
        <v>44</v>
      </c>
      <c r="G5613">
        <v>-301.89249999999998</v>
      </c>
      <c r="H5613">
        <v>1.0322659999999999</v>
      </c>
      <c r="I5613">
        <v>-6.0755720000000002</v>
      </c>
      <c r="J5613">
        <v>-301.83249999999998</v>
      </c>
      <c r="K5613">
        <v>1.110698</v>
      </c>
      <c r="L5613">
        <v>-5.3945919999999896</v>
      </c>
      <c r="M5613">
        <v>3.1535929999999997E-2</v>
      </c>
      <c r="N5613">
        <v>-7.0610660000000004E-3</v>
      </c>
      <c r="O5613">
        <v>-0.99947790000000003</v>
      </c>
      <c r="P5613">
        <v>1.465461E-2</v>
      </c>
      <c r="Q5613">
        <v>0.1502492</v>
      </c>
      <c r="R5613">
        <v>-0.98853979999999997</v>
      </c>
      <c r="S5613">
        <v>-0.1590271</v>
      </c>
      <c r="T5613">
        <v>-0.24219260000000001</v>
      </c>
      <c r="U5613">
        <v>-3.0740050000000001</v>
      </c>
      <c r="V5613">
        <v>1.6501269999999998E-2</v>
      </c>
      <c r="W5613">
        <v>0.15722839999999999</v>
      </c>
      <c r="X5613">
        <v>0.98742439999999998</v>
      </c>
      <c r="Y5613">
        <v>8.2976010000000003E-2</v>
      </c>
      <c r="Z5613">
        <v>7.1250869999999994E-2</v>
      </c>
      <c r="AA5613">
        <v>0.99400120000000003</v>
      </c>
      <c r="AB5613">
        <v>30</v>
      </c>
      <c r="AC5613">
        <v>-6.0000000000002197E-2</v>
      </c>
      <c r="AD5613">
        <v>-7.8432000000000002E-2</v>
      </c>
      <c r="AE5613">
        <v>-0.68098000000000003</v>
      </c>
      <c r="AF5613">
        <v>8.0387867299415799E-2</v>
      </c>
      <c r="AG5613">
        <v>-7.8432000000000002E-2</v>
      </c>
      <c r="AH5613">
        <v>0.669930684280172</v>
      </c>
      <c r="AI5613">
        <v>96.630358752859905</v>
      </c>
      <c r="AJ5613">
        <v>83.157548217854</v>
      </c>
      <c r="AK5613">
        <v>0.67927969907325203</v>
      </c>
      <c r="AL5613">
        <v>80.953940946546396</v>
      </c>
      <c r="AM5613">
        <v>89.042594927204107</v>
      </c>
      <c r="AN5613">
        <v>1.00000000369676</v>
      </c>
    </row>
    <row r="5614" spans="1:40" x14ac:dyDescent="0.25">
      <c r="A5614" t="str">
        <f>"20190303162931098"</f>
        <v>20190303162931098</v>
      </c>
      <c r="B5614" t="str">
        <f>"1551601771087883"</f>
        <v>1551601771087883</v>
      </c>
      <c r="C5614" t="s">
        <v>40</v>
      </c>
      <c r="D5614">
        <v>5.7339769999999897</v>
      </c>
      <c r="E5614">
        <v>0.52370909999999904</v>
      </c>
      <c r="F5614" t="s">
        <v>44</v>
      </c>
      <c r="G5614">
        <v>-301.8775</v>
      </c>
      <c r="H5614">
        <v>1.0347759999999999</v>
      </c>
      <c r="I5614">
        <v>-6.348312</v>
      </c>
      <c r="J5614">
        <v>-301.81720000000001</v>
      </c>
      <c r="K5614">
        <v>1.1131500000000001</v>
      </c>
      <c r="L5614">
        <v>-5.8280940000000001</v>
      </c>
      <c r="M5614">
        <v>3.3588350000000003E-2</v>
      </c>
      <c r="N5614">
        <v>-7.762639E-3</v>
      </c>
      <c r="O5614">
        <v>-0.99940580000000001</v>
      </c>
      <c r="P5614">
        <v>2.4978119999999999E-2</v>
      </c>
      <c r="Q5614">
        <v>0.1424684</v>
      </c>
      <c r="R5614">
        <v>-0.98948440000000004</v>
      </c>
      <c r="S5614">
        <v>-0.14450070000000001</v>
      </c>
      <c r="T5614">
        <v>-0.24475839999999999</v>
      </c>
      <c r="U5614">
        <v>-3.0741269999999998</v>
      </c>
      <c r="V5614">
        <v>8.1177039999999999E-3</v>
      </c>
      <c r="W5614">
        <v>0.15015609999999999</v>
      </c>
      <c r="X5614">
        <v>0.98862899999999998</v>
      </c>
      <c r="Y5614">
        <v>8.0332210000000001E-2</v>
      </c>
      <c r="Z5614">
        <v>7.1382150000000005E-2</v>
      </c>
      <c r="AA5614">
        <v>0.99420889999999995</v>
      </c>
      <c r="AB5614">
        <v>30</v>
      </c>
      <c r="AC5614">
        <v>-6.0299999999983797E-2</v>
      </c>
      <c r="AD5614">
        <v>-7.8374000000000096E-2</v>
      </c>
      <c r="AE5614">
        <v>-0.52021799999999896</v>
      </c>
      <c r="AF5614">
        <v>7.6036814894785504E-2</v>
      </c>
      <c r="AG5614">
        <v>-7.8374000000000096E-2</v>
      </c>
      <c r="AH5614">
        <v>0.50655405615348903</v>
      </c>
      <c r="AI5614">
        <v>98.699119013216702</v>
      </c>
      <c r="AJ5614">
        <v>81.463293474424702</v>
      </c>
      <c r="AK5614">
        <v>0.51819020919050196</v>
      </c>
      <c r="AL5614">
        <v>81.364027335238205</v>
      </c>
      <c r="AM5614">
        <v>89.529550795982203</v>
      </c>
      <c r="AN5614">
        <v>1.00000002556322</v>
      </c>
    </row>
    <row r="5615" spans="1:40" x14ac:dyDescent="0.25">
      <c r="A5615" t="str">
        <f>"20190303162931132"</f>
        <v>20190303162931132</v>
      </c>
      <c r="B5615" t="str">
        <f>"1551601771118137"</f>
        <v>1551601771118137</v>
      </c>
      <c r="C5615" t="s">
        <v>40</v>
      </c>
      <c r="D5615">
        <v>6.0734899999999996</v>
      </c>
      <c r="E5615">
        <v>0.5039266</v>
      </c>
      <c r="F5615" t="s">
        <v>44</v>
      </c>
      <c r="G5615">
        <v>-301.84410000000003</v>
      </c>
      <c r="H5615">
        <v>1.0449459999999999</v>
      </c>
      <c r="I5615">
        <v>-6.6260589999999997</v>
      </c>
      <c r="J5615">
        <v>-301.8005</v>
      </c>
      <c r="K5615">
        <v>1.1151199999999999</v>
      </c>
      <c r="L5615">
        <v>-6.2719420000000001</v>
      </c>
      <c r="M5615">
        <v>3.554744E-2</v>
      </c>
      <c r="N5615">
        <v>-8.3944569999999993E-3</v>
      </c>
      <c r="O5615">
        <v>-0.99933289999999997</v>
      </c>
      <c r="P5615">
        <v>3.1029439999999998E-2</v>
      </c>
      <c r="Q5615">
        <v>0.13726179999999999</v>
      </c>
      <c r="R5615">
        <v>-0.99004890000000001</v>
      </c>
      <c r="S5615">
        <v>-0.1021729</v>
      </c>
      <c r="T5615">
        <v>-0.26268079999999999</v>
      </c>
      <c r="U5615">
        <v>-3.0722960000000001</v>
      </c>
      <c r="V5615">
        <v>3.9648030000000003E-3</v>
      </c>
      <c r="W5615">
        <v>0.14557829999999999</v>
      </c>
      <c r="X5615">
        <v>0.98933879999999996</v>
      </c>
      <c r="Y5615">
        <v>6.8620929999999997E-2</v>
      </c>
      <c r="Z5615">
        <v>7.6612650000000004E-2</v>
      </c>
      <c r="AA5615">
        <v>0.99469680000000005</v>
      </c>
      <c r="AB5615">
        <v>31</v>
      </c>
      <c r="AC5615">
        <v>-4.3600000000026201E-2</v>
      </c>
      <c r="AD5615">
        <v>-7.0174000000000097E-2</v>
      </c>
      <c r="AE5615">
        <v>-0.35411699999999902</v>
      </c>
      <c r="AF5615">
        <v>5.4069253772025497E-2</v>
      </c>
      <c r="AG5615">
        <v>-7.0174000000000097E-2</v>
      </c>
      <c r="AH5615">
        <v>0.33922103107576401</v>
      </c>
      <c r="AI5615">
        <v>101.546041055429</v>
      </c>
      <c r="AJ5615">
        <v>80.943670326161694</v>
      </c>
      <c r="AK5615">
        <v>0.350597750140483</v>
      </c>
      <c r="AL5615">
        <v>81.629231406089801</v>
      </c>
      <c r="AM5615">
        <v>89.770386785200998</v>
      </c>
      <c r="AN5615">
        <v>1.0000000111395699</v>
      </c>
    </row>
    <row r="5616" spans="1:40" x14ac:dyDescent="0.25">
      <c r="A5616" t="str">
        <f>"20190303162931155"</f>
        <v>20190303162931155</v>
      </c>
      <c r="B5616" t="str">
        <f>"1551601771147417"</f>
        <v>1551601771147417</v>
      </c>
      <c r="C5616" t="s">
        <v>40</v>
      </c>
      <c r="D5616">
        <v>5.813428</v>
      </c>
      <c r="E5616">
        <v>0.4590495</v>
      </c>
      <c r="F5616" t="s">
        <v>44</v>
      </c>
      <c r="G5616">
        <v>-301.77850000000001</v>
      </c>
      <c r="H5616">
        <v>1.035245</v>
      </c>
      <c r="I5616">
        <v>-7.1632059999999997</v>
      </c>
      <c r="J5616">
        <v>-301.7876</v>
      </c>
      <c r="K5616">
        <v>1.1162719999999999</v>
      </c>
      <c r="L5616">
        <v>-6.59951799999999</v>
      </c>
      <c r="M5616">
        <v>3.6867709999999998E-2</v>
      </c>
      <c r="N5616">
        <v>-8.8073839999999997E-3</v>
      </c>
      <c r="O5616">
        <v>-0.99928119999999998</v>
      </c>
      <c r="P5616">
        <v>3.5999059999999999E-2</v>
      </c>
      <c r="Q5616">
        <v>0.1331068</v>
      </c>
      <c r="R5616">
        <v>-0.99044790000000005</v>
      </c>
      <c r="S5616">
        <v>7.6080320000000007E-2</v>
      </c>
      <c r="T5616">
        <v>-0.27477940000000001</v>
      </c>
      <c r="U5616">
        <v>-3.0658569999999998</v>
      </c>
      <c r="V5616">
        <v>3.0314079999999998E-4</v>
      </c>
      <c r="W5616">
        <v>0.1418315</v>
      </c>
      <c r="X5616">
        <v>0.98989079999999996</v>
      </c>
      <c r="Y5616">
        <v>1.214207E-2</v>
      </c>
      <c r="Z5616">
        <v>8.0388409999999993E-2</v>
      </c>
      <c r="AA5616">
        <v>0.99668970000000001</v>
      </c>
      <c r="AB5616">
        <v>31</v>
      </c>
      <c r="AC5616">
        <v>9.0999999999894499E-3</v>
      </c>
      <c r="AD5616">
        <v>-8.1026999999999905E-2</v>
      </c>
      <c r="AE5616">
        <v>-0.56368799999999997</v>
      </c>
      <c r="AF5616">
        <v>1.1452310615469599E-2</v>
      </c>
      <c r="AG5616">
        <v>-8.1026999999999905E-2</v>
      </c>
      <c r="AH5616">
        <v>0.55223274705281999</v>
      </c>
      <c r="AI5616">
        <v>98.345460361356601</v>
      </c>
      <c r="AJ5616">
        <v>88.811959223903997</v>
      </c>
      <c r="AK5616">
        <v>0.55826296408138698</v>
      </c>
      <c r="AL5616">
        <v>81.846159111605203</v>
      </c>
      <c r="AM5616">
        <v>89.982453935428694</v>
      </c>
      <c r="AN5616">
        <v>1.0000000311056101</v>
      </c>
    </row>
    <row r="5617" spans="1:40" x14ac:dyDescent="0.25">
      <c r="A5617" t="str">
        <f>"20190303162931176"</f>
        <v>20190303162931176</v>
      </c>
      <c r="B5617" t="str">
        <f>"1551601771167913"</f>
        <v>1551601771167913</v>
      </c>
      <c r="C5617" t="s">
        <v>40</v>
      </c>
      <c r="D5617">
        <v>6.0394860000000001</v>
      </c>
      <c r="E5617">
        <v>0.45990750000000002</v>
      </c>
      <c r="F5617" t="s">
        <v>41</v>
      </c>
      <c r="G5617">
        <v>-299.86779999999999</v>
      </c>
      <c r="H5617" s="1">
        <v>-3.7403690000000001E-7</v>
      </c>
      <c r="I5617">
        <v>-19.549980000000001</v>
      </c>
      <c r="J5617">
        <v>-301.77569999999997</v>
      </c>
      <c r="K5617">
        <v>1.117156</v>
      </c>
      <c r="L5617">
        <v>-6.8944089999999996</v>
      </c>
      <c r="M5617">
        <v>3.7977799999999999E-2</v>
      </c>
      <c r="N5617">
        <v>-9.142453E-3</v>
      </c>
      <c r="O5617">
        <v>-0.99923680000000004</v>
      </c>
      <c r="P5617">
        <v>3.9015750000000002E-2</v>
      </c>
      <c r="Q5617">
        <v>0.132749799999999</v>
      </c>
      <c r="R5617">
        <v>-0.99038139999999997</v>
      </c>
      <c r="S5617">
        <v>0.45181270000000001</v>
      </c>
      <c r="T5617">
        <v>-0.26270880000000002</v>
      </c>
      <c r="U5617">
        <v>-3.0478209999999999</v>
      </c>
      <c r="V5617">
        <v>-1.624042E-3</v>
      </c>
      <c r="W5617">
        <v>0.14180319999999999</v>
      </c>
      <c r="X5617">
        <v>0.98989360000000004</v>
      </c>
      <c r="Y5617">
        <v>-0.1084936</v>
      </c>
      <c r="Z5617">
        <v>7.5982910000000001E-2</v>
      </c>
      <c r="AA5617">
        <v>0.99118910000000005</v>
      </c>
      <c r="AB5617">
        <v>31</v>
      </c>
      <c r="AC5617">
        <v>1.9078999999999799</v>
      </c>
      <c r="AD5617">
        <v>-1.1171563740368999</v>
      </c>
      <c r="AE5617">
        <v>-12.655570999999901</v>
      </c>
      <c r="AF5617">
        <v>-1.41509093847514</v>
      </c>
      <c r="AG5617">
        <v>-1.1171563740368999</v>
      </c>
      <c r="AH5617">
        <v>12.622727139480199</v>
      </c>
      <c r="AI5617">
        <v>95.026378803337394</v>
      </c>
      <c r="AJ5617">
        <v>96.396526931463598</v>
      </c>
      <c r="AK5617">
        <v>12.750833743954701</v>
      </c>
      <c r="AL5617">
        <v>81.847797392967095</v>
      </c>
      <c r="AM5617">
        <v>90.094000677310802</v>
      </c>
      <c r="AN5617">
        <v>1.0000000621817999</v>
      </c>
    </row>
    <row r="5618" spans="1:40" x14ac:dyDescent="0.25">
      <c r="A5618" t="str">
        <f>"20190303162931201"</f>
        <v>20190303162931201</v>
      </c>
      <c r="B5618" t="str">
        <f>"1551601771187433"</f>
        <v>1551601771187433</v>
      </c>
      <c r="C5618" t="s">
        <v>40</v>
      </c>
      <c r="D5618">
        <v>5.9219269999999904</v>
      </c>
      <c r="E5618">
        <v>0.46175280000000002</v>
      </c>
      <c r="F5618" t="s">
        <v>41</v>
      </c>
      <c r="G5618">
        <v>-299.7867</v>
      </c>
      <c r="H5618" s="1">
        <v>-1.158975E-7</v>
      </c>
      <c r="I5618">
        <v>-20.185269999999999</v>
      </c>
      <c r="J5618">
        <v>-301.76240000000001</v>
      </c>
      <c r="K5618">
        <v>1.117982</v>
      </c>
      <c r="L5618">
        <v>-7.2143550000000003</v>
      </c>
      <c r="M5618">
        <v>3.9116959999999999E-2</v>
      </c>
      <c r="N5618">
        <v>-9.4700570000000005E-3</v>
      </c>
      <c r="O5618">
        <v>-0.99918989999999996</v>
      </c>
      <c r="P5618">
        <v>4.0876820000000001E-2</v>
      </c>
      <c r="Q5618">
        <v>0.1359301</v>
      </c>
      <c r="R5618">
        <v>-0.9898749</v>
      </c>
      <c r="S5618">
        <v>0.45578000000000002</v>
      </c>
      <c r="T5618">
        <v>-0.25598799999999999</v>
      </c>
      <c r="U5618">
        <v>-3.0455019999999999</v>
      </c>
      <c r="V5618">
        <v>-2.3865430000000001E-3</v>
      </c>
      <c r="W5618">
        <v>0.14530190000000001</v>
      </c>
      <c r="X5618">
        <v>0.9893845</v>
      </c>
      <c r="Y5618">
        <v>-0.1087591</v>
      </c>
      <c r="Z5618">
        <v>7.3543020000000001E-2</v>
      </c>
      <c r="AA5618">
        <v>0.991344</v>
      </c>
      <c r="AB5618">
        <v>31</v>
      </c>
      <c r="AC5618">
        <v>1.97570000000001</v>
      </c>
      <c r="AD5618">
        <v>-1.1179821158975001</v>
      </c>
      <c r="AE5618">
        <v>-12.970915</v>
      </c>
      <c r="AF5618">
        <v>-1.4562094577187901</v>
      </c>
      <c r="AG5618">
        <v>-1.1179821158975001</v>
      </c>
      <c r="AH5618">
        <v>12.9442912381976</v>
      </c>
      <c r="AI5618">
        <v>94.905522579285702</v>
      </c>
      <c r="AJ5618">
        <v>96.418684856811495</v>
      </c>
      <c r="AK5618">
        <v>13.0738328601637</v>
      </c>
      <c r="AL5618">
        <v>81.645238176332697</v>
      </c>
      <c r="AM5618">
        <v>90.138205698920999</v>
      </c>
      <c r="AN5618">
        <v>1.0000000132856699</v>
      </c>
    </row>
    <row r="5619" spans="1:40" x14ac:dyDescent="0.25">
      <c r="A5619" t="str">
        <f>"20190303162931234"</f>
        <v>20190303162931234</v>
      </c>
      <c r="B5619" t="str">
        <f>"1551601771227449"</f>
        <v>1551601771227449</v>
      </c>
      <c r="C5619" t="s">
        <v>40</v>
      </c>
      <c r="D5619">
        <v>5.9746969999999999</v>
      </c>
      <c r="E5619">
        <v>0.46414860000000002</v>
      </c>
      <c r="F5619" t="s">
        <v>41</v>
      </c>
      <c r="G5619">
        <v>-299.61799999999999</v>
      </c>
      <c r="H5619" s="1">
        <v>-3.742179E-6</v>
      </c>
      <c r="I5619">
        <v>-21.802060000000001</v>
      </c>
      <c r="J5619">
        <v>-301.74349999999998</v>
      </c>
      <c r="K5619">
        <v>1.118916</v>
      </c>
      <c r="L5619">
        <v>-7.6560670000000002</v>
      </c>
      <c r="M5619">
        <v>4.0610019999999997E-2</v>
      </c>
      <c r="N5619">
        <v>-9.8617679999999999E-3</v>
      </c>
      <c r="O5619">
        <v>-0.99912650000000003</v>
      </c>
      <c r="P5619">
        <v>4.0592759999999999E-2</v>
      </c>
      <c r="Q5619">
        <v>0.142095899999999</v>
      </c>
      <c r="R5619">
        <v>-0.98902040000000002</v>
      </c>
      <c r="S5619">
        <v>0.44750980000000001</v>
      </c>
      <c r="T5619">
        <v>-0.23330809999999999</v>
      </c>
      <c r="U5619">
        <v>-3.0442499999999999</v>
      </c>
      <c r="V5619">
        <v>-6.7615350000000004E-4</v>
      </c>
      <c r="W5619">
        <v>0.1518497</v>
      </c>
      <c r="X5619">
        <v>0.98840340000000004</v>
      </c>
      <c r="Y5619">
        <v>-0.1047782</v>
      </c>
      <c r="Z5619">
        <v>6.5898289999999998E-2</v>
      </c>
      <c r="AA5619">
        <v>0.99230989999999997</v>
      </c>
      <c r="AB5619">
        <v>31</v>
      </c>
      <c r="AC5619">
        <v>2.1254999999999802</v>
      </c>
      <c r="AD5619">
        <v>-1.118919742179</v>
      </c>
      <c r="AE5619">
        <v>-14.145992999999899</v>
      </c>
      <c r="AF5619">
        <v>-1.53982827869738</v>
      </c>
      <c r="AG5619">
        <v>-1.118919742179</v>
      </c>
      <c r="AH5619">
        <v>14.1341652913303</v>
      </c>
      <c r="AI5619">
        <v>94.499819751176801</v>
      </c>
      <c r="AJ5619">
        <v>96.217493730992004</v>
      </c>
      <c r="AK5619">
        <v>14.261755887686499</v>
      </c>
      <c r="AL5619">
        <v>81.265865685472605</v>
      </c>
      <c r="AM5619">
        <v>90.039195267650598</v>
      </c>
      <c r="AN5619">
        <v>1.0000000348525999</v>
      </c>
    </row>
    <row r="5620" spans="1:40" x14ac:dyDescent="0.25">
      <c r="A5620" t="str">
        <f>"20190303162931286"</f>
        <v>20190303162931286</v>
      </c>
      <c r="B5620" t="str">
        <f>"1551601771277225"</f>
        <v>1551601771277225</v>
      </c>
      <c r="C5620" t="s">
        <v>40</v>
      </c>
      <c r="D5620">
        <v>6.0246449999999996</v>
      </c>
      <c r="E5620">
        <v>0.46499410000000002</v>
      </c>
      <c r="F5620" t="s">
        <v>41</v>
      </c>
      <c r="G5620">
        <v>-299.34050000000002</v>
      </c>
      <c r="H5620" s="1">
        <v>-2.5494070000000001E-6</v>
      </c>
      <c r="I5620">
        <v>-24.69717</v>
      </c>
      <c r="J5620">
        <v>-301.71129999999999</v>
      </c>
      <c r="K5620">
        <v>1.1200049999999999</v>
      </c>
      <c r="L5620">
        <v>-8.3709410000000002</v>
      </c>
      <c r="M5620">
        <v>4.2959369999999997E-2</v>
      </c>
      <c r="N5620">
        <v>-1.03775E-2</v>
      </c>
      <c r="O5620">
        <v>-0.99902310000000005</v>
      </c>
      <c r="P5620">
        <v>4.1578740000000003E-2</v>
      </c>
      <c r="Q5620">
        <v>0.14315559999999999</v>
      </c>
      <c r="R5620">
        <v>-0.9888266</v>
      </c>
      <c r="S5620">
        <v>0.42929079999999997</v>
      </c>
      <c r="T5620">
        <v>-0.1998954</v>
      </c>
      <c r="U5620">
        <v>-3.044403</v>
      </c>
      <c r="V5620">
        <v>6.4662689999999995E-4</v>
      </c>
      <c r="W5620">
        <v>0.1534199</v>
      </c>
      <c r="X5620">
        <v>0.98816079999999995</v>
      </c>
      <c r="Y5620">
        <v>-9.6712580000000006E-2</v>
      </c>
      <c r="Z5620">
        <v>5.462728E-2</v>
      </c>
      <c r="AA5620">
        <v>0.99381209999999998</v>
      </c>
      <c r="AB5620">
        <v>31</v>
      </c>
      <c r="AC5620">
        <v>2.3707999999999698</v>
      </c>
      <c r="AD5620">
        <v>-1.1200075494070001</v>
      </c>
      <c r="AE5620">
        <v>-16.326228999999898</v>
      </c>
      <c r="AF5620">
        <v>-1.6595600103385399</v>
      </c>
      <c r="AG5620">
        <v>-1.1200075494070001</v>
      </c>
      <c r="AH5620">
        <v>16.337708273155702</v>
      </c>
      <c r="AI5620">
        <v>93.901677107741506</v>
      </c>
      <c r="AJ5620">
        <v>95.800125384222</v>
      </c>
      <c r="AK5620">
        <v>16.4599291601569</v>
      </c>
      <c r="AL5620">
        <v>81.174832211907997</v>
      </c>
      <c r="AM5620">
        <v>89.962507127381002</v>
      </c>
      <c r="AN5620">
        <v>0.99999992524949599</v>
      </c>
    </row>
    <row r="5621" spans="1:40" x14ac:dyDescent="0.25">
      <c r="A5621" t="str">
        <f>"20190303162931311"</f>
        <v>20190303162931311</v>
      </c>
      <c r="B5621" t="str">
        <f>"1551601771297721"</f>
        <v>1551601771297721</v>
      </c>
      <c r="C5621" t="s">
        <v>40</v>
      </c>
      <c r="D5621">
        <v>6.0222230000000003</v>
      </c>
      <c r="E5621">
        <v>0.46509800000000001</v>
      </c>
      <c r="F5621" t="s">
        <v>41</v>
      </c>
      <c r="G5621">
        <v>-299.27550000000002</v>
      </c>
      <c r="H5621" s="1">
        <v>-2.0514570000000001E-6</v>
      </c>
      <c r="I5621">
        <v>-25.884799999999998</v>
      </c>
      <c r="J5621">
        <v>-301.69510000000002</v>
      </c>
      <c r="K5621">
        <v>1.120393</v>
      </c>
      <c r="L5621">
        <v>-8.71816999999999</v>
      </c>
      <c r="M5621">
        <v>4.4103570000000002E-2</v>
      </c>
      <c r="N5621">
        <v>-1.0579699999999999E-2</v>
      </c>
      <c r="O5621">
        <v>-0.9989711</v>
      </c>
      <c r="P5621">
        <v>4.2168980000000002E-2</v>
      </c>
      <c r="Q5621">
        <v>0.14697299999999999</v>
      </c>
      <c r="R5621">
        <v>-0.98824160000000005</v>
      </c>
      <c r="S5621">
        <v>0.42340090000000002</v>
      </c>
      <c r="T5621">
        <v>-0.19468099999999999</v>
      </c>
      <c r="U5621">
        <v>-3.0442809999999998</v>
      </c>
      <c r="V5621">
        <v>1.154441E-3</v>
      </c>
      <c r="W5621">
        <v>0.1574323</v>
      </c>
      <c r="X5621">
        <v>0.98752910000000005</v>
      </c>
      <c r="Y5621">
        <v>-9.3706880000000006E-2</v>
      </c>
      <c r="Z5621">
        <v>5.2753170000000002E-2</v>
      </c>
      <c r="AA5621">
        <v>0.99420120000000001</v>
      </c>
      <c r="AB5621">
        <v>31</v>
      </c>
      <c r="AC5621">
        <v>2.4196</v>
      </c>
      <c r="AD5621">
        <v>-1.120395051457</v>
      </c>
      <c r="AE5621">
        <v>-17.166629999999898</v>
      </c>
      <c r="AF5621">
        <v>-1.65318864977716</v>
      </c>
      <c r="AG5621">
        <v>-1.120395051457</v>
      </c>
      <c r="AH5621">
        <v>17.1848680070493</v>
      </c>
      <c r="AI5621">
        <v>93.713117427940702</v>
      </c>
      <c r="AJ5621">
        <v>95.494959103028194</v>
      </c>
      <c r="AK5621">
        <v>17.300520402658002</v>
      </c>
      <c r="AL5621">
        <v>80.942110905893202</v>
      </c>
      <c r="AM5621">
        <v>89.933020133922398</v>
      </c>
      <c r="AN5621">
        <v>0.99999999258206096</v>
      </c>
    </row>
    <row r="5622" spans="1:40" x14ac:dyDescent="0.25">
      <c r="A5622" t="str">
        <f>"20190303162931335"</f>
        <v>20190303162931335</v>
      </c>
      <c r="B5622" t="str">
        <f>"1551601771327977"</f>
        <v>1551601771327977</v>
      </c>
      <c r="C5622" t="s">
        <v>40</v>
      </c>
      <c r="D5622">
        <v>5.4886819999999998</v>
      </c>
      <c r="E5622">
        <v>0.46566449999999998</v>
      </c>
      <c r="F5622" t="s">
        <v>41</v>
      </c>
      <c r="G5622">
        <v>-299.11279999999999</v>
      </c>
      <c r="H5622" s="1">
        <v>-1.500566E-6</v>
      </c>
      <c r="I5622">
        <v>-27.236219999999999</v>
      </c>
      <c r="J5622">
        <v>-301.67930000000001</v>
      </c>
      <c r="K5622">
        <v>1.1207100000000001</v>
      </c>
      <c r="L5622">
        <v>-9.0487369999999991</v>
      </c>
      <c r="M5622">
        <v>4.5200079999999997E-2</v>
      </c>
      <c r="N5622">
        <v>-1.0749460000000001E-2</v>
      </c>
      <c r="O5622">
        <v>-0.99892009999999998</v>
      </c>
      <c r="P5622">
        <v>4.1497470000000002E-2</v>
      </c>
      <c r="Q5622">
        <v>0.153331299999999</v>
      </c>
      <c r="R5622">
        <v>-0.98730329999999999</v>
      </c>
      <c r="S5622">
        <v>0.42462159999999899</v>
      </c>
      <c r="T5622">
        <v>-0.18423010000000001</v>
      </c>
      <c r="U5622">
        <v>-3.0449830000000002</v>
      </c>
      <c r="V5622">
        <v>2.8541840000000001E-3</v>
      </c>
      <c r="W5622">
        <v>0.1639506</v>
      </c>
      <c r="X5622">
        <v>0.98646440000000002</v>
      </c>
      <c r="Y5622">
        <v>-9.3000139999999995E-2</v>
      </c>
      <c r="Z5622">
        <v>4.9180719999999997E-2</v>
      </c>
      <c r="AA5622">
        <v>0.99445070000000002</v>
      </c>
      <c r="AB5622">
        <v>31</v>
      </c>
      <c r="AC5622">
        <v>2.5665000000000102</v>
      </c>
      <c r="AD5622">
        <v>-1.120711500566</v>
      </c>
      <c r="AE5622">
        <v>-18.187483</v>
      </c>
      <c r="AF5622">
        <v>-1.7352931224185399</v>
      </c>
      <c r="AG5622">
        <v>-1.120711500566</v>
      </c>
      <c r="AH5622">
        <v>18.2170850527026</v>
      </c>
      <c r="AI5622">
        <v>93.504564306868801</v>
      </c>
      <c r="AJ5622">
        <v>95.441368837303301</v>
      </c>
      <c r="AK5622">
        <v>18.333832777289501</v>
      </c>
      <c r="AL5622">
        <v>80.563721678120899</v>
      </c>
      <c r="AM5622">
        <v>89.8342238799288</v>
      </c>
      <c r="AN5622">
        <v>0.99999997903701199</v>
      </c>
    </row>
    <row r="5623" spans="1:40" x14ac:dyDescent="0.25">
      <c r="A5623" t="str">
        <f>"20190303162931393"</f>
        <v>20190303162931393</v>
      </c>
      <c r="B5623" t="str">
        <f>"1551601771387513"</f>
        <v>1551601771387513</v>
      </c>
      <c r="C5623" t="s">
        <v>40</v>
      </c>
      <c r="D5623">
        <v>5.9585169999999996</v>
      </c>
      <c r="E5623">
        <v>0.46572520000000001</v>
      </c>
      <c r="F5623" t="s">
        <v>41</v>
      </c>
      <c r="G5623">
        <v>-298.81950000000001</v>
      </c>
      <c r="H5623" s="1">
        <v>-5.0765159999999905E-7</v>
      </c>
      <c r="I5623">
        <v>-29.78321</v>
      </c>
      <c r="J5623">
        <v>-301.6404</v>
      </c>
      <c r="K5623">
        <v>1.1212409999999999</v>
      </c>
      <c r="L5623">
        <v>-9.8333739999999992</v>
      </c>
      <c r="M5623">
        <v>4.7791019999999997E-2</v>
      </c>
      <c r="N5623">
        <v>-1.107343E-2</v>
      </c>
      <c r="O5623">
        <v>-0.99879620000000002</v>
      </c>
      <c r="P5623">
        <v>3.5211569999999998E-2</v>
      </c>
      <c r="Q5623">
        <v>0.17161360000000001</v>
      </c>
      <c r="R5623">
        <v>-0.98453500000000005</v>
      </c>
      <c r="S5623">
        <v>0.42019649999999997</v>
      </c>
      <c r="T5623">
        <v>-0.164664</v>
      </c>
      <c r="U5623">
        <v>-3.046478</v>
      </c>
      <c r="V5623">
        <v>1.1529309999999999E-2</v>
      </c>
      <c r="W5623">
        <v>0.1825339</v>
      </c>
      <c r="X5623">
        <v>0.98313189999999995</v>
      </c>
      <c r="Y5623">
        <v>-8.8978039999999994E-2</v>
      </c>
      <c r="Z5623">
        <v>4.2495440000000002E-2</v>
      </c>
      <c r="AA5623">
        <v>0.99512670000000003</v>
      </c>
      <c r="AB5623">
        <v>31</v>
      </c>
      <c r="AC5623">
        <v>2.8208999999999902</v>
      </c>
      <c r="AD5623">
        <v>-1.1212415076516</v>
      </c>
      <c r="AE5623">
        <v>-19.949836000000001</v>
      </c>
      <c r="AF5623">
        <v>-1.8584397316122701</v>
      </c>
      <c r="AG5623">
        <v>-1.1212415076516</v>
      </c>
      <c r="AH5623">
        <v>19.999922547122001</v>
      </c>
      <c r="AI5623">
        <v>93.195038327630698</v>
      </c>
      <c r="AJ5623">
        <v>95.308813536692199</v>
      </c>
      <c r="AK5623">
        <v>20.117352774294002</v>
      </c>
      <c r="AL5623">
        <v>79.482612142871901</v>
      </c>
      <c r="AM5623">
        <v>89.328116070718906</v>
      </c>
      <c r="AN5623">
        <v>0.999999941217946</v>
      </c>
    </row>
    <row r="5624" spans="1:40" x14ac:dyDescent="0.25">
      <c r="A5624" t="str">
        <f>"20190303162931415"</f>
        <v>20190303162931415</v>
      </c>
      <c r="B5624" t="str">
        <f>"1551601771407033"</f>
        <v>1551601771407033</v>
      </c>
      <c r="C5624" t="s">
        <v>40</v>
      </c>
      <c r="D5624">
        <v>5.9603349999999997</v>
      </c>
      <c r="E5624">
        <v>0.46590890000000001</v>
      </c>
      <c r="F5624" t="s">
        <v>41</v>
      </c>
      <c r="G5624">
        <v>-297.60980000000001</v>
      </c>
      <c r="H5624" s="1">
        <v>-7.2132660000000002E-7</v>
      </c>
      <c r="I5624">
        <v>-40.101120000000002</v>
      </c>
      <c r="J5624">
        <v>-301.62459999999999</v>
      </c>
      <c r="K5624">
        <v>1.121346</v>
      </c>
      <c r="L5624">
        <v>-10.140230000000001</v>
      </c>
      <c r="M5624">
        <v>4.8764790000000002E-2</v>
      </c>
      <c r="N5624">
        <v>-1.1174959999999999E-2</v>
      </c>
      <c r="O5624">
        <v>-0.99874770000000002</v>
      </c>
      <c r="P5624">
        <v>3.3669709999999999E-2</v>
      </c>
      <c r="Q5624">
        <v>0.17300470000000001</v>
      </c>
      <c r="R5624">
        <v>-0.98434520000000003</v>
      </c>
      <c r="S5624">
        <v>0.40646359999999998</v>
      </c>
      <c r="T5624">
        <v>-0.11307</v>
      </c>
      <c r="U5624">
        <v>-3.0523069999999999</v>
      </c>
      <c r="V5624">
        <v>1.402488E-2</v>
      </c>
      <c r="W5624">
        <v>0.18402640000000001</v>
      </c>
      <c r="X5624">
        <v>0.98282119999999995</v>
      </c>
      <c r="Y5624">
        <v>-8.3437140000000007E-2</v>
      </c>
      <c r="Z5624">
        <v>2.5592759999999999E-2</v>
      </c>
      <c r="AA5624">
        <v>0.99618430000000002</v>
      </c>
      <c r="AB5624">
        <v>31</v>
      </c>
      <c r="AC5624">
        <v>4.0147999999999797</v>
      </c>
      <c r="AD5624">
        <v>-1.1213467213266</v>
      </c>
      <c r="AE5624">
        <v>-29.960889999999999</v>
      </c>
      <c r="AF5624">
        <v>-2.5453924581766199</v>
      </c>
      <c r="AG5624">
        <v>-1.1213467213266</v>
      </c>
      <c r="AH5624">
        <v>30.079642124127101</v>
      </c>
      <c r="AI5624">
        <v>92.127359233043506</v>
      </c>
      <c r="AJ5624">
        <v>94.836946512445607</v>
      </c>
      <c r="AK5624">
        <v>30.2079676832311</v>
      </c>
      <c r="AL5624">
        <v>79.395624897572802</v>
      </c>
      <c r="AM5624">
        <v>89.182443465315899</v>
      </c>
      <c r="AN5624">
        <v>0.99999996216270604</v>
      </c>
    </row>
    <row r="5625" spans="1:40" x14ac:dyDescent="0.25">
      <c r="A5625" t="str">
        <f>"20190303162931439"</f>
        <v>20190303162931439</v>
      </c>
      <c r="B5625" t="str">
        <f>"1551601771427530"</f>
        <v>1551601771427530</v>
      </c>
      <c r="C5625" t="s">
        <v>40</v>
      </c>
      <c r="D5625">
        <v>5.8929099999999996</v>
      </c>
      <c r="E5625">
        <v>0.4664645</v>
      </c>
      <c r="F5625" t="s">
        <v>41</v>
      </c>
      <c r="G5625">
        <v>-297.77679999999998</v>
      </c>
      <c r="H5625" s="1">
        <v>-9.0982530000000004E-7</v>
      </c>
      <c r="I5625">
        <v>-39.416620000000002</v>
      </c>
      <c r="J5625">
        <v>-301.6078</v>
      </c>
      <c r="K5625">
        <v>1.121408</v>
      </c>
      <c r="L5625">
        <v>-10.461460000000001</v>
      </c>
      <c r="M5625">
        <v>4.9701450000000001E-2</v>
      </c>
      <c r="N5625">
        <v>-1.1268459999999999E-2</v>
      </c>
      <c r="O5625">
        <v>-0.99870060000000005</v>
      </c>
      <c r="P5625">
        <v>3.2615909999999998E-2</v>
      </c>
      <c r="Q5625">
        <v>0.17239380000000001</v>
      </c>
      <c r="R5625">
        <v>-0.98448800000000003</v>
      </c>
      <c r="S5625">
        <v>0.4014587</v>
      </c>
      <c r="T5625">
        <v>-0.1169951</v>
      </c>
      <c r="U5625">
        <v>-3.054535</v>
      </c>
      <c r="V5625">
        <v>1.602957E-2</v>
      </c>
      <c r="W5625">
        <v>0.1835099</v>
      </c>
      <c r="X5625">
        <v>0.98288710000000001</v>
      </c>
      <c r="Y5625">
        <v>-8.0798889999999998E-2</v>
      </c>
      <c r="Z5625">
        <v>2.675145E-2</v>
      </c>
      <c r="AA5625">
        <v>0.99637140000000002</v>
      </c>
      <c r="AB5625">
        <v>31</v>
      </c>
      <c r="AC5625">
        <v>3.8310000000000102</v>
      </c>
      <c r="AD5625">
        <v>-1.1214089098252999</v>
      </c>
      <c r="AE5625">
        <v>-28.955159999999999</v>
      </c>
      <c r="AF5625">
        <v>-2.3835463125621401</v>
      </c>
      <c r="AG5625">
        <v>-1.1214089098252999</v>
      </c>
      <c r="AH5625">
        <v>29.066939867511199</v>
      </c>
      <c r="AI5625">
        <v>92.2020042114749</v>
      </c>
      <c r="AJ5625">
        <v>94.687877930293098</v>
      </c>
      <c r="AK5625">
        <v>29.186055646981099</v>
      </c>
      <c r="AL5625">
        <v>79.425730658638201</v>
      </c>
      <c r="AM5625">
        <v>89.065665531642196</v>
      </c>
      <c r="AN5625">
        <v>0.99999994092940003</v>
      </c>
    </row>
    <row r="5626" spans="1:40" x14ac:dyDescent="0.25">
      <c r="A5626" t="str">
        <f>"20190303162931461"</f>
        <v>20190303162931461</v>
      </c>
      <c r="B5626" t="str">
        <f>"1551601771447050"</f>
        <v>1551601771447050</v>
      </c>
      <c r="C5626" t="s">
        <v>40</v>
      </c>
      <c r="D5626">
        <v>5.8934759999999997</v>
      </c>
      <c r="E5626">
        <v>0.46782489999999999</v>
      </c>
      <c r="F5626" t="s">
        <v>41</v>
      </c>
      <c r="G5626">
        <v>-299.62079999999997</v>
      </c>
      <c r="H5626" s="1">
        <v>-2.0373010000000002E-6</v>
      </c>
      <c r="I5626">
        <v>-25.775010000000002</v>
      </c>
      <c r="J5626">
        <v>-301.59160000000003</v>
      </c>
      <c r="K5626">
        <v>1.121413</v>
      </c>
      <c r="L5626">
        <v>-10.769349999999999</v>
      </c>
      <c r="M5626">
        <v>5.0461020000000002E-2</v>
      </c>
      <c r="N5626">
        <v>-1.134685E-2</v>
      </c>
      <c r="O5626">
        <v>-0.99866189999999999</v>
      </c>
      <c r="P5626">
        <v>3.1885179999999999E-2</v>
      </c>
      <c r="Q5626">
        <v>0.17163729999999999</v>
      </c>
      <c r="R5626">
        <v>-0.98464450000000003</v>
      </c>
      <c r="S5626">
        <v>0.39880369999999998</v>
      </c>
      <c r="T5626">
        <v>-0.22506889999999999</v>
      </c>
      <c r="U5626">
        <v>-3.0734560000000002</v>
      </c>
      <c r="V5626">
        <v>1.7556329999999998E-2</v>
      </c>
      <c r="W5626">
        <v>0.1828312</v>
      </c>
      <c r="X5626">
        <v>0.98298759999999996</v>
      </c>
      <c r="Y5626">
        <v>-7.819152E-2</v>
      </c>
      <c r="Z5626">
        <v>6.1196720000000003E-2</v>
      </c>
      <c r="AA5626">
        <v>0.99505829999999995</v>
      </c>
      <c r="AB5626">
        <v>31</v>
      </c>
      <c r="AC5626">
        <v>1.9708000000000501</v>
      </c>
      <c r="AD5626">
        <v>-1.1214150373009999</v>
      </c>
      <c r="AE5626">
        <v>-15.005660000000001</v>
      </c>
      <c r="AF5626">
        <v>-1.2044268797798701</v>
      </c>
      <c r="AG5626">
        <v>-1.1214150373009999</v>
      </c>
      <c r="AH5626">
        <v>15.003621559146501</v>
      </c>
      <c r="AI5626">
        <v>94.260851822684302</v>
      </c>
      <c r="AJ5626">
        <v>94.589619398896502</v>
      </c>
      <c r="AK5626">
        <v>15.093603800441601</v>
      </c>
      <c r="AL5626">
        <v>79.465287678626296</v>
      </c>
      <c r="AM5626">
        <v>88.976796170295898</v>
      </c>
      <c r="AN5626">
        <v>1.00000004708513</v>
      </c>
    </row>
    <row r="5627" spans="1:40" x14ac:dyDescent="0.25">
      <c r="A5627" t="str">
        <f>"20190303162931553"</f>
        <v>20190303162931553</v>
      </c>
      <c r="B5627" t="str">
        <f>"1551601771547578"</f>
        <v>1551601771547578</v>
      </c>
      <c r="C5627" t="s">
        <v>40</v>
      </c>
      <c r="D5627">
        <v>5.7741769999999999</v>
      </c>
      <c r="E5627">
        <v>0.48236849999999998</v>
      </c>
      <c r="F5627" t="s">
        <v>41</v>
      </c>
      <c r="G5627">
        <v>-299.75540000000001</v>
      </c>
      <c r="H5627" s="1">
        <v>-2.172035E-6</v>
      </c>
      <c r="I5627">
        <v>-25.405280000000001</v>
      </c>
      <c r="J5627">
        <v>-301.52620000000002</v>
      </c>
      <c r="K5627">
        <v>1.1210169999999999</v>
      </c>
      <c r="L5627">
        <v>-12.01932</v>
      </c>
      <c r="M5627">
        <v>5.1403839999999999E-2</v>
      </c>
      <c r="N5627">
        <v>-1.1578669999999999E-2</v>
      </c>
      <c r="O5627">
        <v>-0.99861100000000003</v>
      </c>
      <c r="P5627">
        <v>3.059688E-2</v>
      </c>
      <c r="Q5627">
        <v>0.17489179999999999</v>
      </c>
      <c r="R5627">
        <v>-0.9841126</v>
      </c>
      <c r="S5627">
        <v>0.3858337</v>
      </c>
      <c r="T5627">
        <v>-0.2356375</v>
      </c>
      <c r="U5627">
        <v>-3.0753780000000002</v>
      </c>
      <c r="V5627">
        <v>2.0032029999999999E-2</v>
      </c>
      <c r="W5627">
        <v>0.186278</v>
      </c>
      <c r="X5627">
        <v>0.98229279999999997</v>
      </c>
      <c r="Y5627">
        <v>-7.3016059999999994E-2</v>
      </c>
      <c r="Z5627">
        <v>6.433519E-2</v>
      </c>
      <c r="AA5627">
        <v>0.99525359999999996</v>
      </c>
      <c r="AB5627">
        <v>31</v>
      </c>
      <c r="AC5627">
        <v>1.7707999999999999</v>
      </c>
      <c r="AD5627">
        <v>-1.121019172035</v>
      </c>
      <c r="AE5627">
        <v>-13.385959999999899</v>
      </c>
      <c r="AF5627">
        <v>-1.0729274218590901</v>
      </c>
      <c r="AG5627">
        <v>-1.121019172035</v>
      </c>
      <c r="AH5627">
        <v>13.3671562342304</v>
      </c>
      <c r="AI5627">
        <v>94.778521646619396</v>
      </c>
      <c r="AJ5627">
        <v>94.5890615432197</v>
      </c>
      <c r="AK5627">
        <v>13.456921008424301</v>
      </c>
      <c r="AL5627">
        <v>79.264347864728805</v>
      </c>
      <c r="AM5627">
        <v>88.831721351395501</v>
      </c>
      <c r="AN5627">
        <v>0.999999960220879</v>
      </c>
    </row>
    <row r="5628" spans="1:40" x14ac:dyDescent="0.25">
      <c r="A5628" t="str">
        <f>"20190303162931575"</f>
        <v>20190303162931575</v>
      </c>
      <c r="B5628" t="str">
        <f>"1551601771567098"</f>
        <v>1551601771567098</v>
      </c>
      <c r="C5628" t="s">
        <v>40</v>
      </c>
      <c r="D5628">
        <v>5.7216940000000003</v>
      </c>
      <c r="E5628">
        <v>0.48222619999999999</v>
      </c>
      <c r="F5628" t="s">
        <v>41</v>
      </c>
      <c r="G5628">
        <v>-300.30990000000003</v>
      </c>
      <c r="H5628" s="1">
        <v>-1.8893310000000001E-6</v>
      </c>
      <c r="I5628">
        <v>-26.198989999999998</v>
      </c>
      <c r="J5628">
        <v>-301.51049999999998</v>
      </c>
      <c r="K5628">
        <v>1.1208800000000001</v>
      </c>
      <c r="L5628">
        <v>-12.328860000000001</v>
      </c>
      <c r="M5628">
        <v>5.105349E-2</v>
      </c>
      <c r="N5628">
        <v>-1.162027E-2</v>
      </c>
      <c r="O5628">
        <v>-0.99862839999999997</v>
      </c>
      <c r="P5628">
        <v>3.1090050000000001E-2</v>
      </c>
      <c r="Q5628">
        <v>0.17807190000000001</v>
      </c>
      <c r="R5628">
        <v>-0.98352640000000002</v>
      </c>
      <c r="S5628">
        <v>0.2644958</v>
      </c>
      <c r="T5628">
        <v>-0.24377799999999999</v>
      </c>
      <c r="U5628">
        <v>-3.0835270000000001</v>
      </c>
      <c r="V5628">
        <v>1.9243030000000001E-2</v>
      </c>
      <c r="W5628">
        <v>0.18948429999999999</v>
      </c>
      <c r="X5628">
        <v>0.98169519999999999</v>
      </c>
      <c r="Y5628">
        <v>-3.4271740000000002E-2</v>
      </c>
      <c r="Z5628">
        <v>6.6927940000000005E-2</v>
      </c>
      <c r="AA5628">
        <v>0.99716899999999997</v>
      </c>
      <c r="AB5628">
        <v>31</v>
      </c>
      <c r="AC5628">
        <v>1.2005999999999499</v>
      </c>
      <c r="AD5628">
        <v>-1.120881889331</v>
      </c>
      <c r="AE5628">
        <v>-13.8701299999999</v>
      </c>
      <c r="AF5628">
        <v>-0.48770644466952301</v>
      </c>
      <c r="AG5628">
        <v>-1.120881889331</v>
      </c>
      <c r="AH5628">
        <v>13.823731733671201</v>
      </c>
      <c r="AI5628">
        <v>94.632753341963905</v>
      </c>
      <c r="AJ5628">
        <v>92.020578545469405</v>
      </c>
      <c r="AK5628">
        <v>13.8776724572426</v>
      </c>
      <c r="AL5628">
        <v>79.077310257088399</v>
      </c>
      <c r="AM5628">
        <v>88.877041238841898</v>
      </c>
      <c r="AN5628">
        <v>1.0000000299265499</v>
      </c>
    </row>
    <row r="5629" spans="1:40" x14ac:dyDescent="0.25">
      <c r="A5629" t="str">
        <f>"20190303162931598"</f>
        <v>20190303162931598</v>
      </c>
      <c r="B5629" t="str">
        <f>"1551601771587594"</f>
        <v>1551601771587594</v>
      </c>
      <c r="C5629" t="s">
        <v>40</v>
      </c>
      <c r="D5629">
        <v>5.7812080000000003</v>
      </c>
      <c r="E5629">
        <v>0.48211349999999997</v>
      </c>
      <c r="F5629" t="s">
        <v>41</v>
      </c>
      <c r="G5629">
        <v>-300.23540000000003</v>
      </c>
      <c r="H5629" s="1">
        <v>-1.495404E-6</v>
      </c>
      <c r="I5629">
        <v>-27.071079999999998</v>
      </c>
      <c r="J5629">
        <v>-301.49509999999998</v>
      </c>
      <c r="K5629">
        <v>1.1207290000000001</v>
      </c>
      <c r="L5629">
        <v>-12.638030000000001</v>
      </c>
      <c r="M5629">
        <v>5.047024E-2</v>
      </c>
      <c r="N5629">
        <v>-1.165715E-2</v>
      </c>
      <c r="O5629">
        <v>-0.99865740000000003</v>
      </c>
      <c r="P5629">
        <v>3.2857949999999997E-2</v>
      </c>
      <c r="Q5629">
        <v>0.1814923</v>
      </c>
      <c r="R5629">
        <v>-0.98284309999999997</v>
      </c>
      <c r="S5629">
        <v>0.2667542</v>
      </c>
      <c r="T5629">
        <v>-0.23450470000000001</v>
      </c>
      <c r="U5629">
        <v>-3.0842900000000002</v>
      </c>
      <c r="V5629">
        <v>1.6952419999999999E-2</v>
      </c>
      <c r="W5629">
        <v>0.19292770000000001</v>
      </c>
      <c r="X5629">
        <v>0.98106649999999995</v>
      </c>
      <c r="Y5629">
        <v>-3.5576129999999997E-2</v>
      </c>
      <c r="Z5629">
        <v>6.3900990000000005E-2</v>
      </c>
      <c r="AA5629">
        <v>0.99732189999999998</v>
      </c>
      <c r="AB5629">
        <v>31</v>
      </c>
      <c r="AC5629">
        <v>1.2596999999999501</v>
      </c>
      <c r="AD5629">
        <v>-1.120730495404</v>
      </c>
      <c r="AE5629">
        <v>-14.4330499999999</v>
      </c>
      <c r="AF5629">
        <v>-0.52645498600192797</v>
      </c>
      <c r="AG5629">
        <v>-1.120730495404</v>
      </c>
      <c r="AH5629">
        <v>14.3921130344613</v>
      </c>
      <c r="AI5629">
        <v>94.449738848471</v>
      </c>
      <c r="AJ5629">
        <v>92.094911706029706</v>
      </c>
      <c r="AK5629">
        <v>14.445279827415099</v>
      </c>
      <c r="AL5629">
        <v>78.876308817341794</v>
      </c>
      <c r="AM5629">
        <v>89.010051343008001</v>
      </c>
      <c r="AN5629">
        <v>0.99999997969669696</v>
      </c>
    </row>
    <row r="5630" spans="1:40" x14ac:dyDescent="0.25">
      <c r="A5630" t="str">
        <f>"20190303162931623"</f>
        <v>20190303162931623</v>
      </c>
      <c r="B5630" t="str">
        <f>"1551601771607114"</f>
        <v>1551601771607114</v>
      </c>
      <c r="C5630" t="s">
        <v>40</v>
      </c>
      <c r="D5630">
        <v>5.4584890000000001</v>
      </c>
      <c r="E5630">
        <v>0.48189510000000002</v>
      </c>
      <c r="F5630" t="s">
        <v>41</v>
      </c>
      <c r="G5630">
        <v>-300.137</v>
      </c>
      <c r="H5630" s="1">
        <v>-1.040314E-6</v>
      </c>
      <c r="I5630">
        <v>-28.07084</v>
      </c>
      <c r="J5630">
        <v>-301.47919999999999</v>
      </c>
      <c r="K5630">
        <v>1.12056</v>
      </c>
      <c r="L5630">
        <v>-12.96664</v>
      </c>
      <c r="M5630">
        <v>4.9611790000000003E-2</v>
      </c>
      <c r="N5630">
        <v>-1.1692019999999999E-2</v>
      </c>
      <c r="O5630">
        <v>-0.99870020000000004</v>
      </c>
      <c r="P5630">
        <v>3.4315430000000001E-2</v>
      </c>
      <c r="Q5630">
        <v>0.18180250000000001</v>
      </c>
      <c r="R5630">
        <v>-0.98273639999999995</v>
      </c>
      <c r="S5630">
        <v>0.27145390000000003</v>
      </c>
      <c r="T5630">
        <v>-0.2240076</v>
      </c>
      <c r="U5630">
        <v>-3.0846559999999998</v>
      </c>
      <c r="V5630">
        <v>1.473726E-2</v>
      </c>
      <c r="W5630">
        <v>0.19326689999999999</v>
      </c>
      <c r="X5630">
        <v>0.98103549999999995</v>
      </c>
      <c r="Y5630">
        <v>-3.7951060000000002E-2</v>
      </c>
      <c r="Z5630">
        <v>6.049011E-2</v>
      </c>
      <c r="AA5630">
        <v>0.99744710000000003</v>
      </c>
      <c r="AB5630">
        <v>31</v>
      </c>
      <c r="AC5630">
        <v>1.3421999999999901</v>
      </c>
      <c r="AD5630">
        <v>-1.1205610403140001</v>
      </c>
      <c r="AE5630">
        <v>-15.104200000000001</v>
      </c>
      <c r="AF5630">
        <v>-0.58793874056498496</v>
      </c>
      <c r="AG5630">
        <v>-1.1205610403140001</v>
      </c>
      <c r="AH5630">
        <v>15.069896963760501</v>
      </c>
      <c r="AI5630">
        <v>94.249328533067001</v>
      </c>
      <c r="AJ5630">
        <v>92.234211205482197</v>
      </c>
      <c r="AK5630">
        <v>15.122933693767401</v>
      </c>
      <c r="AL5630">
        <v>78.856501158500507</v>
      </c>
      <c r="AM5630">
        <v>89.139359083001807</v>
      </c>
      <c r="AN5630">
        <v>0.99999996686408299</v>
      </c>
    </row>
    <row r="5631" spans="1:40" x14ac:dyDescent="0.25">
      <c r="A5631" t="str">
        <f>"20190303162931645"</f>
        <v>20190303162931645</v>
      </c>
      <c r="B5631" t="str">
        <f>"1551601771637369"</f>
        <v>1551601771637369</v>
      </c>
      <c r="C5631" t="s">
        <v>40</v>
      </c>
      <c r="D5631">
        <v>5.6553240000000002</v>
      </c>
      <c r="E5631">
        <v>0.48175420000000002</v>
      </c>
      <c r="F5631" t="s">
        <v>41</v>
      </c>
      <c r="G5631">
        <v>-300.10359999999997</v>
      </c>
      <c r="H5631" s="1">
        <v>-9.3150710000000002E-7</v>
      </c>
      <c r="I5631">
        <v>-28.30377</v>
      </c>
      <c r="J5631">
        <v>-301.46530000000001</v>
      </c>
      <c r="K5631">
        <v>1.1203939999999999</v>
      </c>
      <c r="L5631">
        <v>-13.26559</v>
      </c>
      <c r="M5631">
        <v>4.8614699999999997E-2</v>
      </c>
      <c r="N5631">
        <v>-1.171997E-2</v>
      </c>
      <c r="O5631">
        <v>-0.99874890000000005</v>
      </c>
      <c r="P5631">
        <v>3.5323640000000003E-2</v>
      </c>
      <c r="Q5631">
        <v>0.1793023</v>
      </c>
      <c r="R5631">
        <v>-0.98315980000000003</v>
      </c>
      <c r="S5631">
        <v>0.27667239999999999</v>
      </c>
      <c r="T5631">
        <v>-0.22537779999999999</v>
      </c>
      <c r="U5631">
        <v>-3.0847470000000001</v>
      </c>
      <c r="V5631">
        <v>1.284651E-2</v>
      </c>
      <c r="W5631">
        <v>0.19079699999999999</v>
      </c>
      <c r="X5631">
        <v>0.98154540000000001</v>
      </c>
      <c r="Y5631">
        <v>-4.0616489999999998E-2</v>
      </c>
      <c r="Z5631">
        <v>6.0895459999999998E-2</v>
      </c>
      <c r="AA5631">
        <v>0.99731740000000002</v>
      </c>
      <c r="AB5631">
        <v>31</v>
      </c>
      <c r="AC5631">
        <v>1.3617000000000401</v>
      </c>
      <c r="AD5631">
        <v>-1.1203949315071</v>
      </c>
      <c r="AE5631">
        <v>-15.038179999999899</v>
      </c>
      <c r="AF5631">
        <v>-0.62551906724253103</v>
      </c>
      <c r="AG5631">
        <v>-1.1203949315071</v>
      </c>
      <c r="AH5631">
        <v>15.003993570264701</v>
      </c>
      <c r="AI5631">
        <v>94.266835769814506</v>
      </c>
      <c r="AJ5631">
        <v>92.387288430861403</v>
      </c>
      <c r="AK5631">
        <v>15.058764290690499</v>
      </c>
      <c r="AL5631">
        <v>79.000699592100403</v>
      </c>
      <c r="AM5631">
        <v>89.250153094244695</v>
      </c>
      <c r="AN5631">
        <v>0.99999995014466803</v>
      </c>
    </row>
    <row r="5632" spans="1:40" x14ac:dyDescent="0.25">
      <c r="A5632" t="str">
        <f>"20190303162931666"</f>
        <v>20190303162931666</v>
      </c>
      <c r="B5632" t="str">
        <f>"1551601771657866"</f>
        <v>1551601771657866</v>
      </c>
      <c r="C5632" t="s">
        <v>40</v>
      </c>
      <c r="D5632">
        <v>5.7044309999999996</v>
      </c>
      <c r="E5632">
        <v>0.48171619999999998</v>
      </c>
      <c r="F5632" t="s">
        <v>41</v>
      </c>
      <c r="G5632">
        <v>-300.13150000000002</v>
      </c>
      <c r="H5632" s="1">
        <v>-1.103725E-6</v>
      </c>
      <c r="I5632">
        <v>-27.919619999999998</v>
      </c>
      <c r="J5632">
        <v>-301.45139999999998</v>
      </c>
      <c r="K5632">
        <v>1.120239</v>
      </c>
      <c r="L5632">
        <v>-13.57516</v>
      </c>
      <c r="M5632">
        <v>4.7389300000000002E-2</v>
      </c>
      <c r="N5632">
        <v>-1.174557E-2</v>
      </c>
      <c r="O5632">
        <v>-0.99880780000000002</v>
      </c>
      <c r="P5632">
        <v>3.5229780000000002E-2</v>
      </c>
      <c r="Q5632">
        <v>0.1761296</v>
      </c>
      <c r="R5632">
        <v>-0.98373679999999997</v>
      </c>
      <c r="S5632">
        <v>0.28073120000000001</v>
      </c>
      <c r="T5632">
        <v>-0.23581640000000001</v>
      </c>
      <c r="U5632">
        <v>-3.08432</v>
      </c>
      <c r="V5632">
        <v>1.183153E-2</v>
      </c>
      <c r="W5632">
        <v>0.18765380000000001</v>
      </c>
      <c r="X5632">
        <v>0.98216400000000004</v>
      </c>
      <c r="Y5632">
        <v>-4.313525E-2</v>
      </c>
      <c r="Z5632">
        <v>6.4222899999999999E-2</v>
      </c>
      <c r="AA5632">
        <v>0.99700290000000003</v>
      </c>
      <c r="AB5632">
        <v>31</v>
      </c>
      <c r="AC5632">
        <v>1.3198999999999601</v>
      </c>
      <c r="AD5632">
        <v>-1.120240103725</v>
      </c>
      <c r="AE5632">
        <v>-14.34446</v>
      </c>
      <c r="AF5632">
        <v>-0.63475747595410403</v>
      </c>
      <c r="AG5632">
        <v>-1.120240103725</v>
      </c>
      <c r="AH5632">
        <v>14.3043861182041</v>
      </c>
      <c r="AI5632">
        <v>94.473563148195893</v>
      </c>
      <c r="AJ5632">
        <v>92.540834705032694</v>
      </c>
      <c r="AK5632">
        <v>14.3622183927812</v>
      </c>
      <c r="AL5632">
        <v>79.184106102437894</v>
      </c>
      <c r="AM5632">
        <v>89.309826112614601</v>
      </c>
      <c r="AN5632">
        <v>1.00000002832629</v>
      </c>
    </row>
    <row r="5633" spans="1:40" x14ac:dyDescent="0.25">
      <c r="A5633" t="str">
        <f>"20190303162931690"</f>
        <v>20190303162931690</v>
      </c>
      <c r="B5633" t="str">
        <f>"1551601771677386"</f>
        <v>1551601771677386</v>
      </c>
      <c r="C5633" t="s">
        <v>40</v>
      </c>
      <c r="D5633">
        <v>5.7054859999999996</v>
      </c>
      <c r="E5633">
        <v>0.48177540000000002</v>
      </c>
      <c r="F5633" t="s">
        <v>41</v>
      </c>
      <c r="G5633">
        <v>-300.18950000000001</v>
      </c>
      <c r="H5633" s="1">
        <v>-1.308452E-6</v>
      </c>
      <c r="I5633">
        <v>-27.478400000000001</v>
      </c>
      <c r="J5633">
        <v>-301.43810000000002</v>
      </c>
      <c r="K5633">
        <v>1.1201110000000001</v>
      </c>
      <c r="L5633">
        <v>-13.882720000000001</v>
      </c>
      <c r="M5633">
        <v>4.6027319999999997E-2</v>
      </c>
      <c r="N5633">
        <v>-1.176785E-2</v>
      </c>
      <c r="O5633">
        <v>-0.99887090000000001</v>
      </c>
      <c r="P5633">
        <v>3.4902160000000002E-2</v>
      </c>
      <c r="Q5633">
        <v>0.174705</v>
      </c>
      <c r="R5633">
        <v>-0.98400209999999999</v>
      </c>
      <c r="S5633">
        <v>0.27990720000000002</v>
      </c>
      <c r="T5633">
        <v>-0.24849640000000001</v>
      </c>
      <c r="U5633">
        <v>-3.084076</v>
      </c>
      <c r="V5633">
        <v>1.08881E-2</v>
      </c>
      <c r="W5633">
        <v>0.18625320000000001</v>
      </c>
      <c r="X5633">
        <v>0.98244140000000002</v>
      </c>
      <c r="Y5633">
        <v>-4.4214419999999997E-2</v>
      </c>
      <c r="Z5633">
        <v>6.8272819999999998E-2</v>
      </c>
      <c r="AA5633">
        <v>0.99668650000000003</v>
      </c>
      <c r="AB5633">
        <v>31</v>
      </c>
      <c r="AC5633">
        <v>1.2486000000000099</v>
      </c>
      <c r="AD5633">
        <v>-1.1201123084519999</v>
      </c>
      <c r="AE5633">
        <v>-13.5956799999999</v>
      </c>
      <c r="AF5633">
        <v>-0.61730547494819299</v>
      </c>
      <c r="AG5633">
        <v>-1.1201123084519999</v>
      </c>
      <c r="AH5633">
        <v>13.547555379868401</v>
      </c>
      <c r="AI5633">
        <v>94.721589547527699</v>
      </c>
      <c r="AJ5633">
        <v>92.608924608086795</v>
      </c>
      <c r="AK5633">
        <v>13.607790945026601</v>
      </c>
      <c r="AL5633">
        <v>79.265794051721002</v>
      </c>
      <c r="AM5633">
        <v>89.3650342530171</v>
      </c>
      <c r="AN5633">
        <v>0.99999995483290305</v>
      </c>
    </row>
    <row r="5634" spans="1:40" x14ac:dyDescent="0.25">
      <c r="A5634" t="str">
        <f>"20190303162931738"</f>
        <v>20190303162931738</v>
      </c>
      <c r="B5634" t="str">
        <f>"1551601771727163"</f>
        <v>1551601771727163</v>
      </c>
      <c r="C5634" t="s">
        <v>40</v>
      </c>
      <c r="D5634">
        <v>5.6947900000000002</v>
      </c>
      <c r="E5634">
        <v>0.48216700000000001</v>
      </c>
      <c r="F5634" t="s">
        <v>41</v>
      </c>
      <c r="G5634">
        <v>-300.2253</v>
      </c>
      <c r="H5634" s="1">
        <v>-1.3315789999999999E-6</v>
      </c>
      <c r="I5634">
        <v>-27.446650000000002</v>
      </c>
      <c r="J5634">
        <v>-301.41109999999998</v>
      </c>
      <c r="K5634">
        <v>1.1199220000000001</v>
      </c>
      <c r="L5634">
        <v>-14.556089999999999</v>
      </c>
      <c r="M5634">
        <v>4.2636050000000002E-2</v>
      </c>
      <c r="N5634">
        <v>-1.1807089999999999E-2</v>
      </c>
      <c r="O5634">
        <v>-0.99902120000000005</v>
      </c>
      <c r="P5634">
        <v>3.463687E-2</v>
      </c>
      <c r="Q5634">
        <v>0.17687720000000001</v>
      </c>
      <c r="R5634">
        <v>-0.9836239</v>
      </c>
      <c r="S5634">
        <v>0.27578740000000002</v>
      </c>
      <c r="T5634">
        <v>-0.25469370000000002</v>
      </c>
      <c r="U5634">
        <v>-3.0841980000000002</v>
      </c>
      <c r="V5634">
        <v>7.9004169999999999E-3</v>
      </c>
      <c r="W5634">
        <v>0.18846260000000001</v>
      </c>
      <c r="X5634">
        <v>0.98204860000000005</v>
      </c>
      <c r="Y5634">
        <v>-4.6267759999999998E-2</v>
      </c>
      <c r="Z5634">
        <v>7.0231189999999999E-2</v>
      </c>
      <c r="AA5634">
        <v>0.99645720000000004</v>
      </c>
      <c r="AB5634">
        <v>31</v>
      </c>
      <c r="AC5634">
        <v>1.18579999999997</v>
      </c>
      <c r="AD5634">
        <v>-1.11992333157899</v>
      </c>
      <c r="AE5634">
        <v>-12.890560000000001</v>
      </c>
      <c r="AF5634">
        <v>-0.63036279151779795</v>
      </c>
      <c r="AG5634">
        <v>-1.11992333157899</v>
      </c>
      <c r="AH5634">
        <v>12.833344420978399</v>
      </c>
      <c r="AI5634">
        <v>94.9814021253692</v>
      </c>
      <c r="AJ5634">
        <v>92.812059104481094</v>
      </c>
      <c r="AK5634">
        <v>12.8975313352983</v>
      </c>
      <c r="AL5634">
        <v>79.136923241115497</v>
      </c>
      <c r="AM5634">
        <v>89.539074964746604</v>
      </c>
      <c r="AN5634">
        <v>1.00000001047474</v>
      </c>
    </row>
    <row r="5635" spans="1:40" x14ac:dyDescent="0.25">
      <c r="A5635" t="str">
        <f>"20190303162931770"</f>
        <v>20190303162931770</v>
      </c>
      <c r="B5635" t="str">
        <f>"1551601771757419"</f>
        <v>1551601771757419</v>
      </c>
      <c r="C5635" t="s">
        <v>40</v>
      </c>
      <c r="D5635">
        <v>5.498011</v>
      </c>
      <c r="E5635">
        <v>0.51294110000000004</v>
      </c>
      <c r="F5635" t="s">
        <v>41</v>
      </c>
      <c r="G5635">
        <v>-300.20249999999999</v>
      </c>
      <c r="H5635" s="1">
        <v>-8.9048459999999897E-7</v>
      </c>
      <c r="I5635">
        <v>-28.460760000000001</v>
      </c>
      <c r="J5635">
        <v>-301.39580000000001</v>
      </c>
      <c r="K5635">
        <v>1.119848</v>
      </c>
      <c r="L5635">
        <v>-14.972779999999901</v>
      </c>
      <c r="M5635">
        <v>4.0340000000000001E-2</v>
      </c>
      <c r="N5635">
        <v>-1.1826410000000001E-2</v>
      </c>
      <c r="O5635">
        <v>-0.99911640000000002</v>
      </c>
      <c r="P5635">
        <v>3.388621E-2</v>
      </c>
      <c r="Q5635">
        <v>0.1807966</v>
      </c>
      <c r="R5635">
        <v>-0.98293710000000001</v>
      </c>
      <c r="S5635">
        <v>0.26815800000000001</v>
      </c>
      <c r="T5635">
        <v>-0.2484915</v>
      </c>
      <c r="U5635">
        <v>-3.0852050000000002</v>
      </c>
      <c r="V5635">
        <v>6.4162730000000001E-3</v>
      </c>
      <c r="W5635">
        <v>0.1923957</v>
      </c>
      <c r="X5635">
        <v>0.98129650000000002</v>
      </c>
      <c r="Y5635">
        <v>-4.6102190000000001E-2</v>
      </c>
      <c r="Z5635">
        <v>6.8219429999999998E-2</v>
      </c>
      <c r="AA5635">
        <v>0.99660459999999995</v>
      </c>
      <c r="AB5635">
        <v>31</v>
      </c>
      <c r="AC5635">
        <v>1.19330000000002</v>
      </c>
      <c r="AD5635">
        <v>-1.1198488904846</v>
      </c>
      <c r="AE5635">
        <v>-13.48798</v>
      </c>
      <c r="AF5635">
        <v>-0.64378227408830901</v>
      </c>
      <c r="AG5635">
        <v>-1.1198488904846</v>
      </c>
      <c r="AH5635">
        <v>13.4332605992025</v>
      </c>
      <c r="AI5635">
        <v>94.759942576615202</v>
      </c>
      <c r="AJ5635">
        <v>92.743772176913495</v>
      </c>
      <c r="AK5635">
        <v>13.495221653608899</v>
      </c>
      <c r="AL5635">
        <v>78.907372897783702</v>
      </c>
      <c r="AM5635">
        <v>89.625373040435505</v>
      </c>
      <c r="AN5635">
        <v>1.00000004742497</v>
      </c>
    </row>
    <row r="5636" spans="1:40" x14ac:dyDescent="0.25">
      <c r="A5636" t="str">
        <f>"20190303162931815"</f>
        <v>20190303162931815</v>
      </c>
      <c r="B5636" t="str">
        <f>"1551601771807193"</f>
        <v>1551601771807193</v>
      </c>
      <c r="C5636" t="s">
        <v>40</v>
      </c>
      <c r="D5636">
        <v>5.6205679999999996</v>
      </c>
      <c r="E5636">
        <v>0.51393370000000005</v>
      </c>
      <c r="F5636" t="s">
        <v>41</v>
      </c>
      <c r="G5636">
        <v>-301.29199999999997</v>
      </c>
      <c r="H5636" s="1">
        <v>-4.3054189999999998E-6</v>
      </c>
      <c r="I5636">
        <v>-31.034970000000001</v>
      </c>
      <c r="J5636">
        <v>-301.375</v>
      </c>
      <c r="K5636">
        <v>1.119748</v>
      </c>
      <c r="L5636">
        <v>-15.591950000000001</v>
      </c>
      <c r="M5636">
        <v>3.6814699999999999E-2</v>
      </c>
      <c r="N5636">
        <v>-1.1849E-2</v>
      </c>
      <c r="O5636">
        <v>-0.99925209999999998</v>
      </c>
      <c r="P5636">
        <v>2.5640300000000001E-2</v>
      </c>
      <c r="Q5636">
        <v>0.17858170000000001</v>
      </c>
      <c r="R5636">
        <v>-0.98359110000000005</v>
      </c>
      <c r="S5636">
        <v>1.9989010000000001E-2</v>
      </c>
      <c r="T5636">
        <v>-0.21550620000000001</v>
      </c>
      <c r="U5636">
        <v>-3.0910340000000001</v>
      </c>
      <c r="V5636">
        <v>1.1241549999999999E-2</v>
      </c>
      <c r="W5636">
        <v>0.19018940000000001</v>
      </c>
      <c r="X5636">
        <v>0.98168310000000003</v>
      </c>
      <c r="Y5636">
        <v>3.035034E-2</v>
      </c>
      <c r="Z5636">
        <v>5.7639759999999998E-2</v>
      </c>
      <c r="AA5636">
        <v>0.99787599999999999</v>
      </c>
      <c r="AB5636">
        <v>31</v>
      </c>
      <c r="AC5636">
        <v>8.2999999999969903E-2</v>
      </c>
      <c r="AD5636">
        <v>-1.1197523054189999</v>
      </c>
      <c r="AE5636">
        <v>-15.443020000000001</v>
      </c>
      <c r="AF5636">
        <v>0.483086444649998</v>
      </c>
      <c r="AG5636">
        <v>-1.1197523054189999</v>
      </c>
      <c r="AH5636">
        <v>15.354879704795399</v>
      </c>
      <c r="AI5636">
        <v>94.168847518827405</v>
      </c>
      <c r="AJ5636">
        <v>88.197987349384206</v>
      </c>
      <c r="AK5636">
        <v>15.4032317546427</v>
      </c>
      <c r="AL5636">
        <v>79.036162925361694</v>
      </c>
      <c r="AM5636">
        <v>89.343917381709304</v>
      </c>
      <c r="AN5636">
        <v>1.0000000445721799</v>
      </c>
    </row>
    <row r="5637" spans="1:40" x14ac:dyDescent="0.25">
      <c r="A5637" t="str">
        <f>"20190303162931858"</f>
        <v>20190303162931858</v>
      </c>
      <c r="B5637" t="str">
        <f>"1551601771847210"</f>
        <v>1551601771847210</v>
      </c>
      <c r="C5637" t="s">
        <v>40</v>
      </c>
      <c r="D5637">
        <v>5.6199519999999996</v>
      </c>
      <c r="E5637">
        <v>0.51301059999999998</v>
      </c>
      <c r="F5637" t="s">
        <v>41</v>
      </c>
      <c r="G5637">
        <v>-301.40289999999999</v>
      </c>
      <c r="H5637" s="1">
        <v>-4.4484810000000004E-6</v>
      </c>
      <c r="I5637">
        <v>-30.67238</v>
      </c>
      <c r="J5637">
        <v>-301.35700000000003</v>
      </c>
      <c r="K5637">
        <v>1.1196809999999999</v>
      </c>
      <c r="L5637">
        <v>-16.192139999999998</v>
      </c>
      <c r="M5637">
        <v>3.3359239999999998E-2</v>
      </c>
      <c r="N5637">
        <v>-1.1865489999999999E-2</v>
      </c>
      <c r="O5637">
        <v>-0.99937310000000001</v>
      </c>
      <c r="P5637">
        <v>1.6387860000000001E-2</v>
      </c>
      <c r="Q5637">
        <v>0.16892489999999999</v>
      </c>
      <c r="R5637">
        <v>-0.98549310000000001</v>
      </c>
      <c r="S5637">
        <v>-5.7067869999999996E-3</v>
      </c>
      <c r="T5637">
        <v>-0.22957900000000001</v>
      </c>
      <c r="U5637">
        <v>-3.091888</v>
      </c>
      <c r="V5637">
        <v>1.7131360000000002E-2</v>
      </c>
      <c r="W5637">
        <v>0.1805476</v>
      </c>
      <c r="X5637">
        <v>0.98341699999999999</v>
      </c>
      <c r="Y5637">
        <v>3.518466E-2</v>
      </c>
      <c r="Z5637">
        <v>6.2124930000000002E-2</v>
      </c>
      <c r="AA5637">
        <v>0.997448</v>
      </c>
      <c r="AB5637">
        <v>31</v>
      </c>
      <c r="AC5637">
        <v>-4.58999999999605E-2</v>
      </c>
      <c r="AD5637">
        <v>-1.1196854484809999</v>
      </c>
      <c r="AE5637">
        <v>-14.48024</v>
      </c>
      <c r="AF5637">
        <v>0.52581430636107296</v>
      </c>
      <c r="AG5637">
        <v>-1.1196854484809999</v>
      </c>
      <c r="AH5637">
        <v>14.384640960431801</v>
      </c>
      <c r="AI5637">
        <v>94.447910372536697</v>
      </c>
      <c r="AJ5637">
        <v>87.906549562205399</v>
      </c>
      <c r="AK5637">
        <v>14.437730837941499</v>
      </c>
      <c r="AL5637">
        <v>79.598341981461104</v>
      </c>
      <c r="AM5637">
        <v>89.001994724195796</v>
      </c>
      <c r="AN5637">
        <v>0.99999995762510296</v>
      </c>
    </row>
    <row r="5638" spans="1:40" x14ac:dyDescent="0.25">
      <c r="A5638" t="str">
        <f>"20190303162931885"</f>
        <v>20190303162931885</v>
      </c>
      <c r="B5638" t="str">
        <f>"1551601771877466"</f>
        <v>1551601771877466</v>
      </c>
      <c r="C5638" t="s">
        <v>40</v>
      </c>
      <c r="D5638">
        <v>5.5582200000000004</v>
      </c>
      <c r="E5638">
        <v>0.51278380000000001</v>
      </c>
      <c r="F5638" t="s">
        <v>44</v>
      </c>
      <c r="G5638">
        <v>-301.36290000000002</v>
      </c>
      <c r="H5638">
        <v>1.050387</v>
      </c>
      <c r="I5638">
        <v>-17.01484</v>
      </c>
      <c r="J5638">
        <v>-301.34690000000001</v>
      </c>
      <c r="K5638">
        <v>1.1196520000000001</v>
      </c>
      <c r="L5638">
        <v>-16.566739999999999</v>
      </c>
      <c r="M5638">
        <v>3.12032E-2</v>
      </c>
      <c r="N5638">
        <v>-1.1873939999999999E-2</v>
      </c>
      <c r="O5638">
        <v>-0.99944250000000001</v>
      </c>
      <c r="P5638">
        <v>1.2449180000000001E-2</v>
      </c>
      <c r="Q5638">
        <v>0.16497479999999901</v>
      </c>
      <c r="R5638">
        <v>-0.98621939999999997</v>
      </c>
      <c r="S5638">
        <v>-2.1179199999999999E-2</v>
      </c>
      <c r="T5638">
        <v>-0.26010159999999999</v>
      </c>
      <c r="U5638">
        <v>-3.0891109999999999</v>
      </c>
      <c r="V5638">
        <v>1.8954820000000001E-2</v>
      </c>
      <c r="W5638">
        <v>0.17660699999999999</v>
      </c>
      <c r="X5638">
        <v>0.9840989</v>
      </c>
      <c r="Y5638">
        <v>3.8017750000000003E-2</v>
      </c>
      <c r="Z5638">
        <v>7.1970809999999996E-2</v>
      </c>
      <c r="AA5638">
        <v>0.99668190000000001</v>
      </c>
      <c r="AB5638">
        <v>31</v>
      </c>
      <c r="AC5638">
        <v>-1.6000000000019499E-2</v>
      </c>
      <c r="AD5638">
        <v>-6.9264999999999896E-2</v>
      </c>
      <c r="AE5638">
        <v>-0.4481</v>
      </c>
      <c r="AF5638">
        <v>2.9276718625751302E-2</v>
      </c>
      <c r="AG5638">
        <v>-6.9264999999999896E-2</v>
      </c>
      <c r="AH5638">
        <v>0.43695543259763098</v>
      </c>
      <c r="AI5638">
        <v>98.987605409515197</v>
      </c>
      <c r="AJ5638">
        <v>86.166819517723198</v>
      </c>
      <c r="AK5638">
        <v>0.44337886345097099</v>
      </c>
      <c r="AL5638">
        <v>79.827810651233506</v>
      </c>
      <c r="AM5638">
        <v>88.896557129376106</v>
      </c>
      <c r="AN5638">
        <v>0.99999998131572099</v>
      </c>
    </row>
    <row r="5639" spans="1:40" x14ac:dyDescent="0.25">
      <c r="A5639" t="str">
        <f>"20190303162931913"</f>
        <v>20190303162931913</v>
      </c>
      <c r="B5639" t="str">
        <f>"1551601771907723"</f>
        <v>1551601771907723</v>
      </c>
      <c r="C5639" t="s">
        <v>40</v>
      </c>
      <c r="D5639">
        <v>5.3854100000000003</v>
      </c>
      <c r="E5639">
        <v>0.50780670000000006</v>
      </c>
      <c r="F5639" t="s">
        <v>44</v>
      </c>
      <c r="G5639">
        <v>-301.35700000000003</v>
      </c>
      <c r="H5639">
        <v>1.03389</v>
      </c>
      <c r="I5639">
        <v>-17.54242</v>
      </c>
      <c r="J5639">
        <v>-301.3372</v>
      </c>
      <c r="K5639">
        <v>1.119637</v>
      </c>
      <c r="L5639">
        <v>-16.957090000000001</v>
      </c>
      <c r="M5639">
        <v>2.8945120000000001E-2</v>
      </c>
      <c r="N5639">
        <v>-1.1881539999999999E-2</v>
      </c>
      <c r="O5639">
        <v>-0.99951060000000003</v>
      </c>
      <c r="P5639">
        <v>9.5832190000000005E-3</v>
      </c>
      <c r="Q5639">
        <v>0.1639091</v>
      </c>
      <c r="R5639">
        <v>-0.98642929999999995</v>
      </c>
      <c r="S5639">
        <v>-3.1341550000000003E-2</v>
      </c>
      <c r="T5639">
        <v>-0.27130759999999998</v>
      </c>
      <c r="U5639">
        <v>-3.0877080000000001</v>
      </c>
      <c r="V5639">
        <v>1.9600240000000001E-2</v>
      </c>
      <c r="W5639">
        <v>0.1755477</v>
      </c>
      <c r="X5639">
        <v>0.98427580000000003</v>
      </c>
      <c r="Y5639">
        <v>3.9039089999999999E-2</v>
      </c>
      <c r="Z5639">
        <v>7.5595339999999997E-2</v>
      </c>
      <c r="AA5639">
        <v>0.99637410000000004</v>
      </c>
      <c r="AB5639">
        <v>31</v>
      </c>
      <c r="AC5639">
        <v>-1.9800000000032E-2</v>
      </c>
      <c r="AD5639">
        <v>-8.5747000000000004E-2</v>
      </c>
      <c r="AE5639">
        <v>-0.58532999999999902</v>
      </c>
      <c r="AF5639">
        <v>3.5964416211461903E-2</v>
      </c>
      <c r="AG5639">
        <v>-8.5747000000000004E-2</v>
      </c>
      <c r="AH5639">
        <v>0.57224503147749095</v>
      </c>
      <c r="AI5639">
        <v>98.505441563260405</v>
      </c>
      <c r="AJ5639">
        <v>86.403808650248095</v>
      </c>
      <c r="AK5639">
        <v>0.57975025941616098</v>
      </c>
      <c r="AL5639">
        <v>79.889467645724494</v>
      </c>
      <c r="AM5639">
        <v>88.859199195576494</v>
      </c>
      <c r="AN5639">
        <v>1.0000000074244899</v>
      </c>
    </row>
    <row r="5640" spans="1:40" x14ac:dyDescent="0.25">
      <c r="A5640" t="str">
        <f>"20190303162931939"</f>
        <v>20190303162931939</v>
      </c>
      <c r="B5640" t="str">
        <f>"1551601771927749"</f>
        <v>1551601771927749</v>
      </c>
      <c r="C5640" t="s">
        <v>40</v>
      </c>
      <c r="D5640">
        <v>5.3536989999999998</v>
      </c>
      <c r="E5640">
        <v>0.50832440000000001</v>
      </c>
      <c r="F5640" t="s">
        <v>41</v>
      </c>
      <c r="G5640">
        <v>-301.36430000000001</v>
      </c>
      <c r="H5640" s="1">
        <v>-3.8612520000000001E-6</v>
      </c>
      <c r="I5640">
        <v>-32.25638</v>
      </c>
      <c r="J5640">
        <v>-301.32920000000001</v>
      </c>
      <c r="K5640">
        <v>1.1196170000000001</v>
      </c>
      <c r="L5640">
        <v>-17.303829999999898</v>
      </c>
      <c r="M5640">
        <v>2.6917320000000002E-2</v>
      </c>
      <c r="N5640">
        <v>-1.188766E-2</v>
      </c>
      <c r="O5640">
        <v>-0.99956719999999999</v>
      </c>
      <c r="P5640">
        <v>8.0788839999999997E-3</v>
      </c>
      <c r="Q5640">
        <v>0.1648847</v>
      </c>
      <c r="R5640">
        <v>-0.98628020000000005</v>
      </c>
      <c r="S5640">
        <v>-5.4626459999999998E-3</v>
      </c>
      <c r="T5640">
        <v>-0.22531190000000001</v>
      </c>
      <c r="U5640">
        <v>-3.0787659999999999</v>
      </c>
      <c r="V5640">
        <v>1.911148E-2</v>
      </c>
      <c r="W5640">
        <v>0.1765282</v>
      </c>
      <c r="X5640">
        <v>0.98411009999999999</v>
      </c>
      <c r="Y5640">
        <v>2.8675010000000001E-2</v>
      </c>
      <c r="Z5640">
        <v>6.1071250000000001E-2</v>
      </c>
      <c r="AA5640">
        <v>0.99772139999999998</v>
      </c>
      <c r="AB5640">
        <v>31</v>
      </c>
      <c r="AC5640">
        <v>-3.5099999999999902E-2</v>
      </c>
      <c r="AD5640">
        <v>-1.119620861252</v>
      </c>
      <c r="AE5640">
        <v>-14.95255</v>
      </c>
      <c r="AF5640">
        <v>0.43515839307154802</v>
      </c>
      <c r="AG5640">
        <v>-1.119620861252</v>
      </c>
      <c r="AH5640">
        <v>14.8628546164075</v>
      </c>
      <c r="AI5640">
        <v>94.306124168018101</v>
      </c>
      <c r="AJ5640">
        <v>88.322958852773795</v>
      </c>
      <c r="AK5640">
        <v>14.9113165430983</v>
      </c>
      <c r="AL5640">
        <v>79.832398553572403</v>
      </c>
      <c r="AM5640">
        <v>88.887452208025806</v>
      </c>
      <c r="AN5640">
        <v>1.0000000714925099</v>
      </c>
    </row>
    <row r="5641" spans="1:40" x14ac:dyDescent="0.25">
      <c r="A5641" t="str">
        <f>"20190303162931969"</f>
        <v>20190303162931969</v>
      </c>
      <c r="B5641" t="str">
        <f>"1551601771957030"</f>
        <v>1551601771957030</v>
      </c>
      <c r="C5641" t="s">
        <v>40</v>
      </c>
      <c r="D5641">
        <v>5.5152609999999997</v>
      </c>
      <c r="E5641">
        <v>0.50751469999999999</v>
      </c>
      <c r="F5641" t="s">
        <v>41</v>
      </c>
      <c r="G5641">
        <v>-301.40589999999997</v>
      </c>
      <c r="H5641" s="1">
        <v>-3.6450860000000001E-6</v>
      </c>
      <c r="I5641">
        <v>-32.786099999999998</v>
      </c>
      <c r="J5641">
        <v>-301.32080000000002</v>
      </c>
      <c r="K5641">
        <v>1.1195520000000001</v>
      </c>
      <c r="L5641">
        <v>-17.717220000000001</v>
      </c>
      <c r="M5641">
        <v>2.441581E-2</v>
      </c>
      <c r="N5641">
        <v>-1.1894500000000001E-2</v>
      </c>
      <c r="O5641">
        <v>-0.99963100000000005</v>
      </c>
      <c r="P5641">
        <v>9.0851219999999993E-3</v>
      </c>
      <c r="Q5641">
        <v>0.16402239999999901</v>
      </c>
      <c r="R5641">
        <v>-0.98641469999999998</v>
      </c>
      <c r="S5641">
        <v>-1.525879E-2</v>
      </c>
      <c r="T5641">
        <v>-0.22266710000000001</v>
      </c>
      <c r="U5641">
        <v>-3.0790709999999999</v>
      </c>
      <c r="V5641">
        <v>1.5659369999999999E-2</v>
      </c>
      <c r="W5641">
        <v>0.1756856</v>
      </c>
      <c r="X5641">
        <v>0.98432180000000002</v>
      </c>
      <c r="Y5641">
        <v>2.9347649999999999E-2</v>
      </c>
      <c r="Z5641">
        <v>6.0210409999999999E-2</v>
      </c>
      <c r="AA5641">
        <v>0.99775420000000004</v>
      </c>
      <c r="AB5641">
        <v>31</v>
      </c>
      <c r="AC5641">
        <v>-8.5099999999954407E-2</v>
      </c>
      <c r="AD5641">
        <v>-1.119555645086</v>
      </c>
      <c r="AE5641">
        <v>-15.068879999999901</v>
      </c>
      <c r="AF5641">
        <v>0.45053280745384899</v>
      </c>
      <c r="AG5641">
        <v>-1.119555645086</v>
      </c>
      <c r="AH5641">
        <v>14.97962618112</v>
      </c>
      <c r="AI5641">
        <v>94.272332490839105</v>
      </c>
      <c r="AJ5641">
        <v>88.2772701573668</v>
      </c>
      <c r="AK5641">
        <v>15.028159740272001</v>
      </c>
      <c r="AL5641">
        <v>79.881442014812606</v>
      </c>
      <c r="AM5641">
        <v>89.088570292441304</v>
      </c>
      <c r="AN5641">
        <v>1.00000002593569</v>
      </c>
    </row>
    <row r="5642" spans="1:40" x14ac:dyDescent="0.25">
      <c r="A5642" t="str">
        <f>"20190303162931996"</f>
        <v>20190303162931996</v>
      </c>
      <c r="B5642" t="str">
        <f>"1551601771987286"</f>
        <v>1551601771987286</v>
      </c>
      <c r="C5642" t="s">
        <v>40</v>
      </c>
      <c r="D5642">
        <v>5.4589790000000002</v>
      </c>
      <c r="E5642">
        <v>0.506656</v>
      </c>
      <c r="F5642" t="s">
        <v>41</v>
      </c>
      <c r="G5642">
        <v>-301.36320000000001</v>
      </c>
      <c r="H5642" s="1">
        <v>-3.4260290000000001E-6</v>
      </c>
      <c r="I5642">
        <v>-33.270209999999999</v>
      </c>
      <c r="J5642">
        <v>-301.31439999999998</v>
      </c>
      <c r="K5642">
        <v>1.1194900000000001</v>
      </c>
      <c r="L5642">
        <v>-18.08493</v>
      </c>
      <c r="M5642">
        <v>2.2083499999999999E-2</v>
      </c>
      <c r="N5642">
        <v>-1.190068E-2</v>
      </c>
      <c r="O5642">
        <v>-0.9996853</v>
      </c>
      <c r="P5642">
        <v>1.1685589999999999E-2</v>
      </c>
      <c r="Q5642">
        <v>0.16419539999999999</v>
      </c>
      <c r="R5642">
        <v>-0.98635839999999997</v>
      </c>
      <c r="S5642">
        <v>-8.3923339999999996E-3</v>
      </c>
      <c r="T5642">
        <v>-0.22158240000000001</v>
      </c>
      <c r="U5642">
        <v>-3.0782470000000002</v>
      </c>
      <c r="V5642">
        <v>1.078608E-2</v>
      </c>
      <c r="W5642">
        <v>0.1758818</v>
      </c>
      <c r="X5642">
        <v>0.98435220000000001</v>
      </c>
      <c r="Y5642">
        <v>2.4793369999999999E-2</v>
      </c>
      <c r="Z5642">
        <v>5.9884699999999999E-2</v>
      </c>
      <c r="AA5642">
        <v>0.99789729999999999</v>
      </c>
      <c r="AB5642">
        <v>31</v>
      </c>
      <c r="AC5642">
        <v>-4.88000000000283E-2</v>
      </c>
      <c r="AD5642">
        <v>-1.1194934260289999</v>
      </c>
      <c r="AE5642">
        <v>-15.185280000000001</v>
      </c>
      <c r="AF5642">
        <v>0.38207940629668502</v>
      </c>
      <c r="AG5642">
        <v>-1.1194934260289999</v>
      </c>
      <c r="AH5642">
        <v>15.098439703898</v>
      </c>
      <c r="AI5642">
        <v>94.239158197460895</v>
      </c>
      <c r="AJ5642">
        <v>88.550388873398504</v>
      </c>
      <c r="AK5642">
        <v>15.1447063918678</v>
      </c>
      <c r="AL5642">
        <v>79.870022510280904</v>
      </c>
      <c r="AM5642">
        <v>89.372204248185994</v>
      </c>
      <c r="AN5642">
        <v>1.00000000036892</v>
      </c>
    </row>
    <row r="5643" spans="1:40" x14ac:dyDescent="0.25">
      <c r="A5643" t="str">
        <f>"20190303162932019"</f>
        <v>20190303162932019</v>
      </c>
      <c r="B5643" t="str">
        <f>"1551601772007782"</f>
        <v>1551601772007782</v>
      </c>
      <c r="C5643" t="s">
        <v>40</v>
      </c>
      <c r="D5643">
        <v>5.4589540000000003</v>
      </c>
      <c r="E5643">
        <v>0.50641250000000004</v>
      </c>
      <c r="F5643" t="s">
        <v>41</v>
      </c>
      <c r="G5643">
        <v>-301.30410000000001</v>
      </c>
      <c r="H5643" s="1">
        <v>-3.0171389999999999E-6</v>
      </c>
      <c r="I5643">
        <v>-34.186720000000001</v>
      </c>
      <c r="J5643">
        <v>-301.30950000000001</v>
      </c>
      <c r="K5643">
        <v>1.1194470000000001</v>
      </c>
      <c r="L5643">
        <v>-18.404019999999999</v>
      </c>
      <c r="M5643">
        <v>1.9974840000000001E-2</v>
      </c>
      <c r="N5643">
        <v>-1.1905850000000001E-2</v>
      </c>
      <c r="O5643">
        <v>-0.9997298</v>
      </c>
      <c r="P5643">
        <v>1.4780039999999999E-2</v>
      </c>
      <c r="Q5643">
        <v>0.16641589999999901</v>
      </c>
      <c r="R5643">
        <v>-0.98594519999999997</v>
      </c>
      <c r="S5643">
        <v>1.953125E-3</v>
      </c>
      <c r="T5643">
        <v>-0.21393760000000001</v>
      </c>
      <c r="U5643">
        <v>-3.0770870000000001</v>
      </c>
      <c r="V5643">
        <v>5.6399650000000003E-3</v>
      </c>
      <c r="W5643">
        <v>0.17812229999999901</v>
      </c>
      <c r="X5643">
        <v>0.98399219999999998</v>
      </c>
      <c r="Y5643">
        <v>1.9333320000000001E-2</v>
      </c>
      <c r="Z5643">
        <v>5.7449350000000003E-2</v>
      </c>
      <c r="AA5643">
        <v>0.99816119999999997</v>
      </c>
      <c r="AB5643">
        <v>31</v>
      </c>
      <c r="AC5643">
        <v>5.4000000000087303E-3</v>
      </c>
      <c r="AD5643">
        <v>-1.1194500171389901</v>
      </c>
      <c r="AE5643">
        <v>-15.782699999999901</v>
      </c>
      <c r="AF5643">
        <v>0.30832908858319602</v>
      </c>
      <c r="AG5643">
        <v>-1.1194500171389901</v>
      </c>
      <c r="AH5643">
        <v>15.700669813863399</v>
      </c>
      <c r="AI5643">
        <v>94.077475892398596</v>
      </c>
      <c r="AJ5643">
        <v>88.874972516666602</v>
      </c>
      <c r="AK5643">
        <v>15.7435468612285</v>
      </c>
      <c r="AL5643">
        <v>79.739591910373605</v>
      </c>
      <c r="AM5643">
        <v>89.671600392317799</v>
      </c>
      <c r="AN5643">
        <v>1.0000000063116601</v>
      </c>
    </row>
    <row r="5644" spans="1:40" x14ac:dyDescent="0.25">
      <c r="A5644" t="str">
        <f>"20190303162932043"</f>
        <v>20190303162932043</v>
      </c>
      <c r="B5644" t="str">
        <f>"1551601772037568"</f>
        <v>1551601772037568</v>
      </c>
      <c r="C5644" t="s">
        <v>40</v>
      </c>
      <c r="D5644">
        <v>5.3976139999999999</v>
      </c>
      <c r="E5644">
        <v>0.50604459999999996</v>
      </c>
      <c r="F5644" t="s">
        <v>41</v>
      </c>
      <c r="G5644">
        <v>-301.25700000000001</v>
      </c>
      <c r="H5644" s="1">
        <v>-2.4993590000000001E-6</v>
      </c>
      <c r="I5644">
        <v>-35.364440000000002</v>
      </c>
      <c r="J5644">
        <v>-301.30520000000001</v>
      </c>
      <c r="K5644">
        <v>1.119386</v>
      </c>
      <c r="L5644">
        <v>-18.73685</v>
      </c>
      <c r="M5644">
        <v>1.766964E-2</v>
      </c>
      <c r="N5644">
        <v>-1.191101E-2</v>
      </c>
      <c r="O5644">
        <v>-0.99977309999999997</v>
      </c>
      <c r="P5644">
        <v>1.639709E-2</v>
      </c>
      <c r="Q5644">
        <v>0.16896929999999999</v>
      </c>
      <c r="R5644">
        <v>-0.98548500000000006</v>
      </c>
      <c r="S5644">
        <v>9.5214840000000002E-3</v>
      </c>
      <c r="T5644">
        <v>-0.20308699999999999</v>
      </c>
      <c r="U5644">
        <v>-3.0769039999999999</v>
      </c>
      <c r="V5644">
        <v>1.78408E-3</v>
      </c>
      <c r="W5644">
        <v>0.18069160000000001</v>
      </c>
      <c r="X5644">
        <v>0.98353820000000003</v>
      </c>
      <c r="Y5644">
        <v>1.457455E-2</v>
      </c>
      <c r="Z5644">
        <v>5.3951800000000001E-2</v>
      </c>
      <c r="AA5644">
        <v>0.99843720000000002</v>
      </c>
      <c r="AB5644">
        <v>31</v>
      </c>
      <c r="AC5644">
        <v>4.8200000000008403E-2</v>
      </c>
      <c r="AD5644">
        <v>-1.119388499359</v>
      </c>
      <c r="AE5644">
        <v>-16.627589999999898</v>
      </c>
      <c r="AF5644">
        <v>0.244523643552336</v>
      </c>
      <c r="AG5644">
        <v>-1.119388499359</v>
      </c>
      <c r="AH5644">
        <v>16.550835435705501</v>
      </c>
      <c r="AI5644">
        <v>93.868792341690295</v>
      </c>
      <c r="AJ5644">
        <v>89.153568192810098</v>
      </c>
      <c r="AK5644">
        <v>16.590448337659801</v>
      </c>
      <c r="AL5644">
        <v>79.589954016446598</v>
      </c>
      <c r="AM5644">
        <v>89.896068965903495</v>
      </c>
      <c r="AN5644">
        <v>1.00000001405562</v>
      </c>
    </row>
    <row r="5645" spans="1:40" x14ac:dyDescent="0.25">
      <c r="A5645" t="str">
        <f>"20190303162932064"</f>
        <v>20190303162932064</v>
      </c>
      <c r="B5645" t="str">
        <f>"1551601772057088"</f>
        <v>1551601772057088</v>
      </c>
      <c r="C5645" t="s">
        <v>40</v>
      </c>
      <c r="D5645">
        <v>5.3357539999999997</v>
      </c>
      <c r="E5645">
        <v>0.50578559999999995</v>
      </c>
      <c r="F5645" t="s">
        <v>41</v>
      </c>
      <c r="G5645">
        <v>-301.21159999999998</v>
      </c>
      <c r="H5645" s="1">
        <v>-1.910372E-6</v>
      </c>
      <c r="I5645">
        <v>-36.709249999999997</v>
      </c>
      <c r="J5645">
        <v>-301.30239999999998</v>
      </c>
      <c r="K5645">
        <v>1.119335</v>
      </c>
      <c r="L5645">
        <v>-19.014250000000001</v>
      </c>
      <c r="M5645">
        <v>1.5656659999999999E-2</v>
      </c>
      <c r="N5645">
        <v>-1.19152999999999E-2</v>
      </c>
      <c r="O5645">
        <v>-0.99980659999999999</v>
      </c>
      <c r="P5645">
        <v>1.6974550000000001E-2</v>
      </c>
      <c r="Q5645">
        <v>0.16984350000000001</v>
      </c>
      <c r="R5645">
        <v>-0.98532529999999996</v>
      </c>
      <c r="S5645">
        <v>1.6021730000000001E-2</v>
      </c>
      <c r="T5645">
        <v>-0.19163330000000001</v>
      </c>
      <c r="U5645">
        <v>-3.0767820000000001</v>
      </c>
      <c r="V5645">
        <v>-7.4867789999999998E-4</v>
      </c>
      <c r="W5645">
        <v>0.18157880000000001</v>
      </c>
      <c r="X5645">
        <v>0.98337609999999998</v>
      </c>
      <c r="Y5645">
        <v>1.0452940000000001E-2</v>
      </c>
      <c r="Z5645">
        <v>5.0253520000000003E-2</v>
      </c>
      <c r="AA5645">
        <v>0.99868179999999995</v>
      </c>
      <c r="AB5645">
        <v>31</v>
      </c>
      <c r="AC5645">
        <v>9.0800000000001505E-2</v>
      </c>
      <c r="AD5645">
        <v>-1.1193369103719999</v>
      </c>
      <c r="AE5645">
        <v>-17.694999999999901</v>
      </c>
      <c r="AF5645">
        <v>0.18553296445599801</v>
      </c>
      <c r="AG5645">
        <v>-1.1193369103719999</v>
      </c>
      <c r="AH5645">
        <v>17.623733350874499</v>
      </c>
      <c r="AI5645">
        <v>93.633947047092803</v>
      </c>
      <c r="AJ5645">
        <v>89.396843850777003</v>
      </c>
      <c r="AK5645">
        <v>17.660218425108699</v>
      </c>
      <c r="AL5645">
        <v>79.5382659102345</v>
      </c>
      <c r="AM5645">
        <v>90.043621230571603</v>
      </c>
      <c r="AN5645">
        <v>0.99999998758962305</v>
      </c>
    </row>
    <row r="5646" spans="1:40" x14ac:dyDescent="0.25">
      <c r="A5646" t="str">
        <f>"20190303162932086"</f>
        <v>20190303162932086</v>
      </c>
      <c r="B5646" t="str">
        <f>"1551601772077584"</f>
        <v>1551601772077584</v>
      </c>
      <c r="C5646" t="s">
        <v>40</v>
      </c>
      <c r="D5646">
        <v>5.1411689999999997</v>
      </c>
      <c r="E5646">
        <v>0.50570420000000005</v>
      </c>
      <c r="F5646" t="s">
        <v>41</v>
      </c>
      <c r="G5646">
        <v>-301.18579999999997</v>
      </c>
      <c r="H5646" s="1">
        <v>-1.5762799999999999E-6</v>
      </c>
      <c r="I5646">
        <v>-37.471980000000002</v>
      </c>
      <c r="J5646">
        <v>-301.3</v>
      </c>
      <c r="K5646">
        <v>1.1192690000000001</v>
      </c>
      <c r="L5646">
        <v>-19.331630000000001</v>
      </c>
      <c r="M5646">
        <v>1.327274E-2</v>
      </c>
      <c r="N5646">
        <v>-1.191975E-2</v>
      </c>
      <c r="O5646">
        <v>-0.99984090000000003</v>
      </c>
      <c r="P5646">
        <v>1.736478E-2</v>
      </c>
      <c r="Q5646">
        <v>0.16953679999999999</v>
      </c>
      <c r="R5646">
        <v>-0.9853712</v>
      </c>
      <c r="S5646">
        <v>1.9439700000000001E-2</v>
      </c>
      <c r="T5646">
        <v>-0.1865695</v>
      </c>
      <c r="U5646">
        <v>-3.076508</v>
      </c>
      <c r="V5646">
        <v>-3.45963E-3</v>
      </c>
      <c r="W5646">
        <v>0.18128949999999999</v>
      </c>
      <c r="X5646">
        <v>0.98342370000000001</v>
      </c>
      <c r="Y5646">
        <v>6.9598139999999999E-3</v>
      </c>
      <c r="Z5646">
        <v>4.8621030000000003E-2</v>
      </c>
      <c r="AA5646">
        <v>0.99879309999999999</v>
      </c>
      <c r="AB5646">
        <v>31</v>
      </c>
      <c r="AC5646">
        <v>0.11420000000003901</v>
      </c>
      <c r="AD5646">
        <v>-1.1192705762799999</v>
      </c>
      <c r="AE5646">
        <v>-18.140350000000002</v>
      </c>
      <c r="AF5646">
        <v>0.12611919542499</v>
      </c>
      <c r="AG5646">
        <v>-1.1192705762799999</v>
      </c>
      <c r="AH5646">
        <v>18.071472970889001</v>
      </c>
      <c r="AI5646">
        <v>93.544044899366497</v>
      </c>
      <c r="AJ5646">
        <v>89.600144364969907</v>
      </c>
      <c r="AK5646">
        <v>18.106540476080799</v>
      </c>
      <c r="AL5646">
        <v>79.555121593390595</v>
      </c>
      <c r="AM5646">
        <v>90.201562541104707</v>
      </c>
      <c r="AN5646">
        <v>1.00000001278583</v>
      </c>
    </row>
    <row r="5647" spans="1:40" x14ac:dyDescent="0.25">
      <c r="A5647" t="str">
        <f>"20190303162932114"</f>
        <v>20190303162932114</v>
      </c>
      <c r="B5647" t="str">
        <f>"1551601772107840"</f>
        <v>1551601772107840</v>
      </c>
      <c r="C5647" t="s">
        <v>40</v>
      </c>
      <c r="D5647">
        <v>5.2252280000000004</v>
      </c>
      <c r="E5647">
        <v>0.52560030000000002</v>
      </c>
      <c r="F5647" t="s">
        <v>41</v>
      </c>
      <c r="G5647">
        <v>-301.17860000000002</v>
      </c>
      <c r="H5647" s="1">
        <v>-1.392192E-6</v>
      </c>
      <c r="I5647">
        <v>-37.896630000000002</v>
      </c>
      <c r="J5647">
        <v>-301.29809999999998</v>
      </c>
      <c r="K5647">
        <v>1.1192</v>
      </c>
      <c r="L5647">
        <v>-19.714749999999999</v>
      </c>
      <c r="M5647">
        <v>1.031983E-2</v>
      </c>
      <c r="N5647">
        <v>-1.1924499999999999E-2</v>
      </c>
      <c r="O5647">
        <v>-0.99987559999999998</v>
      </c>
      <c r="P5647">
        <v>1.7331260000000001E-2</v>
      </c>
      <c r="Q5647">
        <v>0.1678296</v>
      </c>
      <c r="R5647">
        <v>-0.98566359999999997</v>
      </c>
      <c r="S5647">
        <v>2.011108E-2</v>
      </c>
      <c r="T5647">
        <v>-0.1854546</v>
      </c>
      <c r="U5647">
        <v>-3.0760800000000001</v>
      </c>
      <c r="V5647">
        <v>-6.3155210000000002E-3</v>
      </c>
      <c r="W5647">
        <v>0.1796044</v>
      </c>
      <c r="X5647">
        <v>0.9837186</v>
      </c>
      <c r="Y5647">
        <v>3.7889310000000002E-3</v>
      </c>
      <c r="Z5647">
        <v>4.8267560000000001E-2</v>
      </c>
      <c r="AA5647">
        <v>0.99882729999999997</v>
      </c>
      <c r="AB5647">
        <v>31</v>
      </c>
      <c r="AC5647">
        <v>0.119499999999959</v>
      </c>
      <c r="AD5647">
        <v>-1.1192013921920001</v>
      </c>
      <c r="AE5647">
        <v>-18.18188</v>
      </c>
      <c r="AF5647">
        <v>6.7896368592795797E-2</v>
      </c>
      <c r="AG5647">
        <v>-1.1192013921920001</v>
      </c>
      <c r="AH5647">
        <v>18.113513570114701</v>
      </c>
      <c r="AI5647">
        <v>93.535683337139801</v>
      </c>
      <c r="AJ5647">
        <v>89.785234536068202</v>
      </c>
      <c r="AK5647">
        <v>18.148184358989798</v>
      </c>
      <c r="AL5647">
        <v>79.653281451831603</v>
      </c>
      <c r="AM5647">
        <v>90.367836622538604</v>
      </c>
      <c r="AN5647">
        <v>0.99999995514540896</v>
      </c>
    </row>
    <row r="5648" spans="1:40" x14ac:dyDescent="0.25">
      <c r="A5648" t="str">
        <f>"20190303162932148"</f>
        <v>20190303162932148</v>
      </c>
      <c r="B5648" t="str">
        <f>"1551601772137626"</f>
        <v>1551601772137626</v>
      </c>
      <c r="C5648" t="s">
        <v>40</v>
      </c>
      <c r="D5648">
        <v>5.2108829999999999</v>
      </c>
      <c r="E5648">
        <v>0.53231139999999999</v>
      </c>
      <c r="F5648" t="s">
        <v>44</v>
      </c>
      <c r="G5648">
        <v>-301.33359999999999</v>
      </c>
      <c r="H5648">
        <v>0.99629400000000001</v>
      </c>
      <c r="I5648">
        <v>-20.546119999999998</v>
      </c>
      <c r="J5648">
        <v>-301.29739999999998</v>
      </c>
      <c r="K5648">
        <v>1.119108</v>
      </c>
      <c r="L5648">
        <v>-20.174990000000001</v>
      </c>
      <c r="M5648">
        <v>6.7080509999999996E-3</v>
      </c>
      <c r="N5648">
        <v>-1.1929E-2</v>
      </c>
      <c r="O5648">
        <v>-0.99990650000000003</v>
      </c>
      <c r="P5648">
        <v>1.435469E-2</v>
      </c>
      <c r="Q5648">
        <v>0.16105739999999999</v>
      </c>
      <c r="R5648">
        <v>-0.98684099999999997</v>
      </c>
      <c r="S5648">
        <v>-0.13366700000000001</v>
      </c>
      <c r="T5648">
        <v>-0.4619645</v>
      </c>
      <c r="U5648">
        <v>-3.1246339999999999</v>
      </c>
      <c r="V5648">
        <v>-6.906115E-3</v>
      </c>
      <c r="W5648">
        <v>0.172853799999999</v>
      </c>
      <c r="X5648">
        <v>0.98492329999999995</v>
      </c>
      <c r="Y5648">
        <v>4.9006849999999998E-2</v>
      </c>
      <c r="Z5648">
        <v>0.13428499999999999</v>
      </c>
      <c r="AA5648">
        <v>0.9897302</v>
      </c>
      <c r="AB5648">
        <v>31</v>
      </c>
      <c r="AC5648">
        <v>-3.6200000000007997E-2</v>
      </c>
      <c r="AD5648">
        <v>-0.12281399999999899</v>
      </c>
      <c r="AE5648">
        <v>-0.37113000000000002</v>
      </c>
      <c r="AF5648">
        <v>3.4902823374482798E-2</v>
      </c>
      <c r="AG5648">
        <v>-0.12281399999999899</v>
      </c>
      <c r="AH5648">
        <v>0.33458460109069899</v>
      </c>
      <c r="AI5648">
        <v>110.056282002918</v>
      </c>
      <c r="AJ5648">
        <v>84.044622586152997</v>
      </c>
      <c r="AK5648">
        <v>0.35811777526748401</v>
      </c>
      <c r="AL5648">
        <v>80.046213529191803</v>
      </c>
      <c r="AM5648">
        <v>90.401741696741794</v>
      </c>
      <c r="AN5648">
        <v>1.00000001874086</v>
      </c>
    </row>
    <row r="5649" spans="1:40" x14ac:dyDescent="0.25">
      <c r="A5649" t="str">
        <f>"20190303162932174"</f>
        <v>20190303162932174</v>
      </c>
      <c r="B5649" t="str">
        <f>"1551601772167883"</f>
        <v>1551601772167883</v>
      </c>
      <c r="C5649" t="s">
        <v>40</v>
      </c>
      <c r="D5649">
        <v>5.2169829999999999</v>
      </c>
      <c r="E5649">
        <v>0.53221479999999999</v>
      </c>
      <c r="F5649" t="s">
        <v>44</v>
      </c>
      <c r="G5649">
        <v>-301.34399999999999</v>
      </c>
      <c r="H5649">
        <v>0.83845669999999894</v>
      </c>
      <c r="I5649">
        <v>-21.025040000000001</v>
      </c>
      <c r="J5649">
        <v>-301.29809999999998</v>
      </c>
      <c r="K5649">
        <v>1.1190719999999901</v>
      </c>
      <c r="L5649">
        <v>-20.54297</v>
      </c>
      <c r="M5649">
        <v>3.7947850000000002E-3</v>
      </c>
      <c r="N5649">
        <v>-1.1931880000000001E-2</v>
      </c>
      <c r="O5649">
        <v>-0.99992170000000002</v>
      </c>
      <c r="P5649">
        <v>1.037039E-2</v>
      </c>
      <c r="Q5649">
        <v>0.15798719999999999</v>
      </c>
      <c r="R5649">
        <v>-0.9873866</v>
      </c>
      <c r="S5649">
        <v>-0.17596439999999999</v>
      </c>
      <c r="T5649">
        <v>-1.061677</v>
      </c>
      <c r="U5649">
        <v>-3.2158199999999999</v>
      </c>
      <c r="V5649">
        <v>-5.8027599999999997E-3</v>
      </c>
      <c r="W5649">
        <v>0.16978799999999999</v>
      </c>
      <c r="X5649">
        <v>0.98546350000000005</v>
      </c>
      <c r="Y5649">
        <v>5.5763859999999998E-2</v>
      </c>
      <c r="Z5649">
        <v>0.3016855</v>
      </c>
      <c r="AA5649">
        <v>0.95177529999999999</v>
      </c>
      <c r="AB5649">
        <v>31</v>
      </c>
      <c r="AC5649">
        <v>-4.5900000000017302E-2</v>
      </c>
      <c r="AD5649">
        <v>-0.28061529999999901</v>
      </c>
      <c r="AE5649">
        <v>-0.48207</v>
      </c>
      <c r="AF5649">
        <v>3.5730713934561197E-2</v>
      </c>
      <c r="AG5649">
        <v>-0.28061529999999901</v>
      </c>
      <c r="AH5649">
        <v>0.36075137792635897</v>
      </c>
      <c r="AI5649">
        <v>127.742588977851</v>
      </c>
      <c r="AJ5649">
        <v>84.343572943281103</v>
      </c>
      <c r="AK5649">
        <v>0.458435586738344</v>
      </c>
      <c r="AL5649">
        <v>80.224506575623707</v>
      </c>
      <c r="AM5649">
        <v>90.337374052937193</v>
      </c>
      <c r="AN5649">
        <v>0.99999997339993296</v>
      </c>
    </row>
    <row r="5650" spans="1:40" x14ac:dyDescent="0.25">
      <c r="A5650" t="str">
        <f>"20190303162932197"</f>
        <v>20190303162932197</v>
      </c>
      <c r="B5650" t="str">
        <f>"1551601772188379"</f>
        <v>1551601772188379</v>
      </c>
      <c r="C5650" t="s">
        <v>40</v>
      </c>
      <c r="D5650">
        <v>5.2459660000000001</v>
      </c>
      <c r="E5650">
        <v>0.53190890000000002</v>
      </c>
      <c r="F5650" t="s">
        <v>44</v>
      </c>
      <c r="G5650">
        <v>-301.34210000000002</v>
      </c>
      <c r="H5650">
        <v>0.85003689999999998</v>
      </c>
      <c r="I5650">
        <v>-21.3047</v>
      </c>
      <c r="J5650">
        <v>-301.29950000000002</v>
      </c>
      <c r="K5650">
        <v>1.1190549999999999</v>
      </c>
      <c r="L5650">
        <v>-20.853090000000002</v>
      </c>
      <c r="M5650">
        <v>1.3406379999999999E-3</v>
      </c>
      <c r="N5650">
        <v>-1.193403E-2</v>
      </c>
      <c r="O5650">
        <v>-0.99992789999999998</v>
      </c>
      <c r="P5650">
        <v>7.6672830000000004E-3</v>
      </c>
      <c r="Q5650">
        <v>0.1550269</v>
      </c>
      <c r="R5650">
        <v>-0.98788050000000005</v>
      </c>
      <c r="S5650">
        <v>-0.18499760000000001</v>
      </c>
      <c r="T5650">
        <v>-1.137832</v>
      </c>
      <c r="U5650">
        <v>-3.222321</v>
      </c>
      <c r="V5650">
        <v>-5.5335139999999998E-3</v>
      </c>
      <c r="W5650">
        <v>0.16683480000000001</v>
      </c>
      <c r="X5650">
        <v>0.9859694</v>
      </c>
      <c r="Y5650">
        <v>5.549478E-2</v>
      </c>
      <c r="Z5650">
        <v>0.32118279999999999</v>
      </c>
      <c r="AA5650">
        <v>0.94538979999999995</v>
      </c>
      <c r="AB5650">
        <v>31</v>
      </c>
      <c r="AC5650">
        <v>-4.2599999999992998E-2</v>
      </c>
      <c r="AD5650">
        <v>-0.26901809999999898</v>
      </c>
      <c r="AE5650">
        <v>-0.45161000000000201</v>
      </c>
      <c r="AF5650">
        <v>3.1963474925971201E-2</v>
      </c>
      <c r="AG5650">
        <v>-0.26901809999999898</v>
      </c>
      <c r="AH5650">
        <v>0.33405938876994201</v>
      </c>
      <c r="AI5650">
        <v>128.71702545137401</v>
      </c>
      <c r="AJ5650">
        <v>84.534463013221497</v>
      </c>
      <c r="AK5650">
        <v>0.43010240301851399</v>
      </c>
      <c r="AL5650">
        <v>80.396162272573207</v>
      </c>
      <c r="AM5650">
        <v>90.321555282970493</v>
      </c>
      <c r="AN5650">
        <v>1.0000000640022899</v>
      </c>
    </row>
    <row r="5651" spans="1:40" x14ac:dyDescent="0.25">
      <c r="A5651" t="str">
        <f>"20190303162932221"</f>
        <v>20190303162932221</v>
      </c>
      <c r="B5651" t="str">
        <f>"1551601772217137"</f>
        <v>1551601772217137</v>
      </c>
      <c r="C5651" t="s">
        <v>40</v>
      </c>
      <c r="D5651">
        <v>5.228415</v>
      </c>
      <c r="E5651">
        <v>0.53147759999999999</v>
      </c>
      <c r="F5651" t="s">
        <v>44</v>
      </c>
      <c r="G5651">
        <v>-301.34359999999998</v>
      </c>
      <c r="H5651">
        <v>0.85729529999999998</v>
      </c>
      <c r="I5651">
        <v>-21.58268</v>
      </c>
      <c r="J5651">
        <v>-301.30169999999998</v>
      </c>
      <c r="K5651">
        <v>1.1190439999999999</v>
      </c>
      <c r="L5651">
        <v>-21.173680000000001</v>
      </c>
      <c r="M5651">
        <v>-1.184902E-3</v>
      </c>
      <c r="N5651">
        <v>-1.1935950000000001E-2</v>
      </c>
      <c r="O5651">
        <v>-0.99992829999999999</v>
      </c>
      <c r="P5651">
        <v>4.4517289999999998E-3</v>
      </c>
      <c r="Q5651">
        <v>0.15233669999999999</v>
      </c>
      <c r="R5651">
        <v>-0.98831899999999995</v>
      </c>
      <c r="S5651">
        <v>-0.19433590000000001</v>
      </c>
      <c r="T5651">
        <v>-1.1549879999999999</v>
      </c>
      <c r="U5651">
        <v>-3.2195740000000002</v>
      </c>
      <c r="V5651">
        <v>-4.8253269999999999E-3</v>
      </c>
      <c r="W5651">
        <v>0.16414770000000001</v>
      </c>
      <c r="X5651">
        <v>0.98642399999999997</v>
      </c>
      <c r="Y5651">
        <v>5.5652939999999998E-2</v>
      </c>
      <c r="Z5651">
        <v>0.3258762</v>
      </c>
      <c r="AA5651">
        <v>0.94377299999999997</v>
      </c>
      <c r="AB5651">
        <v>31</v>
      </c>
      <c r="AC5651">
        <v>-4.1899999999998203E-2</v>
      </c>
      <c r="AD5651">
        <v>-0.2617487</v>
      </c>
      <c r="AE5651">
        <v>-0.40900000000000197</v>
      </c>
      <c r="AF5651">
        <v>2.9470568403643701E-2</v>
      </c>
      <c r="AG5651">
        <v>-0.2617487</v>
      </c>
      <c r="AH5651">
        <v>0.29107392628703199</v>
      </c>
      <c r="AI5651">
        <v>131.8182846366</v>
      </c>
      <c r="AJ5651">
        <v>84.218634945742906</v>
      </c>
      <c r="AK5651">
        <v>0.39256200391514301</v>
      </c>
      <c r="AL5651">
        <v>80.552274063819198</v>
      </c>
      <c r="AM5651">
        <v>90.280273661903706</v>
      </c>
      <c r="AN5651">
        <v>1.0000000294859701</v>
      </c>
    </row>
    <row r="5652" spans="1:40" x14ac:dyDescent="0.25">
      <c r="A5652" t="str">
        <f>"20190303162932241"</f>
        <v>20190303162932241</v>
      </c>
      <c r="B5652" t="str">
        <f>"1551601772237632"</f>
        <v>1551601772237632</v>
      </c>
      <c r="C5652" t="s">
        <v>40</v>
      </c>
      <c r="D5652">
        <v>5.2467779999999999</v>
      </c>
      <c r="E5652">
        <v>0.53121839999999998</v>
      </c>
      <c r="F5652" t="s">
        <v>44</v>
      </c>
      <c r="G5652">
        <v>-301.346</v>
      </c>
      <c r="H5652">
        <v>0.86969379999999996</v>
      </c>
      <c r="I5652">
        <v>-21.862670000000001</v>
      </c>
      <c r="J5652">
        <v>-301.30430000000001</v>
      </c>
      <c r="K5652">
        <v>1.1190370000000001</v>
      </c>
      <c r="L5652">
        <v>-21.460719999999998</v>
      </c>
      <c r="M5652">
        <v>-3.4295430000000002E-3</v>
      </c>
      <c r="N5652">
        <v>-1.1937329999999999E-2</v>
      </c>
      <c r="O5652">
        <v>-0.9999228</v>
      </c>
      <c r="P5652">
        <v>1.7638020000000001E-3</v>
      </c>
      <c r="Q5652">
        <v>0.14984939999999999</v>
      </c>
      <c r="R5652">
        <v>-0.98870720000000001</v>
      </c>
      <c r="S5652">
        <v>-0.2055054</v>
      </c>
      <c r="T5652">
        <v>-1.1635340000000001</v>
      </c>
      <c r="U5652">
        <v>-3.2157290000000001</v>
      </c>
      <c r="V5652">
        <v>-4.3699489999999997E-3</v>
      </c>
      <c r="W5652">
        <v>0.16166410000000001</v>
      </c>
      <c r="X5652">
        <v>0.98683620000000005</v>
      </c>
      <c r="Y5652">
        <v>5.668579E-2</v>
      </c>
      <c r="Z5652">
        <v>0.32840829999999999</v>
      </c>
      <c r="AA5652">
        <v>0.94283340000000004</v>
      </c>
      <c r="AB5652">
        <v>31</v>
      </c>
      <c r="AC5652">
        <v>-4.1699999999991598E-2</v>
      </c>
      <c r="AD5652">
        <v>-0.24934319999999999</v>
      </c>
      <c r="AE5652">
        <v>-0.40194999999999897</v>
      </c>
      <c r="AF5652">
        <v>2.9203063243165399E-2</v>
      </c>
      <c r="AG5652">
        <v>-0.24934319999999999</v>
      </c>
      <c r="AH5652">
        <v>0.291218837948715</v>
      </c>
      <c r="AI5652">
        <v>130.428768606457</v>
      </c>
      <c r="AJ5652">
        <v>84.273593803467193</v>
      </c>
      <c r="AK5652">
        <v>0.38449091259121299</v>
      </c>
      <c r="AL5652">
        <v>80.696500551843599</v>
      </c>
      <c r="AM5652">
        <v>90.253717889366996</v>
      </c>
      <c r="AN5652">
        <v>1.0000000316567501</v>
      </c>
    </row>
    <row r="5653" spans="1:40" x14ac:dyDescent="0.25">
      <c r="A5653" t="str">
        <f>"20190303162932263"</f>
        <v>20190303162932263</v>
      </c>
      <c r="B5653" t="str">
        <f>"1551601772257153"</f>
        <v>1551601772257153</v>
      </c>
      <c r="C5653" t="s">
        <v>40</v>
      </c>
      <c r="D5653">
        <v>5.2589350000000001</v>
      </c>
      <c r="E5653">
        <v>0.53099859999999999</v>
      </c>
      <c r="F5653" t="s">
        <v>44</v>
      </c>
      <c r="G5653">
        <v>-301.34969999999998</v>
      </c>
      <c r="H5653">
        <v>0.87199349999999998</v>
      </c>
      <c r="I5653">
        <v>-22.138760000000001</v>
      </c>
      <c r="J5653">
        <v>-301.30779999999999</v>
      </c>
      <c r="K5653">
        <v>1.119032</v>
      </c>
      <c r="L5653">
        <v>-21.767119999999998</v>
      </c>
      <c r="M5653">
        <v>-5.8099680000000004E-3</v>
      </c>
      <c r="N5653">
        <v>-1.1938509999999999E-2</v>
      </c>
      <c r="O5653">
        <v>-0.99991189999999996</v>
      </c>
      <c r="P5653">
        <v>-1.1088879999999999E-3</v>
      </c>
      <c r="Q5653">
        <v>0.148166299999999</v>
      </c>
      <c r="R5653">
        <v>-0.9889618</v>
      </c>
      <c r="S5653">
        <v>-0.2145996</v>
      </c>
      <c r="T5653">
        <v>-1.1702030000000001</v>
      </c>
      <c r="U5653">
        <v>-3.2120060000000001</v>
      </c>
      <c r="V5653">
        <v>-3.8628149999999999E-3</v>
      </c>
      <c r="W5653">
        <v>0.15998299999999999</v>
      </c>
      <c r="X5653">
        <v>0.9871122</v>
      </c>
      <c r="Y5653">
        <v>5.698785E-2</v>
      </c>
      <c r="Z5653">
        <v>0.33045039999999998</v>
      </c>
      <c r="AA5653">
        <v>0.94210139999999998</v>
      </c>
      <c r="AB5653">
        <v>31</v>
      </c>
      <c r="AC5653">
        <v>-4.1899999999998203E-2</v>
      </c>
      <c r="AD5653">
        <v>-0.24703849999999999</v>
      </c>
      <c r="AE5653">
        <v>-0.37163999999999903</v>
      </c>
      <c r="AF5653">
        <v>2.7667997256222598E-2</v>
      </c>
      <c r="AG5653">
        <v>-0.24703849999999999</v>
      </c>
      <c r="AH5653">
        <v>0.25891084367640999</v>
      </c>
      <c r="AI5653">
        <v>133.49332698377799</v>
      </c>
      <c r="AJ5653">
        <v>83.900347854745505</v>
      </c>
      <c r="AK5653">
        <v>0.358926682663257</v>
      </c>
      <c r="AL5653">
        <v>80.794090410984296</v>
      </c>
      <c r="AM5653">
        <v>90.224211459250597</v>
      </c>
      <c r="AN5653">
        <v>0.99999998850878202</v>
      </c>
    </row>
    <row r="5654" spans="1:40" x14ac:dyDescent="0.25">
      <c r="A5654" t="str">
        <f>"20190303162932288"</f>
        <v>20190303162932288</v>
      </c>
      <c r="B5654" t="str">
        <f>"1551601772277648"</f>
        <v>1551601772277648</v>
      </c>
      <c r="C5654" t="s">
        <v>40</v>
      </c>
      <c r="D5654">
        <v>5.2652970000000003</v>
      </c>
      <c r="E5654">
        <v>0.53094569999999996</v>
      </c>
      <c r="F5654" t="s">
        <v>44</v>
      </c>
      <c r="G5654">
        <v>-301.36989999999997</v>
      </c>
      <c r="H5654">
        <v>0.79377039999999999</v>
      </c>
      <c r="I5654">
        <v>-22.657900000000001</v>
      </c>
      <c r="J5654">
        <v>-301.31270000000001</v>
      </c>
      <c r="K5654">
        <v>1.119051</v>
      </c>
      <c r="L5654">
        <v>-22.109190000000002</v>
      </c>
      <c r="M5654">
        <v>-8.4454809999999995E-3</v>
      </c>
      <c r="N5654">
        <v>-1.19395E-2</v>
      </c>
      <c r="O5654">
        <v>-0.99989309999999998</v>
      </c>
      <c r="P5654">
        <v>-3.407911E-3</v>
      </c>
      <c r="Q5654">
        <v>0.1483302</v>
      </c>
      <c r="R5654">
        <v>-0.98893240000000004</v>
      </c>
      <c r="S5654">
        <v>-0.22348019999999999</v>
      </c>
      <c r="T5654">
        <v>-1.1716409999999999</v>
      </c>
      <c r="U5654">
        <v>-3.208771</v>
      </c>
      <c r="V5654">
        <v>-4.1733569999999999E-3</v>
      </c>
      <c r="W5654">
        <v>0.16014919999999999</v>
      </c>
      <c r="X5654">
        <v>0.98708399999999996</v>
      </c>
      <c r="Y5654">
        <v>5.699924E-2</v>
      </c>
      <c r="Z5654">
        <v>0.33109050000000001</v>
      </c>
      <c r="AA5654">
        <v>0.94187589999999999</v>
      </c>
      <c r="AB5654">
        <v>31</v>
      </c>
      <c r="AC5654">
        <v>-5.7199999999966097E-2</v>
      </c>
      <c r="AD5654">
        <v>-0.32528059999999898</v>
      </c>
      <c r="AE5654">
        <v>-0.54871000000000303</v>
      </c>
      <c r="AF5654">
        <v>3.90039594088087E-2</v>
      </c>
      <c r="AG5654">
        <v>-0.32528059999999898</v>
      </c>
      <c r="AH5654">
        <v>0.40750594338354801</v>
      </c>
      <c r="AI5654">
        <v>128.470357948192</v>
      </c>
      <c r="AJ5654">
        <v>84.532655930366104</v>
      </c>
      <c r="AK5654">
        <v>0.52286697302357799</v>
      </c>
      <c r="AL5654">
        <v>80.784443603245904</v>
      </c>
      <c r="AM5654">
        <v>90.242243129997206</v>
      </c>
      <c r="AN5654">
        <v>1.0000000031126399</v>
      </c>
    </row>
    <row r="5655" spans="1:40" x14ac:dyDescent="0.25">
      <c r="A5655" t="str">
        <f>"20190303162932312"</f>
        <v>20190303162932312</v>
      </c>
      <c r="B5655" t="str">
        <f>"1551601772307904"</f>
        <v>1551601772307904</v>
      </c>
      <c r="C5655" t="s">
        <v>40</v>
      </c>
      <c r="D5655">
        <v>5.3081209999999999</v>
      </c>
      <c r="E5655">
        <v>0.53087620000000002</v>
      </c>
      <c r="F5655" t="s">
        <v>44</v>
      </c>
      <c r="G5655">
        <v>-301.37240000000003</v>
      </c>
      <c r="H5655">
        <v>0.81521889999999997</v>
      </c>
      <c r="I5655">
        <v>-22.941569999999999</v>
      </c>
      <c r="J5655">
        <v>-301.31830000000002</v>
      </c>
      <c r="K5655">
        <v>1.1190639999999901</v>
      </c>
      <c r="L5655">
        <v>-22.44351</v>
      </c>
      <c r="M5655">
        <v>-1.100523E-2</v>
      </c>
      <c r="N5655">
        <v>-1.194043E-2</v>
      </c>
      <c r="O5655">
        <v>-0.99986819999999998</v>
      </c>
      <c r="P5655">
        <v>-6.3864560000000004E-3</v>
      </c>
      <c r="Q5655">
        <v>0.14946970000000001</v>
      </c>
      <c r="R5655">
        <v>-0.9887456</v>
      </c>
      <c r="S5655">
        <v>-0.22955320000000001</v>
      </c>
      <c r="T5655">
        <v>-1.171003</v>
      </c>
      <c r="U5655">
        <v>-3.2084350000000001</v>
      </c>
      <c r="V5655">
        <v>-3.7226910000000002E-3</v>
      </c>
      <c r="W5655">
        <v>0.16128529999999999</v>
      </c>
      <c r="X5655">
        <v>0.98690080000000002</v>
      </c>
      <c r="Y5655">
        <v>5.6230210000000003E-2</v>
      </c>
      <c r="Z5655">
        <v>0.33093299999999998</v>
      </c>
      <c r="AA5655">
        <v>0.94197739999999996</v>
      </c>
      <c r="AB5655">
        <v>31</v>
      </c>
      <c r="AC5655">
        <v>-5.4100000000005297E-2</v>
      </c>
      <c r="AD5655">
        <v>-0.30384509999999898</v>
      </c>
      <c r="AE5655">
        <v>-0.498060000000002</v>
      </c>
      <c r="AF5655">
        <v>3.5541748943912599E-2</v>
      </c>
      <c r="AG5655">
        <v>-0.30384509999999898</v>
      </c>
      <c r="AH5655">
        <v>0.36453746799356201</v>
      </c>
      <c r="AI5655">
        <v>129.678250614739</v>
      </c>
      <c r="AJ5655">
        <v>84.431364774691403</v>
      </c>
      <c r="AK5655">
        <v>0.47589140177477302</v>
      </c>
      <c r="AL5655">
        <v>80.718492482435806</v>
      </c>
      <c r="AM5655">
        <v>90.216124529538803</v>
      </c>
      <c r="AN5655">
        <v>0.99999999773250503</v>
      </c>
    </row>
    <row r="5656" spans="1:40" x14ac:dyDescent="0.25">
      <c r="A5656" t="str">
        <f>"20190303162932338"</f>
        <v>20190303162932338</v>
      </c>
      <c r="B5656" t="str">
        <f>"1551601772327930"</f>
        <v>1551601772327930</v>
      </c>
      <c r="C5656" t="s">
        <v>40</v>
      </c>
      <c r="D5656">
        <v>5.3043300000000002</v>
      </c>
      <c r="E5656">
        <v>0.53124919999999998</v>
      </c>
      <c r="F5656" t="s">
        <v>44</v>
      </c>
      <c r="G5656">
        <v>-301.37639999999999</v>
      </c>
      <c r="H5656">
        <v>0.83587860000000003</v>
      </c>
      <c r="I5656">
        <v>-23.22494</v>
      </c>
      <c r="J5656">
        <v>-301.32499999999999</v>
      </c>
      <c r="K5656">
        <v>1.1190789999999999</v>
      </c>
      <c r="L5656">
        <v>-22.794460000000001</v>
      </c>
      <c r="M5656">
        <v>-1.3673039999999999E-2</v>
      </c>
      <c r="N5656">
        <v>-1.194134E-2</v>
      </c>
      <c r="O5656">
        <v>-0.99983549999999999</v>
      </c>
      <c r="P5656">
        <v>-9.4894920000000004E-3</v>
      </c>
      <c r="Q5656">
        <v>0.15082400000000001</v>
      </c>
      <c r="R5656">
        <v>-0.9885157</v>
      </c>
      <c r="S5656">
        <v>-0.23834230000000001</v>
      </c>
      <c r="T5656">
        <v>-1.1626259999999999</v>
      </c>
      <c r="U5656">
        <v>-3.2083740000000001</v>
      </c>
      <c r="V5656">
        <v>-3.2527810000000002E-3</v>
      </c>
      <c r="W5656">
        <v>0.16263529999999901</v>
      </c>
      <c r="X5656">
        <v>0.98668089999999997</v>
      </c>
      <c r="Y5656">
        <v>5.6192970000000002E-2</v>
      </c>
      <c r="Z5656">
        <v>0.32872129999999999</v>
      </c>
      <c r="AA5656">
        <v>0.94275370000000003</v>
      </c>
      <c r="AB5656">
        <v>31</v>
      </c>
      <c r="AC5656">
        <v>-5.1400000000000903E-2</v>
      </c>
      <c r="AD5656">
        <v>-0.28320040000000002</v>
      </c>
      <c r="AE5656">
        <v>-0.43047999999999897</v>
      </c>
      <c r="AF5656">
        <v>3.1897704137221497E-2</v>
      </c>
      <c r="AG5656">
        <v>-0.28320040000000002</v>
      </c>
      <c r="AH5656">
        <v>0.30219335908797301</v>
      </c>
      <c r="AI5656">
        <v>132.98335748072401</v>
      </c>
      <c r="AJ5656">
        <v>83.974515702945297</v>
      </c>
      <c r="AK5656">
        <v>0.41538025514732702</v>
      </c>
      <c r="AL5656">
        <v>80.640108403388695</v>
      </c>
      <c r="AM5656">
        <v>90.188885735819795</v>
      </c>
      <c r="AN5656">
        <v>1.0000000099075601</v>
      </c>
    </row>
    <row r="5657" spans="1:40" x14ac:dyDescent="0.25">
      <c r="A5657" t="str">
        <f>"20190303162932372"</f>
        <v>20190303162932372</v>
      </c>
      <c r="B5657" t="str">
        <f>"1551601772367946"</f>
        <v>1551601772367946</v>
      </c>
      <c r="C5657" t="s">
        <v>40</v>
      </c>
      <c r="D5657">
        <v>5.2535610000000004</v>
      </c>
      <c r="E5657">
        <v>0.53208080000000002</v>
      </c>
      <c r="F5657" t="s">
        <v>44</v>
      </c>
      <c r="G5657">
        <v>-301.38130000000001</v>
      </c>
      <c r="H5657">
        <v>0.86180789999999996</v>
      </c>
      <c r="I5657">
        <v>-23.510400000000001</v>
      </c>
      <c r="J5657">
        <v>-301.33550000000002</v>
      </c>
      <c r="K5657">
        <v>1.1191</v>
      </c>
      <c r="L5657">
        <v>-23.265809999999998</v>
      </c>
      <c r="M5657">
        <v>-1.7214259999999999E-2</v>
      </c>
      <c r="N5657">
        <v>-1.194219E-2</v>
      </c>
      <c r="O5657">
        <v>-0.99978060000000002</v>
      </c>
      <c r="P5657">
        <v>-1.405053E-2</v>
      </c>
      <c r="Q5657">
        <v>0.15130469999999999</v>
      </c>
      <c r="R5657">
        <v>-0.98838749999999997</v>
      </c>
      <c r="S5657">
        <v>-0.25082399999999999</v>
      </c>
      <c r="T5657">
        <v>-1.1526529999999999</v>
      </c>
      <c r="U5657">
        <v>-3.208313</v>
      </c>
      <c r="V5657">
        <v>-2.1973029999999998E-3</v>
      </c>
      <c r="W5657">
        <v>0.1631109</v>
      </c>
      <c r="X5657">
        <v>0.98660530000000002</v>
      </c>
      <c r="Y5657">
        <v>5.6377480000000001E-2</v>
      </c>
      <c r="Z5657">
        <v>0.32606289999999999</v>
      </c>
      <c r="AA5657">
        <v>0.94366550000000005</v>
      </c>
      <c r="AB5657">
        <v>31</v>
      </c>
      <c r="AC5657">
        <v>-4.5799999999985602E-2</v>
      </c>
      <c r="AD5657">
        <v>-0.25729210000000002</v>
      </c>
      <c r="AE5657">
        <v>-0.244589999999998</v>
      </c>
      <c r="AF5657">
        <v>2.0097124127344199E-2</v>
      </c>
      <c r="AG5657">
        <v>-0.25729210000000002</v>
      </c>
      <c r="AH5657">
        <v>0.1185757428678</v>
      </c>
      <c r="AI5657">
        <v>154.947066379413</v>
      </c>
      <c r="AJ5657">
        <v>80.380487988056004</v>
      </c>
      <c r="AK5657">
        <v>0.284012897448778</v>
      </c>
      <c r="AL5657">
        <v>80.612489701500806</v>
      </c>
      <c r="AM5657">
        <v>90.127605213612995</v>
      </c>
      <c r="AN5657">
        <v>1.00000000591368</v>
      </c>
    </row>
    <row r="5658" spans="1:40" x14ac:dyDescent="0.25">
      <c r="A5658" t="str">
        <f>"20190303162932398"</f>
        <v>20190303162932398</v>
      </c>
      <c r="B5658" t="str">
        <f>"1551601772387467"</f>
        <v>1551601772387467</v>
      </c>
      <c r="C5658" t="s">
        <v>40</v>
      </c>
      <c r="D5658">
        <v>5.1999639999999996</v>
      </c>
      <c r="E5658">
        <v>0.532362</v>
      </c>
      <c r="F5658" t="s">
        <v>44</v>
      </c>
      <c r="G5658">
        <v>-301.40269999999998</v>
      </c>
      <c r="H5658">
        <v>0.83943999999999996</v>
      </c>
      <c r="I5658">
        <v>-24.051770000000001</v>
      </c>
      <c r="J5658">
        <v>-301.34449999999998</v>
      </c>
      <c r="K5658">
        <v>1.11912099999999</v>
      </c>
      <c r="L5658">
        <v>-23.621030000000001</v>
      </c>
      <c r="M5658">
        <v>-1.9847449999999999E-2</v>
      </c>
      <c r="N5658">
        <v>-1.194249E-2</v>
      </c>
      <c r="O5658">
        <v>-0.9997317</v>
      </c>
      <c r="P5658">
        <v>-1.570059E-2</v>
      </c>
      <c r="Q5658">
        <v>0.15162870000000001</v>
      </c>
      <c r="R5658">
        <v>-0.98831270000000004</v>
      </c>
      <c r="S5658">
        <v>-0.2727966</v>
      </c>
      <c r="T5658">
        <v>-1.1405149999999999</v>
      </c>
      <c r="U5658">
        <v>-3.2059630000000001</v>
      </c>
      <c r="V5658">
        <v>-3.1559069999999999E-3</v>
      </c>
      <c r="W5658">
        <v>0.1634388</v>
      </c>
      <c r="X5658">
        <v>0.98654839999999999</v>
      </c>
      <c r="Y5658">
        <v>6.0308729999999998E-2</v>
      </c>
      <c r="Z5658">
        <v>0.32297219999999999</v>
      </c>
      <c r="AA5658">
        <v>0.94448489999999996</v>
      </c>
      <c r="AB5658">
        <v>31</v>
      </c>
      <c r="AC5658">
        <v>-5.8199999999999301E-2</v>
      </c>
      <c r="AD5658">
        <v>-0.27968099999999901</v>
      </c>
      <c r="AE5658">
        <v>-0.43074000000000301</v>
      </c>
      <c r="AF5658">
        <v>3.5104357434319403E-2</v>
      </c>
      <c r="AG5658">
        <v>-0.27968099999999901</v>
      </c>
      <c r="AH5658">
        <v>0.30537431083363697</v>
      </c>
      <c r="AI5658">
        <v>132.29814455149301</v>
      </c>
      <c r="AJ5658">
        <v>83.442338356399802</v>
      </c>
      <c r="AK5658">
        <v>0.41558061478971198</v>
      </c>
      <c r="AL5658">
        <v>80.593446563101907</v>
      </c>
      <c r="AM5658">
        <v>90.183285011510606</v>
      </c>
      <c r="AN5658">
        <v>0.99999997331849599</v>
      </c>
    </row>
    <row r="5659" spans="1:40" x14ac:dyDescent="0.25">
      <c r="A5659" t="str">
        <f>"20190303162932424"</f>
        <v>20190303162932424</v>
      </c>
      <c r="B5659" t="str">
        <f>"1551601772417722"</f>
        <v>1551601772417722</v>
      </c>
      <c r="C5659" t="s">
        <v>40</v>
      </c>
      <c r="D5659">
        <v>5.150855</v>
      </c>
      <c r="E5659">
        <v>0.53277180000000002</v>
      </c>
      <c r="F5659" t="s">
        <v>44</v>
      </c>
      <c r="G5659">
        <v>-301.40769999999998</v>
      </c>
      <c r="H5659">
        <v>0.86525049999999903</v>
      </c>
      <c r="I5659">
        <v>-24.33727</v>
      </c>
      <c r="J5659">
        <v>-301.35419999999999</v>
      </c>
      <c r="K5659">
        <v>1.119159</v>
      </c>
      <c r="L5659">
        <v>-23.97052</v>
      </c>
      <c r="M5659">
        <v>-2.2399869999999999E-2</v>
      </c>
      <c r="N5659">
        <v>-1.194252E-2</v>
      </c>
      <c r="O5659">
        <v>-0.99967790000000001</v>
      </c>
      <c r="P5659">
        <v>-1.565341E-2</v>
      </c>
      <c r="Q5659">
        <v>0.15337249999999999</v>
      </c>
      <c r="R5659">
        <v>-0.9880449</v>
      </c>
      <c r="S5659">
        <v>-0.28259279999999998</v>
      </c>
      <c r="T5659">
        <v>-1.136091</v>
      </c>
      <c r="U5659">
        <v>-3.205292</v>
      </c>
      <c r="V5659">
        <v>-5.7231790000000001E-3</v>
      </c>
      <c r="W5659">
        <v>0.16519039999999999</v>
      </c>
      <c r="X5659">
        <v>0.98624509999999999</v>
      </c>
      <c r="Y5659">
        <v>6.0676840000000003E-2</v>
      </c>
      <c r="Z5659">
        <v>0.32181079999999901</v>
      </c>
      <c r="AA5659">
        <v>0.94485770000000002</v>
      </c>
      <c r="AB5659">
        <v>31</v>
      </c>
      <c r="AC5659">
        <v>-5.34999999999854E-2</v>
      </c>
      <c r="AD5659">
        <v>-0.25390849999999998</v>
      </c>
      <c r="AE5659">
        <v>-0.36674999999999902</v>
      </c>
      <c r="AF5659">
        <v>3.0810730761897501E-2</v>
      </c>
      <c r="AG5659">
        <v>-0.25390849999999998</v>
      </c>
      <c r="AH5659">
        <v>0.25035821112680401</v>
      </c>
      <c r="AI5659">
        <v>135.18808091774801</v>
      </c>
      <c r="AJ5659">
        <v>82.984081589563701</v>
      </c>
      <c r="AK5659">
        <v>0.35790789510842802</v>
      </c>
      <c r="AL5659">
        <v>80.491704730797693</v>
      </c>
      <c r="AM5659">
        <v>90.332483600030201</v>
      </c>
      <c r="AN5659">
        <v>1.0000000101520099</v>
      </c>
    </row>
    <row r="5660" spans="1:40" x14ac:dyDescent="0.25">
      <c r="A5660" t="str">
        <f>"20190303162932446"</f>
        <v>20190303162932446</v>
      </c>
      <c r="B5660" t="str">
        <f>"1551601772437242"</f>
        <v>1551601772437242</v>
      </c>
      <c r="C5660" t="s">
        <v>40</v>
      </c>
      <c r="D5660">
        <v>5.2543449999999998</v>
      </c>
      <c r="E5660">
        <v>0.53286160000000005</v>
      </c>
      <c r="F5660" t="s">
        <v>44</v>
      </c>
      <c r="G5660">
        <v>-301.4341</v>
      </c>
      <c r="H5660">
        <v>0.80538399999999999</v>
      </c>
      <c r="I5660">
        <v>-24.863689999999998</v>
      </c>
      <c r="J5660">
        <v>-301.36360000000002</v>
      </c>
      <c r="K5660">
        <v>1.1192009999999999</v>
      </c>
      <c r="L5660">
        <v>-24.286010000000001</v>
      </c>
      <c r="M5660">
        <v>-2.4644099999999999E-2</v>
      </c>
      <c r="N5660">
        <v>-1.194214E-2</v>
      </c>
      <c r="O5660">
        <v>-0.99962499999999999</v>
      </c>
      <c r="P5660">
        <v>-1.3678890000000001E-2</v>
      </c>
      <c r="Q5660">
        <v>0.15476799999999999</v>
      </c>
      <c r="R5660">
        <v>-0.98785630000000002</v>
      </c>
      <c r="S5660">
        <v>-0.28665159999999901</v>
      </c>
      <c r="T5660">
        <v>-1.126401</v>
      </c>
      <c r="U5660">
        <v>-3.206604</v>
      </c>
      <c r="V5660">
        <v>-9.9189029999999997E-3</v>
      </c>
      <c r="W5660">
        <v>0.16660159999999999</v>
      </c>
      <c r="X5660">
        <v>0.98597440000000003</v>
      </c>
      <c r="Y5660">
        <v>5.9673509999999999E-2</v>
      </c>
      <c r="Z5660">
        <v>0.31912170000000001</v>
      </c>
      <c r="AA5660">
        <v>0.94583320000000004</v>
      </c>
      <c r="AB5660">
        <v>31</v>
      </c>
      <c r="AC5660">
        <v>-7.04999999999813E-2</v>
      </c>
      <c r="AD5660">
        <v>-0.31381700000000001</v>
      </c>
      <c r="AE5660">
        <v>-0.57767999999999697</v>
      </c>
      <c r="AF5660">
        <v>4.3571612740906797E-2</v>
      </c>
      <c r="AG5660">
        <v>-0.31381700000000001</v>
      </c>
      <c r="AH5660">
        <v>0.44875510386952999</v>
      </c>
      <c r="AI5660">
        <v>124.839172359572</v>
      </c>
      <c r="AJ5660">
        <v>84.454283498090504</v>
      </c>
      <c r="AK5660">
        <v>0.54932753269319701</v>
      </c>
      <c r="AL5660">
        <v>80.4097126569973</v>
      </c>
      <c r="AM5660">
        <v>90.576376129791797</v>
      </c>
      <c r="AN5660">
        <v>0.99999999760732095</v>
      </c>
    </row>
    <row r="5661" spans="1:40" x14ac:dyDescent="0.25">
      <c r="A5661" t="str">
        <f>"20190303162932469"</f>
        <v>20190303162932469</v>
      </c>
      <c r="B5661" t="str">
        <f>"1551601772457739"</f>
        <v>1551601772457739</v>
      </c>
      <c r="C5661" t="s">
        <v>40</v>
      </c>
      <c r="D5661">
        <v>5.2129430000000001</v>
      </c>
      <c r="E5661">
        <v>0.50933779999999995</v>
      </c>
      <c r="F5661" t="s">
        <v>44</v>
      </c>
      <c r="G5661">
        <v>-301.43959999999998</v>
      </c>
      <c r="H5661">
        <v>0.81974360000000002</v>
      </c>
      <c r="I5661">
        <v>-25.144680000000001</v>
      </c>
      <c r="J5661">
        <v>-301.3734</v>
      </c>
      <c r="K5661">
        <v>1.119243</v>
      </c>
      <c r="L5661">
        <v>-24.590969999999999</v>
      </c>
      <c r="M5661">
        <v>-2.676427E-2</v>
      </c>
      <c r="N5661">
        <v>-1.1941449999999999E-2</v>
      </c>
      <c r="O5661">
        <v>-0.99957059999999998</v>
      </c>
      <c r="P5661">
        <v>-9.2690600000000008E-3</v>
      </c>
      <c r="Q5661">
        <v>0.15573299999999901</v>
      </c>
      <c r="R5661">
        <v>-0.98775630000000003</v>
      </c>
      <c r="S5661">
        <v>-0.28384399999999999</v>
      </c>
      <c r="T5661">
        <v>-1.118873</v>
      </c>
      <c r="U5661">
        <v>-3.2082519999999999</v>
      </c>
      <c r="V5661">
        <v>-1.6431640000000001E-2</v>
      </c>
      <c r="W5661">
        <v>0.167590299999999</v>
      </c>
      <c r="X5661">
        <v>0.98571980000000003</v>
      </c>
      <c r="Y5661">
        <v>5.676167E-2</v>
      </c>
      <c r="Z5661">
        <v>0.3170095</v>
      </c>
      <c r="AA5661">
        <v>0.94672230000000002</v>
      </c>
      <c r="AB5661">
        <v>31</v>
      </c>
      <c r="AC5661">
        <v>-6.6199999999980705E-2</v>
      </c>
      <c r="AD5661">
        <v>-0.29949940000000003</v>
      </c>
      <c r="AE5661">
        <v>-0.55370999999999504</v>
      </c>
      <c r="AF5661">
        <v>3.98585694321483E-2</v>
      </c>
      <c r="AG5661">
        <v>-0.29949940000000003</v>
      </c>
      <c r="AH5661">
        <v>0.43097178394013702</v>
      </c>
      <c r="AI5661">
        <v>124.682712425961</v>
      </c>
      <c r="AJ5661">
        <v>84.716012073120197</v>
      </c>
      <c r="AK5661">
        <v>0.52633190546468001</v>
      </c>
      <c r="AL5661">
        <v>80.352256697504103</v>
      </c>
      <c r="AM5661">
        <v>90.955014227029906</v>
      </c>
      <c r="AN5661">
        <v>1.0000000157796001</v>
      </c>
    </row>
    <row r="5662" spans="1:40" x14ac:dyDescent="0.25">
      <c r="A5662" t="str">
        <f>"20190303162932489"</f>
        <v>20190303162932489</v>
      </c>
      <c r="B5662" t="str">
        <f>"1551601772477258"</f>
        <v>1551601772477258</v>
      </c>
      <c r="C5662" t="s">
        <v>40</v>
      </c>
      <c r="D5662">
        <v>5.0584369999999996</v>
      </c>
      <c r="E5662">
        <v>0.48968440000000002</v>
      </c>
      <c r="F5662" t="s">
        <v>44</v>
      </c>
      <c r="G5662">
        <v>-301.3999</v>
      </c>
      <c r="H5662">
        <v>0.95222309999999999</v>
      </c>
      <c r="I5662">
        <v>-25.479669999999999</v>
      </c>
      <c r="J5662">
        <v>-301.38319999999999</v>
      </c>
      <c r="K5662">
        <v>1.1192899999999999</v>
      </c>
      <c r="L5662">
        <v>-24.881740000000001</v>
      </c>
      <c r="M5662">
        <v>-2.87221E-2</v>
      </c>
      <c r="N5662">
        <v>-1.1940589999999999E-2</v>
      </c>
      <c r="O5662">
        <v>-0.99951619999999997</v>
      </c>
      <c r="P5662">
        <v>-4.1240729999999998E-3</v>
      </c>
      <c r="Q5662">
        <v>0.1555359</v>
      </c>
      <c r="R5662">
        <v>-0.98782210000000004</v>
      </c>
      <c r="S5662">
        <v>-9.2742920000000006E-2</v>
      </c>
      <c r="T5662">
        <v>-0.58796059999999895</v>
      </c>
      <c r="U5662">
        <v>-3.1290279999999999</v>
      </c>
      <c r="V5662">
        <v>-2.3530680000000002E-2</v>
      </c>
      <c r="W5662">
        <v>0.1674196</v>
      </c>
      <c r="X5662">
        <v>0.98560490000000001</v>
      </c>
      <c r="Y5662">
        <v>4.559481E-4</v>
      </c>
      <c r="Z5662">
        <v>0.1727776</v>
      </c>
      <c r="AA5662">
        <v>0.98496070000000002</v>
      </c>
      <c r="AB5662">
        <v>31</v>
      </c>
      <c r="AC5662">
        <v>-1.6700000000014301E-2</v>
      </c>
      <c r="AD5662">
        <v>-0.16706689999999899</v>
      </c>
      <c r="AE5662">
        <v>-0.59793000000000096</v>
      </c>
      <c r="AF5662">
        <v>-4.4704569891212899E-4</v>
      </c>
      <c r="AG5662">
        <v>-0.16706689999999899</v>
      </c>
      <c r="AH5662">
        <v>0.55487782937461705</v>
      </c>
      <c r="AI5662">
        <v>106.756397851584</v>
      </c>
      <c r="AJ5662">
        <v>90.046161199635705</v>
      </c>
      <c r="AK5662">
        <v>0.57948335131990902</v>
      </c>
      <c r="AL5662">
        <v>80.362177265292402</v>
      </c>
      <c r="AM5662">
        <v>91.367639900980294</v>
      </c>
      <c r="AN5662">
        <v>1.0000000171347101</v>
      </c>
    </row>
    <row r="5663" spans="1:40" x14ac:dyDescent="0.25">
      <c r="A5663" t="str">
        <f>"20190303162932515"</f>
        <v>20190303162932515</v>
      </c>
      <c r="B5663" t="str">
        <f>"1551601772507514"</f>
        <v>1551601772507514</v>
      </c>
      <c r="C5663" t="s">
        <v>40</v>
      </c>
      <c r="D5663">
        <v>5.0890469999999999</v>
      </c>
      <c r="E5663">
        <v>0.47668329999999998</v>
      </c>
      <c r="F5663" t="s">
        <v>44</v>
      </c>
      <c r="G5663">
        <v>-301.36110000000002</v>
      </c>
      <c r="H5663">
        <v>0.99584689999999998</v>
      </c>
      <c r="I5663">
        <v>-25.778780000000001</v>
      </c>
      <c r="J5663">
        <v>-301.3954</v>
      </c>
      <c r="K5663">
        <v>1.119359</v>
      </c>
      <c r="L5663">
        <v>-25.221250000000001</v>
      </c>
      <c r="M5663">
        <v>-3.0898720000000001E-2</v>
      </c>
      <c r="N5663">
        <v>-1.1939170000000001E-2</v>
      </c>
      <c r="O5663">
        <v>-0.99945130000000004</v>
      </c>
      <c r="P5663" s="1">
        <v>4.7064149999999999E-5</v>
      </c>
      <c r="Q5663">
        <v>0.15422249999999901</v>
      </c>
      <c r="R5663">
        <v>-0.98803649999999998</v>
      </c>
      <c r="S5663">
        <v>7.7392580000000002E-2</v>
      </c>
      <c r="T5663">
        <v>-0.42713390000000001</v>
      </c>
      <c r="U5663">
        <v>-3.1045530000000001</v>
      </c>
      <c r="V5663">
        <v>-2.989269E-2</v>
      </c>
      <c r="W5663">
        <v>0.1661272</v>
      </c>
      <c r="X5663">
        <v>0.9856511</v>
      </c>
      <c r="Y5663">
        <v>-5.5557469999999998E-2</v>
      </c>
      <c r="Z5663">
        <v>0.1242336</v>
      </c>
      <c r="AA5663">
        <v>0.99069640000000003</v>
      </c>
      <c r="AB5663">
        <v>31</v>
      </c>
      <c r="AC5663">
        <v>3.4299999999973303E-2</v>
      </c>
      <c r="AD5663">
        <v>-0.123512099999999</v>
      </c>
      <c r="AE5663">
        <v>-0.55752999999999597</v>
      </c>
      <c r="AF5663">
        <v>-4.9110668547141099E-2</v>
      </c>
      <c r="AG5663">
        <v>-0.123512099999999</v>
      </c>
      <c r="AH5663">
        <v>0.53027729068881002</v>
      </c>
      <c r="AI5663">
        <v>103.057599277519</v>
      </c>
      <c r="AJ5663">
        <v>95.291251002153899</v>
      </c>
      <c r="AK5663">
        <v>0.54668190168673203</v>
      </c>
      <c r="AL5663">
        <v>80.437277505952693</v>
      </c>
      <c r="AM5663">
        <v>91.737126002601002</v>
      </c>
      <c r="AN5663">
        <v>0.99999995521324203</v>
      </c>
    </row>
    <row r="5664" spans="1:40" x14ac:dyDescent="0.25">
      <c r="A5664" t="str">
        <f>"20190303162932540"</f>
        <v>20190303162932540</v>
      </c>
      <c r="B5664" t="str">
        <f>"1551601772528011"</f>
        <v>1551601772528011</v>
      </c>
      <c r="C5664" t="s">
        <v>40</v>
      </c>
      <c r="D5664">
        <v>4.9029319999999998</v>
      </c>
      <c r="E5664">
        <v>0.47478520000000002</v>
      </c>
      <c r="F5664" t="s">
        <v>41</v>
      </c>
      <c r="G5664">
        <v>-300.6986</v>
      </c>
      <c r="H5664" s="1">
        <v>-1.9321289999999998E-6</v>
      </c>
      <c r="I5664">
        <v>-36.340339999999998</v>
      </c>
      <c r="J5664">
        <v>-301.40879999999999</v>
      </c>
      <c r="K5664">
        <v>1.1194500000000001</v>
      </c>
      <c r="L5664">
        <v>-25.579070000000002</v>
      </c>
      <c r="M5664">
        <v>-3.303714E-2</v>
      </c>
      <c r="N5664">
        <v>-1.193703E-2</v>
      </c>
      <c r="O5664">
        <v>-0.99938289999999996</v>
      </c>
      <c r="P5664">
        <v>4.1144409999999999E-3</v>
      </c>
      <c r="Q5664">
        <v>0.153584</v>
      </c>
      <c r="R5664">
        <v>-0.98812710000000004</v>
      </c>
      <c r="S5664">
        <v>0.19329830000000001</v>
      </c>
      <c r="T5664">
        <v>-0.3105482</v>
      </c>
      <c r="U5664">
        <v>-3.0848080000000002</v>
      </c>
      <c r="V5664">
        <v>-3.6117690000000001E-2</v>
      </c>
      <c r="W5664">
        <v>0.1655017</v>
      </c>
      <c r="X5664">
        <v>0.98554790000000003</v>
      </c>
      <c r="Y5664">
        <v>-9.5173190000000005E-2</v>
      </c>
      <c r="Z5664">
        <v>8.7861140000000004E-2</v>
      </c>
      <c r="AA5664">
        <v>0.99157580000000001</v>
      </c>
      <c r="AB5664">
        <v>31</v>
      </c>
      <c r="AC5664">
        <v>0.71019999999998595</v>
      </c>
      <c r="AD5664">
        <v>-1.119451932129</v>
      </c>
      <c r="AE5664">
        <v>-10.76127</v>
      </c>
      <c r="AF5664">
        <v>-1.05400282319949</v>
      </c>
      <c r="AG5664">
        <v>-1.119451932129</v>
      </c>
      <c r="AH5664">
        <v>10.6175317997779</v>
      </c>
      <c r="AI5664">
        <v>95.989479640382697</v>
      </c>
      <c r="AJ5664">
        <v>95.669180709220697</v>
      </c>
      <c r="AK5664">
        <v>10.728283930757801</v>
      </c>
      <c r="AL5664">
        <v>80.473619350896797</v>
      </c>
      <c r="AM5664">
        <v>92.098797565383506</v>
      </c>
      <c r="AN5664">
        <v>0.99999998171411797</v>
      </c>
    </row>
    <row r="5665" spans="1:40" x14ac:dyDescent="0.25">
      <c r="A5665" t="str">
        <f>"20190303162932573"</f>
        <v>20190303162932573</v>
      </c>
      <c r="B5665" t="str">
        <f>"1551601772568028"</f>
        <v>1551601772568028</v>
      </c>
      <c r="C5665" t="s">
        <v>40</v>
      </c>
      <c r="D5665">
        <v>5.0636939999999999</v>
      </c>
      <c r="E5665">
        <v>0.47452040000000001</v>
      </c>
      <c r="F5665" t="s">
        <v>41</v>
      </c>
      <c r="G5665">
        <v>-300.53949999999998</v>
      </c>
      <c r="H5665" s="1">
        <v>-1.2798800000000001E-6</v>
      </c>
      <c r="I5665">
        <v>-37.762050000000002</v>
      </c>
      <c r="J5665">
        <v>-301.42660000000001</v>
      </c>
      <c r="K5665">
        <v>1.119632</v>
      </c>
      <c r="L5665">
        <v>-26.0365</v>
      </c>
      <c r="M5665">
        <v>-3.5427510000000002E-2</v>
      </c>
      <c r="N5665">
        <v>-1.193345E-2</v>
      </c>
      <c r="O5665">
        <v>-0.99930129999999995</v>
      </c>
      <c r="P5665">
        <v>1.3382460000000001E-2</v>
      </c>
      <c r="Q5665">
        <v>0.15290090000000001</v>
      </c>
      <c r="R5665">
        <v>-0.98815109999999995</v>
      </c>
      <c r="S5665">
        <v>0.219696</v>
      </c>
      <c r="T5665">
        <v>-0.28292779999999901</v>
      </c>
      <c r="U5665">
        <v>-3.0791019999999998</v>
      </c>
      <c r="V5665">
        <v>-4.7820069999999999E-2</v>
      </c>
      <c r="W5665">
        <v>0.16483390000000001</v>
      </c>
      <c r="X5665">
        <v>0.98516139999999996</v>
      </c>
      <c r="Y5665">
        <v>-0.1061759</v>
      </c>
      <c r="Z5665">
        <v>7.9136419999999999E-2</v>
      </c>
      <c r="AA5665">
        <v>0.99119330000000005</v>
      </c>
      <c r="AB5665">
        <v>31</v>
      </c>
      <c r="AC5665">
        <v>0.88710000000003197</v>
      </c>
      <c r="AD5665">
        <v>-1.1196332798799999</v>
      </c>
      <c r="AE5665">
        <v>-11.72555</v>
      </c>
      <c r="AF5665">
        <v>-1.29028209083406</v>
      </c>
      <c r="AG5665">
        <v>-1.1196332798799999</v>
      </c>
      <c r="AH5665">
        <v>11.581760254000701</v>
      </c>
      <c r="AI5665">
        <v>95.488003152591901</v>
      </c>
      <c r="AJ5665">
        <v>96.356903074491001</v>
      </c>
      <c r="AK5665">
        <v>11.7070738075956</v>
      </c>
      <c r="AL5665">
        <v>80.512414276748899</v>
      </c>
      <c r="AM5665">
        <v>92.778975453254702</v>
      </c>
      <c r="AN5665">
        <v>0.99999997886698699</v>
      </c>
    </row>
    <row r="5666" spans="1:40" x14ac:dyDescent="0.25">
      <c r="A5666" t="str">
        <f>"20190303162932600"</f>
        <v>20190303162932600</v>
      </c>
      <c r="B5666" t="str">
        <f>"1551601772587547"</f>
        <v>1551601772587547</v>
      </c>
      <c r="C5666" t="s">
        <v>40</v>
      </c>
      <c r="D5666">
        <v>4.9361449999999998</v>
      </c>
      <c r="E5666">
        <v>0.47490860000000001</v>
      </c>
      <c r="F5666" t="s">
        <v>41</v>
      </c>
      <c r="G5666">
        <v>-300.31869999999998</v>
      </c>
      <c r="H5666" s="1">
        <v>-4.2625030000000002E-7</v>
      </c>
      <c r="I5666">
        <v>-39.61495</v>
      </c>
      <c r="J5666">
        <v>-301.44150000000002</v>
      </c>
      <c r="K5666">
        <v>1.1198159999999999</v>
      </c>
      <c r="L5666">
        <v>-26.404240000000001</v>
      </c>
      <c r="M5666">
        <v>-3.7072519999999998E-2</v>
      </c>
      <c r="N5666">
        <v>-1.193048E-2</v>
      </c>
      <c r="O5666">
        <v>-0.9992415</v>
      </c>
      <c r="P5666">
        <v>1.7118310000000001E-2</v>
      </c>
      <c r="Q5666">
        <v>0.15225910000000001</v>
      </c>
      <c r="R5666">
        <v>-0.98819250000000003</v>
      </c>
      <c r="S5666">
        <v>0.2506409</v>
      </c>
      <c r="T5666">
        <v>-0.25328830000000002</v>
      </c>
      <c r="U5666">
        <v>-3.071777</v>
      </c>
      <c r="V5666">
        <v>-5.3250449999999998E-2</v>
      </c>
      <c r="W5666">
        <v>0.164183</v>
      </c>
      <c r="X5666">
        <v>0.98499159999999997</v>
      </c>
      <c r="Y5666">
        <v>-0.11795609999999999</v>
      </c>
      <c r="Z5666">
        <v>6.9757219999999995E-2</v>
      </c>
      <c r="AA5666">
        <v>0.99056569999999999</v>
      </c>
      <c r="AB5666">
        <v>31</v>
      </c>
      <c r="AC5666">
        <v>1.12280000000004</v>
      </c>
      <c r="AD5666">
        <v>-1.1198164262503001</v>
      </c>
      <c r="AE5666">
        <v>-13.210710000000001</v>
      </c>
      <c r="AF5666">
        <v>-1.60040036020293</v>
      </c>
      <c r="AG5666">
        <v>-1.1198164262503001</v>
      </c>
      <c r="AH5666">
        <v>13.0667847364527</v>
      </c>
      <c r="AI5666">
        <v>94.862093099763598</v>
      </c>
      <c r="AJ5666">
        <v>96.982724526484802</v>
      </c>
      <c r="AK5666">
        <v>13.211969326721601</v>
      </c>
      <c r="AL5666">
        <v>80.550223996232702</v>
      </c>
      <c r="AM5666">
        <v>93.094502380665801</v>
      </c>
      <c r="AN5666">
        <v>1.00000005999237</v>
      </c>
    </row>
    <row r="5667" spans="1:40" x14ac:dyDescent="0.25">
      <c r="A5667" t="str">
        <f>"20190303162932639"</f>
        <v>20190303162932639</v>
      </c>
      <c r="B5667" t="str">
        <f>"1551601772627563"</f>
        <v>1551601772627563</v>
      </c>
      <c r="C5667" t="s">
        <v>40</v>
      </c>
      <c r="D5667">
        <v>5.0565040000000003</v>
      </c>
      <c r="E5667">
        <v>0.47568199999999999</v>
      </c>
      <c r="F5667" t="s">
        <v>41</v>
      </c>
      <c r="G5667">
        <v>-300.26679999999999</v>
      </c>
      <c r="H5667" s="1">
        <v>-9.5854470000000003E-8</v>
      </c>
      <c r="I5667">
        <v>-40.352919999999997</v>
      </c>
      <c r="J5667">
        <v>-301.46359999999999</v>
      </c>
      <c r="K5667">
        <v>1.1200889999999999</v>
      </c>
      <c r="L5667">
        <v>-26.937069999999999</v>
      </c>
      <c r="M5667">
        <v>-3.8944640000000003E-2</v>
      </c>
      <c r="N5667">
        <v>-1.1926580000000001E-2</v>
      </c>
      <c r="O5667">
        <v>-0.99917029999999996</v>
      </c>
      <c r="P5667">
        <v>2.6006890000000001E-2</v>
      </c>
      <c r="Q5667">
        <v>0.15335009999999999</v>
      </c>
      <c r="R5667">
        <v>-0.98782990000000004</v>
      </c>
      <c r="S5667">
        <v>0.25848389999999999</v>
      </c>
      <c r="T5667">
        <v>-0.24640980000000001</v>
      </c>
      <c r="U5667">
        <v>-3.0693359999999998</v>
      </c>
      <c r="V5667">
        <v>-6.4069550000000003E-2</v>
      </c>
      <c r="W5667">
        <v>0.16525200000000001</v>
      </c>
      <c r="X5667">
        <v>0.98416809999999999</v>
      </c>
      <c r="Y5667">
        <v>-0.12240470000000001</v>
      </c>
      <c r="Z5667">
        <v>6.7578280000000004E-2</v>
      </c>
      <c r="AA5667">
        <v>0.99017690000000003</v>
      </c>
      <c r="AB5667">
        <v>31</v>
      </c>
      <c r="AC5667">
        <v>1.1967999999999901</v>
      </c>
      <c r="AD5667">
        <v>-1.12008909585446</v>
      </c>
      <c r="AE5667">
        <v>-13.415850000000001</v>
      </c>
      <c r="AF5667">
        <v>-1.706602414944</v>
      </c>
      <c r="AG5667">
        <v>-1.12008909585446</v>
      </c>
      <c r="AH5667">
        <v>13.2673079884733</v>
      </c>
      <c r="AI5667">
        <v>94.786486874087203</v>
      </c>
      <c r="AJ5667">
        <v>97.329829409859599</v>
      </c>
      <c r="AK5667">
        <v>13.4234329679986</v>
      </c>
      <c r="AL5667">
        <v>80.4881259339937</v>
      </c>
      <c r="AM5667">
        <v>93.724711390729198</v>
      </c>
      <c r="AN5667">
        <v>0.99999998989940597</v>
      </c>
    </row>
    <row r="5668" spans="1:40" x14ac:dyDescent="0.25">
      <c r="A5668" t="str">
        <f>"20190303162932667"</f>
        <v>20190303162932667</v>
      </c>
      <c r="B5668" t="str">
        <f>"1551601772657819"</f>
        <v>1551601772657819</v>
      </c>
      <c r="C5668" t="s">
        <v>40</v>
      </c>
      <c r="D5668">
        <v>5.0498729999999998</v>
      </c>
      <c r="E5668">
        <v>0.47619080000000003</v>
      </c>
      <c r="F5668" t="s">
        <v>57</v>
      </c>
      <c r="G5668">
        <v>-300.11919999999998</v>
      </c>
      <c r="H5668" s="1">
        <v>-9.5941020000000002E-7</v>
      </c>
      <c r="I5668">
        <v>-41.860169999999997</v>
      </c>
      <c r="J5668">
        <v>-301.47969999999998</v>
      </c>
      <c r="K5668">
        <v>1.1202780000000001</v>
      </c>
      <c r="L5668">
        <v>-27.32056</v>
      </c>
      <c r="M5668">
        <v>-3.9956890000000002E-2</v>
      </c>
      <c r="N5668">
        <v>-1.192408E-2</v>
      </c>
      <c r="O5668">
        <v>-0.99913010000000002</v>
      </c>
      <c r="P5668">
        <v>2.981901E-2</v>
      </c>
      <c r="Q5668">
        <v>0.15630269999999999</v>
      </c>
      <c r="R5668">
        <v>-0.987259</v>
      </c>
      <c r="S5668">
        <v>0.276153599999999</v>
      </c>
      <c r="T5668">
        <v>-0.23008110000000001</v>
      </c>
      <c r="U5668">
        <v>-3.0653990000000002</v>
      </c>
      <c r="V5668">
        <v>-6.891854E-2</v>
      </c>
      <c r="W5668">
        <v>0.16817460000000001</v>
      </c>
      <c r="X5668">
        <v>0.98334509999999997</v>
      </c>
      <c r="Y5668">
        <v>-0.12920879999999901</v>
      </c>
      <c r="Z5668">
        <v>6.2376479999999998E-2</v>
      </c>
      <c r="AA5668">
        <v>0.98965360000000002</v>
      </c>
      <c r="AB5668">
        <v>31</v>
      </c>
      <c r="AC5668">
        <v>1.3605</v>
      </c>
      <c r="AD5668">
        <v>-1.1202789594102001</v>
      </c>
      <c r="AE5668">
        <v>-14.53961</v>
      </c>
      <c r="AF5668">
        <v>-1.9290594577609199</v>
      </c>
      <c r="AG5668">
        <v>-1.1202789594102001</v>
      </c>
      <c r="AH5668">
        <v>14.3889500837148</v>
      </c>
      <c r="AI5668">
        <v>94.412570485947001</v>
      </c>
      <c r="AJ5668">
        <v>97.635847603323398</v>
      </c>
      <c r="AK5668">
        <v>14.5608440637935</v>
      </c>
      <c r="AL5668">
        <v>80.318296856319805</v>
      </c>
      <c r="AM5668">
        <v>94.009065613728396</v>
      </c>
      <c r="AN5668">
        <v>1.00000002346745</v>
      </c>
    </row>
    <row r="5669" spans="1:40" x14ac:dyDescent="0.25">
      <c r="A5669" t="str">
        <f>"20190303162932689"</f>
        <v>20190303162932689</v>
      </c>
      <c r="B5669" t="str">
        <f>"1551601772677338"</f>
        <v>1551601772677338</v>
      </c>
      <c r="C5669" t="s">
        <v>40</v>
      </c>
      <c r="D5669">
        <v>4.9878119999999999</v>
      </c>
      <c r="E5669">
        <v>0.47656850000000001</v>
      </c>
      <c r="F5669" t="s">
        <v>57</v>
      </c>
      <c r="G5669">
        <v>-300.00170000000003</v>
      </c>
      <c r="H5669" s="1">
        <v>-1.906267E-6</v>
      </c>
      <c r="I5669">
        <v>-43.375549999999997</v>
      </c>
      <c r="J5669">
        <v>-301.49250000000001</v>
      </c>
      <c r="K5669">
        <v>1.120404</v>
      </c>
      <c r="L5669">
        <v>-27.62088</v>
      </c>
      <c r="M5669">
        <v>-4.0584870000000002E-2</v>
      </c>
      <c r="N5669">
        <v>-1.1922230000000001E-2</v>
      </c>
      <c r="O5669">
        <v>-0.99910489999999996</v>
      </c>
      <c r="P5669">
        <v>3.3028080000000001E-2</v>
      </c>
      <c r="Q5669">
        <v>0.15877049999999901</v>
      </c>
      <c r="R5669">
        <v>-0.98676280000000005</v>
      </c>
      <c r="S5669">
        <v>0.28207399999999999</v>
      </c>
      <c r="T5669">
        <v>-0.21380270000000001</v>
      </c>
      <c r="U5669">
        <v>-3.0640559999999999</v>
      </c>
      <c r="V5669">
        <v>-7.2767529999999997E-2</v>
      </c>
      <c r="W5669">
        <v>0.1706192</v>
      </c>
      <c r="X5669">
        <v>0.98264640000000003</v>
      </c>
      <c r="Y5669">
        <v>-0.13179839999999901</v>
      </c>
      <c r="Z5669">
        <v>5.7152840000000003E-2</v>
      </c>
      <c r="AA5669">
        <v>0.98962749999999999</v>
      </c>
      <c r="AB5669">
        <v>31</v>
      </c>
      <c r="AC5669">
        <v>1.4907999999999699</v>
      </c>
      <c r="AD5669">
        <v>-1.120405906267</v>
      </c>
      <c r="AE5669">
        <v>-15.7546699999999</v>
      </c>
      <c r="AF5669">
        <v>-2.1183996346817802</v>
      </c>
      <c r="AG5669">
        <v>-1.120405906267</v>
      </c>
      <c r="AH5669">
        <v>15.6029685400578</v>
      </c>
      <c r="AI5669">
        <v>94.069988436931993</v>
      </c>
      <c r="AJ5669">
        <v>97.731715893099704</v>
      </c>
      <c r="AK5669">
        <v>15.7859289770686</v>
      </c>
      <c r="AL5669">
        <v>80.176177268411607</v>
      </c>
      <c r="AM5669">
        <v>94.235171670959005</v>
      </c>
      <c r="AN5669">
        <v>0.99999998613194996</v>
      </c>
    </row>
    <row r="5670" spans="1:40" x14ac:dyDescent="0.25">
      <c r="A5670" t="str">
        <f>"20190303162932713"</f>
        <v>20190303162932713</v>
      </c>
      <c r="B5670" t="str">
        <f>"1551601772707595"</f>
        <v>1551601772707595</v>
      </c>
      <c r="C5670" t="s">
        <v>40</v>
      </c>
      <c r="D5670">
        <v>5.0495869999999998</v>
      </c>
      <c r="E5670">
        <v>0.47655969999999997</v>
      </c>
      <c r="F5670" t="s">
        <v>57</v>
      </c>
      <c r="G5670">
        <v>-299.90989999999999</v>
      </c>
      <c r="H5670" s="1">
        <v>-2.644322E-6</v>
      </c>
      <c r="I5670">
        <v>-44.526260000000001</v>
      </c>
      <c r="J5670">
        <v>-301.5068</v>
      </c>
      <c r="K5670">
        <v>1.120511</v>
      </c>
      <c r="L5670">
        <v>-27.956939999999999</v>
      </c>
      <c r="M5670">
        <v>-4.1163949999999998E-2</v>
      </c>
      <c r="N5670">
        <v>-1.192033E-2</v>
      </c>
      <c r="O5670">
        <v>-0.9990812</v>
      </c>
      <c r="P5670">
        <v>3.6732580000000001E-2</v>
      </c>
      <c r="Q5670">
        <v>0.159889</v>
      </c>
      <c r="R5670">
        <v>-0.98645139999999998</v>
      </c>
      <c r="S5670">
        <v>0.28677370000000002</v>
      </c>
      <c r="T5670">
        <v>-0.20302220000000001</v>
      </c>
      <c r="U5670">
        <v>-3.0633240000000002</v>
      </c>
      <c r="V5670">
        <v>-7.706876E-2</v>
      </c>
      <c r="W5670">
        <v>0.1717177</v>
      </c>
      <c r="X5670">
        <v>0.98212699999999997</v>
      </c>
      <c r="Y5670">
        <v>-0.13391929999999999</v>
      </c>
      <c r="Z5670">
        <v>5.3683389999999997E-2</v>
      </c>
      <c r="AA5670">
        <v>0.98953709999999995</v>
      </c>
      <c r="AB5670">
        <v>31</v>
      </c>
      <c r="AC5670">
        <v>1.5969</v>
      </c>
      <c r="AD5670">
        <v>-1.1205136443220001</v>
      </c>
      <c r="AE5670">
        <v>-16.569319999999902</v>
      </c>
      <c r="AF5670">
        <v>-2.2673796075284902</v>
      </c>
      <c r="AG5670">
        <v>-1.1205136443220001</v>
      </c>
      <c r="AH5670">
        <v>16.415154818469599</v>
      </c>
      <c r="AI5670">
        <v>93.868389913852695</v>
      </c>
      <c r="AJ5670">
        <v>97.864343431561807</v>
      </c>
      <c r="AK5670">
        <v>16.6088491120268</v>
      </c>
      <c r="AL5670">
        <v>80.112295232814205</v>
      </c>
      <c r="AM5670">
        <v>94.486878388369902</v>
      </c>
      <c r="AN5670">
        <v>1.00000000319511</v>
      </c>
    </row>
    <row r="5671" spans="1:40" x14ac:dyDescent="0.25">
      <c r="A5671" t="str">
        <f>"20190303162932751"</f>
        <v>20190303162932751</v>
      </c>
      <c r="B5671" t="str">
        <f>"1551601772737852"</f>
        <v>1551601772737852</v>
      </c>
      <c r="C5671" t="s">
        <v>40</v>
      </c>
      <c r="D5671">
        <v>5.0473689999999998</v>
      </c>
      <c r="E5671">
        <v>0.47660130000000001</v>
      </c>
      <c r="F5671" t="s">
        <v>57</v>
      </c>
      <c r="G5671">
        <v>-299.81729999999999</v>
      </c>
      <c r="H5671" s="1">
        <v>-3.212662E-6</v>
      </c>
      <c r="I5671">
        <v>-45.3934</v>
      </c>
      <c r="J5671">
        <v>-301.52910000000003</v>
      </c>
      <c r="K5671">
        <v>1.1206339999999999</v>
      </c>
      <c r="L5671">
        <v>-28.47653</v>
      </c>
      <c r="M5671">
        <v>-4.188617E-2</v>
      </c>
      <c r="N5671">
        <v>-1.1909899999999999E-2</v>
      </c>
      <c r="O5671">
        <v>-0.99905160000000004</v>
      </c>
      <c r="P5671">
        <v>4.5090350000000001E-2</v>
      </c>
      <c r="Q5671">
        <v>0.1594978</v>
      </c>
      <c r="R5671">
        <v>-0.9861683</v>
      </c>
      <c r="S5671">
        <v>0.29669190000000001</v>
      </c>
      <c r="T5671">
        <v>-0.19677510000000001</v>
      </c>
      <c r="U5671">
        <v>-3.0620419999999999</v>
      </c>
      <c r="V5671">
        <v>-8.6167809999999997E-2</v>
      </c>
      <c r="W5671">
        <v>0.17129620000000001</v>
      </c>
      <c r="X5671">
        <v>0.98144419999999999</v>
      </c>
      <c r="Y5671">
        <v>-0.1378595</v>
      </c>
      <c r="Z5671">
        <v>5.1677389999999997E-2</v>
      </c>
      <c r="AA5671">
        <v>0.9891027</v>
      </c>
      <c r="AB5671">
        <v>31</v>
      </c>
      <c r="AC5671">
        <v>1.71180000000003</v>
      </c>
      <c r="AD5671">
        <v>-1.1206372126619999</v>
      </c>
      <c r="AE5671">
        <v>-16.916869999999999</v>
      </c>
      <c r="AF5671">
        <v>-2.4084686952214902</v>
      </c>
      <c r="AG5671">
        <v>-1.1206372126619999</v>
      </c>
      <c r="AH5671">
        <v>16.757524985240799</v>
      </c>
      <c r="AI5671">
        <v>93.7870831489534</v>
      </c>
      <c r="AJ5671">
        <v>98.178804429506698</v>
      </c>
      <c r="AK5671">
        <v>16.966767306980898</v>
      </c>
      <c r="AL5671">
        <v>80.136808575944599</v>
      </c>
      <c r="AM5671">
        <v>95.0175290230966</v>
      </c>
      <c r="AN5671">
        <v>0.99999999866413802</v>
      </c>
    </row>
    <row r="5672" spans="1:40" x14ac:dyDescent="0.25">
      <c r="A5672" t="str">
        <f>"20190303162932796"</f>
        <v>20190303162932796</v>
      </c>
      <c r="B5672" t="str">
        <f>"1551601772787627"</f>
        <v>1551601772787627</v>
      </c>
      <c r="C5672" t="s">
        <v>40</v>
      </c>
      <c r="D5672">
        <v>5.0430599999999997</v>
      </c>
      <c r="E5672">
        <v>0.47681370000000001</v>
      </c>
      <c r="F5672" t="s">
        <v>57</v>
      </c>
      <c r="G5672">
        <v>-299.73160000000001</v>
      </c>
      <c r="H5672" s="1">
        <v>-3.450423E-6</v>
      </c>
      <c r="I5672">
        <v>-45.82273</v>
      </c>
      <c r="J5672">
        <v>-301.55590000000001</v>
      </c>
      <c r="K5672">
        <v>1.1207180000000001</v>
      </c>
      <c r="L5672">
        <v>-29.090879999999999</v>
      </c>
      <c r="M5672">
        <v>-4.2615889999999997E-2</v>
      </c>
      <c r="N5672">
        <v>-1.1888879999999999E-2</v>
      </c>
      <c r="O5672">
        <v>-0.99902089999999999</v>
      </c>
      <c r="P5672">
        <v>5.0383730000000002E-2</v>
      </c>
      <c r="Q5672">
        <v>0.15916720000000001</v>
      </c>
      <c r="R5672">
        <v>-0.98596550000000005</v>
      </c>
      <c r="S5672">
        <v>0.31704710000000003</v>
      </c>
      <c r="T5672">
        <v>-0.1976591</v>
      </c>
      <c r="U5672">
        <v>-3.0595400000000001</v>
      </c>
      <c r="V5672">
        <v>-9.2200290000000004E-2</v>
      </c>
      <c r="W5672">
        <v>0.17092739999999901</v>
      </c>
      <c r="X5672">
        <v>0.98096019999999995</v>
      </c>
      <c r="Y5672">
        <v>-0.14516660000000001</v>
      </c>
      <c r="Z5672">
        <v>5.1975199999999902E-2</v>
      </c>
      <c r="AA5672">
        <v>0.98804110000000001</v>
      </c>
      <c r="AB5672">
        <v>31</v>
      </c>
      <c r="AC5672">
        <v>1.82429999999999</v>
      </c>
      <c r="AD5672">
        <v>-1.1207214504230001</v>
      </c>
      <c r="AE5672">
        <v>-16.731850000000001</v>
      </c>
      <c r="AF5672">
        <v>-2.5245421560983501</v>
      </c>
      <c r="AG5672">
        <v>-1.1207214504230001</v>
      </c>
      <c r="AH5672">
        <v>16.5654501053545</v>
      </c>
      <c r="AI5672">
        <v>93.826354123311503</v>
      </c>
      <c r="AJ5672">
        <v>98.665092357300495</v>
      </c>
      <c r="AK5672">
        <v>16.7941497808119</v>
      </c>
      <c r="AL5672">
        <v>80.158255499441196</v>
      </c>
      <c r="AM5672">
        <v>95.369446703360296</v>
      </c>
      <c r="AN5672">
        <v>0.99999999176544196</v>
      </c>
    </row>
    <row r="5673" spans="1:40" x14ac:dyDescent="0.25">
      <c r="A5673" t="str">
        <f>"20190303162932827"</f>
        <v>20190303162932827</v>
      </c>
      <c r="B5673" t="str">
        <f>"1551601772817883"</f>
        <v>1551601772817883</v>
      </c>
      <c r="C5673" t="s">
        <v>40</v>
      </c>
      <c r="D5673">
        <v>4.7941279999999997</v>
      </c>
      <c r="E5673">
        <v>0.47701769999999999</v>
      </c>
      <c r="F5673" t="s">
        <v>57</v>
      </c>
      <c r="G5673">
        <v>-299.6986</v>
      </c>
      <c r="H5673" s="1">
        <v>-3.7094480000000001E-6</v>
      </c>
      <c r="I5673">
        <v>-46.31671</v>
      </c>
      <c r="J5673">
        <v>-301.57470000000001</v>
      </c>
      <c r="K5673">
        <v>1.1207320000000001</v>
      </c>
      <c r="L5673">
        <v>-29.51782</v>
      </c>
      <c r="M5673">
        <v>-4.3107850000000003E-2</v>
      </c>
      <c r="N5673">
        <v>-1.1875139999999999E-2</v>
      </c>
      <c r="O5673">
        <v>-0.99899990000000005</v>
      </c>
      <c r="P5673">
        <v>5.2755089999999998E-2</v>
      </c>
      <c r="Q5673">
        <v>0.15730859999999999</v>
      </c>
      <c r="R5673">
        <v>-0.9861394</v>
      </c>
      <c r="S5673">
        <v>0.3297119</v>
      </c>
      <c r="T5673">
        <v>-0.19895399999999999</v>
      </c>
      <c r="U5673">
        <v>-3.0579830000000001</v>
      </c>
      <c r="V5673">
        <v>-9.5075580000000007E-2</v>
      </c>
      <c r="W5673">
        <v>0.1690516</v>
      </c>
      <c r="X5673">
        <v>0.98101079999999996</v>
      </c>
      <c r="Y5673">
        <v>-0.14974570000000001</v>
      </c>
      <c r="Z5673">
        <v>5.2398889999999997E-2</v>
      </c>
      <c r="AA5673">
        <v>0.98733510000000002</v>
      </c>
      <c r="AB5673">
        <v>31</v>
      </c>
      <c r="AC5673">
        <v>1.8761000000000001</v>
      </c>
      <c r="AD5673">
        <v>-1.1207357094479999</v>
      </c>
      <c r="AE5673">
        <v>-16.79889</v>
      </c>
      <c r="AF5673">
        <v>-2.5871974014449002</v>
      </c>
      <c r="AG5673">
        <v>-1.1207357094479999</v>
      </c>
      <c r="AH5673">
        <v>16.629288540364399</v>
      </c>
      <c r="AI5673">
        <v>93.809937738394595</v>
      </c>
      <c r="AJ5673">
        <v>98.8432247199937</v>
      </c>
      <c r="AK5673">
        <v>16.866620179608301</v>
      </c>
      <c r="AL5673">
        <v>80.267318330812998</v>
      </c>
      <c r="AM5673">
        <v>95.535585940084502</v>
      </c>
      <c r="AN5673">
        <v>0.99999999954576801</v>
      </c>
    </row>
    <row r="5674" spans="1:40" x14ac:dyDescent="0.25">
      <c r="A5674" t="str">
        <f>"20190303162932854"</f>
        <v>20190303162932854</v>
      </c>
      <c r="B5674" t="str">
        <f>"1551601772847163"</f>
        <v>1551601772847163</v>
      </c>
      <c r="C5674" t="s">
        <v>40</v>
      </c>
      <c r="D5674">
        <v>4.9820739999999999</v>
      </c>
      <c r="E5674">
        <v>0.4772942</v>
      </c>
      <c r="F5674" t="s">
        <v>57</v>
      </c>
      <c r="G5674">
        <v>-299.74720000000002</v>
      </c>
      <c r="H5674" s="1">
        <v>-3.6628450000000001E-6</v>
      </c>
      <c r="I5674">
        <v>-46.246409999999997</v>
      </c>
      <c r="J5674">
        <v>-301.59120000000001</v>
      </c>
      <c r="K5674">
        <v>1.120738</v>
      </c>
      <c r="L5674">
        <v>-29.890809999999998</v>
      </c>
      <c r="M5674">
        <v>-4.353949E-2</v>
      </c>
      <c r="N5674">
        <v>-1.186444E-2</v>
      </c>
      <c r="O5674">
        <v>-0.99898149999999997</v>
      </c>
      <c r="P5674">
        <v>5.4593019999999999E-2</v>
      </c>
      <c r="Q5674">
        <v>0.1560927</v>
      </c>
      <c r="R5674">
        <v>-0.98623280000000002</v>
      </c>
      <c r="S5674">
        <v>0.33395390000000003</v>
      </c>
      <c r="T5674">
        <v>-0.20480290000000001</v>
      </c>
      <c r="U5674">
        <v>-3.0569760000000001</v>
      </c>
      <c r="V5674">
        <v>-9.7347000000000003E-2</v>
      </c>
      <c r="W5674">
        <v>0.16782339999999901</v>
      </c>
      <c r="X5674">
        <v>0.98099890000000001</v>
      </c>
      <c r="Y5674">
        <v>-0.15154790000000001</v>
      </c>
      <c r="Z5674">
        <v>5.4297440000000002E-2</v>
      </c>
      <c r="AA5674">
        <v>0.98695750000000004</v>
      </c>
      <c r="AB5674">
        <v>31</v>
      </c>
      <c r="AC5674">
        <v>1.8439999999999901</v>
      </c>
      <c r="AD5674">
        <v>-1.120741662845</v>
      </c>
      <c r="AE5674">
        <v>-16.355599999999999</v>
      </c>
      <c r="AF5674">
        <v>-2.5426265888700401</v>
      </c>
      <c r="AG5674">
        <v>-1.120741662845</v>
      </c>
      <c r="AH5674">
        <v>16.184754478650699</v>
      </c>
      <c r="AI5674">
        <v>93.913377430273002</v>
      </c>
      <c r="AJ5674">
        <v>98.928199462617499</v>
      </c>
      <c r="AK5674">
        <v>16.421549542581801</v>
      </c>
      <c r="AL5674">
        <v>80.338708895021995</v>
      </c>
      <c r="AM5674">
        <v>95.667052259171001</v>
      </c>
      <c r="AN5674">
        <v>0.99999998689888403</v>
      </c>
    </row>
    <row r="5675" spans="1:40" x14ac:dyDescent="0.25">
      <c r="A5675" t="str">
        <f>"20190303162932886"</f>
        <v>20190303162932886</v>
      </c>
      <c r="B5675" t="str">
        <f>"1551601772877419"</f>
        <v>1551601772877419</v>
      </c>
      <c r="C5675" t="s">
        <v>40</v>
      </c>
      <c r="D5675">
        <v>4.8761109999999999</v>
      </c>
      <c r="E5675">
        <v>0.47758830000000002</v>
      </c>
      <c r="F5675" t="s">
        <v>57</v>
      </c>
      <c r="G5675">
        <v>-299.79050000000001</v>
      </c>
      <c r="H5675" s="1">
        <v>-3.6781820000000001E-6</v>
      </c>
      <c r="I5675">
        <v>-46.295319999999997</v>
      </c>
      <c r="J5675">
        <v>-301.61079999999998</v>
      </c>
      <c r="K5675">
        <v>1.120746</v>
      </c>
      <c r="L5675">
        <v>-30.325320000000001</v>
      </c>
      <c r="M5675">
        <v>-4.4045359999999999E-2</v>
      </c>
      <c r="N5675">
        <v>-1.1847480000000001E-2</v>
      </c>
      <c r="O5675">
        <v>-0.99895929999999999</v>
      </c>
      <c r="P5675">
        <v>5.5827160000000001E-2</v>
      </c>
      <c r="Q5675">
        <v>0.15528069999999999</v>
      </c>
      <c r="R5675">
        <v>-0.98629169999999999</v>
      </c>
      <c r="S5675">
        <v>0.33551029999999998</v>
      </c>
      <c r="T5675">
        <v>-0.2088082</v>
      </c>
      <c r="U5675">
        <v>-3.0563660000000001</v>
      </c>
      <c r="V5675">
        <v>-9.9084309999999995E-2</v>
      </c>
      <c r="W5675">
        <v>0.16699369999999999</v>
      </c>
      <c r="X5675">
        <v>0.98096660000000002</v>
      </c>
      <c r="Y5675">
        <v>-0.15255679999999999</v>
      </c>
      <c r="Z5675">
        <v>5.5606959999999997E-2</v>
      </c>
      <c r="AA5675">
        <v>0.98672910000000003</v>
      </c>
      <c r="AB5675">
        <v>31</v>
      </c>
      <c r="AC5675">
        <v>1.8202999999999701</v>
      </c>
      <c r="AD5675">
        <v>-1.1207496781820001</v>
      </c>
      <c r="AE5675">
        <v>-15.97</v>
      </c>
      <c r="AF5675">
        <v>-2.5097847732154599</v>
      </c>
      <c r="AG5675">
        <v>-1.1207496781820001</v>
      </c>
      <c r="AH5675">
        <v>15.797512948668199</v>
      </c>
      <c r="AI5675">
        <v>94.007933532709401</v>
      </c>
      <c r="AJ5675">
        <v>99.027257558454096</v>
      </c>
      <c r="AK5675">
        <v>16.034853127245999</v>
      </c>
      <c r="AL5675">
        <v>80.386928138413694</v>
      </c>
      <c r="AM5675">
        <v>95.7677024157896</v>
      </c>
      <c r="AN5675">
        <v>1.0000000333217101</v>
      </c>
    </row>
    <row r="5676" spans="1:40" x14ac:dyDescent="0.25">
      <c r="A5676" t="str">
        <f>"20190303162932912"</f>
        <v>20190303162932912</v>
      </c>
      <c r="B5676" t="str">
        <f>"1551601772907675"</f>
        <v>1551601772907675</v>
      </c>
      <c r="C5676" t="s">
        <v>40</v>
      </c>
      <c r="D5676">
        <v>4.9308750000000003</v>
      </c>
      <c r="E5676">
        <v>0.47783750000000003</v>
      </c>
      <c r="F5676" t="s">
        <v>57</v>
      </c>
      <c r="G5676">
        <v>-299.82940000000002</v>
      </c>
      <c r="H5676" s="1">
        <v>-3.7786269999999998E-6</v>
      </c>
      <c r="I5676">
        <v>-46.509410000000003</v>
      </c>
      <c r="J5676">
        <v>-301.6275</v>
      </c>
      <c r="K5676">
        <v>1.1207510000000001</v>
      </c>
      <c r="L5676">
        <v>-30.693850000000001</v>
      </c>
      <c r="M5676">
        <v>-4.4471940000000001E-2</v>
      </c>
      <c r="N5676">
        <v>-1.1820880000000001E-2</v>
      </c>
      <c r="O5676">
        <v>-0.99894070000000001</v>
      </c>
      <c r="P5676">
        <v>5.787697E-2</v>
      </c>
      <c r="Q5676">
        <v>0.1552886</v>
      </c>
      <c r="R5676">
        <v>-0.98617239999999995</v>
      </c>
      <c r="S5676">
        <v>0.33636470000000002</v>
      </c>
      <c r="T5676">
        <v>-0.21162610000000001</v>
      </c>
      <c r="U5676">
        <v>-3.0559690000000002</v>
      </c>
      <c r="V5676">
        <v>-0.1015495</v>
      </c>
      <c r="W5676">
        <v>0.1669725</v>
      </c>
      <c r="X5676">
        <v>0.98071799999999998</v>
      </c>
      <c r="Y5676">
        <v>-0.15325849999999999</v>
      </c>
      <c r="Z5676">
        <v>5.6542059999999998E-2</v>
      </c>
      <c r="AA5676">
        <v>0.98656719999999998</v>
      </c>
      <c r="AB5676">
        <v>31</v>
      </c>
      <c r="AC5676">
        <v>1.7980999999999701</v>
      </c>
      <c r="AD5676">
        <v>-1.120754778627</v>
      </c>
      <c r="AE5676">
        <v>-15.8155599999999</v>
      </c>
      <c r="AF5676">
        <v>-2.4873869973484699</v>
      </c>
      <c r="AG5676">
        <v>-1.120754778627</v>
      </c>
      <c r="AH5676">
        <v>15.642390613091999</v>
      </c>
      <c r="AI5676">
        <v>94.047476449402794</v>
      </c>
      <c r="AJ5676">
        <v>99.035284622882202</v>
      </c>
      <c r="AK5676">
        <v>15.878525417712501</v>
      </c>
      <c r="AL5676">
        <v>80.388159356884103</v>
      </c>
      <c r="AM5676">
        <v>95.911685229328398</v>
      </c>
      <c r="AN5676">
        <v>0.99999995611524894</v>
      </c>
    </row>
    <row r="5677" spans="1:40" x14ac:dyDescent="0.25">
      <c r="A5677" t="str">
        <f>"20190303162932953"</f>
        <v>20190303162932953</v>
      </c>
      <c r="B5677" t="str">
        <f>"1551601772947691"</f>
        <v>1551601772947691</v>
      </c>
      <c r="C5677" t="s">
        <v>40</v>
      </c>
      <c r="D5677">
        <v>5.0464349999999998</v>
      </c>
      <c r="E5677">
        <v>0.4781243</v>
      </c>
      <c r="F5677" t="s">
        <v>57</v>
      </c>
      <c r="G5677">
        <v>-299.83730000000003</v>
      </c>
      <c r="H5677" s="1">
        <v>-3.9409769999999996E-6</v>
      </c>
      <c r="I5677">
        <v>-46.831470000000003</v>
      </c>
      <c r="J5677">
        <v>-301.65300000000002</v>
      </c>
      <c r="K5677">
        <v>1.120762</v>
      </c>
      <c r="L5677">
        <v>-31.250610000000002</v>
      </c>
      <c r="M5677">
        <v>-4.5109879999999998E-2</v>
      </c>
      <c r="N5677">
        <v>-1.177545E-2</v>
      </c>
      <c r="O5677">
        <v>-0.99891260000000004</v>
      </c>
      <c r="P5677">
        <v>6.0991450000000003E-2</v>
      </c>
      <c r="Q5677">
        <v>0.15606779999999901</v>
      </c>
      <c r="R5677">
        <v>-0.98586149999999995</v>
      </c>
      <c r="S5677">
        <v>0.3389587</v>
      </c>
      <c r="T5677">
        <v>-0.21221100000000001</v>
      </c>
      <c r="U5677">
        <v>-3.0556030000000001</v>
      </c>
      <c r="V5677">
        <v>-0.1052781</v>
      </c>
      <c r="W5677">
        <v>0.16770119999999999</v>
      </c>
      <c r="X5677">
        <v>0.98020039999999997</v>
      </c>
      <c r="Y5677">
        <v>-0.15472759999999999</v>
      </c>
      <c r="Z5677">
        <v>5.6769189999999997E-2</v>
      </c>
      <c r="AA5677">
        <v>0.9863248</v>
      </c>
      <c r="AB5677">
        <v>31</v>
      </c>
      <c r="AC5677">
        <v>1.8156999999999901</v>
      </c>
      <c r="AD5677">
        <v>-1.1207659409770001</v>
      </c>
      <c r="AE5677">
        <v>-15.580859999999999</v>
      </c>
      <c r="AF5677">
        <v>-2.50396833932342</v>
      </c>
      <c r="AG5677">
        <v>-1.1207659409770001</v>
      </c>
      <c r="AH5677">
        <v>15.4044468192028</v>
      </c>
      <c r="AI5677">
        <v>94.107556660032202</v>
      </c>
      <c r="AJ5677">
        <v>99.232588560294403</v>
      </c>
      <c r="AK5677">
        <v>15.646819342742999</v>
      </c>
      <c r="AL5677">
        <v>80.345811198723894</v>
      </c>
      <c r="AM5677">
        <v>96.1303336493974</v>
      </c>
      <c r="AN5677">
        <v>0.99999999749060497</v>
      </c>
    </row>
    <row r="5678" spans="1:40" x14ac:dyDescent="0.25">
      <c r="A5678" t="str">
        <f>"20190303162932980"</f>
        <v>20190303162932980</v>
      </c>
      <c r="B5678" t="str">
        <f>"1551601772967211"</f>
        <v>1551601772967211</v>
      </c>
      <c r="C5678" t="s">
        <v>40</v>
      </c>
      <c r="D5678">
        <v>5.0468909999999996</v>
      </c>
      <c r="E5678">
        <v>0.47824729999999999</v>
      </c>
      <c r="F5678" t="s">
        <v>57</v>
      </c>
      <c r="G5678">
        <v>-299.82170000000002</v>
      </c>
      <c r="H5678" s="1">
        <v>-4.2902970000000004E-6</v>
      </c>
      <c r="I5678">
        <v>-47.510260000000002</v>
      </c>
      <c r="J5678">
        <v>-301.6703</v>
      </c>
      <c r="K5678">
        <v>1.120771</v>
      </c>
      <c r="L5678">
        <v>-31.624939999999999</v>
      </c>
      <c r="M5678">
        <v>-4.5523889999999997E-2</v>
      </c>
      <c r="N5678">
        <v>-1.1739909999999999E-2</v>
      </c>
      <c r="O5678">
        <v>-0.99889450000000002</v>
      </c>
      <c r="P5678">
        <v>6.2577309999999997E-2</v>
      </c>
      <c r="Q5678">
        <v>0.1579864</v>
      </c>
      <c r="R5678">
        <v>-0.98545680000000002</v>
      </c>
      <c r="S5678">
        <v>0.34408569999999999</v>
      </c>
      <c r="T5678">
        <v>-0.21058479999999999</v>
      </c>
      <c r="U5678">
        <v>-3.0550839999999999</v>
      </c>
      <c r="V5678">
        <v>-0.10725320000000001</v>
      </c>
      <c r="W5678">
        <v>0.16957800000000001</v>
      </c>
      <c r="X5678">
        <v>0.97966330000000001</v>
      </c>
      <c r="Y5678">
        <v>-0.15679270000000001</v>
      </c>
      <c r="Z5678">
        <v>5.6272849999999999E-2</v>
      </c>
      <c r="AA5678">
        <v>0.98602710000000005</v>
      </c>
      <c r="AB5678">
        <v>31</v>
      </c>
      <c r="AC5678">
        <v>1.84859999999997</v>
      </c>
      <c r="AD5678">
        <v>-1.1207752902970001</v>
      </c>
      <c r="AE5678">
        <v>-15.885319999999901</v>
      </c>
      <c r="AF5678">
        <v>-2.5573343978074599</v>
      </c>
      <c r="AG5678">
        <v>-1.1207752902970001</v>
      </c>
      <c r="AH5678">
        <v>15.707541735334001</v>
      </c>
      <c r="AI5678">
        <v>94.028427651146501</v>
      </c>
      <c r="AJ5678">
        <v>99.247152919985396</v>
      </c>
      <c r="AK5678">
        <v>15.953775849021101</v>
      </c>
      <c r="AL5678">
        <v>80.236716633455899</v>
      </c>
      <c r="AM5678">
        <v>96.247839679416899</v>
      </c>
      <c r="AN5678">
        <v>1.00000006418056</v>
      </c>
    </row>
    <row r="5679" spans="1:40" x14ac:dyDescent="0.25">
      <c r="A5679" t="str">
        <f>"20190303162933004"</f>
        <v>20190303162933004</v>
      </c>
      <c r="B5679" t="str">
        <f>"1551601772997467"</f>
        <v>1551601772997467</v>
      </c>
      <c r="C5679" t="s">
        <v>40</v>
      </c>
      <c r="D5679">
        <v>5.1091879999999996</v>
      </c>
      <c r="E5679">
        <v>0.47839680000000001</v>
      </c>
      <c r="F5679" t="s">
        <v>57</v>
      </c>
      <c r="G5679">
        <v>-299.76819999999998</v>
      </c>
      <c r="H5679" s="1">
        <v>-4.7330409999999999E-6</v>
      </c>
      <c r="I5679">
        <v>-48.355890000000002</v>
      </c>
      <c r="J5679">
        <v>-301.68560000000002</v>
      </c>
      <c r="K5679">
        <v>1.120776</v>
      </c>
      <c r="L5679">
        <v>-31.95148</v>
      </c>
      <c r="M5679">
        <v>-4.5871049999999997E-2</v>
      </c>
      <c r="N5679">
        <v>-1.170845E-2</v>
      </c>
      <c r="O5679">
        <v>-0.99887899999999996</v>
      </c>
      <c r="P5679">
        <v>6.5855769999999994E-2</v>
      </c>
      <c r="Q5679">
        <v>0.15917490000000001</v>
      </c>
      <c r="R5679">
        <v>-0.98505180000000003</v>
      </c>
      <c r="S5679">
        <v>0.34732059999999998</v>
      </c>
      <c r="T5679">
        <v>-0.20465030000000001</v>
      </c>
      <c r="U5679">
        <v>-3.0550229999999998</v>
      </c>
      <c r="V5679">
        <v>-0.1108532</v>
      </c>
      <c r="W5679">
        <v>0.17072870000000001</v>
      </c>
      <c r="X5679">
        <v>0.9790624</v>
      </c>
      <c r="Y5679">
        <v>-0.15818209999999999</v>
      </c>
      <c r="Z5679">
        <v>5.4382640000000003E-2</v>
      </c>
      <c r="AA5679">
        <v>0.98591130000000005</v>
      </c>
      <c r="AB5679">
        <v>31</v>
      </c>
      <c r="AC5679">
        <v>1.91740000000004</v>
      </c>
      <c r="AD5679">
        <v>-1.120780733041</v>
      </c>
      <c r="AE5679">
        <v>-16.404409999999999</v>
      </c>
      <c r="AF5679">
        <v>-2.6556909339087702</v>
      </c>
      <c r="AG5679">
        <v>-1.120780733041</v>
      </c>
      <c r="AH5679">
        <v>16.224467468287202</v>
      </c>
      <c r="AI5679">
        <v>93.899958999270197</v>
      </c>
      <c r="AJ5679">
        <v>99.295984651153205</v>
      </c>
      <c r="AK5679">
        <v>16.478537205028601</v>
      </c>
      <c r="AL5679">
        <v>80.1698096178485</v>
      </c>
      <c r="AM5679">
        <v>96.459737813404999</v>
      </c>
      <c r="AN5679">
        <v>0.99999995202384295</v>
      </c>
    </row>
    <row r="5680" spans="1:40" x14ac:dyDescent="0.25">
      <c r="A5680" t="str">
        <f>"20190303162933024"</f>
        <v>20190303162933024</v>
      </c>
      <c r="B5680" t="str">
        <f>"1551601773017963"</f>
        <v>1551601773017963</v>
      </c>
      <c r="C5680" t="s">
        <v>40</v>
      </c>
      <c r="D5680">
        <v>5.1039309999999896</v>
      </c>
      <c r="E5680">
        <v>0.47849849999999999</v>
      </c>
      <c r="F5680" t="s">
        <v>57</v>
      </c>
      <c r="G5680">
        <v>-299.70389999999998</v>
      </c>
      <c r="H5680" s="1">
        <v>-5.0599719999999999E-6</v>
      </c>
      <c r="I5680">
        <v>-48.969529999999999</v>
      </c>
      <c r="J5680">
        <v>-301.69889999999998</v>
      </c>
      <c r="K5680">
        <v>1.1207819999999999</v>
      </c>
      <c r="L5680">
        <v>-32.235779999999998</v>
      </c>
      <c r="M5680">
        <v>-4.6161670000000002E-2</v>
      </c>
      <c r="N5680">
        <v>-1.167821E-2</v>
      </c>
      <c r="O5680">
        <v>-0.99886580000000003</v>
      </c>
      <c r="P5680">
        <v>6.9953000000000001E-2</v>
      </c>
      <c r="Q5680">
        <v>0.158723799999999</v>
      </c>
      <c r="R5680">
        <v>-0.98484210000000005</v>
      </c>
      <c r="S5680">
        <v>0.35565190000000002</v>
      </c>
      <c r="T5680">
        <v>-0.20114850000000001</v>
      </c>
      <c r="U5680">
        <v>-3.0542600000000002</v>
      </c>
      <c r="V5680">
        <v>-0.115226</v>
      </c>
      <c r="W5680">
        <v>0.1702438</v>
      </c>
      <c r="X5680">
        <v>0.97864189999999995</v>
      </c>
      <c r="Y5680">
        <v>-0.161157299999999</v>
      </c>
      <c r="Z5680">
        <v>5.3273960000000002E-2</v>
      </c>
      <c r="AA5680">
        <v>0.98548979999999997</v>
      </c>
      <c r="AB5680">
        <v>31</v>
      </c>
      <c r="AC5680">
        <v>1.9950000000000001</v>
      </c>
      <c r="AD5680">
        <v>-1.120787059972</v>
      </c>
      <c r="AE5680">
        <v>-16.733750000000001</v>
      </c>
      <c r="AF5680">
        <v>-2.7532056611759002</v>
      </c>
      <c r="AG5680">
        <v>-1.120787059972</v>
      </c>
      <c r="AH5680">
        <v>16.5506047070158</v>
      </c>
      <c r="AI5680">
        <v>93.821727744980606</v>
      </c>
      <c r="AJ5680">
        <v>99.444710345354693</v>
      </c>
      <c r="AK5680">
        <v>16.8154340180213</v>
      </c>
      <c r="AL5680">
        <v>80.198005355796298</v>
      </c>
      <c r="AM5680">
        <v>96.715129767687998</v>
      </c>
      <c r="AN5680">
        <v>0.99999997547502395</v>
      </c>
    </row>
    <row r="5681" spans="1:40" x14ac:dyDescent="0.25">
      <c r="A5681" t="str">
        <f>"20190303162933047"</f>
        <v>20190303162933047</v>
      </c>
      <c r="B5681" t="str">
        <f>"1551601773037485"</f>
        <v>1551601773037485</v>
      </c>
      <c r="C5681" t="s">
        <v>40</v>
      </c>
      <c r="D5681">
        <v>5.0556340000000004</v>
      </c>
      <c r="E5681">
        <v>0.478518</v>
      </c>
      <c r="F5681" t="s">
        <v>57</v>
      </c>
      <c r="G5681">
        <v>-299.68279999999999</v>
      </c>
      <c r="H5681" s="1">
        <v>-5.1201959999999996E-6</v>
      </c>
      <c r="I5681">
        <v>-49.078539999999997</v>
      </c>
      <c r="J5681">
        <v>-301.71390000000002</v>
      </c>
      <c r="K5681">
        <v>1.120789</v>
      </c>
      <c r="L5681">
        <v>-32.553130000000003</v>
      </c>
      <c r="M5681">
        <v>-4.6477409999999997E-2</v>
      </c>
      <c r="N5681">
        <v>-1.1643270000000001E-2</v>
      </c>
      <c r="O5681">
        <v>-0.99885170000000001</v>
      </c>
      <c r="P5681">
        <v>7.5709390000000001E-2</v>
      </c>
      <c r="Q5681">
        <v>0.158920899999999</v>
      </c>
      <c r="R5681">
        <v>-0.9843845</v>
      </c>
      <c r="S5681">
        <v>0.365448</v>
      </c>
      <c r="T5681">
        <v>-0.2031558</v>
      </c>
      <c r="U5681">
        <v>-3.0529480000000002</v>
      </c>
      <c r="V5681">
        <v>-0.1212678</v>
      </c>
      <c r="W5681">
        <v>0.17039979999999999</v>
      </c>
      <c r="X5681">
        <v>0.97788450000000005</v>
      </c>
      <c r="Y5681">
        <v>-0.1646292</v>
      </c>
      <c r="Z5681">
        <v>5.3948980000000001E-2</v>
      </c>
      <c r="AA5681">
        <v>0.98487899999999995</v>
      </c>
      <c r="AB5681">
        <v>31</v>
      </c>
      <c r="AC5681">
        <v>2.0311000000000301</v>
      </c>
      <c r="AD5681">
        <v>-1.1207941201960001</v>
      </c>
      <c r="AE5681">
        <v>-16.525410000000001</v>
      </c>
      <c r="AF5681">
        <v>-2.7843976184379202</v>
      </c>
      <c r="AG5681">
        <v>-1.1207941201960001</v>
      </c>
      <c r="AH5681">
        <v>16.339103039907901</v>
      </c>
      <c r="AI5681">
        <v>93.868506757435298</v>
      </c>
      <c r="AJ5681">
        <v>99.671049238824693</v>
      </c>
      <c r="AK5681">
        <v>16.6125054614334</v>
      </c>
      <c r="AL5681">
        <v>80.188935250116103</v>
      </c>
      <c r="AM5681">
        <v>97.069179199188099</v>
      </c>
      <c r="AN5681">
        <v>1.0000000332485599</v>
      </c>
    </row>
    <row r="5682" spans="1:40" x14ac:dyDescent="0.25">
      <c r="A5682" t="str">
        <f>"20190303162933086"</f>
        <v>20190303162933086</v>
      </c>
      <c r="B5682" t="str">
        <f>"1551601773077499"</f>
        <v>1551601773077499</v>
      </c>
      <c r="C5682" t="s">
        <v>40</v>
      </c>
      <c r="D5682">
        <v>5.0120449999999996</v>
      </c>
      <c r="E5682">
        <v>0.39260820000000002</v>
      </c>
      <c r="F5682" t="s">
        <v>57</v>
      </c>
      <c r="G5682">
        <v>-299.60890000000001</v>
      </c>
      <c r="H5682" s="1">
        <v>-5.2960910000000004E-6</v>
      </c>
      <c r="I5682">
        <v>-49.39161</v>
      </c>
      <c r="J5682">
        <v>-301.73919999999998</v>
      </c>
      <c r="K5682">
        <v>1.120795</v>
      </c>
      <c r="L5682">
        <v>-33.08511</v>
      </c>
      <c r="M5682">
        <v>-4.699391E-2</v>
      </c>
      <c r="N5682">
        <v>-1.15896E-2</v>
      </c>
      <c r="O5682">
        <v>-0.99882789999999999</v>
      </c>
      <c r="P5682">
        <v>9.5940410000000004E-2</v>
      </c>
      <c r="Q5682">
        <v>0.15925149999999999</v>
      </c>
      <c r="R5682">
        <v>-0.98256500000000002</v>
      </c>
      <c r="S5682">
        <v>0.38140869999999999</v>
      </c>
      <c r="T5682">
        <v>-0.20308290000000001</v>
      </c>
      <c r="U5682">
        <v>-3.051056</v>
      </c>
      <c r="V5682">
        <v>-0.14190069999999999</v>
      </c>
      <c r="W5682">
        <v>0.17065629999999901</v>
      </c>
      <c r="X5682">
        <v>0.97505929999999996</v>
      </c>
      <c r="Y5682">
        <v>-0.1702823</v>
      </c>
      <c r="Z5682">
        <v>5.3962860000000001E-2</v>
      </c>
      <c r="AA5682">
        <v>0.98391660000000003</v>
      </c>
      <c r="AB5682">
        <v>31</v>
      </c>
      <c r="AC5682">
        <v>2.1302999999999699</v>
      </c>
      <c r="AD5682">
        <v>-1.120800296091</v>
      </c>
      <c r="AE5682">
        <v>-16.3065</v>
      </c>
      <c r="AF5682">
        <v>-2.88092189953234</v>
      </c>
      <c r="AG5682">
        <v>-1.120800296091</v>
      </c>
      <c r="AH5682">
        <v>16.1135166860584</v>
      </c>
      <c r="AI5682">
        <v>93.916973343677299</v>
      </c>
      <c r="AJ5682">
        <v>100.136760046653</v>
      </c>
      <c r="AK5682">
        <v>16.407355798141399</v>
      </c>
      <c r="AL5682">
        <v>80.174020191834799</v>
      </c>
      <c r="AM5682">
        <v>98.280144854739305</v>
      </c>
      <c r="AN5682">
        <v>1.0000000099533299</v>
      </c>
    </row>
    <row r="5683" spans="1:40" x14ac:dyDescent="0.25">
      <c r="A5683" t="str">
        <f>"20190303162933113"</f>
        <v>20190303162933113</v>
      </c>
      <c r="B5683" t="str">
        <f>"1551601773107755"</f>
        <v>1551601773107755</v>
      </c>
      <c r="C5683" t="s">
        <v>40</v>
      </c>
      <c r="D5683">
        <v>4.9104380000000001</v>
      </c>
      <c r="E5683">
        <v>0.36649470000000001</v>
      </c>
      <c r="F5683" t="s">
        <v>44</v>
      </c>
      <c r="G5683">
        <v>-301.36430000000001</v>
      </c>
      <c r="H5683">
        <v>1.028011</v>
      </c>
      <c r="I5683">
        <v>-34.084670000000003</v>
      </c>
      <c r="J5683">
        <v>-301.75709999999998</v>
      </c>
      <c r="K5683">
        <v>1.1207849999999999</v>
      </c>
      <c r="L5683">
        <v>-33.458919999999999</v>
      </c>
      <c r="M5683">
        <v>-4.7350379999999997E-2</v>
      </c>
      <c r="N5683">
        <v>-1.1557090000000001E-2</v>
      </c>
      <c r="O5683">
        <v>-0.99881169999999997</v>
      </c>
      <c r="P5683">
        <v>0.1063465</v>
      </c>
      <c r="Q5683">
        <v>0.1574044</v>
      </c>
      <c r="R5683">
        <v>-0.98179150000000004</v>
      </c>
      <c r="S5683">
        <v>1.1211850000000001</v>
      </c>
      <c r="T5683">
        <v>-0.2774317</v>
      </c>
      <c r="U5683">
        <v>-2.9887389999999998</v>
      </c>
      <c r="V5683">
        <v>-0.15260960000000001</v>
      </c>
      <c r="W5683">
        <v>0.16876820000000001</v>
      </c>
      <c r="X5683">
        <v>0.97376980000000002</v>
      </c>
      <c r="Y5683">
        <v>-0.39398949999999999</v>
      </c>
      <c r="Z5683">
        <v>7.4028910000000003E-2</v>
      </c>
      <c r="AA5683">
        <v>0.91612879999999997</v>
      </c>
      <c r="AB5683">
        <v>31</v>
      </c>
      <c r="AC5683">
        <v>0.39279999999996501</v>
      </c>
      <c r="AD5683">
        <v>-9.2774000000000106E-2</v>
      </c>
      <c r="AE5683">
        <v>-0.62575000000000303</v>
      </c>
      <c r="AF5683">
        <v>-0.41544018489657297</v>
      </c>
      <c r="AG5683">
        <v>-9.2774000000000106E-2</v>
      </c>
      <c r="AH5683">
        <v>0.59703356351547099</v>
      </c>
      <c r="AI5683">
        <v>97.268855851060195</v>
      </c>
      <c r="AJ5683">
        <v>124.83176326610401</v>
      </c>
      <c r="AK5683">
        <v>0.73324391457882598</v>
      </c>
      <c r="AL5683">
        <v>80.283792762711002</v>
      </c>
      <c r="AM5683">
        <v>98.906967298394903</v>
      </c>
      <c r="AN5683">
        <v>1.0000000093677199</v>
      </c>
    </row>
    <row r="5684" spans="1:40" x14ac:dyDescent="0.25">
      <c r="A5684" t="str">
        <f>"20190303162933138"</f>
        <v>20190303162933138</v>
      </c>
      <c r="B5684" t="str">
        <f>"1551601773128251"</f>
        <v>1551601773128251</v>
      </c>
      <c r="C5684" t="s">
        <v>40</v>
      </c>
      <c r="D5684">
        <v>4.914911</v>
      </c>
      <c r="E5684">
        <v>0.30988290000000002</v>
      </c>
      <c r="F5684" t="s">
        <v>44</v>
      </c>
      <c r="G5684">
        <v>-301.34789999999998</v>
      </c>
      <c r="H5684">
        <v>1.021636</v>
      </c>
      <c r="I5684">
        <v>-34.350960000000001</v>
      </c>
      <c r="J5684">
        <v>-301.77390000000003</v>
      </c>
      <c r="K5684">
        <v>1.120784</v>
      </c>
      <c r="L5684">
        <v>-33.805970000000002</v>
      </c>
      <c r="M5684">
        <v>-4.7670329999999997E-2</v>
      </c>
      <c r="N5684">
        <v>-1.153033E-2</v>
      </c>
      <c r="O5684">
        <v>-0.99879649999999998</v>
      </c>
      <c r="P5684">
        <v>0.1163855</v>
      </c>
      <c r="Q5684">
        <v>0.1548049</v>
      </c>
      <c r="R5684">
        <v>-0.98106579999999999</v>
      </c>
      <c r="S5684">
        <v>1.358063</v>
      </c>
      <c r="T5684">
        <v>-0.32914090000000001</v>
      </c>
      <c r="U5684">
        <v>-2.9613040000000002</v>
      </c>
      <c r="V5684">
        <v>-0.16291900000000001</v>
      </c>
      <c r="W5684">
        <v>0.16613329999999901</v>
      </c>
      <c r="X5684">
        <v>0.97255190000000002</v>
      </c>
      <c r="Y5684">
        <v>-0.45781549999999999</v>
      </c>
      <c r="Z5684">
        <v>8.7646130000000003E-2</v>
      </c>
      <c r="AA5684">
        <v>0.88471650000000002</v>
      </c>
      <c r="AB5684">
        <v>31</v>
      </c>
      <c r="AC5684">
        <v>0.42600000000004401</v>
      </c>
      <c r="AD5684">
        <v>-9.9148E-2</v>
      </c>
      <c r="AE5684">
        <v>-0.54498999999999798</v>
      </c>
      <c r="AF5684">
        <v>-0.44240816663052401</v>
      </c>
      <c r="AG5684">
        <v>-9.9148E-2</v>
      </c>
      <c r="AH5684">
        <v>0.51351159511686595</v>
      </c>
      <c r="AI5684">
        <v>98.322097910471598</v>
      </c>
      <c r="AJ5684">
        <v>130.74604681526</v>
      </c>
      <c r="AK5684">
        <v>0.68501786117213703</v>
      </c>
      <c r="AL5684">
        <v>80.436923856885898</v>
      </c>
      <c r="AM5684">
        <v>99.5097207412106</v>
      </c>
      <c r="AN5684">
        <v>1.00000003606174</v>
      </c>
    </row>
    <row r="5685" spans="1:40" x14ac:dyDescent="0.25">
      <c r="A5685" t="str">
        <f>"20190303162933164"</f>
        <v>20190303162933164</v>
      </c>
      <c r="B5685" t="str">
        <f>"1551601773157531"</f>
        <v>1551601773157531</v>
      </c>
      <c r="C5685" t="s">
        <v>40</v>
      </c>
      <c r="D5685">
        <v>4.9380699999999997</v>
      </c>
      <c r="E5685">
        <v>0.31809199999999999</v>
      </c>
      <c r="F5685" t="s">
        <v>44</v>
      </c>
      <c r="G5685">
        <v>-301.26670000000001</v>
      </c>
      <c r="H5685">
        <v>0.99809870000000001</v>
      </c>
      <c r="I5685">
        <v>-34.611789999999999</v>
      </c>
      <c r="J5685">
        <v>-301.7912</v>
      </c>
      <c r="K5685">
        <v>1.1207959999999999</v>
      </c>
      <c r="L5685">
        <v>-34.163539999999998</v>
      </c>
      <c r="M5685">
        <v>-4.7961110000000001E-2</v>
      </c>
      <c r="N5685">
        <v>-1.1506239999999999E-2</v>
      </c>
      <c r="O5685">
        <v>-0.99878319999999998</v>
      </c>
      <c r="P5685">
        <v>0.1258261</v>
      </c>
      <c r="Q5685">
        <v>0.15419140000000001</v>
      </c>
      <c r="R5685">
        <v>-0.9799966</v>
      </c>
      <c r="S5685">
        <v>1.831879</v>
      </c>
      <c r="T5685">
        <v>-0.44313409999999898</v>
      </c>
      <c r="U5685">
        <v>-2.9105219999999998</v>
      </c>
      <c r="V5685">
        <v>-0.17258999999999999</v>
      </c>
      <c r="W5685">
        <v>0.16547590000000001</v>
      </c>
      <c r="X5685">
        <v>0.97099449999999998</v>
      </c>
      <c r="Y5685">
        <v>-0.56871400000000005</v>
      </c>
      <c r="Z5685">
        <v>0.11416320000000001</v>
      </c>
      <c r="AA5685">
        <v>0.81457419999999903</v>
      </c>
      <c r="AB5685">
        <v>31</v>
      </c>
      <c r="AC5685">
        <v>0.52449999999998898</v>
      </c>
      <c r="AD5685">
        <v>-0.1226973</v>
      </c>
      <c r="AE5685">
        <v>-0.44824999999999399</v>
      </c>
      <c r="AF5685">
        <v>-0.52867665580776901</v>
      </c>
      <c r="AG5685">
        <v>-0.1226973</v>
      </c>
      <c r="AH5685">
        <v>0.40962232119853098</v>
      </c>
      <c r="AI5685">
        <v>100.39586245840501</v>
      </c>
      <c r="AJ5685">
        <v>142.231228496905</v>
      </c>
      <c r="AK5685">
        <v>0.67995888099755597</v>
      </c>
      <c r="AL5685">
        <v>80.4751179473934</v>
      </c>
      <c r="AM5685">
        <v>100.078810810137</v>
      </c>
      <c r="AN5685">
        <v>0.99999995030552802</v>
      </c>
    </row>
    <row r="5686" spans="1:40" x14ac:dyDescent="0.25">
      <c r="A5686" t="str">
        <f>"20190303162933186"</f>
        <v>20190303162933186</v>
      </c>
      <c r="B5686" t="str">
        <f>"1551601773178027"</f>
        <v>1551601773178027</v>
      </c>
      <c r="C5686" t="s">
        <v>40</v>
      </c>
      <c r="D5686">
        <v>4.9917610000000003</v>
      </c>
      <c r="E5686">
        <v>0.32098929999999998</v>
      </c>
      <c r="F5686" t="s">
        <v>57</v>
      </c>
      <c r="G5686">
        <v>-296.10809999999998</v>
      </c>
      <c r="H5686" s="1">
        <v>-2.8776269999999999E-6</v>
      </c>
      <c r="I5686">
        <v>-43.30189</v>
      </c>
      <c r="J5686">
        <v>-301.80680000000001</v>
      </c>
      <c r="K5686">
        <v>1.1208389999999999</v>
      </c>
      <c r="L5686">
        <v>-34.48413</v>
      </c>
      <c r="M5686">
        <v>-4.8146729999999999E-2</v>
      </c>
      <c r="N5686">
        <v>-1.149377E-2</v>
      </c>
      <c r="O5686">
        <v>-0.9987741</v>
      </c>
      <c r="P5686">
        <v>0.1341926</v>
      </c>
      <c r="Q5686">
        <v>0.15406329999999999</v>
      </c>
      <c r="R5686">
        <v>-0.97890560000000004</v>
      </c>
      <c r="S5686">
        <v>1.7950740000000001</v>
      </c>
      <c r="T5686">
        <v>-0.35401630000000001</v>
      </c>
      <c r="U5686">
        <v>-2.886444</v>
      </c>
      <c r="V5686">
        <v>-0.18109259999999999</v>
      </c>
      <c r="W5686">
        <v>0.16530329999999999</v>
      </c>
      <c r="X5686">
        <v>0.96947430000000001</v>
      </c>
      <c r="Y5686">
        <v>-0.56585189999999996</v>
      </c>
      <c r="Z5686">
        <v>9.0329850000000003E-2</v>
      </c>
      <c r="AA5686">
        <v>0.81954389999999999</v>
      </c>
      <c r="AB5686">
        <v>31</v>
      </c>
      <c r="AC5686">
        <v>5.6987000000000299</v>
      </c>
      <c r="AD5686">
        <v>-1.1208418776269999</v>
      </c>
      <c r="AE5686">
        <v>-8.8177599999999998</v>
      </c>
      <c r="AF5686">
        <v>-6.0477375597913001</v>
      </c>
      <c r="AG5686">
        <v>-1.1208418776269999</v>
      </c>
      <c r="AH5686">
        <v>8.4369829439756501</v>
      </c>
      <c r="AI5686">
        <v>96.162590887371493</v>
      </c>
      <c r="AJ5686">
        <v>125.633439457978</v>
      </c>
      <c r="AK5686">
        <v>10.440981625483699</v>
      </c>
      <c r="AL5686">
        <v>80.485146390195794</v>
      </c>
      <c r="AM5686">
        <v>100.580608535316</v>
      </c>
      <c r="AN5686">
        <v>1.00000006456306</v>
      </c>
    </row>
    <row r="5687" spans="1:40" x14ac:dyDescent="0.25">
      <c r="A5687" t="str">
        <f>"20190303162933211"</f>
        <v>20190303162933211</v>
      </c>
      <c r="B5687" t="str">
        <f>"1551601773197548"</f>
        <v>1551601773197548</v>
      </c>
      <c r="C5687" t="s">
        <v>40</v>
      </c>
      <c r="D5687">
        <v>4.9706070000000002</v>
      </c>
      <c r="E5687">
        <v>0.32352170000000002</v>
      </c>
      <c r="F5687" t="s">
        <v>57</v>
      </c>
      <c r="G5687">
        <v>-296.26260000000002</v>
      </c>
      <c r="H5687" s="1">
        <v>-2.8747609999999898E-6</v>
      </c>
      <c r="I5687">
        <v>-43.362070000000003</v>
      </c>
      <c r="J5687">
        <v>-301.82279999999997</v>
      </c>
      <c r="K5687">
        <v>1.1209020000000001</v>
      </c>
      <c r="L5687">
        <v>-34.814120000000003</v>
      </c>
      <c r="M5687">
        <v>-4.8272969999999998E-2</v>
      </c>
      <c r="N5687">
        <v>-1.14888E-2</v>
      </c>
      <c r="O5687">
        <v>-0.99876810000000005</v>
      </c>
      <c r="P5687">
        <v>0.14122219999999999</v>
      </c>
      <c r="Q5687">
        <v>0.1531101</v>
      </c>
      <c r="R5687">
        <v>-0.97806649999999995</v>
      </c>
      <c r="S5687">
        <v>1.79577599999999</v>
      </c>
      <c r="T5687">
        <v>-0.3630466</v>
      </c>
      <c r="U5687">
        <v>-2.87561</v>
      </c>
      <c r="V5687">
        <v>-0.18821860000000001</v>
      </c>
      <c r="W5687">
        <v>0.1643095</v>
      </c>
      <c r="X5687">
        <v>0.96828510000000001</v>
      </c>
      <c r="Y5687">
        <v>-0.56733199999999995</v>
      </c>
      <c r="Z5687">
        <v>9.3167239999999998E-2</v>
      </c>
      <c r="AA5687">
        <v>0.81820179999999998</v>
      </c>
      <c r="AB5687">
        <v>31</v>
      </c>
      <c r="AC5687">
        <v>5.5601999999999503</v>
      </c>
      <c r="AD5687">
        <v>-1.120904874761</v>
      </c>
      <c r="AE5687">
        <v>-8.5479500000000002</v>
      </c>
      <c r="AF5687">
        <v>-5.8951481725260404</v>
      </c>
      <c r="AG5687">
        <v>-1.120904874761</v>
      </c>
      <c r="AH5687">
        <v>8.1708302600860403</v>
      </c>
      <c r="AI5687">
        <v>96.348097520746194</v>
      </c>
      <c r="AJ5687">
        <v>125.809960285394</v>
      </c>
      <c r="AK5687">
        <v>10.137636157085</v>
      </c>
      <c r="AL5687">
        <v>80.542875187378499</v>
      </c>
      <c r="AM5687">
        <v>101.00017350182</v>
      </c>
      <c r="AN5687">
        <v>0.99999994402910797</v>
      </c>
    </row>
    <row r="5688" spans="1:40" x14ac:dyDescent="0.25">
      <c r="A5688" t="str">
        <f>"20190303162933230"</f>
        <v>20190303162933230</v>
      </c>
      <c r="B5688" t="str">
        <f>"1551601773227803"</f>
        <v>1551601773227803</v>
      </c>
      <c r="C5688" t="s">
        <v>40</v>
      </c>
      <c r="D5688">
        <v>4.9710549999999998</v>
      </c>
      <c r="E5688">
        <v>0.35038209999999997</v>
      </c>
      <c r="F5688" t="s">
        <v>44</v>
      </c>
      <c r="G5688">
        <v>-301.26170000000002</v>
      </c>
      <c r="H5688">
        <v>1.0042340000000001</v>
      </c>
      <c r="I5688">
        <v>-35.71031</v>
      </c>
      <c r="J5688">
        <v>-301.83620000000002</v>
      </c>
      <c r="K5688">
        <v>1.1209549999999999</v>
      </c>
      <c r="L5688">
        <v>-35.090060000000001</v>
      </c>
      <c r="M5688">
        <v>-4.8316230000000002E-2</v>
      </c>
      <c r="N5688">
        <v>-1.149115E-2</v>
      </c>
      <c r="O5688">
        <v>-0.99876620000000005</v>
      </c>
      <c r="P5688">
        <v>0.14781179999999999</v>
      </c>
      <c r="Q5688">
        <v>0.15195500000000001</v>
      </c>
      <c r="R5688">
        <v>-0.97727260000000005</v>
      </c>
      <c r="S5688">
        <v>1.7951969999999999</v>
      </c>
      <c r="T5688">
        <v>-0.37317610000000001</v>
      </c>
      <c r="U5688">
        <v>-2.8664860000000001</v>
      </c>
      <c r="V5688">
        <v>-0.19482469999999999</v>
      </c>
      <c r="W5688">
        <v>0.16312270000000001</v>
      </c>
      <c r="X5688">
        <v>0.96717850000000005</v>
      </c>
      <c r="Y5688">
        <v>-0.56824669999999999</v>
      </c>
      <c r="Z5688">
        <v>9.6304429999999996E-2</v>
      </c>
      <c r="AA5688">
        <v>0.81720329999999997</v>
      </c>
      <c r="AB5688">
        <v>31</v>
      </c>
      <c r="AC5688">
        <v>0.57450000000000001</v>
      </c>
      <c r="AD5688">
        <v>-0.11672099999999901</v>
      </c>
      <c r="AE5688">
        <v>-0.62024999999999797</v>
      </c>
      <c r="AF5688">
        <v>-0.59250552393503197</v>
      </c>
      <c r="AG5688">
        <v>-0.11672099999999901</v>
      </c>
      <c r="AH5688">
        <v>0.580697537694986</v>
      </c>
      <c r="AI5688">
        <v>98.008482473754697</v>
      </c>
      <c r="AJ5688">
        <v>135.57664777315301</v>
      </c>
      <c r="AK5688">
        <v>0.83779246715373801</v>
      </c>
      <c r="AL5688">
        <v>80.611804045047194</v>
      </c>
      <c r="AM5688">
        <v>101.38903032828399</v>
      </c>
      <c r="AN5688">
        <v>0.99999996492381404</v>
      </c>
    </row>
    <row r="5689" spans="1:40" x14ac:dyDescent="0.25">
      <c r="A5689" t="str">
        <f>"20190303162933251"</f>
        <v>20190303162933251</v>
      </c>
      <c r="B5689" t="str">
        <f>"1551601773237563"</f>
        <v>1551601773237563</v>
      </c>
      <c r="C5689" t="s">
        <v>40</v>
      </c>
      <c r="D5689">
        <v>4.9500789999999997</v>
      </c>
      <c r="E5689">
        <v>0.34722059999999999</v>
      </c>
      <c r="F5689" t="s">
        <v>57</v>
      </c>
      <c r="G5689">
        <v>-284.94200000000001</v>
      </c>
      <c r="H5689" s="1">
        <v>-5.2461319999999997E-6</v>
      </c>
      <c r="I5689">
        <v>-64.940929999999994</v>
      </c>
      <c r="J5689">
        <v>-301.84949999999998</v>
      </c>
      <c r="K5689">
        <v>1.1210249999999999</v>
      </c>
      <c r="L5689">
        <v>-35.367220000000003</v>
      </c>
      <c r="M5689">
        <v>-4.8266299999999998E-2</v>
      </c>
      <c r="N5689">
        <v>-1.149706E-2</v>
      </c>
      <c r="O5689">
        <v>-0.99876830000000005</v>
      </c>
      <c r="P5689">
        <v>0.15593479999999901</v>
      </c>
      <c r="Q5689">
        <v>0.15207599999999999</v>
      </c>
      <c r="R5689">
        <v>-0.97599040000000004</v>
      </c>
      <c r="S5689">
        <v>1.6090089999999999</v>
      </c>
      <c r="T5689">
        <v>-0.10676099999999999</v>
      </c>
      <c r="U5689">
        <v>-2.8430179999999998</v>
      </c>
      <c r="V5689">
        <v>-0.2028538</v>
      </c>
      <c r="W5689">
        <v>0.16319979999999901</v>
      </c>
      <c r="X5689">
        <v>0.96551339999999997</v>
      </c>
      <c r="Y5689">
        <v>-0.53374390000000005</v>
      </c>
      <c r="Z5689">
        <v>2.0530360000000001E-2</v>
      </c>
      <c r="AA5689">
        <v>0.84539690000000001</v>
      </c>
      <c r="AB5689">
        <v>31</v>
      </c>
      <c r="AC5689">
        <v>16.907499999999899</v>
      </c>
      <c r="AD5689">
        <v>-1.1210302461320001</v>
      </c>
      <c r="AE5689">
        <v>-29.573709999999998</v>
      </c>
      <c r="AF5689">
        <v>-18.295486920628701</v>
      </c>
      <c r="AG5689">
        <v>-1.1210302461320001</v>
      </c>
      <c r="AH5689">
        <v>28.6920493696833</v>
      </c>
      <c r="AI5689">
        <v>91.886845852131401</v>
      </c>
      <c r="AJ5689">
        <v>122.523623398737</v>
      </c>
      <c r="AK5689">
        <v>34.047250219481498</v>
      </c>
      <c r="AL5689">
        <v>80.607326703178899</v>
      </c>
      <c r="AM5689">
        <v>101.86523445613599</v>
      </c>
      <c r="AN5689">
        <v>0.99999998223701902</v>
      </c>
    </row>
    <row r="5690" spans="1:40" x14ac:dyDescent="0.25">
      <c r="A5690" t="str">
        <f>"20190303162933272"</f>
        <v>20190303162933272</v>
      </c>
      <c r="B5690" t="str">
        <f>"1551601773258059"</f>
        <v>1551601773258059</v>
      </c>
      <c r="C5690" t="s">
        <v>40</v>
      </c>
      <c r="D5690">
        <v>4.9577059999999999</v>
      </c>
      <c r="E5690">
        <v>0.34479280000000001</v>
      </c>
      <c r="F5690" t="s">
        <v>44</v>
      </c>
      <c r="G5690">
        <v>-301.32220000000001</v>
      </c>
      <c r="H5690">
        <v>1.0654760000000001</v>
      </c>
      <c r="I5690">
        <v>-36.270180000000003</v>
      </c>
      <c r="J5690">
        <v>-301.86349999999999</v>
      </c>
      <c r="K5690">
        <v>1.1211150000000001</v>
      </c>
      <c r="L5690">
        <v>-35.66019</v>
      </c>
      <c r="M5690">
        <v>-4.8074539999999999E-2</v>
      </c>
      <c r="N5690">
        <v>-1.1504830000000001E-2</v>
      </c>
      <c r="O5690">
        <v>-0.99877749999999998</v>
      </c>
      <c r="P5690">
        <v>0.16450999999999999</v>
      </c>
      <c r="Q5690">
        <v>0.15286</v>
      </c>
      <c r="R5690">
        <v>-0.97445910000000002</v>
      </c>
      <c r="S5690">
        <v>1.656525</v>
      </c>
      <c r="T5690">
        <v>-0.17448839999999999</v>
      </c>
      <c r="U5690">
        <v>-2.8363339999999999</v>
      </c>
      <c r="V5690">
        <v>-0.2111972</v>
      </c>
      <c r="W5690">
        <v>0.1639215</v>
      </c>
      <c r="X5690">
        <v>0.96360029999999997</v>
      </c>
      <c r="Y5690">
        <v>-0.54464889999999999</v>
      </c>
      <c r="Z5690">
        <v>4.0590069999999999E-2</v>
      </c>
      <c r="AA5690">
        <v>0.83768140000000002</v>
      </c>
      <c r="AB5690">
        <v>31</v>
      </c>
      <c r="AC5690">
        <v>0.54129999999997802</v>
      </c>
      <c r="AD5690">
        <v>-5.5638999999999703E-2</v>
      </c>
      <c r="AE5690">
        <v>-0.60998999999999604</v>
      </c>
      <c r="AF5690">
        <v>-0.56736017322448995</v>
      </c>
      <c r="AG5690">
        <v>-5.5638999999999703E-2</v>
      </c>
      <c r="AH5690">
        <v>0.58055791067899598</v>
      </c>
      <c r="AI5690">
        <v>93.921016122337605</v>
      </c>
      <c r="AJ5690">
        <v>134.341293293852</v>
      </c>
      <c r="AK5690">
        <v>0.81365886717609404</v>
      </c>
      <c r="AL5690">
        <v>80.565412306543195</v>
      </c>
      <c r="AM5690">
        <v>102.362329828144</v>
      </c>
      <c r="AN5690">
        <v>1.0000000268050799</v>
      </c>
    </row>
    <row r="5691" spans="1:40" x14ac:dyDescent="0.25">
      <c r="A5691" t="str">
        <f>"20190303162933295"</f>
        <v>20190303162933295</v>
      </c>
      <c r="B5691" t="str">
        <f>"1551601773287339"</f>
        <v>1551601773287339</v>
      </c>
      <c r="C5691" t="s">
        <v>40</v>
      </c>
      <c r="D5691">
        <v>4.9534459999999996</v>
      </c>
      <c r="E5691">
        <v>0.34416649999999999</v>
      </c>
      <c r="F5691" t="s">
        <v>44</v>
      </c>
      <c r="G5691">
        <v>-301.33150000000001</v>
      </c>
      <c r="H5691">
        <v>1.0473570000000001</v>
      </c>
      <c r="I5691">
        <v>-36.545140000000004</v>
      </c>
      <c r="J5691">
        <v>-301.87849999999997</v>
      </c>
      <c r="K5691">
        <v>1.121248</v>
      </c>
      <c r="L5691">
        <v>-35.978940000000001</v>
      </c>
      <c r="M5691">
        <v>-4.7673180000000002E-2</v>
      </c>
      <c r="N5691">
        <v>-1.151434E-2</v>
      </c>
      <c r="O5691">
        <v>-0.99879649999999998</v>
      </c>
      <c r="P5691">
        <v>0.1713239</v>
      </c>
      <c r="Q5691">
        <v>0.15237220000000001</v>
      </c>
      <c r="R5691">
        <v>-0.97336040000000001</v>
      </c>
      <c r="S5691">
        <v>1.700439</v>
      </c>
      <c r="T5691">
        <v>-0.23575209999999999</v>
      </c>
      <c r="U5691">
        <v>-2.8285520000000002</v>
      </c>
      <c r="V5691">
        <v>-0.21761800000000001</v>
      </c>
      <c r="W5691">
        <v>0.1633532</v>
      </c>
      <c r="X5691">
        <v>0.96226719999999999</v>
      </c>
      <c r="Y5691">
        <v>-0.55437130000000001</v>
      </c>
      <c r="Z5691">
        <v>5.8502449999999998E-2</v>
      </c>
      <c r="AA5691">
        <v>0.83021080000000003</v>
      </c>
      <c r="AB5691">
        <v>31</v>
      </c>
      <c r="AC5691">
        <v>0.54699999999996796</v>
      </c>
      <c r="AD5691">
        <v>-7.3891000000000095E-2</v>
      </c>
      <c r="AE5691">
        <v>-0.56620000000000203</v>
      </c>
      <c r="AF5691">
        <v>-0.56836546172778202</v>
      </c>
      <c r="AG5691">
        <v>-7.3891000000000095E-2</v>
      </c>
      <c r="AH5691">
        <v>0.53476630193927899</v>
      </c>
      <c r="AI5691">
        <v>95.408883342165296</v>
      </c>
      <c r="AJ5691">
        <v>136.74457408544399</v>
      </c>
      <c r="AK5691">
        <v>0.78388403201994605</v>
      </c>
      <c r="AL5691">
        <v>80.598418270629793</v>
      </c>
      <c r="AM5691">
        <v>102.743155308662</v>
      </c>
      <c r="AN5691">
        <v>1.0000000130350399</v>
      </c>
    </row>
    <row r="5692" spans="1:40" x14ac:dyDescent="0.25">
      <c r="A5692" t="str">
        <f>"20190303162933317"</f>
        <v>20190303162933317</v>
      </c>
      <c r="B5692" t="str">
        <f>"1551601773307836"</f>
        <v>1551601773307836</v>
      </c>
      <c r="C5692" t="s">
        <v>40</v>
      </c>
      <c r="D5692">
        <v>4.9380369999999996</v>
      </c>
      <c r="E5692">
        <v>0.34445789999999998</v>
      </c>
      <c r="F5692" t="s">
        <v>44</v>
      </c>
      <c r="G5692">
        <v>-301.36169999999998</v>
      </c>
      <c r="H5692">
        <v>1.0367170000000001</v>
      </c>
      <c r="I5692">
        <v>-36.824590000000001</v>
      </c>
      <c r="J5692">
        <v>-301.89299999999997</v>
      </c>
      <c r="K5692">
        <v>1.121407</v>
      </c>
      <c r="L5692">
        <v>-36.294739999999997</v>
      </c>
      <c r="M5692">
        <v>-4.7049609999999999E-2</v>
      </c>
      <c r="N5692">
        <v>-1.152481E-2</v>
      </c>
      <c r="O5692">
        <v>-0.99882610000000005</v>
      </c>
      <c r="P5692">
        <v>0.17826029999999901</v>
      </c>
      <c r="Q5692">
        <v>0.1503273</v>
      </c>
      <c r="R5692">
        <v>-0.97243270000000004</v>
      </c>
      <c r="S5692">
        <v>1.7255549999999999</v>
      </c>
      <c r="T5692">
        <v>-0.2821534</v>
      </c>
      <c r="U5692">
        <v>-2.8225709999999999</v>
      </c>
      <c r="V5692">
        <v>-0.2239681</v>
      </c>
      <c r="W5692">
        <v>0.16120760000000001</v>
      </c>
      <c r="X5692">
        <v>0.96117129999999995</v>
      </c>
      <c r="Y5692">
        <v>-0.55950440000000001</v>
      </c>
      <c r="Z5692">
        <v>7.2023760000000006E-2</v>
      </c>
      <c r="AA5692">
        <v>0.82569210000000004</v>
      </c>
      <c r="AB5692">
        <v>31</v>
      </c>
      <c r="AC5692">
        <v>0.531299999999987</v>
      </c>
      <c r="AD5692">
        <v>-8.4689999999999904E-2</v>
      </c>
      <c r="AE5692">
        <v>-0.52984999999999605</v>
      </c>
      <c r="AF5692">
        <v>-0.54865306181168905</v>
      </c>
      <c r="AG5692">
        <v>-8.4689999999999904E-2</v>
      </c>
      <c r="AH5692">
        <v>0.497920943043339</v>
      </c>
      <c r="AI5692">
        <v>96.520926892065404</v>
      </c>
      <c r="AJ5692">
        <v>137.775210121448</v>
      </c>
      <c r="AK5692">
        <v>0.74573309156595002</v>
      </c>
      <c r="AL5692">
        <v>80.723002797332001</v>
      </c>
      <c r="AM5692">
        <v>103.116767189284</v>
      </c>
      <c r="AN5692">
        <v>0.99999993402952703</v>
      </c>
    </row>
    <row r="5693" spans="1:40" x14ac:dyDescent="0.25">
      <c r="A5693" t="str">
        <f>"20190303162933341"</f>
        <v>20190303162933341</v>
      </c>
      <c r="B5693" t="str">
        <f>"1551601773338091"</f>
        <v>1551601773338091</v>
      </c>
      <c r="C5693" t="s">
        <v>40</v>
      </c>
      <c r="D5693">
        <v>4.9281639999999998</v>
      </c>
      <c r="E5693">
        <v>0.34528399999999998</v>
      </c>
      <c r="F5693" t="s">
        <v>44</v>
      </c>
      <c r="G5693">
        <v>-301.39080000000001</v>
      </c>
      <c r="H5693">
        <v>1.034635</v>
      </c>
      <c r="I5693">
        <v>-37.103960000000001</v>
      </c>
      <c r="J5693">
        <v>-301.90730000000002</v>
      </c>
      <c r="K5693">
        <v>1.1216079999999999</v>
      </c>
      <c r="L5693">
        <v>-36.615630000000003</v>
      </c>
      <c r="M5693">
        <v>-4.6156700000000002E-2</v>
      </c>
      <c r="N5693">
        <v>-1.1536319999999999E-2</v>
      </c>
      <c r="O5693">
        <v>-0.99886759999999997</v>
      </c>
      <c r="P5693">
        <v>0.18661630000000001</v>
      </c>
      <c r="Q5693">
        <v>0.14822659999999999</v>
      </c>
      <c r="R5693">
        <v>-0.97118629999999995</v>
      </c>
      <c r="S5693">
        <v>1.7447509999999999</v>
      </c>
      <c r="T5693">
        <v>-0.30150680000000002</v>
      </c>
      <c r="U5693">
        <v>-2.8118289999999999</v>
      </c>
      <c r="V5693">
        <v>-0.2314755</v>
      </c>
      <c r="W5693">
        <v>0.15897800000000001</v>
      </c>
      <c r="X5693">
        <v>0.95976309999999998</v>
      </c>
      <c r="Y5693">
        <v>-0.563992099999999</v>
      </c>
      <c r="Z5693">
        <v>7.770328E-2</v>
      </c>
      <c r="AA5693">
        <v>0.82211619999999996</v>
      </c>
      <c r="AB5693">
        <v>31</v>
      </c>
      <c r="AC5693">
        <v>0.51650000000000695</v>
      </c>
      <c r="AD5693">
        <v>-8.6972999999999898E-2</v>
      </c>
      <c r="AE5693">
        <v>-0.48833000000000398</v>
      </c>
      <c r="AF5693">
        <v>-0.53054742567819901</v>
      </c>
      <c r="AG5693">
        <v>-8.6972999999999898E-2</v>
      </c>
      <c r="AH5693">
        <v>0.45712400668943498</v>
      </c>
      <c r="AI5693">
        <v>97.079374062170203</v>
      </c>
      <c r="AJ5693">
        <v>139.251543445615</v>
      </c>
      <c r="AK5693">
        <v>0.705696273983763</v>
      </c>
      <c r="AL5693">
        <v>80.852419876791501</v>
      </c>
      <c r="AM5693">
        <v>103.559633696871</v>
      </c>
      <c r="AN5693">
        <v>1.00000005985292</v>
      </c>
    </row>
    <row r="5694" spans="1:40" x14ac:dyDescent="0.25">
      <c r="A5694" t="str">
        <f>"20190303162933367"</f>
        <v>20190303162933367</v>
      </c>
      <c r="B5694" t="str">
        <f>"1551601773357611"</f>
        <v>1551601773357611</v>
      </c>
      <c r="C5694" t="s">
        <v>40</v>
      </c>
      <c r="D5694">
        <v>4.8734760000000001</v>
      </c>
      <c r="E5694">
        <v>0.34605789999999997</v>
      </c>
      <c r="F5694" t="s">
        <v>44</v>
      </c>
      <c r="G5694">
        <v>-301.4237</v>
      </c>
      <c r="H5694">
        <v>1.0327980000000001</v>
      </c>
      <c r="I5694">
        <v>-37.383960000000002</v>
      </c>
      <c r="J5694">
        <v>-301.92219999999998</v>
      </c>
      <c r="K5694">
        <v>1.1218570000000001</v>
      </c>
      <c r="L5694">
        <v>-36.96893</v>
      </c>
      <c r="M5694">
        <v>-4.4807880000000001E-2</v>
      </c>
      <c r="N5694">
        <v>-1.155572E-2</v>
      </c>
      <c r="O5694">
        <v>-0.99892899999999996</v>
      </c>
      <c r="P5694">
        <v>0.19501470000000001</v>
      </c>
      <c r="Q5694">
        <v>0.1465217</v>
      </c>
      <c r="R5694">
        <v>-0.96979439999999995</v>
      </c>
      <c r="S5694">
        <v>1.762848</v>
      </c>
      <c r="T5694">
        <v>-0.32362760000000002</v>
      </c>
      <c r="U5694">
        <v>-2.7996829999999999</v>
      </c>
      <c r="V5694">
        <v>-0.23859859999999999</v>
      </c>
      <c r="W5694">
        <v>0.1571177</v>
      </c>
      <c r="X5694">
        <v>0.95832390000000001</v>
      </c>
      <c r="Y5694">
        <v>-0.5679746</v>
      </c>
      <c r="Z5694">
        <v>8.4244040000000006E-2</v>
      </c>
      <c r="AA5694">
        <v>0.81872330000000004</v>
      </c>
      <c r="AB5694">
        <v>31</v>
      </c>
      <c r="AC5694">
        <v>0.49849999999997802</v>
      </c>
      <c r="AD5694">
        <v>-8.9058999999999999E-2</v>
      </c>
      <c r="AE5694">
        <v>-0.41502999999999401</v>
      </c>
      <c r="AF5694">
        <v>-0.50703902321282301</v>
      </c>
      <c r="AG5694">
        <v>-8.9058999999999999E-2</v>
      </c>
      <c r="AH5694">
        <v>0.385017012483442</v>
      </c>
      <c r="AI5694">
        <v>97.963221723264496</v>
      </c>
      <c r="AJ5694">
        <v>142.78900034094801</v>
      </c>
      <c r="AK5694">
        <v>0.64285159752721199</v>
      </c>
      <c r="AL5694">
        <v>80.960363201701398</v>
      </c>
      <c r="AM5694">
        <v>103.980951339828</v>
      </c>
      <c r="AN5694">
        <v>0.99999998044322902</v>
      </c>
    </row>
    <row r="5695" spans="1:40" x14ac:dyDescent="0.25">
      <c r="A5695" t="str">
        <f>"20190303162933398"</f>
        <v>20190303162933398</v>
      </c>
      <c r="B5695" t="str">
        <f>"1551601773387867"</f>
        <v>1551601773387867</v>
      </c>
      <c r="C5695" t="s">
        <v>40</v>
      </c>
      <c r="D5695">
        <v>4.8870290000000001</v>
      </c>
      <c r="E5695">
        <v>0.34707310000000002</v>
      </c>
      <c r="F5695" t="s">
        <v>57</v>
      </c>
      <c r="G5695">
        <v>-295.95139999999998</v>
      </c>
      <c r="H5695" s="1">
        <v>-4.5354599999999998E-6</v>
      </c>
      <c r="I5695">
        <v>-46.307189999999999</v>
      </c>
      <c r="J5695">
        <v>-301.93990000000002</v>
      </c>
      <c r="K5695">
        <v>1.1221829999999999</v>
      </c>
      <c r="L5695">
        <v>-37.418550000000003</v>
      </c>
      <c r="M5695">
        <v>-4.2538359999999997E-2</v>
      </c>
      <c r="N5695">
        <v>-1.1587E-2</v>
      </c>
      <c r="O5695">
        <v>-0.99902760000000002</v>
      </c>
      <c r="P5695">
        <v>0.21134030000000001</v>
      </c>
      <c r="Q5695">
        <v>0.14264009999999999</v>
      </c>
      <c r="R5695">
        <v>-0.96694800000000003</v>
      </c>
      <c r="S5695">
        <v>1.78125</v>
      </c>
      <c r="T5695">
        <v>-0.33467819999999998</v>
      </c>
      <c r="U5695">
        <v>-2.785828</v>
      </c>
      <c r="V5695">
        <v>-0.25272060000000002</v>
      </c>
      <c r="W5695">
        <v>0.15300239999999901</v>
      </c>
      <c r="X5695">
        <v>0.95536520000000003</v>
      </c>
      <c r="Y5695">
        <v>-0.5716156</v>
      </c>
      <c r="Z5695">
        <v>8.7589500000000001E-2</v>
      </c>
      <c r="AA5695">
        <v>0.81583319999999904</v>
      </c>
      <c r="AB5695">
        <v>31</v>
      </c>
      <c r="AC5695">
        <v>5.9885000000000401</v>
      </c>
      <c r="AD5695">
        <v>-1.1221875354599999</v>
      </c>
      <c r="AE5695">
        <v>-8.8886400000000005</v>
      </c>
      <c r="AF5695">
        <v>-6.2922313734530801</v>
      </c>
      <c r="AG5695">
        <v>-1.1221875354599999</v>
      </c>
      <c r="AH5695">
        <v>8.5322967290818106</v>
      </c>
      <c r="AI5695">
        <v>96.0423469907536</v>
      </c>
      <c r="AJ5695">
        <v>126.407306751403</v>
      </c>
      <c r="AK5695">
        <v>10.660748941556999</v>
      </c>
      <c r="AL5695">
        <v>81.199040112964596</v>
      </c>
      <c r="AM5695">
        <v>104.81694125215699</v>
      </c>
      <c r="AN5695">
        <v>1.00000005072057</v>
      </c>
    </row>
    <row r="5696" spans="1:40" x14ac:dyDescent="0.25">
      <c r="A5696" t="str">
        <f>"20190303162933426"</f>
        <v>20190303162933426</v>
      </c>
      <c r="B5696" t="str">
        <f>"1551601773417147"</f>
        <v>1551601773417147</v>
      </c>
      <c r="C5696" t="s">
        <v>40</v>
      </c>
      <c r="D5696">
        <v>4.8968990000000003</v>
      </c>
      <c r="E5696">
        <v>0.35978710000000003</v>
      </c>
      <c r="F5696" t="s">
        <v>44</v>
      </c>
      <c r="G5696">
        <v>-301.41989999999998</v>
      </c>
      <c r="H5696">
        <v>1.0215939999999999</v>
      </c>
      <c r="I5696">
        <v>-38.206769999999999</v>
      </c>
      <c r="J5696">
        <v>-301.95389999999998</v>
      </c>
      <c r="K5696">
        <v>1.1224510000000001</v>
      </c>
      <c r="L5696">
        <v>-37.805599999999998</v>
      </c>
      <c r="M5696">
        <v>-4.0133200000000001E-2</v>
      </c>
      <c r="N5696">
        <v>-1.1612910000000001E-2</v>
      </c>
      <c r="O5696">
        <v>-0.99912699999999999</v>
      </c>
      <c r="P5696">
        <v>0.22089249999999999</v>
      </c>
      <c r="Q5696">
        <v>0.14271439999999999</v>
      </c>
      <c r="R5696">
        <v>-0.96480049999999995</v>
      </c>
      <c r="S5696">
        <v>1.8188169999999999</v>
      </c>
      <c r="T5696">
        <v>-0.35182140000000001</v>
      </c>
      <c r="U5696">
        <v>-2.7569270000000001</v>
      </c>
      <c r="V5696">
        <v>-0.25997290000000001</v>
      </c>
      <c r="W5696">
        <v>0.15289079999999999</v>
      </c>
      <c r="X5696">
        <v>0.95343509999999998</v>
      </c>
      <c r="Y5696">
        <v>-0.58098269999999996</v>
      </c>
      <c r="Z5696">
        <v>9.2785179999999995E-2</v>
      </c>
      <c r="AA5696">
        <v>0.80860989999999999</v>
      </c>
      <c r="AB5696">
        <v>31</v>
      </c>
      <c r="AC5696">
        <v>0.53399999999999104</v>
      </c>
      <c r="AD5696">
        <v>-0.100856999999999</v>
      </c>
      <c r="AE5696">
        <v>-0.40117000000000003</v>
      </c>
      <c r="AF5696">
        <v>-0.53741648967256195</v>
      </c>
      <c r="AG5696">
        <v>-0.100856999999999</v>
      </c>
      <c r="AH5696">
        <v>0.37095539289424601</v>
      </c>
      <c r="AI5696">
        <v>98.779899689780294</v>
      </c>
      <c r="AJ5696">
        <v>145.38435731932199</v>
      </c>
      <c r="AK5696">
        <v>0.66075450913202505</v>
      </c>
      <c r="AL5696">
        <v>81.205509978543205</v>
      </c>
      <c r="AM5696">
        <v>105.252050440803</v>
      </c>
      <c r="AN5696">
        <v>0.99999999768552905</v>
      </c>
    </row>
    <row r="5697" spans="1:40" x14ac:dyDescent="0.25">
      <c r="A5697" t="str">
        <f>"20190303162933449"</f>
        <v>20190303162933449</v>
      </c>
      <c r="B5697" t="str">
        <f>"1551601773437643"</f>
        <v>1551601773437643</v>
      </c>
      <c r="C5697" t="s">
        <v>40</v>
      </c>
      <c r="D5697">
        <v>4.8388580000000001</v>
      </c>
      <c r="E5697">
        <v>0.36052679999999998</v>
      </c>
      <c r="F5697" t="s">
        <v>57</v>
      </c>
      <c r="G5697">
        <v>-296.6669</v>
      </c>
      <c r="H5697" s="1">
        <v>-4.3038589999999999E-6</v>
      </c>
      <c r="I5697">
        <v>-46.164020000000001</v>
      </c>
      <c r="J5697">
        <v>-301.96420000000001</v>
      </c>
      <c r="K5697">
        <v>1.1226830000000001</v>
      </c>
      <c r="L5697">
        <v>-38.121670000000002</v>
      </c>
      <c r="M5697">
        <v>-3.7793010000000002E-2</v>
      </c>
      <c r="N5697">
        <v>-1.16341E-2</v>
      </c>
      <c r="O5697">
        <v>-0.99921789999999999</v>
      </c>
      <c r="P5697">
        <v>0.2300587</v>
      </c>
      <c r="Q5697">
        <v>0.14318989999999901</v>
      </c>
      <c r="R5697">
        <v>-0.96258500000000002</v>
      </c>
      <c r="S5697">
        <v>1.748383</v>
      </c>
      <c r="T5697">
        <v>-0.37118820000000002</v>
      </c>
      <c r="U5697">
        <v>-2.7640690000000001</v>
      </c>
      <c r="V5697">
        <v>-0.26689930000000001</v>
      </c>
      <c r="W5697">
        <v>0.15318809999999999</v>
      </c>
      <c r="X5697">
        <v>0.95147159999999997</v>
      </c>
      <c r="Y5697">
        <v>-0.56307419999999997</v>
      </c>
      <c r="Z5697">
        <v>9.9683789999999994E-2</v>
      </c>
      <c r="AA5697">
        <v>0.82037229999999906</v>
      </c>
      <c r="AB5697">
        <v>31</v>
      </c>
      <c r="AC5697">
        <v>5.2972999999999999</v>
      </c>
      <c r="AD5697">
        <v>-1.122687303859</v>
      </c>
      <c r="AE5697">
        <v>-8.0423499999999901</v>
      </c>
      <c r="AF5697">
        <v>-5.5224257092207401</v>
      </c>
      <c r="AG5697">
        <v>-1.122687303859</v>
      </c>
      <c r="AH5697">
        <v>7.7313140334799497</v>
      </c>
      <c r="AI5697">
        <v>96.739063675990906</v>
      </c>
      <c r="AJ5697">
        <v>125.53796507040001</v>
      </c>
      <c r="AK5697">
        <v>9.5671745662129801</v>
      </c>
      <c r="AL5697">
        <v>81.188273071796004</v>
      </c>
      <c r="AM5697">
        <v>105.669451084432</v>
      </c>
      <c r="AN5697">
        <v>1.00000001796432</v>
      </c>
    </row>
    <row r="5698" spans="1:40" x14ac:dyDescent="0.25">
      <c r="A5698" t="str">
        <f>"20190303162933471"</f>
        <v>20190303162933471</v>
      </c>
      <c r="B5698" t="str">
        <f>"1551601773467900"</f>
        <v>1551601773467900</v>
      </c>
      <c r="C5698" t="s">
        <v>40</v>
      </c>
      <c r="D5698">
        <v>4.8397410000000001</v>
      </c>
      <c r="E5698">
        <v>0.3610428</v>
      </c>
      <c r="F5698" t="s">
        <v>57</v>
      </c>
      <c r="G5698">
        <v>-296.46030000000002</v>
      </c>
      <c r="H5698" s="1">
        <v>-4.6038970000000002E-6</v>
      </c>
      <c r="I5698">
        <v>-46.662959999999998</v>
      </c>
      <c r="J5698">
        <v>-301.97320000000002</v>
      </c>
      <c r="K5698">
        <v>1.1229020000000001</v>
      </c>
      <c r="L5698">
        <v>-38.424770000000002</v>
      </c>
      <c r="M5698">
        <v>-3.5279489999999997E-2</v>
      </c>
      <c r="N5698">
        <v>-1.165508E-2</v>
      </c>
      <c r="O5698">
        <v>-0.99930960000000002</v>
      </c>
      <c r="P5698">
        <v>0.23893800000000001</v>
      </c>
      <c r="Q5698">
        <v>0.14256089999999999</v>
      </c>
      <c r="R5698">
        <v>-0.96051260000000005</v>
      </c>
      <c r="S5698">
        <v>1.77029399999999</v>
      </c>
      <c r="T5698">
        <v>-0.36110209999999998</v>
      </c>
      <c r="U5698">
        <v>-2.747223</v>
      </c>
      <c r="V5698">
        <v>-0.27338379999999901</v>
      </c>
      <c r="W5698">
        <v>0.1523813</v>
      </c>
      <c r="X5698">
        <v>0.94975849999999995</v>
      </c>
      <c r="Y5698">
        <v>-0.56805819999999996</v>
      </c>
      <c r="Z5698">
        <v>9.6837770000000004E-2</v>
      </c>
      <c r="AA5698">
        <v>0.81727130000000003</v>
      </c>
      <c r="AB5698">
        <v>31</v>
      </c>
      <c r="AC5698">
        <v>5.5129000000000001</v>
      </c>
      <c r="AD5698">
        <v>-1.1229066038969999</v>
      </c>
      <c r="AE5698">
        <v>-8.2381899999999906</v>
      </c>
      <c r="AF5698">
        <v>-5.7266394413090902</v>
      </c>
      <c r="AG5698">
        <v>-1.1229066038969999</v>
      </c>
      <c r="AH5698">
        <v>7.9367076239642902</v>
      </c>
      <c r="AI5698">
        <v>96.545170643048706</v>
      </c>
      <c r="AJ5698">
        <v>125.811895959037</v>
      </c>
      <c r="AK5698">
        <v>9.8512256313681803</v>
      </c>
      <c r="AL5698">
        <v>81.235048187208207</v>
      </c>
      <c r="AM5698">
        <v>106.058230998665</v>
      </c>
      <c r="AN5698">
        <v>0.99999998550718905</v>
      </c>
    </row>
    <row r="5699" spans="1:40" x14ac:dyDescent="0.25">
      <c r="A5699" t="str">
        <f>"20190303162933495"</f>
        <v>20190303162933495</v>
      </c>
      <c r="B5699" t="str">
        <f>"1551601773487420"</f>
        <v>1551601773487420</v>
      </c>
      <c r="C5699" t="s">
        <v>40</v>
      </c>
      <c r="D5699">
        <v>4.8589029999999998</v>
      </c>
      <c r="E5699">
        <v>0.36156290000000002</v>
      </c>
      <c r="F5699" t="s">
        <v>44</v>
      </c>
      <c r="G5699">
        <v>-301.39839999999998</v>
      </c>
      <c r="H5699">
        <v>1.0078180000000001</v>
      </c>
      <c r="I5699">
        <v>-39.301439999999999</v>
      </c>
      <c r="J5699">
        <v>-301.98160000000001</v>
      </c>
      <c r="K5699">
        <v>1.1231629999999999</v>
      </c>
      <c r="L5699">
        <v>-38.744869999999999</v>
      </c>
      <c r="M5699">
        <v>-3.2296180000000001E-2</v>
      </c>
      <c r="N5699">
        <v>-1.167729E-2</v>
      </c>
      <c r="O5699">
        <v>-0.99941020000000003</v>
      </c>
      <c r="P5699">
        <v>0.24823029999999999</v>
      </c>
      <c r="Q5699">
        <v>0.14061560000000001</v>
      </c>
      <c r="R5699">
        <v>-0.95844079999999998</v>
      </c>
      <c r="S5699">
        <v>1.7909849999999901</v>
      </c>
      <c r="T5699">
        <v>-0.35851939999999999</v>
      </c>
      <c r="U5699">
        <v>-2.7310180000000002</v>
      </c>
      <c r="V5699">
        <v>-0.27984910000000002</v>
      </c>
      <c r="W5699">
        <v>0.15023149999999999</v>
      </c>
      <c r="X5699">
        <v>0.94821670000000002</v>
      </c>
      <c r="Y5699">
        <v>-0.57218069999999999</v>
      </c>
      <c r="Z5699">
        <v>9.6234490000000006E-2</v>
      </c>
      <c r="AA5699">
        <v>0.81446189999999996</v>
      </c>
      <c r="AB5699">
        <v>31</v>
      </c>
      <c r="AC5699">
        <v>0.58320000000003303</v>
      </c>
      <c r="AD5699">
        <v>-0.115344999999999</v>
      </c>
      <c r="AE5699">
        <v>-0.55657000000000001</v>
      </c>
      <c r="AF5699">
        <v>-0.58881787371518701</v>
      </c>
      <c r="AG5699">
        <v>-0.115344999999999</v>
      </c>
      <c r="AH5699">
        <v>0.52666149616953795</v>
      </c>
      <c r="AI5699">
        <v>98.306989238458698</v>
      </c>
      <c r="AJ5699">
        <v>138.189318619293</v>
      </c>
      <c r="AK5699">
        <v>0.79836288051174498</v>
      </c>
      <c r="AL5699">
        <v>81.359657150252502</v>
      </c>
      <c r="AM5699">
        <v>106.44301703095699</v>
      </c>
      <c r="AN5699">
        <v>0.99999996626097398</v>
      </c>
    </row>
    <row r="5700" spans="1:40" x14ac:dyDescent="0.25">
      <c r="A5700" t="str">
        <f>"20190303162933517"</f>
        <v>20190303162933517</v>
      </c>
      <c r="B5700" t="str">
        <f>"1551601773507916"</f>
        <v>1551601773507916</v>
      </c>
      <c r="C5700" t="s">
        <v>40</v>
      </c>
      <c r="D5700">
        <v>4.8544119999999999</v>
      </c>
      <c r="E5700">
        <v>0.36217909999999998</v>
      </c>
      <c r="F5700" t="s">
        <v>44</v>
      </c>
      <c r="G5700">
        <v>-301.42450000000002</v>
      </c>
      <c r="H5700">
        <v>1.0116229999999999</v>
      </c>
      <c r="I5700">
        <v>-39.57949</v>
      </c>
      <c r="J5700">
        <v>-301.98840000000001</v>
      </c>
      <c r="K5700">
        <v>1.1234360000000001</v>
      </c>
      <c r="L5700">
        <v>-39.055729999999997</v>
      </c>
      <c r="M5700">
        <v>-2.903116E-2</v>
      </c>
      <c r="N5700">
        <v>-1.1700220000000001E-2</v>
      </c>
      <c r="O5700">
        <v>-0.99951009999999996</v>
      </c>
      <c r="P5700">
        <v>0.25746439999999998</v>
      </c>
      <c r="Q5700">
        <v>0.13941210000000001</v>
      </c>
      <c r="R5700">
        <v>-0.95617810000000003</v>
      </c>
      <c r="S5700">
        <v>1.8115840000000001</v>
      </c>
      <c r="T5700">
        <v>-0.3627206</v>
      </c>
      <c r="U5700">
        <v>-2.7141109999999999</v>
      </c>
      <c r="V5700">
        <v>-0.28600569999999997</v>
      </c>
      <c r="W5700">
        <v>0.14880199999999999</v>
      </c>
      <c r="X5700">
        <v>0.9466038</v>
      </c>
      <c r="Y5700">
        <v>-0.57602940000000002</v>
      </c>
      <c r="Z5700">
        <v>9.7679790000000002E-2</v>
      </c>
      <c r="AA5700">
        <v>0.81157179999999995</v>
      </c>
      <c r="AB5700">
        <v>31</v>
      </c>
      <c r="AC5700">
        <v>0.56389999999998897</v>
      </c>
      <c r="AD5700">
        <v>-0.111813</v>
      </c>
      <c r="AE5700">
        <v>-0.523760000000002</v>
      </c>
      <c r="AF5700">
        <v>-0.56690277669130495</v>
      </c>
      <c r="AG5700">
        <v>-0.111813</v>
      </c>
      <c r="AH5700">
        <v>0.49668365835364298</v>
      </c>
      <c r="AI5700">
        <v>98.4383337638466</v>
      </c>
      <c r="AJ5700">
        <v>138.77724717640999</v>
      </c>
      <c r="AK5700">
        <v>0.76195509163261699</v>
      </c>
      <c r="AL5700">
        <v>81.442493120614799</v>
      </c>
      <c r="AM5700">
        <v>106.81160182367501</v>
      </c>
      <c r="AN5700">
        <v>1.0000000249054599</v>
      </c>
    </row>
    <row r="5701" spans="1:40" x14ac:dyDescent="0.25">
      <c r="A5701" t="str">
        <f>"20190303162933543"</f>
        <v>20190303162933543</v>
      </c>
      <c r="B5701" t="str">
        <f>"1551601773537196"</f>
        <v>1551601773537196</v>
      </c>
      <c r="C5701" t="s">
        <v>40</v>
      </c>
      <c r="D5701">
        <v>4.8759920000000001</v>
      </c>
      <c r="E5701">
        <v>0.36779119999999998</v>
      </c>
      <c r="F5701" t="s">
        <v>44</v>
      </c>
      <c r="G5701">
        <v>-301.44369999999998</v>
      </c>
      <c r="H5701">
        <v>1.0158689999999999</v>
      </c>
      <c r="I5701">
        <v>-39.857379999999999</v>
      </c>
      <c r="J5701">
        <v>-301.99450000000002</v>
      </c>
      <c r="K5701">
        <v>1.1237809999999999</v>
      </c>
      <c r="L5701">
        <v>-39.405180000000001</v>
      </c>
      <c r="M5701">
        <v>-2.4911889999999999E-2</v>
      </c>
      <c r="N5701">
        <v>-1.172863E-2</v>
      </c>
      <c r="O5701">
        <v>-0.99962090000000003</v>
      </c>
      <c r="P5701">
        <v>0.26772800000000002</v>
      </c>
      <c r="Q5701">
        <v>0.13795370000000001</v>
      </c>
      <c r="R5701">
        <v>-0.95356730000000001</v>
      </c>
      <c r="S5701">
        <v>1.8324579999999999</v>
      </c>
      <c r="T5701">
        <v>-0.36186740000000001</v>
      </c>
      <c r="U5701">
        <v>-2.6968380000000001</v>
      </c>
      <c r="V5701">
        <v>-0.29240749999999999</v>
      </c>
      <c r="W5701">
        <v>0.14706369999999999</v>
      </c>
      <c r="X5701">
        <v>0.94491800000000004</v>
      </c>
      <c r="Y5701">
        <v>-0.57937340000000004</v>
      </c>
      <c r="Z5701">
        <v>9.7648949999999998E-2</v>
      </c>
      <c r="AA5701">
        <v>0.80919169999999996</v>
      </c>
      <c r="AB5701">
        <v>31</v>
      </c>
      <c r="AC5701">
        <v>0.55080000000003704</v>
      </c>
      <c r="AD5701">
        <v>-0.10791199999999899</v>
      </c>
      <c r="AE5701">
        <v>-0.45219999999999699</v>
      </c>
      <c r="AF5701">
        <v>-0.54929990497832404</v>
      </c>
      <c r="AG5701">
        <v>-0.10791199999999899</v>
      </c>
      <c r="AH5701">
        <v>0.42851175421862697</v>
      </c>
      <c r="AI5701">
        <v>98.804930095328999</v>
      </c>
      <c r="AJ5701">
        <v>142.04201907050299</v>
      </c>
      <c r="AK5701">
        <v>0.70498064431353102</v>
      </c>
      <c r="AL5701">
        <v>81.543197786149406</v>
      </c>
      <c r="AM5701">
        <v>107.19482715305099</v>
      </c>
      <c r="AN5701">
        <v>0.99999995231896799</v>
      </c>
    </row>
    <row r="5702" spans="1:40" x14ac:dyDescent="0.25">
      <c r="A5702" t="str">
        <f>"20190303162933567"</f>
        <v>20190303162933567</v>
      </c>
      <c r="B5702" t="str">
        <f>"1551601773557691"</f>
        <v>1551601773557691</v>
      </c>
      <c r="C5702" t="s">
        <v>40</v>
      </c>
      <c r="D5702">
        <v>4.8654529999999996</v>
      </c>
      <c r="E5702">
        <v>0.36856299999999997</v>
      </c>
      <c r="F5702" t="s">
        <v>44</v>
      </c>
      <c r="G5702">
        <v>-301.4957</v>
      </c>
      <c r="H5702">
        <v>1.029083</v>
      </c>
      <c r="I5702">
        <v>-40.141620000000003</v>
      </c>
      <c r="J5702">
        <v>-301.9984</v>
      </c>
      <c r="K5702">
        <v>1.124139</v>
      </c>
      <c r="L5702">
        <v>-39.744570000000003</v>
      </c>
      <c r="M5702">
        <v>-2.0363289999999999E-2</v>
      </c>
      <c r="N5702">
        <v>-1.175933E-2</v>
      </c>
      <c r="O5702">
        <v>-0.99972360000000005</v>
      </c>
      <c r="P5702">
        <v>0.27744560000000001</v>
      </c>
      <c r="Q5702">
        <v>0.1370478</v>
      </c>
      <c r="R5702">
        <v>-0.95091630000000005</v>
      </c>
      <c r="S5702">
        <v>1.818878</v>
      </c>
      <c r="T5702">
        <v>-0.34531060000000002</v>
      </c>
      <c r="U5702">
        <v>-2.6853639999999999</v>
      </c>
      <c r="V5702">
        <v>-0.29788320000000001</v>
      </c>
      <c r="W5702">
        <v>0.145867</v>
      </c>
      <c r="X5702">
        <v>0.94339200000000001</v>
      </c>
      <c r="Y5702">
        <v>-0.57471909999999904</v>
      </c>
      <c r="Z5702">
        <v>9.3397359999999999E-2</v>
      </c>
      <c r="AA5702">
        <v>0.813003699999999</v>
      </c>
      <c r="AB5702">
        <v>31</v>
      </c>
      <c r="AC5702">
        <v>0.50270000000000403</v>
      </c>
      <c r="AD5702">
        <v>-9.5056000000000002E-2</v>
      </c>
      <c r="AE5702">
        <v>-0.39705000000000001</v>
      </c>
      <c r="AF5702">
        <v>-0.499679099785164</v>
      </c>
      <c r="AG5702">
        <v>-9.5056000000000002E-2</v>
      </c>
      <c r="AH5702">
        <v>0.37839835953383899</v>
      </c>
      <c r="AI5702">
        <v>98.623508242517204</v>
      </c>
      <c r="AJ5702">
        <v>142.863981461257</v>
      </c>
      <c r="AK5702">
        <v>0.63395596408268995</v>
      </c>
      <c r="AL5702">
        <v>81.612511748685705</v>
      </c>
      <c r="AM5702">
        <v>107.523908077001</v>
      </c>
      <c r="AN5702">
        <v>1.0000000240976099</v>
      </c>
    </row>
    <row r="5703" spans="1:40" x14ac:dyDescent="0.25">
      <c r="A5703" t="str">
        <f>"20190303162933599"</f>
        <v>20190303162933599</v>
      </c>
      <c r="B5703" t="str">
        <f>"1551601773587948"</f>
        <v>1551601773587948</v>
      </c>
      <c r="C5703" t="s">
        <v>40</v>
      </c>
      <c r="D5703">
        <v>4.8773679999999997</v>
      </c>
      <c r="E5703">
        <v>0.36772050000000001</v>
      </c>
      <c r="F5703" t="s">
        <v>57</v>
      </c>
      <c r="G5703">
        <v>-295.93110000000001</v>
      </c>
      <c r="H5703" s="1">
        <v>-5.654048E-6</v>
      </c>
      <c r="I5703">
        <v>-48.536380000000001</v>
      </c>
      <c r="J5703">
        <v>-302.00029999999998</v>
      </c>
      <c r="K5703">
        <v>1.124625</v>
      </c>
      <c r="L5703">
        <v>-40.197270000000003</v>
      </c>
      <c r="M5703">
        <v>-1.353788E-2</v>
      </c>
      <c r="N5703">
        <v>-1.180287E-2</v>
      </c>
      <c r="O5703">
        <v>-0.99983889999999997</v>
      </c>
      <c r="P5703">
        <v>0.29147899999999999</v>
      </c>
      <c r="Q5703">
        <v>0.13505010000000001</v>
      </c>
      <c r="R5703">
        <v>-0.94699619999999995</v>
      </c>
      <c r="S5703">
        <v>1.8405149999999999</v>
      </c>
      <c r="T5703">
        <v>-0.3410087</v>
      </c>
      <c r="U5703">
        <v>-2.666992</v>
      </c>
      <c r="V5703">
        <v>-0.30555919999999998</v>
      </c>
      <c r="W5703">
        <v>0.1434626</v>
      </c>
      <c r="X5703">
        <v>0.94130340000000001</v>
      </c>
      <c r="Y5703">
        <v>-0.57628040000000003</v>
      </c>
      <c r="Z5703">
        <v>9.2411060000000003E-2</v>
      </c>
      <c r="AA5703">
        <v>0.81201049999999997</v>
      </c>
      <c r="AB5703">
        <v>31</v>
      </c>
      <c r="AC5703">
        <v>6.0691999999999604</v>
      </c>
      <c r="AD5703">
        <v>-1.124630654048</v>
      </c>
      <c r="AE5703">
        <v>-8.3391099999999891</v>
      </c>
      <c r="AF5703">
        <v>-6.1089113999159101</v>
      </c>
      <c r="AG5703">
        <v>-1.124630654048</v>
      </c>
      <c r="AH5703">
        <v>8.1591646285291493</v>
      </c>
      <c r="AI5703">
        <v>96.296379527581394</v>
      </c>
      <c r="AJ5703">
        <v>126.822849568848</v>
      </c>
      <c r="AK5703">
        <v>10.254538509142501</v>
      </c>
      <c r="AL5703">
        <v>81.751738254389707</v>
      </c>
      <c r="AM5703">
        <v>107.984097542651</v>
      </c>
      <c r="AN5703">
        <v>1.0000000165774701</v>
      </c>
    </row>
    <row r="5704" spans="1:40" x14ac:dyDescent="0.25">
      <c r="A5704" t="str">
        <f>"20190303162933627"</f>
        <v>20190303162933627</v>
      </c>
      <c r="B5704" t="str">
        <f>"1551601773618203"</f>
        <v>1551601773618203</v>
      </c>
      <c r="C5704" t="s">
        <v>40</v>
      </c>
      <c r="D5704">
        <v>4.8365210000000003</v>
      </c>
      <c r="E5704">
        <v>0.36712850000000002</v>
      </c>
      <c r="F5704" t="s">
        <v>44</v>
      </c>
      <c r="G5704">
        <v>-301.45519999999999</v>
      </c>
      <c r="H5704">
        <v>1.0306340000000001</v>
      </c>
      <c r="I5704">
        <v>-40.957340000000002</v>
      </c>
      <c r="J5704">
        <v>-301.99889999999999</v>
      </c>
      <c r="K5704">
        <v>1.125005</v>
      </c>
      <c r="L5704">
        <v>-40.575069999999997</v>
      </c>
      <c r="M5704">
        <v>-7.2160509999999898E-3</v>
      </c>
      <c r="N5704">
        <v>-1.1837769999999999E-2</v>
      </c>
      <c r="O5704">
        <v>-0.99990400000000002</v>
      </c>
      <c r="P5704">
        <v>0.30182969999999998</v>
      </c>
      <c r="Q5704">
        <v>0.1355286</v>
      </c>
      <c r="R5704">
        <v>-0.94367959999999995</v>
      </c>
      <c r="S5704">
        <v>1.8881840000000001</v>
      </c>
      <c r="T5704">
        <v>-0.32562200000000002</v>
      </c>
      <c r="U5704">
        <v>-2.6331790000000002</v>
      </c>
      <c r="V5704">
        <v>-0.31005480000000002</v>
      </c>
      <c r="W5704">
        <v>0.14363199999999901</v>
      </c>
      <c r="X5704">
        <v>0.93980629999999998</v>
      </c>
      <c r="Y5704">
        <v>-0.58597600000000005</v>
      </c>
      <c r="Z5704">
        <v>8.7949219999999995E-2</v>
      </c>
      <c r="AA5704">
        <v>0.80554150000000002</v>
      </c>
      <c r="AB5704">
        <v>31</v>
      </c>
      <c r="AC5704">
        <v>0.54370000000000096</v>
      </c>
      <c r="AD5704">
        <v>-9.4370999999999899E-2</v>
      </c>
      <c r="AE5704">
        <v>-0.382269999999998</v>
      </c>
      <c r="AF5704">
        <v>-0.53564541079971095</v>
      </c>
      <c r="AG5704">
        <v>-9.4370999999999899E-2</v>
      </c>
      <c r="AH5704">
        <v>0.37085953498178398</v>
      </c>
      <c r="AI5704">
        <v>98.242069902058404</v>
      </c>
      <c r="AJ5704">
        <v>145.30281487371201</v>
      </c>
      <c r="AK5704">
        <v>0.65829984538863195</v>
      </c>
      <c r="AL5704">
        <v>81.741930689762697</v>
      </c>
      <c r="AM5704">
        <v>108.258421239873</v>
      </c>
      <c r="AN5704">
        <v>1.00000000597336</v>
      </c>
    </row>
    <row r="5705" spans="1:40" x14ac:dyDescent="0.25">
      <c r="A5705" t="str">
        <f>"20190303162933652"</f>
        <v>20190303162933652</v>
      </c>
      <c r="B5705" t="str">
        <f>"1551601773647917"</f>
        <v>1551601773647917</v>
      </c>
      <c r="C5705" t="s">
        <v>40</v>
      </c>
      <c r="D5705">
        <v>4.868665</v>
      </c>
      <c r="E5705">
        <v>0.36679319999999999</v>
      </c>
      <c r="F5705" t="s">
        <v>57</v>
      </c>
      <c r="G5705">
        <v>-295.20940000000002</v>
      </c>
      <c r="H5705" s="1">
        <v>-6.2432319999999998E-6</v>
      </c>
      <c r="I5705">
        <v>-49.795360000000002</v>
      </c>
      <c r="J5705">
        <v>-301.99489999999997</v>
      </c>
      <c r="K5705">
        <v>1.1253610000000001</v>
      </c>
      <c r="L5705">
        <v>-40.919739999999997</v>
      </c>
      <c r="M5705">
        <v>-8.9447720000000004E-4</v>
      </c>
      <c r="N5705">
        <v>-1.18713E-2</v>
      </c>
      <c r="O5705">
        <v>-0.99992919999999996</v>
      </c>
      <c r="P5705">
        <v>0.31368200000000002</v>
      </c>
      <c r="Q5705">
        <v>0.13658149999999999</v>
      </c>
      <c r="R5705">
        <v>-0.93965390000000004</v>
      </c>
      <c r="S5705">
        <v>1.9219360000000001</v>
      </c>
      <c r="T5705">
        <v>-0.31846400000000002</v>
      </c>
      <c r="U5705">
        <v>-2.6100460000000001</v>
      </c>
      <c r="V5705">
        <v>-0.31607849999999998</v>
      </c>
      <c r="W5705">
        <v>0.1443644</v>
      </c>
      <c r="X5705">
        <v>0.93768510000000005</v>
      </c>
      <c r="Y5705">
        <v>-0.59112889999999996</v>
      </c>
      <c r="Z5705">
        <v>8.5934640000000007E-2</v>
      </c>
      <c r="AA5705">
        <v>0.80198619999999898</v>
      </c>
      <c r="AB5705">
        <v>31</v>
      </c>
      <c r="AC5705">
        <v>6.7854999999999501</v>
      </c>
      <c r="AD5705">
        <v>-1.1253672432320001</v>
      </c>
      <c r="AE5705">
        <v>-8.8756199999999907</v>
      </c>
      <c r="AF5705">
        <v>-6.7252013018155798</v>
      </c>
      <c r="AG5705">
        <v>-1.1253672432320001</v>
      </c>
      <c r="AH5705">
        <v>8.7804578155939002</v>
      </c>
      <c r="AI5705">
        <v>95.809885838872106</v>
      </c>
      <c r="AJ5705">
        <v>127.449526433975</v>
      </c>
      <c r="AK5705">
        <v>11.1171589641196</v>
      </c>
      <c r="AL5705">
        <v>81.699525446848597</v>
      </c>
      <c r="AM5705">
        <v>108.62813043169</v>
      </c>
      <c r="AN5705">
        <v>1.0000000224558001</v>
      </c>
    </row>
    <row r="5706" spans="1:40" x14ac:dyDescent="0.25">
      <c r="A5706" t="str">
        <f>"20190303162933689"</f>
        <v>20190303162933689</v>
      </c>
      <c r="B5706" t="str">
        <f>"1551601773677196"</f>
        <v>1551601773677196</v>
      </c>
      <c r="C5706" t="s">
        <v>40</v>
      </c>
      <c r="D5706">
        <v>4.9650660000000002</v>
      </c>
      <c r="E5706">
        <v>0.3665484</v>
      </c>
      <c r="F5706" t="s">
        <v>57</v>
      </c>
      <c r="G5706">
        <v>-294.81959999999998</v>
      </c>
      <c r="H5706" s="1">
        <v>-9.0894729999999994E-6</v>
      </c>
      <c r="I5706">
        <v>-50.392490000000002</v>
      </c>
      <c r="J5706">
        <v>-301.98430000000002</v>
      </c>
      <c r="K5706">
        <v>1.125901</v>
      </c>
      <c r="L5706">
        <v>-41.430729999999997</v>
      </c>
      <c r="M5706">
        <v>9.3042149999999994E-3</v>
      </c>
      <c r="N5706">
        <v>-1.192528E-2</v>
      </c>
      <c r="O5706">
        <v>-0.99988580000000005</v>
      </c>
      <c r="P5706">
        <v>0.3320072</v>
      </c>
      <c r="Q5706">
        <v>0.14207069999999999</v>
      </c>
      <c r="R5706">
        <v>-0.93251660000000003</v>
      </c>
      <c r="S5706">
        <v>1.9572449999999999</v>
      </c>
      <c r="T5706">
        <v>-0.30697200000000002</v>
      </c>
      <c r="U5706">
        <v>-2.583923</v>
      </c>
      <c r="V5706">
        <v>-0.3251154</v>
      </c>
      <c r="W5706">
        <v>0.1493612</v>
      </c>
      <c r="X5706">
        <v>0.93380469999999904</v>
      </c>
      <c r="Y5706">
        <v>-0.59395880000000001</v>
      </c>
      <c r="Z5706">
        <v>8.2728969999999999E-2</v>
      </c>
      <c r="AA5706">
        <v>0.80023049999999996</v>
      </c>
      <c r="AB5706">
        <v>31</v>
      </c>
      <c r="AC5706">
        <v>7.16470000000003</v>
      </c>
      <c r="AD5706">
        <v>-1.1259100894730001</v>
      </c>
      <c r="AE5706">
        <v>-8.9617599999999999</v>
      </c>
      <c r="AF5706">
        <v>-7.01346625713101</v>
      </c>
      <c r="AG5706">
        <v>-1.1259100894730001</v>
      </c>
      <c r="AH5706">
        <v>8.9419331597067799</v>
      </c>
      <c r="AI5706">
        <v>95.658084389870098</v>
      </c>
      <c r="AJ5706">
        <v>128.10831217211799</v>
      </c>
      <c r="AK5706">
        <v>11.419919049719899</v>
      </c>
      <c r="AL5706">
        <v>81.4100910504947</v>
      </c>
      <c r="AM5706">
        <v>109.19618027033501</v>
      </c>
      <c r="AN5706">
        <v>1.0000000045623401</v>
      </c>
    </row>
    <row r="5707" spans="1:40" x14ac:dyDescent="0.25">
      <c r="A5707" t="str">
        <f>"20190303162933715"</f>
        <v>20190303162933715</v>
      </c>
      <c r="B5707" t="str">
        <f>"1551601773707452"</f>
        <v>1551601773707452</v>
      </c>
      <c r="C5707" t="s">
        <v>40</v>
      </c>
      <c r="D5707">
        <v>4.9706380000000001</v>
      </c>
      <c r="E5707">
        <v>0.36673499999999998</v>
      </c>
      <c r="F5707" t="s">
        <v>57</v>
      </c>
      <c r="G5707">
        <v>-293.97390000000001</v>
      </c>
      <c r="H5707" s="1">
        <v>-9.2550099999999993E-6</v>
      </c>
      <c r="I5707">
        <v>-51.559930000000001</v>
      </c>
      <c r="J5707">
        <v>-301.97280000000001</v>
      </c>
      <c r="K5707">
        <v>1.1262829999999999</v>
      </c>
      <c r="L5707">
        <v>-41.793370000000003</v>
      </c>
      <c r="M5707">
        <v>1.7191060000000001E-2</v>
      </c>
      <c r="N5707">
        <v>-1.196671E-2</v>
      </c>
      <c r="O5707">
        <v>-0.99978069999999997</v>
      </c>
      <c r="P5707">
        <v>0.3444198</v>
      </c>
      <c r="Q5707">
        <v>0.14432410000000001</v>
      </c>
      <c r="R5707">
        <v>-0.92765629999999999</v>
      </c>
      <c r="S5707">
        <v>2.0117799999999999</v>
      </c>
      <c r="T5707">
        <v>-0.28276859999999998</v>
      </c>
      <c r="U5707">
        <v>-2.5439150000000001</v>
      </c>
      <c r="V5707">
        <v>-0.33038309999999999</v>
      </c>
      <c r="W5707">
        <v>0.1512686</v>
      </c>
      <c r="X5707">
        <v>0.93164630000000004</v>
      </c>
      <c r="Y5707">
        <v>-0.60463699999999998</v>
      </c>
      <c r="Z5707">
        <v>7.5497599999999998E-2</v>
      </c>
      <c r="AA5707">
        <v>0.79291499999999904</v>
      </c>
      <c r="AB5707">
        <v>31</v>
      </c>
      <c r="AC5707">
        <v>7.9988999999999901</v>
      </c>
      <c r="AD5707">
        <v>-1.1262922550100001</v>
      </c>
      <c r="AE5707">
        <v>-9.7665599999999895</v>
      </c>
      <c r="AF5707">
        <v>-7.76797689806821</v>
      </c>
      <c r="AG5707">
        <v>-1.1262922550100001</v>
      </c>
      <c r="AH5707">
        <v>9.8244356220286004</v>
      </c>
      <c r="AI5707">
        <v>95.138656760816204</v>
      </c>
      <c r="AJ5707">
        <v>128.33268879606001</v>
      </c>
      <c r="AK5707">
        <v>12.5749566450147</v>
      </c>
      <c r="AL5707">
        <v>81.299549109873595</v>
      </c>
      <c r="AM5707">
        <v>109.525671290299</v>
      </c>
      <c r="AN5707">
        <v>1.0000000052076199</v>
      </c>
    </row>
    <row r="5708" spans="1:40" x14ac:dyDescent="0.25">
      <c r="A5708" t="str">
        <f>"20190303162933741"</f>
        <v>20190303162933741</v>
      </c>
      <c r="B5708" t="str">
        <f>"1551601773737709"</f>
        <v>1551601773737709</v>
      </c>
      <c r="C5708" t="s">
        <v>40</v>
      </c>
      <c r="D5708">
        <v>5.0509409999999999</v>
      </c>
      <c r="E5708">
        <v>0.36476930000000002</v>
      </c>
      <c r="F5708" t="s">
        <v>57</v>
      </c>
      <c r="G5708">
        <v>-293.54250000000002</v>
      </c>
      <c r="H5708" s="1">
        <v>-9.3373059999999993E-6</v>
      </c>
      <c r="I5708">
        <v>-52.174610000000001</v>
      </c>
      <c r="J5708">
        <v>-301.95850000000002</v>
      </c>
      <c r="K5708">
        <v>1.126641</v>
      </c>
      <c r="L5708">
        <v>-42.14893</v>
      </c>
      <c r="M5708">
        <v>2.5402000000000001E-2</v>
      </c>
      <c r="N5708">
        <v>-1.2008599999999999E-2</v>
      </c>
      <c r="O5708">
        <v>-0.99960539999999998</v>
      </c>
      <c r="P5708">
        <v>0.35756840000000001</v>
      </c>
      <c r="Q5708">
        <v>0.14560200000000001</v>
      </c>
      <c r="R5708">
        <v>-0.92246689999999998</v>
      </c>
      <c r="S5708">
        <v>2.0443419999999999</v>
      </c>
      <c r="T5708">
        <v>-0.2731229</v>
      </c>
      <c r="U5708">
        <v>-2.5174259999999999</v>
      </c>
      <c r="V5708">
        <v>-0.33613199999999999</v>
      </c>
      <c r="W5708">
        <v>0.15219089999999999</v>
      </c>
      <c r="X5708">
        <v>0.92943699999999996</v>
      </c>
      <c r="Y5708">
        <v>-0.60849889999999995</v>
      </c>
      <c r="Z5708">
        <v>7.2762259999999995E-2</v>
      </c>
      <c r="AA5708">
        <v>0.79021180000000002</v>
      </c>
      <c r="AB5708">
        <v>31</v>
      </c>
      <c r="AC5708">
        <v>8.4159999999999897</v>
      </c>
      <c r="AD5708">
        <v>-1.1266503373059999</v>
      </c>
      <c r="AE5708">
        <v>-10.0256799999999</v>
      </c>
      <c r="AF5708">
        <v>-8.0985974624976098</v>
      </c>
      <c r="AG5708">
        <v>-1.1266503373059999</v>
      </c>
      <c r="AH5708">
        <v>10.160968804128601</v>
      </c>
      <c r="AI5708">
        <v>94.955629261365004</v>
      </c>
      <c r="AJ5708">
        <v>128.555898275597</v>
      </c>
      <c r="AK5708">
        <v>13.042312252074</v>
      </c>
      <c r="AL5708">
        <v>81.246085856548206</v>
      </c>
      <c r="AM5708">
        <v>109.88258436829101</v>
      </c>
      <c r="AN5708">
        <v>0.99999996421790405</v>
      </c>
    </row>
    <row r="5709" spans="1:40" x14ac:dyDescent="0.25">
      <c r="A5709" t="str">
        <f>"20190303162933779"</f>
        <v>20190303162933779</v>
      </c>
      <c r="B5709" t="str">
        <f>"1551601773767964"</f>
        <v>1551601773767964</v>
      </c>
      <c r="C5709" t="s">
        <v>40</v>
      </c>
      <c r="D5709">
        <v>5.0608879999999896</v>
      </c>
      <c r="E5709">
        <v>0.33915089999999998</v>
      </c>
      <c r="F5709" t="s">
        <v>44</v>
      </c>
      <c r="G5709">
        <v>-301.36110000000002</v>
      </c>
      <c r="H5709">
        <v>1.0255810000000001</v>
      </c>
      <c r="I5709">
        <v>-42.860619999999997</v>
      </c>
      <c r="J5709">
        <v>-301.9314</v>
      </c>
      <c r="K5709">
        <v>1.1272009999999999</v>
      </c>
      <c r="L5709">
        <v>-42.660519999999998</v>
      </c>
      <c r="M5709">
        <v>3.8261110000000001E-2</v>
      </c>
      <c r="N5709">
        <v>-1.2078800000000001E-2</v>
      </c>
      <c r="O5709">
        <v>-0.99919480000000005</v>
      </c>
      <c r="P5709">
        <v>0.37769970000000003</v>
      </c>
      <c r="Q5709">
        <v>0.1454194</v>
      </c>
      <c r="R5709">
        <v>-0.91443770000000002</v>
      </c>
      <c r="S5709">
        <v>2.096069</v>
      </c>
      <c r="T5709">
        <v>-0.35440179999999999</v>
      </c>
      <c r="U5709">
        <v>-2.4956049999999999</v>
      </c>
      <c r="V5709">
        <v>-0.34475119999999998</v>
      </c>
      <c r="W5709">
        <v>0.1514501</v>
      </c>
      <c r="X5709">
        <v>0.926396</v>
      </c>
      <c r="Y5709">
        <v>-0.60993699999999995</v>
      </c>
      <c r="Z5709">
        <v>9.7599569999999997E-2</v>
      </c>
      <c r="AA5709">
        <v>0.78641669999999997</v>
      </c>
      <c r="AB5709">
        <v>31</v>
      </c>
      <c r="AC5709">
        <v>0.57029999999997405</v>
      </c>
      <c r="AD5709">
        <v>-0.10162</v>
      </c>
      <c r="AE5709">
        <v>-0.200100000000006</v>
      </c>
      <c r="AF5709">
        <v>-0.54676845210019198</v>
      </c>
      <c r="AG5709">
        <v>-0.10162</v>
      </c>
      <c r="AH5709">
        <v>0.215678084699998</v>
      </c>
      <c r="AI5709">
        <v>99.808955078255906</v>
      </c>
      <c r="AJ5709">
        <v>158.47276694008701</v>
      </c>
      <c r="AK5709">
        <v>0.59648922943494997</v>
      </c>
      <c r="AL5709">
        <v>81.289028986602005</v>
      </c>
      <c r="AM5709">
        <v>110.41236614105</v>
      </c>
      <c r="AN5709">
        <v>1.00000003575372</v>
      </c>
    </row>
    <row r="5710" spans="1:40" x14ac:dyDescent="0.25">
      <c r="A5710" t="str">
        <f>"20190303162933810"</f>
        <v>20190303162933810</v>
      </c>
      <c r="B5710" t="str">
        <f>"1551601773797245"</f>
        <v>1551601773797245</v>
      </c>
      <c r="C5710" t="s">
        <v>40</v>
      </c>
      <c r="D5710">
        <v>5.089099</v>
      </c>
      <c r="E5710">
        <v>0.33722380000000002</v>
      </c>
      <c r="F5710" t="s">
        <v>57</v>
      </c>
      <c r="G5710">
        <v>-295.19499999999999</v>
      </c>
      <c r="H5710" s="1">
        <v>-6.1358910000000004E-6</v>
      </c>
      <c r="I5710">
        <v>-49.505809999999997</v>
      </c>
      <c r="J5710">
        <v>-301.9024</v>
      </c>
      <c r="K5710">
        <v>1.1276459999999999</v>
      </c>
      <c r="L5710">
        <v>-43.094729999999998</v>
      </c>
      <c r="M5710">
        <v>5.0017249999999999E-2</v>
      </c>
      <c r="N5710">
        <v>-1.2144729999999999E-2</v>
      </c>
      <c r="O5710">
        <v>-0.99867459999999997</v>
      </c>
      <c r="P5710">
        <v>0.39141120000000001</v>
      </c>
      <c r="Q5710">
        <v>0.14309379999999999</v>
      </c>
      <c r="R5710">
        <v>-0.90902240000000001</v>
      </c>
      <c r="S5710">
        <v>2.3390200000000001</v>
      </c>
      <c r="T5710">
        <v>-0.39139089999999999</v>
      </c>
      <c r="U5710">
        <v>-2.3768310000000001</v>
      </c>
      <c r="V5710">
        <v>-0.3479024</v>
      </c>
      <c r="W5710">
        <v>0.14873979999999901</v>
      </c>
      <c r="X5710">
        <v>0.9256567</v>
      </c>
      <c r="Y5710">
        <v>-0.66046530000000003</v>
      </c>
      <c r="Z5710">
        <v>0.1068205</v>
      </c>
      <c r="AA5710">
        <v>0.74321930000000003</v>
      </c>
      <c r="AB5710">
        <v>31</v>
      </c>
      <c r="AC5710">
        <v>6.7073999999999998</v>
      </c>
      <c r="AD5710">
        <v>-1.1276521358910001</v>
      </c>
      <c r="AE5710">
        <v>-6.4110799999999903</v>
      </c>
      <c r="AF5710">
        <v>-6.28547637174879</v>
      </c>
      <c r="AG5710">
        <v>-1.1276521358910001</v>
      </c>
      <c r="AH5710">
        <v>6.6404823704596296</v>
      </c>
      <c r="AI5710">
        <v>97.030703673535996</v>
      </c>
      <c r="AJ5710">
        <v>133.42679108873099</v>
      </c>
      <c r="AK5710">
        <v>9.2127530451964805</v>
      </c>
      <c r="AL5710">
        <v>81.446096525553202</v>
      </c>
      <c r="AM5710">
        <v>110.598422856187</v>
      </c>
      <c r="AN5710">
        <v>0.99999996714234396</v>
      </c>
    </row>
    <row r="5711" spans="1:40" x14ac:dyDescent="0.25">
      <c r="A5711" t="str">
        <f>"20190303162933846"</f>
        <v>20190303162933846</v>
      </c>
      <c r="B5711" t="str">
        <f>"1551601773837260"</f>
        <v>1551601773837260</v>
      </c>
      <c r="C5711" t="s">
        <v>40</v>
      </c>
      <c r="D5711">
        <v>5.1648670000000001</v>
      </c>
      <c r="E5711">
        <v>0.33804119999999999</v>
      </c>
      <c r="F5711" t="s">
        <v>57</v>
      </c>
      <c r="G5711">
        <v>-295.38490000000002</v>
      </c>
      <c r="H5711" s="1">
        <v>-6.0931430000000003E-6</v>
      </c>
      <c r="I5711">
        <v>-49.47119</v>
      </c>
      <c r="J5711">
        <v>-301.86279999999999</v>
      </c>
      <c r="K5711">
        <v>1.128058</v>
      </c>
      <c r="L5711">
        <v>-43.58334</v>
      </c>
      <c r="M5711">
        <v>6.4060870000000006E-2</v>
      </c>
      <c r="N5711">
        <v>-1.2213669999999999E-2</v>
      </c>
      <c r="O5711">
        <v>-0.99787130000000002</v>
      </c>
      <c r="P5711">
        <v>0.41052159999999899</v>
      </c>
      <c r="Q5711">
        <v>0.13382529999999901</v>
      </c>
      <c r="R5711">
        <v>-0.90197740000000004</v>
      </c>
      <c r="S5711">
        <v>2.38855</v>
      </c>
      <c r="T5711">
        <v>-0.4132632</v>
      </c>
      <c r="U5711">
        <v>-2.3368530000000001</v>
      </c>
      <c r="V5711">
        <v>-0.35435119999999998</v>
      </c>
      <c r="W5711">
        <v>0.13901959999999999</v>
      </c>
      <c r="X5711">
        <v>0.92472089999999996</v>
      </c>
      <c r="Y5711">
        <v>-0.66347690000000004</v>
      </c>
      <c r="Z5711">
        <v>0.1136947</v>
      </c>
      <c r="AA5711">
        <v>0.7395079</v>
      </c>
      <c r="AB5711">
        <v>31</v>
      </c>
      <c r="AC5711">
        <v>6.4778999999999698</v>
      </c>
      <c r="AD5711">
        <v>-1.1280640931429999</v>
      </c>
      <c r="AE5711">
        <v>-5.8878500000000003</v>
      </c>
      <c r="AF5711">
        <v>-5.98794671910409</v>
      </c>
      <c r="AG5711">
        <v>-1.1280640931429999</v>
      </c>
      <c r="AH5711">
        <v>6.1880064009471498</v>
      </c>
      <c r="AI5711">
        <v>97.463518566943506</v>
      </c>
      <c r="AJ5711">
        <v>134.05867376765701</v>
      </c>
      <c r="AK5711">
        <v>8.6844376747853396</v>
      </c>
      <c r="AL5711">
        <v>82.008881152870302</v>
      </c>
      <c r="AM5711">
        <v>110.966732549198</v>
      </c>
      <c r="AN5711">
        <v>0.99999998251120403</v>
      </c>
    </row>
    <row r="5712" spans="1:40" x14ac:dyDescent="0.25">
      <c r="A5712" t="str">
        <f>"20190303162933875"</f>
        <v>20190303162933875</v>
      </c>
      <c r="B5712" t="str">
        <f>"1551601773867516"</f>
        <v>1551601773867516</v>
      </c>
      <c r="C5712" t="s">
        <v>40</v>
      </c>
      <c r="D5712">
        <v>5.1882739999999998</v>
      </c>
      <c r="E5712">
        <v>0.33957569999999998</v>
      </c>
      <c r="F5712" t="s">
        <v>57</v>
      </c>
      <c r="G5712">
        <v>-295.73700000000002</v>
      </c>
      <c r="H5712" s="1">
        <v>-5.9953120000000003E-6</v>
      </c>
      <c r="I5712">
        <v>-49.358020000000003</v>
      </c>
      <c r="J5712">
        <v>-301.82319999999999</v>
      </c>
      <c r="K5712">
        <v>1.128349</v>
      </c>
      <c r="L5712">
        <v>-43.994929999999997</v>
      </c>
      <c r="M5712">
        <v>7.6509460000000001E-2</v>
      </c>
      <c r="N5712">
        <v>-1.226766E-2</v>
      </c>
      <c r="O5712">
        <v>-0.99699329999999997</v>
      </c>
      <c r="P5712">
        <v>0.42632589999999998</v>
      </c>
      <c r="Q5712">
        <v>0.128468</v>
      </c>
      <c r="R5712">
        <v>-0.89540069999999905</v>
      </c>
      <c r="S5712">
        <v>2.4268800000000001</v>
      </c>
      <c r="T5712">
        <v>-0.44691029999999998</v>
      </c>
      <c r="U5712">
        <v>-2.2877809999999998</v>
      </c>
      <c r="V5712">
        <v>-0.35903659999999998</v>
      </c>
      <c r="W5712">
        <v>0.13333390000000001</v>
      </c>
      <c r="X5712">
        <v>0.92375039999999997</v>
      </c>
      <c r="Y5712">
        <v>-0.66692759999999995</v>
      </c>
      <c r="Z5712">
        <v>0.1245757</v>
      </c>
      <c r="AA5712">
        <v>0.73463489999999998</v>
      </c>
      <c r="AB5712">
        <v>31</v>
      </c>
      <c r="AC5712">
        <v>6.0861999999999599</v>
      </c>
      <c r="AD5712">
        <v>-1.128354995312</v>
      </c>
      <c r="AE5712">
        <v>-5.3630899999999997</v>
      </c>
      <c r="AF5712">
        <v>-5.5506067483291304</v>
      </c>
      <c r="AG5712">
        <v>-1.128354995312</v>
      </c>
      <c r="AH5712">
        <v>5.7027185443054398</v>
      </c>
      <c r="AI5712">
        <v>98.070074599192196</v>
      </c>
      <c r="AJ5712">
        <v>134.22557706648101</v>
      </c>
      <c r="AK5712">
        <v>8.0376252130593695</v>
      </c>
      <c r="AL5712">
        <v>82.337711619697401</v>
      </c>
      <c r="AM5712">
        <v>111.23974726176699</v>
      </c>
      <c r="AN5712">
        <v>1.00000000526446</v>
      </c>
    </row>
    <row r="5713" spans="1:40" x14ac:dyDescent="0.25">
      <c r="A5713" t="str">
        <f>"20190303162933898"</f>
        <v>20190303162933898</v>
      </c>
      <c r="B5713" t="str">
        <f>"1551601773888013"</f>
        <v>1551601773888013</v>
      </c>
      <c r="C5713" t="s">
        <v>40</v>
      </c>
      <c r="D5713">
        <v>5.2085610000000004</v>
      </c>
      <c r="E5713">
        <v>0.34073189999999998</v>
      </c>
      <c r="F5713" t="s">
        <v>57</v>
      </c>
      <c r="G5713">
        <v>-295.8039</v>
      </c>
      <c r="H5713" s="1">
        <v>-6.0422600000000003E-6</v>
      </c>
      <c r="I5713">
        <v>-49.509689999999999</v>
      </c>
      <c r="J5713">
        <v>-301.7903</v>
      </c>
      <c r="K5713">
        <v>1.128525</v>
      </c>
      <c r="L5713">
        <v>-44.301180000000002</v>
      </c>
      <c r="M5713">
        <v>8.6053480000000002E-2</v>
      </c>
      <c r="N5713">
        <v>-1.230498E-2</v>
      </c>
      <c r="O5713">
        <v>-0.99621470000000001</v>
      </c>
      <c r="P5713">
        <v>0.44010700000000003</v>
      </c>
      <c r="Q5713">
        <v>0.1232164</v>
      </c>
      <c r="R5713">
        <v>-0.8894514</v>
      </c>
      <c r="S5713">
        <v>2.4537960000000001</v>
      </c>
      <c r="T5713">
        <v>-0.45998359999999999</v>
      </c>
      <c r="U5713">
        <v>-2.248138</v>
      </c>
      <c r="V5713">
        <v>-0.36437170000000002</v>
      </c>
      <c r="W5713">
        <v>0.12781400000000001</v>
      </c>
      <c r="X5713">
        <v>0.9224407</v>
      </c>
      <c r="Y5713">
        <v>-0.66983000000000004</v>
      </c>
      <c r="Z5713">
        <v>0.129246</v>
      </c>
      <c r="AA5713">
        <v>0.73117940000000003</v>
      </c>
      <c r="AB5713">
        <v>31</v>
      </c>
      <c r="AC5713">
        <v>5.9863999999999997</v>
      </c>
      <c r="AD5713">
        <v>-1.1285310422599999</v>
      </c>
      <c r="AE5713">
        <v>-5.2085099999999898</v>
      </c>
      <c r="AF5713">
        <v>-5.40658875844239</v>
      </c>
      <c r="AG5713">
        <v>-1.1285310422599999</v>
      </c>
      <c r="AH5713">
        <v>5.5912827620369097</v>
      </c>
      <c r="AI5713">
        <v>98.255834150785702</v>
      </c>
      <c r="AJ5713">
        <v>134.03788726385901</v>
      </c>
      <c r="AK5713">
        <v>7.85921288942545</v>
      </c>
      <c r="AL5713">
        <v>82.656710062196396</v>
      </c>
      <c r="AM5713">
        <v>111.55442953007901</v>
      </c>
      <c r="AN5713">
        <v>0.99999999968668996</v>
      </c>
    </row>
    <row r="5714" spans="1:40" x14ac:dyDescent="0.25">
      <c r="A5714" t="str">
        <f>"20190303162933921"</f>
        <v>20190303162933921</v>
      </c>
      <c r="B5714" t="str">
        <f>"1551601773917292"</f>
        <v>1551601773917292</v>
      </c>
      <c r="C5714" t="s">
        <v>40</v>
      </c>
      <c r="D5714">
        <v>5.2391680000000003</v>
      </c>
      <c r="E5714">
        <v>0.35324699999999998</v>
      </c>
      <c r="F5714" t="s">
        <v>57</v>
      </c>
      <c r="G5714">
        <v>-295.91849999999999</v>
      </c>
      <c r="H5714" s="1">
        <v>-6.0381849999999999E-6</v>
      </c>
      <c r="I5714">
        <v>-49.546210000000002</v>
      </c>
      <c r="J5714">
        <v>-301.75389999999999</v>
      </c>
      <c r="K5714">
        <v>1.1287</v>
      </c>
      <c r="L5714">
        <v>-44.60962</v>
      </c>
      <c r="M5714">
        <v>9.5913070000000003E-2</v>
      </c>
      <c r="N5714">
        <v>-1.234187E-2</v>
      </c>
      <c r="O5714">
        <v>-0.99531320000000001</v>
      </c>
      <c r="P5714">
        <v>0.45461279999999998</v>
      </c>
      <c r="Q5714">
        <v>0.1191581</v>
      </c>
      <c r="R5714">
        <v>-0.88268259999999898</v>
      </c>
      <c r="S5714">
        <v>2.477417</v>
      </c>
      <c r="T5714">
        <v>-0.47614909999999999</v>
      </c>
      <c r="U5714">
        <v>-2.2129819999999998</v>
      </c>
      <c r="V5714">
        <v>-0.37027880000000002</v>
      </c>
      <c r="W5714">
        <v>0.12347180000000001</v>
      </c>
      <c r="X5714">
        <v>0.9206782</v>
      </c>
      <c r="Y5714">
        <v>-0.67118699999999998</v>
      </c>
      <c r="Z5714">
        <v>0.13483020000000001</v>
      </c>
      <c r="AA5714">
        <v>0.72892309999999905</v>
      </c>
      <c r="AB5714">
        <v>31</v>
      </c>
      <c r="AC5714">
        <v>5.8353999999999902</v>
      </c>
      <c r="AD5714">
        <v>-1.128706038185</v>
      </c>
      <c r="AE5714">
        <v>-4.93658999999999</v>
      </c>
      <c r="AF5714">
        <v>-5.2211189516670498</v>
      </c>
      <c r="AG5714">
        <v>-1.128706038185</v>
      </c>
      <c r="AH5714">
        <v>5.3567490576847998</v>
      </c>
      <c r="AI5714">
        <v>98.5806603371487</v>
      </c>
      <c r="AJ5714">
        <v>134.26539007497101</v>
      </c>
      <c r="AK5714">
        <v>7.5649732911028202</v>
      </c>
      <c r="AL5714">
        <v>82.907487364699904</v>
      </c>
      <c r="AM5714">
        <v>111.909028680162</v>
      </c>
      <c r="AN5714">
        <v>1.0000000115399501</v>
      </c>
    </row>
    <row r="5715" spans="1:40" x14ac:dyDescent="0.25">
      <c r="A5715" t="str">
        <f>"20190303162933945"</f>
        <v>20190303162933945</v>
      </c>
      <c r="B5715" t="str">
        <f>"1551601773937788"</f>
        <v>1551601773937788</v>
      </c>
      <c r="C5715" t="s">
        <v>40</v>
      </c>
      <c r="D5715">
        <v>5.2942019999999896</v>
      </c>
      <c r="E5715">
        <v>0.35471340000000001</v>
      </c>
      <c r="F5715" t="s">
        <v>57</v>
      </c>
      <c r="G5715">
        <v>-295.6207</v>
      </c>
      <c r="H5715" s="1">
        <v>-6.3374310000000003E-6</v>
      </c>
      <c r="I5715">
        <v>-50.213999999999999</v>
      </c>
      <c r="J5715">
        <v>-301.71199999999999</v>
      </c>
      <c r="K5715">
        <v>1.1288819999999999</v>
      </c>
      <c r="L5715">
        <v>-44.935029999999998</v>
      </c>
      <c r="M5715">
        <v>0.1065822</v>
      </c>
      <c r="N5715">
        <v>-1.238245E-2</v>
      </c>
      <c r="O5715">
        <v>-0.99422690000000002</v>
      </c>
      <c r="P5715">
        <v>0.4695918</v>
      </c>
      <c r="Q5715">
        <v>0.1155307</v>
      </c>
      <c r="R5715">
        <v>-0.87529239999999997</v>
      </c>
      <c r="S5715">
        <v>2.4208069999999999</v>
      </c>
      <c r="T5715">
        <v>-0.4455037</v>
      </c>
      <c r="U5715">
        <v>-2.2120669999999998</v>
      </c>
      <c r="V5715">
        <v>-0.3760406</v>
      </c>
      <c r="W5715">
        <v>0.119551</v>
      </c>
      <c r="X5715">
        <v>0.91885850000000002</v>
      </c>
      <c r="Y5715">
        <v>-0.65565209999999996</v>
      </c>
      <c r="Z5715">
        <v>0.12755419999999901</v>
      </c>
      <c r="AA5715">
        <v>0.74421119999999996</v>
      </c>
      <c r="AB5715">
        <v>31</v>
      </c>
      <c r="AC5715">
        <v>6.0912999999999897</v>
      </c>
      <c r="AD5715">
        <v>-1.1288883374309999</v>
      </c>
      <c r="AE5715">
        <v>-5.2789700000000002</v>
      </c>
      <c r="AF5715">
        <v>-5.38822286136668</v>
      </c>
      <c r="AG5715">
        <v>-1.1288883374309999</v>
      </c>
      <c r="AH5715">
        <v>5.7847050261820998</v>
      </c>
      <c r="AI5715">
        <v>98.126847783260899</v>
      </c>
      <c r="AJ5715">
        <v>132.967656577128</v>
      </c>
      <c r="AK5715">
        <v>7.9856212483487301</v>
      </c>
      <c r="AL5715">
        <v>83.133809484134105</v>
      </c>
      <c r="AM5715">
        <v>112.256711974656</v>
      </c>
      <c r="AN5715">
        <v>0.99999995873580405</v>
      </c>
    </row>
    <row r="5716" spans="1:40" x14ac:dyDescent="0.25">
      <c r="A5716" t="str">
        <f>"20190303162933979"</f>
        <v>20190303162933979</v>
      </c>
      <c r="B5716" t="str">
        <f>"1551601773968045"</f>
        <v>1551601773968045</v>
      </c>
      <c r="C5716" t="s">
        <v>40</v>
      </c>
      <c r="D5716">
        <v>5.3342289999999997</v>
      </c>
      <c r="E5716">
        <v>0.35698859999999999</v>
      </c>
      <c r="F5716" t="s">
        <v>57</v>
      </c>
      <c r="G5716">
        <v>-295.5677</v>
      </c>
      <c r="H5716" s="1">
        <v>-8.8266600000000003E-6</v>
      </c>
      <c r="I5716">
        <v>-50.394689999999997</v>
      </c>
      <c r="J5716">
        <v>-301.64339999999999</v>
      </c>
      <c r="K5716">
        <v>1.129138</v>
      </c>
      <c r="L5716">
        <v>-45.412410000000001</v>
      </c>
      <c r="M5716">
        <v>0.1226835</v>
      </c>
      <c r="N5716">
        <v>-1.2443259999999999E-2</v>
      </c>
      <c r="O5716">
        <v>-0.99236800000000003</v>
      </c>
      <c r="P5716">
        <v>0.4906838</v>
      </c>
      <c r="Q5716">
        <v>0.1091254</v>
      </c>
      <c r="R5716">
        <v>-0.86447759999999996</v>
      </c>
      <c r="S5716">
        <v>2.4467469999999998</v>
      </c>
      <c r="T5716">
        <v>-0.4495382</v>
      </c>
      <c r="U5716">
        <v>-2.1741030000000001</v>
      </c>
      <c r="V5716">
        <v>-0.38329039999999998</v>
      </c>
      <c r="W5716">
        <v>0.1127476</v>
      </c>
      <c r="X5716">
        <v>0.91672039999999999</v>
      </c>
      <c r="Y5716">
        <v>-0.65364840000000002</v>
      </c>
      <c r="Z5716">
        <v>0.12964100000000001</v>
      </c>
      <c r="AA5716">
        <v>0.74561180000000005</v>
      </c>
      <c r="AB5716">
        <v>31</v>
      </c>
      <c r="AC5716">
        <v>6.0756999999999799</v>
      </c>
      <c r="AD5716">
        <v>-1.12914682666</v>
      </c>
      <c r="AE5716">
        <v>-4.9822800000000003</v>
      </c>
      <c r="AF5716">
        <v>-5.30886873005797</v>
      </c>
      <c r="AG5716">
        <v>-1.12914682666</v>
      </c>
      <c r="AH5716">
        <v>5.5749513520721896</v>
      </c>
      <c r="AI5716">
        <v>98.344325257357696</v>
      </c>
      <c r="AJ5716">
        <v>133.59953812968999</v>
      </c>
      <c r="AK5716">
        <v>7.7806903502912403</v>
      </c>
      <c r="AL5716">
        <v>83.526272443606899</v>
      </c>
      <c r="AM5716">
        <v>112.690315527015</v>
      </c>
      <c r="AN5716">
        <v>0.99999992190703701</v>
      </c>
    </row>
    <row r="5717" spans="1:40" x14ac:dyDescent="0.25">
      <c r="A5717" t="str">
        <f>"20190303162934007"</f>
        <v>20190303162934007</v>
      </c>
      <c r="B5717" t="str">
        <f>"1551601773998301"</f>
        <v>1551601773998301</v>
      </c>
      <c r="C5717" t="s">
        <v>40</v>
      </c>
      <c r="D5717">
        <v>5.3032500000000002</v>
      </c>
      <c r="E5717">
        <v>0.36334909999999998</v>
      </c>
      <c r="F5717" t="s">
        <v>57</v>
      </c>
      <c r="G5717">
        <v>-295.36880000000002</v>
      </c>
      <c r="H5717" s="1">
        <v>-8.8567269999999999E-6</v>
      </c>
      <c r="I5717">
        <v>-50.747920000000001</v>
      </c>
      <c r="J5717">
        <v>-301.58460000000002</v>
      </c>
      <c r="K5717">
        <v>1.1293299999999999</v>
      </c>
      <c r="L5717">
        <v>-45.781619999999997</v>
      </c>
      <c r="M5717">
        <v>0.1354437</v>
      </c>
      <c r="N5717">
        <v>-1.248607E-2</v>
      </c>
      <c r="O5717">
        <v>-0.99070630000000004</v>
      </c>
      <c r="P5717">
        <v>0.50374759999999996</v>
      </c>
      <c r="Q5717">
        <v>0.1065889</v>
      </c>
      <c r="R5717">
        <v>-0.85724979999999995</v>
      </c>
      <c r="S5717">
        <v>2.4872740000000002</v>
      </c>
      <c r="T5717">
        <v>-0.44759919999999997</v>
      </c>
      <c r="U5717">
        <v>-2.115021</v>
      </c>
      <c r="V5717">
        <v>-0.38537110000000002</v>
      </c>
      <c r="W5717">
        <v>0.1100043</v>
      </c>
      <c r="X5717">
        <v>0.91618129999999998</v>
      </c>
      <c r="Y5717">
        <v>-0.6601591</v>
      </c>
      <c r="Z5717">
        <v>0.1299544</v>
      </c>
      <c r="AA5717">
        <v>0.73979849999999903</v>
      </c>
      <c r="AB5717">
        <v>31</v>
      </c>
      <c r="AC5717">
        <v>6.2157999999999998</v>
      </c>
      <c r="AD5717">
        <v>-1.129338856727</v>
      </c>
      <c r="AE5717">
        <v>-4.9662999999999897</v>
      </c>
      <c r="AF5717">
        <v>-5.3774584418004201</v>
      </c>
      <c r="AG5717">
        <v>-1.129338856727</v>
      </c>
      <c r="AH5717">
        <v>5.64867293835142</v>
      </c>
      <c r="AI5717">
        <v>98.239466888916994</v>
      </c>
      <c r="AJ5717">
        <v>133.59095519230399</v>
      </c>
      <c r="AK5717">
        <v>7.8803535143461501</v>
      </c>
      <c r="AL5717">
        <v>83.684436571015098</v>
      </c>
      <c r="AM5717">
        <v>112.81296352167099</v>
      </c>
      <c r="AN5717">
        <v>1.00000000260169</v>
      </c>
    </row>
    <row r="5718" spans="1:40" x14ac:dyDescent="0.25">
      <c r="A5718" t="str">
        <f>"20190303162934031"</f>
        <v>20190303162934031</v>
      </c>
      <c r="B5718" t="str">
        <f>"1551601774027581"</f>
        <v>1551601774027581</v>
      </c>
      <c r="C5718" t="s">
        <v>40</v>
      </c>
      <c r="D5718">
        <v>5.323385</v>
      </c>
      <c r="E5718">
        <v>0.36309960000000002</v>
      </c>
      <c r="F5718" t="s">
        <v>57</v>
      </c>
      <c r="G5718">
        <v>-294.55410000000001</v>
      </c>
      <c r="H5718" s="1">
        <v>-9.0324619999999997E-6</v>
      </c>
      <c r="I5718">
        <v>-51.727890000000002</v>
      </c>
      <c r="J5718">
        <v>-301.5283</v>
      </c>
      <c r="K5718">
        <v>1.1295010000000001</v>
      </c>
      <c r="L5718">
        <v>-46.107909999999997</v>
      </c>
      <c r="M5718">
        <v>0.14696529999999899</v>
      </c>
      <c r="N5718">
        <v>-1.252297E-2</v>
      </c>
      <c r="O5718">
        <v>-0.98906249999999996</v>
      </c>
      <c r="P5718">
        <v>0.514378</v>
      </c>
      <c r="Q5718">
        <v>0.1048433</v>
      </c>
      <c r="R5718">
        <v>-0.85113069999999902</v>
      </c>
      <c r="S5718">
        <v>2.4759220000000002</v>
      </c>
      <c r="T5718">
        <v>-0.39771699999999999</v>
      </c>
      <c r="U5718">
        <v>-2.0940859999999999</v>
      </c>
      <c r="V5718">
        <v>-0.3860904</v>
      </c>
      <c r="W5718">
        <v>0.10811030000000001</v>
      </c>
      <c r="X5718">
        <v>0.91610400000000003</v>
      </c>
      <c r="Y5718">
        <v>-0.65481789999999995</v>
      </c>
      <c r="Z5718">
        <v>0.1155293</v>
      </c>
      <c r="AA5718">
        <v>0.74690459999999903</v>
      </c>
      <c r="AB5718">
        <v>31</v>
      </c>
      <c r="AC5718">
        <v>6.97419999999999</v>
      </c>
      <c r="AD5718">
        <v>-1.129510032462</v>
      </c>
      <c r="AE5718">
        <v>-5.61998</v>
      </c>
      <c r="AF5718">
        <v>-5.97739480861489</v>
      </c>
      <c r="AG5718">
        <v>-1.129510032462</v>
      </c>
      <c r="AH5718">
        <v>6.4809264390417001</v>
      </c>
      <c r="AI5718">
        <v>97.300531869513605</v>
      </c>
      <c r="AJ5718">
        <v>132.68551937515599</v>
      </c>
      <c r="AK5718">
        <v>8.8886134531634493</v>
      </c>
      <c r="AL5718">
        <v>83.793606460655695</v>
      </c>
      <c r="AM5718">
        <v>112.852903828801</v>
      </c>
      <c r="AN5718">
        <v>1.0000000863771199</v>
      </c>
    </row>
    <row r="5719" spans="1:40" x14ac:dyDescent="0.25">
      <c r="A5719" t="str">
        <f>"20190303162934053"</f>
        <v>20190303162934053</v>
      </c>
      <c r="B5719" t="str">
        <f>"1551601774048077"</f>
        <v>1551601774048077</v>
      </c>
      <c r="C5719" t="s">
        <v>40</v>
      </c>
      <c r="D5719">
        <v>5.3123149999999999</v>
      </c>
      <c r="E5719">
        <v>0.33347539999999998</v>
      </c>
      <c r="F5719" t="s">
        <v>57</v>
      </c>
      <c r="G5719">
        <v>-294.42290000000003</v>
      </c>
      <c r="H5719" s="1">
        <v>-9.0536659999999997E-6</v>
      </c>
      <c r="I5719">
        <v>-51.948889999999999</v>
      </c>
      <c r="J5719">
        <v>-301.47370000000001</v>
      </c>
      <c r="K5719">
        <v>1.1296310000000001</v>
      </c>
      <c r="L5719">
        <v>-46.403869999999998</v>
      </c>
      <c r="M5719">
        <v>0.1575809</v>
      </c>
      <c r="N5719">
        <v>-1.255646E-2</v>
      </c>
      <c r="O5719">
        <v>-0.98742649999999998</v>
      </c>
      <c r="P5719">
        <v>0.52355470000000004</v>
      </c>
      <c r="Q5719">
        <v>0.1019586</v>
      </c>
      <c r="R5719">
        <v>-0.84586949999999905</v>
      </c>
      <c r="S5719">
        <v>2.5054630000000002</v>
      </c>
      <c r="T5719">
        <v>-0.39827869999999999</v>
      </c>
      <c r="U5719">
        <v>-2.0596009999999998</v>
      </c>
      <c r="V5719">
        <v>-0.38608110000000001</v>
      </c>
      <c r="W5719">
        <v>0.1051209</v>
      </c>
      <c r="X5719">
        <v>0.91645569999999998</v>
      </c>
      <c r="Y5719">
        <v>-0.65715409999999996</v>
      </c>
      <c r="Z5719">
        <v>0.11604780000000001</v>
      </c>
      <c r="AA5719">
        <v>0.74476929999999997</v>
      </c>
      <c r="AB5719">
        <v>31</v>
      </c>
      <c r="AC5719">
        <v>7.0507999999999802</v>
      </c>
      <c r="AD5719">
        <v>-1.1296400536660001</v>
      </c>
      <c r="AE5719">
        <v>-5.5450200000000001</v>
      </c>
      <c r="AF5719">
        <v>-5.9937766086042199</v>
      </c>
      <c r="AG5719">
        <v>-1.1296400536660001</v>
      </c>
      <c r="AH5719">
        <v>6.4840536849410304</v>
      </c>
      <c r="AI5719">
        <v>97.290393395944704</v>
      </c>
      <c r="AJ5719">
        <v>132.74990010390201</v>
      </c>
      <c r="AK5719">
        <v>8.9019321989046301</v>
      </c>
      <c r="AL5719">
        <v>83.965868041644299</v>
      </c>
      <c r="AM5719">
        <v>112.844540520245</v>
      </c>
      <c r="AN5719">
        <v>1.0000000347282501</v>
      </c>
    </row>
    <row r="5720" spans="1:40" x14ac:dyDescent="0.25">
      <c r="A5720" t="str">
        <f>"20190303162934075"</f>
        <v>20190303162934075</v>
      </c>
      <c r="B5720" t="str">
        <f>"1551601774067597"</f>
        <v>1551601774067597</v>
      </c>
      <c r="C5720" t="s">
        <v>40</v>
      </c>
      <c r="D5720">
        <v>5.3055560000000002</v>
      </c>
      <c r="E5720">
        <v>0.33156989999999997</v>
      </c>
      <c r="F5720" t="s">
        <v>57</v>
      </c>
      <c r="G5720">
        <v>-294.7681</v>
      </c>
      <c r="H5720" s="1">
        <v>-9.0282559999999992E-6</v>
      </c>
      <c r="I5720">
        <v>-51.097499999999997</v>
      </c>
      <c r="J5720">
        <v>-301.41550000000001</v>
      </c>
      <c r="K5720">
        <v>1.1297600000000001</v>
      </c>
      <c r="L5720">
        <v>-46.701320000000003</v>
      </c>
      <c r="M5720">
        <v>0.16840959999999999</v>
      </c>
      <c r="N5720">
        <v>-1.258913E-2</v>
      </c>
      <c r="O5720">
        <v>-0.98563679999999998</v>
      </c>
      <c r="P5720">
        <v>0.53321249999999998</v>
      </c>
      <c r="Q5720">
        <v>9.9643099999999998E-2</v>
      </c>
      <c r="R5720">
        <v>-0.84009299999999998</v>
      </c>
      <c r="S5720">
        <v>2.7311100000000001</v>
      </c>
      <c r="T5720">
        <v>-0.46008670000000002</v>
      </c>
      <c r="U5720">
        <v>-1.9116519999999999</v>
      </c>
      <c r="V5720">
        <v>-0.38646269999999999</v>
      </c>
      <c r="W5720">
        <v>0.1026951</v>
      </c>
      <c r="X5720">
        <v>0.91656979999999999</v>
      </c>
      <c r="Y5720">
        <v>-0.70327259999999903</v>
      </c>
      <c r="Z5720">
        <v>0.132912</v>
      </c>
      <c r="AA5720">
        <v>0.69838520000000004</v>
      </c>
      <c r="AB5720">
        <v>31</v>
      </c>
      <c r="AC5720">
        <v>6.6474000000000002</v>
      </c>
      <c r="AD5720">
        <v>-1.129769028256</v>
      </c>
      <c r="AE5720">
        <v>-4.3961799999999904</v>
      </c>
      <c r="AF5720">
        <v>-5.6975262389350601</v>
      </c>
      <c r="AG5720">
        <v>-1.129769028256</v>
      </c>
      <c r="AH5720">
        <v>5.3455310922531298</v>
      </c>
      <c r="AI5720">
        <v>98.228435385094798</v>
      </c>
      <c r="AJ5720">
        <v>136.82567288030199</v>
      </c>
      <c r="AK5720">
        <v>7.8938511487616099</v>
      </c>
      <c r="AL5720">
        <v>84.105612123642999</v>
      </c>
      <c r="AM5720">
        <v>112.862245168027</v>
      </c>
      <c r="AN5720">
        <v>0.99999995016366805</v>
      </c>
    </row>
    <row r="5721" spans="1:40" x14ac:dyDescent="0.25">
      <c r="A5721" t="str">
        <f>"20190303162934114"</f>
        <v>20190303162934114</v>
      </c>
      <c r="B5721" t="str">
        <f>"1551601774107613"</f>
        <v>1551601774107613</v>
      </c>
      <c r="C5721" t="s">
        <v>40</v>
      </c>
      <c r="D5721">
        <v>5.3082019999999996</v>
      </c>
      <c r="E5721">
        <v>0.33189350000000001</v>
      </c>
      <c r="F5721" t="s">
        <v>57</v>
      </c>
      <c r="G5721">
        <v>-294.73829999999998</v>
      </c>
      <c r="H5721" s="1">
        <v>-9.0244719999999998E-6</v>
      </c>
      <c r="I5721">
        <v>-51.224290000000003</v>
      </c>
      <c r="J5721">
        <v>-301.30579999999998</v>
      </c>
      <c r="K5721">
        <v>1.1299589999999999</v>
      </c>
      <c r="L5721">
        <v>-47.217649999999999</v>
      </c>
      <c r="M5721">
        <v>0.1875455</v>
      </c>
      <c r="N5721">
        <v>-1.264318E-2</v>
      </c>
      <c r="O5721">
        <v>-0.98217469999999996</v>
      </c>
      <c r="P5721">
        <v>0.5495023</v>
      </c>
      <c r="Q5721">
        <v>9.8731819999999998E-2</v>
      </c>
      <c r="R5721">
        <v>-0.82963829999999905</v>
      </c>
      <c r="S5721">
        <v>2.7639469999999999</v>
      </c>
      <c r="T5721">
        <v>-0.46765259999999997</v>
      </c>
      <c r="U5721">
        <v>-1.872223</v>
      </c>
      <c r="V5721">
        <v>-0.38653779999999999</v>
      </c>
      <c r="W5721">
        <v>0.10162259999999999</v>
      </c>
      <c r="X5721">
        <v>0.91665770000000002</v>
      </c>
      <c r="Y5721">
        <v>-0.69996329999999995</v>
      </c>
      <c r="Z5721">
        <v>0.13568669999999999</v>
      </c>
      <c r="AA5721">
        <v>0.70117079999999998</v>
      </c>
      <c r="AB5721">
        <v>31</v>
      </c>
      <c r="AC5721">
        <v>6.5674999999999901</v>
      </c>
      <c r="AD5721">
        <v>-1.1299680244719901</v>
      </c>
      <c r="AE5721">
        <v>-4.00664</v>
      </c>
      <c r="AF5721">
        <v>-5.57909944891958</v>
      </c>
      <c r="AG5721">
        <v>-1.1299680244719901</v>
      </c>
      <c r="AH5721">
        <v>5.0582147356392797</v>
      </c>
      <c r="AI5721">
        <v>98.533433861807893</v>
      </c>
      <c r="AJ5721">
        <v>137.803402754708</v>
      </c>
      <c r="AK5721">
        <v>7.6150321541738899</v>
      </c>
      <c r="AL5721">
        <v>84.167385225500198</v>
      </c>
      <c r="AM5721">
        <v>112.864263814653</v>
      </c>
      <c r="AN5721">
        <v>0.99999998131444401</v>
      </c>
    </row>
    <row r="5722" spans="1:40" x14ac:dyDescent="0.25">
      <c r="A5722" t="str">
        <f>"20190303162934139"</f>
        <v>20190303162934139</v>
      </c>
      <c r="B5722" t="str">
        <f>"1551601774127133"</f>
        <v>1551601774127133</v>
      </c>
      <c r="C5722" t="s">
        <v>40</v>
      </c>
      <c r="D5722">
        <v>5.2783670000000003</v>
      </c>
      <c r="E5722">
        <v>0.33243129999999999</v>
      </c>
      <c r="F5722" t="s">
        <v>57</v>
      </c>
      <c r="G5722">
        <v>-294.48790000000002</v>
      </c>
      <c r="H5722" s="1">
        <v>-9.0645189999999997E-6</v>
      </c>
      <c r="I5722">
        <v>-51.649470000000001</v>
      </c>
      <c r="J5722">
        <v>-301.22750000000002</v>
      </c>
      <c r="K5722">
        <v>1.1300520000000001</v>
      </c>
      <c r="L5722">
        <v>-47.559269999999998</v>
      </c>
      <c r="M5722">
        <v>0.20039019999999999</v>
      </c>
      <c r="N5722">
        <v>-1.2675240000000001E-2</v>
      </c>
      <c r="O5722">
        <v>-0.97963449999999996</v>
      </c>
      <c r="P5722">
        <v>0.56079809999999997</v>
      </c>
      <c r="Q5722">
        <v>9.6075770000000005E-2</v>
      </c>
      <c r="R5722">
        <v>-0.82235990000000003</v>
      </c>
      <c r="S5722">
        <v>2.7974239999999999</v>
      </c>
      <c r="T5722">
        <v>-0.46362999999999999</v>
      </c>
      <c r="U5722">
        <v>-1.81839</v>
      </c>
      <c r="V5722">
        <v>-0.38697999999999999</v>
      </c>
      <c r="W5722">
        <v>9.8872810000000005E-2</v>
      </c>
      <c r="X5722">
        <v>0.91677189999999997</v>
      </c>
      <c r="Y5722">
        <v>-0.70408269999999995</v>
      </c>
      <c r="Z5722">
        <v>0.135078799999999</v>
      </c>
      <c r="AA5722">
        <v>0.69715229999999995</v>
      </c>
      <c r="AB5722">
        <v>31</v>
      </c>
      <c r="AC5722">
        <v>6.7395999999999896</v>
      </c>
      <c r="AD5722">
        <v>-1.1300610645189999</v>
      </c>
      <c r="AE5722">
        <v>-4.0902000000000003</v>
      </c>
      <c r="AF5722">
        <v>-5.6667367694559596</v>
      </c>
      <c r="AG5722">
        <v>-1.1300610645189999</v>
      </c>
      <c r="AH5722">
        <v>5.2500074364896001</v>
      </c>
      <c r="AI5722">
        <v>98.3226300360854</v>
      </c>
      <c r="AJ5722">
        <v>137.186113717811</v>
      </c>
      <c r="AK5722">
        <v>7.8071455543650599</v>
      </c>
      <c r="AL5722">
        <v>84.325734628031597</v>
      </c>
      <c r="AM5722">
        <v>112.885169379114</v>
      </c>
      <c r="AN5722">
        <v>1.0000000347934499</v>
      </c>
    </row>
    <row r="5723" spans="1:40" x14ac:dyDescent="0.25">
      <c r="A5723" t="str">
        <f>"20190303162934168"</f>
        <v>20190303162934168</v>
      </c>
      <c r="B5723" t="str">
        <f>"1551601774157389"</f>
        <v>1551601774157389</v>
      </c>
      <c r="C5723" t="s">
        <v>40</v>
      </c>
      <c r="D5723">
        <v>5.2605230000000001</v>
      </c>
      <c r="E5723">
        <v>0.33372390000000002</v>
      </c>
      <c r="F5723" t="s">
        <v>57</v>
      </c>
      <c r="G5723">
        <v>-294.4314</v>
      </c>
      <c r="H5723" s="1">
        <v>-9.0610830000000005E-6</v>
      </c>
      <c r="I5723">
        <v>-51.85642</v>
      </c>
      <c r="J5723">
        <v>-301.137</v>
      </c>
      <c r="K5723">
        <v>1.13012</v>
      </c>
      <c r="L5723">
        <v>-47.929169999999999</v>
      </c>
      <c r="M5723">
        <v>0.2144181</v>
      </c>
      <c r="N5723">
        <v>-1.270433E-2</v>
      </c>
      <c r="O5723">
        <v>-0.97665959999999996</v>
      </c>
      <c r="P5723">
        <v>0.57426639999999995</v>
      </c>
      <c r="Q5723">
        <v>9.2228030000000003E-2</v>
      </c>
      <c r="R5723">
        <v>-0.81345730000000005</v>
      </c>
      <c r="S5723">
        <v>2.8174440000000001</v>
      </c>
      <c r="T5723">
        <v>-0.4684873</v>
      </c>
      <c r="U5723">
        <v>-1.7814639999999999</v>
      </c>
      <c r="V5723">
        <v>-0.3887737</v>
      </c>
      <c r="W5723">
        <v>9.4910439999999999E-2</v>
      </c>
      <c r="X5723">
        <v>0.91643169999999996</v>
      </c>
      <c r="Y5723">
        <v>-0.70251569999999997</v>
      </c>
      <c r="Z5723">
        <v>0.1371665</v>
      </c>
      <c r="AA5723">
        <v>0.69832450000000001</v>
      </c>
      <c r="AB5723">
        <v>31</v>
      </c>
      <c r="AC5723">
        <v>6.7055999999999996</v>
      </c>
      <c r="AD5723">
        <v>-1.1301290610829999</v>
      </c>
      <c r="AE5723">
        <v>-3.9272499999999999</v>
      </c>
      <c r="AF5723">
        <v>-5.5892634598361601</v>
      </c>
      <c r="AG5723">
        <v>-1.1301290610829999</v>
      </c>
      <c r="AH5723">
        <v>5.1645836854796396</v>
      </c>
      <c r="AI5723">
        <v>98.446969617693398</v>
      </c>
      <c r="AJ5723">
        <v>137.261490343437</v>
      </c>
      <c r="AK5723">
        <v>7.69350260690711</v>
      </c>
      <c r="AL5723">
        <v>84.553835004138406</v>
      </c>
      <c r="AM5723">
        <v>112.987895219164</v>
      </c>
      <c r="AN5723">
        <v>1.0000000210987801</v>
      </c>
    </row>
    <row r="5724" spans="1:40" x14ac:dyDescent="0.25">
      <c r="A5724" t="str">
        <f>"20190303162934192"</f>
        <v>20190303162934192</v>
      </c>
      <c r="B5724" t="str">
        <f>"1551601774187645"</f>
        <v>1551601774187645</v>
      </c>
      <c r="C5724" t="s">
        <v>40</v>
      </c>
      <c r="D5724">
        <v>5.2907010000000003</v>
      </c>
      <c r="E5724">
        <v>0.33502310000000002</v>
      </c>
      <c r="F5724" t="s">
        <v>57</v>
      </c>
      <c r="G5724">
        <v>-294.40719999999999</v>
      </c>
      <c r="H5724" s="1">
        <v>-9.0465080000000008E-6</v>
      </c>
      <c r="I5724">
        <v>-52.061419999999998</v>
      </c>
      <c r="J5724">
        <v>-301.04860000000002</v>
      </c>
      <c r="K5724">
        <v>1.1301600000000001</v>
      </c>
      <c r="L5724">
        <v>-48.269469999999998</v>
      </c>
      <c r="M5724">
        <v>0.2274033</v>
      </c>
      <c r="N5724">
        <v>-1.272654E-2</v>
      </c>
      <c r="O5724">
        <v>-0.97371770000000002</v>
      </c>
      <c r="P5724">
        <v>0.58744449999999904</v>
      </c>
      <c r="Q5724">
        <v>8.7993119999999994E-2</v>
      </c>
      <c r="R5724">
        <v>-0.80446680000000004</v>
      </c>
      <c r="S5724">
        <v>2.8348390000000001</v>
      </c>
      <c r="T5724">
        <v>-0.47605350000000002</v>
      </c>
      <c r="U5724">
        <v>-1.7406619999999999</v>
      </c>
      <c r="V5724">
        <v>-0.39131379999999999</v>
      </c>
      <c r="W5724">
        <v>9.0565690000000004E-2</v>
      </c>
      <c r="X5724">
        <v>0.91578999999999999</v>
      </c>
      <c r="Y5724">
        <v>-0.70195790000000002</v>
      </c>
      <c r="Z5724">
        <v>0.14024719999999999</v>
      </c>
      <c r="AA5724">
        <v>0.69827349999999999</v>
      </c>
      <c r="AB5724">
        <v>31</v>
      </c>
      <c r="AC5724">
        <v>6.6414000000000302</v>
      </c>
      <c r="AD5724">
        <v>-1.1301690465080001</v>
      </c>
      <c r="AE5724">
        <v>-3.7919499999999999</v>
      </c>
      <c r="AF5724">
        <v>-5.4852097560894197</v>
      </c>
      <c r="AG5724">
        <v>-1.1301690465080001</v>
      </c>
      <c r="AH5724">
        <v>5.0917874300863399</v>
      </c>
      <c r="AI5724">
        <v>98.587159417269703</v>
      </c>
      <c r="AJ5724">
        <v>137.130193605426</v>
      </c>
      <c r="AK5724">
        <v>7.5690889395731498</v>
      </c>
      <c r="AL5724">
        <v>84.803848244157606</v>
      </c>
      <c r="AM5724">
        <v>113.136845783094</v>
      </c>
      <c r="AN5724">
        <v>0.99999997918780703</v>
      </c>
    </row>
    <row r="5725" spans="1:40" x14ac:dyDescent="0.25">
      <c r="A5725" t="str">
        <f>"20190303162934213"</f>
        <v>20190303162934213</v>
      </c>
      <c r="B5725" t="str">
        <f>"1551601774208141"</f>
        <v>1551601774208141</v>
      </c>
      <c r="C5725" t="s">
        <v>40</v>
      </c>
      <c r="D5725">
        <v>5.266502</v>
      </c>
      <c r="E5725">
        <v>0.33583020000000002</v>
      </c>
      <c r="F5725" t="s">
        <v>57</v>
      </c>
      <c r="G5725">
        <v>-294.39060000000001</v>
      </c>
      <c r="H5725" s="1">
        <v>-9.0326530000000005E-6</v>
      </c>
      <c r="I5725">
        <v>-52.236490000000003</v>
      </c>
      <c r="J5725">
        <v>-300.97340000000003</v>
      </c>
      <c r="K5725">
        <v>1.1301829999999999</v>
      </c>
      <c r="L5725">
        <v>-48.545319999999997</v>
      </c>
      <c r="M5725">
        <v>0.2379636</v>
      </c>
      <c r="N5725">
        <v>-1.2742150000000001E-2</v>
      </c>
      <c r="O5725">
        <v>-0.97119060000000001</v>
      </c>
      <c r="P5725">
        <v>0.598311699999999</v>
      </c>
      <c r="Q5725">
        <v>8.4017540000000002E-2</v>
      </c>
      <c r="R5725">
        <v>-0.79684690000000002</v>
      </c>
      <c r="S5725">
        <v>2.8521730000000001</v>
      </c>
      <c r="T5725">
        <v>-0.48414489999999999</v>
      </c>
      <c r="U5725">
        <v>-1.6994020000000001</v>
      </c>
      <c r="V5725">
        <v>-0.39361699999999999</v>
      </c>
      <c r="W5725">
        <v>8.6503319999999995E-2</v>
      </c>
      <c r="X5725">
        <v>0.91519550000000005</v>
      </c>
      <c r="Y5725">
        <v>-0.70320799999999895</v>
      </c>
      <c r="Z5725">
        <v>0.14345820000000001</v>
      </c>
      <c r="AA5725">
        <v>0.6963608</v>
      </c>
      <c r="AB5725">
        <v>31</v>
      </c>
      <c r="AC5725">
        <v>6.5828000000000104</v>
      </c>
      <c r="AD5725">
        <v>-1.1301920326529999</v>
      </c>
      <c r="AE5725">
        <v>-3.6911700000000001</v>
      </c>
      <c r="AF5725">
        <v>-5.3942652930996804</v>
      </c>
      <c r="AG5725">
        <v>-1.1301920326529999</v>
      </c>
      <c r="AH5725">
        <v>5.0387163373991504</v>
      </c>
      <c r="AI5725">
        <v>98.705017417934201</v>
      </c>
      <c r="AJ5725">
        <v>136.95184601230201</v>
      </c>
      <c r="AK5725">
        <v>7.4675360335110001</v>
      </c>
      <c r="AL5725">
        <v>85.037522713316207</v>
      </c>
      <c r="AM5725">
        <v>113.272086590605</v>
      </c>
      <c r="AN5725">
        <v>0.99999998514013599</v>
      </c>
    </row>
    <row r="5726" spans="1:40" x14ac:dyDescent="0.25">
      <c r="A5726" t="str">
        <f>"20190303162934234"</f>
        <v>20190303162934234</v>
      </c>
      <c r="B5726" t="str">
        <f>"1551601774227660"</f>
        <v>1551601774227660</v>
      </c>
      <c r="C5726" t="s">
        <v>40</v>
      </c>
      <c r="D5726">
        <v>5.2672990000000004</v>
      </c>
      <c r="E5726">
        <v>0.3470143</v>
      </c>
      <c r="F5726" t="s">
        <v>57</v>
      </c>
      <c r="G5726">
        <v>-294.34410000000003</v>
      </c>
      <c r="H5726" s="1">
        <v>-9.0321150000000005E-6</v>
      </c>
      <c r="I5726">
        <v>-52.386380000000003</v>
      </c>
      <c r="J5726">
        <v>-300.89699999999999</v>
      </c>
      <c r="K5726">
        <v>1.130207</v>
      </c>
      <c r="L5726">
        <v>-48.814579999999999</v>
      </c>
      <c r="M5726">
        <v>0.24829209999999999</v>
      </c>
      <c r="N5726">
        <v>-1.275563E-2</v>
      </c>
      <c r="O5726">
        <v>-0.9686013</v>
      </c>
      <c r="P5726">
        <v>0.60951730000000004</v>
      </c>
      <c r="Q5726">
        <v>8.2107459999999993E-2</v>
      </c>
      <c r="R5726">
        <v>-0.78850959999999903</v>
      </c>
      <c r="S5726">
        <v>2.8689269999999998</v>
      </c>
      <c r="T5726">
        <v>-0.4891026</v>
      </c>
      <c r="U5726">
        <v>-1.6622619999999999</v>
      </c>
      <c r="V5726">
        <v>-0.39672279999999999</v>
      </c>
      <c r="W5726">
        <v>8.4487510000000002E-2</v>
      </c>
      <c r="X5726">
        <v>0.91404209999999997</v>
      </c>
      <c r="Y5726">
        <v>-0.703955</v>
      </c>
      <c r="Z5726">
        <v>0.1455687</v>
      </c>
      <c r="AA5726">
        <v>0.69516699999999998</v>
      </c>
      <c r="AB5726">
        <v>31</v>
      </c>
      <c r="AC5726">
        <v>6.5528999999999602</v>
      </c>
      <c r="AD5726">
        <v>-1.1302160321150001</v>
      </c>
      <c r="AE5726">
        <v>-3.5717999999999899</v>
      </c>
      <c r="AF5726">
        <v>-5.3383123002093704</v>
      </c>
      <c r="AG5726">
        <v>-1.1302160321150001</v>
      </c>
      <c r="AH5726">
        <v>4.9730446964941697</v>
      </c>
      <c r="AI5726">
        <v>98.805874279758896</v>
      </c>
      <c r="AJ5726">
        <v>137.02878677800001</v>
      </c>
      <c r="AK5726">
        <v>7.3828273748710398</v>
      </c>
      <c r="AL5726">
        <v>85.153444847400806</v>
      </c>
      <c r="AM5726">
        <v>113.46234833779</v>
      </c>
      <c r="AN5726">
        <v>1.00000003997912</v>
      </c>
    </row>
    <row r="5727" spans="1:40" x14ac:dyDescent="0.25">
      <c r="A5727" t="str">
        <f>"20190303162934254"</f>
        <v>20190303162934254</v>
      </c>
      <c r="B5727" t="str">
        <f>"1551601774247181"</f>
        <v>1551601774247181</v>
      </c>
      <c r="C5727" t="s">
        <v>40</v>
      </c>
      <c r="D5727">
        <v>5.2765360000000001</v>
      </c>
      <c r="E5727">
        <v>0.34790349999999998</v>
      </c>
      <c r="F5727" t="s">
        <v>57</v>
      </c>
      <c r="G5727">
        <v>-293.39190000000002</v>
      </c>
      <c r="H5727" s="1">
        <v>-9.268619E-6</v>
      </c>
      <c r="I5727">
        <v>-53.255209999999998</v>
      </c>
      <c r="J5727">
        <v>-300.81920000000002</v>
      </c>
      <c r="K5727">
        <v>1.130215</v>
      </c>
      <c r="L5727">
        <v>-49.077669999999998</v>
      </c>
      <c r="M5727">
        <v>0.25839780000000001</v>
      </c>
      <c r="N5727">
        <v>-1.276738E-2</v>
      </c>
      <c r="O5727">
        <v>-0.96595419999999999</v>
      </c>
      <c r="P5727">
        <v>0.62050749999999999</v>
      </c>
      <c r="Q5727">
        <v>8.0767179999999994E-2</v>
      </c>
      <c r="R5727">
        <v>-0.78003020000000001</v>
      </c>
      <c r="S5727">
        <v>2.8203130000000001</v>
      </c>
      <c r="T5727">
        <v>-0.4247206</v>
      </c>
      <c r="U5727">
        <v>-1.6687320000000001</v>
      </c>
      <c r="V5727">
        <v>-0.39992070000000002</v>
      </c>
      <c r="W5727">
        <v>8.3042539999999998E-2</v>
      </c>
      <c r="X5727">
        <v>0.91278000000000004</v>
      </c>
      <c r="Y5727">
        <v>-0.69241140000000001</v>
      </c>
      <c r="Z5727">
        <v>0.1267634</v>
      </c>
      <c r="AA5727">
        <v>0.71027989999999996</v>
      </c>
      <c r="AB5727">
        <v>31</v>
      </c>
      <c r="AC5727">
        <v>7.4272999999999998</v>
      </c>
      <c r="AD5727">
        <v>-1.130224268619</v>
      </c>
      <c r="AE5727">
        <v>-4.1775399999999996</v>
      </c>
      <c r="AF5727">
        <v>-5.9900891641725904</v>
      </c>
      <c r="AG5727">
        <v>-1.130224268619</v>
      </c>
      <c r="AH5727">
        <v>5.8520517469669402</v>
      </c>
      <c r="AI5727">
        <v>97.686456272551695</v>
      </c>
      <c r="AJ5727">
        <v>135.66783559700099</v>
      </c>
      <c r="AK5727">
        <v>8.4501529418876302</v>
      </c>
      <c r="AL5727">
        <v>85.2365272343839</v>
      </c>
      <c r="AM5727">
        <v>113.659899614876</v>
      </c>
      <c r="AN5727">
        <v>0.99999997906907001</v>
      </c>
    </row>
    <row r="5728" spans="1:40" x14ac:dyDescent="0.25">
      <c r="A5728" t="str">
        <f>"20190303162934275"</f>
        <v>20190303162934275</v>
      </c>
      <c r="B5728" t="str">
        <f>"1551601774267677"</f>
        <v>1551601774267677</v>
      </c>
      <c r="C5728" t="s">
        <v>40</v>
      </c>
      <c r="D5728">
        <v>5.2504429999999997</v>
      </c>
      <c r="E5728">
        <v>0.34841519999999998</v>
      </c>
      <c r="F5728" t="s">
        <v>57</v>
      </c>
      <c r="G5728">
        <v>-293.2903</v>
      </c>
      <c r="H5728" s="1">
        <v>-9.2869420000000007E-6</v>
      </c>
      <c r="I5728">
        <v>-53.409210000000002</v>
      </c>
      <c r="J5728">
        <v>-300.73219999999998</v>
      </c>
      <c r="K5728">
        <v>1.130225</v>
      </c>
      <c r="L5728">
        <v>-49.36063</v>
      </c>
      <c r="M5728">
        <v>0.26927499999999999</v>
      </c>
      <c r="N5728">
        <v>-1.27787E-2</v>
      </c>
      <c r="O5728">
        <v>-0.96297869999999997</v>
      </c>
      <c r="P5728">
        <v>0.63186999999999904</v>
      </c>
      <c r="Q5728">
        <v>8.0836489999999997E-2</v>
      </c>
      <c r="R5728">
        <v>-0.77084770000000002</v>
      </c>
      <c r="S5728">
        <v>2.837799</v>
      </c>
      <c r="T5728">
        <v>-0.4260082</v>
      </c>
      <c r="U5728">
        <v>-1.63266</v>
      </c>
      <c r="V5728">
        <v>-0.40300979999999997</v>
      </c>
      <c r="W5728">
        <v>8.3009760000000002E-2</v>
      </c>
      <c r="X5728">
        <v>0.91142330000000005</v>
      </c>
      <c r="Y5728">
        <v>-0.6929168</v>
      </c>
      <c r="Z5728">
        <v>0.12759219999999999</v>
      </c>
      <c r="AA5728">
        <v>0.7096384</v>
      </c>
      <c r="AB5728">
        <v>31</v>
      </c>
      <c r="AC5728">
        <v>7.4418999999999702</v>
      </c>
      <c r="AD5728">
        <v>-1.1302342869419999</v>
      </c>
      <c r="AE5728">
        <v>-4.0485799999999896</v>
      </c>
      <c r="AF5728">
        <v>-5.9704418262363603</v>
      </c>
      <c r="AG5728">
        <v>-1.1302342869419999</v>
      </c>
      <c r="AH5728">
        <v>5.7998677122319098</v>
      </c>
      <c r="AI5728">
        <v>97.732583575258204</v>
      </c>
      <c r="AJ5728">
        <v>135.830266418176</v>
      </c>
      <c r="AK5728">
        <v>8.4001232504792505</v>
      </c>
      <c r="AL5728">
        <v>85.238411879930496</v>
      </c>
      <c r="AM5728">
        <v>113.85387938599401</v>
      </c>
      <c r="AN5728">
        <v>0.99999997546709296</v>
      </c>
    </row>
    <row r="5729" spans="1:40" x14ac:dyDescent="0.25">
      <c r="A5729" t="str">
        <f>"20190303162934298"</f>
        <v>20190303162934298</v>
      </c>
      <c r="B5729" t="str">
        <f>"1551601774287197"</f>
        <v>1551601774287197</v>
      </c>
      <c r="C5729" t="s">
        <v>40</v>
      </c>
      <c r="D5729">
        <v>5.274362</v>
      </c>
      <c r="E5729">
        <v>0.34878039999999999</v>
      </c>
      <c r="F5729" t="s">
        <v>57</v>
      </c>
      <c r="G5729">
        <v>-293.1508</v>
      </c>
      <c r="H5729" s="1">
        <v>-9.3156359999999995E-6</v>
      </c>
      <c r="I5729">
        <v>-53.591209999999997</v>
      </c>
      <c r="J5729">
        <v>-300.63459999999998</v>
      </c>
      <c r="K5729">
        <v>1.1302410000000001</v>
      </c>
      <c r="L5729">
        <v>-49.665709999999997</v>
      </c>
      <c r="M5729">
        <v>0.28100829999999999</v>
      </c>
      <c r="N5729">
        <v>-1.278951E-2</v>
      </c>
      <c r="O5729">
        <v>-0.95962029999999998</v>
      </c>
      <c r="P5729">
        <v>0.64363879999999996</v>
      </c>
      <c r="Q5729">
        <v>8.1852640000000004E-2</v>
      </c>
      <c r="R5729">
        <v>-0.76094010000000001</v>
      </c>
      <c r="S5729">
        <v>2.8572389999999999</v>
      </c>
      <c r="T5729">
        <v>-0.42595450000000001</v>
      </c>
      <c r="U5729">
        <v>-1.5943909999999999</v>
      </c>
      <c r="V5729">
        <v>-0.40594849999999999</v>
      </c>
      <c r="W5729">
        <v>8.3928269999999999E-2</v>
      </c>
      <c r="X5729">
        <v>0.91003389999999995</v>
      </c>
      <c r="Y5729">
        <v>-0.69344819999999996</v>
      </c>
      <c r="Z5729">
        <v>0.12795339999999999</v>
      </c>
      <c r="AA5729">
        <v>0.70905390000000001</v>
      </c>
      <c r="AB5729">
        <v>31</v>
      </c>
      <c r="AC5729">
        <v>7.4837999999999703</v>
      </c>
      <c r="AD5729">
        <v>-1.130250315636</v>
      </c>
      <c r="AE5729">
        <v>-3.9255</v>
      </c>
      <c r="AF5729">
        <v>-5.9721773166196597</v>
      </c>
      <c r="AG5729">
        <v>-1.130250315636</v>
      </c>
      <c r="AH5729">
        <v>5.7673158350211304</v>
      </c>
      <c r="AI5729">
        <v>97.752382032324206</v>
      </c>
      <c r="AJ5729">
        <v>135.99974563424999</v>
      </c>
      <c r="AK5729">
        <v>8.3789199553419298</v>
      </c>
      <c r="AL5729">
        <v>85.185600567698998</v>
      </c>
      <c r="AM5729">
        <v>114.040724839801</v>
      </c>
      <c r="AN5729">
        <v>0.99999991915332298</v>
      </c>
    </row>
    <row r="5730" spans="1:40" x14ac:dyDescent="0.25">
      <c r="A5730" t="str">
        <f>"20190303162934319"</f>
        <v>20190303162934319</v>
      </c>
      <c r="B5730" t="str">
        <f>"1551601774307693"</f>
        <v>1551601774307693</v>
      </c>
      <c r="C5730" t="s">
        <v>40</v>
      </c>
      <c r="D5730">
        <v>5.2699590000000001</v>
      </c>
      <c r="E5730">
        <v>0.34950209999999998</v>
      </c>
      <c r="F5730" t="s">
        <v>57</v>
      </c>
      <c r="G5730">
        <v>-292.96850000000001</v>
      </c>
      <c r="H5730" s="1">
        <v>-9.3605410000000001E-6</v>
      </c>
      <c r="I5730">
        <v>-53.805230000000002</v>
      </c>
      <c r="J5730">
        <v>-300.54500000000002</v>
      </c>
      <c r="K5730">
        <v>1.130266</v>
      </c>
      <c r="L5730">
        <v>-49.93506</v>
      </c>
      <c r="M5730">
        <v>0.2913712</v>
      </c>
      <c r="N5730">
        <v>-1.2797940000000001E-2</v>
      </c>
      <c r="O5730">
        <v>-0.95652479999999995</v>
      </c>
      <c r="P5730">
        <v>0.65354630000000002</v>
      </c>
      <c r="Q5730">
        <v>8.3593810000000005E-2</v>
      </c>
      <c r="R5730">
        <v>-0.75225699999999995</v>
      </c>
      <c r="S5730">
        <v>2.8778380000000001</v>
      </c>
      <c r="T5730">
        <v>-0.42429070000000002</v>
      </c>
      <c r="U5730">
        <v>-1.553955</v>
      </c>
      <c r="V5730">
        <v>-0.40812100000000001</v>
      </c>
      <c r="W5730">
        <v>8.5596430000000001E-2</v>
      </c>
      <c r="X5730">
        <v>0.9089062</v>
      </c>
      <c r="Y5730">
        <v>-0.69557269999999904</v>
      </c>
      <c r="Z5730">
        <v>0.12778229999999999</v>
      </c>
      <c r="AA5730">
        <v>0.70700090000000004</v>
      </c>
      <c r="AB5730">
        <v>31</v>
      </c>
      <c r="AC5730">
        <v>7.5765000000000002</v>
      </c>
      <c r="AD5730">
        <v>-1.1302753605410001</v>
      </c>
      <c r="AE5730">
        <v>-3.8701699999999999</v>
      </c>
      <c r="AF5730">
        <v>-6.0138105317680299</v>
      </c>
      <c r="AG5730">
        <v>-1.1302753605410001</v>
      </c>
      <c r="AH5730">
        <v>5.8074687136497403</v>
      </c>
      <c r="AI5730">
        <v>97.699560330632593</v>
      </c>
      <c r="AJ5730">
        <v>136.00000301068599</v>
      </c>
      <c r="AK5730">
        <v>8.4362392310004299</v>
      </c>
      <c r="AL5730">
        <v>85.0896771585967</v>
      </c>
      <c r="AM5730">
        <v>114.181240519198</v>
      </c>
      <c r="AN5730">
        <v>0.999999989934092</v>
      </c>
    </row>
    <row r="5731" spans="1:40" x14ac:dyDescent="0.25">
      <c r="A5731" t="str">
        <f>"20190303162934341"</f>
        <v>20190303162934341</v>
      </c>
      <c r="B5731" t="str">
        <f>"1551601774337949"</f>
        <v>1551601774337949</v>
      </c>
      <c r="C5731" t="s">
        <v>40</v>
      </c>
      <c r="D5731">
        <v>5.0919990000000004</v>
      </c>
      <c r="E5731">
        <v>0.34883209999999998</v>
      </c>
      <c r="F5731" t="s">
        <v>57</v>
      </c>
      <c r="G5731">
        <v>-292.73719999999997</v>
      </c>
      <c r="H5731" s="1">
        <v>-9.4211509999999998E-6</v>
      </c>
      <c r="I5731">
        <v>-54.040239999999997</v>
      </c>
      <c r="J5731">
        <v>-300.4479</v>
      </c>
      <c r="K5731">
        <v>1.130295</v>
      </c>
      <c r="L5731">
        <v>-50.216430000000003</v>
      </c>
      <c r="M5731">
        <v>0.30220039999999998</v>
      </c>
      <c r="N5731">
        <v>-1.2805850000000001E-2</v>
      </c>
      <c r="O5731">
        <v>-0.95315850000000002</v>
      </c>
      <c r="P5731">
        <v>0.66345669999999901</v>
      </c>
      <c r="Q5731">
        <v>8.5916320000000004E-2</v>
      </c>
      <c r="R5731">
        <v>-0.74326579999999998</v>
      </c>
      <c r="S5731">
        <v>2.8930660000000001</v>
      </c>
      <c r="T5731">
        <v>-0.4188077</v>
      </c>
      <c r="U5731">
        <v>-1.521118</v>
      </c>
      <c r="V5731">
        <v>-0.40999550000000001</v>
      </c>
      <c r="W5731">
        <v>8.7854769999999999E-2</v>
      </c>
      <c r="X5731">
        <v>0.9078465</v>
      </c>
      <c r="Y5731">
        <v>-0.69548199999999905</v>
      </c>
      <c r="Z5731">
        <v>0.1263252</v>
      </c>
      <c r="AA5731">
        <v>0.70735190000000003</v>
      </c>
      <c r="AB5731">
        <v>31</v>
      </c>
      <c r="AC5731">
        <v>7.7107000000000303</v>
      </c>
      <c r="AD5731">
        <v>-1.130304421151</v>
      </c>
      <c r="AE5731">
        <v>-3.8238099999999999</v>
      </c>
      <c r="AF5731">
        <v>-6.0894456372577803</v>
      </c>
      <c r="AG5731">
        <v>-1.130304421151</v>
      </c>
      <c r="AH5731">
        <v>5.8740538259291197</v>
      </c>
      <c r="AI5731">
        <v>97.609228090310694</v>
      </c>
      <c r="AJ5731">
        <v>136.03144640839699</v>
      </c>
      <c r="AK5731">
        <v>8.5360087045119499</v>
      </c>
      <c r="AL5731">
        <v>84.959794558217993</v>
      </c>
      <c r="AM5731">
        <v>114.304565330247</v>
      </c>
      <c r="AN5731">
        <v>1.0000000190971201</v>
      </c>
    </row>
    <row r="5732" spans="1:40" x14ac:dyDescent="0.25">
      <c r="A5732" t="str">
        <f>"20190303162934366"</f>
        <v>20190303162934366</v>
      </c>
      <c r="B5732" t="str">
        <f>"1551601774357470"</f>
        <v>1551601774357470</v>
      </c>
      <c r="C5732" t="s">
        <v>40</v>
      </c>
      <c r="D5732">
        <v>5.1326229999999997</v>
      </c>
      <c r="E5732">
        <v>0.34891470000000002</v>
      </c>
      <c r="F5732" t="s">
        <v>57</v>
      </c>
      <c r="G5732">
        <v>-292.36989999999997</v>
      </c>
      <c r="H5732" s="1">
        <v>-9.5274260000000008E-6</v>
      </c>
      <c r="I5732">
        <v>-54.313189999999999</v>
      </c>
      <c r="J5732">
        <v>-300.33679999999998</v>
      </c>
      <c r="K5732">
        <v>1.1303179999999999</v>
      </c>
      <c r="L5732">
        <v>-50.526400000000002</v>
      </c>
      <c r="M5732">
        <v>0.31413679999999999</v>
      </c>
      <c r="N5732">
        <v>-1.281362E-2</v>
      </c>
      <c r="O5732">
        <v>-0.94929129999999995</v>
      </c>
      <c r="P5732">
        <v>0.67417510000000003</v>
      </c>
      <c r="Q5732">
        <v>8.8770020000000005E-2</v>
      </c>
      <c r="R5732">
        <v>-0.73321769999999997</v>
      </c>
      <c r="S5732">
        <v>2.9172060000000002</v>
      </c>
      <c r="T5732">
        <v>-0.4081863</v>
      </c>
      <c r="U5732">
        <v>-1.4794620000000001</v>
      </c>
      <c r="V5732">
        <v>-0.41195949999999998</v>
      </c>
      <c r="W5732">
        <v>9.0642159999999999E-2</v>
      </c>
      <c r="X5732">
        <v>0.90668260000000001</v>
      </c>
      <c r="Y5732">
        <v>-0.69732079999999996</v>
      </c>
      <c r="Z5732">
        <v>0.1230982</v>
      </c>
      <c r="AA5732">
        <v>0.7061094</v>
      </c>
      <c r="AB5732">
        <v>31</v>
      </c>
      <c r="AC5732">
        <v>7.9669000000000096</v>
      </c>
      <c r="AD5732">
        <v>-1.1303275274259901</v>
      </c>
      <c r="AE5732">
        <v>-3.7867899999999999</v>
      </c>
      <c r="AF5732">
        <v>-6.2708953326156402</v>
      </c>
      <c r="AG5732">
        <v>-1.1303275274259901</v>
      </c>
      <c r="AH5732">
        <v>5.99945419411178</v>
      </c>
      <c r="AI5732">
        <v>97.420632550614897</v>
      </c>
      <c r="AJ5732">
        <v>136.26727403877501</v>
      </c>
      <c r="AK5732">
        <v>8.7518694699545794</v>
      </c>
      <c r="AL5732">
        <v>84.799448765644996</v>
      </c>
      <c r="AM5732">
        <v>114.435105657449</v>
      </c>
      <c r="AN5732">
        <v>0.99999998397623702</v>
      </c>
    </row>
    <row r="5733" spans="1:40" x14ac:dyDescent="0.25">
      <c r="A5733" t="str">
        <f>"20190303162934394"</f>
        <v>20190303162934394</v>
      </c>
      <c r="B5733" t="str">
        <f>"1551601774387726"</f>
        <v>1551601774387726</v>
      </c>
      <c r="C5733" t="s">
        <v>40</v>
      </c>
      <c r="D5733">
        <v>5.1209879999999997</v>
      </c>
      <c r="E5733">
        <v>0.34947060000000002</v>
      </c>
      <c r="F5733" t="s">
        <v>57</v>
      </c>
      <c r="G5733">
        <v>-291.94499999999999</v>
      </c>
      <c r="H5733" s="1">
        <v>-9.6499569999999998E-6</v>
      </c>
      <c r="I5733">
        <v>-54.633189999999999</v>
      </c>
      <c r="J5733">
        <v>-300.19819999999999</v>
      </c>
      <c r="K5733">
        <v>1.1303299999999901</v>
      </c>
      <c r="L5733">
        <v>-50.895809999999997</v>
      </c>
      <c r="M5733">
        <v>0.32837040000000001</v>
      </c>
      <c r="N5733">
        <v>-1.282169E-2</v>
      </c>
      <c r="O5733">
        <v>-0.94446209999999997</v>
      </c>
      <c r="P5733">
        <v>0.68586040000000004</v>
      </c>
      <c r="Q5733">
        <v>8.9872549999999995E-2</v>
      </c>
      <c r="R5733">
        <v>-0.72216250000000004</v>
      </c>
      <c r="S5733">
        <v>2.9381710000000001</v>
      </c>
      <c r="T5733">
        <v>-0.39575739999999998</v>
      </c>
      <c r="U5733">
        <v>-1.437897</v>
      </c>
      <c r="V5733">
        <v>-0.41296280000000002</v>
      </c>
      <c r="W5733">
        <v>9.1709620000000006E-2</v>
      </c>
      <c r="X5733">
        <v>0.90611870000000005</v>
      </c>
      <c r="Y5733">
        <v>-0.69711599999999996</v>
      </c>
      <c r="Z5733">
        <v>0.11931269999999999</v>
      </c>
      <c r="AA5733">
        <v>0.70696099999999995</v>
      </c>
      <c r="AB5733">
        <v>31</v>
      </c>
      <c r="AC5733">
        <v>8.2531999999999908</v>
      </c>
      <c r="AD5733">
        <v>-1.13033964995699</v>
      </c>
      <c r="AE5733">
        <v>-3.7373799999999999</v>
      </c>
      <c r="AF5733">
        <v>-6.4674597461077603</v>
      </c>
      <c r="AG5733">
        <v>-1.13033964995699</v>
      </c>
      <c r="AH5733">
        <v>6.1447861234832297</v>
      </c>
      <c r="AI5733">
        <v>97.221111581159406</v>
      </c>
      <c r="AJ5733">
        <v>136.46554426390699</v>
      </c>
      <c r="AK5733">
        <v>8.9924468191444493</v>
      </c>
      <c r="AL5733">
        <v>84.738032151966294</v>
      </c>
      <c r="AM5733">
        <v>114.501084732983</v>
      </c>
      <c r="AN5733">
        <v>1.0000000135370299</v>
      </c>
    </row>
    <row r="5734" spans="1:40" x14ac:dyDescent="0.25">
      <c r="A5734" t="str">
        <f>"20190303162934426"</f>
        <v>20190303162934426</v>
      </c>
      <c r="B5734" t="str">
        <f>"1551601774417981"</f>
        <v>1551601774417981</v>
      </c>
      <c r="C5734" t="s">
        <v>40</v>
      </c>
      <c r="D5734">
        <v>5.1341739999999998</v>
      </c>
      <c r="E5734">
        <v>0.35037259999999998</v>
      </c>
      <c r="F5734" t="s">
        <v>57</v>
      </c>
      <c r="G5734">
        <v>-291.6422</v>
      </c>
      <c r="H5734" s="1">
        <v>-9.7304659999999997E-6</v>
      </c>
      <c r="I5734">
        <v>-54.929369999999999</v>
      </c>
      <c r="J5734">
        <v>-300.03750000000002</v>
      </c>
      <c r="K5734">
        <v>1.1303289999999999</v>
      </c>
      <c r="L5734">
        <v>-51.305759999999999</v>
      </c>
      <c r="M5734">
        <v>0.34416989999999997</v>
      </c>
      <c r="N5734">
        <v>-1.2829399999999901E-2</v>
      </c>
      <c r="O5734">
        <v>-0.93882019999999999</v>
      </c>
      <c r="P5734">
        <v>0.69841030000000004</v>
      </c>
      <c r="Q5734">
        <v>9.2249739999999997E-2</v>
      </c>
      <c r="R5734">
        <v>-0.70972780000000002</v>
      </c>
      <c r="S5734">
        <v>2.957306</v>
      </c>
      <c r="T5734">
        <v>-0.39069199999999998</v>
      </c>
      <c r="U5734">
        <v>-1.3941650000000001</v>
      </c>
      <c r="V5734">
        <v>-0.41380349999999999</v>
      </c>
      <c r="W5734">
        <v>9.4056909999999994E-2</v>
      </c>
      <c r="X5734">
        <v>0.90549429999999997</v>
      </c>
      <c r="Y5734">
        <v>-0.69564409999999999</v>
      </c>
      <c r="Z5734">
        <v>0.1179316</v>
      </c>
      <c r="AA5734">
        <v>0.70864050000000001</v>
      </c>
      <c r="AB5734">
        <v>31</v>
      </c>
      <c r="AC5734">
        <v>8.3953000000000095</v>
      </c>
      <c r="AD5734">
        <v>-1.130338730466</v>
      </c>
      <c r="AE5734">
        <v>-3.62360999999999</v>
      </c>
      <c r="AF5734">
        <v>-6.5352184688666402</v>
      </c>
      <c r="AG5734">
        <v>-1.130338730466</v>
      </c>
      <c r="AH5734">
        <v>6.1971445578594802</v>
      </c>
      <c r="AI5734">
        <v>97.153512361263793</v>
      </c>
      <c r="AJ5734">
        <v>136.520979097104</v>
      </c>
      <c r="AK5734">
        <v>9.0769679272549197</v>
      </c>
      <c r="AL5734">
        <v>84.602958223816202</v>
      </c>
      <c r="AM5734">
        <v>114.560013602127</v>
      </c>
      <c r="AN5734">
        <v>0.99999998313174299</v>
      </c>
    </row>
    <row r="5735" spans="1:40" x14ac:dyDescent="0.25">
      <c r="A5735" t="str">
        <f>"20190303162934453"</f>
        <v>20190303162934453</v>
      </c>
      <c r="B5735" t="str">
        <f>"1551601774447261"</f>
        <v>1551601774447261</v>
      </c>
      <c r="C5735" t="s">
        <v>40</v>
      </c>
      <c r="D5735">
        <v>5.156091</v>
      </c>
      <c r="E5735">
        <v>0.3571531</v>
      </c>
      <c r="F5735" t="s">
        <v>57</v>
      </c>
      <c r="G5735">
        <v>-291.19850000000002</v>
      </c>
      <c r="H5735" s="1">
        <v>-9.8543440000000002E-6</v>
      </c>
      <c r="I5735">
        <v>-55.304259999999999</v>
      </c>
      <c r="J5735">
        <v>-299.90339999999998</v>
      </c>
      <c r="K5735">
        <v>1.1303379999999901</v>
      </c>
      <c r="L5735">
        <v>-51.632109999999997</v>
      </c>
      <c r="M5735">
        <v>0.35676020000000003</v>
      </c>
      <c r="N5735">
        <v>-1.2834679999999999E-2</v>
      </c>
      <c r="O5735">
        <v>-0.93410800000000005</v>
      </c>
      <c r="P5735">
        <v>0.70874300000000001</v>
      </c>
      <c r="Q5735">
        <v>9.2253660000000001E-2</v>
      </c>
      <c r="R5735">
        <v>-0.69940919999999995</v>
      </c>
      <c r="S5735">
        <v>2.9771420000000002</v>
      </c>
      <c r="T5735">
        <v>-0.38071939999999999</v>
      </c>
      <c r="U5735">
        <v>-1.3467709999999999</v>
      </c>
      <c r="V5735">
        <v>-0.41491099999999997</v>
      </c>
      <c r="W5735">
        <v>9.4027009999999994E-2</v>
      </c>
      <c r="X5735">
        <v>0.90499050000000003</v>
      </c>
      <c r="Y5735">
        <v>-0.69751540000000001</v>
      </c>
      <c r="Z5735">
        <v>0.115008399999999</v>
      </c>
      <c r="AA5735">
        <v>0.70728019999999903</v>
      </c>
      <c r="AB5735">
        <v>31</v>
      </c>
      <c r="AC5735">
        <v>8.7048999999999506</v>
      </c>
      <c r="AD5735">
        <v>-1.13034785434399</v>
      </c>
      <c r="AE5735">
        <v>-3.6721499999999998</v>
      </c>
      <c r="AF5735">
        <v>-6.7255298782837096</v>
      </c>
      <c r="AG5735">
        <v>-1.13034785434399</v>
      </c>
      <c r="AH5735">
        <v>6.4440424745079303</v>
      </c>
      <c r="AI5735">
        <v>96.9192724496625</v>
      </c>
      <c r="AJ5735">
        <v>136.22445774443801</v>
      </c>
      <c r="AK5735">
        <v>9.3827566220577996</v>
      </c>
      <c r="AL5735">
        <v>84.604679143479402</v>
      </c>
      <c r="AM5735">
        <v>114.630035789825</v>
      </c>
      <c r="AN5735">
        <v>1.0000000108103899</v>
      </c>
    </row>
    <row r="5736" spans="1:40" x14ac:dyDescent="0.25">
      <c r="A5736" t="str">
        <f>"20190303162934474"</f>
        <v>20190303162934474</v>
      </c>
      <c r="B5736" t="str">
        <f>"1551601774467758"</f>
        <v>1551601774467758</v>
      </c>
      <c r="C5736" t="s">
        <v>40</v>
      </c>
      <c r="D5736">
        <v>5.1743220000000001</v>
      </c>
      <c r="E5736">
        <v>0.35876140000000001</v>
      </c>
      <c r="F5736" t="s">
        <v>57</v>
      </c>
      <c r="G5736">
        <v>-290.89830000000001</v>
      </c>
      <c r="H5736" s="1">
        <v>-9.9224380000000007E-6</v>
      </c>
      <c r="I5736">
        <v>-55.715110000000003</v>
      </c>
      <c r="J5736">
        <v>-299.78579999999999</v>
      </c>
      <c r="K5736">
        <v>1.130333</v>
      </c>
      <c r="L5736">
        <v>-51.908940000000001</v>
      </c>
      <c r="M5736">
        <v>0.3674444</v>
      </c>
      <c r="N5736">
        <v>-1.2838860000000001E-2</v>
      </c>
      <c r="O5736">
        <v>-0.92995689999999998</v>
      </c>
      <c r="P5736">
        <v>0.71746330000000003</v>
      </c>
      <c r="Q5736">
        <v>9.0487579999999998E-2</v>
      </c>
      <c r="R5736">
        <v>-0.69069419999999904</v>
      </c>
      <c r="S5736">
        <v>2.9577330000000002</v>
      </c>
      <c r="T5736">
        <v>-0.37126389999999998</v>
      </c>
      <c r="U5736">
        <v>-1.341064</v>
      </c>
      <c r="V5736">
        <v>-0.415767</v>
      </c>
      <c r="W5736">
        <v>9.2235719999999993E-2</v>
      </c>
      <c r="X5736">
        <v>0.90478190000000003</v>
      </c>
      <c r="Y5736">
        <v>-0.68896820000000003</v>
      </c>
      <c r="Z5736">
        <v>0.11248470000000001</v>
      </c>
      <c r="AA5736">
        <v>0.71600969999999997</v>
      </c>
      <c r="AB5736">
        <v>31</v>
      </c>
      <c r="AC5736">
        <v>8.8874999999999797</v>
      </c>
      <c r="AD5736">
        <v>-1.1303429224379999</v>
      </c>
      <c r="AE5736">
        <v>-3.8061699999999901</v>
      </c>
      <c r="AF5736">
        <v>-6.7744046467384704</v>
      </c>
      <c r="AG5736">
        <v>-1.1303429224379999</v>
      </c>
      <c r="AH5736">
        <v>6.7140249771855096</v>
      </c>
      <c r="AI5736">
        <v>96.758668848251702</v>
      </c>
      <c r="AJ5736">
        <v>135.25647738269899</v>
      </c>
      <c r="AK5736">
        <v>9.60460123244731</v>
      </c>
      <c r="AL5736">
        <v>84.707760234156893</v>
      </c>
      <c r="AM5736">
        <v>114.679811972742</v>
      </c>
      <c r="AN5736">
        <v>0.99999995645026296</v>
      </c>
    </row>
    <row r="5737" spans="1:40" x14ac:dyDescent="0.25">
      <c r="A5737" t="str">
        <f>"20190303162934498"</f>
        <v>20190303162934498</v>
      </c>
      <c r="B5737" t="str">
        <f>"1551601774487277"</f>
        <v>1551601774487277</v>
      </c>
      <c r="C5737" t="s">
        <v>40</v>
      </c>
      <c r="D5737">
        <v>5.1559379999999999</v>
      </c>
      <c r="E5737">
        <v>0.35936669999999998</v>
      </c>
      <c r="F5737" t="s">
        <v>57</v>
      </c>
      <c r="G5737">
        <v>-290.93099999999998</v>
      </c>
      <c r="H5737" s="1">
        <v>-9.8984759999999995E-6</v>
      </c>
      <c r="I5737">
        <v>-55.836039999999997</v>
      </c>
      <c r="J5737">
        <v>-299.65440000000001</v>
      </c>
      <c r="K5737">
        <v>1.130347</v>
      </c>
      <c r="L5737">
        <v>-52.208620000000003</v>
      </c>
      <c r="M5737">
        <v>0.37903720000000002</v>
      </c>
      <c r="N5737">
        <v>-1.2844059999999999E-2</v>
      </c>
      <c r="O5737">
        <v>-0.92529249999999996</v>
      </c>
      <c r="P5737">
        <v>0.72683940000000002</v>
      </c>
      <c r="Q5737">
        <v>8.9156659999999999E-2</v>
      </c>
      <c r="R5737">
        <v>-0.68099639999999995</v>
      </c>
      <c r="S5737">
        <v>2.9637449999999999</v>
      </c>
      <c r="T5737">
        <v>-0.37833119999999998</v>
      </c>
      <c r="U5737">
        <v>-1.3144229999999999</v>
      </c>
      <c r="V5737">
        <v>-0.4167362</v>
      </c>
      <c r="W5737">
        <v>9.0867729999999994E-2</v>
      </c>
      <c r="X5737">
        <v>0.90447440000000001</v>
      </c>
      <c r="Y5737">
        <v>-0.68558839999999999</v>
      </c>
      <c r="Z5737">
        <v>0.1149862</v>
      </c>
      <c r="AA5737">
        <v>0.71885100000000002</v>
      </c>
      <c r="AB5737">
        <v>31</v>
      </c>
      <c r="AC5737">
        <v>8.7234000000000194</v>
      </c>
      <c r="AD5737">
        <v>-1.130356898476</v>
      </c>
      <c r="AE5737">
        <v>-3.6274199999999999</v>
      </c>
      <c r="AF5737">
        <v>-6.6028009125804896</v>
      </c>
      <c r="AG5737">
        <v>-1.130356898476</v>
      </c>
      <c r="AH5737">
        <v>6.5694240754397804</v>
      </c>
      <c r="AI5737">
        <v>96.919490099318196</v>
      </c>
      <c r="AJ5737">
        <v>135.145180317723</v>
      </c>
      <c r="AK5737">
        <v>9.3825379984348505</v>
      </c>
      <c r="AL5737">
        <v>84.786470940500806</v>
      </c>
      <c r="AM5737">
        <v>114.737867295291</v>
      </c>
      <c r="AN5737">
        <v>0.99999997250057604</v>
      </c>
    </row>
    <row r="5738" spans="1:40" x14ac:dyDescent="0.25">
      <c r="A5738" t="str">
        <f>"20190303162934522"</f>
        <v>20190303162934522</v>
      </c>
      <c r="B5738" t="str">
        <f>"1551601774517533"</f>
        <v>1551601774517533</v>
      </c>
      <c r="C5738" t="s">
        <v>40</v>
      </c>
      <c r="D5738">
        <v>5.1563129999999999</v>
      </c>
      <c r="E5738">
        <v>0.35969010000000001</v>
      </c>
      <c r="F5738" t="s">
        <v>57</v>
      </c>
      <c r="G5738">
        <v>-290.83269999999999</v>
      </c>
      <c r="H5738" s="1">
        <v>-9.9186050000000006E-6</v>
      </c>
      <c r="I5738">
        <v>-55.992339999999999</v>
      </c>
      <c r="J5738">
        <v>-299.52379999999999</v>
      </c>
      <c r="K5738">
        <v>1.1303920000000001</v>
      </c>
      <c r="L5738">
        <v>-52.496609999999997</v>
      </c>
      <c r="M5738">
        <v>0.39023540000000001</v>
      </c>
      <c r="N5738">
        <v>-1.285174E-2</v>
      </c>
      <c r="O5738">
        <v>-0.92062540000000004</v>
      </c>
      <c r="P5738">
        <v>0.73528609999999905</v>
      </c>
      <c r="Q5738">
        <v>9.1326640000000001E-2</v>
      </c>
      <c r="R5738">
        <v>-0.67157579999999995</v>
      </c>
      <c r="S5738">
        <v>2.9776609999999999</v>
      </c>
      <c r="T5738">
        <v>-0.38154100000000002</v>
      </c>
      <c r="U5738">
        <v>-1.277161</v>
      </c>
      <c r="V5738">
        <v>-0.41722969999999998</v>
      </c>
      <c r="W5738">
        <v>9.2994430000000003E-2</v>
      </c>
      <c r="X5738">
        <v>0.90403069999999996</v>
      </c>
      <c r="Y5738">
        <v>-0.68548209999999998</v>
      </c>
      <c r="Z5738">
        <v>0.11620610000000001</v>
      </c>
      <c r="AA5738">
        <v>0.71875610000000001</v>
      </c>
      <c r="AB5738">
        <v>31</v>
      </c>
      <c r="AC5738">
        <v>8.6911000000000005</v>
      </c>
      <c r="AD5738">
        <v>-1.1304019186049901</v>
      </c>
      <c r="AE5738">
        <v>-3.49573</v>
      </c>
      <c r="AF5738">
        <v>-6.5423744001700799</v>
      </c>
      <c r="AG5738">
        <v>-1.1304019186049901</v>
      </c>
      <c r="AH5738">
        <v>6.5155062714686602</v>
      </c>
      <c r="AI5738">
        <v>96.979769907171701</v>
      </c>
      <c r="AJ5738">
        <v>135.117892653806</v>
      </c>
      <c r="AK5738">
        <v>9.3022735534456409</v>
      </c>
      <c r="AL5738">
        <v>84.664102187590601</v>
      </c>
      <c r="AM5738">
        <v>114.774344379772</v>
      </c>
      <c r="AN5738">
        <v>1.0000000465578001</v>
      </c>
    </row>
    <row r="5739" spans="1:40" x14ac:dyDescent="0.25">
      <c r="A5739" t="str">
        <f>"20190303162934542"</f>
        <v>20190303162934542</v>
      </c>
      <c r="B5739" t="str">
        <f>"1551601774537560"</f>
        <v>1551601774537560</v>
      </c>
      <c r="C5739" t="s">
        <v>40</v>
      </c>
      <c r="D5739">
        <v>5.1988580000000004</v>
      </c>
      <c r="E5739">
        <v>0.3604562</v>
      </c>
      <c r="F5739" t="s">
        <v>57</v>
      </c>
      <c r="G5739">
        <v>-288.96370000000002</v>
      </c>
      <c r="H5739" s="1">
        <v>-2.245044E-6</v>
      </c>
      <c r="I5739">
        <v>-56.860480000000003</v>
      </c>
      <c r="J5739">
        <v>-299.40449999999998</v>
      </c>
      <c r="K5739">
        <v>1.1304749999999999</v>
      </c>
      <c r="L5739">
        <v>-52.751620000000003</v>
      </c>
      <c r="M5739">
        <v>0.40023920000000002</v>
      </c>
      <c r="N5739">
        <v>-1.286291E-2</v>
      </c>
      <c r="O5739">
        <v>-0.91632049999999998</v>
      </c>
      <c r="P5739">
        <v>0.74312109999999998</v>
      </c>
      <c r="Q5739">
        <v>9.4458760000000003E-2</v>
      </c>
      <c r="R5739">
        <v>-0.66245659999999995</v>
      </c>
      <c r="S5739">
        <v>2.9909059999999998</v>
      </c>
      <c r="T5739">
        <v>-0.32015739999999998</v>
      </c>
      <c r="U5739">
        <v>-1.235962</v>
      </c>
      <c r="V5739">
        <v>-0.4182633</v>
      </c>
      <c r="W5739">
        <v>9.6046770000000004E-2</v>
      </c>
      <c r="X5739">
        <v>0.90323350000000002</v>
      </c>
      <c r="Y5739">
        <v>-0.68926239999999905</v>
      </c>
      <c r="Z5739">
        <v>9.6408690000000005E-2</v>
      </c>
      <c r="AA5739">
        <v>0.7180687</v>
      </c>
      <c r="AB5739">
        <v>31</v>
      </c>
      <c r="AC5739">
        <v>10.4407999999999</v>
      </c>
      <c r="AD5739">
        <v>-1.1304772450439999</v>
      </c>
      <c r="AE5739">
        <v>-4.10886</v>
      </c>
      <c r="AF5739">
        <v>-7.8436241817568302</v>
      </c>
      <c r="AG5739">
        <v>-1.1304772450439999</v>
      </c>
      <c r="AH5739">
        <v>7.8646701470471303</v>
      </c>
      <c r="AI5739">
        <v>95.811352034529605</v>
      </c>
      <c r="AJ5739">
        <v>134.923235187719</v>
      </c>
      <c r="AK5739">
        <v>11.164831195681201</v>
      </c>
      <c r="AL5739">
        <v>84.488428959456797</v>
      </c>
      <c r="AM5739">
        <v>114.84759398808799</v>
      </c>
      <c r="AN5739">
        <v>0.99999996283828496</v>
      </c>
    </row>
    <row r="5740" spans="1:40" x14ac:dyDescent="0.25">
      <c r="A5740" t="str">
        <f>"20190303162934564"</f>
        <v>20190303162934564</v>
      </c>
      <c r="B5740" t="str">
        <f>"1551601774558055"</f>
        <v>1551601774558055</v>
      </c>
      <c r="C5740" t="s">
        <v>40</v>
      </c>
      <c r="D5740">
        <v>5.1791130000000001</v>
      </c>
      <c r="E5740">
        <v>0.36084250000000001</v>
      </c>
      <c r="F5740" t="s">
        <v>57</v>
      </c>
      <c r="G5740">
        <v>-288.47609999999997</v>
      </c>
      <c r="H5740" s="1">
        <v>-2.4742489999999998E-6</v>
      </c>
      <c r="I5740">
        <v>-57.127589999999998</v>
      </c>
      <c r="J5740">
        <v>-299.2758</v>
      </c>
      <c r="K5740">
        <v>1.130587</v>
      </c>
      <c r="L5740">
        <v>-53.018590000000003</v>
      </c>
      <c r="M5740">
        <v>0.4108347</v>
      </c>
      <c r="N5740">
        <v>-1.2880040000000001E-2</v>
      </c>
      <c r="O5740">
        <v>-0.91161890000000001</v>
      </c>
      <c r="P5740">
        <v>0.75114179999999997</v>
      </c>
      <c r="Q5740">
        <v>9.7710000000000005E-2</v>
      </c>
      <c r="R5740">
        <v>-0.65287019999999996</v>
      </c>
      <c r="S5740">
        <v>3.004181</v>
      </c>
      <c r="T5740">
        <v>-0.31076540000000002</v>
      </c>
      <c r="U5740">
        <v>-1.202942</v>
      </c>
      <c r="V5740">
        <v>-0.4191008</v>
      </c>
      <c r="W5740">
        <v>9.919356E-2</v>
      </c>
      <c r="X5740">
        <v>0.90250490000000005</v>
      </c>
      <c r="Y5740">
        <v>-0.68908610000000003</v>
      </c>
      <c r="Z5740">
        <v>9.3375100000000003E-2</v>
      </c>
      <c r="AA5740">
        <v>0.71863869999999996</v>
      </c>
      <c r="AB5740">
        <v>31</v>
      </c>
      <c r="AC5740">
        <v>10.7997</v>
      </c>
      <c r="AD5740">
        <v>-1.1305894742489999</v>
      </c>
      <c r="AE5740">
        <v>-4.109</v>
      </c>
      <c r="AF5740">
        <v>-8.0804092599584294</v>
      </c>
      <c r="AG5740">
        <v>-1.1305894742489999</v>
      </c>
      <c r="AH5740">
        <v>8.1058109205490698</v>
      </c>
      <c r="AI5740">
        <v>95.641439742051006</v>
      </c>
      <c r="AJ5740">
        <v>134.91008359373299</v>
      </c>
      <c r="AK5740">
        <v>11.501105035925701</v>
      </c>
      <c r="AL5740">
        <v>84.307265841632599</v>
      </c>
      <c r="AM5740">
        <v>114.90898171555099</v>
      </c>
      <c r="AN5740">
        <v>0.99999996871506103</v>
      </c>
    </row>
    <row r="5741" spans="1:40" x14ac:dyDescent="0.25">
      <c r="A5741" t="str">
        <f>"20190303162934592"</f>
        <v>20190303162934592</v>
      </c>
      <c r="B5741" t="str">
        <f>"1551601774587335"</f>
        <v>1551601774587335</v>
      </c>
      <c r="C5741" t="s">
        <v>40</v>
      </c>
      <c r="D5741">
        <v>5.2765969999999998</v>
      </c>
      <c r="E5741">
        <v>0.3624059</v>
      </c>
      <c r="F5741" t="s">
        <v>57</v>
      </c>
      <c r="G5741">
        <v>-287.85480000000001</v>
      </c>
      <c r="H5741" s="1">
        <v>-2.7733819999999999E-6</v>
      </c>
      <c r="I5741">
        <v>-57.436140000000002</v>
      </c>
      <c r="J5741">
        <v>-299.10329999999999</v>
      </c>
      <c r="K5741">
        <v>1.130787</v>
      </c>
      <c r="L5741">
        <v>-53.363100000000003</v>
      </c>
      <c r="M5741">
        <v>0.42479020000000001</v>
      </c>
      <c r="N5741">
        <v>-1.2913010000000001E-2</v>
      </c>
      <c r="O5741">
        <v>-0.90519989999999995</v>
      </c>
      <c r="P5741">
        <v>0.76033819999999996</v>
      </c>
      <c r="Q5741">
        <v>0.1017411</v>
      </c>
      <c r="R5741">
        <v>-0.64151040000000004</v>
      </c>
      <c r="S5741">
        <v>3.0181269999999998</v>
      </c>
      <c r="T5741">
        <v>-0.29877039999999999</v>
      </c>
      <c r="U5741">
        <v>-1.167389</v>
      </c>
      <c r="V5741">
        <v>-0.41845939999999998</v>
      </c>
      <c r="W5741">
        <v>0.1030988</v>
      </c>
      <c r="X5741">
        <v>0.90236490000000003</v>
      </c>
      <c r="Y5741">
        <v>-0.68684279999999998</v>
      </c>
      <c r="Z5741">
        <v>8.9401220000000003E-2</v>
      </c>
      <c r="AA5741">
        <v>0.7212866</v>
      </c>
      <c r="AB5741">
        <v>31</v>
      </c>
      <c r="AC5741">
        <v>11.2484999999999</v>
      </c>
      <c r="AD5741">
        <v>-1.130789773382</v>
      </c>
      <c r="AE5741">
        <v>-4.07303999999999</v>
      </c>
      <c r="AF5741">
        <v>-8.3778058423570503</v>
      </c>
      <c r="AG5741">
        <v>-1.130789773382</v>
      </c>
      <c r="AH5741">
        <v>8.3909042811008803</v>
      </c>
      <c r="AI5741">
        <v>95.447638275441605</v>
      </c>
      <c r="AJ5741">
        <v>134.95524491149999</v>
      </c>
      <c r="AK5741">
        <v>11.9110700987952</v>
      </c>
      <c r="AL5741">
        <v>84.082358814666406</v>
      </c>
      <c r="AM5741">
        <v>114.878868687341</v>
      </c>
      <c r="AN5741">
        <v>1.0000000223809</v>
      </c>
    </row>
    <row r="5742" spans="1:40" x14ac:dyDescent="0.25">
      <c r="A5742" t="str">
        <f>"20190303162934628"</f>
        <v>20190303162934628</v>
      </c>
      <c r="B5742" t="str">
        <f>"1551601774617592"</f>
        <v>1551601774617592</v>
      </c>
      <c r="C5742" t="s">
        <v>40</v>
      </c>
      <c r="D5742">
        <v>5.3144080000000002</v>
      </c>
      <c r="E5742">
        <v>0.36974299999999999</v>
      </c>
      <c r="F5742" t="s">
        <v>57</v>
      </c>
      <c r="G5742">
        <v>-287.20179999999999</v>
      </c>
      <c r="H5742" s="1">
        <v>-3.0754069999999998E-6</v>
      </c>
      <c r="I5742">
        <v>-57.816380000000002</v>
      </c>
      <c r="J5742">
        <v>-298.87090000000001</v>
      </c>
      <c r="K5742">
        <v>1.1311199999999999</v>
      </c>
      <c r="L5742">
        <v>-53.807499999999997</v>
      </c>
      <c r="M5742">
        <v>0.44323649999999998</v>
      </c>
      <c r="N5742">
        <v>-1.296684E-2</v>
      </c>
      <c r="O5742">
        <v>-0.89631099999999997</v>
      </c>
      <c r="P5742">
        <v>0.76919439999999994</v>
      </c>
      <c r="Q5742">
        <v>0.114299499999999</v>
      </c>
      <c r="R5742">
        <v>-0.62870969999999904</v>
      </c>
      <c r="S5742">
        <v>3.0281370000000001</v>
      </c>
      <c r="T5742">
        <v>-0.28770899999999999</v>
      </c>
      <c r="U5742">
        <v>-1.133057</v>
      </c>
      <c r="V5742">
        <v>-0.41386580000000001</v>
      </c>
      <c r="W5742">
        <v>0.11557050000000001</v>
      </c>
      <c r="X5742">
        <v>0.90297210000000006</v>
      </c>
      <c r="Y5742">
        <v>-0.68026660000000005</v>
      </c>
      <c r="Z5742">
        <v>8.5644869999999998E-2</v>
      </c>
      <c r="AA5742">
        <v>0.72794399999999904</v>
      </c>
      <c r="AB5742">
        <v>31</v>
      </c>
      <c r="AC5742">
        <v>11.6691</v>
      </c>
      <c r="AD5742">
        <v>-1.1311230754070001</v>
      </c>
      <c r="AE5742">
        <v>-4.0088800000000004</v>
      </c>
      <c r="AF5742">
        <v>-8.6106251558932598</v>
      </c>
      <c r="AG5742">
        <v>-1.1311230754070001</v>
      </c>
      <c r="AH5742">
        <v>8.6930529366260103</v>
      </c>
      <c r="AI5742">
        <v>95.281673309999604</v>
      </c>
      <c r="AJ5742">
        <v>134.72706795612601</v>
      </c>
      <c r="AK5742">
        <v>12.287858818606299</v>
      </c>
      <c r="AL5742">
        <v>83.363468481957298</v>
      </c>
      <c r="AM5742">
        <v>114.623752903691</v>
      </c>
      <c r="AN5742">
        <v>1.00000002712914</v>
      </c>
    </row>
    <row r="5743" spans="1:40" x14ac:dyDescent="0.25">
      <c r="A5743" t="str">
        <f>"20190303162934650"</f>
        <v>20190303162934650</v>
      </c>
      <c r="B5743" t="str">
        <f>"1551601774647848"</f>
        <v>1551601774647848</v>
      </c>
      <c r="C5743" t="s">
        <v>40</v>
      </c>
      <c r="D5743">
        <v>5.3221309999999997</v>
      </c>
      <c r="E5743">
        <v>0.37022100000000002</v>
      </c>
      <c r="F5743" t="s">
        <v>57</v>
      </c>
      <c r="G5743">
        <v>-284.27800000000002</v>
      </c>
      <c r="H5743" s="1">
        <v>-4.3442489999999997E-6</v>
      </c>
      <c r="I5743">
        <v>-59.28931</v>
      </c>
      <c r="J5743">
        <v>-298.71949999999998</v>
      </c>
      <c r="K5743">
        <v>1.1313070000000001</v>
      </c>
      <c r="L5743">
        <v>-54.084629999999997</v>
      </c>
      <c r="M5743">
        <v>0.45504299999999998</v>
      </c>
      <c r="N5743">
        <v>-1.3003519999999999E-2</v>
      </c>
      <c r="O5743">
        <v>-0.89037459999999902</v>
      </c>
      <c r="P5743">
        <v>0.77646219999999999</v>
      </c>
      <c r="Q5743">
        <v>0.1180465</v>
      </c>
      <c r="R5743">
        <v>-0.61900880000000003</v>
      </c>
      <c r="S5743">
        <v>3.0104980000000001</v>
      </c>
      <c r="T5743">
        <v>-0.233349</v>
      </c>
      <c r="U5743">
        <v>-1.13089</v>
      </c>
      <c r="V5743">
        <v>-0.41290700000000002</v>
      </c>
      <c r="W5743">
        <v>0.1192073</v>
      </c>
      <c r="X5743">
        <v>0.90293820000000002</v>
      </c>
      <c r="Y5743">
        <v>-0.67100499999999996</v>
      </c>
      <c r="Z5743">
        <v>6.7911330000000006E-2</v>
      </c>
      <c r="AA5743">
        <v>0.73833629999999995</v>
      </c>
      <c r="AB5743">
        <v>31</v>
      </c>
      <c r="AC5743">
        <v>14.4414999999999</v>
      </c>
      <c r="AD5743">
        <v>-1.1313113442489999</v>
      </c>
      <c r="AE5743">
        <v>-5.20467999999999</v>
      </c>
      <c r="AF5743">
        <v>-10.434206333640301</v>
      </c>
      <c r="AG5743">
        <v>-1.1313113442489999</v>
      </c>
      <c r="AH5743">
        <v>11.146027439192499</v>
      </c>
      <c r="AI5743">
        <v>94.237742428955698</v>
      </c>
      <c r="AJ5743">
        <v>133.11079138191599</v>
      </c>
      <c r="AK5743">
        <v>15.3096850015223</v>
      </c>
      <c r="AL5743">
        <v>83.153644045640505</v>
      </c>
      <c r="AM5743">
        <v>114.574269760296</v>
      </c>
      <c r="AN5743">
        <v>0.99999998202076401</v>
      </c>
    </row>
    <row r="5744" spans="1:40" x14ac:dyDescent="0.25">
      <c r="A5744" t="str">
        <f>"20190303162934675"</f>
        <v>20190303162934675</v>
      </c>
      <c r="B5744" t="str">
        <f>"1551601774667368"</f>
        <v>1551601774667368</v>
      </c>
      <c r="C5744" t="s">
        <v>40</v>
      </c>
      <c r="D5744">
        <v>5.3755699999999997</v>
      </c>
      <c r="E5744">
        <v>0.37040420000000002</v>
      </c>
      <c r="F5744" t="s">
        <v>57</v>
      </c>
      <c r="G5744">
        <v>-284.48649999999998</v>
      </c>
      <c r="H5744" s="1">
        <v>-4.251207E-6</v>
      </c>
      <c r="I5744">
        <v>-59.266179999999999</v>
      </c>
      <c r="J5744">
        <v>-298.55849999999998</v>
      </c>
      <c r="K5744">
        <v>1.1314759999999999</v>
      </c>
      <c r="L5744">
        <v>-54.369689999999999</v>
      </c>
      <c r="M5744">
        <v>0.46741949999999999</v>
      </c>
      <c r="N5744">
        <v>-1.304227E-2</v>
      </c>
      <c r="O5744">
        <v>-0.88393949999999999</v>
      </c>
      <c r="P5744">
        <v>0.78430519999999904</v>
      </c>
      <c r="Q5744">
        <v>0.119808399999999</v>
      </c>
      <c r="R5744">
        <v>-0.60869659999999903</v>
      </c>
      <c r="S5744">
        <v>3.022888</v>
      </c>
      <c r="T5744">
        <v>-0.24027560000000001</v>
      </c>
      <c r="U5744">
        <v>-1.1004940000000001</v>
      </c>
      <c r="V5744">
        <v>-0.41209950000000001</v>
      </c>
      <c r="W5744">
        <v>0.12085799999999999</v>
      </c>
      <c r="X5744">
        <v>0.90308770000000005</v>
      </c>
      <c r="Y5744">
        <v>-0.66804989999999997</v>
      </c>
      <c r="Z5744">
        <v>7.0070830000000001E-2</v>
      </c>
      <c r="AA5744">
        <v>0.74080999999999997</v>
      </c>
      <c r="AB5744">
        <v>31</v>
      </c>
      <c r="AC5744">
        <v>14.071999999999999</v>
      </c>
      <c r="AD5744">
        <v>-1.1314802512069999</v>
      </c>
      <c r="AE5744">
        <v>-4.89649</v>
      </c>
      <c r="AF5744">
        <v>-10.0927399891671</v>
      </c>
      <c r="AG5744">
        <v>-1.1314802512069999</v>
      </c>
      <c r="AH5744">
        <v>10.8441174396295</v>
      </c>
      <c r="AI5744">
        <v>94.367684287021902</v>
      </c>
      <c r="AJ5744">
        <v>132.944663425127</v>
      </c>
      <c r="AK5744">
        <v>14.8572719936158</v>
      </c>
      <c r="AL5744">
        <v>83.058377396719493</v>
      </c>
      <c r="AM5744">
        <v>114.528294831312</v>
      </c>
      <c r="AN5744">
        <v>1.00000002397776</v>
      </c>
    </row>
    <row r="5745" spans="1:40" x14ac:dyDescent="0.25">
      <c r="A5745" t="str">
        <f>"20190303162934696"</f>
        <v>20190303162934696</v>
      </c>
      <c r="B5745" t="str">
        <f>"1551601774687865"</f>
        <v>1551601774687865</v>
      </c>
      <c r="C5745" t="s">
        <v>40</v>
      </c>
      <c r="D5745">
        <v>5.3251720000000002</v>
      </c>
      <c r="E5745">
        <v>0.3711082</v>
      </c>
      <c r="F5745" t="s">
        <v>57</v>
      </c>
      <c r="G5745">
        <v>-284.61329999999998</v>
      </c>
      <c r="H5745" s="1">
        <v>-4.1935520000000003E-6</v>
      </c>
      <c r="I5745">
        <v>-59.258310000000002</v>
      </c>
      <c r="J5745">
        <v>-298.40890000000002</v>
      </c>
      <c r="K5745">
        <v>1.1316250000000001</v>
      </c>
      <c r="L5745">
        <v>-54.626280000000001</v>
      </c>
      <c r="M5745">
        <v>0.47876649999999998</v>
      </c>
      <c r="N5745">
        <v>-1.307848E-2</v>
      </c>
      <c r="O5745">
        <v>-0.87784499999999999</v>
      </c>
      <c r="P5745">
        <v>0.79144110000000001</v>
      </c>
      <c r="Q5745">
        <v>0.1193574</v>
      </c>
      <c r="R5745">
        <v>-0.59947910000000004</v>
      </c>
      <c r="S5745">
        <v>3.03653</v>
      </c>
      <c r="T5745">
        <v>-0.2463766</v>
      </c>
      <c r="U5745">
        <v>-1.064484</v>
      </c>
      <c r="V5745">
        <v>-0.4111242</v>
      </c>
      <c r="W5745">
        <v>0.12032030000000001</v>
      </c>
      <c r="X5745">
        <v>0.90360390000000002</v>
      </c>
      <c r="Y5745">
        <v>-0.66720230000000003</v>
      </c>
      <c r="Z5745">
        <v>7.2009089999999998E-2</v>
      </c>
      <c r="AA5745">
        <v>0.74138780000000004</v>
      </c>
      <c r="AB5745">
        <v>31</v>
      </c>
      <c r="AC5745">
        <v>13.7956</v>
      </c>
      <c r="AD5745">
        <v>-1.131629193552</v>
      </c>
      <c r="AE5745">
        <v>-4.6320299999999897</v>
      </c>
      <c r="AF5745">
        <v>-9.8341163807249998</v>
      </c>
      <c r="AG5745">
        <v>-1.131629193552</v>
      </c>
      <c r="AH5745">
        <v>10.6078420028223</v>
      </c>
      <c r="AI5745">
        <v>94.473266237263402</v>
      </c>
      <c r="AJ5745">
        <v>132.83239647753101</v>
      </c>
      <c r="AK5745">
        <v>14.5091950699611</v>
      </c>
      <c r="AL5745">
        <v>83.089411958355001</v>
      </c>
      <c r="AM5745">
        <v>114.464716937546</v>
      </c>
      <c r="AN5745">
        <v>1.0000000452564599</v>
      </c>
    </row>
    <row r="5746" spans="1:40" x14ac:dyDescent="0.25">
      <c r="A5746" t="str">
        <f>"20190303162934717"</f>
        <v>20190303162934717</v>
      </c>
      <c r="B5746" t="str">
        <f>"1551601774707384"</f>
        <v>1551601774707384</v>
      </c>
      <c r="C5746" t="s">
        <v>40</v>
      </c>
      <c r="D5746">
        <v>5.3500449999999997</v>
      </c>
      <c r="E5746">
        <v>0.37378159999999999</v>
      </c>
      <c r="F5746" t="s">
        <v>57</v>
      </c>
      <c r="G5746">
        <v>-285.11689999999999</v>
      </c>
      <c r="H5746" s="1">
        <v>-3.9728170000000002E-6</v>
      </c>
      <c r="I5746">
        <v>-59.146999999999998</v>
      </c>
      <c r="J5746">
        <v>-298.26350000000002</v>
      </c>
      <c r="K5746">
        <v>1.13175</v>
      </c>
      <c r="L5746">
        <v>-54.868319999999997</v>
      </c>
      <c r="M5746">
        <v>0.4896375</v>
      </c>
      <c r="N5746">
        <v>-1.3113639999999999E-2</v>
      </c>
      <c r="O5746">
        <v>-0.87182749999999998</v>
      </c>
      <c r="P5746">
        <v>0.79900689999999996</v>
      </c>
      <c r="Q5746">
        <v>0.1186702</v>
      </c>
      <c r="R5746">
        <v>-0.58949619999999903</v>
      </c>
      <c r="S5746">
        <v>3.0451350000000001</v>
      </c>
      <c r="T5746">
        <v>-0.25925140000000002</v>
      </c>
      <c r="U5746">
        <v>-1.0356749999999999</v>
      </c>
      <c r="V5746">
        <v>-0.411352</v>
      </c>
      <c r="W5746">
        <v>0.11952110000000001</v>
      </c>
      <c r="X5746">
        <v>0.90360620000000003</v>
      </c>
      <c r="Y5746">
        <v>-0.66455790000000003</v>
      </c>
      <c r="Z5746">
        <v>7.6131470000000007E-2</v>
      </c>
      <c r="AA5746">
        <v>0.74334840000000002</v>
      </c>
      <c r="AB5746">
        <v>31</v>
      </c>
      <c r="AC5746">
        <v>13.146599999999999</v>
      </c>
      <c r="AD5746">
        <v>-1.1317539728170001</v>
      </c>
      <c r="AE5746">
        <v>-4.2786799999999996</v>
      </c>
      <c r="AF5746">
        <v>-9.3050158346256602</v>
      </c>
      <c r="AG5746">
        <v>-1.1317539728170001</v>
      </c>
      <c r="AH5746">
        <v>10.100527815605099</v>
      </c>
      <c r="AI5746">
        <v>94.711063636592399</v>
      </c>
      <c r="AJ5746">
        <v>132.65252789111599</v>
      </c>
      <c r="AK5746">
        <v>13.779871149304499</v>
      </c>
      <c r="AL5746">
        <v>83.135535029366295</v>
      </c>
      <c r="AM5746">
        <v>114.476627870992</v>
      </c>
      <c r="AN5746">
        <v>0.99999996296382399</v>
      </c>
    </row>
    <row r="5747" spans="1:40" x14ac:dyDescent="0.25">
      <c r="A5747" t="str">
        <f>"20190303162934738"</f>
        <v>20190303162934738</v>
      </c>
      <c r="B5747" t="str">
        <f>"1551601774727881"</f>
        <v>1551601774727881</v>
      </c>
      <c r="C5747" t="s">
        <v>40</v>
      </c>
      <c r="D5747">
        <v>5.3380809999999999</v>
      </c>
      <c r="E5747">
        <v>0.37464750000000002</v>
      </c>
      <c r="F5747" t="s">
        <v>57</v>
      </c>
      <c r="G5747">
        <v>-288.02269999999999</v>
      </c>
      <c r="H5747" s="1">
        <v>-2.4808789999999999E-6</v>
      </c>
      <c r="I5747">
        <v>-58.304679999999998</v>
      </c>
      <c r="J5747">
        <v>-298.10829999999999</v>
      </c>
      <c r="K5747">
        <v>1.131856</v>
      </c>
      <c r="L5747">
        <v>-55.119169999999997</v>
      </c>
      <c r="M5747">
        <v>0.50104709999999997</v>
      </c>
      <c r="N5747">
        <v>-1.3148669999999999E-2</v>
      </c>
      <c r="O5747">
        <v>-0.86532009999999904</v>
      </c>
      <c r="P5747">
        <v>0.80809799999999998</v>
      </c>
      <c r="Q5747">
        <v>0.116341899999999</v>
      </c>
      <c r="R5747">
        <v>-0.57744469999999903</v>
      </c>
      <c r="S5747">
        <v>3.0497130000000001</v>
      </c>
      <c r="T5747">
        <v>-0.33703509999999998</v>
      </c>
      <c r="U5747">
        <v>-1.0233460000000001</v>
      </c>
      <c r="V5747">
        <v>-0.41330610000000001</v>
      </c>
      <c r="W5747">
        <v>0.1170344</v>
      </c>
      <c r="X5747">
        <v>0.90303990000000001</v>
      </c>
      <c r="Y5747">
        <v>-0.65541430000000001</v>
      </c>
      <c r="Z5747">
        <v>0.100984</v>
      </c>
      <c r="AA5747">
        <v>0.74848800000000004</v>
      </c>
      <c r="AB5747">
        <v>31</v>
      </c>
      <c r="AC5747">
        <v>10.085599999999999</v>
      </c>
      <c r="AD5747">
        <v>-1.131858480879</v>
      </c>
      <c r="AE5747">
        <v>-3.1855099999999998</v>
      </c>
      <c r="AF5747">
        <v>-7.0510495881519804</v>
      </c>
      <c r="AG5747">
        <v>-1.131858480879</v>
      </c>
      <c r="AH5747">
        <v>7.7220881229669001</v>
      </c>
      <c r="AI5747">
        <v>96.177630881193494</v>
      </c>
      <c r="AJ5747">
        <v>132.399248072332</v>
      </c>
      <c r="AK5747">
        <v>10.518034459640299</v>
      </c>
      <c r="AL5747">
        <v>83.279020070491597</v>
      </c>
      <c r="AM5747">
        <v>114.592769153389</v>
      </c>
      <c r="AN5747">
        <v>1.0000000220362799</v>
      </c>
    </row>
    <row r="5748" spans="1:40" x14ac:dyDescent="0.25">
      <c r="A5748" t="str">
        <f>"20190303162934762"</f>
        <v>20190303162934762</v>
      </c>
      <c r="B5748" t="str">
        <f>"1551601774758136"</f>
        <v>1551601774758136</v>
      </c>
      <c r="C5748" t="s">
        <v>40</v>
      </c>
      <c r="D5748">
        <v>5.3824139999999998</v>
      </c>
      <c r="E5748">
        <v>0.37613029999999997</v>
      </c>
      <c r="F5748" t="s">
        <v>57</v>
      </c>
      <c r="G5748">
        <v>-288.45350000000002</v>
      </c>
      <c r="H5748" s="1">
        <v>-2.2425780000000002E-6</v>
      </c>
      <c r="I5748">
        <v>-58.229599999999998</v>
      </c>
      <c r="J5748">
        <v>-297.94130000000001</v>
      </c>
      <c r="K5748">
        <v>1.131945</v>
      </c>
      <c r="L5748">
        <v>-55.381320000000002</v>
      </c>
      <c r="M5748">
        <v>0.51309209999999905</v>
      </c>
      <c r="N5748">
        <v>-1.318101E-2</v>
      </c>
      <c r="O5748">
        <v>-0.85823240000000001</v>
      </c>
      <c r="P5748">
        <v>0.81814709999999902</v>
      </c>
      <c r="Q5748">
        <v>0.1111531</v>
      </c>
      <c r="R5748">
        <v>-0.56416359999999999</v>
      </c>
      <c r="S5748">
        <v>3.0596920000000001</v>
      </c>
      <c r="T5748">
        <v>-0.35869509999999899</v>
      </c>
      <c r="U5748">
        <v>-0.98571779999999998</v>
      </c>
      <c r="V5748">
        <v>-0.41595270000000001</v>
      </c>
      <c r="W5748">
        <v>0.1116772</v>
      </c>
      <c r="X5748">
        <v>0.90250300000000006</v>
      </c>
      <c r="Y5748">
        <v>-0.65316660000000004</v>
      </c>
      <c r="Z5748">
        <v>0.10781590000000001</v>
      </c>
      <c r="AA5748">
        <v>0.74949929999999998</v>
      </c>
      <c r="AB5748">
        <v>31</v>
      </c>
      <c r="AC5748">
        <v>9.4877999999999894</v>
      </c>
      <c r="AD5748">
        <v>-1.1319472425779999</v>
      </c>
      <c r="AE5748">
        <v>-2.8482799999999999</v>
      </c>
      <c r="AF5748">
        <v>-6.5957661393632696</v>
      </c>
      <c r="AG5748">
        <v>-1.1319472425779999</v>
      </c>
      <c r="AH5748">
        <v>7.2189776453244097</v>
      </c>
      <c r="AI5748">
        <v>96.603144462225998</v>
      </c>
      <c r="AJ5748">
        <v>132.41702079666501</v>
      </c>
      <c r="AK5748">
        <v>9.8437327152277199</v>
      </c>
      <c r="AL5748">
        <v>83.587992516459593</v>
      </c>
      <c r="AM5748">
        <v>114.74440363676599</v>
      </c>
      <c r="AN5748">
        <v>1.0000000553230599</v>
      </c>
    </row>
    <row r="5749" spans="1:40" x14ac:dyDescent="0.25">
      <c r="A5749" t="str">
        <f>"20190303162934790"</f>
        <v>20190303162934790</v>
      </c>
      <c r="B5749" t="str">
        <f>"1551601774777656"</f>
        <v>1551601774777656</v>
      </c>
      <c r="C5749" t="s">
        <v>40</v>
      </c>
      <c r="D5749">
        <v>5.3586549999999997</v>
      </c>
      <c r="E5749">
        <v>0.37697920000000001</v>
      </c>
      <c r="F5749" t="s">
        <v>57</v>
      </c>
      <c r="G5749">
        <v>-288.84339999999997</v>
      </c>
      <c r="H5749" s="1">
        <v>-2.0226520000000001E-6</v>
      </c>
      <c r="I5749">
        <v>-58.180840000000003</v>
      </c>
      <c r="J5749">
        <v>-297.73360000000002</v>
      </c>
      <c r="K5749">
        <v>1.1320239999999999</v>
      </c>
      <c r="L5749">
        <v>-55.695399999999999</v>
      </c>
      <c r="M5749">
        <v>0.52767569999999997</v>
      </c>
      <c r="N5749">
        <v>-1.3212990000000001E-2</v>
      </c>
      <c r="O5749">
        <v>-0.84934330000000002</v>
      </c>
      <c r="P5749">
        <v>0.82937269999999896</v>
      </c>
      <c r="Q5749">
        <v>0.1065354</v>
      </c>
      <c r="R5749">
        <v>-0.54844440000000005</v>
      </c>
      <c r="S5749">
        <v>3.0677189999999999</v>
      </c>
      <c r="T5749">
        <v>-0.38168059999999998</v>
      </c>
      <c r="U5749">
        <v>-0.94396970000000002</v>
      </c>
      <c r="V5749">
        <v>-0.41818260000000002</v>
      </c>
      <c r="W5749">
        <v>0.1069113</v>
      </c>
      <c r="X5749">
        <v>0.90204949999999995</v>
      </c>
      <c r="Y5749">
        <v>-0.64925409999999995</v>
      </c>
      <c r="Z5749">
        <v>0.1149732</v>
      </c>
      <c r="AA5749">
        <v>0.75183129999999998</v>
      </c>
      <c r="AB5749">
        <v>31</v>
      </c>
      <c r="AC5749">
        <v>8.8902000000000498</v>
      </c>
      <c r="AD5749">
        <v>-1.132026022652</v>
      </c>
      <c r="AE5749">
        <v>-2.4854400000000001</v>
      </c>
      <c r="AF5749">
        <v>-6.1474209503315098</v>
      </c>
      <c r="AG5749">
        <v>-1.132026022652</v>
      </c>
      <c r="AH5749">
        <v>6.7019396457210396</v>
      </c>
      <c r="AI5749">
        <v>97.095457095417203</v>
      </c>
      <c r="AJ5749">
        <v>132.52891367265499</v>
      </c>
      <c r="AK5749">
        <v>9.1645110219489396</v>
      </c>
      <c r="AL5749">
        <v>83.862704106462303</v>
      </c>
      <c r="AM5749">
        <v>114.87204440355001</v>
      </c>
      <c r="AN5749">
        <v>1.0000000067303401</v>
      </c>
    </row>
    <row r="5750" spans="1:40" x14ac:dyDescent="0.25">
      <c r="A5750" t="str">
        <f>"20190303162934814"</f>
        <v>20190303162934814</v>
      </c>
      <c r="B5750" t="str">
        <f>"1551601774807912"</f>
        <v>1551601774807912</v>
      </c>
      <c r="C5750" t="s">
        <v>40</v>
      </c>
      <c r="D5750">
        <v>5.4225500000000002</v>
      </c>
      <c r="E5750">
        <v>0.3784401</v>
      </c>
      <c r="F5750" t="s">
        <v>57</v>
      </c>
      <c r="G5750">
        <v>-288.95370000000003</v>
      </c>
      <c r="H5750" s="1">
        <v>-1.946955E-6</v>
      </c>
      <c r="I5750">
        <v>-58.22748</v>
      </c>
      <c r="J5750">
        <v>-297.53719999999998</v>
      </c>
      <c r="K5750">
        <v>1.1320760000000001</v>
      </c>
      <c r="L5750">
        <v>-55.982210000000002</v>
      </c>
      <c r="M5750">
        <v>0.54108440000000002</v>
      </c>
      <c r="N5750">
        <v>-1.3237219999999999E-2</v>
      </c>
      <c r="O5750">
        <v>-0.84086419999999995</v>
      </c>
      <c r="P5750">
        <v>0.83919719999999998</v>
      </c>
      <c r="Q5750">
        <v>0.1035874</v>
      </c>
      <c r="R5750">
        <v>-0.53387090000000004</v>
      </c>
      <c r="S5750">
        <v>3.0806879999999999</v>
      </c>
      <c r="T5750">
        <v>-0.39720610000000001</v>
      </c>
      <c r="U5750">
        <v>-0.88845830000000003</v>
      </c>
      <c r="V5750">
        <v>-0.41987999999999998</v>
      </c>
      <c r="W5750">
        <v>0.10385519999999999</v>
      </c>
      <c r="X5750">
        <v>0.90161789999999997</v>
      </c>
      <c r="Y5750">
        <v>-0.64993429999999996</v>
      </c>
      <c r="Z5750">
        <v>0.119866899999999</v>
      </c>
      <c r="AA5750">
        <v>0.75047810000000004</v>
      </c>
      <c r="AB5750">
        <v>31</v>
      </c>
      <c r="AC5750">
        <v>8.5834999999999493</v>
      </c>
      <c r="AD5750">
        <v>-1.132077946955</v>
      </c>
      <c r="AE5750">
        <v>-2.2452700000000099</v>
      </c>
      <c r="AF5750">
        <v>-5.90703062687101</v>
      </c>
      <c r="AG5750">
        <v>-1.132077946955</v>
      </c>
      <c r="AH5750">
        <v>6.4282784006981402</v>
      </c>
      <c r="AI5750">
        <v>97.388560024203997</v>
      </c>
      <c r="AJ5750">
        <v>132.580316757498</v>
      </c>
      <c r="AK5750">
        <v>8.8032593112810407</v>
      </c>
      <c r="AL5750">
        <v>84.038786113646395</v>
      </c>
      <c r="AM5750">
        <v>114.971215013525</v>
      </c>
      <c r="AN5750">
        <v>0.99999997728372403</v>
      </c>
    </row>
    <row r="5751" spans="1:40" x14ac:dyDescent="0.25">
      <c r="A5751" t="str">
        <f>"20190303162934840"</f>
        <v>20190303162934840</v>
      </c>
      <c r="B5751" t="str">
        <f>"1551601774827432"</f>
        <v>1551601774827432</v>
      </c>
      <c r="C5751" t="s">
        <v>40</v>
      </c>
      <c r="D5751">
        <v>5.3928390000000004</v>
      </c>
      <c r="E5751">
        <v>0.3792276</v>
      </c>
      <c r="F5751" t="s">
        <v>57</v>
      </c>
      <c r="G5751">
        <v>-288.9522</v>
      </c>
      <c r="H5751" s="1">
        <v>-1.9257379999999998E-6</v>
      </c>
      <c r="I5751">
        <v>-58.326970000000003</v>
      </c>
      <c r="J5751">
        <v>-297.34059999999999</v>
      </c>
      <c r="K5751">
        <v>1.1321159999999999</v>
      </c>
      <c r="L5751">
        <v>-56.260190000000001</v>
      </c>
      <c r="M5751">
        <v>0.55413469999999998</v>
      </c>
      <c r="N5751">
        <v>-1.3257089999999999E-2</v>
      </c>
      <c r="O5751">
        <v>-0.83232150000000005</v>
      </c>
      <c r="P5751">
        <v>0.84833210000000003</v>
      </c>
      <c r="Q5751">
        <v>0.101026</v>
      </c>
      <c r="R5751">
        <v>-0.51973729999999996</v>
      </c>
      <c r="S5751">
        <v>3.08847</v>
      </c>
      <c r="T5751">
        <v>-0.40726950000000001</v>
      </c>
      <c r="U5751">
        <v>-0.84353639999999996</v>
      </c>
      <c r="V5751">
        <v>-0.42112169999999999</v>
      </c>
      <c r="W5751">
        <v>0.1012142</v>
      </c>
      <c r="X5751">
        <v>0.90133909999999995</v>
      </c>
      <c r="Y5751">
        <v>-0.64833819999999998</v>
      </c>
      <c r="Z5751">
        <v>0.1228881</v>
      </c>
      <c r="AA5751">
        <v>0.75136950000000002</v>
      </c>
      <c r="AB5751">
        <v>31</v>
      </c>
      <c r="AC5751">
        <v>8.3883999999999901</v>
      </c>
      <c r="AD5751">
        <v>-1.1321179257380001</v>
      </c>
      <c r="AE5751">
        <v>-2.0667799999999898</v>
      </c>
      <c r="AF5751">
        <v>-5.7385395354973499</v>
      </c>
      <c r="AG5751">
        <v>-1.1321179257380001</v>
      </c>
      <c r="AH5751">
        <v>6.2615625123244198</v>
      </c>
      <c r="AI5751">
        <v>97.592412053406704</v>
      </c>
      <c r="AJ5751">
        <v>132.50434995346001</v>
      </c>
      <c r="AK5751">
        <v>8.5685291674820192</v>
      </c>
      <c r="AL5751">
        <v>84.190906131567999</v>
      </c>
      <c r="AM5751">
        <v>115.04282001791699</v>
      </c>
      <c r="AN5751">
        <v>0.99999998684066904</v>
      </c>
    </row>
    <row r="5752" spans="1:40" x14ac:dyDescent="0.25">
      <c r="A5752" t="str">
        <f>"20190303162934860"</f>
        <v>20190303162934860</v>
      </c>
      <c r="B5752" t="str">
        <f>"1551601774847928"</f>
        <v>1551601774847928</v>
      </c>
      <c r="C5752" t="s">
        <v>40</v>
      </c>
      <c r="D5752">
        <v>5.4076040000000001</v>
      </c>
      <c r="E5752">
        <v>0.38630330000000002</v>
      </c>
      <c r="F5752" t="s">
        <v>57</v>
      </c>
      <c r="G5752">
        <v>-288.89089999999999</v>
      </c>
      <c r="H5752" s="1">
        <v>-1.937804E-6</v>
      </c>
      <c r="I5752">
        <v>-58.43591</v>
      </c>
      <c r="J5752">
        <v>-297.17680000000001</v>
      </c>
      <c r="K5752">
        <v>1.132147</v>
      </c>
      <c r="L5752">
        <v>-56.484830000000002</v>
      </c>
      <c r="M5752">
        <v>0.56472250000000002</v>
      </c>
      <c r="N5752">
        <v>-1.32747E-2</v>
      </c>
      <c r="O5752">
        <v>-0.82517399999999996</v>
      </c>
      <c r="P5752">
        <v>0.85492139999999905</v>
      </c>
      <c r="Q5752">
        <v>0.1001441</v>
      </c>
      <c r="R5752">
        <v>-0.5089998</v>
      </c>
      <c r="S5752">
        <v>3.097137</v>
      </c>
      <c r="T5752">
        <v>-0.41496559999999999</v>
      </c>
      <c r="U5752">
        <v>-0.79748540000000001</v>
      </c>
      <c r="V5752">
        <v>-0.42104229999999998</v>
      </c>
      <c r="W5752">
        <v>0.1003105</v>
      </c>
      <c r="X5752">
        <v>0.90147719999999998</v>
      </c>
      <c r="Y5752">
        <v>-0.64929130000000002</v>
      </c>
      <c r="Z5752">
        <v>0.12526999999999999</v>
      </c>
      <c r="AA5752">
        <v>0.75015209999999999</v>
      </c>
      <c r="AB5752">
        <v>31</v>
      </c>
      <c r="AC5752">
        <v>8.2859000000000194</v>
      </c>
      <c r="AD5752">
        <v>-1.1321489378039999</v>
      </c>
      <c r="AE5752">
        <v>-1.9510799999999899</v>
      </c>
      <c r="AF5752">
        <v>-5.6362984898120496</v>
      </c>
      <c r="AG5752">
        <v>-1.1321489378039999</v>
      </c>
      <c r="AH5752">
        <v>6.1804463306240196</v>
      </c>
      <c r="AI5752">
        <v>97.708184773597296</v>
      </c>
      <c r="AJ5752">
        <v>132.363456181918</v>
      </c>
      <c r="AK5752">
        <v>8.4408257137173699</v>
      </c>
      <c r="AL5752">
        <v>84.242949153633305</v>
      </c>
      <c r="AM5752">
        <v>115.035311184845</v>
      </c>
      <c r="AN5752">
        <v>0.99999997845968902</v>
      </c>
    </row>
    <row r="5753" spans="1:40" x14ac:dyDescent="0.25">
      <c r="A5753" t="str">
        <f>"20190303162934882"</f>
        <v>20190303162934882</v>
      </c>
      <c r="B5753" t="str">
        <f>"1551601774878184"</f>
        <v>1551601774878184</v>
      </c>
      <c r="C5753" t="s">
        <v>40</v>
      </c>
      <c r="D5753">
        <v>5.4370320000000003</v>
      </c>
      <c r="E5753">
        <v>0.38804860000000002</v>
      </c>
      <c r="F5753" t="s">
        <v>57</v>
      </c>
      <c r="G5753">
        <v>-288.23970000000003</v>
      </c>
      <c r="H5753" s="1">
        <v>-2.23734E-6</v>
      </c>
      <c r="I5753">
        <v>-58.822339999999997</v>
      </c>
      <c r="J5753">
        <v>-297.00139999999999</v>
      </c>
      <c r="K5753">
        <v>1.132185</v>
      </c>
      <c r="L5753">
        <v>-56.718870000000003</v>
      </c>
      <c r="M5753">
        <v>0.57579259999999999</v>
      </c>
      <c r="N5753">
        <v>-1.3296270000000001E-2</v>
      </c>
      <c r="O5753">
        <v>-0.81748790000000005</v>
      </c>
      <c r="P5753">
        <v>0.86116309999999996</v>
      </c>
      <c r="Q5753">
        <v>9.9898989999999993E-2</v>
      </c>
      <c r="R5753">
        <v>-0.49841629999999998</v>
      </c>
      <c r="S5753">
        <v>3.0757750000000001</v>
      </c>
      <c r="T5753">
        <v>-0.38963969999999998</v>
      </c>
      <c r="U5753">
        <v>-0.80447389999999996</v>
      </c>
      <c r="V5753">
        <v>-0.42003809999999903</v>
      </c>
      <c r="W5753">
        <v>0.1000742</v>
      </c>
      <c r="X5753">
        <v>0.90197179999999999</v>
      </c>
      <c r="Y5753">
        <v>-0.63726569999999905</v>
      </c>
      <c r="Z5753">
        <v>0.1169477</v>
      </c>
      <c r="AA5753">
        <v>0.76171889999999998</v>
      </c>
      <c r="AB5753">
        <v>31</v>
      </c>
      <c r="AC5753">
        <v>8.7616999999999603</v>
      </c>
      <c r="AD5753">
        <v>-1.1321872373399999</v>
      </c>
      <c r="AE5753">
        <v>-2.1034700000000002</v>
      </c>
      <c r="AF5753">
        <v>-5.8594382800813403</v>
      </c>
      <c r="AG5753">
        <v>-1.1321872373399999</v>
      </c>
      <c r="AH5753">
        <v>6.6599339138013098</v>
      </c>
      <c r="AI5753">
        <v>97.273535769665102</v>
      </c>
      <c r="AJ5753">
        <v>131.34145636624001</v>
      </c>
      <c r="AK5753">
        <v>8.9425714777506293</v>
      </c>
      <c r="AL5753">
        <v>84.256556681731297</v>
      </c>
      <c r="AM5753">
        <v>114.97086474588799</v>
      </c>
      <c r="AN5753">
        <v>0.99999998947624402</v>
      </c>
    </row>
    <row r="5754" spans="1:40" x14ac:dyDescent="0.25">
      <c r="A5754" t="str">
        <f>"20190303162934901"</f>
        <v>20190303162934901</v>
      </c>
      <c r="B5754" t="str">
        <f>"1551601774887944"</f>
        <v>1551601774887944</v>
      </c>
      <c r="C5754" t="s">
        <v>40</v>
      </c>
      <c r="D5754">
        <v>5.4112479999999996</v>
      </c>
      <c r="E5754">
        <v>0.38853189999999999</v>
      </c>
      <c r="F5754" t="s">
        <v>57</v>
      </c>
      <c r="G5754">
        <v>-287.80520000000001</v>
      </c>
      <c r="H5754" s="1">
        <v>-2.4470750000000002E-6</v>
      </c>
      <c r="I5754">
        <v>-59.035800000000002</v>
      </c>
      <c r="J5754">
        <v>-296.84140000000002</v>
      </c>
      <c r="K5754">
        <v>1.132231</v>
      </c>
      <c r="L5754">
        <v>-56.926639999999999</v>
      </c>
      <c r="M5754">
        <v>0.58567150000000001</v>
      </c>
      <c r="N5754">
        <v>-1.3318409999999999E-2</v>
      </c>
      <c r="O5754">
        <v>-0.81043920000000003</v>
      </c>
      <c r="P5754">
        <v>0.86667839999999996</v>
      </c>
      <c r="Q5754">
        <v>9.9949609999999994E-2</v>
      </c>
      <c r="R5754">
        <v>-0.48875289999999999</v>
      </c>
      <c r="S5754">
        <v>3.078735</v>
      </c>
      <c r="T5754">
        <v>-0.37903619999999999</v>
      </c>
      <c r="U5754">
        <v>-0.7756653</v>
      </c>
      <c r="V5754">
        <v>-0.41918749999999999</v>
      </c>
      <c r="W5754">
        <v>0.10012450000000001</v>
      </c>
      <c r="X5754">
        <v>0.90236179999999999</v>
      </c>
      <c r="Y5754">
        <v>-0.63528189999999995</v>
      </c>
      <c r="Z5754">
        <v>0.1133426</v>
      </c>
      <c r="AA5754">
        <v>0.76391779999999998</v>
      </c>
      <c r="AB5754">
        <v>31</v>
      </c>
      <c r="AC5754">
        <v>9.0361999999999991</v>
      </c>
      <c r="AD5754">
        <v>-1.132233447075</v>
      </c>
      <c r="AE5754">
        <v>-2.1091600000000001</v>
      </c>
      <c r="AF5754">
        <v>-5.9992335184162702</v>
      </c>
      <c r="AG5754">
        <v>-1.132233447075</v>
      </c>
      <c r="AH5754">
        <v>6.8994856963040903</v>
      </c>
      <c r="AI5754">
        <v>97.059377335005394</v>
      </c>
      <c r="AJ5754">
        <v>131.00757716330301</v>
      </c>
      <c r="AK5754">
        <v>9.21279861175036</v>
      </c>
      <c r="AL5754">
        <v>84.253659910428397</v>
      </c>
      <c r="AM5754">
        <v>114.916980613707</v>
      </c>
      <c r="AN5754">
        <v>0.99999994687786797</v>
      </c>
    </row>
    <row r="5755" spans="1:40" x14ac:dyDescent="0.25">
      <c r="A5755" t="str">
        <f>"20190303162934918"</f>
        <v>20190303162934918</v>
      </c>
      <c r="B5755" t="str">
        <f>"1551601774907464"</f>
        <v>1551601774907464</v>
      </c>
      <c r="C5755" t="s">
        <v>40</v>
      </c>
      <c r="D5755">
        <v>5.4516169999999997</v>
      </c>
      <c r="E5755">
        <v>0.39183119999999999</v>
      </c>
      <c r="F5755" t="s">
        <v>57</v>
      </c>
      <c r="G5755">
        <v>-287.52539999999999</v>
      </c>
      <c r="H5755" s="1">
        <v>-2.5827100000000001E-6</v>
      </c>
      <c r="I5755">
        <v>-59.170679999999997</v>
      </c>
      <c r="J5755">
        <v>-296.69490000000002</v>
      </c>
      <c r="K5755">
        <v>1.1322950000000001</v>
      </c>
      <c r="L5755">
        <v>-57.112090000000002</v>
      </c>
      <c r="M5755">
        <v>0.59454530000000005</v>
      </c>
      <c r="N5755">
        <v>-1.3340609999999999E-2</v>
      </c>
      <c r="O5755">
        <v>-0.80395169999999905</v>
      </c>
      <c r="P5755">
        <v>0.87170509999999901</v>
      </c>
      <c r="Q5755">
        <v>0.1017102</v>
      </c>
      <c r="R5755">
        <v>-0.4793598</v>
      </c>
      <c r="S5755">
        <v>3.0855709999999998</v>
      </c>
      <c r="T5755">
        <v>-0.37500879999999998</v>
      </c>
      <c r="U5755">
        <v>-0.74325559999999902</v>
      </c>
      <c r="V5755">
        <v>-0.41891869999999998</v>
      </c>
      <c r="W5755">
        <v>0.1018565</v>
      </c>
      <c r="X5755">
        <v>0.90229280000000001</v>
      </c>
      <c r="Y5755">
        <v>-0.63498160000000003</v>
      </c>
      <c r="Z5755">
        <v>0.111821699999999</v>
      </c>
      <c r="AA5755">
        <v>0.7643915</v>
      </c>
      <c r="AB5755">
        <v>31</v>
      </c>
      <c r="AC5755">
        <v>9.1695000000000206</v>
      </c>
      <c r="AD5755">
        <v>-1.1322975827099999</v>
      </c>
      <c r="AE5755">
        <v>-2.0585900000000001</v>
      </c>
      <c r="AF5755">
        <v>-6.0604765464359698</v>
      </c>
      <c r="AG5755">
        <v>-1.1322975827099999</v>
      </c>
      <c r="AH5755">
        <v>7.0056210473637899</v>
      </c>
      <c r="AI5755">
        <v>96.968991659104503</v>
      </c>
      <c r="AJ5755">
        <v>130.862679313776</v>
      </c>
      <c r="AK5755">
        <v>9.3322130304112694</v>
      </c>
      <c r="AL5755">
        <v>84.153913717417495</v>
      </c>
      <c r="AM5755">
        <v>114.904614328489</v>
      </c>
      <c r="AN5755">
        <v>0.99999996036688898</v>
      </c>
    </row>
    <row r="5756" spans="1:40" x14ac:dyDescent="0.25">
      <c r="A5756" t="str">
        <f>"20190303162934941"</f>
        <v>20190303162934941</v>
      </c>
      <c r="B5756" t="str">
        <f>"1551601774937720"</f>
        <v>1551601774937720</v>
      </c>
      <c r="C5756" t="s">
        <v>40</v>
      </c>
      <c r="D5756">
        <v>5.433929</v>
      </c>
      <c r="E5756">
        <v>0.39360919999999999</v>
      </c>
      <c r="F5756" t="s">
        <v>57</v>
      </c>
      <c r="G5756">
        <v>-285.80040000000002</v>
      </c>
      <c r="H5756" s="1">
        <v>-3.487006E-6</v>
      </c>
      <c r="I5756">
        <v>-59.695569999999996</v>
      </c>
      <c r="J5756">
        <v>-296.49689999999998</v>
      </c>
      <c r="K5756">
        <v>1.132401</v>
      </c>
      <c r="L5756">
        <v>-57.356749999999998</v>
      </c>
      <c r="M5756">
        <v>0.6063288</v>
      </c>
      <c r="N5756">
        <v>-1.3373289999999999E-2</v>
      </c>
      <c r="O5756">
        <v>-0.79510159999999996</v>
      </c>
      <c r="P5756">
        <v>0.8774788</v>
      </c>
      <c r="Q5756">
        <v>0.10425710000000001</v>
      </c>
      <c r="R5756">
        <v>-0.46814709999999898</v>
      </c>
      <c r="S5756">
        <v>3.0775450000000002</v>
      </c>
      <c r="T5756">
        <v>-0.31985799999999998</v>
      </c>
      <c r="U5756">
        <v>-0.72979740000000004</v>
      </c>
      <c r="V5756">
        <v>-0.41704269999999999</v>
      </c>
      <c r="W5756">
        <v>0.1044025</v>
      </c>
      <c r="X5756">
        <v>0.90287070000000003</v>
      </c>
      <c r="Y5756">
        <v>-0.62844019999999901</v>
      </c>
      <c r="Z5756">
        <v>9.4041239999999998E-2</v>
      </c>
      <c r="AA5756">
        <v>0.77215230000000001</v>
      </c>
      <c r="AB5756">
        <v>31</v>
      </c>
      <c r="AC5756">
        <v>10.696499999999901</v>
      </c>
      <c r="AD5756">
        <v>-1.1324044870059999</v>
      </c>
      <c r="AE5756">
        <v>-2.3388199999999899</v>
      </c>
      <c r="AF5756">
        <v>-7.0123373277604903</v>
      </c>
      <c r="AG5756">
        <v>-1.1324044870059999</v>
      </c>
      <c r="AH5756">
        <v>8.2576150759582205</v>
      </c>
      <c r="AI5756">
        <v>95.967436912936805</v>
      </c>
      <c r="AJ5756">
        <v>130.337797042989</v>
      </c>
      <c r="AK5756">
        <v>10.8923561024778</v>
      </c>
      <c r="AL5756">
        <v>84.007256859101005</v>
      </c>
      <c r="AM5756">
        <v>114.792566810739</v>
      </c>
      <c r="AN5756">
        <v>0.99999999827401398</v>
      </c>
    </row>
    <row r="5757" spans="1:40" x14ac:dyDescent="0.25">
      <c r="A5757" t="str">
        <f>"20190303162934963"</f>
        <v>20190303162934963</v>
      </c>
      <c r="B5757" t="str">
        <f>"1551601774958216"</f>
        <v>1551601774958216</v>
      </c>
      <c r="C5757" t="s">
        <v>40</v>
      </c>
      <c r="D5757">
        <v>5.47811</v>
      </c>
      <c r="E5757">
        <v>0.39454030000000001</v>
      </c>
      <c r="F5757" t="s">
        <v>44</v>
      </c>
      <c r="G5757">
        <v>-295.57479999999998</v>
      </c>
      <c r="H5757">
        <v>1.03654</v>
      </c>
      <c r="I5757">
        <v>-57.567540000000001</v>
      </c>
      <c r="J5757">
        <v>-296.30110000000002</v>
      </c>
      <c r="K5757">
        <v>1.1325229999999999</v>
      </c>
      <c r="L5757">
        <v>-57.591549999999998</v>
      </c>
      <c r="M5757">
        <v>0.61775899999999995</v>
      </c>
      <c r="N5757">
        <v>-1.340936E-2</v>
      </c>
      <c r="O5757">
        <v>-0.78625330000000004</v>
      </c>
      <c r="P5757">
        <v>0.88255890000000004</v>
      </c>
      <c r="Q5757">
        <v>0.1056791</v>
      </c>
      <c r="R5757">
        <v>-0.45817239999999998</v>
      </c>
      <c r="S5757">
        <v>3.0813600000000001</v>
      </c>
      <c r="T5757">
        <v>-0.32029390000000002</v>
      </c>
      <c r="U5757">
        <v>-0.70397949999999998</v>
      </c>
      <c r="V5757">
        <v>-0.41415540000000001</v>
      </c>
      <c r="W5757">
        <v>0.10584689999999999</v>
      </c>
      <c r="X5757">
        <v>0.90403080000000002</v>
      </c>
      <c r="Y5757">
        <v>-0.62359030000000004</v>
      </c>
      <c r="Z5757">
        <v>9.3670000000000003E-2</v>
      </c>
      <c r="AA5757">
        <v>0.77611929999999996</v>
      </c>
      <c r="AB5757">
        <v>31</v>
      </c>
      <c r="AC5757">
        <v>0.72630000000003703</v>
      </c>
      <c r="AD5757">
        <v>-9.5982999999999902E-2</v>
      </c>
      <c r="AE5757">
        <v>2.4009999999996898E-2</v>
      </c>
      <c r="AF5757">
        <v>-0.57589404398992505</v>
      </c>
      <c r="AG5757">
        <v>-9.5982999999999902E-2</v>
      </c>
      <c r="AH5757">
        <v>0.42246885427840702</v>
      </c>
      <c r="AI5757">
        <v>97.6538638100687</v>
      </c>
      <c r="AJ5757">
        <v>143.73668167085299</v>
      </c>
      <c r="AK5757">
        <v>0.72065707450033401</v>
      </c>
      <c r="AL5757">
        <v>83.924037569008107</v>
      </c>
      <c r="AM5757">
        <v>114.613505240547</v>
      </c>
      <c r="AN5757">
        <v>0.99999997446870403</v>
      </c>
    </row>
    <row r="5758" spans="1:40" x14ac:dyDescent="0.25">
      <c r="A5758" t="str">
        <f>"20190303162934987"</f>
        <v>20190303162934987</v>
      </c>
      <c r="B5758" t="str">
        <f>"1551601774977736"</f>
        <v>1551601774977736</v>
      </c>
      <c r="C5758" t="s">
        <v>40</v>
      </c>
      <c r="D5758">
        <v>5.4675200000000004</v>
      </c>
      <c r="E5758">
        <v>0.39518059999999999</v>
      </c>
      <c r="F5758" t="s">
        <v>44</v>
      </c>
      <c r="G5758">
        <v>-295.41550000000001</v>
      </c>
      <c r="H5758">
        <v>1.04454</v>
      </c>
      <c r="I5758">
        <v>-57.785179999999997</v>
      </c>
      <c r="J5758">
        <v>-296.09390000000002</v>
      </c>
      <c r="K5758">
        <v>1.1326700000000001</v>
      </c>
      <c r="L5758">
        <v>-57.831699999999998</v>
      </c>
      <c r="M5758">
        <v>0.62963380000000002</v>
      </c>
      <c r="N5758">
        <v>-1.345212E-2</v>
      </c>
      <c r="O5758">
        <v>-0.77677549999999995</v>
      </c>
      <c r="P5758">
        <v>0.88858189999999904</v>
      </c>
      <c r="Q5758">
        <v>0.10669190000000001</v>
      </c>
      <c r="R5758">
        <v>-0.44613779999999997</v>
      </c>
      <c r="S5758">
        <v>3.0855709999999998</v>
      </c>
      <c r="T5758">
        <v>-0.30656650000000002</v>
      </c>
      <c r="U5758">
        <v>-0.67486569999999901</v>
      </c>
      <c r="V5758">
        <v>-0.41267310000000001</v>
      </c>
      <c r="W5758">
        <v>0.1068122</v>
      </c>
      <c r="X5758">
        <v>0.90459500000000004</v>
      </c>
      <c r="Y5758">
        <v>-0.61944849999999996</v>
      </c>
      <c r="Z5758">
        <v>8.8860839999999996E-2</v>
      </c>
      <c r="AA5758">
        <v>0.77999189999999996</v>
      </c>
      <c r="AB5758">
        <v>31</v>
      </c>
      <c r="AC5758">
        <v>0.67840000000001</v>
      </c>
      <c r="AD5758">
        <v>-8.813E-2</v>
      </c>
      <c r="AE5758">
        <v>4.65199999999939E-2</v>
      </c>
      <c r="AF5758">
        <v>-0.54711539914785601</v>
      </c>
      <c r="AG5758">
        <v>-8.813E-2</v>
      </c>
      <c r="AH5758">
        <v>0.38458343588590399</v>
      </c>
      <c r="AI5758">
        <v>97.507250890269205</v>
      </c>
      <c r="AJ5758">
        <v>144.89549339103101</v>
      </c>
      <c r="AK5758">
        <v>0.67454175263101801</v>
      </c>
      <c r="AL5758">
        <v>83.868414923280298</v>
      </c>
      <c r="AM5758">
        <v>114.522307079147</v>
      </c>
      <c r="AN5758">
        <v>1.0000000237787201</v>
      </c>
    </row>
    <row r="5759" spans="1:40" x14ac:dyDescent="0.25">
      <c r="A5759" t="str">
        <f>"20190303162935007"</f>
        <v>20190303162935007</v>
      </c>
      <c r="B5759" t="str">
        <f>"1551601774998232"</f>
        <v>1551601774998232</v>
      </c>
      <c r="C5759" t="s">
        <v>40</v>
      </c>
      <c r="D5759">
        <v>5.4714470000000004</v>
      </c>
      <c r="E5759">
        <v>0.39594810000000003</v>
      </c>
      <c r="F5759" t="s">
        <v>57</v>
      </c>
      <c r="G5759">
        <v>-284.7115</v>
      </c>
      <c r="H5759" s="1">
        <v>-3.9840490000000002E-6</v>
      </c>
      <c r="I5759">
        <v>-60.178249999999998</v>
      </c>
      <c r="J5759">
        <v>-295.90190000000001</v>
      </c>
      <c r="K5759">
        <v>1.1328149999999999</v>
      </c>
      <c r="L5759">
        <v>-58.047640000000001</v>
      </c>
      <c r="M5759">
        <v>0.6404668</v>
      </c>
      <c r="N5759">
        <v>-1.3495450000000001E-2</v>
      </c>
      <c r="O5759">
        <v>-0.76786709999999903</v>
      </c>
      <c r="P5759">
        <v>0.89491279999999995</v>
      </c>
      <c r="Q5759">
        <v>0.10769330000000001</v>
      </c>
      <c r="R5759">
        <v>-0.43305129999999997</v>
      </c>
      <c r="S5759">
        <v>3.0929570000000002</v>
      </c>
      <c r="T5759">
        <v>-0.30778460000000002</v>
      </c>
      <c r="U5759">
        <v>-0.63763429999999999</v>
      </c>
      <c r="V5759">
        <v>-0.4132345</v>
      </c>
      <c r="W5759">
        <v>0.1076912</v>
      </c>
      <c r="X5759">
        <v>0.90423439999999999</v>
      </c>
      <c r="Y5759">
        <v>-0.61782369999999898</v>
      </c>
      <c r="Z5759">
        <v>8.8825429999999997E-2</v>
      </c>
      <c r="AA5759">
        <v>0.78128359999999997</v>
      </c>
      <c r="AB5759">
        <v>31</v>
      </c>
      <c r="AC5759">
        <v>11.1904</v>
      </c>
      <c r="AD5759">
        <v>-1.1328189840489999</v>
      </c>
      <c r="AE5759">
        <v>-2.1306099999999901</v>
      </c>
      <c r="AF5759">
        <v>-7.1580265297404004</v>
      </c>
      <c r="AG5759">
        <v>-1.1328189840489999</v>
      </c>
      <c r="AH5759">
        <v>8.7176961344313195</v>
      </c>
      <c r="AI5759">
        <v>95.734890728020105</v>
      </c>
      <c r="AJ5759">
        <v>129.389128300305</v>
      </c>
      <c r="AK5759">
        <v>11.3366153918781</v>
      </c>
      <c r="AL5759">
        <v>83.817759590689306</v>
      </c>
      <c r="AM5759">
        <v>114.56036815032201</v>
      </c>
      <c r="AN5759">
        <v>0.999999998345525</v>
      </c>
    </row>
    <row r="5760" spans="1:40" x14ac:dyDescent="0.25">
      <c r="A5760" t="str">
        <f>"20190303162935029"</f>
        <v>20190303162935029</v>
      </c>
      <c r="B5760" t="str">
        <f>"1551601775017752"</f>
        <v>1551601775017752</v>
      </c>
      <c r="C5760" t="s">
        <v>40</v>
      </c>
      <c r="D5760">
        <v>5.5440829999999997</v>
      </c>
      <c r="E5760">
        <v>0.39698850000000002</v>
      </c>
      <c r="F5760" t="s">
        <v>57</v>
      </c>
      <c r="G5760">
        <v>-284.56790000000001</v>
      </c>
      <c r="H5760" s="1">
        <v>-4.0407500000000002E-6</v>
      </c>
      <c r="I5760">
        <v>-60.23556</v>
      </c>
      <c r="J5760">
        <v>-295.70150000000001</v>
      </c>
      <c r="K5760">
        <v>1.1329640000000001</v>
      </c>
      <c r="L5760">
        <v>-58.266539999999999</v>
      </c>
      <c r="M5760">
        <v>0.65160560000000001</v>
      </c>
      <c r="N5760">
        <v>-1.354298E-2</v>
      </c>
      <c r="O5760">
        <v>-0.75843719999999903</v>
      </c>
      <c r="P5760">
        <v>0.90110020000000002</v>
      </c>
      <c r="Q5760">
        <v>0.1072149</v>
      </c>
      <c r="R5760">
        <v>-0.4201472</v>
      </c>
      <c r="S5760">
        <v>3.0999759999999998</v>
      </c>
      <c r="T5760">
        <v>-0.3098379</v>
      </c>
      <c r="U5760">
        <v>-0.59841919999999904</v>
      </c>
      <c r="V5760">
        <v>-0.4130992</v>
      </c>
      <c r="W5760">
        <v>0.1071138</v>
      </c>
      <c r="X5760">
        <v>0.90436479999999997</v>
      </c>
      <c r="Y5760">
        <v>-0.61618919999999999</v>
      </c>
      <c r="Z5760">
        <v>8.9015789999999997E-2</v>
      </c>
      <c r="AA5760">
        <v>0.78255169999999996</v>
      </c>
      <c r="AB5760">
        <v>31</v>
      </c>
      <c r="AC5760">
        <v>11.133599999999999</v>
      </c>
      <c r="AD5760">
        <v>-1.13296804074999</v>
      </c>
      <c r="AE5760">
        <v>-1.96902</v>
      </c>
      <c r="AF5760">
        <v>-7.0905695188043802</v>
      </c>
      <c r="AG5760">
        <v>-1.13296804074999</v>
      </c>
      <c r="AH5760">
        <v>8.6619187023003192</v>
      </c>
      <c r="AI5760">
        <v>95.779358714233794</v>
      </c>
      <c r="AJ5760">
        <v>129.30345074196899</v>
      </c>
      <c r="AK5760">
        <v>11.251161197299499</v>
      </c>
      <c r="AL5760">
        <v>83.851034680636204</v>
      </c>
      <c r="AM5760">
        <v>114.550153156077</v>
      </c>
      <c r="AN5760">
        <v>1.00000000333506</v>
      </c>
    </row>
    <row r="5761" spans="1:40" x14ac:dyDescent="0.25">
      <c r="A5761" t="str">
        <f>"20190303162935052"</f>
        <v>20190303162935052</v>
      </c>
      <c r="B5761" t="str">
        <f>"1551601775048010"</f>
        <v>1551601775048010</v>
      </c>
      <c r="C5761" t="s">
        <v>40</v>
      </c>
      <c r="D5761">
        <v>5.4940540000000002</v>
      </c>
      <c r="E5761">
        <v>0.39824900000000002</v>
      </c>
      <c r="F5761" t="s">
        <v>57</v>
      </c>
      <c r="G5761">
        <v>-284.37479999999999</v>
      </c>
      <c r="H5761" s="1">
        <v>-4.1169450000000001E-6</v>
      </c>
      <c r="I5761">
        <v>-60.312769999999901</v>
      </c>
      <c r="J5761">
        <v>-295.48250000000002</v>
      </c>
      <c r="K5761">
        <v>1.13313</v>
      </c>
      <c r="L5761">
        <v>-58.498289999999997</v>
      </c>
      <c r="M5761">
        <v>0.66360140000000001</v>
      </c>
      <c r="N5761">
        <v>-1.3595680000000001E-2</v>
      </c>
      <c r="O5761">
        <v>-0.74796300000000004</v>
      </c>
      <c r="P5761">
        <v>0.90705880000000005</v>
      </c>
      <c r="Q5761">
        <v>0.106172699999999</v>
      </c>
      <c r="R5761">
        <v>-0.4073968</v>
      </c>
      <c r="S5761">
        <v>3.1047060000000002</v>
      </c>
      <c r="T5761">
        <v>-0.31055159999999998</v>
      </c>
      <c r="U5761">
        <v>-0.56088260000000001</v>
      </c>
      <c r="V5761">
        <v>-0.4115528</v>
      </c>
      <c r="W5761">
        <v>0.10601099999999999</v>
      </c>
      <c r="X5761">
        <v>0.90519939999999999</v>
      </c>
      <c r="Y5761">
        <v>-0.61304820000000004</v>
      </c>
      <c r="Z5761">
        <v>8.8691530000000005E-2</v>
      </c>
      <c r="AA5761">
        <v>0.78505139999999995</v>
      </c>
      <c r="AB5761">
        <v>31</v>
      </c>
      <c r="AC5761">
        <v>11.107699999999999</v>
      </c>
      <c r="AD5761">
        <v>-1.133134116945</v>
      </c>
      <c r="AE5761">
        <v>-1.8144799999999801</v>
      </c>
      <c r="AF5761">
        <v>-7.03342017964661</v>
      </c>
      <c r="AG5761">
        <v>-1.133134116945</v>
      </c>
      <c r="AH5761">
        <v>8.6414625631186102</v>
      </c>
      <c r="AI5761">
        <v>95.806984910336794</v>
      </c>
      <c r="AJ5761">
        <v>129.14267661821199</v>
      </c>
      <c r="AK5761">
        <v>11.1994583610202</v>
      </c>
      <c r="AL5761">
        <v>83.914582267010502</v>
      </c>
      <c r="AM5761">
        <v>114.44912310216699</v>
      </c>
      <c r="AN5761">
        <v>0.99999999653460003</v>
      </c>
    </row>
    <row r="5762" spans="1:40" x14ac:dyDescent="0.25">
      <c r="A5762" t="str">
        <f>"20190303162935075"</f>
        <v>20190303162935075</v>
      </c>
      <c r="B5762" t="str">
        <f>"1551601775067528"</f>
        <v>1551601775067528</v>
      </c>
      <c r="C5762" t="s">
        <v>40</v>
      </c>
      <c r="D5762">
        <v>5.6688280000000004</v>
      </c>
      <c r="E5762">
        <v>0.4062846</v>
      </c>
      <c r="F5762" t="s">
        <v>57</v>
      </c>
      <c r="G5762">
        <v>-284.15050000000002</v>
      </c>
      <c r="H5762" s="1">
        <v>-6.3171549999999997E-6</v>
      </c>
      <c r="I5762">
        <v>-60.411290000000001</v>
      </c>
      <c r="J5762">
        <v>-295.27359999999999</v>
      </c>
      <c r="K5762">
        <v>1.1332949999999999</v>
      </c>
      <c r="L5762">
        <v>-58.712490000000003</v>
      </c>
      <c r="M5762">
        <v>0.67489119999999903</v>
      </c>
      <c r="N5762">
        <v>-1.3648800000000001E-2</v>
      </c>
      <c r="O5762">
        <v>-0.73779110000000003</v>
      </c>
      <c r="P5762">
        <v>0.9112555</v>
      </c>
      <c r="Q5762">
        <v>0.1066655</v>
      </c>
      <c r="R5762">
        <v>-0.39778930000000001</v>
      </c>
      <c r="S5762">
        <v>3.1080930000000002</v>
      </c>
      <c r="T5762">
        <v>-0.31079289999999998</v>
      </c>
      <c r="U5762">
        <v>-0.52468870000000001</v>
      </c>
      <c r="V5762">
        <v>-0.40736990000000001</v>
      </c>
      <c r="W5762">
        <v>0.1065396</v>
      </c>
      <c r="X5762">
        <v>0.90702760000000004</v>
      </c>
      <c r="Y5762">
        <v>-0.61011300000000002</v>
      </c>
      <c r="Z5762">
        <v>8.8244069999999994E-2</v>
      </c>
      <c r="AA5762">
        <v>0.787385</v>
      </c>
      <c r="AB5762">
        <v>31</v>
      </c>
      <c r="AC5762">
        <v>11.1230999999999</v>
      </c>
      <c r="AD5762">
        <v>-1.1333013171549999</v>
      </c>
      <c r="AE5762">
        <v>-1.6987999999999901</v>
      </c>
      <c r="AF5762">
        <v>-6.9897694182232604</v>
      </c>
      <c r="AG5762">
        <v>-1.1333013171549999</v>
      </c>
      <c r="AH5762">
        <v>8.67307443524993</v>
      </c>
      <c r="AI5762">
        <v>95.809341390415995</v>
      </c>
      <c r="AJ5762">
        <v>128.86589651187001</v>
      </c>
      <c r="AK5762">
        <v>11.196582896347399</v>
      </c>
      <c r="AL5762">
        <v>83.884123207480798</v>
      </c>
      <c r="AM5762">
        <v>114.186099708043</v>
      </c>
      <c r="AN5762">
        <v>0.99999999447796495</v>
      </c>
    </row>
    <row r="5763" spans="1:40" x14ac:dyDescent="0.25">
      <c r="A5763" t="str">
        <f>"20190303162935096"</f>
        <v>20190303162935096</v>
      </c>
      <c r="B5763" t="str">
        <f>"1551601775088025"</f>
        <v>1551601775088025</v>
      </c>
      <c r="C5763" t="s">
        <v>40</v>
      </c>
      <c r="D5763">
        <v>5.7256070000000001</v>
      </c>
      <c r="E5763">
        <v>0.43014150000000001</v>
      </c>
      <c r="F5763" t="s">
        <v>44</v>
      </c>
      <c r="G5763">
        <v>-294.27820000000003</v>
      </c>
      <c r="H5763">
        <v>1.020691</v>
      </c>
      <c r="I5763">
        <v>-58.890180000000001</v>
      </c>
      <c r="J5763">
        <v>-295.06369999999998</v>
      </c>
      <c r="K5763">
        <v>1.1334869999999999</v>
      </c>
      <c r="L5763">
        <v>-58.921080000000003</v>
      </c>
      <c r="M5763">
        <v>0.68610039999999906</v>
      </c>
      <c r="N5763">
        <v>-1.370713E-2</v>
      </c>
      <c r="O5763">
        <v>-0.72737769999999902</v>
      </c>
      <c r="P5763">
        <v>0.91511830000000005</v>
      </c>
      <c r="Q5763">
        <v>0.10933850000000001</v>
      </c>
      <c r="R5763">
        <v>-0.38807649999999999</v>
      </c>
      <c r="S5763">
        <v>3.0921020000000001</v>
      </c>
      <c r="T5763">
        <v>-0.34982220000000003</v>
      </c>
      <c r="U5763">
        <v>-0.55206299999999997</v>
      </c>
      <c r="V5763">
        <v>-0.40303080000000002</v>
      </c>
      <c r="W5763">
        <v>0.10924739999999999</v>
      </c>
      <c r="X5763">
        <v>0.90864250000000002</v>
      </c>
      <c r="Y5763">
        <v>-0.58909219999999995</v>
      </c>
      <c r="Z5763">
        <v>9.8679359999999994E-2</v>
      </c>
      <c r="AA5763">
        <v>0.80201789999999995</v>
      </c>
      <c r="AB5763">
        <v>31</v>
      </c>
      <c r="AC5763">
        <v>0.78549999999995601</v>
      </c>
      <c r="AD5763">
        <v>-0.11279599999999999</v>
      </c>
      <c r="AE5763">
        <v>3.08999999999954E-2</v>
      </c>
      <c r="AF5763">
        <v>-0.580656557198723</v>
      </c>
      <c r="AG5763">
        <v>-0.11279599999999999</v>
      </c>
      <c r="AH5763">
        <v>0.50608492697497498</v>
      </c>
      <c r="AI5763">
        <v>98.331227995809897</v>
      </c>
      <c r="AJ5763">
        <v>138.92545286187701</v>
      </c>
      <c r="AK5763">
        <v>0.778464468261166</v>
      </c>
      <c r="AL5763">
        <v>83.728066734103194</v>
      </c>
      <c r="AM5763">
        <v>113.919807604977</v>
      </c>
      <c r="AN5763">
        <v>1.0000000064808201</v>
      </c>
    </row>
    <row r="5764" spans="1:40" x14ac:dyDescent="0.25">
      <c r="A5764" t="str">
        <f>"20190303162935119"</f>
        <v>20190303162935119</v>
      </c>
      <c r="B5764" t="str">
        <f>"1551601775107544"</f>
        <v>1551601775107544</v>
      </c>
      <c r="C5764" t="s">
        <v>40</v>
      </c>
      <c r="D5764">
        <v>5.666893</v>
      </c>
      <c r="E5764">
        <v>0.4423184</v>
      </c>
      <c r="F5764" t="s">
        <v>44</v>
      </c>
      <c r="G5764">
        <v>-294.12959999999998</v>
      </c>
      <c r="H5764">
        <v>1.059739</v>
      </c>
      <c r="I5764">
        <v>-59.134160000000001</v>
      </c>
      <c r="J5764">
        <v>-294.84859999999998</v>
      </c>
      <c r="K5764">
        <v>1.1336999999999999</v>
      </c>
      <c r="L5764">
        <v>-59.127989999999997</v>
      </c>
      <c r="M5764">
        <v>0.69745000000000001</v>
      </c>
      <c r="N5764">
        <v>-1.377251E-2</v>
      </c>
      <c r="O5764">
        <v>-0.7165011</v>
      </c>
      <c r="P5764">
        <v>0.91898349999999995</v>
      </c>
      <c r="Q5764">
        <v>0.11319079999999999</v>
      </c>
      <c r="R5764">
        <v>-0.3777006</v>
      </c>
      <c r="S5764">
        <v>3.0151669999999999</v>
      </c>
      <c r="T5764">
        <v>-0.2380323</v>
      </c>
      <c r="U5764">
        <v>-0.68746949999999996</v>
      </c>
      <c r="V5764">
        <v>-0.39885860000000001</v>
      </c>
      <c r="W5764">
        <v>0.11312</v>
      </c>
      <c r="X5764">
        <v>0.91000859999999995</v>
      </c>
      <c r="Y5764">
        <v>-0.54079379999999999</v>
      </c>
      <c r="Z5764">
        <v>6.3768459999999999E-2</v>
      </c>
      <c r="AA5764">
        <v>0.8387346</v>
      </c>
      <c r="AB5764">
        <v>31</v>
      </c>
      <c r="AC5764">
        <v>0.71899999999999398</v>
      </c>
      <c r="AD5764">
        <v>-7.3960999999999902E-2</v>
      </c>
      <c r="AE5764">
        <v>-6.1699999999902302E-3</v>
      </c>
      <c r="AF5764">
        <v>-0.50556028035990896</v>
      </c>
      <c r="AG5764">
        <v>-7.3960999999999902E-2</v>
      </c>
      <c r="AH5764">
        <v>0.50063822495745602</v>
      </c>
      <c r="AI5764">
        <v>95.934641846115099</v>
      </c>
      <c r="AJ5764">
        <v>135.28027347506099</v>
      </c>
      <c r="AK5764">
        <v>0.71533213187102296</v>
      </c>
      <c r="AL5764">
        <v>83.504798520950402</v>
      </c>
      <c r="AM5764">
        <v>113.667935818243</v>
      </c>
      <c r="AN5764">
        <v>0.999999984633959</v>
      </c>
    </row>
    <row r="5765" spans="1:40" x14ac:dyDescent="0.25">
      <c r="A5765" t="str">
        <f>"20190303162935141"</f>
        <v>20190303162935141</v>
      </c>
      <c r="B5765" t="str">
        <f>"1551601775137800"</f>
        <v>1551601775137800</v>
      </c>
      <c r="C5765" t="s">
        <v>40</v>
      </c>
      <c r="D5765">
        <v>5.6063340000000004</v>
      </c>
      <c r="E5765">
        <v>0.44986979999999999</v>
      </c>
      <c r="F5765" t="s">
        <v>44</v>
      </c>
      <c r="G5765">
        <v>-293.95800000000003</v>
      </c>
      <c r="H5765">
        <v>1.072565</v>
      </c>
      <c r="I5765">
        <v>-59.34966</v>
      </c>
      <c r="J5765">
        <v>-294.61849999999998</v>
      </c>
      <c r="K5765">
        <v>1.1339330000000001</v>
      </c>
      <c r="L5765">
        <v>-59.342219999999998</v>
      </c>
      <c r="M5765">
        <v>0.70945269999999905</v>
      </c>
      <c r="N5765">
        <v>-1.384781E-2</v>
      </c>
      <c r="O5765">
        <v>-0.7046173</v>
      </c>
      <c r="P5765">
        <v>0.92312300000000003</v>
      </c>
      <c r="Q5765">
        <v>0.1159198</v>
      </c>
      <c r="R5765">
        <v>-0.36661519999999997</v>
      </c>
      <c r="S5765">
        <v>2.9845579999999998</v>
      </c>
      <c r="T5765">
        <v>-0.20482890000000001</v>
      </c>
      <c r="U5765">
        <v>-0.74246219999999996</v>
      </c>
      <c r="V5765">
        <v>-0.39434019999999997</v>
      </c>
      <c r="W5765">
        <v>0.11587260000000001</v>
      </c>
      <c r="X5765">
        <v>0.91163000000000005</v>
      </c>
      <c r="Y5765">
        <v>-0.51058519999999996</v>
      </c>
      <c r="Z5765">
        <v>5.2775210000000003E-2</v>
      </c>
      <c r="AA5765">
        <v>0.85820599999999903</v>
      </c>
      <c r="AB5765">
        <v>31</v>
      </c>
      <c r="AC5765">
        <v>0.66050000000001297</v>
      </c>
      <c r="AD5765">
        <v>-6.1367999999999999E-2</v>
      </c>
      <c r="AE5765">
        <v>-7.4400000000025496E-3</v>
      </c>
      <c r="AF5765">
        <v>-0.45622752177655801</v>
      </c>
      <c r="AG5765">
        <v>-6.1367999999999999E-2</v>
      </c>
      <c r="AH5765">
        <v>0.46982592267342699</v>
      </c>
      <c r="AI5765">
        <v>95.3534080744205</v>
      </c>
      <c r="AJ5765">
        <v>134.15871487675301</v>
      </c>
      <c r="AK5765">
        <v>0.65775829957995802</v>
      </c>
      <c r="AL5765">
        <v>83.346041870074203</v>
      </c>
      <c r="AM5765">
        <v>113.391671021932</v>
      </c>
      <c r="AN5765">
        <v>0.99999995483339899</v>
      </c>
    </row>
    <row r="5766" spans="1:40" x14ac:dyDescent="0.25">
      <c r="A5766" t="str">
        <f>"20190303162935164"</f>
        <v>20190303162935164</v>
      </c>
      <c r="B5766" t="str">
        <f>"1551601775157320"</f>
        <v>1551601775157320</v>
      </c>
      <c r="C5766" t="s">
        <v>40</v>
      </c>
      <c r="D5766">
        <v>5.6645599999999998</v>
      </c>
      <c r="E5766">
        <v>0.45239509999999999</v>
      </c>
      <c r="F5766" t="s">
        <v>44</v>
      </c>
      <c r="G5766">
        <v>-293.77949999999998</v>
      </c>
      <c r="H5766">
        <v>1.082411</v>
      </c>
      <c r="I5766">
        <v>-59.557679999999998</v>
      </c>
      <c r="J5766">
        <v>-294.39449999999999</v>
      </c>
      <c r="K5766">
        <v>1.1341639999999999</v>
      </c>
      <c r="L5766">
        <v>-59.543370000000003</v>
      </c>
      <c r="M5766">
        <v>0.72098479999999998</v>
      </c>
      <c r="N5766">
        <v>-1.392524E-2</v>
      </c>
      <c r="O5766">
        <v>-0.69281110000000001</v>
      </c>
      <c r="P5766">
        <v>0.92710740000000003</v>
      </c>
      <c r="Q5766">
        <v>0.1171775</v>
      </c>
      <c r="R5766">
        <v>-0.35600809999999999</v>
      </c>
      <c r="S5766">
        <v>2.96991</v>
      </c>
      <c r="T5766">
        <v>-0.1823816</v>
      </c>
      <c r="U5766">
        <v>-0.76248169999999904</v>
      </c>
      <c r="V5766">
        <v>-0.3897313</v>
      </c>
      <c r="W5766">
        <v>0.11716840000000001</v>
      </c>
      <c r="X5766">
        <v>0.91344460000000005</v>
      </c>
      <c r="Y5766">
        <v>-0.4903016</v>
      </c>
      <c r="Z5766">
        <v>4.5383319999999998E-2</v>
      </c>
      <c r="AA5766">
        <v>0.87037039999999999</v>
      </c>
      <c r="AB5766">
        <v>31</v>
      </c>
      <c r="AC5766">
        <v>0.61500000000000898</v>
      </c>
      <c r="AD5766">
        <v>-5.1752999999999903E-2</v>
      </c>
      <c r="AE5766">
        <v>-1.4310000000008901E-2</v>
      </c>
      <c r="AF5766">
        <v>-0.41287961091104802</v>
      </c>
      <c r="AG5766">
        <v>-5.1752999999999903E-2</v>
      </c>
      <c r="AH5766">
        <v>0.45017751425931002</v>
      </c>
      <c r="AI5766">
        <v>94.842755276553504</v>
      </c>
      <c r="AJ5766">
        <v>132.52544357315199</v>
      </c>
      <c r="AK5766">
        <v>0.61303159825554598</v>
      </c>
      <c r="AL5766">
        <v>83.2712889550086</v>
      </c>
      <c r="AM5766">
        <v>113.106058208289</v>
      </c>
      <c r="AN5766">
        <v>0.99999997871370405</v>
      </c>
    </row>
    <row r="5767" spans="1:40" x14ac:dyDescent="0.25">
      <c r="A5767" t="str">
        <f>"20190303162935186"</f>
        <v>20190303162935186</v>
      </c>
      <c r="B5767" t="str">
        <f>"1551601775177817"</f>
        <v>1551601775177817</v>
      </c>
      <c r="C5767" t="s">
        <v>40</v>
      </c>
      <c r="D5767">
        <v>5.6639920000000004</v>
      </c>
      <c r="E5767">
        <v>0.45396189999999997</v>
      </c>
      <c r="F5767" t="s">
        <v>44</v>
      </c>
      <c r="G5767">
        <v>-293.32139999999998</v>
      </c>
      <c r="H5767">
        <v>1.0702969999999901</v>
      </c>
      <c r="I5767">
        <v>-59.814079999999997</v>
      </c>
      <c r="J5767">
        <v>-294.16480000000001</v>
      </c>
      <c r="K5767">
        <v>1.134395</v>
      </c>
      <c r="L5767">
        <v>-59.742159999999998</v>
      </c>
      <c r="M5767">
        <v>0.73264980000000002</v>
      </c>
      <c r="N5767">
        <v>-1.400641E-2</v>
      </c>
      <c r="O5767">
        <v>-0.68046180000000001</v>
      </c>
      <c r="P5767">
        <v>0.93196509999999999</v>
      </c>
      <c r="Q5767">
        <v>0.1176667</v>
      </c>
      <c r="R5767">
        <v>-0.34292240000000002</v>
      </c>
      <c r="S5767">
        <v>2.9707340000000002</v>
      </c>
      <c r="T5767">
        <v>-0.17676910000000001</v>
      </c>
      <c r="U5767">
        <v>-0.74874879999999999</v>
      </c>
      <c r="V5767">
        <v>-0.38710660000000002</v>
      </c>
      <c r="W5767">
        <v>0.1176249</v>
      </c>
      <c r="X5767">
        <v>0.91450140000000002</v>
      </c>
      <c r="Y5767">
        <v>-0.47942360000000001</v>
      </c>
      <c r="Z5767">
        <v>4.31075E-2</v>
      </c>
      <c r="AA5767">
        <v>0.87652430000000003</v>
      </c>
      <c r="AB5767">
        <v>31</v>
      </c>
      <c r="AC5767">
        <v>0.84340000000003001</v>
      </c>
      <c r="AD5767">
        <v>-6.4098000000000196E-2</v>
      </c>
      <c r="AE5767">
        <v>-7.1920000000005702E-2</v>
      </c>
      <c r="AF5767">
        <v>-0.51828841164472805</v>
      </c>
      <c r="AG5767">
        <v>-6.4098000000000196E-2</v>
      </c>
      <c r="AH5767">
        <v>0.66311854384864199</v>
      </c>
      <c r="AI5767">
        <v>94.355177746553807</v>
      </c>
      <c r="AJ5767">
        <v>128.01091276298399</v>
      </c>
      <c r="AK5767">
        <v>0.84407205524478701</v>
      </c>
      <c r="AL5767">
        <v>83.244951275005704</v>
      </c>
      <c r="AM5767">
        <v>112.94284257519</v>
      </c>
      <c r="AN5767">
        <v>0.99999997373276395</v>
      </c>
    </row>
    <row r="5768" spans="1:40" x14ac:dyDescent="0.25">
      <c r="A5768" t="str">
        <f>"20190303162935209"</f>
        <v>20190303162935209</v>
      </c>
      <c r="B5768" t="str">
        <f>"1551601775197336"</f>
        <v>1551601775197336</v>
      </c>
      <c r="C5768" t="s">
        <v>40</v>
      </c>
      <c r="D5768">
        <v>5.7190240000000001</v>
      </c>
      <c r="E5768">
        <v>0.45523770000000002</v>
      </c>
      <c r="F5768" t="s">
        <v>44</v>
      </c>
      <c r="G5768">
        <v>-293.1241</v>
      </c>
      <c r="H5768">
        <v>1.0723750000000001</v>
      </c>
      <c r="I5768">
        <v>-59.99391</v>
      </c>
      <c r="J5768">
        <v>-293.93209999999999</v>
      </c>
      <c r="K5768">
        <v>1.134601</v>
      </c>
      <c r="L5768">
        <v>-59.936459999999997</v>
      </c>
      <c r="M5768">
        <v>0.74426289999999995</v>
      </c>
      <c r="N5768">
        <v>-1.408629E-2</v>
      </c>
      <c r="O5768">
        <v>-0.66773830000000001</v>
      </c>
      <c r="P5768">
        <v>0.93707810000000002</v>
      </c>
      <c r="Q5768">
        <v>0.11750960000000001</v>
      </c>
      <c r="R5768">
        <v>-0.32874959999999998</v>
      </c>
      <c r="S5768">
        <v>2.9765009999999998</v>
      </c>
      <c r="T5768">
        <v>-0.17737510000000001</v>
      </c>
      <c r="U5768">
        <v>-0.71987919999999905</v>
      </c>
      <c r="V5768">
        <v>-0.3852873</v>
      </c>
      <c r="W5768">
        <v>0.11741889999999899</v>
      </c>
      <c r="X5768">
        <v>0.91529579999999999</v>
      </c>
      <c r="Y5768">
        <v>-0.47272249999999999</v>
      </c>
      <c r="Z5768">
        <v>4.2700439999999999E-2</v>
      </c>
      <c r="AA5768">
        <v>0.88017619999999896</v>
      </c>
      <c r="AB5768">
        <v>31</v>
      </c>
      <c r="AC5768">
        <v>0.80799999999999195</v>
      </c>
      <c r="AD5768">
        <v>-6.2225999999999802E-2</v>
      </c>
      <c r="AE5768">
        <v>-5.7450000000002797E-2</v>
      </c>
      <c r="AF5768">
        <v>-0.49390930970096403</v>
      </c>
      <c r="AG5768">
        <v>-6.2225999999999802E-2</v>
      </c>
      <c r="AH5768">
        <v>0.63603613022067795</v>
      </c>
      <c r="AI5768">
        <v>94.418565235123495</v>
      </c>
      <c r="AJ5768">
        <v>127.830870760273</v>
      </c>
      <c r="AK5768">
        <v>0.80768833112245597</v>
      </c>
      <c r="AL5768">
        <v>83.2568364173177</v>
      </c>
      <c r="AM5768">
        <v>112.828315263598</v>
      </c>
      <c r="AN5768">
        <v>0.99999995155806798</v>
      </c>
    </row>
    <row r="5769" spans="1:40" x14ac:dyDescent="0.25">
      <c r="A5769" t="str">
        <f>"20190303162935231"</f>
        <v>20190303162935231</v>
      </c>
      <c r="B5769" t="str">
        <f>"1551601775217832"</f>
        <v>1551601775217832</v>
      </c>
      <c r="C5769" t="s">
        <v>40</v>
      </c>
      <c r="D5769">
        <v>5.7246129999999997</v>
      </c>
      <c r="E5769">
        <v>0.45620759999999999</v>
      </c>
      <c r="F5769" t="s">
        <v>44</v>
      </c>
      <c r="G5769">
        <v>-292.92250000000001</v>
      </c>
      <c r="H5769">
        <v>1.073966</v>
      </c>
      <c r="I5769">
        <v>-60.168340000000001</v>
      </c>
      <c r="J5769">
        <v>-293.70080000000002</v>
      </c>
      <c r="K5769">
        <v>1.1347700000000001</v>
      </c>
      <c r="L5769">
        <v>-60.122919999999901</v>
      </c>
      <c r="M5769">
        <v>0.75559619999999905</v>
      </c>
      <c r="N5769">
        <v>-1.416063E-2</v>
      </c>
      <c r="O5769">
        <v>-0.65488489999999999</v>
      </c>
      <c r="P5769">
        <v>0.94244950000000005</v>
      </c>
      <c r="Q5769">
        <v>0.1159326</v>
      </c>
      <c r="R5769">
        <v>-0.3136063</v>
      </c>
      <c r="S5769">
        <v>2.983673</v>
      </c>
      <c r="T5769">
        <v>-0.17916979999999999</v>
      </c>
      <c r="U5769">
        <v>-0.68481449999999999</v>
      </c>
      <c r="V5769">
        <v>-0.38447999999999999</v>
      </c>
      <c r="W5769">
        <v>0.11576939999999999</v>
      </c>
      <c r="X5769">
        <v>0.91584529999999997</v>
      </c>
      <c r="Y5769">
        <v>-0.46789029999999998</v>
      </c>
      <c r="Z5769">
        <v>4.2659839999999997E-2</v>
      </c>
      <c r="AA5769">
        <v>0.8827564</v>
      </c>
      <c r="AB5769">
        <v>31</v>
      </c>
      <c r="AC5769">
        <v>0.77830000000000099</v>
      </c>
      <c r="AD5769">
        <v>-6.0803999999999997E-2</v>
      </c>
      <c r="AE5769">
        <v>-4.5420000000007101E-2</v>
      </c>
      <c r="AF5769">
        <v>-0.47255095110928802</v>
      </c>
      <c r="AG5769">
        <v>-6.0803999999999997E-2</v>
      </c>
      <c r="AH5769">
        <v>0.61415155642574104</v>
      </c>
      <c r="AI5769">
        <v>94.486567586817202</v>
      </c>
      <c r="AJ5769">
        <v>127.576015991131</v>
      </c>
      <c r="AK5769">
        <v>0.77729252027177798</v>
      </c>
      <c r="AL5769">
        <v>83.351995285991094</v>
      </c>
      <c r="AM5769">
        <v>112.77309727358001</v>
      </c>
      <c r="AN5769">
        <v>1.00000001895422</v>
      </c>
    </row>
    <row r="5770" spans="1:40" x14ac:dyDescent="0.25">
      <c r="A5770" t="str">
        <f>"20190303162935253"</f>
        <v>20190303162935253</v>
      </c>
      <c r="B5770" t="str">
        <f>"1551601775247771"</f>
        <v>1551601775247771</v>
      </c>
      <c r="C5770" t="s">
        <v>40</v>
      </c>
      <c r="D5770">
        <v>5.722639</v>
      </c>
      <c r="E5770">
        <v>0.45729720000000001</v>
      </c>
      <c r="F5770" t="s">
        <v>44</v>
      </c>
      <c r="G5770">
        <v>-292.7158</v>
      </c>
      <c r="H5770">
        <v>1.073167</v>
      </c>
      <c r="I5770">
        <v>-60.334919999999997</v>
      </c>
      <c r="J5770">
        <v>-293.45549999999997</v>
      </c>
      <c r="K5770">
        <v>1.134935</v>
      </c>
      <c r="L5770">
        <v>-60.313479999999998</v>
      </c>
      <c r="M5770">
        <v>0.76736490000000002</v>
      </c>
      <c r="N5770">
        <v>-1.42335E-2</v>
      </c>
      <c r="O5770">
        <v>-0.64105290000000004</v>
      </c>
      <c r="P5770">
        <v>0.94805969999999995</v>
      </c>
      <c r="Q5770">
        <v>0.1144555</v>
      </c>
      <c r="R5770">
        <v>-0.2967881</v>
      </c>
      <c r="S5770">
        <v>2.9918520000000002</v>
      </c>
      <c r="T5770">
        <v>-0.18712329999999999</v>
      </c>
      <c r="U5770">
        <v>-0.64419559999999998</v>
      </c>
      <c r="V5770">
        <v>-0.38425789999999999</v>
      </c>
      <c r="W5770">
        <v>0.1142029</v>
      </c>
      <c r="X5770">
        <v>0.91613509999999998</v>
      </c>
      <c r="Y5770">
        <v>-0.46366689999999999</v>
      </c>
      <c r="Z5770">
        <v>4.4249509999999999E-2</v>
      </c>
      <c r="AA5770">
        <v>0.88490389999999997</v>
      </c>
      <c r="AB5770">
        <v>31</v>
      </c>
      <c r="AC5770">
        <v>0.73969999999997005</v>
      </c>
      <c r="AD5770">
        <v>-6.1768000000000003E-2</v>
      </c>
      <c r="AE5770">
        <v>-2.1439999999991199E-2</v>
      </c>
      <c r="AF5770">
        <v>-0.45461350007173101</v>
      </c>
      <c r="AG5770">
        <v>-6.1768000000000003E-2</v>
      </c>
      <c r="AH5770">
        <v>0.57740000639879796</v>
      </c>
      <c r="AI5770">
        <v>94.804452476313799</v>
      </c>
      <c r="AJ5770">
        <v>128.21498030735799</v>
      </c>
      <c r="AK5770">
        <v>0.73748185581802705</v>
      </c>
      <c r="AL5770">
        <v>83.442348171722401</v>
      </c>
      <c r="AM5770">
        <v>112.75481704513101</v>
      </c>
      <c r="AN5770">
        <v>0.999999978766414</v>
      </c>
    </row>
    <row r="5771" spans="1:40" x14ac:dyDescent="0.25">
      <c r="A5771" t="str">
        <f>"20190303162935275"</f>
        <v>20190303162935275</v>
      </c>
      <c r="B5771" t="str">
        <f>"1551601775267291"</f>
        <v>1551601775267291</v>
      </c>
      <c r="C5771" t="s">
        <v>40</v>
      </c>
      <c r="D5771">
        <v>5.7224209999999998</v>
      </c>
      <c r="E5771">
        <v>0.4578257</v>
      </c>
      <c r="F5771" t="s">
        <v>44</v>
      </c>
      <c r="G5771">
        <v>-292.50880000000001</v>
      </c>
      <c r="H5771">
        <v>1.073415</v>
      </c>
      <c r="I5771">
        <v>-60.5028199999999</v>
      </c>
      <c r="J5771">
        <v>-293.2217</v>
      </c>
      <c r="K5771">
        <v>1.1350769999999999</v>
      </c>
      <c r="L5771">
        <v>-60.488460000000003</v>
      </c>
      <c r="M5771">
        <v>0.7783236</v>
      </c>
      <c r="N5771">
        <v>-1.429794E-2</v>
      </c>
      <c r="O5771">
        <v>-0.62770059999999905</v>
      </c>
      <c r="P5771">
        <v>0.95281959999999999</v>
      </c>
      <c r="Q5771">
        <v>0.1135265</v>
      </c>
      <c r="R5771">
        <v>-0.28150890000000001</v>
      </c>
      <c r="S5771">
        <v>3.0002749999999998</v>
      </c>
      <c r="T5771">
        <v>-0.19492010000000001</v>
      </c>
      <c r="U5771">
        <v>-0.59927369999999902</v>
      </c>
      <c r="V5771">
        <v>-0.38324019999999998</v>
      </c>
      <c r="W5771">
        <v>0.11323419999999999</v>
      </c>
      <c r="X5771">
        <v>0.91668150000000004</v>
      </c>
      <c r="Y5771">
        <v>-0.46145560000000002</v>
      </c>
      <c r="Z5771">
        <v>4.5814979999999998E-2</v>
      </c>
      <c r="AA5771">
        <v>0.88597950000000003</v>
      </c>
      <c r="AB5771">
        <v>31</v>
      </c>
      <c r="AC5771">
        <v>0.71289999999998999</v>
      </c>
      <c r="AD5771">
        <v>-6.1662000000000099E-2</v>
      </c>
      <c r="AE5771">
        <v>-1.4359999999996299E-2</v>
      </c>
      <c r="AF5771">
        <v>-0.433116645301243</v>
      </c>
      <c r="AG5771">
        <v>-6.1662000000000099E-2</v>
      </c>
      <c r="AH5771">
        <v>0.55975230756376204</v>
      </c>
      <c r="AI5771">
        <v>94.979250574887303</v>
      </c>
      <c r="AJ5771">
        <v>127.731443616777</v>
      </c>
      <c r="AK5771">
        <v>0.71043287966137902</v>
      </c>
      <c r="AL5771">
        <v>83.498213154387997</v>
      </c>
      <c r="AM5771">
        <v>112.688510040767</v>
      </c>
      <c r="AN5771">
        <v>1.00000000369396</v>
      </c>
    </row>
    <row r="5772" spans="1:40" x14ac:dyDescent="0.25">
      <c r="A5772" t="str">
        <f>"20190303162935297"</f>
        <v>20190303162935297</v>
      </c>
      <c r="B5772" t="str">
        <f>"1551601775287788"</f>
        <v>1551601775287788</v>
      </c>
      <c r="C5772" t="s">
        <v>40</v>
      </c>
      <c r="D5772">
        <v>5.7774970000000003</v>
      </c>
      <c r="E5772">
        <v>0.45819149999999997</v>
      </c>
      <c r="F5772" t="s">
        <v>44</v>
      </c>
      <c r="G5772">
        <v>-292.29509999999999</v>
      </c>
      <c r="H5772">
        <v>1.07331</v>
      </c>
      <c r="I5772">
        <v>-60.659689999999998</v>
      </c>
      <c r="J5772">
        <v>-292.97989999999999</v>
      </c>
      <c r="K5772">
        <v>1.1352089999999999</v>
      </c>
      <c r="L5772">
        <v>-60.662930000000003</v>
      </c>
      <c r="M5772">
        <v>0.78938940000000002</v>
      </c>
      <c r="N5772">
        <v>-1.435932E-2</v>
      </c>
      <c r="O5772">
        <v>-0.61372510000000002</v>
      </c>
      <c r="P5772">
        <v>0.95748250000000001</v>
      </c>
      <c r="Q5772">
        <v>0.1135616</v>
      </c>
      <c r="R5772">
        <v>-0.26520149999999998</v>
      </c>
      <c r="S5772">
        <v>3.0082089999999999</v>
      </c>
      <c r="T5772">
        <v>-0.20051559999999999</v>
      </c>
      <c r="U5772">
        <v>-0.55566409999999999</v>
      </c>
      <c r="V5772">
        <v>-0.38258629999999999</v>
      </c>
      <c r="W5772">
        <v>0.1132223</v>
      </c>
      <c r="X5772">
        <v>0.91695610000000005</v>
      </c>
      <c r="Y5772">
        <v>-0.45839619999999998</v>
      </c>
      <c r="Z5772">
        <v>4.6674800000000002E-2</v>
      </c>
      <c r="AA5772">
        <v>0.88752149999999996</v>
      </c>
      <c r="AB5772">
        <v>31</v>
      </c>
      <c r="AC5772">
        <v>0.68479999999999497</v>
      </c>
      <c r="AD5772">
        <v>-6.1898999999999899E-2</v>
      </c>
      <c r="AE5772">
        <v>3.2399999999981298E-3</v>
      </c>
      <c r="AF5772">
        <v>-0.41945310808181502</v>
      </c>
      <c r="AG5772">
        <v>-6.1898999999999899E-2</v>
      </c>
      <c r="AH5772">
        <v>0.53427572852469696</v>
      </c>
      <c r="AI5772">
        <v>95.206832845204303</v>
      </c>
      <c r="AJ5772">
        <v>128.13500961716301</v>
      </c>
      <c r="AK5772">
        <v>0.68207254025586705</v>
      </c>
      <c r="AL5772">
        <v>83.498899544363496</v>
      </c>
      <c r="AM5772">
        <v>112.647611895487</v>
      </c>
      <c r="AN5772">
        <v>1.0000000277460901</v>
      </c>
    </row>
    <row r="5773" spans="1:40" x14ac:dyDescent="0.25">
      <c r="A5773" t="str">
        <f>"20190303162935319"</f>
        <v>20190303162935319</v>
      </c>
      <c r="B5773" t="str">
        <f>"1551601775307308"</f>
        <v>1551601775307308</v>
      </c>
      <c r="C5773" t="s">
        <v>40</v>
      </c>
      <c r="D5773">
        <v>5.0553309999999998</v>
      </c>
      <c r="E5773">
        <v>0.45842569999999999</v>
      </c>
      <c r="F5773" t="s">
        <v>44</v>
      </c>
      <c r="G5773">
        <v>-292.07979999999998</v>
      </c>
      <c r="H5773">
        <v>1.074668</v>
      </c>
      <c r="I5773">
        <v>-60.814729999999997</v>
      </c>
      <c r="J5773">
        <v>-292.73110000000003</v>
      </c>
      <c r="K5773">
        <v>1.135329</v>
      </c>
      <c r="L5773">
        <v>-60.83569</v>
      </c>
      <c r="M5773">
        <v>0.80046269999999997</v>
      </c>
      <c r="N5773">
        <v>-1.441627E-2</v>
      </c>
      <c r="O5773">
        <v>-0.5992092</v>
      </c>
      <c r="P5773">
        <v>0.96220309999999998</v>
      </c>
      <c r="Q5773">
        <v>0.1128253</v>
      </c>
      <c r="R5773">
        <v>-0.24786269999999999</v>
      </c>
      <c r="S5773">
        <v>3.0165410000000001</v>
      </c>
      <c r="T5773">
        <v>-0.2028624</v>
      </c>
      <c r="U5773">
        <v>-0.50808719999999996</v>
      </c>
      <c r="V5773">
        <v>-0.38246980000000003</v>
      </c>
      <c r="W5773">
        <v>0.11242729999999999</v>
      </c>
      <c r="X5773">
        <v>0.91710250000000004</v>
      </c>
      <c r="Y5773">
        <v>-0.45616489999999998</v>
      </c>
      <c r="Z5773">
        <v>4.664741E-2</v>
      </c>
      <c r="AA5773">
        <v>0.88867180000000001</v>
      </c>
      <c r="AB5773">
        <v>31</v>
      </c>
      <c r="AC5773">
        <v>0.65130000000004795</v>
      </c>
      <c r="AD5773">
        <v>-6.0661E-2</v>
      </c>
      <c r="AE5773">
        <v>2.0959999999995201E-2</v>
      </c>
      <c r="AF5773">
        <v>-0.40358754957831999</v>
      </c>
      <c r="AG5773">
        <v>-6.0661E-2</v>
      </c>
      <c r="AH5773">
        <v>0.50446323744937804</v>
      </c>
      <c r="AI5773">
        <v>95.364165181283994</v>
      </c>
      <c r="AJ5773">
        <v>128.660982768167</v>
      </c>
      <c r="AK5773">
        <v>0.64888043970637699</v>
      </c>
      <c r="AL5773">
        <v>83.544742354079105</v>
      </c>
      <c r="AM5773">
        <v>112.638161783077</v>
      </c>
      <c r="AN5773">
        <v>1.0000000206017801</v>
      </c>
    </row>
    <row r="5774" spans="1:40" x14ac:dyDescent="0.25">
      <c r="A5774" t="str">
        <f>"20190303162935342"</f>
        <v>20190303162935342</v>
      </c>
      <c r="B5774" t="str">
        <f>"1551601775338091"</f>
        <v>1551601775338091</v>
      </c>
      <c r="C5774" t="s">
        <v>40</v>
      </c>
      <c r="D5774">
        <v>5.7820210000000003</v>
      </c>
      <c r="E5774">
        <v>0.46829749999999998</v>
      </c>
      <c r="F5774" t="s">
        <v>44</v>
      </c>
      <c r="G5774">
        <v>-291.834</v>
      </c>
      <c r="H5774">
        <v>1.074198</v>
      </c>
      <c r="I5774">
        <v>-60.970350000000003</v>
      </c>
      <c r="J5774">
        <v>-292.47480000000002</v>
      </c>
      <c r="K5774">
        <v>1.135426</v>
      </c>
      <c r="L5774">
        <v>-61.006810000000002</v>
      </c>
      <c r="M5774">
        <v>0.81153759999999997</v>
      </c>
      <c r="N5774">
        <v>-1.446796E-2</v>
      </c>
      <c r="O5774">
        <v>-0.58412149999999996</v>
      </c>
      <c r="P5774">
        <v>0.9662463</v>
      </c>
      <c r="Q5774">
        <v>0.1123724</v>
      </c>
      <c r="R5774">
        <v>-0.2318219</v>
      </c>
      <c r="S5774">
        <v>3.025055</v>
      </c>
      <c r="T5774">
        <v>-0.20614209999999999</v>
      </c>
      <c r="U5774">
        <v>-0.45404050000000001</v>
      </c>
      <c r="V5774">
        <v>-0.38060450000000001</v>
      </c>
      <c r="W5774">
        <v>0.1119975</v>
      </c>
      <c r="X5774">
        <v>0.91793069999999999</v>
      </c>
      <c r="Y5774">
        <v>-0.45536690000000002</v>
      </c>
      <c r="Z5774">
        <v>4.6865740000000003E-2</v>
      </c>
      <c r="AA5774">
        <v>0.88906949999999996</v>
      </c>
      <c r="AB5774">
        <v>31</v>
      </c>
      <c r="AC5774">
        <v>0.64080000000001203</v>
      </c>
      <c r="AD5774">
        <v>-6.1227999999999998E-2</v>
      </c>
      <c r="AE5774">
        <v>3.6459999999991E-2</v>
      </c>
      <c r="AF5774">
        <v>-0.40029313865736199</v>
      </c>
      <c r="AG5774">
        <v>-6.1227999999999998E-2</v>
      </c>
      <c r="AH5774">
        <v>0.49429015505433399</v>
      </c>
      <c r="AI5774">
        <v>95.498529196770903</v>
      </c>
      <c r="AJ5774">
        <v>129.001740581853</v>
      </c>
      <c r="AK5774">
        <v>0.63898843669021099</v>
      </c>
      <c r="AL5774">
        <v>83.569524450604007</v>
      </c>
      <c r="AM5774">
        <v>112.520517017906</v>
      </c>
      <c r="AN5774">
        <v>0.99999999771449399</v>
      </c>
    </row>
    <row r="5775" spans="1:40" x14ac:dyDescent="0.25">
      <c r="A5775" t="str">
        <f>"20190303162935365"</f>
        <v>20190303162935365</v>
      </c>
      <c r="B5775" t="str">
        <f>"1551601775357611"</f>
        <v>1551601775357611</v>
      </c>
      <c r="C5775" t="s">
        <v>40</v>
      </c>
      <c r="D5775">
        <v>5.7731240000000001</v>
      </c>
      <c r="E5775">
        <v>0.46923730000000002</v>
      </c>
      <c r="F5775" t="s">
        <v>41</v>
      </c>
      <c r="G5775">
        <v>-278.21730000000002</v>
      </c>
      <c r="H5775" s="1">
        <v>-3.2209139999999999E-6</v>
      </c>
      <c r="I5775">
        <v>-63.279269999999997</v>
      </c>
      <c r="J5775">
        <v>-292.22519999999997</v>
      </c>
      <c r="K5775">
        <v>1.13551</v>
      </c>
      <c r="L5775">
        <v>-61.166409999999999</v>
      </c>
      <c r="M5775">
        <v>0.8219822</v>
      </c>
      <c r="N5775">
        <v>-1.4511400000000001E-2</v>
      </c>
      <c r="O5775">
        <v>-0.56932839999999996</v>
      </c>
      <c r="P5775">
        <v>0.96994880000000006</v>
      </c>
      <c r="Q5775">
        <v>0.112148</v>
      </c>
      <c r="R5775">
        <v>-0.21592259999999999</v>
      </c>
      <c r="S5775">
        <v>3.017334</v>
      </c>
      <c r="T5775">
        <v>-0.24029310000000001</v>
      </c>
      <c r="U5775">
        <v>-0.48092649999999998</v>
      </c>
      <c r="V5775">
        <v>-0.37908560000000002</v>
      </c>
      <c r="W5775">
        <v>0.1117933</v>
      </c>
      <c r="X5775">
        <v>0.91858390000000001</v>
      </c>
      <c r="Y5775">
        <v>-0.4303999</v>
      </c>
      <c r="Z5775">
        <v>5.3753509999999997E-2</v>
      </c>
      <c r="AA5775">
        <v>0.90103639999999996</v>
      </c>
      <c r="AB5775">
        <v>31</v>
      </c>
      <c r="AC5775">
        <v>14.0078999999999</v>
      </c>
      <c r="AD5775">
        <v>-1.135513220914</v>
      </c>
      <c r="AE5775">
        <v>-2.1128599999999902</v>
      </c>
      <c r="AF5775">
        <v>-6.19918910677801</v>
      </c>
      <c r="AG5775">
        <v>-1.135513220914</v>
      </c>
      <c r="AH5775">
        <v>12.637300154152999</v>
      </c>
      <c r="AI5775">
        <v>94.612101263105004</v>
      </c>
      <c r="AJ5775">
        <v>116.130119249787</v>
      </c>
      <c r="AK5775">
        <v>14.121639106088899</v>
      </c>
      <c r="AL5775">
        <v>83.581298252348006</v>
      </c>
      <c r="AM5775">
        <v>112.425194780563</v>
      </c>
      <c r="AN5775">
        <v>1.0000000076957201</v>
      </c>
    </row>
    <row r="5776" spans="1:40" x14ac:dyDescent="0.25">
      <c r="A5776" t="str">
        <f>"20190303162935387"</f>
        <v>20190303162935387</v>
      </c>
      <c r="B5776" t="str">
        <f>"1551601775378107"</f>
        <v>1551601775378107</v>
      </c>
      <c r="C5776" t="s">
        <v>40</v>
      </c>
      <c r="D5776">
        <v>5.7787290000000002</v>
      </c>
      <c r="E5776">
        <v>0.46997480000000003</v>
      </c>
      <c r="F5776" t="s">
        <v>44</v>
      </c>
      <c r="G5776">
        <v>-291.16210000000001</v>
      </c>
      <c r="H5776">
        <v>1.0513509999999999</v>
      </c>
      <c r="I5776">
        <v>-61.320650000000001</v>
      </c>
      <c r="J5776">
        <v>-291.96620000000001</v>
      </c>
      <c r="K5776">
        <v>1.135586</v>
      </c>
      <c r="L5776">
        <v>-61.325290000000003</v>
      </c>
      <c r="M5776">
        <v>0.832466699999999</v>
      </c>
      <c r="N5776">
        <v>-1.455039E-2</v>
      </c>
      <c r="O5776">
        <v>-0.55388419999999905</v>
      </c>
      <c r="P5776">
        <v>0.97329719999999997</v>
      </c>
      <c r="Q5776">
        <v>0.1127016</v>
      </c>
      <c r="R5776">
        <v>-0.1999785</v>
      </c>
      <c r="S5776">
        <v>3.02298</v>
      </c>
      <c r="T5776">
        <v>-0.23931369999999999</v>
      </c>
      <c r="U5776">
        <v>-0.43859860000000001</v>
      </c>
      <c r="V5776">
        <v>-0.37701469999999998</v>
      </c>
      <c r="W5776">
        <v>0.1123955</v>
      </c>
      <c r="X5776">
        <v>0.91936240000000002</v>
      </c>
      <c r="Y5776">
        <v>-0.4262089</v>
      </c>
      <c r="Z5776">
        <v>5.2562249999999998E-2</v>
      </c>
      <c r="AA5776">
        <v>0.90309640000000002</v>
      </c>
      <c r="AB5776">
        <v>31</v>
      </c>
      <c r="AC5776">
        <v>0.80410000000000503</v>
      </c>
      <c r="AD5776">
        <v>-8.4235000000000004E-2</v>
      </c>
      <c r="AE5776">
        <v>4.6400000000019698E-3</v>
      </c>
      <c r="AF5776">
        <v>-0.444411630664105</v>
      </c>
      <c r="AG5776">
        <v>-8.4235000000000004E-2</v>
      </c>
      <c r="AH5776">
        <v>0.659648233251247</v>
      </c>
      <c r="AI5776">
        <v>96.045356751983903</v>
      </c>
      <c r="AJ5776">
        <v>123.968544263269</v>
      </c>
      <c r="AK5776">
        <v>0.79983312279876295</v>
      </c>
      <c r="AL5776">
        <v>83.546576026426706</v>
      </c>
      <c r="AM5776">
        <v>112.29769003081699</v>
      </c>
      <c r="AN5776">
        <v>1.00000002748504</v>
      </c>
    </row>
    <row r="5777" spans="1:40" x14ac:dyDescent="0.25">
      <c r="A5777" t="str">
        <f>"20190303162935410"</f>
        <v>20190303162935410</v>
      </c>
      <c r="B5777" t="str">
        <f>"1551601775397627"</f>
        <v>1551601775397627</v>
      </c>
      <c r="C5777" t="s">
        <v>40</v>
      </c>
      <c r="D5777">
        <v>5.8982910000000004</v>
      </c>
      <c r="E5777">
        <v>0.4713792</v>
      </c>
      <c r="F5777" t="s">
        <v>44</v>
      </c>
      <c r="G5777">
        <v>-290.93669999999997</v>
      </c>
      <c r="H5777">
        <v>1.0552870000000001</v>
      </c>
      <c r="I5777">
        <v>-61.459589999999999</v>
      </c>
      <c r="J5777">
        <v>-291.70400000000001</v>
      </c>
      <c r="K5777">
        <v>1.135645</v>
      </c>
      <c r="L5777">
        <v>-61.479460000000003</v>
      </c>
      <c r="M5777">
        <v>0.84270719999999999</v>
      </c>
      <c r="N5777">
        <v>-1.4584440000000001E-2</v>
      </c>
      <c r="O5777">
        <v>-0.53817479999999995</v>
      </c>
      <c r="P5777">
        <v>0.97617359999999997</v>
      </c>
      <c r="Q5777">
        <v>0.1135911</v>
      </c>
      <c r="R5777">
        <v>-0.18488470000000001</v>
      </c>
      <c r="S5777">
        <v>3.0284420000000001</v>
      </c>
      <c r="T5777">
        <v>-0.23623659999999999</v>
      </c>
      <c r="U5777">
        <v>-0.39538570000000001</v>
      </c>
      <c r="V5777">
        <v>-0.37400050000000001</v>
      </c>
      <c r="W5777">
        <v>0.1133806</v>
      </c>
      <c r="X5777">
        <v>0.92047190000000001</v>
      </c>
      <c r="Y5777">
        <v>-0.42223329999999998</v>
      </c>
      <c r="Z5777">
        <v>5.0865279999999999E-2</v>
      </c>
      <c r="AA5777">
        <v>0.90505899999999995</v>
      </c>
      <c r="AB5777">
        <v>31</v>
      </c>
      <c r="AC5777">
        <v>0.76730000000003395</v>
      </c>
      <c r="AD5777">
        <v>-8.0357999999999902E-2</v>
      </c>
      <c r="AE5777">
        <v>1.9869999999990201E-2</v>
      </c>
      <c r="AF5777">
        <v>-0.42507269168401002</v>
      </c>
      <c r="AG5777">
        <v>-8.0357999999999902E-2</v>
      </c>
      <c r="AH5777">
        <v>0.62908804519878303</v>
      </c>
      <c r="AI5777">
        <v>96.041730730250293</v>
      </c>
      <c r="AJ5777">
        <v>124.046762851943</v>
      </c>
      <c r="AK5777">
        <v>0.76347624062017505</v>
      </c>
      <c r="AL5777">
        <v>83.489770832193201</v>
      </c>
      <c r="AM5777">
        <v>112.112589358783</v>
      </c>
      <c r="AN5777">
        <v>1.0000000265730999</v>
      </c>
    </row>
    <row r="5778" spans="1:40" x14ac:dyDescent="0.25">
      <c r="A5778" t="str">
        <f>"20190303162935424"</f>
        <v>20190303162935424</v>
      </c>
      <c r="B5778" t="str">
        <f>"1551601775418123"</f>
        <v>1551601775418123</v>
      </c>
      <c r="C5778" t="s">
        <v>40</v>
      </c>
      <c r="D5778">
        <v>5.8299760000000003</v>
      </c>
      <c r="E5778">
        <v>0.47261039999999999</v>
      </c>
      <c r="F5778" t="s">
        <v>44</v>
      </c>
      <c r="G5778">
        <v>-290.70159999999998</v>
      </c>
      <c r="H5778">
        <v>1.0592919999999999</v>
      </c>
      <c r="I5778">
        <v>-61.598460000000003</v>
      </c>
      <c r="J5778">
        <v>-291.53699999999998</v>
      </c>
      <c r="K5778">
        <v>1.135683</v>
      </c>
      <c r="L5778">
        <v>-61.574860000000001</v>
      </c>
      <c r="M5778">
        <v>0.84904740000000001</v>
      </c>
      <c r="N5778">
        <v>-1.460379E-2</v>
      </c>
      <c r="O5778">
        <v>-0.52811490000000005</v>
      </c>
      <c r="P5778">
        <v>0.97789119999999996</v>
      </c>
      <c r="Q5778">
        <v>0.1140433</v>
      </c>
      <c r="R5778">
        <v>-0.17528070000000001</v>
      </c>
      <c r="S5778">
        <v>3.0320740000000002</v>
      </c>
      <c r="T5778">
        <v>-0.23090769999999999</v>
      </c>
      <c r="U5778">
        <v>-0.35931400000000002</v>
      </c>
      <c r="V5778">
        <v>-0.37209920000000002</v>
      </c>
      <c r="W5778">
        <v>0.113895</v>
      </c>
      <c r="X5778">
        <v>0.92117859999999996</v>
      </c>
      <c r="Y5778">
        <v>-0.42232750000000002</v>
      </c>
      <c r="Z5778">
        <v>4.9132879999999997E-2</v>
      </c>
      <c r="AA5778">
        <v>0.90511070000000005</v>
      </c>
      <c r="AB5778">
        <v>31</v>
      </c>
      <c r="AC5778">
        <v>0.83540000000004899</v>
      </c>
      <c r="AD5778">
        <v>-7.6391000000000098E-2</v>
      </c>
      <c r="AE5778">
        <v>-2.3599999999994702E-2</v>
      </c>
      <c r="AF5778">
        <v>-0.41770462065599201</v>
      </c>
      <c r="AG5778">
        <v>-7.6391000000000098E-2</v>
      </c>
      <c r="AH5778">
        <v>0.71585365634670295</v>
      </c>
      <c r="AI5778">
        <v>95.266053872528801</v>
      </c>
      <c r="AJ5778">
        <v>120.263801073426</v>
      </c>
      <c r="AK5778">
        <v>0.83232156784701194</v>
      </c>
      <c r="AL5778">
        <v>83.460105213295904</v>
      </c>
      <c r="AM5778">
        <v>111.99566274778699</v>
      </c>
      <c r="AN5778">
        <v>0.99999994938179804</v>
      </c>
    </row>
    <row r="5779" spans="1:40" x14ac:dyDescent="0.25">
      <c r="A5779" t="str">
        <f>"20190303162935436"</f>
        <v>20190303162935436</v>
      </c>
      <c r="B5779" t="str">
        <f>"1551601775427884"</f>
        <v>1551601775427884</v>
      </c>
      <c r="C5779" t="s">
        <v>40</v>
      </c>
      <c r="D5779">
        <v>5.8317620000000003</v>
      </c>
      <c r="E5779">
        <v>0.47261039999999999</v>
      </c>
      <c r="F5779" t="s">
        <v>44</v>
      </c>
      <c r="G5779">
        <v>-290.46769999999998</v>
      </c>
      <c r="H5779">
        <v>1.0550299999999999</v>
      </c>
      <c r="I5779">
        <v>-61.694110000000002</v>
      </c>
      <c r="J5779">
        <v>-291.38740000000001</v>
      </c>
      <c r="K5779">
        <v>1.135713</v>
      </c>
      <c r="L5779">
        <v>-61.657290000000003</v>
      </c>
      <c r="M5779">
        <v>0.85459069999999904</v>
      </c>
      <c r="N5779">
        <v>-1.46196E-2</v>
      </c>
      <c r="O5779">
        <v>-0.51909669999999997</v>
      </c>
      <c r="P5779">
        <v>0.9792535</v>
      </c>
      <c r="Q5779">
        <v>0.114621</v>
      </c>
      <c r="R5779">
        <v>-0.16710800000000001</v>
      </c>
      <c r="S5779">
        <v>3.0338129999999999</v>
      </c>
      <c r="T5779">
        <v>-0.2288512</v>
      </c>
      <c r="U5779">
        <v>-0.338653599999999</v>
      </c>
      <c r="V5779">
        <v>-0.37003360000000002</v>
      </c>
      <c r="W5779">
        <v>0.11454540000000001</v>
      </c>
      <c r="X5779">
        <v>0.92192980000000002</v>
      </c>
      <c r="Y5779">
        <v>-0.41894399999999998</v>
      </c>
      <c r="Z5779">
        <v>4.8075449999999999E-2</v>
      </c>
      <c r="AA5779">
        <v>0.9067385</v>
      </c>
      <c r="AB5779">
        <v>31</v>
      </c>
      <c r="AC5779">
        <v>0.91970000000003405</v>
      </c>
      <c r="AD5779">
        <v>-8.0683000000000005E-2</v>
      </c>
      <c r="AE5779">
        <v>-3.6819999999991603E-2</v>
      </c>
      <c r="AF5779">
        <v>-0.44259398016344598</v>
      </c>
      <c r="AG5779">
        <v>-8.0683000000000005E-2</v>
      </c>
      <c r="AH5779">
        <v>0.79902654162892295</v>
      </c>
      <c r="AI5779">
        <v>95.0478831899742</v>
      </c>
      <c r="AJ5779">
        <v>118.982791730542</v>
      </c>
      <c r="AK5779">
        <v>0.91697469539426102</v>
      </c>
      <c r="AL5779">
        <v>83.422595110897902</v>
      </c>
      <c r="AM5779">
        <v>111.86897279521401</v>
      </c>
      <c r="AN5779">
        <v>1.0000000349590701</v>
      </c>
    </row>
    <row r="5780" spans="1:40" x14ac:dyDescent="0.25">
      <c r="A5780" t="str">
        <f>"20190303162935449"</f>
        <v>20190303162935449</v>
      </c>
      <c r="B5780" t="str">
        <f>"1551601775437643"</f>
        <v>1551601775437643</v>
      </c>
      <c r="C5780" t="s">
        <v>40</v>
      </c>
      <c r="D5780">
        <v>5.8955169999999999</v>
      </c>
      <c r="E5780">
        <v>0.48218559999999999</v>
      </c>
      <c r="F5780" t="s">
        <v>41</v>
      </c>
      <c r="G5780">
        <v>-276.18770000000001</v>
      </c>
      <c r="H5780" s="1">
        <v>-2.4402270000000001E-6</v>
      </c>
      <c r="I5780">
        <v>-63.223280000000003</v>
      </c>
      <c r="J5780">
        <v>-291.24900000000002</v>
      </c>
      <c r="K5780">
        <v>1.135748</v>
      </c>
      <c r="L5780">
        <v>-61.732030000000002</v>
      </c>
      <c r="M5780">
        <v>0.85961860000000001</v>
      </c>
      <c r="N5780">
        <v>-1.463358E-2</v>
      </c>
      <c r="O5780">
        <v>-0.51072689999999998</v>
      </c>
      <c r="P5780">
        <v>0.98030030000000001</v>
      </c>
      <c r="Q5780">
        <v>0.1154734</v>
      </c>
      <c r="R5780">
        <v>-0.16024240000000001</v>
      </c>
      <c r="S5780">
        <v>3.0367130000000002</v>
      </c>
      <c r="T5780">
        <v>-0.22690270000000001</v>
      </c>
      <c r="U5780">
        <v>-0.31286619999999998</v>
      </c>
      <c r="V5780">
        <v>-0.3674753</v>
      </c>
      <c r="W5780">
        <v>0.11549280000000001</v>
      </c>
      <c r="X5780">
        <v>0.92283440000000005</v>
      </c>
      <c r="Y5780">
        <v>-0.41784549999999998</v>
      </c>
      <c r="Z5780">
        <v>4.7170530000000002E-2</v>
      </c>
      <c r="AA5780">
        <v>0.90729269999999995</v>
      </c>
      <c r="AB5780">
        <v>31</v>
      </c>
      <c r="AC5780">
        <v>15.061299999999999</v>
      </c>
      <c r="AD5780">
        <v>-1.135750440227</v>
      </c>
      <c r="AE5780">
        <v>-1.49125</v>
      </c>
      <c r="AF5780">
        <v>-6.3750908308018701</v>
      </c>
      <c r="AG5780">
        <v>-1.135750440227</v>
      </c>
      <c r="AH5780">
        <v>13.633289120913201</v>
      </c>
      <c r="AI5780">
        <v>94.315598640138404</v>
      </c>
      <c r="AJ5780">
        <v>115.061359050346</v>
      </c>
      <c r="AK5780">
        <v>15.092987922139899</v>
      </c>
      <c r="AL5780">
        <v>83.367950237419905</v>
      </c>
      <c r="AM5780">
        <v>111.71258867453</v>
      </c>
      <c r="AN5780">
        <v>1.00000000639264</v>
      </c>
    </row>
    <row r="5781" spans="1:40" x14ac:dyDescent="0.25">
      <c r="A5781" t="str">
        <f>"20190303162935462"</f>
        <v>20190303162935462</v>
      </c>
      <c r="B5781" t="str">
        <f>"1551601775447404"</f>
        <v>1551601775447404</v>
      </c>
      <c r="C5781" t="s">
        <v>40</v>
      </c>
      <c r="D5781">
        <v>5.8346099999999996</v>
      </c>
      <c r="E5781">
        <v>0.48289890000000002</v>
      </c>
      <c r="F5781" t="s">
        <v>41</v>
      </c>
      <c r="G5781">
        <v>-276.43450000000001</v>
      </c>
      <c r="H5781" s="1">
        <v>-2.6135E-6</v>
      </c>
      <c r="I5781">
        <v>-63.526440000000001</v>
      </c>
      <c r="J5781">
        <v>-291.09809999999999</v>
      </c>
      <c r="K5781">
        <v>1.1357820000000001</v>
      </c>
      <c r="L5781">
        <v>-61.811950000000003</v>
      </c>
      <c r="M5781">
        <v>0.86499219999999899</v>
      </c>
      <c r="N5781">
        <v>-1.464815E-2</v>
      </c>
      <c r="O5781">
        <v>-0.50157159999999901</v>
      </c>
      <c r="P5781">
        <v>0.98142249999999998</v>
      </c>
      <c r="Q5781">
        <v>0.1164379</v>
      </c>
      <c r="R5781">
        <v>-0.15248639999999999</v>
      </c>
      <c r="S5781">
        <v>3.027679</v>
      </c>
      <c r="T5781">
        <v>-0.23211660000000001</v>
      </c>
      <c r="U5781">
        <v>-0.36672969999999999</v>
      </c>
      <c r="V5781">
        <v>-0.36495820000000001</v>
      </c>
      <c r="W5781">
        <v>0.1165499</v>
      </c>
      <c r="X5781">
        <v>0.92369999999999997</v>
      </c>
      <c r="Y5781">
        <v>-0.39181529999999998</v>
      </c>
      <c r="Z5781">
        <v>4.6783869999999998E-2</v>
      </c>
      <c r="AA5781">
        <v>0.9188537</v>
      </c>
      <c r="AB5781">
        <v>31</v>
      </c>
      <c r="AC5781">
        <v>14.663599999999899</v>
      </c>
      <c r="AD5781">
        <v>-1.1357846135</v>
      </c>
      <c r="AE5781">
        <v>-1.7144899999999901</v>
      </c>
      <c r="AF5781">
        <v>-5.8379026635345097</v>
      </c>
      <c r="AG5781">
        <v>-1.1357846135</v>
      </c>
      <c r="AH5781">
        <v>13.4655948789286</v>
      </c>
      <c r="AI5781">
        <v>94.425146554587698</v>
      </c>
      <c r="AJ5781">
        <v>113.43876385325299</v>
      </c>
      <c r="AK5781">
        <v>14.720508131195601</v>
      </c>
      <c r="AL5781">
        <v>83.306971205249994</v>
      </c>
      <c r="AM5781">
        <v>111.559208343777</v>
      </c>
      <c r="AN5781">
        <v>1.0000000284686199</v>
      </c>
    </row>
    <row r="5782" spans="1:40" x14ac:dyDescent="0.25">
      <c r="A5782" t="str">
        <f>"20190303162935473"</f>
        <v>20190303162935473</v>
      </c>
      <c r="B5782" t="str">
        <f>"1551601775467899"</f>
        <v>1551601775467899</v>
      </c>
      <c r="C5782" t="s">
        <v>40</v>
      </c>
      <c r="D5782">
        <v>5.8320790000000002</v>
      </c>
      <c r="E5782">
        <v>0.48426720000000001</v>
      </c>
      <c r="F5782" t="s">
        <v>41</v>
      </c>
      <c r="G5782">
        <v>-276.11880000000002</v>
      </c>
      <c r="H5782" s="1">
        <v>-2.4790310000000001E-6</v>
      </c>
      <c r="I5782">
        <v>-63.53078</v>
      </c>
      <c r="J5782">
        <v>-290.95370000000003</v>
      </c>
      <c r="K5782">
        <v>1.1358159999999999</v>
      </c>
      <c r="L5782">
        <v>-61.885739999999998</v>
      </c>
      <c r="M5782">
        <v>0.87001640000000002</v>
      </c>
      <c r="N5782">
        <v>-1.466164E-2</v>
      </c>
      <c r="O5782">
        <v>-0.49280479999999999</v>
      </c>
      <c r="P5782">
        <v>0.98233859999999995</v>
      </c>
      <c r="Q5782">
        <v>0.117616899999999</v>
      </c>
      <c r="R5782">
        <v>-0.14552409999999999</v>
      </c>
      <c r="S5782">
        <v>3.0300289999999999</v>
      </c>
      <c r="T5782">
        <v>-0.22974800000000001</v>
      </c>
      <c r="U5782">
        <v>-0.34768680000000002</v>
      </c>
      <c r="V5782">
        <v>-0.36215160000000002</v>
      </c>
      <c r="W5782">
        <v>0.1178347</v>
      </c>
      <c r="X5782">
        <v>0.92464109999999999</v>
      </c>
      <c r="Y5782">
        <v>-0.38837179999999999</v>
      </c>
      <c r="Z5782">
        <v>4.5662429999999997E-2</v>
      </c>
      <c r="AA5782">
        <v>0.92037069999999999</v>
      </c>
      <c r="AB5782">
        <v>31</v>
      </c>
      <c r="AC5782">
        <v>14.834899999999999</v>
      </c>
      <c r="AD5782">
        <v>-1.135818479031</v>
      </c>
      <c r="AE5782">
        <v>-1.6450400000000001</v>
      </c>
      <c r="AF5782">
        <v>-5.8462751930546499</v>
      </c>
      <c r="AG5782">
        <v>-1.135818479031</v>
      </c>
      <c r="AH5782">
        <v>13.639778367313699</v>
      </c>
      <c r="AI5782">
        <v>94.376781135550104</v>
      </c>
      <c r="AJ5782">
        <v>113.20091811549</v>
      </c>
      <c r="AK5782">
        <v>14.883298396513901</v>
      </c>
      <c r="AL5782">
        <v>83.232846487487194</v>
      </c>
      <c r="AM5782">
        <v>111.38864982413</v>
      </c>
      <c r="AN5782">
        <v>0.99999998085792896</v>
      </c>
    </row>
    <row r="5783" spans="1:40" x14ac:dyDescent="0.25">
      <c r="A5783" t="str">
        <f>"20190303162935488"</f>
        <v>20190303162935488</v>
      </c>
      <c r="B5783" t="str">
        <f>"1551601775477660"</f>
        <v>1551601775477660</v>
      </c>
      <c r="C5783" t="s">
        <v>40</v>
      </c>
      <c r="D5783">
        <v>5.8893120000000003</v>
      </c>
      <c r="E5783">
        <v>0.48520740000000001</v>
      </c>
      <c r="F5783" t="s">
        <v>41</v>
      </c>
      <c r="G5783">
        <v>-275.84789999999998</v>
      </c>
      <c r="H5783" s="1">
        <v>-2.3702639999999998E-6</v>
      </c>
      <c r="I5783">
        <v>-63.564349999999997</v>
      </c>
      <c r="J5783">
        <v>-290.7833</v>
      </c>
      <c r="K5783">
        <v>1.1358699999999999</v>
      </c>
      <c r="L5783">
        <v>-61.9711</v>
      </c>
      <c r="M5783">
        <v>0.87581540000000002</v>
      </c>
      <c r="N5783">
        <v>-1.4676989999999999E-2</v>
      </c>
      <c r="O5783">
        <v>-0.4824232</v>
      </c>
      <c r="P5783">
        <v>0.98276739999999996</v>
      </c>
      <c r="Q5783">
        <v>0.12009839999999999</v>
      </c>
      <c r="R5783">
        <v>-0.14051629999999901</v>
      </c>
      <c r="S5783">
        <v>3.031342</v>
      </c>
      <c r="T5783">
        <v>-0.22792850000000001</v>
      </c>
      <c r="U5783">
        <v>-0.33685300000000001</v>
      </c>
      <c r="V5783">
        <v>-0.35580990000000001</v>
      </c>
      <c r="W5783">
        <v>0.1205692</v>
      </c>
      <c r="X5783">
        <v>0.92674829999999997</v>
      </c>
      <c r="Y5783">
        <v>-0.38077339999999998</v>
      </c>
      <c r="Z5783">
        <v>4.4406229999999998E-2</v>
      </c>
      <c r="AA5783">
        <v>0.92360149999999996</v>
      </c>
      <c r="AB5783">
        <v>31</v>
      </c>
      <c r="AC5783">
        <v>14.9354</v>
      </c>
      <c r="AD5783">
        <v>-1.1358723702639999</v>
      </c>
      <c r="AE5783">
        <v>-1.5932499999999901</v>
      </c>
      <c r="AF5783">
        <v>-5.7773758027987299</v>
      </c>
      <c r="AG5783">
        <v>-1.1358723702639999</v>
      </c>
      <c r="AH5783">
        <v>13.7720043381092</v>
      </c>
      <c r="AI5783">
        <v>94.349301160749107</v>
      </c>
      <c r="AJ5783">
        <v>112.758119911039</v>
      </c>
      <c r="AK5783">
        <v>14.9778630217128</v>
      </c>
      <c r="AL5783">
        <v>83.075046243235803</v>
      </c>
      <c r="AM5783">
        <v>111.00347860347399</v>
      </c>
      <c r="AN5783">
        <v>1.00000001423977</v>
      </c>
    </row>
    <row r="5784" spans="1:40" x14ac:dyDescent="0.25">
      <c r="A5784" t="str">
        <f>"20190303162935510"</f>
        <v>20190303162935510</v>
      </c>
      <c r="B5784" t="str">
        <f>"1551601775498155"</f>
        <v>1551601775498155</v>
      </c>
      <c r="C5784" t="s">
        <v>40</v>
      </c>
      <c r="D5784">
        <v>5.8924310000000002</v>
      </c>
      <c r="E5784">
        <v>0.48615969999999997</v>
      </c>
      <c r="F5784" t="s">
        <v>41</v>
      </c>
      <c r="G5784">
        <v>-274.91789999999997</v>
      </c>
      <c r="H5784" s="1">
        <v>-1.9988919999999998E-6</v>
      </c>
      <c r="I5784">
        <v>-63.688270000000003</v>
      </c>
      <c r="J5784">
        <v>-290.51319999999998</v>
      </c>
      <c r="K5784">
        <v>1.1359399999999999</v>
      </c>
      <c r="L5784">
        <v>-62.10098</v>
      </c>
      <c r="M5784">
        <v>0.88470890000000002</v>
      </c>
      <c r="N5784">
        <v>-1.470078E-2</v>
      </c>
      <c r="O5784">
        <v>-0.4659124</v>
      </c>
      <c r="P5784">
        <v>0.98398920000000001</v>
      </c>
      <c r="Q5784">
        <v>0.12270440000000001</v>
      </c>
      <c r="R5784">
        <v>-0.1292643</v>
      </c>
      <c r="S5784">
        <v>3.0321959999999999</v>
      </c>
      <c r="T5784">
        <v>-0.21708830000000001</v>
      </c>
      <c r="U5784">
        <v>-0.32818599999999998</v>
      </c>
      <c r="V5784">
        <v>-0.34897709999999998</v>
      </c>
      <c r="W5784">
        <v>0.1234415</v>
      </c>
      <c r="X5784">
        <v>0.92896559999999995</v>
      </c>
      <c r="Y5784">
        <v>-0.36629109999999998</v>
      </c>
      <c r="Z5784">
        <v>4.0683190000000001E-2</v>
      </c>
      <c r="AA5784">
        <v>0.92961050000000001</v>
      </c>
      <c r="AB5784">
        <v>31</v>
      </c>
      <c r="AC5784">
        <v>15.5953</v>
      </c>
      <c r="AD5784">
        <v>-1.1359419988920001</v>
      </c>
      <c r="AE5784">
        <v>-1.5872899999999801</v>
      </c>
      <c r="AF5784">
        <v>-5.8317635541982797</v>
      </c>
      <c r="AG5784">
        <v>-1.1359419988920001</v>
      </c>
      <c r="AH5784">
        <v>14.462463935177601</v>
      </c>
      <c r="AI5784">
        <v>94.166345635971993</v>
      </c>
      <c r="AJ5784">
        <v>111.960989532741</v>
      </c>
      <c r="AK5784">
        <v>15.635302793781699</v>
      </c>
      <c r="AL5784">
        <v>82.909236393709804</v>
      </c>
      <c r="AM5784">
        <v>110.589292847537</v>
      </c>
      <c r="AN5784">
        <v>0.999999953115008</v>
      </c>
    </row>
    <row r="5785" spans="1:40" x14ac:dyDescent="0.25">
      <c r="A5785" t="str">
        <f>"20190303162935522"</f>
        <v>20190303162935522</v>
      </c>
      <c r="B5785" t="str">
        <f>"1551601775507915"</f>
        <v>1551601775507915</v>
      </c>
      <c r="C5785" t="s">
        <v>40</v>
      </c>
      <c r="D5785">
        <v>5.8319580000000002</v>
      </c>
      <c r="E5785">
        <v>0.48666530000000002</v>
      </c>
      <c r="F5785" t="s">
        <v>41</v>
      </c>
      <c r="G5785">
        <v>-274.17770000000002</v>
      </c>
      <c r="H5785" s="1">
        <v>-1.6884499999999999E-6</v>
      </c>
      <c r="I5785">
        <v>-63.720210000000002</v>
      </c>
      <c r="J5785">
        <v>-290.3682</v>
      </c>
      <c r="K5785">
        <v>1.135982</v>
      </c>
      <c r="L5785">
        <v>-62.168640000000003</v>
      </c>
      <c r="M5785">
        <v>0.88933770000000001</v>
      </c>
      <c r="N5785">
        <v>-1.4713149999999999E-2</v>
      </c>
      <c r="O5785">
        <v>-0.45701439999999999</v>
      </c>
      <c r="P5785">
        <v>0.98448340000000001</v>
      </c>
      <c r="Q5785">
        <v>0.1243845</v>
      </c>
      <c r="R5785">
        <v>-0.1237786</v>
      </c>
      <c r="S5785">
        <v>3.0356450000000001</v>
      </c>
      <c r="T5785">
        <v>-0.2110938</v>
      </c>
      <c r="U5785">
        <v>-0.30090329999999998</v>
      </c>
      <c r="V5785">
        <v>-0.34480309999999997</v>
      </c>
      <c r="W5785">
        <v>0.12528629999999999</v>
      </c>
      <c r="X5785">
        <v>0.9302764</v>
      </c>
      <c r="Y5785">
        <v>-0.36545549999999999</v>
      </c>
      <c r="Z5785">
        <v>3.898422E-2</v>
      </c>
      <c r="AA5785">
        <v>0.93001210000000001</v>
      </c>
      <c r="AB5785">
        <v>31</v>
      </c>
      <c r="AC5785">
        <v>16.190499999999901</v>
      </c>
      <c r="AD5785">
        <v>-1.1359836884500001</v>
      </c>
      <c r="AE5785">
        <v>-1.5515699999999899</v>
      </c>
      <c r="AF5785">
        <v>-5.9908488929549701</v>
      </c>
      <c r="AG5785">
        <v>-1.1359836884500001</v>
      </c>
      <c r="AH5785">
        <v>15.0361974704159</v>
      </c>
      <c r="AI5785">
        <v>94.014682051708604</v>
      </c>
      <c r="AJ5785">
        <v>111.72374414746599</v>
      </c>
      <c r="AK5785">
        <v>16.225534313790298</v>
      </c>
      <c r="AL5785">
        <v>82.802710514654905</v>
      </c>
      <c r="AM5785">
        <v>110.337016148554</v>
      </c>
      <c r="AN5785">
        <v>1.00000000756713</v>
      </c>
    </row>
    <row r="5786" spans="1:40" x14ac:dyDescent="0.25">
      <c r="A5786" t="str">
        <f>"20190303162935534"</f>
        <v>20190303162935534</v>
      </c>
      <c r="B5786" t="str">
        <f>"1551601775527435"</f>
        <v>1551601775527435</v>
      </c>
      <c r="C5786" t="s">
        <v>40</v>
      </c>
      <c r="D5786">
        <v>5.8905979999999998</v>
      </c>
      <c r="E5786">
        <v>0.48743920000000002</v>
      </c>
      <c r="F5786" t="s">
        <v>41</v>
      </c>
      <c r="G5786">
        <v>-273.76089999999999</v>
      </c>
      <c r="H5786" s="1">
        <v>-1.5141400000000001E-6</v>
      </c>
      <c r="I5786">
        <v>-63.7406199999999</v>
      </c>
      <c r="J5786">
        <v>-290.23140000000001</v>
      </c>
      <c r="K5786">
        <v>1.1360220000000001</v>
      </c>
      <c r="L5786">
        <v>-62.2299199999999</v>
      </c>
      <c r="M5786">
        <v>0.89360269999999997</v>
      </c>
      <c r="N5786">
        <v>-1.4724610000000001E-2</v>
      </c>
      <c r="O5786">
        <v>-0.4486173</v>
      </c>
      <c r="P5786">
        <v>0.98481149999999995</v>
      </c>
      <c r="Q5786">
        <v>0.12633159999999999</v>
      </c>
      <c r="R5786">
        <v>-0.1191091</v>
      </c>
      <c r="S5786">
        <v>3.0373839999999999</v>
      </c>
      <c r="T5786">
        <v>-0.20776459999999999</v>
      </c>
      <c r="U5786">
        <v>-0.28750609999999999</v>
      </c>
      <c r="V5786">
        <v>-0.34041270000000001</v>
      </c>
      <c r="W5786">
        <v>0.12740870000000001</v>
      </c>
      <c r="X5786">
        <v>0.93160410000000005</v>
      </c>
      <c r="Y5786">
        <v>-0.3608808</v>
      </c>
      <c r="Z5786">
        <v>3.7725809999999999E-2</v>
      </c>
      <c r="AA5786">
        <v>0.93184860000000003</v>
      </c>
      <c r="AB5786">
        <v>31</v>
      </c>
      <c r="AC5786">
        <v>16.470500000000001</v>
      </c>
      <c r="AD5786">
        <v>-1.1360235141399999</v>
      </c>
      <c r="AE5786">
        <v>-1.5106999999999999</v>
      </c>
      <c r="AF5786">
        <v>-6.0112812456743399</v>
      </c>
      <c r="AG5786">
        <v>-1.1360235141399999</v>
      </c>
      <c r="AH5786">
        <v>15.3251797514784</v>
      </c>
      <c r="AI5786">
        <v>93.947662510327802</v>
      </c>
      <c r="AJ5786">
        <v>111.41752795965699</v>
      </c>
      <c r="AK5786">
        <v>16.5011268116574</v>
      </c>
      <c r="AL5786">
        <v>82.680123401071199</v>
      </c>
      <c r="AM5786">
        <v>110.07255102966801</v>
      </c>
      <c r="AN5786">
        <v>0.99999999114689497</v>
      </c>
    </row>
    <row r="5787" spans="1:40" x14ac:dyDescent="0.25">
      <c r="A5787" t="str">
        <f>"20190303162935545"</f>
        <v>20190303162935545</v>
      </c>
      <c r="B5787" t="str">
        <f>"1551601775537704"</f>
        <v>1551601775537704</v>
      </c>
      <c r="C5787" t="s">
        <v>40</v>
      </c>
      <c r="D5787">
        <v>5.8852539999999998</v>
      </c>
      <c r="E5787">
        <v>0.48781219999999997</v>
      </c>
      <c r="F5787" t="s">
        <v>41</v>
      </c>
      <c r="G5787">
        <v>-273.46249999999998</v>
      </c>
      <c r="H5787" s="1">
        <v>-1.3922599999999999E-6</v>
      </c>
      <c r="I5787">
        <v>-63.768050000000002</v>
      </c>
      <c r="J5787">
        <v>-290.08139999999997</v>
      </c>
      <c r="K5787">
        <v>1.1360589999999999</v>
      </c>
      <c r="L5787">
        <v>-62.296259999999997</v>
      </c>
      <c r="M5787">
        <v>0.89818069999999905</v>
      </c>
      <c r="N5787">
        <v>-1.4736549999999999E-2</v>
      </c>
      <c r="O5787">
        <v>-0.43937929999999997</v>
      </c>
      <c r="P5787">
        <v>0.9851124</v>
      </c>
      <c r="Q5787">
        <v>0.12853889999999901</v>
      </c>
      <c r="R5787">
        <v>-0.11415549999999999</v>
      </c>
      <c r="S5787">
        <v>3.0389400000000002</v>
      </c>
      <c r="T5787">
        <v>-0.20587610000000001</v>
      </c>
      <c r="U5787">
        <v>-0.27874759999999998</v>
      </c>
      <c r="V5787">
        <v>-0.33544620000000003</v>
      </c>
      <c r="W5787">
        <v>0.1298156</v>
      </c>
      <c r="X5787">
        <v>0.93307220000000002</v>
      </c>
      <c r="Y5787">
        <v>-0.3540259</v>
      </c>
      <c r="Z5787">
        <v>3.66364E-2</v>
      </c>
      <c r="AA5787">
        <v>0.93451770000000001</v>
      </c>
      <c r="AB5787">
        <v>31</v>
      </c>
      <c r="AC5787">
        <v>16.618899999999901</v>
      </c>
      <c r="AD5787">
        <v>-1.1360603922600001</v>
      </c>
      <c r="AE5787">
        <v>-1.4717899999999999</v>
      </c>
      <c r="AF5787">
        <v>-5.9531144246558201</v>
      </c>
      <c r="AG5787">
        <v>-1.1360603922600001</v>
      </c>
      <c r="AH5787">
        <v>15.5032579663322</v>
      </c>
      <c r="AI5787">
        <v>93.913436069350197</v>
      </c>
      <c r="AJ5787">
        <v>111.006349357489</v>
      </c>
      <c r="AK5787">
        <v>16.645756580538801</v>
      </c>
      <c r="AL5787">
        <v>82.541063221022398</v>
      </c>
      <c r="AM5787">
        <v>109.773877950051</v>
      </c>
      <c r="AN5787">
        <v>0.99999998675531898</v>
      </c>
    </row>
    <row r="5788" spans="1:40" x14ac:dyDescent="0.25">
      <c r="A5788" t="str">
        <f>"20190303162935558"</f>
        <v>20190303162935558</v>
      </c>
      <c r="B5788" t="str">
        <f>"1551601775547463"</f>
        <v>1551601775547463</v>
      </c>
      <c r="C5788" t="s">
        <v>40</v>
      </c>
      <c r="D5788">
        <v>5.8833199999999897</v>
      </c>
      <c r="E5788">
        <v>0.4882474</v>
      </c>
      <c r="F5788" t="s">
        <v>41</v>
      </c>
      <c r="G5788">
        <v>-272.803</v>
      </c>
      <c r="H5788" s="1">
        <v>-1.1183059999999999E-6</v>
      </c>
      <c r="I5788">
        <v>-63.808480000000003</v>
      </c>
      <c r="J5788">
        <v>-289.92320000000001</v>
      </c>
      <c r="K5788">
        <v>1.136093</v>
      </c>
      <c r="L5788">
        <v>-62.363590000000002</v>
      </c>
      <c r="M5788">
        <v>0.90288259999999998</v>
      </c>
      <c r="N5788">
        <v>-1.474835E-2</v>
      </c>
      <c r="O5788">
        <v>-0.42963400000000002</v>
      </c>
      <c r="P5788">
        <v>0.98542640000000004</v>
      </c>
      <c r="Q5788">
        <v>0.13080159999999999</v>
      </c>
      <c r="R5788">
        <v>-0.1087481</v>
      </c>
      <c r="S5788">
        <v>3.0405880000000001</v>
      </c>
      <c r="T5788">
        <v>-0.19991980000000001</v>
      </c>
      <c r="U5788">
        <v>-0.2661133</v>
      </c>
      <c r="V5788">
        <v>-0.3304242</v>
      </c>
      <c r="W5788">
        <v>0.13228090000000001</v>
      </c>
      <c r="X5788">
        <v>0.93451680000000004</v>
      </c>
      <c r="Y5788">
        <v>-0.34791749999999999</v>
      </c>
      <c r="Z5788">
        <v>3.4782769999999998E-2</v>
      </c>
      <c r="AA5788">
        <v>0.93687969999999998</v>
      </c>
      <c r="AB5788">
        <v>31</v>
      </c>
      <c r="AC5788">
        <v>17.120200000000001</v>
      </c>
      <c r="AD5788">
        <v>-1.136094118306</v>
      </c>
      <c r="AE5788">
        <v>-1.44489</v>
      </c>
      <c r="AF5788">
        <v>-6.0251675518911796</v>
      </c>
      <c r="AG5788">
        <v>-1.136094118306</v>
      </c>
      <c r="AH5788">
        <v>16.010050721293499</v>
      </c>
      <c r="AI5788">
        <v>93.799656935962901</v>
      </c>
      <c r="AJ5788">
        <v>110.62315410296</v>
      </c>
      <c r="AK5788">
        <v>17.143951644017299</v>
      </c>
      <c r="AL5788">
        <v>82.398583392476596</v>
      </c>
      <c r="AM5788">
        <v>109.472453202037</v>
      </c>
      <c r="AN5788">
        <v>1.0000000189663401</v>
      </c>
    </row>
    <row r="5789" spans="1:40" x14ac:dyDescent="0.25">
      <c r="A5789" t="str">
        <f>"20190303162935571"</f>
        <v>20190303162935571</v>
      </c>
      <c r="B5789" t="str">
        <f>"1551601775558200"</f>
        <v>1551601775558200</v>
      </c>
      <c r="C5789" t="s">
        <v>40</v>
      </c>
      <c r="D5789">
        <v>5.8781720000000002</v>
      </c>
      <c r="E5789">
        <v>0.4882474</v>
      </c>
      <c r="F5789" t="s">
        <v>41</v>
      </c>
      <c r="G5789">
        <v>-272.11180000000002</v>
      </c>
      <c r="H5789" s="1">
        <v>-8.2941299999999999E-7</v>
      </c>
      <c r="I5789">
        <v>-63.84281</v>
      </c>
      <c r="J5789">
        <v>-289.76850000000002</v>
      </c>
      <c r="K5789">
        <v>1.1361220000000001</v>
      </c>
      <c r="L5789">
        <v>-62.427639999999997</v>
      </c>
      <c r="M5789">
        <v>0.90736969999999995</v>
      </c>
      <c r="N5789">
        <v>-1.4759039999999999E-2</v>
      </c>
      <c r="O5789">
        <v>-0.42007450000000002</v>
      </c>
      <c r="P5789">
        <v>0.98578829999999995</v>
      </c>
      <c r="Q5789">
        <v>0.13270179999999901</v>
      </c>
      <c r="R5789">
        <v>-0.1030126</v>
      </c>
      <c r="S5789">
        <v>3.0422359999999999</v>
      </c>
      <c r="T5789">
        <v>-0.1940471</v>
      </c>
      <c r="U5789">
        <v>-0.25265500000000002</v>
      </c>
      <c r="V5789">
        <v>-0.32595429999999997</v>
      </c>
      <c r="W5789">
        <v>0.13436119999999999</v>
      </c>
      <c r="X5789">
        <v>0.93578890000000003</v>
      </c>
      <c r="Y5789">
        <v>-0.3422809</v>
      </c>
      <c r="Z5789">
        <v>3.3015299999999997E-2</v>
      </c>
      <c r="AA5789">
        <v>0.93901749999999995</v>
      </c>
      <c r="AB5789">
        <v>31</v>
      </c>
      <c r="AC5789">
        <v>17.656700000000001</v>
      </c>
      <c r="AD5789">
        <v>-1.1361228294129999</v>
      </c>
      <c r="AE5789">
        <v>-1.41516999999999</v>
      </c>
      <c r="AF5789">
        <v>-6.1085846361499501</v>
      </c>
      <c r="AG5789">
        <v>-1.1361228294129999</v>
      </c>
      <c r="AH5789">
        <v>16.549357930282099</v>
      </c>
      <c r="AI5789">
        <v>93.684949165299003</v>
      </c>
      <c r="AJ5789">
        <v>110.259763633709</v>
      </c>
      <c r="AK5789">
        <v>17.677297000534701</v>
      </c>
      <c r="AL5789">
        <v>82.278317199500293</v>
      </c>
      <c r="AM5789">
        <v>109.20426602812</v>
      </c>
      <c r="AN5789">
        <v>1.0000000015585699</v>
      </c>
    </row>
    <row r="5790" spans="1:40" x14ac:dyDescent="0.25">
      <c r="A5790" t="str">
        <f>"20190303162935582"</f>
        <v>20190303162935582</v>
      </c>
      <c r="B5790" t="str">
        <f>"1551601775567960"</f>
        <v>1551601775567960</v>
      </c>
      <c r="C5790" t="s">
        <v>40</v>
      </c>
      <c r="D5790">
        <v>5.8879359999999998</v>
      </c>
      <c r="E5790">
        <v>0.4988572</v>
      </c>
      <c r="F5790" t="s">
        <v>41</v>
      </c>
      <c r="G5790">
        <v>-271.38819999999998</v>
      </c>
      <c r="H5790" s="1">
        <v>-5.1953659999999995E-7</v>
      </c>
      <c r="I5790">
        <v>-63.845219999999998</v>
      </c>
      <c r="J5790">
        <v>-289.6189</v>
      </c>
      <c r="K5790">
        <v>1.1361559999999999</v>
      </c>
      <c r="L5790">
        <v>-62.488370000000003</v>
      </c>
      <c r="M5790">
        <v>0.91159889999999999</v>
      </c>
      <c r="N5790">
        <v>-1.4768730000000001E-2</v>
      </c>
      <c r="O5790">
        <v>-0.41081570000000001</v>
      </c>
      <c r="P5790">
        <v>0.98611150000000003</v>
      </c>
      <c r="Q5790">
        <v>0.13462180000000001</v>
      </c>
      <c r="R5790">
        <v>-9.7271040000000003E-2</v>
      </c>
      <c r="S5790">
        <v>3.0440369999999999</v>
      </c>
      <c r="T5790">
        <v>-0.1881582</v>
      </c>
      <c r="U5790">
        <v>-0.2347717</v>
      </c>
      <c r="V5790">
        <v>-0.32184099999999999</v>
      </c>
      <c r="W5790">
        <v>0.1364475</v>
      </c>
      <c r="X5790">
        <v>0.93691000000000002</v>
      </c>
      <c r="Y5790">
        <v>-0.33834249999999999</v>
      </c>
      <c r="Z5790">
        <v>3.1365480000000001E-2</v>
      </c>
      <c r="AA5790">
        <v>0.94050020000000001</v>
      </c>
      <c r="AB5790">
        <v>31</v>
      </c>
      <c r="AC5790">
        <v>18.230699999999999</v>
      </c>
      <c r="AD5790">
        <v>-1.1361565195365999</v>
      </c>
      <c r="AE5790">
        <v>-1.3568499999999999</v>
      </c>
      <c r="AF5790">
        <v>-6.2291758535590498</v>
      </c>
      <c r="AG5790">
        <v>-1.1361565195365999</v>
      </c>
      <c r="AH5790">
        <v>17.112276601215498</v>
      </c>
      <c r="AI5790">
        <v>93.570011583161204</v>
      </c>
      <c r="AJ5790">
        <v>110.002414082225</v>
      </c>
      <c r="AK5790">
        <v>18.246191217017198</v>
      </c>
      <c r="AL5790">
        <v>82.157669464573701</v>
      </c>
      <c r="AM5790">
        <v>108.958275684269</v>
      </c>
      <c r="AN5790">
        <v>0.99999994881862297</v>
      </c>
    </row>
    <row r="5791" spans="1:40" x14ac:dyDescent="0.25">
      <c r="A5791" t="str">
        <f>"20190303162935596"</f>
        <v>20190303162935596</v>
      </c>
      <c r="B5791" t="str">
        <f>"1551601775587479"</f>
        <v>1551601775587479</v>
      </c>
      <c r="C5791" t="s">
        <v>40</v>
      </c>
      <c r="D5791">
        <v>5.7671029999999996</v>
      </c>
      <c r="E5791">
        <v>0.50051869999999998</v>
      </c>
      <c r="F5791" t="s">
        <v>63</v>
      </c>
      <c r="G5791">
        <v>-268.4434</v>
      </c>
      <c r="H5791" s="1">
        <v>-3.5072979999999998E-6</v>
      </c>
      <c r="I5791">
        <v>-64.586590000000001</v>
      </c>
      <c r="J5791">
        <v>-289.4572</v>
      </c>
      <c r="K5791">
        <v>1.13618</v>
      </c>
      <c r="L5791">
        <v>-62.550870000000003</v>
      </c>
      <c r="M5791">
        <v>0.91604269999999999</v>
      </c>
      <c r="N5791">
        <v>-1.4778029999999999E-2</v>
      </c>
      <c r="O5791">
        <v>-0.40080880000000002</v>
      </c>
      <c r="P5791">
        <v>0.98660499999999995</v>
      </c>
      <c r="Q5791">
        <v>0.13561679999999901</v>
      </c>
      <c r="R5791">
        <v>-9.0657799999999997E-2</v>
      </c>
      <c r="S5791">
        <v>3.034821</v>
      </c>
      <c r="T5791">
        <v>-0.16283139999999999</v>
      </c>
      <c r="U5791">
        <v>-0.30072019999999999</v>
      </c>
      <c r="V5791">
        <v>-0.317843599999999</v>
      </c>
      <c r="W5791">
        <v>0.1376066</v>
      </c>
      <c r="X5791">
        <v>0.93810439999999995</v>
      </c>
      <c r="Y5791">
        <v>-0.307739599999999</v>
      </c>
      <c r="Z5791">
        <v>2.5309640000000001E-2</v>
      </c>
      <c r="AA5791">
        <v>0.95113389999999998</v>
      </c>
      <c r="AB5791">
        <v>31</v>
      </c>
      <c r="AC5791">
        <v>21.0138</v>
      </c>
      <c r="AD5791">
        <v>-1.136183507298</v>
      </c>
      <c r="AE5791">
        <v>-2.03572</v>
      </c>
      <c r="AF5791">
        <v>-6.5394849151518804</v>
      </c>
      <c r="AG5791">
        <v>-1.136183507298</v>
      </c>
      <c r="AH5791">
        <v>20.0097084089474</v>
      </c>
      <c r="AI5791">
        <v>93.089391530081599</v>
      </c>
      <c r="AJ5791">
        <v>108.09819963339901</v>
      </c>
      <c r="AK5791">
        <v>21.081845425124801</v>
      </c>
      <c r="AL5791">
        <v>82.090625904379195</v>
      </c>
      <c r="AM5791">
        <v>108.71713790950901</v>
      </c>
      <c r="AN5791">
        <v>0.99999999786194005</v>
      </c>
    </row>
    <row r="5792" spans="1:40" x14ac:dyDescent="0.25">
      <c r="A5792" t="str">
        <f>"20190303162935611"</f>
        <v>20190303162935611</v>
      </c>
      <c r="B5792" t="str">
        <f>"1551601775598218"</f>
        <v>1551601775598218</v>
      </c>
      <c r="C5792" t="s">
        <v>40</v>
      </c>
      <c r="D5792">
        <v>5.8192240000000002</v>
      </c>
      <c r="E5792">
        <v>0.50141759999999902</v>
      </c>
      <c r="F5792" t="s">
        <v>41</v>
      </c>
      <c r="G5792">
        <v>-266.19819999999999</v>
      </c>
      <c r="H5792" s="1">
        <v>-2.7804370000000001E-6</v>
      </c>
      <c r="I5792">
        <v>-64.79616</v>
      </c>
      <c r="J5792">
        <v>-289.26949999999999</v>
      </c>
      <c r="K5792">
        <v>1.1362110000000001</v>
      </c>
      <c r="L5792">
        <v>-62.621549999999999</v>
      </c>
      <c r="M5792">
        <v>0.92104699999999995</v>
      </c>
      <c r="N5792">
        <v>-1.478748E-2</v>
      </c>
      <c r="O5792">
        <v>-0.38917109999999999</v>
      </c>
      <c r="P5792">
        <v>0.98679209999999995</v>
      </c>
      <c r="Q5792">
        <v>0.13634099999999999</v>
      </c>
      <c r="R5792">
        <v>-8.7479879999999996E-2</v>
      </c>
      <c r="S5792">
        <v>3.0341490000000002</v>
      </c>
      <c r="T5792">
        <v>-0.14821579999999901</v>
      </c>
      <c r="U5792">
        <v>-0.29290769999999999</v>
      </c>
      <c r="V5792">
        <v>-0.30894860000000002</v>
      </c>
      <c r="W5792">
        <v>0.13870469999999999</v>
      </c>
      <c r="X5792">
        <v>0.94091009999999997</v>
      </c>
      <c r="Y5792">
        <v>-0.29824519999999999</v>
      </c>
      <c r="Z5792">
        <v>2.2069330000000002E-2</v>
      </c>
      <c r="AA5792">
        <v>0.95423409999999997</v>
      </c>
      <c r="AB5792">
        <v>31</v>
      </c>
      <c r="AC5792">
        <v>23.071300000000001</v>
      </c>
      <c r="AD5792">
        <v>-1.1362137804370001</v>
      </c>
      <c r="AE5792">
        <v>-2.1746099999999999</v>
      </c>
      <c r="AF5792">
        <v>-6.9597952829640901</v>
      </c>
      <c r="AG5792">
        <v>-1.1362137804370001</v>
      </c>
      <c r="AH5792">
        <v>22.045461647739401</v>
      </c>
      <c r="AI5792">
        <v>92.813736494485696</v>
      </c>
      <c r="AJ5792">
        <v>107.52100838152001</v>
      </c>
      <c r="AK5792">
        <v>23.145887569881001</v>
      </c>
      <c r="AL5792">
        <v>82.027100435577594</v>
      </c>
      <c r="AM5792">
        <v>108.17763648660799</v>
      </c>
      <c r="AN5792">
        <v>1.00000002376302</v>
      </c>
    </row>
    <row r="5793" spans="1:40" x14ac:dyDescent="0.25">
      <c r="A5793" t="str">
        <f>"20190303162935638"</f>
        <v>20190303162935638</v>
      </c>
      <c r="B5793" t="str">
        <f>"1551601775627496"</f>
        <v>1551601775627496</v>
      </c>
      <c r="C5793" t="s">
        <v>40</v>
      </c>
      <c r="D5793">
        <v>5.6293030000000002</v>
      </c>
      <c r="E5793">
        <v>0.50349600000000005</v>
      </c>
      <c r="F5793" t="s">
        <v>41</v>
      </c>
      <c r="G5793">
        <v>-266.24900000000002</v>
      </c>
      <c r="H5793" s="1">
        <v>-2.8021689999999998E-6</v>
      </c>
      <c r="I5793">
        <v>-64.821349999999995</v>
      </c>
      <c r="J5793">
        <v>-288.92419999999998</v>
      </c>
      <c r="K5793">
        <v>1.136233</v>
      </c>
      <c r="L5793">
        <v>-62.744660000000003</v>
      </c>
      <c r="M5793">
        <v>0.92981499999999995</v>
      </c>
      <c r="N5793">
        <v>-1.480036E-2</v>
      </c>
      <c r="O5793">
        <v>-0.3677298</v>
      </c>
      <c r="P5793">
        <v>0.98764459999999998</v>
      </c>
      <c r="Q5793">
        <v>0.13661300000000001</v>
      </c>
      <c r="R5793">
        <v>-7.6780180000000003E-2</v>
      </c>
      <c r="S5793">
        <v>3.035126</v>
      </c>
      <c r="T5793">
        <v>-0.1498033</v>
      </c>
      <c r="U5793">
        <v>-0.29003909999999899</v>
      </c>
      <c r="V5793">
        <v>-0.29731149999999901</v>
      </c>
      <c r="W5793">
        <v>0.13947010000000001</v>
      </c>
      <c r="X5793">
        <v>0.94453900000000002</v>
      </c>
      <c r="Y5793">
        <v>-0.27701429999999999</v>
      </c>
      <c r="Z5793">
        <v>2.101254E-2</v>
      </c>
      <c r="AA5793">
        <v>0.96063600000000005</v>
      </c>
      <c r="AB5793">
        <v>31</v>
      </c>
      <c r="AC5793">
        <v>22.675199999999901</v>
      </c>
      <c r="AD5793">
        <v>-1.136235802169</v>
      </c>
      <c r="AE5793">
        <v>-2.0766900000000001</v>
      </c>
      <c r="AF5793">
        <v>-6.3921936777501296</v>
      </c>
      <c r="AG5793">
        <v>-1.136235802169</v>
      </c>
      <c r="AH5793">
        <v>21.795521215312601</v>
      </c>
      <c r="AI5793">
        <v>92.863811348711394</v>
      </c>
      <c r="AJ5793">
        <v>106.34536561685201</v>
      </c>
      <c r="AK5793">
        <v>22.741941800539799</v>
      </c>
      <c r="AL5793">
        <v>81.982815448275204</v>
      </c>
      <c r="AM5793">
        <v>107.472380603952</v>
      </c>
      <c r="AN5793">
        <v>0.99999997967362897</v>
      </c>
    </row>
    <row r="5794" spans="1:40" x14ac:dyDescent="0.25">
      <c r="A5794" t="str">
        <f>"20190303162935671"</f>
        <v>20190303162935671</v>
      </c>
      <c r="B5794" t="str">
        <f>"1551601775667657"</f>
        <v>1551601775667657</v>
      </c>
      <c r="C5794" t="s">
        <v>40</v>
      </c>
      <c r="D5794">
        <v>5.8689980000000004</v>
      </c>
      <c r="E5794">
        <v>0.50538499999999997</v>
      </c>
      <c r="F5794" t="s">
        <v>63</v>
      </c>
      <c r="G5794">
        <v>-265.57619999999997</v>
      </c>
      <c r="H5794" s="1">
        <v>-2.578339E-6</v>
      </c>
      <c r="I5794">
        <v>-64.850219999999993</v>
      </c>
      <c r="J5794">
        <v>-288.50850000000003</v>
      </c>
      <c r="K5794">
        <v>1.136226</v>
      </c>
      <c r="L5794">
        <v>-62.880800000000001</v>
      </c>
      <c r="M5794">
        <v>0.93961430000000001</v>
      </c>
      <c r="N5794">
        <v>-1.4807030000000001E-2</v>
      </c>
      <c r="O5794">
        <v>-0.34191510000000003</v>
      </c>
      <c r="P5794">
        <v>0.98801550000000005</v>
      </c>
      <c r="Q5794">
        <v>0.13777310000000001</v>
      </c>
      <c r="R5794">
        <v>-6.9598930000000003E-2</v>
      </c>
      <c r="S5794">
        <v>3.0367130000000002</v>
      </c>
      <c r="T5794">
        <v>-0.14778229999999901</v>
      </c>
      <c r="U5794">
        <v>-0.27386470000000002</v>
      </c>
      <c r="V5794">
        <v>-0.27799580000000002</v>
      </c>
      <c r="W5794">
        <v>0.141453</v>
      </c>
      <c r="X5794">
        <v>0.95011020000000002</v>
      </c>
      <c r="Y5794">
        <v>-0.2555984</v>
      </c>
      <c r="Z5794">
        <v>1.922666E-2</v>
      </c>
      <c r="AA5794">
        <v>0.9665918</v>
      </c>
      <c r="AB5794">
        <v>31</v>
      </c>
      <c r="AC5794">
        <v>22.932300000000001</v>
      </c>
      <c r="AD5794">
        <v>-1.136228578339</v>
      </c>
      <c r="AE5794">
        <v>-1.96941999999999</v>
      </c>
      <c r="AF5794">
        <v>-5.9764962407391096</v>
      </c>
      <c r="AG5794">
        <v>-1.136228578339</v>
      </c>
      <c r="AH5794">
        <v>22.169300127738801</v>
      </c>
      <c r="AI5794">
        <v>92.833009323635295</v>
      </c>
      <c r="AJ5794">
        <v>105.08737566124501</v>
      </c>
      <c r="AK5794">
        <v>22.9888536219526</v>
      </c>
      <c r="AL5794">
        <v>81.868066213946506</v>
      </c>
      <c r="AM5794">
        <v>106.30911788816999</v>
      </c>
      <c r="AN5794">
        <v>1.0000000040853301</v>
      </c>
    </row>
    <row r="5795" spans="1:40" x14ac:dyDescent="0.25">
      <c r="A5795" t="str">
        <f>"20190303162935682"</f>
        <v>20190303162935682</v>
      </c>
      <c r="B5795" t="str">
        <f>"1551601775677417"</f>
        <v>1551601775677417</v>
      </c>
      <c r="C5795" t="s">
        <v>40</v>
      </c>
      <c r="D5795">
        <v>5.8641050000000003</v>
      </c>
      <c r="E5795">
        <v>0.50589439999999997</v>
      </c>
      <c r="F5795" t="s">
        <v>41</v>
      </c>
      <c r="G5795">
        <v>-265.01850000000002</v>
      </c>
      <c r="H5795" s="1">
        <v>-2.370169E-6</v>
      </c>
      <c r="I5795">
        <v>-64.938739999999996</v>
      </c>
      <c r="J5795">
        <v>-288.3657</v>
      </c>
      <c r="K5795">
        <v>1.136225</v>
      </c>
      <c r="L5795">
        <v>-62.925199999999997</v>
      </c>
      <c r="M5795">
        <v>0.94279639999999998</v>
      </c>
      <c r="N5795">
        <v>-1.4807519999999999E-2</v>
      </c>
      <c r="O5795">
        <v>-0.33304010000000001</v>
      </c>
      <c r="P5795">
        <v>0.98825969999999996</v>
      </c>
      <c r="Q5795">
        <v>0.13788549999999999</v>
      </c>
      <c r="R5795">
        <v>-6.5807229999999994E-2</v>
      </c>
      <c r="S5795">
        <v>3.038116</v>
      </c>
      <c r="T5795">
        <v>-0.14695540000000001</v>
      </c>
      <c r="U5795">
        <v>-0.26617429999999997</v>
      </c>
      <c r="V5795">
        <v>-0.2726674</v>
      </c>
      <c r="W5795">
        <v>0.14179420000000001</v>
      </c>
      <c r="X5795">
        <v>0.95160230000000001</v>
      </c>
      <c r="Y5795">
        <v>-0.24896589999999999</v>
      </c>
      <c r="Z5795">
        <v>1.861881E-2</v>
      </c>
      <c r="AA5795">
        <v>0.96833320000000001</v>
      </c>
      <c r="AB5795">
        <v>31</v>
      </c>
      <c r="AC5795">
        <v>23.347199999999901</v>
      </c>
      <c r="AD5795">
        <v>-1.136227370169</v>
      </c>
      <c r="AE5795">
        <v>-2.0135399999999901</v>
      </c>
      <c r="AF5795">
        <v>-5.8640538512837699</v>
      </c>
      <c r="AG5795">
        <v>-1.136227370169</v>
      </c>
      <c r="AH5795">
        <v>22.631527018109001</v>
      </c>
      <c r="AI5795">
        <v>92.782416552795695</v>
      </c>
      <c r="AJ5795">
        <v>104.526438838082</v>
      </c>
      <c r="AK5795">
        <v>23.406498144294702</v>
      </c>
      <c r="AL5795">
        <v>81.848317986978003</v>
      </c>
      <c r="AM5795">
        <v>105.988862939455</v>
      </c>
      <c r="AN5795">
        <v>1.00000002177084</v>
      </c>
    </row>
    <row r="5796" spans="1:40" x14ac:dyDescent="0.25">
      <c r="A5796" t="str">
        <f>"20190303162935694"</f>
        <v>20190303162935694</v>
      </c>
      <c r="B5796" t="str">
        <f>"1551601775688152"</f>
        <v>1551601775688152</v>
      </c>
      <c r="C5796" t="s">
        <v>40</v>
      </c>
      <c r="D5796">
        <v>5.7995210000000004</v>
      </c>
      <c r="E5796">
        <v>0.50625949999999997</v>
      </c>
      <c r="F5796" t="s">
        <v>41</v>
      </c>
      <c r="G5796">
        <v>-265.05860000000001</v>
      </c>
      <c r="H5796" s="1">
        <v>-2.3773559999999999E-6</v>
      </c>
      <c r="I5796">
        <v>-64.901119999999906</v>
      </c>
      <c r="J5796">
        <v>-288.21910000000003</v>
      </c>
      <c r="K5796">
        <v>1.136209</v>
      </c>
      <c r="L5796">
        <v>-62.968260000000001</v>
      </c>
      <c r="M5796">
        <v>0.94595320000000005</v>
      </c>
      <c r="N5796">
        <v>-1.480538E-2</v>
      </c>
      <c r="O5796">
        <v>-0.3239649</v>
      </c>
      <c r="P5796">
        <v>0.98850490000000002</v>
      </c>
      <c r="Q5796">
        <v>0.13818139999999901</v>
      </c>
      <c r="R5796">
        <v>-6.135231E-2</v>
      </c>
      <c r="S5796">
        <v>3.0391539999999999</v>
      </c>
      <c r="T5796">
        <v>-0.14815900000000001</v>
      </c>
      <c r="U5796">
        <v>-0.2576599</v>
      </c>
      <c r="V5796">
        <v>-0.2677948</v>
      </c>
      <c r="W5796">
        <v>0.14230119999999999</v>
      </c>
      <c r="X5796">
        <v>0.95290940000000002</v>
      </c>
      <c r="Y5796">
        <v>-0.2423805</v>
      </c>
      <c r="Z5796">
        <v>1.83076E-2</v>
      </c>
      <c r="AA5796">
        <v>0.9700086</v>
      </c>
      <c r="AB5796">
        <v>31</v>
      </c>
      <c r="AC5796">
        <v>23.160499999999999</v>
      </c>
      <c r="AD5796">
        <v>-1.1362113773559901</v>
      </c>
      <c r="AE5796">
        <v>-1.93285999999999</v>
      </c>
      <c r="AF5796">
        <v>-5.6618840488834197</v>
      </c>
      <c r="AG5796">
        <v>-1.1362113773559901</v>
      </c>
      <c r="AH5796">
        <v>22.4836618807207</v>
      </c>
      <c r="AI5796">
        <v>92.805538045563495</v>
      </c>
      <c r="AJ5796">
        <v>104.13446143941501</v>
      </c>
      <c r="AK5796">
        <v>23.2134219546281</v>
      </c>
      <c r="AL5796">
        <v>81.818971313827205</v>
      </c>
      <c r="AM5796">
        <v>105.69688203726101</v>
      </c>
      <c r="AN5796">
        <v>1.0000000055184199</v>
      </c>
    </row>
    <row r="5797" spans="1:40" x14ac:dyDescent="0.25">
      <c r="A5797" t="str">
        <f>"20190303162935705"</f>
        <v>20190303162935705</v>
      </c>
      <c r="B5797" t="str">
        <f>"1551601775697912"</f>
        <v>1551601775697912</v>
      </c>
      <c r="C5797" t="s">
        <v>40</v>
      </c>
      <c r="D5797">
        <v>5.9332760000000002</v>
      </c>
      <c r="E5797">
        <v>0.50682280000000002</v>
      </c>
      <c r="F5797" t="s">
        <v>41</v>
      </c>
      <c r="G5797">
        <v>-264.98669999999998</v>
      </c>
      <c r="H5797" s="1">
        <v>-2.3326490000000002E-6</v>
      </c>
      <c r="I5797">
        <v>-64.848910000000004</v>
      </c>
      <c r="J5797">
        <v>-288.06319999999999</v>
      </c>
      <c r="K5797">
        <v>1.1361840000000001</v>
      </c>
      <c r="L5797">
        <v>-63.013210000000001</v>
      </c>
      <c r="M5797">
        <v>0.94920559999999998</v>
      </c>
      <c r="N5797">
        <v>-1.4802279999999999E-2</v>
      </c>
      <c r="O5797">
        <v>-0.31430799999999998</v>
      </c>
      <c r="P5797">
        <v>0.98918600000000001</v>
      </c>
      <c r="Q5797">
        <v>0.1374901</v>
      </c>
      <c r="R5797">
        <v>-5.1063459999999998E-2</v>
      </c>
      <c r="S5797">
        <v>3.040375</v>
      </c>
      <c r="T5797">
        <v>-0.1486933</v>
      </c>
      <c r="U5797">
        <v>-0.24612429999999999</v>
      </c>
      <c r="V5797">
        <v>-0.26799659999999997</v>
      </c>
      <c r="W5797">
        <v>0.14161109999999999</v>
      </c>
      <c r="X5797">
        <v>0.95295549999999996</v>
      </c>
      <c r="Y5797">
        <v>-0.2361877</v>
      </c>
      <c r="Z5797">
        <v>1.7886119999999998E-2</v>
      </c>
      <c r="AA5797">
        <v>0.97154280000000004</v>
      </c>
      <c r="AB5797">
        <v>31</v>
      </c>
      <c r="AC5797">
        <v>23.076499999999999</v>
      </c>
      <c r="AD5797">
        <v>-1.136186332649</v>
      </c>
      <c r="AE5797">
        <v>-1.8357000000000001</v>
      </c>
      <c r="AF5797">
        <v>-5.4980317018006897</v>
      </c>
      <c r="AG5797">
        <v>-1.136186332649</v>
      </c>
      <c r="AH5797">
        <v>22.429751550433</v>
      </c>
      <c r="AI5797">
        <v>92.816614172013104</v>
      </c>
      <c r="AJ5797">
        <v>103.772909564689</v>
      </c>
      <c r="AK5797">
        <v>23.1217003395221</v>
      </c>
      <c r="AL5797">
        <v>81.858915876514502</v>
      </c>
      <c r="AM5797">
        <v>105.707404560675</v>
      </c>
      <c r="AN5797">
        <v>1.0000000331175001</v>
      </c>
    </row>
    <row r="5798" spans="1:40" x14ac:dyDescent="0.25">
      <c r="A5798" t="str">
        <f>"20190303162935716"</f>
        <v>20190303162935716</v>
      </c>
      <c r="B5798" t="str">
        <f>"1551601775707673"</f>
        <v>1551601775707673</v>
      </c>
      <c r="C5798" t="s">
        <v>40</v>
      </c>
      <c r="D5798">
        <v>5.813231</v>
      </c>
      <c r="E5798">
        <v>0.50728819999999997</v>
      </c>
      <c r="F5798" t="s">
        <v>41</v>
      </c>
      <c r="G5798">
        <v>-265.31119999999999</v>
      </c>
      <c r="H5798" s="1">
        <v>-2.4182540000000002E-6</v>
      </c>
      <c r="I5798">
        <v>-64.647549999999995</v>
      </c>
      <c r="J5798">
        <v>-287.92430000000002</v>
      </c>
      <c r="K5798">
        <v>1.136158</v>
      </c>
      <c r="L5798">
        <v>-63.051360000000003</v>
      </c>
      <c r="M5798">
        <v>0.9520016</v>
      </c>
      <c r="N5798">
        <v>-1.479697E-2</v>
      </c>
      <c r="O5798">
        <v>-0.30573519999999998</v>
      </c>
      <c r="P5798">
        <v>0.9893788</v>
      </c>
      <c r="Q5798">
        <v>0.137203399999999</v>
      </c>
      <c r="R5798">
        <v>-4.8009169999999997E-2</v>
      </c>
      <c r="S5798">
        <v>3.0426030000000002</v>
      </c>
      <c r="T5798">
        <v>-0.15194059999999901</v>
      </c>
      <c r="U5798">
        <v>-0.21856690000000001</v>
      </c>
      <c r="V5798">
        <v>-0.26232559999999999</v>
      </c>
      <c r="W5798">
        <v>0.14157139999999999</v>
      </c>
      <c r="X5798">
        <v>0.954538</v>
      </c>
      <c r="Y5798">
        <v>-0.23621039999999999</v>
      </c>
      <c r="Z5798">
        <v>1.8063780000000002E-2</v>
      </c>
      <c r="AA5798">
        <v>0.97153400000000001</v>
      </c>
      <c r="AB5798">
        <v>31</v>
      </c>
      <c r="AC5798">
        <v>22.613099999999999</v>
      </c>
      <c r="AD5798">
        <v>-1.1361604182539999</v>
      </c>
      <c r="AE5798">
        <v>-1.59619</v>
      </c>
      <c r="AF5798">
        <v>-5.3811190248122998</v>
      </c>
      <c r="AG5798">
        <v>-1.1361604182539999</v>
      </c>
      <c r="AH5798">
        <v>21.962960779364799</v>
      </c>
      <c r="AI5798">
        <v>92.876387543911093</v>
      </c>
      <c r="AJ5798">
        <v>103.76677722186</v>
      </c>
      <c r="AK5798">
        <v>22.6410898291386</v>
      </c>
      <c r="AL5798">
        <v>81.8612132955178</v>
      </c>
      <c r="AM5798">
        <v>105.36663291481</v>
      </c>
      <c r="AN5798">
        <v>0.99999998757865904</v>
      </c>
    </row>
    <row r="5799" spans="1:40" x14ac:dyDescent="0.25">
      <c r="A5799" t="str">
        <f>"20190303162935727"</f>
        <v>20190303162935727</v>
      </c>
      <c r="B5799" t="str">
        <f>"1551601775717432"</f>
        <v>1551601775717432</v>
      </c>
      <c r="C5799" t="s">
        <v>40</v>
      </c>
      <c r="D5799">
        <v>5.7473650000000003</v>
      </c>
      <c r="E5799">
        <v>0.50757269999999999</v>
      </c>
      <c r="F5799" t="s">
        <v>41</v>
      </c>
      <c r="G5799">
        <v>-265.62540000000001</v>
      </c>
      <c r="H5799" s="1">
        <v>-2.542108E-6</v>
      </c>
      <c r="I5799">
        <v>-64.606440000000006</v>
      </c>
      <c r="J5799">
        <v>-287.78809999999999</v>
      </c>
      <c r="K5799">
        <v>1.1361349999999999</v>
      </c>
      <c r="L5799">
        <v>-63.087859999999999</v>
      </c>
      <c r="M5799">
        <v>0.95465979999999995</v>
      </c>
      <c r="N5799">
        <v>-1.4790589999999999E-2</v>
      </c>
      <c r="O5799">
        <v>-0.29733150000000003</v>
      </c>
      <c r="P5799">
        <v>0.98949200000000004</v>
      </c>
      <c r="Q5799">
        <v>0.13717670000000001</v>
      </c>
      <c r="R5799">
        <v>-4.5698280000000001E-2</v>
      </c>
      <c r="S5799">
        <v>3.0434269999999999</v>
      </c>
      <c r="T5799">
        <v>-0.15506639999999999</v>
      </c>
      <c r="U5799">
        <v>-0.21224979999999999</v>
      </c>
      <c r="V5799">
        <v>-0.25611790000000001</v>
      </c>
      <c r="W5799">
        <v>0.14181260000000001</v>
      </c>
      <c r="X5799">
        <v>0.9561866</v>
      </c>
      <c r="Y5799">
        <v>-0.22965679999999999</v>
      </c>
      <c r="Z5799">
        <v>1.7996169999999999E-2</v>
      </c>
      <c r="AA5799">
        <v>0.97310529999999995</v>
      </c>
      <c r="AB5799">
        <v>31</v>
      </c>
      <c r="AC5799">
        <v>22.162699999999901</v>
      </c>
      <c r="AD5799">
        <v>-1.136137542108</v>
      </c>
      <c r="AE5799">
        <v>-1.51858</v>
      </c>
      <c r="AF5799">
        <v>-5.1270927985293397</v>
      </c>
      <c r="AG5799">
        <v>-1.136137542108</v>
      </c>
      <c r="AH5799">
        <v>21.555341627395801</v>
      </c>
      <c r="AI5799">
        <v>92.935405118985898</v>
      </c>
      <c r="AJ5799">
        <v>103.379589145419</v>
      </c>
      <c r="AK5799">
        <v>22.1858207365214</v>
      </c>
      <c r="AL5799">
        <v>81.847252829524294</v>
      </c>
      <c r="AM5799">
        <v>104.994882845851</v>
      </c>
      <c r="AN5799">
        <v>1.0000000031193601</v>
      </c>
    </row>
    <row r="5800" spans="1:40" x14ac:dyDescent="0.25">
      <c r="A5800" t="str">
        <f>"20190303162935737"</f>
        <v>20190303162935737</v>
      </c>
      <c r="B5800" t="str">
        <f>"1551601775728168"</f>
        <v>1551601775728168</v>
      </c>
      <c r="C5800" t="s">
        <v>40</v>
      </c>
      <c r="D5800">
        <v>5.5993740000000001</v>
      </c>
      <c r="E5800">
        <v>0.50800749999999995</v>
      </c>
      <c r="F5800" t="s">
        <v>41</v>
      </c>
      <c r="G5800">
        <v>-265.62520000000001</v>
      </c>
      <c r="H5800" s="1">
        <v>-2.538387E-6</v>
      </c>
      <c r="I5800">
        <v>-64.592740000000006</v>
      </c>
      <c r="J5800">
        <v>-287.64609999999999</v>
      </c>
      <c r="K5800">
        <v>1.1361059999999901</v>
      </c>
      <c r="L5800">
        <v>-63.12433</v>
      </c>
      <c r="M5800">
        <v>0.95733610000000002</v>
      </c>
      <c r="N5800">
        <v>-1.4781839999999999E-2</v>
      </c>
      <c r="O5800">
        <v>-0.2885992</v>
      </c>
      <c r="P5800">
        <v>0.98945649999999996</v>
      </c>
      <c r="Q5800">
        <v>0.13771600000000001</v>
      </c>
      <c r="R5800">
        <v>-4.4836790000000001E-2</v>
      </c>
      <c r="S5800">
        <v>3.0439449999999999</v>
      </c>
      <c r="T5800">
        <v>-0.15604189999999901</v>
      </c>
      <c r="U5800">
        <v>-0.20669560000000001</v>
      </c>
      <c r="V5800">
        <v>-0.24818380000000001</v>
      </c>
      <c r="W5800">
        <v>0.1426905</v>
      </c>
      <c r="X5800">
        <v>0.95814630000000001</v>
      </c>
      <c r="Y5800">
        <v>-0.22254969999999999</v>
      </c>
      <c r="Z5800">
        <v>1.759728E-2</v>
      </c>
      <c r="AA5800">
        <v>0.97476260000000003</v>
      </c>
      <c r="AB5800">
        <v>31</v>
      </c>
      <c r="AC5800">
        <v>22.020899999999902</v>
      </c>
      <c r="AD5800">
        <v>-1.13610853838699</v>
      </c>
      <c r="AE5800">
        <v>-1.46840999999999</v>
      </c>
      <c r="AF5800">
        <v>-4.9369093169038996</v>
      </c>
      <c r="AG5800">
        <v>-1.13610853838699</v>
      </c>
      <c r="AH5800">
        <v>21.450686028758401</v>
      </c>
      <c r="AI5800">
        <v>92.954664043422397</v>
      </c>
      <c r="AJ5800">
        <v>102.96101287591701</v>
      </c>
      <c r="AK5800">
        <v>22.0407746533261</v>
      </c>
      <c r="AL5800">
        <v>81.796436510993303</v>
      </c>
      <c r="AM5800">
        <v>104.521875105017</v>
      </c>
      <c r="AN5800">
        <v>1.00000005478818</v>
      </c>
    </row>
    <row r="5801" spans="1:40" x14ac:dyDescent="0.25">
      <c r="A5801" t="str">
        <f>"20190303162935749"</f>
        <v>20190303162935749</v>
      </c>
      <c r="B5801" t="str">
        <f>"1551601775737459"</f>
        <v>1551601775737459</v>
      </c>
      <c r="C5801" t="s">
        <v>40</v>
      </c>
      <c r="D5801">
        <v>5.5971029999999997</v>
      </c>
      <c r="E5801">
        <v>0.50825410000000004</v>
      </c>
      <c r="F5801" t="s">
        <v>41</v>
      </c>
      <c r="G5801">
        <v>-265.34010000000001</v>
      </c>
      <c r="H5801" s="1">
        <v>-2.4285359999999998E-6</v>
      </c>
      <c r="I5801">
        <v>-64.639469999999903</v>
      </c>
      <c r="J5801">
        <v>-287.51650000000001</v>
      </c>
      <c r="K5801">
        <v>1.136083</v>
      </c>
      <c r="L5801">
        <v>-63.156460000000003</v>
      </c>
      <c r="M5801">
        <v>0.95969400000000005</v>
      </c>
      <c r="N5801">
        <v>-1.477238E-2</v>
      </c>
      <c r="O5801">
        <v>-0.28065859999999998</v>
      </c>
      <c r="P5801">
        <v>0.98931809999999998</v>
      </c>
      <c r="Q5801">
        <v>0.138839299999999</v>
      </c>
      <c r="R5801">
        <v>-4.442335E-2</v>
      </c>
      <c r="S5801">
        <v>3.0441889999999998</v>
      </c>
      <c r="T5801">
        <v>-0.15504979999999999</v>
      </c>
      <c r="U5801">
        <v>-0.2067871</v>
      </c>
      <c r="V5801">
        <v>-0.2406143</v>
      </c>
      <c r="W5801">
        <v>0.14413409999999999</v>
      </c>
      <c r="X5801">
        <v>0.95985940000000003</v>
      </c>
      <c r="Y5801">
        <v>-0.21446779999999999</v>
      </c>
      <c r="Z5801">
        <v>1.6936260000000002E-2</v>
      </c>
      <c r="AA5801">
        <v>0.97658420000000001</v>
      </c>
      <c r="AB5801">
        <v>31</v>
      </c>
      <c r="AC5801">
        <v>22.176400000000001</v>
      </c>
      <c r="AD5801">
        <v>-1.136085428536</v>
      </c>
      <c r="AE5801">
        <v>-1.4830099999999899</v>
      </c>
      <c r="AF5801">
        <v>-4.7887733827968901</v>
      </c>
      <c r="AG5801">
        <v>-1.136085428536</v>
      </c>
      <c r="AH5801">
        <v>21.644592549320102</v>
      </c>
      <c r="AI5801">
        <v>92.933776986539897</v>
      </c>
      <c r="AJ5801">
        <v>102.475479954975</v>
      </c>
      <c r="AK5801">
        <v>22.197104028201501</v>
      </c>
      <c r="AL5801">
        <v>81.712859722139797</v>
      </c>
      <c r="AM5801">
        <v>104.072724120514</v>
      </c>
      <c r="AN5801">
        <v>0.99999997395782902</v>
      </c>
    </row>
    <row r="5802" spans="1:40" x14ac:dyDescent="0.25">
      <c r="A5802" t="str">
        <f>"20190303162935792"</f>
        <v>20190303162935792</v>
      </c>
      <c r="B5802" t="str">
        <f>"1551601775788212"</f>
        <v>1551601775788212</v>
      </c>
      <c r="C5802" t="s">
        <v>40</v>
      </c>
      <c r="D5802">
        <v>5.5081030000000002</v>
      </c>
      <c r="E5802">
        <v>0.50942259999999995</v>
      </c>
      <c r="F5802" t="s">
        <v>41</v>
      </c>
      <c r="G5802">
        <v>-264.81799999999998</v>
      </c>
      <c r="H5802" s="1">
        <v>-2.220708E-6</v>
      </c>
      <c r="I5802">
        <v>-64.700199999999995</v>
      </c>
      <c r="J5802">
        <v>-286.94749999999999</v>
      </c>
      <c r="K5802">
        <v>1.135907</v>
      </c>
      <c r="L5802">
        <v>-63.28445</v>
      </c>
      <c r="M5802">
        <v>0.96911809999999998</v>
      </c>
      <c r="N5802">
        <v>-1.4709460000000001E-2</v>
      </c>
      <c r="O5802">
        <v>-0.2461583</v>
      </c>
      <c r="P5802">
        <v>0.98833380000000004</v>
      </c>
      <c r="Q5802">
        <v>0.14782229999999999</v>
      </c>
      <c r="R5802">
        <v>-3.6671929999999998E-2</v>
      </c>
      <c r="S5802">
        <v>3.0444339999999999</v>
      </c>
      <c r="T5802">
        <v>-0.15237709999999999</v>
      </c>
      <c r="U5802">
        <v>-0.20706179999999999</v>
      </c>
      <c r="V5802">
        <v>-0.2136034</v>
      </c>
      <c r="W5802">
        <v>0.15425720000000001</v>
      </c>
      <c r="X5802">
        <v>0.96466490000000005</v>
      </c>
      <c r="Y5802">
        <v>-0.17941460000000001</v>
      </c>
      <c r="Z5802">
        <v>1.432989E-2</v>
      </c>
      <c r="AA5802">
        <v>0.98366920000000002</v>
      </c>
      <c r="AB5802">
        <v>31</v>
      </c>
      <c r="AC5802">
        <v>22.1295</v>
      </c>
      <c r="AD5802">
        <v>-1.1359092207079999</v>
      </c>
      <c r="AE5802">
        <v>-1.4157499999999901</v>
      </c>
      <c r="AF5802">
        <v>-4.0651047734156798</v>
      </c>
      <c r="AG5802">
        <v>-1.1359092207079999</v>
      </c>
      <c r="AH5802">
        <v>21.739907632412201</v>
      </c>
      <c r="AI5802">
        <v>92.940115516781404</v>
      </c>
      <c r="AJ5802">
        <v>100.59132095744</v>
      </c>
      <c r="AK5802">
        <v>22.145856281533799</v>
      </c>
      <c r="AL5802">
        <v>81.126281452493402</v>
      </c>
      <c r="AM5802">
        <v>102.48541253050399</v>
      </c>
      <c r="AN5802">
        <v>1.0000000327677001</v>
      </c>
    </row>
    <row r="5803" spans="1:40" x14ac:dyDescent="0.25">
      <c r="A5803" t="str">
        <f>"20190303162935817"</f>
        <v>20190303162935817</v>
      </c>
      <c r="B5803" t="str">
        <f>"1551601775807732"</f>
        <v>1551601775807732</v>
      </c>
      <c r="C5803" t="s">
        <v>40</v>
      </c>
      <c r="D5803">
        <v>5.7572640000000002</v>
      </c>
      <c r="E5803">
        <v>0.50963639999999999</v>
      </c>
      <c r="F5803" t="s">
        <v>64</v>
      </c>
      <c r="G5803">
        <v>-259.63600000000002</v>
      </c>
      <c r="H5803" s="1">
        <v>-3.9213699999999897E-6</v>
      </c>
      <c r="I5803">
        <v>-65.015299999999996</v>
      </c>
      <c r="J5803">
        <v>-286.6232</v>
      </c>
      <c r="K5803">
        <v>1.1357060000000001</v>
      </c>
      <c r="L5803">
        <v>-63.348419999999997</v>
      </c>
      <c r="M5803">
        <v>0.97380509999999998</v>
      </c>
      <c r="N5803">
        <v>-1.4651290000000001E-2</v>
      </c>
      <c r="O5803">
        <v>-0.22691169999999999</v>
      </c>
      <c r="P5803">
        <v>0.98815160000000002</v>
      </c>
      <c r="Q5803">
        <v>0.1502616</v>
      </c>
      <c r="R5803">
        <v>-3.1272139999999997E-2</v>
      </c>
      <c r="S5803">
        <v>3.0472410000000001</v>
      </c>
      <c r="T5803">
        <v>-0.1267374</v>
      </c>
      <c r="U5803">
        <v>-0.19311519999999999</v>
      </c>
      <c r="V5803">
        <v>-0.1996455</v>
      </c>
      <c r="W5803">
        <v>0.1572905</v>
      </c>
      <c r="X5803">
        <v>0.96716150000000001</v>
      </c>
      <c r="Y5803">
        <v>-0.16461529999999999</v>
      </c>
      <c r="Z5803">
        <v>1.0622599999999999E-2</v>
      </c>
      <c r="AA5803">
        <v>0.98630059999999997</v>
      </c>
      <c r="AB5803">
        <v>31</v>
      </c>
      <c r="AC5803">
        <v>26.987200000000001</v>
      </c>
      <c r="AD5803">
        <v>-1.1357099213699999</v>
      </c>
      <c r="AE5803">
        <v>-1.6668799999999899</v>
      </c>
      <c r="AF5803">
        <v>-4.4930514440044602</v>
      </c>
      <c r="AG5803">
        <v>-1.1357099213699999</v>
      </c>
      <c r="AH5803">
        <v>26.6144148590671</v>
      </c>
      <c r="AI5803">
        <v>92.409432783883901</v>
      </c>
      <c r="AJ5803">
        <v>99.582334937607897</v>
      </c>
      <c r="AK5803">
        <v>27.014892681528501</v>
      </c>
      <c r="AL5803">
        <v>80.950337988497793</v>
      </c>
      <c r="AM5803">
        <v>101.663411714902</v>
      </c>
      <c r="AN5803">
        <v>0.99999999707137499</v>
      </c>
    </row>
    <row r="5804" spans="1:40" x14ac:dyDescent="0.25">
      <c r="A5804" t="str">
        <f>"20190303162935830"</f>
        <v>20190303162935830</v>
      </c>
      <c r="B5804" t="str">
        <f>"1551601775817494"</f>
        <v>1551601775817494</v>
      </c>
      <c r="C5804" t="s">
        <v>40</v>
      </c>
      <c r="D5804">
        <v>5.3033729999999997</v>
      </c>
      <c r="E5804">
        <v>0.50965909999999903</v>
      </c>
      <c r="F5804" t="s">
        <v>64</v>
      </c>
      <c r="G5804">
        <v>-257.83260000000001</v>
      </c>
      <c r="H5804" s="1">
        <v>-3.3071390000000001E-6</v>
      </c>
      <c r="I5804">
        <v>-65.011319999999998</v>
      </c>
      <c r="J5804">
        <v>-286.45100000000002</v>
      </c>
      <c r="K5804">
        <v>1.1355630000000001</v>
      </c>
      <c r="L5804">
        <v>-63.379759999999997</v>
      </c>
      <c r="M5804">
        <v>0.97608879999999998</v>
      </c>
      <c r="N5804">
        <v>-1.461117E-2</v>
      </c>
      <c r="O5804">
        <v>-0.2168812</v>
      </c>
      <c r="P5804">
        <v>0.98830709999999999</v>
      </c>
      <c r="Q5804">
        <v>0.14972939999999901</v>
      </c>
      <c r="R5804">
        <v>-2.8813890000000002E-2</v>
      </c>
      <c r="S5804">
        <v>3.048645</v>
      </c>
      <c r="T5804">
        <v>-0.1202607</v>
      </c>
      <c r="U5804">
        <v>-0.1760864</v>
      </c>
      <c r="V5804">
        <v>-0.19202630000000001</v>
      </c>
      <c r="W5804">
        <v>0.15708239999999901</v>
      </c>
      <c r="X5804">
        <v>0.96873679999999995</v>
      </c>
      <c r="Y5804">
        <v>-0.16001989999999999</v>
      </c>
      <c r="Z5804">
        <v>9.6134510000000003E-3</v>
      </c>
      <c r="AA5804">
        <v>0.98706700000000003</v>
      </c>
      <c r="AB5804">
        <v>31</v>
      </c>
      <c r="AC5804">
        <v>28.618399999999902</v>
      </c>
      <c r="AD5804">
        <v>-1.1355663071390001</v>
      </c>
      <c r="AE5804">
        <v>-1.6315599999999999</v>
      </c>
      <c r="AF5804">
        <v>-4.6075065706251097</v>
      </c>
      <c r="AG5804">
        <v>-1.1355663071390001</v>
      </c>
      <c r="AH5804">
        <v>28.246640978970198</v>
      </c>
      <c r="AI5804">
        <v>92.272157495171996</v>
      </c>
      <c r="AJ5804">
        <v>99.264323373721794</v>
      </c>
      <c r="AK5804">
        <v>28.642474652709399</v>
      </c>
      <c r="AL5804">
        <v>80.962411205261105</v>
      </c>
      <c r="AM5804">
        <v>101.21202237551501</v>
      </c>
      <c r="AN5804">
        <v>0.99999998397784395</v>
      </c>
    </row>
    <row r="5805" spans="1:40" x14ac:dyDescent="0.25">
      <c r="A5805" t="str">
        <f>"20190303162935847"</f>
        <v>20190303162935847</v>
      </c>
      <c r="B5805" t="str">
        <f>"1551601775837520"</f>
        <v>1551601775837520</v>
      </c>
      <c r="C5805" t="s">
        <v>40</v>
      </c>
      <c r="D5805">
        <v>5.7218070000000001</v>
      </c>
      <c r="E5805">
        <v>0.50951179999999996</v>
      </c>
      <c r="F5805" t="s">
        <v>64</v>
      </c>
      <c r="G5805">
        <v>-258.82709999999997</v>
      </c>
      <c r="H5805" s="1">
        <v>-3.6303589999999999E-6</v>
      </c>
      <c r="I5805">
        <v>-64.897369999999995</v>
      </c>
      <c r="J5805">
        <v>-286.22289999999998</v>
      </c>
      <c r="K5805">
        <v>1.1353329999999999</v>
      </c>
      <c r="L5805">
        <v>-63.418819999999997</v>
      </c>
      <c r="M5805">
        <v>0.97890120000000003</v>
      </c>
      <c r="N5805">
        <v>-1.454853E-2</v>
      </c>
      <c r="O5805">
        <v>-0.20381540000000001</v>
      </c>
      <c r="P5805">
        <v>0.98843099999999995</v>
      </c>
      <c r="Q5805">
        <v>0.14846400000000001</v>
      </c>
      <c r="R5805">
        <v>-3.1029250000000001E-2</v>
      </c>
      <c r="S5805">
        <v>3.0496219999999998</v>
      </c>
      <c r="T5805">
        <v>-0.12536449999999999</v>
      </c>
      <c r="U5805">
        <v>-0.16754150000000001</v>
      </c>
      <c r="V5805">
        <v>-0.17676559999999999</v>
      </c>
      <c r="W5805">
        <v>0.15644279999999999</v>
      </c>
      <c r="X5805">
        <v>0.97174050000000001</v>
      </c>
      <c r="Y5805">
        <v>-0.14958669999999999</v>
      </c>
      <c r="Z5805">
        <v>9.4910140000000007E-3</v>
      </c>
      <c r="AA5805">
        <v>0.98870309999999995</v>
      </c>
      <c r="AB5805">
        <v>31</v>
      </c>
      <c r="AC5805">
        <v>27.395800000000001</v>
      </c>
      <c r="AD5805">
        <v>-1.135336630359</v>
      </c>
      <c r="AE5805">
        <v>-1.47854999999999</v>
      </c>
      <c r="AF5805">
        <v>-4.1296976095262101</v>
      </c>
      <c r="AG5805">
        <v>-1.135336630359</v>
      </c>
      <c r="AH5805">
        <v>27.075638381643898</v>
      </c>
      <c r="AI5805">
        <v>92.373702146739802</v>
      </c>
      <c r="AJ5805">
        <v>98.672172057033706</v>
      </c>
      <c r="AK5805">
        <v>27.412288948278398</v>
      </c>
      <c r="AL5805">
        <v>80.999516608430099</v>
      </c>
      <c r="AM5805">
        <v>100.30972684437999</v>
      </c>
      <c r="AN5805">
        <v>1.00000001317772</v>
      </c>
    </row>
    <row r="5806" spans="1:40" x14ac:dyDescent="0.25">
      <c r="A5806" t="str">
        <f>"20190303162935859"</f>
        <v>20190303162935859</v>
      </c>
      <c r="B5806" t="str">
        <f>"1551601775847281"</f>
        <v>1551601775847281</v>
      </c>
      <c r="C5806" t="s">
        <v>40</v>
      </c>
      <c r="D5806">
        <v>5.5455670000000001</v>
      </c>
      <c r="E5806">
        <v>0.48563840000000003</v>
      </c>
      <c r="F5806" t="s">
        <v>64</v>
      </c>
      <c r="G5806">
        <v>-259.76650000000001</v>
      </c>
      <c r="H5806" s="1">
        <v>-3.9527110000000004E-6</v>
      </c>
      <c r="I5806">
        <v>-64.917429999999996</v>
      </c>
      <c r="J5806">
        <v>-286.048</v>
      </c>
      <c r="K5806">
        <v>1.1351180000000001</v>
      </c>
      <c r="L5806">
        <v>-63.446750000000002</v>
      </c>
      <c r="M5806">
        <v>0.98088830000000005</v>
      </c>
      <c r="N5806">
        <v>-1.449194E-2</v>
      </c>
      <c r="O5806">
        <v>-0.19403110000000001</v>
      </c>
      <c r="P5806">
        <v>0.98856299999999997</v>
      </c>
      <c r="Q5806">
        <v>0.14802119999999999</v>
      </c>
      <c r="R5806">
        <v>-2.8862680000000002E-2</v>
      </c>
      <c r="S5806">
        <v>3.049347</v>
      </c>
      <c r="T5806">
        <v>-0.13085830000000001</v>
      </c>
      <c r="U5806">
        <v>-0.17272950000000001</v>
      </c>
      <c r="V5806">
        <v>-0.16908870000000001</v>
      </c>
      <c r="W5806">
        <v>0.1563223</v>
      </c>
      <c r="X5806">
        <v>0.97312500000000002</v>
      </c>
      <c r="Y5806">
        <v>-0.1380171</v>
      </c>
      <c r="Z5806">
        <v>9.3977130000000002E-3</v>
      </c>
      <c r="AA5806">
        <v>0.99038530000000002</v>
      </c>
      <c r="AB5806">
        <v>31</v>
      </c>
      <c r="AC5806">
        <v>26.281499999999902</v>
      </c>
      <c r="AD5806">
        <v>-1.1351219527109999</v>
      </c>
      <c r="AE5806">
        <v>-1.47068</v>
      </c>
      <c r="AF5806">
        <v>-3.65045122272296</v>
      </c>
      <c r="AG5806">
        <v>-1.1351219527109999</v>
      </c>
      <c r="AH5806">
        <v>26.018926087022599</v>
      </c>
      <c r="AI5806">
        <v>92.473847833004498</v>
      </c>
      <c r="AJ5806">
        <v>97.986459140405202</v>
      </c>
      <c r="AK5806">
        <v>26.298266305955501</v>
      </c>
      <c r="AL5806">
        <v>81.006506250273503</v>
      </c>
      <c r="AM5806">
        <v>99.8572096800781</v>
      </c>
      <c r="AN5806">
        <v>0.99999995778498896</v>
      </c>
    </row>
    <row r="5807" spans="1:40" x14ac:dyDescent="0.25">
      <c r="A5807" t="str">
        <f>"20190303162935870"</f>
        <v>20190303162935870</v>
      </c>
      <c r="B5807" t="str">
        <f>"1551601775858016"</f>
        <v>1551601775858016</v>
      </c>
      <c r="C5807" t="s">
        <v>40</v>
      </c>
      <c r="D5807">
        <v>5.616047</v>
      </c>
      <c r="E5807">
        <v>0.48015340000000001</v>
      </c>
      <c r="F5807" t="s">
        <v>41</v>
      </c>
      <c r="G5807">
        <v>-261.416</v>
      </c>
      <c r="H5807" s="1">
        <v>-3.7485930000000001E-7</v>
      </c>
      <c r="I5807">
        <v>-63.247970000000002</v>
      </c>
      <c r="J5807">
        <v>-285.91860000000003</v>
      </c>
      <c r="K5807">
        <v>1.1349279999999999</v>
      </c>
      <c r="L5807">
        <v>-63.466160000000002</v>
      </c>
      <c r="M5807">
        <v>0.98225689999999999</v>
      </c>
      <c r="N5807">
        <v>-1.444221E-2</v>
      </c>
      <c r="O5807">
        <v>-0.1869835</v>
      </c>
      <c r="P5807">
        <v>0.98861920000000003</v>
      </c>
      <c r="Q5807">
        <v>0.1475022</v>
      </c>
      <c r="R5807">
        <v>-2.9583950000000001E-2</v>
      </c>
      <c r="S5807">
        <v>3.056549</v>
      </c>
      <c r="T5807">
        <v>-0.14085510000000001</v>
      </c>
      <c r="U5807">
        <v>2.4658200000000002E-2</v>
      </c>
      <c r="V5807">
        <v>-0.1612972</v>
      </c>
      <c r="W5807">
        <v>0.156118799999999</v>
      </c>
      <c r="X5807">
        <v>0.9744794</v>
      </c>
      <c r="Y5807">
        <v>-0.19455910000000001</v>
      </c>
      <c r="Z5807">
        <v>1.1750770000000001E-2</v>
      </c>
      <c r="AA5807">
        <v>0.98082040000000004</v>
      </c>
      <c r="AB5807">
        <v>31</v>
      </c>
      <c r="AC5807">
        <v>24.502600000000001</v>
      </c>
      <c r="AD5807">
        <v>-1.1349283748593</v>
      </c>
      <c r="AE5807">
        <v>0.218189999999999</v>
      </c>
      <c r="AF5807">
        <v>-4.7861332607791098</v>
      </c>
      <c r="AG5807">
        <v>-1.1349283748593</v>
      </c>
      <c r="AH5807">
        <v>23.9781167571224</v>
      </c>
      <c r="AI5807">
        <v>92.657545880803298</v>
      </c>
      <c r="AJ5807">
        <v>101.288126393149</v>
      </c>
      <c r="AK5807">
        <v>24.4774430287192</v>
      </c>
      <c r="AL5807">
        <v>81.018311111785593</v>
      </c>
      <c r="AM5807">
        <v>99.398465224944999</v>
      </c>
      <c r="AN5807">
        <v>0.99999998373281895</v>
      </c>
    </row>
    <row r="5808" spans="1:40" x14ac:dyDescent="0.25">
      <c r="A5808" t="str">
        <f>"20190303162935880"</f>
        <v>20190303162935880</v>
      </c>
      <c r="B5808" t="str">
        <f>"1551601775867776"</f>
        <v>1551601775867776</v>
      </c>
      <c r="C5808" t="s">
        <v>40</v>
      </c>
      <c r="D5808">
        <v>5.6136589999999904</v>
      </c>
      <c r="E5808">
        <v>0.47724420000000001</v>
      </c>
      <c r="F5808" t="s">
        <v>41</v>
      </c>
      <c r="G5808">
        <v>-262.78590000000003</v>
      </c>
      <c r="H5808" s="1">
        <v>-8.8443280000000003E-7</v>
      </c>
      <c r="I5808">
        <v>-62.954450000000001</v>
      </c>
      <c r="J5808">
        <v>-285.77629999999999</v>
      </c>
      <c r="K5808">
        <v>1.1347039999999999</v>
      </c>
      <c r="L5808">
        <v>-63.4869699999999</v>
      </c>
      <c r="M5808">
        <v>0.98368619999999996</v>
      </c>
      <c r="N5808">
        <v>-1.438618E-2</v>
      </c>
      <c r="O5808">
        <v>-0.17931720000000001</v>
      </c>
      <c r="P5808">
        <v>0.98876799999999998</v>
      </c>
      <c r="Q5808">
        <v>0.1465246</v>
      </c>
      <c r="R5808">
        <v>-2.94717E-2</v>
      </c>
      <c r="S5808">
        <v>3.0589900000000001</v>
      </c>
      <c r="T5808">
        <v>-0.15007879999999901</v>
      </c>
      <c r="U5808">
        <v>6.7657469999999997E-2</v>
      </c>
      <c r="V5808">
        <v>-0.1536971</v>
      </c>
      <c r="W5808">
        <v>0.15544759999999999</v>
      </c>
      <c r="X5808">
        <v>0.97581419999999996</v>
      </c>
      <c r="Y5808">
        <v>-0.2006278</v>
      </c>
      <c r="Z5808">
        <v>1.2534460000000001E-2</v>
      </c>
      <c r="AA5808">
        <v>0.9795874</v>
      </c>
      <c r="AB5808">
        <v>31</v>
      </c>
      <c r="AC5808">
        <v>22.990399999999902</v>
      </c>
      <c r="AD5808">
        <v>-1.1347048844328</v>
      </c>
      <c r="AE5808">
        <v>0.532519999999991</v>
      </c>
      <c r="AF5808">
        <v>-4.6356010947028503</v>
      </c>
      <c r="AG5808">
        <v>-1.1347048844328</v>
      </c>
      <c r="AH5808">
        <v>22.467477288877401</v>
      </c>
      <c r="AI5808">
        <v>92.831684339034197</v>
      </c>
      <c r="AJ5808">
        <v>101.65795953886899</v>
      </c>
      <c r="AK5808">
        <v>22.968758965390101</v>
      </c>
      <c r="AL5808">
        <v>81.057243986334996</v>
      </c>
      <c r="AM5808">
        <v>98.950923250088294</v>
      </c>
      <c r="AN5808">
        <v>1.0000000539078999</v>
      </c>
    </row>
    <row r="5809" spans="1:40" x14ac:dyDescent="0.25">
      <c r="A5809" t="str">
        <f>"20190303162935890"</f>
        <v>20190303162935890</v>
      </c>
      <c r="B5809" t="str">
        <f>"1551601775877537"</f>
        <v>1551601775877537</v>
      </c>
      <c r="C5809" t="s">
        <v>40</v>
      </c>
      <c r="D5809">
        <v>5.675764</v>
      </c>
      <c r="E5809">
        <v>0.47533769999999997</v>
      </c>
      <c r="F5809" t="s">
        <v>41</v>
      </c>
      <c r="G5809">
        <v>-263.6438</v>
      </c>
      <c r="H5809" s="1">
        <v>-1.2156620000000001E-6</v>
      </c>
      <c r="I5809">
        <v>-62.816130000000001</v>
      </c>
      <c r="J5809">
        <v>-285.65570000000002</v>
      </c>
      <c r="K5809">
        <v>1.134471</v>
      </c>
      <c r="L5809">
        <v>-63.503480000000003</v>
      </c>
      <c r="M5809">
        <v>0.98480540000000005</v>
      </c>
      <c r="N5809">
        <v>-1.4329410000000001E-2</v>
      </c>
      <c r="O5809">
        <v>-0.17306969999999999</v>
      </c>
      <c r="P5809">
        <v>0.98897020000000002</v>
      </c>
      <c r="Q5809">
        <v>0.1448979</v>
      </c>
      <c r="R5809">
        <v>-3.070032E-2</v>
      </c>
      <c r="S5809">
        <v>3.0600890000000001</v>
      </c>
      <c r="T5809">
        <v>-0.15688650000000001</v>
      </c>
      <c r="U5809">
        <v>9.2742920000000006E-2</v>
      </c>
      <c r="V5809">
        <v>-0.14617149999999901</v>
      </c>
      <c r="W5809">
        <v>0.15411910000000001</v>
      </c>
      <c r="X5809">
        <v>0.97718020000000005</v>
      </c>
      <c r="Y5809">
        <v>-0.20238800000000001</v>
      </c>
      <c r="Z5809">
        <v>1.298625E-2</v>
      </c>
      <c r="AA5809">
        <v>0.97921930000000001</v>
      </c>
      <c r="AB5809">
        <v>31</v>
      </c>
      <c r="AC5809">
        <v>22.011900000000001</v>
      </c>
      <c r="AD5809">
        <v>-1.134472215662</v>
      </c>
      <c r="AE5809">
        <v>0.68735000000000201</v>
      </c>
      <c r="AF5809">
        <v>-4.4750838499484598</v>
      </c>
      <c r="AG5809">
        <v>-1.134472215662</v>
      </c>
      <c r="AH5809">
        <v>21.503626943238501</v>
      </c>
      <c r="AI5809">
        <v>92.956735873326096</v>
      </c>
      <c r="AJ5809">
        <v>101.755932790201</v>
      </c>
      <c r="AK5809">
        <v>21.993621220393699</v>
      </c>
      <c r="AL5809">
        <v>81.134289240082097</v>
      </c>
      <c r="AM5809">
        <v>98.507509661195797</v>
      </c>
      <c r="AN5809">
        <v>0.99999997383454897</v>
      </c>
    </row>
    <row r="5810" spans="1:40" x14ac:dyDescent="0.25">
      <c r="A5810" t="str">
        <f>"20190303162935902"</f>
        <v>20190303162935902</v>
      </c>
      <c r="B5810" t="str">
        <f>"1551601775887297"</f>
        <v>1551601775887297</v>
      </c>
      <c r="C5810" t="s">
        <v>40</v>
      </c>
      <c r="D5810">
        <v>5.5572699999999999</v>
      </c>
      <c r="E5810">
        <v>0.47478530000000002</v>
      </c>
      <c r="F5810" t="s">
        <v>41</v>
      </c>
      <c r="G5810">
        <v>-264.23469999999998</v>
      </c>
      <c r="H5810" s="1">
        <v>-1.457191E-6</v>
      </c>
      <c r="I5810">
        <v>-62.771189999999997</v>
      </c>
      <c r="J5810">
        <v>-285.49930000000001</v>
      </c>
      <c r="K5810">
        <v>1.1341460000000001</v>
      </c>
      <c r="L5810">
        <v>-63.524349999999998</v>
      </c>
      <c r="M5810">
        <v>0.98617650000000001</v>
      </c>
      <c r="N5810">
        <v>-1.425536E-2</v>
      </c>
      <c r="O5810">
        <v>-0.16508410000000001</v>
      </c>
      <c r="P5810">
        <v>0.98921840000000005</v>
      </c>
      <c r="Q5810">
        <v>0.1433159</v>
      </c>
      <c r="R5810">
        <v>-3.0122240000000002E-2</v>
      </c>
      <c r="S5810">
        <v>3.060486</v>
      </c>
      <c r="T5810">
        <v>-0.16208529999999999</v>
      </c>
      <c r="U5810">
        <v>0.10461429999999999</v>
      </c>
      <c r="V5810">
        <v>-0.13867189999999999</v>
      </c>
      <c r="W5810">
        <v>0.152838</v>
      </c>
      <c r="X5810">
        <v>0.9784737</v>
      </c>
      <c r="Y5810">
        <v>-0.1982237</v>
      </c>
      <c r="Z5810">
        <v>1.301067E-2</v>
      </c>
      <c r="AA5810">
        <v>0.98007049999999996</v>
      </c>
      <c r="AB5810">
        <v>31</v>
      </c>
      <c r="AC5810">
        <v>21.264600000000002</v>
      </c>
      <c r="AD5810">
        <v>-1.134147457191</v>
      </c>
      <c r="AE5810">
        <v>0.75315999999999395</v>
      </c>
      <c r="AF5810">
        <v>-4.2415775623934904</v>
      </c>
      <c r="AG5810">
        <v>-1.134147457191</v>
      </c>
      <c r="AH5810">
        <v>20.7893680498997</v>
      </c>
      <c r="AI5810">
        <v>93.059720077784505</v>
      </c>
      <c r="AJ5810">
        <v>101.531576314273</v>
      </c>
      <c r="AK5810">
        <v>21.2479433025091</v>
      </c>
      <c r="AL5810">
        <v>81.2085717773478</v>
      </c>
      <c r="AM5810">
        <v>98.066391461353206</v>
      </c>
      <c r="AN5810">
        <v>1.00000006584264</v>
      </c>
    </row>
    <row r="5811" spans="1:40" x14ac:dyDescent="0.25">
      <c r="A5811" t="str">
        <f>"20190303162935913"</f>
        <v>20190303162935913</v>
      </c>
      <c r="B5811" t="str">
        <f>"1551601775907792"</f>
        <v>1551601775907792</v>
      </c>
      <c r="C5811" t="s">
        <v>40</v>
      </c>
      <c r="D5811">
        <v>5.5439569999999998</v>
      </c>
      <c r="E5811">
        <v>0.47429060000000001</v>
      </c>
      <c r="F5811" t="s">
        <v>41</v>
      </c>
      <c r="G5811">
        <v>-264.99149999999997</v>
      </c>
      <c r="H5811" s="1">
        <v>-1.7867139999999999E-6</v>
      </c>
      <c r="I5811">
        <v>-62.789349999999999</v>
      </c>
      <c r="J5811">
        <v>-285.34699999999998</v>
      </c>
      <c r="K5811">
        <v>1.13375</v>
      </c>
      <c r="L5811">
        <v>-63.543210000000002</v>
      </c>
      <c r="M5811">
        <v>0.98737280000000005</v>
      </c>
      <c r="N5811">
        <v>-1.4167920000000001E-2</v>
      </c>
      <c r="O5811">
        <v>-0.15777869999999999</v>
      </c>
      <c r="P5811">
        <v>0.98942940000000001</v>
      </c>
      <c r="Q5811">
        <v>0.14198559999999999</v>
      </c>
      <c r="R5811">
        <v>-2.94846E-2</v>
      </c>
      <c r="S5811">
        <v>3.0605470000000001</v>
      </c>
      <c r="T5811">
        <v>-0.16925809999999999</v>
      </c>
      <c r="U5811">
        <v>0.10968020000000001</v>
      </c>
      <c r="V5811">
        <v>-0.131883</v>
      </c>
      <c r="W5811">
        <v>0.1517799</v>
      </c>
      <c r="X5811">
        <v>0.97957629999999996</v>
      </c>
      <c r="Y5811">
        <v>-0.19255720000000001</v>
      </c>
      <c r="Z5811">
        <v>1.3140529999999999E-2</v>
      </c>
      <c r="AA5811">
        <v>0.98119780000000001</v>
      </c>
      <c r="AB5811">
        <v>31</v>
      </c>
      <c r="AC5811">
        <v>20.355499999999999</v>
      </c>
      <c r="AD5811">
        <v>-1.1337517867139999</v>
      </c>
      <c r="AE5811">
        <v>0.75385999999999598</v>
      </c>
      <c r="AF5811">
        <v>-3.9441835391227902</v>
      </c>
      <c r="AG5811">
        <v>-1.1337517867139999</v>
      </c>
      <c r="AH5811">
        <v>19.9198195850968</v>
      </c>
      <c r="AI5811">
        <v>93.1956110446812</v>
      </c>
      <c r="AJ5811">
        <v>101.199870047701</v>
      </c>
      <c r="AK5811">
        <v>20.338170743873899</v>
      </c>
      <c r="AL5811">
        <v>81.269911484658095</v>
      </c>
      <c r="AM5811">
        <v>97.667778577835094</v>
      </c>
      <c r="AN5811">
        <v>0.99999999562734898</v>
      </c>
    </row>
    <row r="5812" spans="1:40" x14ac:dyDescent="0.25">
      <c r="A5812" t="str">
        <f>"20190303162935925"</f>
        <v>20190303162935925</v>
      </c>
      <c r="B5812" t="str">
        <f>"1551601775917552"</f>
        <v>1551601775917552</v>
      </c>
      <c r="C5812" t="s">
        <v>40</v>
      </c>
      <c r="D5812">
        <v>5.4850450000000004</v>
      </c>
      <c r="E5812">
        <v>0.47396949999999999</v>
      </c>
      <c r="F5812" t="s">
        <v>41</v>
      </c>
      <c r="G5812">
        <v>-265.70710000000003</v>
      </c>
      <c r="H5812" s="1">
        <v>-2.100238E-6</v>
      </c>
      <c r="I5812">
        <v>-62.813920000000003</v>
      </c>
      <c r="J5812">
        <v>-285.19099999999997</v>
      </c>
      <c r="K5812">
        <v>1.1333299999999999</v>
      </c>
      <c r="L5812">
        <v>-63.562130000000003</v>
      </c>
      <c r="M5812">
        <v>0.98851549999999999</v>
      </c>
      <c r="N5812">
        <v>-1.4079049999999999E-2</v>
      </c>
      <c r="O5812">
        <v>-0.1504625</v>
      </c>
      <c r="P5812">
        <v>0.98942269999999999</v>
      </c>
      <c r="Q5812">
        <v>0.1423546</v>
      </c>
      <c r="R5812">
        <v>-2.789372E-2</v>
      </c>
      <c r="S5812">
        <v>3.060791</v>
      </c>
      <c r="T5812">
        <v>-0.17669079999999901</v>
      </c>
      <c r="U5812">
        <v>0.113647499999999</v>
      </c>
      <c r="V5812">
        <v>-0.12603339999999999</v>
      </c>
      <c r="W5812">
        <v>0.1523851</v>
      </c>
      <c r="X5812">
        <v>0.98025220000000002</v>
      </c>
      <c r="Y5812">
        <v>-0.186528</v>
      </c>
      <c r="Z5812">
        <v>1.322826E-2</v>
      </c>
      <c r="AA5812">
        <v>0.98236060000000003</v>
      </c>
      <c r="AB5812">
        <v>31</v>
      </c>
      <c r="AC5812">
        <v>19.483899999999899</v>
      </c>
      <c r="AD5812">
        <v>-1.1333321002379999</v>
      </c>
      <c r="AE5812">
        <v>0.74821000000000704</v>
      </c>
      <c r="AF5812">
        <v>-3.6592146318009</v>
      </c>
      <c r="AG5812">
        <v>-1.1333321002379999</v>
      </c>
      <c r="AH5812">
        <v>19.084978449458401</v>
      </c>
      <c r="AI5812">
        <v>93.337775014146601</v>
      </c>
      <c r="AJ5812">
        <v>100.853754486485</v>
      </c>
      <c r="AK5812">
        <v>19.465628574163901</v>
      </c>
      <c r="AL5812">
        <v>81.234828072524706</v>
      </c>
      <c r="AM5812">
        <v>97.326462681139603</v>
      </c>
      <c r="AN5812">
        <v>1.0000000061112</v>
      </c>
    </row>
    <row r="5813" spans="1:40" x14ac:dyDescent="0.25">
      <c r="A5813" t="str">
        <f>"20190303162935935"</f>
        <v>20190303162935935</v>
      </c>
      <c r="B5813" t="str">
        <f>"1551601775927314"</f>
        <v>1551601775927314</v>
      </c>
      <c r="C5813" t="s">
        <v>40</v>
      </c>
      <c r="D5813">
        <v>5.492197</v>
      </c>
      <c r="E5813">
        <v>0.47389100000000001</v>
      </c>
      <c r="F5813" t="s">
        <v>63</v>
      </c>
      <c r="G5813">
        <v>-265.67720000000003</v>
      </c>
      <c r="H5813" s="1">
        <v>-2.083314E-6</v>
      </c>
      <c r="I5813">
        <v>-62.798470000000002</v>
      </c>
      <c r="J5813">
        <v>-285.04320000000001</v>
      </c>
      <c r="K5813">
        <v>1.132844</v>
      </c>
      <c r="L5813">
        <v>-63.578919999999997</v>
      </c>
      <c r="M5813">
        <v>0.98946559999999995</v>
      </c>
      <c r="N5813">
        <v>-1.3981510000000001E-2</v>
      </c>
      <c r="O5813">
        <v>-0.14409169999999999</v>
      </c>
      <c r="P5813">
        <v>0.98910679999999995</v>
      </c>
      <c r="Q5813">
        <v>0.14482020000000001</v>
      </c>
      <c r="R5813">
        <v>-2.6360539999999998E-2</v>
      </c>
      <c r="S5813">
        <v>3.061035</v>
      </c>
      <c r="T5813">
        <v>-0.1777811</v>
      </c>
      <c r="U5813">
        <v>0.1197815</v>
      </c>
      <c r="V5813">
        <v>-0.1210618</v>
      </c>
      <c r="W5813">
        <v>0.15505189999999999</v>
      </c>
      <c r="X5813">
        <v>0.98046060000000002</v>
      </c>
      <c r="Y5813">
        <v>-0.18216930000000001</v>
      </c>
      <c r="Z5813">
        <v>1.288485E-2</v>
      </c>
      <c r="AA5813">
        <v>0.98318269999999997</v>
      </c>
      <c r="AB5813">
        <v>31</v>
      </c>
      <c r="AC5813">
        <v>19.3659999999999</v>
      </c>
      <c r="AD5813">
        <v>-1.1328460833139999</v>
      </c>
      <c r="AE5813">
        <v>0.78045000000000098</v>
      </c>
      <c r="AF5813">
        <v>-3.5509253725232801</v>
      </c>
      <c r="AG5813">
        <v>-1.1328460833139999</v>
      </c>
      <c r="AH5813">
        <v>18.986532066412799</v>
      </c>
      <c r="AI5813">
        <v>93.356488639527001</v>
      </c>
      <c r="AJ5813">
        <v>100.593272053487</v>
      </c>
      <c r="AK5813">
        <v>19.34892273897</v>
      </c>
      <c r="AL5813">
        <v>81.080193882400494</v>
      </c>
      <c r="AM5813">
        <v>97.038935488406196</v>
      </c>
      <c r="AN5813">
        <v>1.0000000196326</v>
      </c>
    </row>
    <row r="5814" spans="1:40" x14ac:dyDescent="0.25">
      <c r="A5814" t="str">
        <f>"20190303162935946"</f>
        <v>20190303162935946</v>
      </c>
      <c r="B5814" t="str">
        <f>"1551601775937582"</f>
        <v>1551601775937582</v>
      </c>
      <c r="C5814" t="s">
        <v>40</v>
      </c>
      <c r="D5814">
        <v>5.4329479999999997</v>
      </c>
      <c r="E5814">
        <v>0.47378910000000002</v>
      </c>
      <c r="F5814" t="s">
        <v>41</v>
      </c>
      <c r="G5814">
        <v>-264.56610000000001</v>
      </c>
      <c r="H5814" s="1">
        <v>-1.592885E-6</v>
      </c>
      <c r="I5814">
        <v>-62.746760000000002</v>
      </c>
      <c r="J5814">
        <v>-284.9042</v>
      </c>
      <c r="K5814">
        <v>1.132377</v>
      </c>
      <c r="L5814">
        <v>-63.594360000000002</v>
      </c>
      <c r="M5814">
        <v>0.99029590000000001</v>
      </c>
      <c r="N5814">
        <v>-1.389229E-2</v>
      </c>
      <c r="O5814">
        <v>-0.1382785</v>
      </c>
      <c r="P5814">
        <v>0.98864470000000004</v>
      </c>
      <c r="Q5814">
        <v>0.14829919999999999</v>
      </c>
      <c r="R5814">
        <v>-2.4267480000000001E-2</v>
      </c>
      <c r="S5814">
        <v>3.0611269999999999</v>
      </c>
      <c r="T5814">
        <v>-0.16934939999999901</v>
      </c>
      <c r="U5814">
        <v>0.1243896</v>
      </c>
      <c r="V5814">
        <v>-0.1172115</v>
      </c>
      <c r="W5814">
        <v>0.15868989999999999</v>
      </c>
      <c r="X5814">
        <v>0.98034639999999995</v>
      </c>
      <c r="Y5814">
        <v>-0.1779318</v>
      </c>
      <c r="Z5814">
        <v>1.1859079999999999E-2</v>
      </c>
      <c r="AA5814">
        <v>0.98397140000000005</v>
      </c>
      <c r="AB5814">
        <v>31</v>
      </c>
      <c r="AC5814">
        <v>20.338100000000001</v>
      </c>
      <c r="AD5814">
        <v>-1.1323785928850001</v>
      </c>
      <c r="AE5814">
        <v>0.84759999999999902</v>
      </c>
      <c r="AF5814">
        <v>-3.6407824851366701</v>
      </c>
      <c r="AG5814">
        <v>-1.1323785928850001</v>
      </c>
      <c r="AH5814">
        <v>19.963685364744801</v>
      </c>
      <c r="AI5814">
        <v>93.193881676956806</v>
      </c>
      <c r="AJ5814">
        <v>100.335463009785</v>
      </c>
      <c r="AK5814">
        <v>20.324524883111799</v>
      </c>
      <c r="AL5814">
        <v>80.869138870426994</v>
      </c>
      <c r="AM5814">
        <v>96.817993859267901</v>
      </c>
      <c r="AN5814">
        <v>1.0000000420435999</v>
      </c>
    </row>
    <row r="5815" spans="1:40" x14ac:dyDescent="0.25">
      <c r="A5815" t="str">
        <f>"20190303162935956"</f>
        <v>20190303162935956</v>
      </c>
      <c r="B5815" t="str">
        <f>"1551601775947342"</f>
        <v>1551601775947342</v>
      </c>
      <c r="C5815" t="s">
        <v>40</v>
      </c>
      <c r="D5815">
        <v>5.43614</v>
      </c>
      <c r="E5815">
        <v>0.47367609999999899</v>
      </c>
      <c r="F5815" t="s">
        <v>41</v>
      </c>
      <c r="G5815">
        <v>-262.91180000000003</v>
      </c>
      <c r="H5815" s="1">
        <v>-8.5979849999999997E-7</v>
      </c>
      <c r="I5815">
        <v>-62.658810000000003</v>
      </c>
      <c r="J5815">
        <v>-284.75959999999998</v>
      </c>
      <c r="K5815">
        <v>1.1318349999999999</v>
      </c>
      <c r="L5815">
        <v>-63.609679999999997</v>
      </c>
      <c r="M5815">
        <v>0.99105779999999999</v>
      </c>
      <c r="N5815">
        <v>-1.3794799999999901E-2</v>
      </c>
      <c r="O5815">
        <v>-0.132718899999999</v>
      </c>
      <c r="P5815">
        <v>0.98824509999999999</v>
      </c>
      <c r="Q5815">
        <v>0.15131829999999999</v>
      </c>
      <c r="R5815">
        <v>-2.1788439999999999E-2</v>
      </c>
      <c r="S5815">
        <v>3.0613100000000002</v>
      </c>
      <c r="T5815">
        <v>-0.1576256</v>
      </c>
      <c r="U5815">
        <v>0.13021849999999999</v>
      </c>
      <c r="V5815">
        <v>-0.11396390000000001</v>
      </c>
      <c r="W5815">
        <v>0.16185329999999901</v>
      </c>
      <c r="X5815">
        <v>0.98021210000000003</v>
      </c>
      <c r="Y5815">
        <v>-0.1743479</v>
      </c>
      <c r="Z5815">
        <v>1.0671409999999999E-2</v>
      </c>
      <c r="AA5815">
        <v>0.98462629999999995</v>
      </c>
      <c r="AB5815">
        <v>31</v>
      </c>
      <c r="AC5815">
        <v>21.8477999999999</v>
      </c>
      <c r="AD5815">
        <v>-1.1318358597984901</v>
      </c>
      <c r="AE5815">
        <v>0.95087000000000899</v>
      </c>
      <c r="AF5815">
        <v>-3.8320832728915901</v>
      </c>
      <c r="AG5815">
        <v>-1.1318358597984901</v>
      </c>
      <c r="AH5815">
        <v>21.470766397809602</v>
      </c>
      <c r="AI5815">
        <v>92.970707069031505</v>
      </c>
      <c r="AJ5815">
        <v>100.119545553447</v>
      </c>
      <c r="AK5815">
        <v>21.839407600326702</v>
      </c>
      <c r="AL5815">
        <v>80.685515328466593</v>
      </c>
      <c r="AM5815">
        <v>96.631692711461795</v>
      </c>
      <c r="AN5815">
        <v>1.0000000111052501</v>
      </c>
    </row>
    <row r="5816" spans="1:40" x14ac:dyDescent="0.25">
      <c r="A5816" t="str">
        <f>"20190303162935967"</f>
        <v>20190303162935967</v>
      </c>
      <c r="B5816" t="str">
        <f>"1551601775958077"</f>
        <v>1551601775958077</v>
      </c>
      <c r="C5816" t="s">
        <v>40</v>
      </c>
      <c r="D5816">
        <v>5.4304930000000002</v>
      </c>
      <c r="E5816">
        <v>0.47363240000000001</v>
      </c>
      <c r="F5816" t="s">
        <v>41</v>
      </c>
      <c r="G5816">
        <v>-261.39389999999997</v>
      </c>
      <c r="H5816" s="1">
        <v>-1.8550099999999999E-7</v>
      </c>
      <c r="I5816">
        <v>-62.571950000000001</v>
      </c>
      <c r="J5816">
        <v>-284.61290000000002</v>
      </c>
      <c r="K5816">
        <v>1.131259</v>
      </c>
      <c r="L5816">
        <v>-63.624850000000002</v>
      </c>
      <c r="M5816">
        <v>0.99175800000000003</v>
      </c>
      <c r="N5816">
        <v>-1.369954E-2</v>
      </c>
      <c r="O5816">
        <v>-0.12739110000000001</v>
      </c>
      <c r="P5816">
        <v>0.98800270000000001</v>
      </c>
      <c r="Q5816">
        <v>0.1533428</v>
      </c>
      <c r="R5816">
        <v>-1.835005E-2</v>
      </c>
      <c r="S5816">
        <v>3.061401</v>
      </c>
      <c r="T5816">
        <v>-0.1482947</v>
      </c>
      <c r="U5816">
        <v>0.13595579999999999</v>
      </c>
      <c r="V5816">
        <v>-0.1118796</v>
      </c>
      <c r="W5816">
        <v>0.1639939</v>
      </c>
      <c r="X5816">
        <v>0.98009639999999998</v>
      </c>
      <c r="Y5816">
        <v>-0.17094889999999999</v>
      </c>
      <c r="Z5816">
        <v>9.7183180000000001E-3</v>
      </c>
      <c r="AA5816">
        <v>0.98523190000000005</v>
      </c>
      <c r="AB5816">
        <v>31</v>
      </c>
      <c r="AC5816">
        <v>23.219000000000001</v>
      </c>
      <c r="AD5816">
        <v>-1.1312591855009999</v>
      </c>
      <c r="AE5816">
        <v>1.0528999999999999</v>
      </c>
      <c r="AF5816">
        <v>-3.9930322959943298</v>
      </c>
      <c r="AG5816">
        <v>-1.1312591855009999</v>
      </c>
      <c r="AH5816">
        <v>22.841537249243999</v>
      </c>
      <c r="AI5816">
        <v>92.7930489884574</v>
      </c>
      <c r="AJ5816">
        <v>99.915933567633402</v>
      </c>
      <c r="AK5816">
        <v>23.215509431632899</v>
      </c>
      <c r="AL5816">
        <v>80.561206918300002</v>
      </c>
      <c r="AM5816">
        <v>96.512218128684694</v>
      </c>
      <c r="AN5816">
        <v>0.99999999871316503</v>
      </c>
    </row>
    <row r="5817" spans="1:40" x14ac:dyDescent="0.25">
      <c r="A5817" t="str">
        <f>"20190303162935978"</f>
        <v>20190303162935978</v>
      </c>
      <c r="B5817" t="str">
        <f>"1551601775967838"</f>
        <v>1551601775967838</v>
      </c>
      <c r="C5817" t="s">
        <v>40</v>
      </c>
      <c r="D5817">
        <v>5.4393690000000001</v>
      </c>
      <c r="E5817">
        <v>0.47352680000000003</v>
      </c>
      <c r="F5817" t="s">
        <v>41</v>
      </c>
      <c r="G5817">
        <v>-260.1388</v>
      </c>
      <c r="H5817" s="1">
        <v>3.7664140000000001E-7</v>
      </c>
      <c r="I5817">
        <v>-62.482880000000002</v>
      </c>
      <c r="J5817">
        <v>-284.46379999999999</v>
      </c>
      <c r="K5817">
        <v>1.1306389999999999</v>
      </c>
      <c r="L5817">
        <v>-63.639800000000001</v>
      </c>
      <c r="M5817">
        <v>0.99238590000000004</v>
      </c>
      <c r="N5817">
        <v>-1.360463E-2</v>
      </c>
      <c r="O5817">
        <v>-0.1224136</v>
      </c>
      <c r="P5817">
        <v>0.98807279999999997</v>
      </c>
      <c r="Q5817">
        <v>0.1533397</v>
      </c>
      <c r="R5817">
        <v>-1.4107949999999999E-2</v>
      </c>
      <c r="S5817">
        <v>3.0610659999999998</v>
      </c>
      <c r="T5817">
        <v>-0.14149049999999999</v>
      </c>
      <c r="U5817">
        <v>0.14282230000000001</v>
      </c>
      <c r="V5817">
        <v>-0.1109156</v>
      </c>
      <c r="W5817">
        <v>0.1640866</v>
      </c>
      <c r="X5817">
        <v>0.98019049999999996</v>
      </c>
      <c r="Y5817">
        <v>-0.1682515</v>
      </c>
      <c r="Z5817">
        <v>9.0099480000000003E-3</v>
      </c>
      <c r="AA5817">
        <v>0.98570290000000005</v>
      </c>
      <c r="AB5817">
        <v>31</v>
      </c>
      <c r="AC5817">
        <v>24.3249999999999</v>
      </c>
      <c r="AD5817">
        <v>-1.1306386233586001</v>
      </c>
      <c r="AE5817">
        <v>1.15691999999999</v>
      </c>
      <c r="AF5817">
        <v>-4.1173287274989399</v>
      </c>
      <c r="AG5817">
        <v>-1.1306386233586001</v>
      </c>
      <c r="AH5817">
        <v>23.948762986791099</v>
      </c>
      <c r="AI5817">
        <v>92.6639434259789</v>
      </c>
      <c r="AJ5817">
        <v>99.755062623600793</v>
      </c>
      <c r="AK5817">
        <v>24.326405162794099</v>
      </c>
      <c r="AL5817">
        <v>80.555823146114406</v>
      </c>
      <c r="AM5817">
        <v>96.455967466106301</v>
      </c>
      <c r="AN5817">
        <v>1.0000000494565799</v>
      </c>
    </row>
    <row r="5818" spans="1:40" x14ac:dyDescent="0.25">
      <c r="A5818" t="str">
        <f>"20190303162935991"</f>
        <v>20190303162935991</v>
      </c>
      <c r="B5818" t="str">
        <f>"1551601775977597"</f>
        <v>1551601775977597</v>
      </c>
      <c r="C5818" t="s">
        <v>40</v>
      </c>
      <c r="D5818">
        <v>5.4298489999999999</v>
      </c>
      <c r="E5818">
        <v>0.47352689999999997</v>
      </c>
      <c r="F5818" t="s">
        <v>63</v>
      </c>
      <c r="G5818">
        <v>-260.0883</v>
      </c>
      <c r="H5818" s="1">
        <v>4.1504310000000001E-7</v>
      </c>
      <c r="I5818">
        <v>-62.420029999999997</v>
      </c>
      <c r="J5818">
        <v>-284.30739999999997</v>
      </c>
      <c r="K5818">
        <v>1.1299809999999999</v>
      </c>
      <c r="L5818">
        <v>-63.655059999999999</v>
      </c>
      <c r="M5818">
        <v>0.99295909999999998</v>
      </c>
      <c r="N5818">
        <v>-1.350954E-2</v>
      </c>
      <c r="O5818">
        <v>-0.11768530000000001</v>
      </c>
      <c r="P5818">
        <v>0.98814559999999996</v>
      </c>
      <c r="Q5818">
        <v>0.1532201</v>
      </c>
      <c r="R5818">
        <v>-9.5861590000000003E-3</v>
      </c>
      <c r="S5818">
        <v>3.060425</v>
      </c>
      <c r="T5818">
        <v>-0.141955</v>
      </c>
      <c r="U5818">
        <v>0.1531372</v>
      </c>
      <c r="V5818">
        <v>-0.1104641</v>
      </c>
      <c r="W5818">
        <v>0.16405790000000001</v>
      </c>
      <c r="X5818">
        <v>0.98024619999999996</v>
      </c>
      <c r="Y5818">
        <v>-0.16688249999999999</v>
      </c>
      <c r="Z5818">
        <v>8.8515799999999995E-3</v>
      </c>
      <c r="AA5818">
        <v>0.98593710000000001</v>
      </c>
      <c r="AB5818">
        <v>31</v>
      </c>
      <c r="AC5818">
        <v>24.219099999999901</v>
      </c>
      <c r="AD5818">
        <v>-1.12998058495689</v>
      </c>
      <c r="AE5818">
        <v>1.2350299999999901</v>
      </c>
      <c r="AF5818">
        <v>-4.0681055165016398</v>
      </c>
      <c r="AG5818">
        <v>-1.12998058495689</v>
      </c>
      <c r="AH5818">
        <v>23.853620313442999</v>
      </c>
      <c r="AI5818">
        <v>92.673610954583793</v>
      </c>
      <c r="AJ5818">
        <v>99.678367977206804</v>
      </c>
      <c r="AK5818">
        <v>24.224399696869099</v>
      </c>
      <c r="AL5818">
        <v>80.557489294542805</v>
      </c>
      <c r="AM5818">
        <v>96.429545632707701</v>
      </c>
      <c r="AN5818">
        <v>0.99999996227782895</v>
      </c>
    </row>
    <row r="5819" spans="1:40" x14ac:dyDescent="0.25">
      <c r="A5819" t="str">
        <f>"20190303162936001"</f>
        <v>20190303162936001</v>
      </c>
      <c r="B5819" t="str">
        <f>"1551601775987358"</f>
        <v>1551601775987358</v>
      </c>
      <c r="C5819" t="s">
        <v>40</v>
      </c>
      <c r="D5819">
        <v>5.486904</v>
      </c>
      <c r="E5819">
        <v>0.4735801</v>
      </c>
      <c r="F5819" t="s">
        <v>41</v>
      </c>
      <c r="G5819">
        <v>-260.06920000000002</v>
      </c>
      <c r="H5819" s="1">
        <v>4.4214839999999999E-7</v>
      </c>
      <c r="I5819">
        <v>-62.34883</v>
      </c>
      <c r="J5819">
        <v>-284.14940000000001</v>
      </c>
      <c r="K5819">
        <v>1.1293029999999999</v>
      </c>
      <c r="L5819">
        <v>-63.670200000000001</v>
      </c>
      <c r="M5819">
        <v>0.99348029999999998</v>
      </c>
      <c r="N5819">
        <v>-1.3418859999999999E-2</v>
      </c>
      <c r="O5819">
        <v>-0.1132113</v>
      </c>
      <c r="P5819">
        <v>0.98846129999999999</v>
      </c>
      <c r="Q5819">
        <v>0.15143879999999901</v>
      </c>
      <c r="R5819">
        <v>-3.2647349999999999E-3</v>
      </c>
      <c r="S5819">
        <v>3.0597530000000002</v>
      </c>
      <c r="T5819">
        <v>-0.14264540000000001</v>
      </c>
      <c r="U5819">
        <v>0.16488649999999999</v>
      </c>
      <c r="V5819">
        <v>-0.1120459</v>
      </c>
      <c r="W5819">
        <v>0.1623309</v>
      </c>
      <c r="X5819">
        <v>0.98035419999999995</v>
      </c>
      <c r="Y5819">
        <v>-0.16622809999999999</v>
      </c>
      <c r="Z5819">
        <v>8.7346860000000002E-3</v>
      </c>
      <c r="AA5819">
        <v>0.98604860000000005</v>
      </c>
      <c r="AB5819">
        <v>31</v>
      </c>
      <c r="AC5819">
        <v>24.080199999999898</v>
      </c>
      <c r="AD5819">
        <v>-1.1293025578516001</v>
      </c>
      <c r="AE5819">
        <v>1.3213699999999899</v>
      </c>
      <c r="AF5819">
        <v>-4.0304317103254297</v>
      </c>
      <c r="AG5819">
        <v>-1.1293025578516001</v>
      </c>
      <c r="AH5819">
        <v>23.723730470967698</v>
      </c>
      <c r="AI5819">
        <v>92.686907537008295</v>
      </c>
      <c r="AJ5819">
        <v>99.6419364579274</v>
      </c>
      <c r="AK5819">
        <v>24.090145111598801</v>
      </c>
      <c r="AL5819">
        <v>80.657783854208105</v>
      </c>
      <c r="AM5819">
        <v>96.5201144337004</v>
      </c>
      <c r="AN5819">
        <v>0.99999998112962896</v>
      </c>
    </row>
    <row r="5820" spans="1:40" x14ac:dyDescent="0.25">
      <c r="A5820" t="str">
        <f>"20190303162936014"</f>
        <v>20190303162936014</v>
      </c>
      <c r="B5820" t="str">
        <f>"1551601776007853"</f>
        <v>1551601776007853</v>
      </c>
      <c r="C5820" t="s">
        <v>40</v>
      </c>
      <c r="D5820">
        <v>5.3619810000000001</v>
      </c>
      <c r="E5820">
        <v>0.47370519999999999</v>
      </c>
      <c r="F5820" t="s">
        <v>41</v>
      </c>
      <c r="G5820">
        <v>-261.01929999999999</v>
      </c>
      <c r="H5820" s="1">
        <v>5.0975129999999901E-8</v>
      </c>
      <c r="I5820">
        <v>-62.287230000000001</v>
      </c>
      <c r="J5820">
        <v>-283.99059999999997</v>
      </c>
      <c r="K5820">
        <v>1.128644</v>
      </c>
      <c r="L5820">
        <v>-63.6849699999999</v>
      </c>
      <c r="M5820">
        <v>0.99390290000000003</v>
      </c>
      <c r="N5820">
        <v>-1.3331050000000001E-2</v>
      </c>
      <c r="O5820">
        <v>-0.1094504</v>
      </c>
      <c r="P5820">
        <v>0.98877040000000005</v>
      </c>
      <c r="Q5820">
        <v>0.149416299999999</v>
      </c>
      <c r="R5820">
        <v>2.8734170000000001E-3</v>
      </c>
      <c r="S5820">
        <v>3.0585019999999998</v>
      </c>
      <c r="T5820">
        <v>-0.14932799999999999</v>
      </c>
      <c r="U5820">
        <v>0.1828613</v>
      </c>
      <c r="V5820">
        <v>-0.1141619</v>
      </c>
      <c r="W5820">
        <v>0.16035579999999999</v>
      </c>
      <c r="X5820">
        <v>0.9804351</v>
      </c>
      <c r="Y5820">
        <v>-0.16826469999999999</v>
      </c>
      <c r="Z5820">
        <v>9.0989880000000006E-3</v>
      </c>
      <c r="AA5820">
        <v>0.98569980000000001</v>
      </c>
      <c r="AB5820">
        <v>31</v>
      </c>
      <c r="AC5820">
        <v>22.9712999999999</v>
      </c>
      <c r="AD5820">
        <v>-1.1286439490248701</v>
      </c>
      <c r="AE5820">
        <v>1.39773999999998</v>
      </c>
      <c r="AF5820">
        <v>-3.8944159924895998</v>
      </c>
      <c r="AG5820">
        <v>-1.1286439490248701</v>
      </c>
      <c r="AH5820">
        <v>22.625854953515798</v>
      </c>
      <c r="AI5820">
        <v>92.814396799925305</v>
      </c>
      <c r="AJ5820">
        <v>99.766191479004405</v>
      </c>
      <c r="AK5820">
        <v>22.986292120822</v>
      </c>
      <c r="AL5820">
        <v>80.772450847102505</v>
      </c>
      <c r="AM5820">
        <v>96.641614193757206</v>
      </c>
      <c r="AN5820">
        <v>0.99999995365862804</v>
      </c>
    </row>
    <row r="5821" spans="1:40" x14ac:dyDescent="0.25">
      <c r="A5821" t="str">
        <f>"20190303162936025"</f>
        <v>20190303162936025</v>
      </c>
      <c r="B5821" t="str">
        <f>"1551601776017614"</f>
        <v>1551601776017614</v>
      </c>
      <c r="C5821" t="s">
        <v>40</v>
      </c>
      <c r="D5821">
        <v>5.3565880000000003</v>
      </c>
      <c r="E5821">
        <v>0.4738405</v>
      </c>
      <c r="F5821" t="s">
        <v>41</v>
      </c>
      <c r="G5821">
        <v>-261.98590000000002</v>
      </c>
      <c r="H5821" s="1">
        <v>-3.5315070000000001E-7</v>
      </c>
      <c r="I5821">
        <v>-62.2474699999999</v>
      </c>
      <c r="J5821">
        <v>-283.83929999999998</v>
      </c>
      <c r="K5821">
        <v>1.1280239999999999</v>
      </c>
      <c r="L5821">
        <v>-63.698909999999998</v>
      </c>
      <c r="M5821">
        <v>0.99427129999999997</v>
      </c>
      <c r="N5821">
        <v>-1.325195E-2</v>
      </c>
      <c r="O5821">
        <v>-0.106062</v>
      </c>
      <c r="P5821">
        <v>0.98906830000000001</v>
      </c>
      <c r="Q5821">
        <v>0.14722650000000001</v>
      </c>
      <c r="R5821">
        <v>8.2722980000000008E-3</v>
      </c>
      <c r="S5821">
        <v>3.0571899999999999</v>
      </c>
      <c r="T5821">
        <v>-0.1568068</v>
      </c>
      <c r="U5821">
        <v>0.199707</v>
      </c>
      <c r="V5821">
        <v>-0.1159304</v>
      </c>
      <c r="W5821">
        <v>0.15822610000000001</v>
      </c>
      <c r="X5821">
        <v>0.98057369999999999</v>
      </c>
      <c r="Y5821">
        <v>-0.1703056</v>
      </c>
      <c r="Z5821">
        <v>9.5142279999999996E-3</v>
      </c>
      <c r="AA5821">
        <v>0.98534540000000004</v>
      </c>
      <c r="AB5821">
        <v>31</v>
      </c>
      <c r="AC5821">
        <v>21.853399999999901</v>
      </c>
      <c r="AD5821">
        <v>-1.1280243531506999</v>
      </c>
      <c r="AE5821">
        <v>1.4514400000000001</v>
      </c>
      <c r="AF5821">
        <v>-3.7513192817425498</v>
      </c>
      <c r="AG5821">
        <v>-1.1280243531506999</v>
      </c>
      <c r="AH5821">
        <v>21.519074930824999</v>
      </c>
      <c r="AI5821">
        <v>92.956182394792805</v>
      </c>
      <c r="AJ5821">
        <v>99.888732686819395</v>
      </c>
      <c r="AK5821">
        <v>21.8727095069023</v>
      </c>
      <c r="AL5821">
        <v>80.896052934025207</v>
      </c>
      <c r="AM5821">
        <v>96.742615674900307</v>
      </c>
      <c r="AN5821">
        <v>1.00000006874852</v>
      </c>
    </row>
    <row r="5822" spans="1:40" x14ac:dyDescent="0.25">
      <c r="A5822" t="str">
        <f>"20190303162936037"</f>
        <v>20190303162936037</v>
      </c>
      <c r="B5822" t="str">
        <f>"1551601776027373"</f>
        <v>1551601776027373</v>
      </c>
      <c r="C5822" t="s">
        <v>40</v>
      </c>
      <c r="D5822">
        <v>5.4108400000000003</v>
      </c>
      <c r="E5822">
        <v>0.47396840000000001</v>
      </c>
      <c r="F5822" t="s">
        <v>41</v>
      </c>
      <c r="G5822">
        <v>-262.87810000000002</v>
      </c>
      <c r="H5822" s="1">
        <v>-7.3293799999999999E-7</v>
      </c>
      <c r="I5822">
        <v>-62.236460000000001</v>
      </c>
      <c r="J5822">
        <v>-283.67309999999998</v>
      </c>
      <c r="K5822">
        <v>1.12737</v>
      </c>
      <c r="L5822">
        <v>-63.71396</v>
      </c>
      <c r="M5822">
        <v>0.99458860000000004</v>
      </c>
      <c r="N5822">
        <v>-1.3167069999999999E-2</v>
      </c>
      <c r="O5822">
        <v>-0.1030553</v>
      </c>
      <c r="P5822">
        <v>0.98929469999999997</v>
      </c>
      <c r="Q5822">
        <v>0.1454162</v>
      </c>
      <c r="R5822">
        <v>1.225183E-2</v>
      </c>
      <c r="S5822">
        <v>3.055847</v>
      </c>
      <c r="T5822">
        <v>-0.16444990000000001</v>
      </c>
      <c r="U5822">
        <v>0.21319579999999999</v>
      </c>
      <c r="V5822">
        <v>-0.1166581</v>
      </c>
      <c r="W5822">
        <v>0.15650359999999999</v>
      </c>
      <c r="X5822">
        <v>0.98076370000000002</v>
      </c>
      <c r="Y5822">
        <v>-0.1716483</v>
      </c>
      <c r="Z5822">
        <v>9.9197279999999992E-3</v>
      </c>
      <c r="AA5822">
        <v>0.9851084</v>
      </c>
      <c r="AB5822">
        <v>31</v>
      </c>
      <c r="AC5822">
        <v>20.794999999999899</v>
      </c>
      <c r="AD5822">
        <v>-1.1273707329380001</v>
      </c>
      <c r="AE5822">
        <v>1.47749999999999</v>
      </c>
      <c r="AF5822">
        <v>-3.6023179410507402</v>
      </c>
      <c r="AG5822">
        <v>-1.1273707329380001</v>
      </c>
      <c r="AH5822">
        <v>20.4721155249626</v>
      </c>
      <c r="AI5822">
        <v>93.104415985349505</v>
      </c>
      <c r="AJ5822">
        <v>99.979727084756604</v>
      </c>
      <c r="AK5822">
        <v>20.817184569132198</v>
      </c>
      <c r="AL5822">
        <v>80.995989116802505</v>
      </c>
      <c r="AM5822">
        <v>96.783243949473899</v>
      </c>
      <c r="AN5822">
        <v>0.99999996217312903</v>
      </c>
    </row>
    <row r="5823" spans="1:40" x14ac:dyDescent="0.25">
      <c r="A5823" t="str">
        <f>"20190303162936046"</f>
        <v>20190303162936046</v>
      </c>
      <c r="B5823" t="str">
        <f>"1551601776038110"</f>
        <v>1551601776038110</v>
      </c>
      <c r="C5823" t="s">
        <v>40</v>
      </c>
      <c r="D5823">
        <v>5.3507400000000001</v>
      </c>
      <c r="E5823">
        <v>0.47420250000000003</v>
      </c>
      <c r="F5823" t="s">
        <v>41</v>
      </c>
      <c r="G5823">
        <v>-263.5795</v>
      </c>
      <c r="H5823" s="1">
        <v>-1.0389459999999999E-6</v>
      </c>
      <c r="I5823">
        <v>-62.255600000000001</v>
      </c>
      <c r="J5823">
        <v>-283.5487</v>
      </c>
      <c r="K5823">
        <v>1.126897</v>
      </c>
      <c r="L5823">
        <v>-63.72513</v>
      </c>
      <c r="M5823">
        <v>0.99479989999999996</v>
      </c>
      <c r="N5823">
        <v>-1.3106359999999999E-2</v>
      </c>
      <c r="O5823">
        <v>-0.1010035</v>
      </c>
      <c r="P5823">
        <v>0.98961869999999996</v>
      </c>
      <c r="Q5823">
        <v>0.14293139999999999</v>
      </c>
      <c r="R5823">
        <v>1.502847E-2</v>
      </c>
      <c r="S5823">
        <v>3.0549010000000001</v>
      </c>
      <c r="T5823">
        <v>-0.17139799999999999</v>
      </c>
      <c r="U5823">
        <v>0.2217102</v>
      </c>
      <c r="V5823">
        <v>-0.1172068</v>
      </c>
      <c r="W5823">
        <v>0.15408659999999999</v>
      </c>
      <c r="X5823">
        <v>0.98108090000000003</v>
      </c>
      <c r="Y5823">
        <v>-0.17233589999999999</v>
      </c>
      <c r="Z5823">
        <v>1.028753E-2</v>
      </c>
      <c r="AA5823">
        <v>0.98498450000000004</v>
      </c>
      <c r="AB5823">
        <v>31</v>
      </c>
      <c r="AC5823">
        <v>19.969200000000001</v>
      </c>
      <c r="AD5823">
        <v>-1.1268980389459999</v>
      </c>
      <c r="AE5823">
        <v>1.46953</v>
      </c>
      <c r="AF5823">
        <v>-3.4681606173973898</v>
      </c>
      <c r="AG5823">
        <v>-1.1268980389459999</v>
      </c>
      <c r="AH5823">
        <v>19.6563614810442</v>
      </c>
      <c r="AI5823">
        <v>93.231367976758506</v>
      </c>
      <c r="AJ5823">
        <v>100.0062580898</v>
      </c>
      <c r="AK5823">
        <v>19.991762902048499</v>
      </c>
      <c r="AL5823">
        <v>81.136173413677</v>
      </c>
      <c r="AM5823">
        <v>96.812666848100207</v>
      </c>
      <c r="AN5823">
        <v>0.99999992330530196</v>
      </c>
    </row>
    <row r="5824" spans="1:40" x14ac:dyDescent="0.25">
      <c r="A5824" t="str">
        <f>"20190303162936056"</f>
        <v>20190303162936056</v>
      </c>
      <c r="B5824" t="str">
        <f>"1551601776047871"</f>
        <v>1551601776047871</v>
      </c>
      <c r="C5824" t="s">
        <v>40</v>
      </c>
      <c r="D5824">
        <v>5.4106129999999997</v>
      </c>
      <c r="E5824">
        <v>0.47446919999999998</v>
      </c>
      <c r="F5824" t="s">
        <v>41</v>
      </c>
      <c r="G5824">
        <v>-264.46660000000003</v>
      </c>
      <c r="H5824" s="1">
        <v>-1.434356E-6</v>
      </c>
      <c r="I5824">
        <v>-62.31138</v>
      </c>
      <c r="J5824">
        <v>-283.40249999999997</v>
      </c>
      <c r="K5824">
        <v>1.126371</v>
      </c>
      <c r="L5824">
        <v>-63.738160000000001</v>
      </c>
      <c r="M5824">
        <v>0.99499950000000004</v>
      </c>
      <c r="N5824">
        <v>-1.303705E-2</v>
      </c>
      <c r="O5824">
        <v>-9.9026149999999993E-2</v>
      </c>
      <c r="P5824">
        <v>0.98989249999999995</v>
      </c>
      <c r="Q5824">
        <v>0.14067789999999999</v>
      </c>
      <c r="R5824">
        <v>1.7970150000000001E-2</v>
      </c>
      <c r="S5824">
        <v>3.0540470000000002</v>
      </c>
      <c r="T5824">
        <v>-0.18035770000000001</v>
      </c>
      <c r="U5824">
        <v>0.22625729999999999</v>
      </c>
      <c r="V5824">
        <v>-0.1179764</v>
      </c>
      <c r="W5824">
        <v>0.15190680000000001</v>
      </c>
      <c r="X5824">
        <v>0.98132870000000005</v>
      </c>
      <c r="Y5824">
        <v>-0.17181440000000001</v>
      </c>
      <c r="Z5824">
        <v>1.0728959999999999E-2</v>
      </c>
      <c r="AA5824">
        <v>0.98507089999999997</v>
      </c>
      <c r="AB5824">
        <v>31</v>
      </c>
      <c r="AC5824">
        <v>18.935899999999901</v>
      </c>
      <c r="AD5824">
        <v>-1.126372434356</v>
      </c>
      <c r="AE5824">
        <v>1.4267799999999899</v>
      </c>
      <c r="AF5824">
        <v>-3.2835220198074402</v>
      </c>
      <c r="AG5824">
        <v>-1.126372434356</v>
      </c>
      <c r="AH5824">
        <v>18.635943550982098</v>
      </c>
      <c r="AI5824">
        <v>93.406454068710602</v>
      </c>
      <c r="AJ5824">
        <v>99.992552443343499</v>
      </c>
      <c r="AK5824">
        <v>18.956492918016998</v>
      </c>
      <c r="AL5824">
        <v>81.262555938426303</v>
      </c>
      <c r="AM5824">
        <v>96.855260443680606</v>
      </c>
      <c r="AN5824">
        <v>1.0000000621434399</v>
      </c>
    </row>
    <row r="5825" spans="1:40" x14ac:dyDescent="0.25">
      <c r="A5825" t="str">
        <f>"20190303162936068"</f>
        <v>20190303162936068</v>
      </c>
      <c r="B5825" t="str">
        <f>"1551601776057630"</f>
        <v>1551601776057630</v>
      </c>
      <c r="C5825" t="s">
        <v>40</v>
      </c>
      <c r="D5825">
        <v>5.3585599999999998</v>
      </c>
      <c r="E5825">
        <v>0.47479179999999999</v>
      </c>
      <c r="F5825" t="s">
        <v>41</v>
      </c>
      <c r="G5825">
        <v>-265.04969999999997</v>
      </c>
      <c r="H5825" s="1">
        <v>-1.6925760000000001E-6</v>
      </c>
      <c r="I5825">
        <v>-62.341839999999998</v>
      </c>
      <c r="J5825">
        <v>-283.2509</v>
      </c>
      <c r="K5825">
        <v>1.1258349999999999</v>
      </c>
      <c r="L5825">
        <v>-63.751620000000003</v>
      </c>
      <c r="M5825">
        <v>0.99517449999999996</v>
      </c>
      <c r="N5825">
        <v>-1.296807E-2</v>
      </c>
      <c r="O5825">
        <v>-9.7260170000000007E-2</v>
      </c>
      <c r="P5825">
        <v>0.99000480000000002</v>
      </c>
      <c r="Q5825">
        <v>0.1395072</v>
      </c>
      <c r="R5825">
        <v>2.0695640000000001E-2</v>
      </c>
      <c r="S5825">
        <v>3.0530400000000002</v>
      </c>
      <c r="T5825">
        <v>-0.1873744</v>
      </c>
      <c r="U5825">
        <v>0.23226930000000001</v>
      </c>
      <c r="V5825">
        <v>-0.118741899999999</v>
      </c>
      <c r="W5825">
        <v>0.1508099</v>
      </c>
      <c r="X5825">
        <v>0.98140550000000004</v>
      </c>
      <c r="Y5825">
        <v>-0.17198359999999999</v>
      </c>
      <c r="Z5825">
        <v>1.107757E-2</v>
      </c>
      <c r="AA5825">
        <v>0.98503750000000001</v>
      </c>
      <c r="AB5825">
        <v>31</v>
      </c>
      <c r="AC5825">
        <v>18.2012</v>
      </c>
      <c r="AD5825">
        <v>-1.1258366925759999</v>
      </c>
      <c r="AE5825">
        <v>1.40977999999999</v>
      </c>
      <c r="AF5825">
        <v>-3.1614719555052901</v>
      </c>
      <c r="AG5825">
        <v>-1.1258366925759999</v>
      </c>
      <c r="AH5825">
        <v>17.9096518265825</v>
      </c>
      <c r="AI5825">
        <v>93.542369853340503</v>
      </c>
      <c r="AJ5825">
        <v>100.010912177492</v>
      </c>
      <c r="AK5825">
        <v>18.2213622359364</v>
      </c>
      <c r="AL5825">
        <v>81.326135734215995</v>
      </c>
      <c r="AM5825">
        <v>96.898779311389106</v>
      </c>
      <c r="AN5825">
        <v>1.00000001009193</v>
      </c>
    </row>
    <row r="5826" spans="1:40" x14ac:dyDescent="0.25">
      <c r="A5826" t="str">
        <f>"20190303162936079"</f>
        <v>20190303162936079</v>
      </c>
      <c r="B5826" t="str">
        <f>"1551601776067389"</f>
        <v>1551601776067389</v>
      </c>
      <c r="C5826" t="s">
        <v>40</v>
      </c>
      <c r="D5826">
        <v>5.4098649999999999</v>
      </c>
      <c r="E5826">
        <v>0.47479179999999999</v>
      </c>
      <c r="F5826" t="s">
        <v>41</v>
      </c>
      <c r="G5826">
        <v>-265.2319</v>
      </c>
      <c r="H5826" s="1">
        <v>-1.772441E-6</v>
      </c>
      <c r="I5826">
        <v>-62.348219999999998</v>
      </c>
      <c r="J5826">
        <v>-283.09840000000003</v>
      </c>
      <c r="K5826">
        <v>1.1253230000000001</v>
      </c>
      <c r="L5826">
        <v>-63.76511</v>
      </c>
      <c r="M5826">
        <v>0.99531499999999995</v>
      </c>
      <c r="N5826">
        <v>-1.290096E-2</v>
      </c>
      <c r="O5826">
        <v>-9.582214E-2</v>
      </c>
      <c r="P5826">
        <v>0.99012909999999998</v>
      </c>
      <c r="Q5826">
        <v>0.13819000000000001</v>
      </c>
      <c r="R5826">
        <v>2.3419519999999999E-2</v>
      </c>
      <c r="S5826">
        <v>3.0521240000000001</v>
      </c>
      <c r="T5826">
        <v>-0.1906978</v>
      </c>
      <c r="U5826">
        <v>0.23770140000000001</v>
      </c>
      <c r="V5826">
        <v>-0.11984069999999999</v>
      </c>
      <c r="W5826">
        <v>0.1495611</v>
      </c>
      <c r="X5826">
        <v>0.98146299999999997</v>
      </c>
      <c r="Y5826">
        <v>-0.1723083</v>
      </c>
      <c r="Z5826">
        <v>1.1221210000000001E-2</v>
      </c>
      <c r="AA5826">
        <v>0.98497920000000005</v>
      </c>
      <c r="AB5826">
        <v>31</v>
      </c>
      <c r="AC5826">
        <v>17.866499999999998</v>
      </c>
      <c r="AD5826">
        <v>-1.1253247724409901</v>
      </c>
      <c r="AE5826">
        <v>1.41689</v>
      </c>
      <c r="AF5826">
        <v>-3.1102558932406299</v>
      </c>
      <c r="AG5826">
        <v>-1.1253247724409901</v>
      </c>
      <c r="AH5826">
        <v>17.579189258491201</v>
      </c>
      <c r="AI5826">
        <v>93.6069005341988</v>
      </c>
      <c r="AJ5826">
        <v>100.033410169858</v>
      </c>
      <c r="AK5826">
        <v>17.887647764610101</v>
      </c>
      <c r="AL5826">
        <v>81.398507198032604</v>
      </c>
      <c r="AM5826">
        <v>96.9615908682471</v>
      </c>
      <c r="AN5826">
        <v>0.999999968189349</v>
      </c>
    </row>
    <row r="5827" spans="1:40" x14ac:dyDescent="0.25">
      <c r="A5827" t="str">
        <f>"20190303162936091"</f>
        <v>20190303162936091</v>
      </c>
      <c r="B5827" t="str">
        <f>"1551601776078126"</f>
        <v>1551601776078126</v>
      </c>
      <c r="C5827" t="s">
        <v>40</v>
      </c>
      <c r="D5827">
        <v>5.4126709999999996</v>
      </c>
      <c r="E5827">
        <v>0.4846008</v>
      </c>
      <c r="F5827" t="s">
        <v>41</v>
      </c>
      <c r="G5827">
        <v>-265.47969999999998</v>
      </c>
      <c r="H5827" s="1">
        <v>-1.8783690000000001E-6</v>
      </c>
      <c r="I5827">
        <v>-62.346699999999998</v>
      </c>
      <c r="J5827">
        <v>-282.9366</v>
      </c>
      <c r="K5827">
        <v>1.1248129999999901</v>
      </c>
      <c r="L5827">
        <v>-63.779359999999997</v>
      </c>
      <c r="M5827">
        <v>0.99542459999999999</v>
      </c>
      <c r="N5827">
        <v>-1.283335E-2</v>
      </c>
      <c r="O5827">
        <v>-9.4686870000000006E-2</v>
      </c>
      <c r="P5827">
        <v>0.9902396</v>
      </c>
      <c r="Q5827">
        <v>0.1368499</v>
      </c>
      <c r="R5827">
        <v>2.6423539999999999E-2</v>
      </c>
      <c r="S5827">
        <v>3.0512999999999999</v>
      </c>
      <c r="T5827">
        <v>-0.19489010000000001</v>
      </c>
      <c r="U5827">
        <v>0.24563599999999999</v>
      </c>
      <c r="V5827">
        <v>-0.1215171</v>
      </c>
      <c r="W5827">
        <v>0.14828749999999999</v>
      </c>
      <c r="X5827">
        <v>0.98145009999999999</v>
      </c>
      <c r="Y5827">
        <v>-0.1737255</v>
      </c>
      <c r="Z5827">
        <v>1.1469750000000001E-2</v>
      </c>
      <c r="AA5827">
        <v>0.98472729999999997</v>
      </c>
      <c r="AB5827">
        <v>31</v>
      </c>
      <c r="AC5827">
        <v>17.456900000000001</v>
      </c>
      <c r="AD5827">
        <v>-1.12481487836899</v>
      </c>
      <c r="AE5827">
        <v>1.4326599999999901</v>
      </c>
      <c r="AF5827">
        <v>-3.0666504551551901</v>
      </c>
      <c r="AG5827">
        <v>-1.12481487836899</v>
      </c>
      <c r="AH5827">
        <v>17.171973607125398</v>
      </c>
      <c r="AI5827">
        <v>93.689482009636507</v>
      </c>
      <c r="AJ5827">
        <v>100.125404349383</v>
      </c>
      <c r="AK5827">
        <v>17.479880751553001</v>
      </c>
      <c r="AL5827">
        <v>81.472301814314804</v>
      </c>
      <c r="AM5827">
        <v>97.058089890853594</v>
      </c>
      <c r="AN5827">
        <v>0.99999994351933297</v>
      </c>
    </row>
    <row r="5828" spans="1:40" x14ac:dyDescent="0.25">
      <c r="A5828" t="str">
        <f>"20190303162936103"</f>
        <v>20190303162936103</v>
      </c>
      <c r="B5828" t="str">
        <f>"1551601776097645"</f>
        <v>1551601776097645</v>
      </c>
      <c r="C5828" t="s">
        <v>40</v>
      </c>
      <c r="D5828">
        <v>5.4087500000000004</v>
      </c>
      <c r="E5828">
        <v>0.48569560000000001</v>
      </c>
      <c r="F5828" t="s">
        <v>41</v>
      </c>
      <c r="G5828">
        <v>-263.73559999999998</v>
      </c>
      <c r="H5828" s="1">
        <v>-1.2155249999999999E-6</v>
      </c>
      <c r="I5828">
        <v>-62.667520000000003</v>
      </c>
      <c r="J5828">
        <v>-282.7731</v>
      </c>
      <c r="K5828">
        <v>1.1243129999999999</v>
      </c>
      <c r="L5828">
        <v>-63.793790000000001</v>
      </c>
      <c r="M5828">
        <v>0.99551670000000003</v>
      </c>
      <c r="N5828">
        <v>-1.276712E-2</v>
      </c>
      <c r="O5828">
        <v>-9.3722849999999996E-2</v>
      </c>
      <c r="P5828">
        <v>0.99032679999999995</v>
      </c>
      <c r="Q5828">
        <v>0.13562939999999901</v>
      </c>
      <c r="R5828">
        <v>2.9284560000000001E-2</v>
      </c>
      <c r="S5828">
        <v>3.0495610000000002</v>
      </c>
      <c r="T5828">
        <v>-0.1786462</v>
      </c>
      <c r="U5828">
        <v>0.1765747</v>
      </c>
      <c r="V5828">
        <v>-0.123225399999999</v>
      </c>
      <c r="W5828">
        <v>0.14713679999999901</v>
      </c>
      <c r="X5828">
        <v>0.98141029999999996</v>
      </c>
      <c r="Y5828">
        <v>-0.15071229999999999</v>
      </c>
      <c r="Z5828">
        <v>9.6543299999999992E-3</v>
      </c>
      <c r="AA5828">
        <v>0.98853049999999998</v>
      </c>
      <c r="AB5828">
        <v>31</v>
      </c>
      <c r="AC5828">
        <v>19.037500000000001</v>
      </c>
      <c r="AD5828">
        <v>-1.1243142155250001</v>
      </c>
      <c r="AE5828">
        <v>1.1262700000000001</v>
      </c>
      <c r="AF5828">
        <v>-2.89564120298924</v>
      </c>
      <c r="AG5828">
        <v>-1.1243142155250001</v>
      </c>
      <c r="AH5828">
        <v>18.782840766210199</v>
      </c>
      <c r="AI5828">
        <v>93.385654905979607</v>
      </c>
      <c r="AJ5828">
        <v>98.763961535413102</v>
      </c>
      <c r="AK5828">
        <v>19.037960176460299</v>
      </c>
      <c r="AL5828">
        <v>81.538963441253699</v>
      </c>
      <c r="AM5828">
        <v>97.156578748823605</v>
      </c>
      <c r="AN5828">
        <v>0.99999995703274402</v>
      </c>
    </row>
    <row r="5829" spans="1:40" x14ac:dyDescent="0.25">
      <c r="A5829" t="str">
        <f>"20190303162936114"</f>
        <v>20190303162936114</v>
      </c>
      <c r="B5829" t="str">
        <f>"1551601776107406"</f>
        <v>1551601776107406</v>
      </c>
      <c r="C5829" t="s">
        <v>40</v>
      </c>
      <c r="D5829">
        <v>5.4117759999999997</v>
      </c>
      <c r="E5829">
        <v>0.48611939999999998</v>
      </c>
      <c r="F5829" t="s">
        <v>41</v>
      </c>
      <c r="G5829">
        <v>-263.4606</v>
      </c>
      <c r="H5829" s="1">
        <v>-1.1008239999999999E-6</v>
      </c>
      <c r="I5829">
        <v>-62.679900000000004</v>
      </c>
      <c r="J5829">
        <v>-282.61860000000001</v>
      </c>
      <c r="K5829">
        <v>1.1238790000000001</v>
      </c>
      <c r="L5829">
        <v>-63.80753</v>
      </c>
      <c r="M5829">
        <v>0.99556310000000003</v>
      </c>
      <c r="N5829">
        <v>-1.270922E-2</v>
      </c>
      <c r="O5829">
        <v>-9.3236289999999999E-2</v>
      </c>
      <c r="P5829">
        <v>0.99038300000000001</v>
      </c>
      <c r="Q5829">
        <v>0.13470960000000001</v>
      </c>
      <c r="R5829">
        <v>3.1543069999999999E-2</v>
      </c>
      <c r="S5829">
        <v>3.0484010000000001</v>
      </c>
      <c r="T5829">
        <v>-0.17746809999999999</v>
      </c>
      <c r="U5829">
        <v>0.17581179999999999</v>
      </c>
      <c r="V5829">
        <v>-0.124832399999999</v>
      </c>
      <c r="W5829">
        <v>0.146278399999999</v>
      </c>
      <c r="X5829">
        <v>0.98133559999999997</v>
      </c>
      <c r="Y5829">
        <v>-0.15001120000000001</v>
      </c>
      <c r="Z5829">
        <v>9.5471629999999991E-3</v>
      </c>
      <c r="AA5829">
        <v>0.98863820000000002</v>
      </c>
      <c r="AB5829">
        <v>31</v>
      </c>
      <c r="AC5829">
        <v>19.158000000000001</v>
      </c>
      <c r="AD5829">
        <v>-1.123880100824</v>
      </c>
      <c r="AE5829">
        <v>1.1276299999999999</v>
      </c>
      <c r="AF5829">
        <v>-2.8991392556266899</v>
      </c>
      <c r="AG5829">
        <v>-1.123880100824</v>
      </c>
      <c r="AH5829">
        <v>18.904555761368201</v>
      </c>
      <c r="AI5829">
        <v>93.363018036850207</v>
      </c>
      <c r="AJ5829">
        <v>98.718761964858004</v>
      </c>
      <c r="AK5829">
        <v>19.1585579686787</v>
      </c>
      <c r="AL5829">
        <v>81.588684735494994</v>
      </c>
      <c r="AM5829">
        <v>97.249468165643407</v>
      </c>
      <c r="AN5829">
        <v>1.0000000291118301</v>
      </c>
    </row>
    <row r="5830" spans="1:40" x14ac:dyDescent="0.25">
      <c r="A5830" t="str">
        <f>"20190303162936124"</f>
        <v>20190303162936124</v>
      </c>
      <c r="B5830" t="str">
        <f>"1551601776118142"</f>
        <v>1551601776118142</v>
      </c>
      <c r="C5830" t="s">
        <v>40</v>
      </c>
      <c r="D5830">
        <v>5.4175319999999996</v>
      </c>
      <c r="E5830">
        <v>0.48671959999999997</v>
      </c>
      <c r="F5830" t="s">
        <v>41</v>
      </c>
      <c r="G5830">
        <v>-263.59100000000001</v>
      </c>
      <c r="H5830" s="1">
        <v>-1.1592709999999999E-6</v>
      </c>
      <c r="I5830">
        <v>-62.689320000000002</v>
      </c>
      <c r="J5830">
        <v>-282.4726</v>
      </c>
      <c r="K5830">
        <v>1.123489</v>
      </c>
      <c r="L5830">
        <v>-63.820500000000003</v>
      </c>
      <c r="M5830">
        <v>0.99560110000000002</v>
      </c>
      <c r="N5830">
        <v>-1.265576E-2</v>
      </c>
      <c r="O5830">
        <v>-9.2833529999999997E-2</v>
      </c>
      <c r="P5830">
        <v>0.99039480000000002</v>
      </c>
      <c r="Q5830">
        <v>0.13411579999999901</v>
      </c>
      <c r="R5830">
        <v>3.3630149999999998E-2</v>
      </c>
      <c r="S5830">
        <v>3.0479129999999999</v>
      </c>
      <c r="T5830">
        <v>-0.18002750000000001</v>
      </c>
      <c r="U5830">
        <v>0.17910770000000001</v>
      </c>
      <c r="V5830">
        <v>-0.12636459999999999</v>
      </c>
      <c r="W5830">
        <v>0.1457444</v>
      </c>
      <c r="X5830">
        <v>0.9812189</v>
      </c>
      <c r="Y5830">
        <v>-0.1506729</v>
      </c>
      <c r="Z5830">
        <v>9.6954450000000005E-3</v>
      </c>
      <c r="AA5830">
        <v>0.98853610000000003</v>
      </c>
      <c r="AB5830">
        <v>31</v>
      </c>
      <c r="AC5830">
        <v>18.881599999999899</v>
      </c>
      <c r="AD5830">
        <v>-1.123490159271</v>
      </c>
      <c r="AE5830">
        <v>1.1311800000000001</v>
      </c>
      <c r="AF5830">
        <v>-2.8691586959562598</v>
      </c>
      <c r="AG5830">
        <v>-1.123490159271</v>
      </c>
      <c r="AH5830">
        <v>18.6293089247301</v>
      </c>
      <c r="AI5830">
        <v>93.411073152411504</v>
      </c>
      <c r="AJ5830">
        <v>98.755509412262498</v>
      </c>
      <c r="AK5830">
        <v>18.882411201263199</v>
      </c>
      <c r="AL5830">
        <v>81.619611769050906</v>
      </c>
      <c r="AM5830">
        <v>97.338347813739901</v>
      </c>
      <c r="AN5830">
        <v>0.99999998599086404</v>
      </c>
    </row>
    <row r="5831" spans="1:40" x14ac:dyDescent="0.25">
      <c r="A5831" t="str">
        <f>"20190303162936135"</f>
        <v>20190303162936135</v>
      </c>
      <c r="B5831" t="str">
        <f>"1551601776127902"</f>
        <v>1551601776127902</v>
      </c>
      <c r="C5831" t="s">
        <v>40</v>
      </c>
      <c r="D5831">
        <v>5.4130120000000002</v>
      </c>
      <c r="E5831">
        <v>0.48709520000000001</v>
      </c>
      <c r="F5831" t="s">
        <v>41</v>
      </c>
      <c r="G5831">
        <v>-263.3417</v>
      </c>
      <c r="H5831" s="1">
        <v>-1.0501520000000001E-6</v>
      </c>
      <c r="I5831">
        <v>-62.68121</v>
      </c>
      <c r="J5831">
        <v>-282.33069999999998</v>
      </c>
      <c r="K5831">
        <v>1.123149</v>
      </c>
      <c r="L5831">
        <v>-63.83325</v>
      </c>
      <c r="M5831">
        <v>0.99561699999999997</v>
      </c>
      <c r="N5831">
        <v>-1.260698E-2</v>
      </c>
      <c r="O5831">
        <v>-9.2670950000000002E-2</v>
      </c>
      <c r="P5831">
        <v>0.99040110000000003</v>
      </c>
      <c r="Q5831">
        <v>0.13373350000000001</v>
      </c>
      <c r="R5831">
        <v>3.4942599999999997E-2</v>
      </c>
      <c r="S5831">
        <v>3.0472109999999999</v>
      </c>
      <c r="T5831">
        <v>-0.17895129999999901</v>
      </c>
      <c r="U5831">
        <v>0.18145749999999999</v>
      </c>
      <c r="V5831">
        <v>-0.1273822</v>
      </c>
      <c r="W5831">
        <v>0.1454165</v>
      </c>
      <c r="X5831">
        <v>0.98113600000000001</v>
      </c>
      <c r="Y5831">
        <v>-0.15128800000000001</v>
      </c>
      <c r="Z5831">
        <v>9.6537040000000008E-3</v>
      </c>
      <c r="AA5831">
        <v>0.98844259999999995</v>
      </c>
      <c r="AB5831">
        <v>31</v>
      </c>
      <c r="AC5831">
        <v>18.988999999999901</v>
      </c>
      <c r="AD5831">
        <v>-1.123150050152</v>
      </c>
      <c r="AE5831">
        <v>1.15203999999999</v>
      </c>
      <c r="AF5831">
        <v>-2.8968529917133501</v>
      </c>
      <c r="AG5831">
        <v>-1.123150050152</v>
      </c>
      <c r="AH5831">
        <v>18.735201030221599</v>
      </c>
      <c r="AI5831">
        <v>93.390504515871697</v>
      </c>
      <c r="AJ5831">
        <v>98.789518588389498</v>
      </c>
      <c r="AK5831">
        <v>18.991076350053699</v>
      </c>
      <c r="AL5831">
        <v>81.638601623212395</v>
      </c>
      <c r="AM5831">
        <v>97.397408924622596</v>
      </c>
      <c r="AN5831">
        <v>1.00000001692254</v>
      </c>
    </row>
    <row r="5832" spans="1:40" x14ac:dyDescent="0.25">
      <c r="A5832" t="str">
        <f>"20190303162936146"</f>
        <v>20190303162936146</v>
      </c>
      <c r="B5832" t="str">
        <f>"1551601776137662"</f>
        <v>1551601776137662</v>
      </c>
      <c r="C5832" t="s">
        <v>40</v>
      </c>
      <c r="D5832">
        <v>5.409656</v>
      </c>
      <c r="E5832">
        <v>0.48770570000000002</v>
      </c>
      <c r="F5832" t="s">
        <v>41</v>
      </c>
      <c r="G5832">
        <v>-262.899</v>
      </c>
      <c r="H5832" s="1">
        <v>-8.5458579999999999E-7</v>
      </c>
      <c r="I5832">
        <v>-62.659959999999998</v>
      </c>
      <c r="J5832">
        <v>-282.17869999999999</v>
      </c>
      <c r="K5832">
        <v>1.1227990000000001</v>
      </c>
      <c r="L5832">
        <v>-63.84695</v>
      </c>
      <c r="M5832">
        <v>0.99562740000000005</v>
      </c>
      <c r="N5832">
        <v>-1.255596E-2</v>
      </c>
      <c r="O5832">
        <v>-9.2565770000000006E-2</v>
      </c>
      <c r="P5832">
        <v>0.99037319999999995</v>
      </c>
      <c r="Q5832">
        <v>0.13373589999999999</v>
      </c>
      <c r="R5832">
        <v>3.5716360000000003E-2</v>
      </c>
      <c r="S5832">
        <v>3.0463559999999998</v>
      </c>
      <c r="T5832">
        <v>-0.17607819999999999</v>
      </c>
      <c r="U5832">
        <v>0.18392939999999999</v>
      </c>
      <c r="V5832">
        <v>-0.12791720000000001</v>
      </c>
      <c r="W5832">
        <v>0.14547739999999901</v>
      </c>
      <c r="X5832">
        <v>0.98105730000000002</v>
      </c>
      <c r="Y5832">
        <v>-0.1520108</v>
      </c>
      <c r="Z5832">
        <v>9.5196380000000004E-3</v>
      </c>
      <c r="AA5832">
        <v>0.98833300000000002</v>
      </c>
      <c r="AB5832">
        <v>31</v>
      </c>
      <c r="AC5832">
        <v>19.279699999999899</v>
      </c>
      <c r="AD5832">
        <v>-1.12279985458579</v>
      </c>
      <c r="AE5832">
        <v>1.18699</v>
      </c>
      <c r="AF5832">
        <v>-2.95668390215498</v>
      </c>
      <c r="AG5832">
        <v>-1.12279985458579</v>
      </c>
      <c r="AH5832">
        <v>19.0227537441306</v>
      </c>
      <c r="AI5832">
        <v>93.337923452423695</v>
      </c>
      <c r="AJ5832">
        <v>98.834723787650404</v>
      </c>
      <c r="AK5832">
        <v>19.283874590459099</v>
      </c>
      <c r="AL5832">
        <v>81.635074283990406</v>
      </c>
      <c r="AM5832">
        <v>97.428720710379395</v>
      </c>
      <c r="AN5832">
        <v>0.99999995492494398</v>
      </c>
    </row>
    <row r="5833" spans="1:40" x14ac:dyDescent="0.25">
      <c r="A5833" t="str">
        <f>"20190303162936158"</f>
        <v>20190303162936158</v>
      </c>
      <c r="B5833" t="str">
        <f>"1551601776147422"</f>
        <v>1551601776147422</v>
      </c>
      <c r="C5833" t="s">
        <v>40</v>
      </c>
      <c r="D5833">
        <v>5.4147619999999996</v>
      </c>
      <c r="E5833">
        <v>0.4881818</v>
      </c>
      <c r="F5833" t="s">
        <v>41</v>
      </c>
      <c r="G5833">
        <v>-262.31740000000002</v>
      </c>
      <c r="H5833" s="1">
        <v>-6.0362869999999996E-7</v>
      </c>
      <c r="I5833">
        <v>-62.65448</v>
      </c>
      <c r="J5833">
        <v>-282.02519999999998</v>
      </c>
      <c r="K5833">
        <v>1.122484</v>
      </c>
      <c r="L5833">
        <v>-63.860900000000001</v>
      </c>
      <c r="M5833">
        <v>0.99562410000000001</v>
      </c>
      <c r="N5833">
        <v>-1.250679E-2</v>
      </c>
      <c r="O5833">
        <v>-9.2608789999999996E-2</v>
      </c>
      <c r="P5833">
        <v>0.99031639999999999</v>
      </c>
      <c r="Q5833">
        <v>0.13401109999999999</v>
      </c>
      <c r="R5833">
        <v>3.6261170000000002E-2</v>
      </c>
      <c r="S5833">
        <v>3.0458370000000001</v>
      </c>
      <c r="T5833">
        <v>-0.17218710000000001</v>
      </c>
      <c r="U5833">
        <v>0.1828613</v>
      </c>
      <c r="V5833">
        <v>-0.12838160000000001</v>
      </c>
      <c r="W5833">
        <v>0.14580290000000001</v>
      </c>
      <c r="X5833">
        <v>0.98094840000000005</v>
      </c>
      <c r="Y5833">
        <v>-0.15173610000000001</v>
      </c>
      <c r="Z5833">
        <v>9.2998960000000002E-3</v>
      </c>
      <c r="AA5833">
        <v>0.98837730000000001</v>
      </c>
      <c r="AB5833">
        <v>31</v>
      </c>
      <c r="AC5833">
        <v>19.707799999999899</v>
      </c>
      <c r="AD5833">
        <v>-1.1224846036287</v>
      </c>
      <c r="AE5833">
        <v>1.2064199999999901</v>
      </c>
      <c r="AF5833">
        <v>-3.0167429522404499</v>
      </c>
      <c r="AG5833">
        <v>-1.1224846036287</v>
      </c>
      <c r="AH5833">
        <v>19.448504121997001</v>
      </c>
      <c r="AI5833">
        <v>93.264252799225005</v>
      </c>
      <c r="AJ5833">
        <v>98.817133456867595</v>
      </c>
      <c r="AK5833">
        <v>19.713067298333101</v>
      </c>
      <c r="AL5833">
        <v>81.616224249584207</v>
      </c>
      <c r="AM5833">
        <v>97.456205973952706</v>
      </c>
      <c r="AN5833">
        <v>1.0000000421647599</v>
      </c>
    </row>
    <row r="5834" spans="1:40" x14ac:dyDescent="0.25">
      <c r="A5834" t="str">
        <f>"20190303162936168"</f>
        <v>20190303162936168</v>
      </c>
      <c r="B5834" t="str">
        <f>"1551601776158158"</f>
        <v>1551601776158158</v>
      </c>
      <c r="C5834" t="s">
        <v>40</v>
      </c>
      <c r="D5834">
        <v>5.3531760000000004</v>
      </c>
      <c r="E5834">
        <v>0.48870970000000002</v>
      </c>
      <c r="F5834" t="s">
        <v>41</v>
      </c>
      <c r="G5834">
        <v>-261.9538</v>
      </c>
      <c r="H5834" s="1">
        <v>-4.4949269999999998E-7</v>
      </c>
      <c r="I5834">
        <v>-62.6614</v>
      </c>
      <c r="J5834">
        <v>-281.87610000000001</v>
      </c>
      <c r="K5834">
        <v>1.122212</v>
      </c>
      <c r="L5834">
        <v>-63.874569999999999</v>
      </c>
      <c r="M5834">
        <v>0.99561409999999995</v>
      </c>
      <c r="N5834">
        <v>-1.2460809999999999E-2</v>
      </c>
      <c r="O5834">
        <v>-9.2722120000000005E-2</v>
      </c>
      <c r="P5834">
        <v>0.99025169999999996</v>
      </c>
      <c r="Q5834">
        <v>0.134472799999999</v>
      </c>
      <c r="R5834">
        <v>3.6311360000000001E-2</v>
      </c>
      <c r="S5834">
        <v>3.045715</v>
      </c>
      <c r="T5834">
        <v>-0.17033019999999999</v>
      </c>
      <c r="U5834">
        <v>0.1820068</v>
      </c>
      <c r="V5834">
        <v>-0.128437</v>
      </c>
      <c r="W5834">
        <v>0.1463071</v>
      </c>
      <c r="X5834">
        <v>0.98086600000000002</v>
      </c>
      <c r="Y5834">
        <v>-0.151583</v>
      </c>
      <c r="Z5834">
        <v>9.1983489999999998E-3</v>
      </c>
      <c r="AA5834">
        <v>0.98840170000000005</v>
      </c>
      <c r="AB5834">
        <v>31</v>
      </c>
      <c r="AC5834">
        <v>19.9223</v>
      </c>
      <c r="AD5834">
        <v>-1.1222124494926999</v>
      </c>
      <c r="AE5834">
        <v>1.2131699999999901</v>
      </c>
      <c r="AF5834">
        <v>-3.0456957947343799</v>
      </c>
      <c r="AG5834">
        <v>-1.1222124494926999</v>
      </c>
      <c r="AH5834">
        <v>19.6618088627168</v>
      </c>
      <c r="AI5834">
        <v>93.228236597874101</v>
      </c>
      <c r="AJ5834">
        <v>98.805369968077898</v>
      </c>
      <c r="AK5834">
        <v>19.9279289292658</v>
      </c>
      <c r="AL5834">
        <v>81.587021963780799</v>
      </c>
      <c r="AM5834">
        <v>97.460006879828697</v>
      </c>
      <c r="AN5834">
        <v>0.99999997021770404</v>
      </c>
    </row>
    <row r="5835" spans="1:40" x14ac:dyDescent="0.25">
      <c r="A5835" t="str">
        <f>"20190303162936179"</f>
        <v>20190303162936179</v>
      </c>
      <c r="B5835" t="str">
        <f>"1551601776167918"</f>
        <v>1551601776167918</v>
      </c>
      <c r="C5835" t="s">
        <v>40</v>
      </c>
      <c r="D5835">
        <v>5.4111580000000004</v>
      </c>
      <c r="E5835">
        <v>0.48870970000000002</v>
      </c>
      <c r="F5835" t="s">
        <v>63</v>
      </c>
      <c r="G5835">
        <v>-261.19799999999998</v>
      </c>
      <c r="H5835" s="1">
        <v>-1.2506059999999999E-7</v>
      </c>
      <c r="I5835">
        <v>-62.660640000000001</v>
      </c>
      <c r="J5835">
        <v>-281.72059999999999</v>
      </c>
      <c r="K5835">
        <v>1.121956</v>
      </c>
      <c r="L5835">
        <v>-63.888890000000004</v>
      </c>
      <c r="M5835">
        <v>0.99559710000000001</v>
      </c>
      <c r="N5835">
        <v>-1.241452E-2</v>
      </c>
      <c r="O5835">
        <v>-9.2909599999999995E-2</v>
      </c>
      <c r="P5835">
        <v>0.99011830000000001</v>
      </c>
      <c r="Q5835">
        <v>0.13545189999999999</v>
      </c>
      <c r="R5835">
        <v>3.6311349999999999E-2</v>
      </c>
      <c r="S5835">
        <v>3.0453800000000002</v>
      </c>
      <c r="T5835">
        <v>-0.16527459999999999</v>
      </c>
      <c r="U5835">
        <v>0.17877199999999999</v>
      </c>
      <c r="V5835">
        <v>-0.12851660000000001</v>
      </c>
      <c r="W5835">
        <v>0.1473217</v>
      </c>
      <c r="X5835">
        <v>0.98070369999999996</v>
      </c>
      <c r="Y5835">
        <v>-0.15075239999999901</v>
      </c>
      <c r="Z5835">
        <v>8.9015489999999999E-3</v>
      </c>
      <c r="AA5835">
        <v>0.98853150000000001</v>
      </c>
      <c r="AB5835">
        <v>31</v>
      </c>
      <c r="AC5835">
        <v>20.522600000000001</v>
      </c>
      <c r="AD5835">
        <v>-1.1219561250606001</v>
      </c>
      <c r="AE5835">
        <v>1.2282500000000001</v>
      </c>
      <c r="AF5835">
        <v>-3.1205368847228301</v>
      </c>
      <c r="AG5835">
        <v>-1.1219561250606001</v>
      </c>
      <c r="AH5835">
        <v>20.259358060557801</v>
      </c>
      <c r="AI5835">
        <v>93.132910804783293</v>
      </c>
      <c r="AJ5835">
        <v>98.756418781156498</v>
      </c>
      <c r="AK5835">
        <v>20.528958205943301</v>
      </c>
      <c r="AL5835">
        <v>81.528252870402696</v>
      </c>
      <c r="AM5835">
        <v>97.465799567955401</v>
      </c>
      <c r="AN5835">
        <v>0.99999997348006897</v>
      </c>
    </row>
    <row r="5836" spans="1:40" x14ac:dyDescent="0.25">
      <c r="A5836" t="str">
        <f>"20190303162936193"</f>
        <v>20190303162936193</v>
      </c>
      <c r="B5836" t="str">
        <f>"1551601776187438"</f>
        <v>1551601776187438</v>
      </c>
      <c r="C5836" t="s">
        <v>40</v>
      </c>
      <c r="D5836">
        <v>5.2093639999999999</v>
      </c>
      <c r="E5836">
        <v>0.49027539999999997</v>
      </c>
      <c r="F5836" t="s">
        <v>63</v>
      </c>
      <c r="G5836">
        <v>-260.65260000000001</v>
      </c>
      <c r="H5836" s="1">
        <v>1.1249019999999999E-7</v>
      </c>
      <c r="I5836">
        <v>-62.647289999999998</v>
      </c>
      <c r="J5836">
        <v>-281.55290000000002</v>
      </c>
      <c r="K5836">
        <v>1.1217379999999999</v>
      </c>
      <c r="L5836">
        <v>-63.90448</v>
      </c>
      <c r="M5836">
        <v>0.9955735</v>
      </c>
      <c r="N5836">
        <v>-1.2367909999999999E-2</v>
      </c>
      <c r="O5836">
        <v>-9.3169950000000001E-2</v>
      </c>
      <c r="P5836">
        <v>0.99000639999999995</v>
      </c>
      <c r="Q5836">
        <v>0.1363627</v>
      </c>
      <c r="R5836">
        <v>3.5956050000000003E-2</v>
      </c>
      <c r="S5836">
        <v>3.045563</v>
      </c>
      <c r="T5836">
        <v>-0.16218840000000001</v>
      </c>
      <c r="U5836">
        <v>0.17947389999999999</v>
      </c>
      <c r="V5836">
        <v>-0.12832679999999999</v>
      </c>
      <c r="W5836">
        <v>0.1482588</v>
      </c>
      <c r="X5836">
        <v>0.9805874</v>
      </c>
      <c r="Y5836">
        <v>-0.1512464</v>
      </c>
      <c r="Z5836">
        <v>8.7585279999999998E-3</v>
      </c>
      <c r="AA5836">
        <v>0.98845729999999998</v>
      </c>
      <c r="AB5836">
        <v>31</v>
      </c>
      <c r="AC5836">
        <v>20.900300000000001</v>
      </c>
      <c r="AD5836">
        <v>-1.1217378875098001</v>
      </c>
      <c r="AE5836">
        <v>1.25719</v>
      </c>
      <c r="AF5836">
        <v>-3.1899934685096798</v>
      </c>
      <c r="AG5836">
        <v>-1.1217378875098001</v>
      </c>
      <c r="AH5836">
        <v>20.6330126247768</v>
      </c>
      <c r="AI5836">
        <v>93.075421028342504</v>
      </c>
      <c r="AJ5836">
        <v>98.788702815873705</v>
      </c>
      <c r="AK5836">
        <v>20.9082654515291</v>
      </c>
      <c r="AL5836">
        <v>81.473965447644602</v>
      </c>
      <c r="AM5836">
        <v>97.4557720179873</v>
      </c>
      <c r="AN5836">
        <v>1.0000000442072099</v>
      </c>
    </row>
    <row r="5837" spans="1:40" x14ac:dyDescent="0.25">
      <c r="A5837" t="str">
        <f>"20190303162936203"</f>
        <v>20190303162936203</v>
      </c>
      <c r="B5837" t="str">
        <f>"1551601776198173"</f>
        <v>1551601776198173</v>
      </c>
      <c r="C5837" t="s">
        <v>40</v>
      </c>
      <c r="D5837">
        <v>5.0683179999999997</v>
      </c>
      <c r="E5837">
        <v>0.49077530000000003</v>
      </c>
      <c r="F5837" t="s">
        <v>64</v>
      </c>
      <c r="G5837">
        <v>-259.39490000000001</v>
      </c>
      <c r="H5837" s="1">
        <v>-3.528547E-6</v>
      </c>
      <c r="I5837">
        <v>-62.690379999999998</v>
      </c>
      <c r="J5837">
        <v>-281.40449999999998</v>
      </c>
      <c r="K5837">
        <v>1.121561</v>
      </c>
      <c r="L5837">
        <v>-63.918329999999997</v>
      </c>
      <c r="M5837">
        <v>0.99555079999999996</v>
      </c>
      <c r="N5837">
        <v>-1.232756E-2</v>
      </c>
      <c r="O5837">
        <v>-9.3416680000000002E-2</v>
      </c>
      <c r="P5837">
        <v>0.98981430000000004</v>
      </c>
      <c r="Q5837">
        <v>0.13794239999999999</v>
      </c>
      <c r="R5837">
        <v>3.5206960000000002E-2</v>
      </c>
      <c r="S5837">
        <v>3.045471</v>
      </c>
      <c r="T5837">
        <v>-0.154175799999999</v>
      </c>
      <c r="U5837">
        <v>0.16687009999999999</v>
      </c>
      <c r="V5837">
        <v>-0.12773960000000001</v>
      </c>
      <c r="W5837">
        <v>0.1498572</v>
      </c>
      <c r="X5837">
        <v>0.98042099999999999</v>
      </c>
      <c r="Y5837">
        <v>-0.147452799999999</v>
      </c>
      <c r="Z5837">
        <v>8.2072099999999995E-3</v>
      </c>
      <c r="AA5837">
        <v>0.989035</v>
      </c>
      <c r="AB5837">
        <v>31</v>
      </c>
      <c r="AC5837">
        <v>22.009599999999899</v>
      </c>
      <c r="AD5837">
        <v>-1.121564528547</v>
      </c>
      <c r="AE5837">
        <v>1.2279500000000001</v>
      </c>
      <c r="AF5837">
        <v>-3.2703336739885902</v>
      </c>
      <c r="AG5837">
        <v>-1.121564528547</v>
      </c>
      <c r="AH5837">
        <v>21.742336403892999</v>
      </c>
      <c r="AI5837">
        <v>92.920158372373095</v>
      </c>
      <c r="AJ5837">
        <v>98.553916008686599</v>
      </c>
      <c r="AK5837">
        <v>22.0154986686873</v>
      </c>
      <c r="AL5837">
        <v>81.381348482480107</v>
      </c>
      <c r="AM5837">
        <v>97.423282643880299</v>
      </c>
      <c r="AN5837">
        <v>0.99999996152049897</v>
      </c>
    </row>
    <row r="5838" spans="1:40" x14ac:dyDescent="0.25">
      <c r="A5838" t="str">
        <f>"20190303162936215"</f>
        <v>20190303162936215</v>
      </c>
      <c r="B5838" t="str">
        <f>"1551601776207934"</f>
        <v>1551601776207934</v>
      </c>
      <c r="C5838" t="s">
        <v>40</v>
      </c>
      <c r="D5838">
        <v>5.4037259999999998</v>
      </c>
      <c r="E5838">
        <v>0.49121949999999998</v>
      </c>
      <c r="F5838" t="s">
        <v>64</v>
      </c>
      <c r="G5838">
        <v>-258.40269999999998</v>
      </c>
      <c r="H5838" s="1">
        <v>-3.1918609999999999E-6</v>
      </c>
      <c r="I5838">
        <v>-62.697539999999996</v>
      </c>
      <c r="J5838">
        <v>-281.23739999999998</v>
      </c>
      <c r="K5838">
        <v>1.121426</v>
      </c>
      <c r="L5838">
        <v>-63.934019999999997</v>
      </c>
      <c r="M5838">
        <v>0.99552490000000005</v>
      </c>
      <c r="N5838">
        <v>-1.2286450000000001E-2</v>
      </c>
      <c r="O5838">
        <v>-9.3698519999999993E-2</v>
      </c>
      <c r="P5838">
        <v>0.98972309999999997</v>
      </c>
      <c r="Q5838">
        <v>0.13892070000000001</v>
      </c>
      <c r="R5838">
        <v>3.3907529999999998E-2</v>
      </c>
      <c r="S5838">
        <v>3.045776</v>
      </c>
      <c r="T5838">
        <v>-0.14851139999999999</v>
      </c>
      <c r="U5838">
        <v>0.16165160000000001</v>
      </c>
      <c r="V5838">
        <v>-0.12666430000000001</v>
      </c>
      <c r="W5838">
        <v>0.150841</v>
      </c>
      <c r="X5838">
        <v>0.98040970000000005</v>
      </c>
      <c r="Y5838">
        <v>-0.1460612</v>
      </c>
      <c r="Z5838">
        <v>7.8650660000000004E-3</v>
      </c>
      <c r="AA5838">
        <v>0.98924429999999997</v>
      </c>
      <c r="AB5838">
        <v>31</v>
      </c>
      <c r="AC5838">
        <v>22.834700000000002</v>
      </c>
      <c r="AD5838">
        <v>-1.121429191861</v>
      </c>
      <c r="AE5838">
        <v>1.23647999999999</v>
      </c>
      <c r="AF5838">
        <v>-3.3626916741783801</v>
      </c>
      <c r="AG5838">
        <v>-1.121429191861</v>
      </c>
      <c r="AH5838">
        <v>22.5640986663315</v>
      </c>
      <c r="AI5838">
        <v>92.814213920519506</v>
      </c>
      <c r="AJ5838">
        <v>98.476314645618203</v>
      </c>
      <c r="AK5838">
        <v>22.840837273442698</v>
      </c>
      <c r="AL5838">
        <v>81.324333267195996</v>
      </c>
      <c r="AM5838">
        <v>97.361566344880302</v>
      </c>
      <c r="AN5838">
        <v>1.0000000160147899</v>
      </c>
    </row>
    <row r="5839" spans="1:40" x14ac:dyDescent="0.25">
      <c r="A5839" t="str">
        <f>"20190303162936226"</f>
        <v>20190303162936226</v>
      </c>
      <c r="B5839" t="str">
        <f>"1551601776217694"</f>
        <v>1551601776217694</v>
      </c>
      <c r="C5839" t="s">
        <v>40</v>
      </c>
      <c r="D5839">
        <v>5.2144969999999997</v>
      </c>
      <c r="E5839">
        <v>0.49159350000000002</v>
      </c>
      <c r="F5839" t="s">
        <v>64</v>
      </c>
      <c r="G5839">
        <v>-257.54430000000002</v>
      </c>
      <c r="H5839" s="1">
        <v>-2.893382E-6</v>
      </c>
      <c r="I5839">
        <v>-62.725549999999998</v>
      </c>
      <c r="J5839">
        <v>-281.08699999999999</v>
      </c>
      <c r="K5839">
        <v>1.1213229999999901</v>
      </c>
      <c r="L5839">
        <v>-63.948210000000003</v>
      </c>
      <c r="M5839">
        <v>0.99550280000000002</v>
      </c>
      <c r="N5839">
        <v>-1.225069E-2</v>
      </c>
      <c r="O5839">
        <v>-9.3938170000000001E-2</v>
      </c>
      <c r="P5839">
        <v>0.98963140000000005</v>
      </c>
      <c r="Q5839">
        <v>0.13989960000000001</v>
      </c>
      <c r="R5839">
        <v>3.2530299999999998E-2</v>
      </c>
      <c r="S5839">
        <v>3.0460820000000002</v>
      </c>
      <c r="T5839">
        <v>-0.14417550000000001</v>
      </c>
      <c r="U5839">
        <v>0.155365</v>
      </c>
      <c r="V5839">
        <v>-0.1254797</v>
      </c>
      <c r="W5839">
        <v>0.1518205</v>
      </c>
      <c r="X5839">
        <v>0.98041080000000003</v>
      </c>
      <c r="Y5839">
        <v>-0.14427609999999999</v>
      </c>
      <c r="Z5839">
        <v>7.5836319999999999E-3</v>
      </c>
      <c r="AA5839">
        <v>0.98950839999999995</v>
      </c>
      <c r="AB5839">
        <v>31</v>
      </c>
      <c r="AC5839">
        <v>23.5426999999999</v>
      </c>
      <c r="AD5839">
        <v>-1.1213258933819901</v>
      </c>
      <c r="AE5839">
        <v>1.2226599999999901</v>
      </c>
      <c r="AF5839">
        <v>-3.4212360219837401</v>
      </c>
      <c r="AG5839">
        <v>-1.1213258933819901</v>
      </c>
      <c r="AH5839">
        <v>23.271066368490999</v>
      </c>
      <c r="AI5839">
        <v>92.729393248346597</v>
      </c>
      <c r="AJ5839">
        <v>98.363525239459506</v>
      </c>
      <c r="AK5839">
        <v>23.5479246984528</v>
      </c>
      <c r="AL5839">
        <v>81.267557847216395</v>
      </c>
      <c r="AM5839">
        <v>97.293455588279102</v>
      </c>
      <c r="AN5839">
        <v>0.99999997804448904</v>
      </c>
    </row>
    <row r="5840" spans="1:40" x14ac:dyDescent="0.25">
      <c r="A5840" t="str">
        <f>"20190303162936237"</f>
        <v>20190303162936237</v>
      </c>
      <c r="B5840" t="str">
        <f>"1551601776227454"</f>
        <v>1551601776227454</v>
      </c>
      <c r="C5840" t="s">
        <v>40</v>
      </c>
      <c r="D5840">
        <v>5.2189639999999997</v>
      </c>
      <c r="E5840">
        <v>0.49159350000000002</v>
      </c>
      <c r="F5840" t="s">
        <v>64</v>
      </c>
      <c r="G5840">
        <v>-256.7303</v>
      </c>
      <c r="H5840" s="1">
        <v>-2.551022E-6</v>
      </c>
      <c r="I5840">
        <v>-62.75629</v>
      </c>
      <c r="J5840">
        <v>-280.94099999999997</v>
      </c>
      <c r="K5840">
        <v>1.1212580000000001</v>
      </c>
      <c r="L5840">
        <v>-63.962009999999999</v>
      </c>
      <c r="M5840">
        <v>0.99548419999999904</v>
      </c>
      <c r="N5840">
        <v>-1.2219020000000001E-2</v>
      </c>
      <c r="O5840">
        <v>-9.4138440000000004E-2</v>
      </c>
      <c r="P5840">
        <v>0.9896239</v>
      </c>
      <c r="Q5840">
        <v>0.14025580000000001</v>
      </c>
      <c r="R5840">
        <v>3.1197699999999998E-2</v>
      </c>
      <c r="S5840">
        <v>3.0463870000000002</v>
      </c>
      <c r="T5840">
        <v>-0.1402487</v>
      </c>
      <c r="U5840">
        <v>0.1490784</v>
      </c>
      <c r="V5840">
        <v>-0.1243238</v>
      </c>
      <c r="W5840">
        <v>0.15216969999999999</v>
      </c>
      <c r="X5840">
        <v>0.98050389999999998</v>
      </c>
      <c r="Y5840">
        <v>-0.1424493</v>
      </c>
      <c r="Z5840">
        <v>7.3236600000000001E-3</v>
      </c>
      <c r="AA5840">
        <v>0.98977499999999996</v>
      </c>
      <c r="AB5840">
        <v>31</v>
      </c>
      <c r="AC5840">
        <v>24.2106999999999</v>
      </c>
      <c r="AD5840">
        <v>-1.121260551022</v>
      </c>
      <c r="AE5840">
        <v>1.2057199999999899</v>
      </c>
      <c r="AF5840">
        <v>-3.47226318335218</v>
      </c>
      <c r="AG5840">
        <v>-1.121260551022</v>
      </c>
      <c r="AH5840">
        <v>23.938436454370599</v>
      </c>
      <c r="AI5840">
        <v>92.654002763788796</v>
      </c>
      <c r="AJ5840">
        <v>98.2531765399726</v>
      </c>
      <c r="AK5840">
        <v>24.2149246688417</v>
      </c>
      <c r="AL5840">
        <v>81.247314816378207</v>
      </c>
      <c r="AM5840">
        <v>97.226304024632796</v>
      </c>
      <c r="AN5840">
        <v>0.99999996137986902</v>
      </c>
    </row>
    <row r="5841" spans="1:40" x14ac:dyDescent="0.25">
      <c r="A5841" t="str">
        <f>"20190303162936247"</f>
        <v>20190303162936247</v>
      </c>
      <c r="B5841" t="str">
        <f>"1551601776238190"</f>
        <v>1551601776238190</v>
      </c>
      <c r="C5841" t="s">
        <v>40</v>
      </c>
      <c r="D5841">
        <v>5.3978380000000001</v>
      </c>
      <c r="E5841">
        <v>0.49917099999999998</v>
      </c>
      <c r="F5841" t="s">
        <v>64</v>
      </c>
      <c r="G5841">
        <v>-256.37759999999997</v>
      </c>
      <c r="H5841" s="1">
        <v>-2.4062899999999999E-6</v>
      </c>
      <c r="I5841">
        <v>-62.785879999999999</v>
      </c>
      <c r="J5841">
        <v>-280.7946</v>
      </c>
      <c r="K5841">
        <v>1.1212139999999999</v>
      </c>
      <c r="L5841">
        <v>-63.97589</v>
      </c>
      <c r="M5841">
        <v>0.99546860000000004</v>
      </c>
      <c r="N5841">
        <v>-1.2188900000000001E-2</v>
      </c>
      <c r="O5841">
        <v>-9.4306390000000004E-2</v>
      </c>
      <c r="P5841">
        <v>0.98972760000000004</v>
      </c>
      <c r="Q5841">
        <v>0.1397901</v>
      </c>
      <c r="R5841">
        <v>2.9971769999999998E-2</v>
      </c>
      <c r="S5841">
        <v>3.04657</v>
      </c>
      <c r="T5841">
        <v>-0.13906849999999901</v>
      </c>
      <c r="U5841">
        <v>0.145874</v>
      </c>
      <c r="V5841">
        <v>-0.1232589</v>
      </c>
      <c r="W5841">
        <v>0.1516932</v>
      </c>
      <c r="X5841">
        <v>0.98071220000000003</v>
      </c>
      <c r="Y5841">
        <v>-0.14157990000000001</v>
      </c>
      <c r="Z5841">
        <v>7.2405109999999998E-3</v>
      </c>
      <c r="AA5841">
        <v>0.98990040000000001</v>
      </c>
      <c r="AB5841">
        <v>31</v>
      </c>
      <c r="AC5841">
        <v>24.417000000000002</v>
      </c>
      <c r="AD5841">
        <v>-1.1212164062900001</v>
      </c>
      <c r="AE5841">
        <v>1.19000999999999</v>
      </c>
      <c r="AF5841">
        <v>-3.4802347633642801</v>
      </c>
      <c r="AG5841">
        <v>-1.1212164062900001</v>
      </c>
      <c r="AH5841">
        <v>24.145136935317101</v>
      </c>
      <c r="AI5841">
        <v>92.631550388711901</v>
      </c>
      <c r="AJ5841">
        <v>98.202016387022994</v>
      </c>
      <c r="AK5841">
        <v>24.420417643092801</v>
      </c>
      <c r="AL5841">
        <v>81.274937271725705</v>
      </c>
      <c r="AM5841">
        <v>97.163546868691199</v>
      </c>
      <c r="AN5841">
        <v>1.00000000129214</v>
      </c>
    </row>
    <row r="5842" spans="1:40" x14ac:dyDescent="0.25">
      <c r="A5842" t="str">
        <f>"20190303162936257"</f>
        <v>20190303162936257</v>
      </c>
      <c r="B5842" t="str">
        <f>"1551601776247950"</f>
        <v>1551601776247950</v>
      </c>
      <c r="C5842" t="s">
        <v>40</v>
      </c>
      <c r="D5842">
        <v>5.2246259999999998</v>
      </c>
      <c r="E5842">
        <v>0.49938519999999997</v>
      </c>
      <c r="F5842" t="s">
        <v>64</v>
      </c>
      <c r="G5842">
        <v>-254.24959999999999</v>
      </c>
      <c r="H5842" s="1">
        <v>-1.5983119999999999E-6</v>
      </c>
      <c r="I5842">
        <v>-63.257750000000001</v>
      </c>
      <c r="J5842">
        <v>-280.65050000000002</v>
      </c>
      <c r="K5842">
        <v>1.121192</v>
      </c>
      <c r="L5842">
        <v>-63.9895</v>
      </c>
      <c r="M5842">
        <v>0.9954575</v>
      </c>
      <c r="N5842">
        <v>-1.2161470000000001E-2</v>
      </c>
      <c r="O5842">
        <v>-9.4428799999999993E-2</v>
      </c>
      <c r="P5842">
        <v>0.98984070000000002</v>
      </c>
      <c r="Q5842">
        <v>0.13915739999999999</v>
      </c>
      <c r="R5842">
        <v>2.9172770000000001E-2</v>
      </c>
      <c r="S5842">
        <v>3.0468139999999999</v>
      </c>
      <c r="T5842">
        <v>-0.12869220000000001</v>
      </c>
      <c r="U5842">
        <v>8.2427979999999998E-2</v>
      </c>
      <c r="V5842">
        <v>-0.1225847</v>
      </c>
      <c r="W5842">
        <v>0.15104419999999999</v>
      </c>
      <c r="X5842">
        <v>0.98089680000000001</v>
      </c>
      <c r="Y5842">
        <v>-0.12114270000000001</v>
      </c>
      <c r="Z5842">
        <v>6.1280750000000002E-3</v>
      </c>
      <c r="AA5842">
        <v>0.99261619999999995</v>
      </c>
      <c r="AB5842">
        <v>31</v>
      </c>
      <c r="AC5842">
        <v>26.4009</v>
      </c>
      <c r="AD5842">
        <v>-1.1211935983120001</v>
      </c>
      <c r="AE5842">
        <v>0.73174999999999801</v>
      </c>
      <c r="AF5842">
        <v>-3.2158735696582701</v>
      </c>
      <c r="AG5842">
        <v>-1.1211935983120001</v>
      </c>
      <c r="AH5842">
        <v>26.1666537007623</v>
      </c>
      <c r="AI5842">
        <v>92.435219375093794</v>
      </c>
      <c r="AJ5842">
        <v>97.006498223839202</v>
      </c>
      <c r="AK5842">
        <v>26.387358408839201</v>
      </c>
      <c r="AL5842">
        <v>81.312555209152904</v>
      </c>
      <c r="AM5842">
        <v>97.123440487610495</v>
      </c>
      <c r="AN5842">
        <v>0.99999994563898298</v>
      </c>
    </row>
    <row r="5843" spans="1:40" x14ac:dyDescent="0.25">
      <c r="A5843" t="str">
        <f>"20190303162936270"</f>
        <v>20190303162936270</v>
      </c>
      <c r="B5843" t="str">
        <f>"1551601776257710"</f>
        <v>1551601776257710</v>
      </c>
      <c r="C5843" t="s">
        <v>40</v>
      </c>
      <c r="D5843">
        <v>5.4545399999999997</v>
      </c>
      <c r="E5843">
        <v>0.50017650000000002</v>
      </c>
      <c r="F5843" t="s">
        <v>64</v>
      </c>
      <c r="G5843">
        <v>-254.59280000000001</v>
      </c>
      <c r="H5843" s="1">
        <v>-1.7586340000000001E-6</v>
      </c>
      <c r="I5843">
        <v>-63.316659999999999</v>
      </c>
      <c r="J5843">
        <v>-280.4957</v>
      </c>
      <c r="K5843">
        <v>1.1211899999999999</v>
      </c>
      <c r="L5843">
        <v>-64.004180000000005</v>
      </c>
      <c r="M5843">
        <v>0.99545119999999998</v>
      </c>
      <c r="N5843">
        <v>-1.2134229999999999E-2</v>
      </c>
      <c r="O5843">
        <v>-9.4497869999999998E-2</v>
      </c>
      <c r="P5843">
        <v>0.98993580000000003</v>
      </c>
      <c r="Q5843">
        <v>0.13853579999999999</v>
      </c>
      <c r="R5843">
        <v>2.889591E-2</v>
      </c>
      <c r="S5843">
        <v>3.0469059999999999</v>
      </c>
      <c r="T5843">
        <v>-0.13109979999999999</v>
      </c>
      <c r="U5843">
        <v>7.8674320000000006E-2</v>
      </c>
      <c r="V5843">
        <v>-0.1223836</v>
      </c>
      <c r="W5843">
        <v>0.15039930000000001</v>
      </c>
      <c r="X5843">
        <v>0.98102100000000003</v>
      </c>
      <c r="Y5843">
        <v>-0.1199831</v>
      </c>
      <c r="Z5843">
        <v>6.2212140000000001E-3</v>
      </c>
      <c r="AA5843">
        <v>0.99275639999999998</v>
      </c>
      <c r="AB5843">
        <v>31</v>
      </c>
      <c r="AC5843">
        <v>25.902899999999899</v>
      </c>
      <c r="AD5843">
        <v>-1.1211917586339999</v>
      </c>
      <c r="AE5843">
        <v>0.68752000000000602</v>
      </c>
      <c r="AF5843">
        <v>-3.1265382493081901</v>
      </c>
      <c r="AG5843">
        <v>-1.1211917586339999</v>
      </c>
      <c r="AH5843">
        <v>25.673927860332501</v>
      </c>
      <c r="AI5843">
        <v>92.482228314495899</v>
      </c>
      <c r="AJ5843">
        <v>96.943218996165001</v>
      </c>
      <c r="AK5843">
        <v>25.887890685831799</v>
      </c>
      <c r="AL5843">
        <v>81.349932273773703</v>
      </c>
      <c r="AM5843">
        <v>97.110983089455999</v>
      </c>
      <c r="AN5843">
        <v>0.99999994871522302</v>
      </c>
    </row>
    <row r="5844" spans="1:40" x14ac:dyDescent="0.25">
      <c r="A5844" t="str">
        <f>"20190303162936285"</f>
        <v>20190303162936285</v>
      </c>
      <c r="B5844" t="str">
        <f>"1551601776278206"</f>
        <v>1551601776278206</v>
      </c>
      <c r="C5844" t="s">
        <v>40</v>
      </c>
      <c r="D5844">
        <v>5.4051019999999896</v>
      </c>
      <c r="E5844">
        <v>0.50049429999999995</v>
      </c>
      <c r="F5844" t="s">
        <v>64</v>
      </c>
      <c r="G5844">
        <v>-255.36539999999999</v>
      </c>
      <c r="H5844" s="1">
        <v>-2.1116790000000001E-6</v>
      </c>
      <c r="I5844">
        <v>-63.413780000000003</v>
      </c>
      <c r="J5844">
        <v>-280.28820000000002</v>
      </c>
      <c r="K5844">
        <v>1.1212169999999999</v>
      </c>
      <c r="L5844">
        <v>-64.023799999999994</v>
      </c>
      <c r="M5844">
        <v>0.99545059999999996</v>
      </c>
      <c r="N5844">
        <v>-1.2100619999999999E-2</v>
      </c>
      <c r="O5844">
        <v>-9.4507859999999999E-2</v>
      </c>
      <c r="P5844">
        <v>0.99005410000000005</v>
      </c>
      <c r="Q5844">
        <v>0.1376771</v>
      </c>
      <c r="R5844">
        <v>2.8949639999999999E-2</v>
      </c>
      <c r="S5844">
        <v>3.0474239999999999</v>
      </c>
      <c r="T5844">
        <v>-0.13596129999999901</v>
      </c>
      <c r="U5844">
        <v>7.1594240000000003E-2</v>
      </c>
      <c r="V5844">
        <v>-0.1224664</v>
      </c>
      <c r="W5844">
        <v>0.14950169999999999</v>
      </c>
      <c r="X5844">
        <v>0.98114789999999996</v>
      </c>
      <c r="Y5844">
        <v>-0.117672</v>
      </c>
      <c r="Z5844">
        <v>6.4020429999999996E-3</v>
      </c>
      <c r="AA5844">
        <v>0.99303189999999997</v>
      </c>
      <c r="AB5844">
        <v>31</v>
      </c>
      <c r="AC5844">
        <v>24.922799999999999</v>
      </c>
      <c r="AD5844">
        <v>-1.121219111679</v>
      </c>
      <c r="AE5844">
        <v>0.61001999999999101</v>
      </c>
      <c r="AF5844">
        <v>-2.9568812842031802</v>
      </c>
      <c r="AG5844">
        <v>-1.121219111679</v>
      </c>
      <c r="AH5844">
        <v>24.703608653947398</v>
      </c>
      <c r="AI5844">
        <v>92.580299099229407</v>
      </c>
      <c r="AJ5844">
        <v>96.825506426694105</v>
      </c>
      <c r="AK5844">
        <v>24.905191421722702</v>
      </c>
      <c r="AL5844">
        <v>81.401949451780993</v>
      </c>
      <c r="AM5844">
        <v>97.114833898084896</v>
      </c>
      <c r="AN5844">
        <v>0.99999998955312996</v>
      </c>
    </row>
    <row r="5845" spans="1:40" x14ac:dyDescent="0.25">
      <c r="A5845" t="str">
        <f>"20190303162936294"</f>
        <v>20190303162936294</v>
      </c>
      <c r="B5845" t="str">
        <f>"1551601776287966"</f>
        <v>1551601776287966</v>
      </c>
      <c r="C5845" t="s">
        <v>40</v>
      </c>
      <c r="D5845">
        <v>5.3378329999999998</v>
      </c>
      <c r="E5845">
        <v>0.50028309999999998</v>
      </c>
      <c r="F5845" t="s">
        <v>64</v>
      </c>
      <c r="G5845">
        <v>-255.9862</v>
      </c>
      <c r="H5845" s="1">
        <v>-2.391037E-6</v>
      </c>
      <c r="I5845">
        <v>-63.472380000000001</v>
      </c>
      <c r="J5845">
        <v>-280.14780000000002</v>
      </c>
      <c r="K5845">
        <v>1.1212690000000001</v>
      </c>
      <c r="L5845">
        <v>-64.037049999999994</v>
      </c>
      <c r="M5845">
        <v>0.99546089999999998</v>
      </c>
      <c r="N5845">
        <v>-1.2081039999999999E-2</v>
      </c>
      <c r="O5845">
        <v>-9.4401959999999993E-2</v>
      </c>
      <c r="P5845">
        <v>0.99010969999999998</v>
      </c>
      <c r="Q5845">
        <v>0.1371424</v>
      </c>
      <c r="R5845">
        <v>2.95746E-2</v>
      </c>
      <c r="S5845">
        <v>3.0476679999999998</v>
      </c>
      <c r="T5845">
        <v>-0.1406097</v>
      </c>
      <c r="U5845">
        <v>6.9152829999999998E-2</v>
      </c>
      <c r="V5845">
        <v>-0.1230062</v>
      </c>
      <c r="W5845">
        <v>0.14893399999999901</v>
      </c>
      <c r="X5845">
        <v>0.98116669999999995</v>
      </c>
      <c r="Y5845">
        <v>-0.1167566</v>
      </c>
      <c r="Z5845">
        <v>6.6054039999999996E-3</v>
      </c>
      <c r="AA5845">
        <v>0.99313859999999998</v>
      </c>
      <c r="AB5845">
        <v>31</v>
      </c>
      <c r="AC5845">
        <v>24.1616</v>
      </c>
      <c r="AD5845">
        <v>-1.121271391037</v>
      </c>
      <c r="AE5845">
        <v>0.56466999999999201</v>
      </c>
      <c r="AF5845">
        <v>-2.8371099400037698</v>
      </c>
      <c r="AG5845">
        <v>-1.121271391037</v>
      </c>
      <c r="AH5845">
        <v>23.948823982687099</v>
      </c>
      <c r="AI5845">
        <v>92.662013521428406</v>
      </c>
      <c r="AJ5845">
        <v>96.756086706290404</v>
      </c>
      <c r="AK5845">
        <v>24.142340659052799</v>
      </c>
      <c r="AL5845">
        <v>81.434844443835601</v>
      </c>
      <c r="AM5845">
        <v>97.145735234411205</v>
      </c>
      <c r="AN5845">
        <v>0.99999997739166402</v>
      </c>
    </row>
    <row r="5846" spans="1:40" x14ac:dyDescent="0.25">
      <c r="A5846" t="str">
        <f>"20190303162936304"</f>
        <v>20190303162936304</v>
      </c>
      <c r="B5846" t="str">
        <f>"1551601776297726"</f>
        <v>1551601776297726</v>
      </c>
      <c r="C5846" t="s">
        <v>40</v>
      </c>
      <c r="D5846">
        <v>5.2489720000000002</v>
      </c>
      <c r="E5846">
        <v>0.50028309999999998</v>
      </c>
      <c r="F5846" t="s">
        <v>64</v>
      </c>
      <c r="G5846">
        <v>-256.12389999999999</v>
      </c>
      <c r="H5846" s="1">
        <v>-2.44749E-6</v>
      </c>
      <c r="I5846">
        <v>-63.460630000000002</v>
      </c>
      <c r="J5846">
        <v>-280.01580000000001</v>
      </c>
      <c r="K5846">
        <v>1.1213219999999999</v>
      </c>
      <c r="L5846">
        <v>-64.049440000000004</v>
      </c>
      <c r="M5846">
        <v>0.99547220000000003</v>
      </c>
      <c r="N5846">
        <v>-1.206308E-2</v>
      </c>
      <c r="O5846">
        <v>-9.4284999999999994E-2</v>
      </c>
      <c r="P5846">
        <v>0.99009420000000004</v>
      </c>
      <c r="Q5846">
        <v>0.13707569999999999</v>
      </c>
      <c r="R5846">
        <v>3.039675E-2</v>
      </c>
      <c r="S5846">
        <v>3.047485</v>
      </c>
      <c r="T5846">
        <v>-0.1422359</v>
      </c>
      <c r="U5846">
        <v>7.3120119999999997E-2</v>
      </c>
      <c r="V5846">
        <v>-0.1237248</v>
      </c>
      <c r="W5846">
        <v>0.1488341</v>
      </c>
      <c r="X5846">
        <v>0.98109159999999995</v>
      </c>
      <c r="Y5846">
        <v>-0.1179268</v>
      </c>
      <c r="Z5846">
        <v>6.7181659999999898E-3</v>
      </c>
      <c r="AA5846">
        <v>0.99299959999999998</v>
      </c>
      <c r="AB5846">
        <v>31</v>
      </c>
      <c r="AC5846">
        <v>23.8919</v>
      </c>
      <c r="AD5846">
        <v>-1.1213244474899999</v>
      </c>
      <c r="AE5846">
        <v>0.58881000000000205</v>
      </c>
      <c r="AF5846">
        <v>-2.8327622120326699</v>
      </c>
      <c r="AG5846">
        <v>-1.1213244474899999</v>
      </c>
      <c r="AH5846">
        <v>23.677807829736</v>
      </c>
      <c r="AI5846">
        <v>92.692195580053493</v>
      </c>
      <c r="AJ5846">
        <v>96.822317878854193</v>
      </c>
      <c r="AK5846">
        <v>23.8730076422802</v>
      </c>
      <c r="AL5846">
        <v>81.440633617363403</v>
      </c>
      <c r="AM5846">
        <v>97.187589612976893</v>
      </c>
      <c r="AN5846">
        <v>1.0000000715241999</v>
      </c>
    </row>
    <row r="5847" spans="1:40" x14ac:dyDescent="0.25">
      <c r="A5847" t="str">
        <f>"20190303162936315"</f>
        <v>20190303162936315</v>
      </c>
      <c r="B5847" t="str">
        <f>"1551601776307486"</f>
        <v>1551601776307486</v>
      </c>
      <c r="C5847" t="s">
        <v>40</v>
      </c>
      <c r="D5847">
        <v>5.4017850000000003</v>
      </c>
      <c r="E5847">
        <v>0.50031539999999997</v>
      </c>
      <c r="F5847" t="s">
        <v>64</v>
      </c>
      <c r="G5847">
        <v>-256.03059999999999</v>
      </c>
      <c r="H5847" s="1">
        <v>-2.404974E-6</v>
      </c>
      <c r="I5847">
        <v>-63.44943</v>
      </c>
      <c r="J5847">
        <v>-279.86380000000003</v>
      </c>
      <c r="K5847">
        <v>1.121413</v>
      </c>
      <c r="L5847">
        <v>-64.063599999999994</v>
      </c>
      <c r="M5847">
        <v>0.99549650000000001</v>
      </c>
      <c r="N5847">
        <v>-1.204533E-2</v>
      </c>
      <c r="O5847">
        <v>-9.4031500000000004E-2</v>
      </c>
      <c r="P5847">
        <v>0.99008450000000003</v>
      </c>
      <c r="Q5847">
        <v>0.13689789999999999</v>
      </c>
      <c r="R5847">
        <v>3.1493439999999998E-2</v>
      </c>
      <c r="S5847">
        <v>3.0473940000000002</v>
      </c>
      <c r="T5847">
        <v>-0.14246739999999999</v>
      </c>
      <c r="U5847">
        <v>7.6232910000000001E-2</v>
      </c>
      <c r="V5847">
        <v>-0.12459340000000001</v>
      </c>
      <c r="W5847">
        <v>0.14861389999999999</v>
      </c>
      <c r="X5847">
        <v>0.98101499999999997</v>
      </c>
      <c r="Y5847">
        <v>-0.11868670000000001</v>
      </c>
      <c r="Z5847">
        <v>6.7442079999999998E-3</v>
      </c>
      <c r="AA5847">
        <v>0.99290880000000004</v>
      </c>
      <c r="AB5847">
        <v>31</v>
      </c>
      <c r="AC5847">
        <v>23.833200000000001</v>
      </c>
      <c r="AD5847">
        <v>-1.1214154049739999</v>
      </c>
      <c r="AE5847">
        <v>0.614169999999987</v>
      </c>
      <c r="AF5847">
        <v>-2.8463845878767899</v>
      </c>
      <c r="AG5847">
        <v>-1.1214154049739999</v>
      </c>
      <c r="AH5847">
        <v>23.617576067513902</v>
      </c>
      <c r="AI5847">
        <v>92.698988591033398</v>
      </c>
      <c r="AJ5847">
        <v>96.872128886577002</v>
      </c>
      <c r="AK5847">
        <v>23.814898215978602</v>
      </c>
      <c r="AL5847">
        <v>81.453391579420099</v>
      </c>
      <c r="AM5847">
        <v>97.238075410141207</v>
      </c>
      <c r="AN5847">
        <v>1.0000000184108799</v>
      </c>
    </row>
    <row r="5848" spans="1:40" x14ac:dyDescent="0.25">
      <c r="A5848" t="str">
        <f>"20190303162936326"</f>
        <v>20190303162936326</v>
      </c>
      <c r="B5848" t="str">
        <f>"1551601776318224"</f>
        <v>1551601776318224</v>
      </c>
      <c r="C5848" t="s">
        <v>40</v>
      </c>
      <c r="D5848">
        <v>5.520378</v>
      </c>
      <c r="E5848">
        <v>0.50031539999999997</v>
      </c>
      <c r="F5848" t="s">
        <v>64</v>
      </c>
      <c r="G5848">
        <v>-256.12329999999997</v>
      </c>
      <c r="H5848" s="1">
        <v>-2.442419E-6</v>
      </c>
      <c r="I5848">
        <v>-63.439039999999999</v>
      </c>
      <c r="J5848">
        <v>-279.72699999999998</v>
      </c>
      <c r="K5848">
        <v>1.1214980000000001</v>
      </c>
      <c r="L5848">
        <v>-64.07629</v>
      </c>
      <c r="M5848">
        <v>0.99552149999999995</v>
      </c>
      <c r="N5848">
        <v>-1.2030030000000001E-2</v>
      </c>
      <c r="O5848">
        <v>-9.376661E-2</v>
      </c>
      <c r="P5848">
        <v>0.99005410000000005</v>
      </c>
      <c r="Q5848">
        <v>0.13682069999999999</v>
      </c>
      <c r="R5848">
        <v>3.2757620000000001E-2</v>
      </c>
      <c r="S5848">
        <v>3.0473629999999998</v>
      </c>
      <c r="T5848">
        <v>-0.1439462</v>
      </c>
      <c r="U5848">
        <v>8.0169679999999993E-2</v>
      </c>
      <c r="V5848">
        <v>-0.1256149</v>
      </c>
      <c r="W5848">
        <v>0.14849599999999999</v>
      </c>
      <c r="X5848">
        <v>0.98090259999999996</v>
      </c>
      <c r="Y5848">
        <v>-0.1196986</v>
      </c>
      <c r="Z5848">
        <v>6.8397809999999996E-3</v>
      </c>
      <c r="AA5848">
        <v>0.99278670000000002</v>
      </c>
      <c r="AB5848">
        <v>31</v>
      </c>
      <c r="AC5848">
        <v>23.6037</v>
      </c>
      <c r="AD5848">
        <v>-1.1215004424189901</v>
      </c>
      <c r="AE5848">
        <v>0.63724999999999399</v>
      </c>
      <c r="AF5848">
        <v>-2.8414311303274502</v>
      </c>
      <c r="AG5848">
        <v>-1.1215004424189901</v>
      </c>
      <c r="AH5848">
        <v>23.387175344190599</v>
      </c>
      <c r="AI5848">
        <v>92.725427755049196</v>
      </c>
      <c r="AJ5848">
        <v>96.9272147747361</v>
      </c>
      <c r="AK5848">
        <v>23.585831863444099</v>
      </c>
      <c r="AL5848">
        <v>81.460222714759894</v>
      </c>
      <c r="AM5848">
        <v>97.297608097681604</v>
      </c>
      <c r="AN5848">
        <v>1.0000000379023799</v>
      </c>
    </row>
    <row r="5849" spans="1:40" x14ac:dyDescent="0.25">
      <c r="A5849" t="str">
        <f>"20190303162936336"</f>
        <v>20190303162936336</v>
      </c>
      <c r="B5849" t="str">
        <f>"1551601776327982"</f>
        <v>1551601776327982</v>
      </c>
      <c r="C5849" t="s">
        <v>40</v>
      </c>
      <c r="D5849">
        <v>5.5294059999999998</v>
      </c>
      <c r="E5849">
        <v>0.50464579999999903</v>
      </c>
      <c r="F5849" t="s">
        <v>64</v>
      </c>
      <c r="G5849">
        <v>-256.02870000000001</v>
      </c>
      <c r="H5849" s="1">
        <v>-2.3964390000000001E-6</v>
      </c>
      <c r="I5849">
        <v>-63.4146</v>
      </c>
      <c r="J5849">
        <v>-279.57089999999999</v>
      </c>
      <c r="K5849">
        <v>1.1216120000000001</v>
      </c>
      <c r="L5849">
        <v>-64.090639999999993</v>
      </c>
      <c r="M5849">
        <v>0.99556210000000001</v>
      </c>
      <c r="N5849">
        <v>-1.201497E-2</v>
      </c>
      <c r="O5849">
        <v>-9.3338519999999994E-2</v>
      </c>
      <c r="P5849">
        <v>0.98998249999999999</v>
      </c>
      <c r="Q5849">
        <v>0.13690840000000001</v>
      </c>
      <c r="R5849">
        <v>3.4512519999999998E-2</v>
      </c>
      <c r="S5849">
        <v>3.0472109999999999</v>
      </c>
      <c r="T5849">
        <v>-0.1442068</v>
      </c>
      <c r="U5849">
        <v>8.5083010000000001E-2</v>
      </c>
      <c r="V5849">
        <v>-0.1269719</v>
      </c>
      <c r="W5849">
        <v>0.14853229999999901</v>
      </c>
      <c r="X5849">
        <v>0.98072230000000005</v>
      </c>
      <c r="Y5849">
        <v>-0.1208702</v>
      </c>
      <c r="Z5849">
        <v>6.873461E-3</v>
      </c>
      <c r="AA5849">
        <v>0.99264450000000004</v>
      </c>
      <c r="AB5849">
        <v>31</v>
      </c>
      <c r="AC5849">
        <v>23.542199999999902</v>
      </c>
      <c r="AD5849">
        <v>-1.121614396439</v>
      </c>
      <c r="AE5849">
        <v>0.67604000000000697</v>
      </c>
      <c r="AF5849">
        <v>-2.8641448767186799</v>
      </c>
      <c r="AG5849">
        <v>-1.121614396439</v>
      </c>
      <c r="AH5849">
        <v>23.3234084329764</v>
      </c>
      <c r="AI5849">
        <v>92.732716215840597</v>
      </c>
      <c r="AJ5849">
        <v>97.000944835059599</v>
      </c>
      <c r="AK5849">
        <v>23.525363454377601</v>
      </c>
      <c r="AL5849">
        <v>81.458118958410594</v>
      </c>
      <c r="AM5849">
        <v>97.3769206747113</v>
      </c>
      <c r="AN5849">
        <v>0.99999996862509399</v>
      </c>
    </row>
    <row r="5850" spans="1:40" x14ac:dyDescent="0.25">
      <c r="A5850" t="str">
        <f>"20190303162936348"</f>
        <v>20190303162936348</v>
      </c>
      <c r="B5850" t="str">
        <f>"1551601776337742"</f>
        <v>1551601776337742</v>
      </c>
      <c r="C5850" t="s">
        <v>40</v>
      </c>
      <c r="D5850">
        <v>5.2673110000000003</v>
      </c>
      <c r="E5850">
        <v>0.50461699999999998</v>
      </c>
      <c r="F5850" t="s">
        <v>64</v>
      </c>
      <c r="G5850">
        <v>-257.53089999999997</v>
      </c>
      <c r="H5850" s="1">
        <v>-3.0263289999999999E-6</v>
      </c>
      <c r="I5850">
        <v>-63.678669999999997</v>
      </c>
      <c r="J5850">
        <v>-279.42259999999999</v>
      </c>
      <c r="K5850">
        <v>1.121734</v>
      </c>
      <c r="L5850">
        <v>-64.104129999999998</v>
      </c>
      <c r="M5850">
        <v>0.99560769999999998</v>
      </c>
      <c r="N5850">
        <v>-1.2001950000000001E-2</v>
      </c>
      <c r="O5850">
        <v>-9.2851859999999994E-2</v>
      </c>
      <c r="P5850">
        <v>0.98989439999999995</v>
      </c>
      <c r="Q5850">
        <v>0.13716349999999999</v>
      </c>
      <c r="R5850">
        <v>3.5992379999999997E-2</v>
      </c>
      <c r="S5850">
        <v>3.0498349999999999</v>
      </c>
      <c r="T5850">
        <v>-0.1552058</v>
      </c>
      <c r="U5850">
        <v>5.7006840000000003E-2</v>
      </c>
      <c r="V5850">
        <v>-0.1279981</v>
      </c>
      <c r="W5850">
        <v>0.14873599999999901</v>
      </c>
      <c r="X5850">
        <v>0.98055800000000004</v>
      </c>
      <c r="Y5850">
        <v>-0.11120240000000001</v>
      </c>
      <c r="Z5850">
        <v>7.0983069999999999E-3</v>
      </c>
      <c r="AA5850">
        <v>0.9937724</v>
      </c>
      <c r="AB5850">
        <v>31</v>
      </c>
      <c r="AC5850">
        <v>21.8917</v>
      </c>
      <c r="AD5850">
        <v>-1.1217370263290001</v>
      </c>
      <c r="AE5850">
        <v>0.425460000000001</v>
      </c>
      <c r="AF5850">
        <v>-2.4500227193461801</v>
      </c>
      <c r="AG5850">
        <v>-1.1217370263290001</v>
      </c>
      <c r="AH5850">
        <v>21.700650192343598</v>
      </c>
      <c r="AI5850">
        <v>92.940417743830906</v>
      </c>
      <c r="AJ5850">
        <v>96.441467949477996</v>
      </c>
      <c r="AK5850">
        <v>21.867307197092501</v>
      </c>
      <c r="AL5850">
        <v>81.446316562331305</v>
      </c>
      <c r="AM5850">
        <v>97.437109115002897</v>
      </c>
      <c r="AN5850">
        <v>0.99999995133180297</v>
      </c>
    </row>
    <row r="5851" spans="1:40" x14ac:dyDescent="0.25">
      <c r="A5851" t="str">
        <f>"20190303162936359"</f>
        <v>20190303162936359</v>
      </c>
      <c r="B5851" t="str">
        <f>"1551601776347502"</f>
        <v>1551601776347502</v>
      </c>
      <c r="C5851" t="s">
        <v>40</v>
      </c>
      <c r="D5851">
        <v>5.4678570000000004</v>
      </c>
      <c r="E5851">
        <v>0.5045153</v>
      </c>
      <c r="F5851" t="s">
        <v>64</v>
      </c>
      <c r="G5851">
        <v>-256.46879999999999</v>
      </c>
      <c r="H5851" s="1">
        <v>-2.6331109999999999E-6</v>
      </c>
      <c r="I5851">
        <v>-63.629919999999998</v>
      </c>
      <c r="J5851">
        <v>-279.2688</v>
      </c>
      <c r="K5851">
        <v>1.121875</v>
      </c>
      <c r="L5851">
        <v>-64.117949999999993</v>
      </c>
      <c r="M5851">
        <v>0.99566460000000001</v>
      </c>
      <c r="N5851">
        <v>-1.199015E-2</v>
      </c>
      <c r="O5851">
        <v>-9.2239269999999998E-2</v>
      </c>
      <c r="P5851">
        <v>0.98974189999999995</v>
      </c>
      <c r="Q5851">
        <v>0.13777110000000001</v>
      </c>
      <c r="R5851">
        <v>3.7819940000000003E-2</v>
      </c>
      <c r="S5851">
        <v>3.04895</v>
      </c>
      <c r="T5851">
        <v>-0.14900039999999901</v>
      </c>
      <c r="U5851">
        <v>6.2988279999999994E-2</v>
      </c>
      <c r="V5851">
        <v>-0.12924920000000001</v>
      </c>
      <c r="W5851">
        <v>0.14928529999999901</v>
      </c>
      <c r="X5851">
        <v>0.98031040000000003</v>
      </c>
      <c r="Y5851">
        <v>-0.112563</v>
      </c>
      <c r="Z5851">
        <v>6.8183970000000003E-3</v>
      </c>
      <c r="AA5851">
        <v>0.99362119999999998</v>
      </c>
      <c r="AB5851">
        <v>31</v>
      </c>
      <c r="AC5851">
        <v>22.8</v>
      </c>
      <c r="AD5851">
        <v>-1.1218776331110001</v>
      </c>
      <c r="AE5851">
        <v>0.48802999999999402</v>
      </c>
      <c r="AF5851">
        <v>-2.5829051438919999</v>
      </c>
      <c r="AG5851">
        <v>-1.1218776331110001</v>
      </c>
      <c r="AH5851">
        <v>22.603067572940201</v>
      </c>
      <c r="AI5851">
        <v>92.823136546893096</v>
      </c>
      <c r="AJ5851">
        <v>96.519044642310703</v>
      </c>
      <c r="AK5851">
        <v>22.777810959636099</v>
      </c>
      <c r="AL5851">
        <v>81.414488796644406</v>
      </c>
      <c r="AM5851">
        <v>97.510851465055197</v>
      </c>
      <c r="AN5851">
        <v>0.99999996842244399</v>
      </c>
    </row>
    <row r="5852" spans="1:40" x14ac:dyDescent="0.25">
      <c r="A5852" t="str">
        <f>"20190303162936373"</f>
        <v>20190303162936373</v>
      </c>
      <c r="B5852" t="str">
        <f>"1551601776367998"</f>
        <v>1551601776367998</v>
      </c>
      <c r="C5852" t="s">
        <v>40</v>
      </c>
      <c r="D5852">
        <v>5.458844</v>
      </c>
      <c r="E5852">
        <v>0.50524590000000003</v>
      </c>
      <c r="F5852" t="s">
        <v>64</v>
      </c>
      <c r="G5852">
        <v>-255.21350000000001</v>
      </c>
      <c r="H5852" s="1">
        <v>-2.0797900000000001E-6</v>
      </c>
      <c r="I5852">
        <v>-63.563299999999998</v>
      </c>
      <c r="J5852">
        <v>-279.11559999999997</v>
      </c>
      <c r="K5852">
        <v>1.1220330000000001</v>
      </c>
      <c r="L5852">
        <v>-64.131529999999998</v>
      </c>
      <c r="M5852">
        <v>0.99573299999999998</v>
      </c>
      <c r="N5852">
        <v>-1.1980579999999999E-2</v>
      </c>
      <c r="O5852">
        <v>-9.1501410000000005E-2</v>
      </c>
      <c r="P5852">
        <v>0.98957349999999999</v>
      </c>
      <c r="Q5852">
        <v>0.138574799999999</v>
      </c>
      <c r="R5852">
        <v>3.9260129999999997E-2</v>
      </c>
      <c r="S5852">
        <v>3.0481569999999998</v>
      </c>
      <c r="T5852">
        <v>-0.14215839999999999</v>
      </c>
      <c r="U5852">
        <v>7.0281979999999994E-2</v>
      </c>
      <c r="V5852">
        <v>-0.1299949</v>
      </c>
      <c r="W5852">
        <v>0.15002879999999999</v>
      </c>
      <c r="X5852">
        <v>0.98009829999999998</v>
      </c>
      <c r="Y5852">
        <v>-0.1142273</v>
      </c>
      <c r="Z5852">
        <v>6.5112719999999898E-3</v>
      </c>
      <c r="AA5852">
        <v>0.99343329999999996</v>
      </c>
      <c r="AB5852">
        <v>31</v>
      </c>
      <c r="AC5852">
        <v>23.902099999999901</v>
      </c>
      <c r="AD5852">
        <v>-1.1220350797900001</v>
      </c>
      <c r="AE5852">
        <v>0.56822999999999901</v>
      </c>
      <c r="AF5852">
        <v>-2.7470284147175601</v>
      </c>
      <c r="AG5852">
        <v>-1.1220350797900001</v>
      </c>
      <c r="AH5852">
        <v>23.697625894468501</v>
      </c>
      <c r="AI5852">
        <v>92.692810714406903</v>
      </c>
      <c r="AJ5852">
        <v>96.612214148871203</v>
      </c>
      <c r="AK5852">
        <v>23.8826841218848</v>
      </c>
      <c r="AL5852">
        <v>81.371404403569699</v>
      </c>
      <c r="AM5852">
        <v>97.555301953325497</v>
      </c>
      <c r="AN5852">
        <v>0.99999999625916902</v>
      </c>
    </row>
    <row r="5853" spans="1:40" x14ac:dyDescent="0.25">
      <c r="A5853" t="str">
        <f>"20190303162936382"</f>
        <v>20190303162936382</v>
      </c>
      <c r="B5853" t="str">
        <f>"1551601776367998"</f>
        <v>1551601776367998</v>
      </c>
      <c r="C5853" t="s">
        <v>40</v>
      </c>
      <c r="D5853">
        <v>5.458844</v>
      </c>
      <c r="E5853">
        <v>0.50524590000000003</v>
      </c>
      <c r="F5853" t="s">
        <v>64</v>
      </c>
      <c r="G5853">
        <v>-254.9152</v>
      </c>
      <c r="H5853" s="1">
        <v>-1.9558040000000001E-6</v>
      </c>
      <c r="I5853">
        <v>-63.581380000000003</v>
      </c>
      <c r="J5853">
        <v>-278.94349999999997</v>
      </c>
      <c r="K5853">
        <v>1.122223</v>
      </c>
      <c r="L5853">
        <v>-64.146609999999995</v>
      </c>
      <c r="M5853">
        <v>0.99581629999999999</v>
      </c>
      <c r="N5853">
        <v>-1.1970990000000001E-2</v>
      </c>
      <c r="O5853">
        <v>-9.0589520000000007E-2</v>
      </c>
      <c r="P5853">
        <v>0.98928559999999999</v>
      </c>
      <c r="Q5853">
        <v>0.140291</v>
      </c>
      <c r="R5853">
        <v>4.0406020000000001E-2</v>
      </c>
      <c r="S5853">
        <v>3.048645</v>
      </c>
      <c r="T5853">
        <v>-0.1413481</v>
      </c>
      <c r="U5853">
        <v>6.9305420000000006E-2</v>
      </c>
      <c r="V5853">
        <v>-0.13027949999999999</v>
      </c>
      <c r="W5853">
        <v>0.15167629999999999</v>
      </c>
      <c r="X5853">
        <v>0.97980690000000004</v>
      </c>
      <c r="Y5853">
        <v>-0.1130004</v>
      </c>
      <c r="Z5853">
        <v>6.4040989999999999E-3</v>
      </c>
      <c r="AA5853">
        <v>0.99357430000000002</v>
      </c>
      <c r="AB5853">
        <v>31</v>
      </c>
      <c r="AC5853">
        <v>24.028299999999899</v>
      </c>
      <c r="AD5853">
        <v>-1.1222249558040001</v>
      </c>
      <c r="AE5853">
        <v>0.56522999999999202</v>
      </c>
      <c r="AF5853">
        <v>-2.73381396034108</v>
      </c>
      <c r="AG5853">
        <v>-1.1222249558040001</v>
      </c>
      <c r="AH5853">
        <v>23.8263379943002</v>
      </c>
      <c r="AI5853">
        <v>92.679097223088505</v>
      </c>
      <c r="AJ5853">
        <v>96.545445889785398</v>
      </c>
      <c r="AK5853">
        <v>24.008904803006299</v>
      </c>
      <c r="AL5853">
        <v>81.275916935735694</v>
      </c>
      <c r="AM5853">
        <v>97.573876915552901</v>
      </c>
      <c r="AN5853">
        <v>1.0000000046947699</v>
      </c>
    </row>
    <row r="5854" spans="1:40" x14ac:dyDescent="0.25">
      <c r="A5854" t="str">
        <f>"20190303162936394"</f>
        <v>20190303162936394</v>
      </c>
      <c r="B5854" t="str">
        <f>"1551601776387517"</f>
        <v>1551601776387517</v>
      </c>
      <c r="C5854" t="s">
        <v>40</v>
      </c>
      <c r="D5854">
        <v>5.4597119999999997</v>
      </c>
      <c r="E5854">
        <v>0.50598109999999996</v>
      </c>
      <c r="F5854" t="s">
        <v>64</v>
      </c>
      <c r="G5854">
        <v>-253.80609999999999</v>
      </c>
      <c r="H5854" s="1">
        <v>-1.471108E-6</v>
      </c>
      <c r="I5854">
        <v>-63.54121</v>
      </c>
      <c r="J5854">
        <v>-278.7919</v>
      </c>
      <c r="K5854">
        <v>1.1224050000000001</v>
      </c>
      <c r="L5854">
        <v>-64.159520000000001</v>
      </c>
      <c r="M5854">
        <v>0.99590719999999999</v>
      </c>
      <c r="N5854">
        <v>-1.196558E-2</v>
      </c>
      <c r="O5854">
        <v>-8.9585540000000005E-2</v>
      </c>
      <c r="P5854">
        <v>0.98903370000000002</v>
      </c>
      <c r="Q5854">
        <v>0.1418392</v>
      </c>
      <c r="R5854">
        <v>4.1159719999999997E-2</v>
      </c>
      <c r="S5854">
        <v>3.0487980000000001</v>
      </c>
      <c r="T5854">
        <v>-0.1361098</v>
      </c>
      <c r="U5854">
        <v>7.3425290000000004E-2</v>
      </c>
      <c r="V5854">
        <v>-0.1300858</v>
      </c>
      <c r="W5854">
        <v>0.1531641</v>
      </c>
      <c r="X5854">
        <v>0.9796011</v>
      </c>
      <c r="Y5854">
        <v>-0.11335480000000001</v>
      </c>
      <c r="Z5854">
        <v>6.1290869999999897E-3</v>
      </c>
      <c r="AA5854">
        <v>0.99353570000000002</v>
      </c>
      <c r="AB5854">
        <v>31</v>
      </c>
      <c r="AC5854">
        <v>24.985800000000001</v>
      </c>
      <c r="AD5854">
        <v>-1.122406471108</v>
      </c>
      <c r="AE5854">
        <v>0.61831000000000003</v>
      </c>
      <c r="AF5854">
        <v>-2.8486053889427501</v>
      </c>
      <c r="AG5854">
        <v>-1.122406471108</v>
      </c>
      <c r="AH5854">
        <v>24.7799508721763</v>
      </c>
      <c r="AI5854">
        <v>92.576491399068701</v>
      </c>
      <c r="AJ5854">
        <v>96.557711374615806</v>
      </c>
      <c r="AK5854">
        <v>24.968386294988498</v>
      </c>
      <c r="AL5854">
        <v>81.189663864108297</v>
      </c>
      <c r="AM5854">
        <v>97.564316913646607</v>
      </c>
      <c r="AN5854">
        <v>0.99999993600582704</v>
      </c>
    </row>
    <row r="5855" spans="1:40" x14ac:dyDescent="0.25">
      <c r="A5855" t="str">
        <f>"20190303162936405"</f>
        <v>20190303162936405</v>
      </c>
      <c r="B5855" t="str">
        <f>"1551601776398255"</f>
        <v>1551601776398255</v>
      </c>
      <c r="C5855" t="s">
        <v>40</v>
      </c>
      <c r="D5855">
        <v>5.2729749999999997</v>
      </c>
      <c r="E5855">
        <v>0.50650459999999997</v>
      </c>
      <c r="F5855" t="s">
        <v>64</v>
      </c>
      <c r="G5855">
        <v>-253.29230000000001</v>
      </c>
      <c r="H5855" s="1">
        <v>-1.2566650000000001E-6</v>
      </c>
      <c r="I5855">
        <v>-63.568260000000002</v>
      </c>
      <c r="J5855">
        <v>-278.64490000000001</v>
      </c>
      <c r="K5855">
        <v>1.1225810000000001</v>
      </c>
      <c r="L5855">
        <v>-64.171940000000006</v>
      </c>
      <c r="M5855">
        <v>0.99599760000000004</v>
      </c>
      <c r="N5855">
        <v>-1.1960490000000001E-2</v>
      </c>
      <c r="O5855">
        <v>-8.8576790000000002E-2</v>
      </c>
      <c r="P5855">
        <v>0.98874740000000005</v>
      </c>
      <c r="Q5855">
        <v>0.14371819999999999</v>
      </c>
      <c r="R5855">
        <v>4.1515650000000001E-2</v>
      </c>
      <c r="S5855">
        <v>3.0495299999999999</v>
      </c>
      <c r="T5855">
        <v>-0.13422990000000001</v>
      </c>
      <c r="U5855">
        <v>7.0709229999999998E-2</v>
      </c>
      <c r="V5855">
        <v>-0.12948889999999999</v>
      </c>
      <c r="W5855">
        <v>0.15498499999999901</v>
      </c>
      <c r="X5855">
        <v>0.97939379999999998</v>
      </c>
      <c r="Y5855">
        <v>-0.1114663</v>
      </c>
      <c r="Z5855">
        <v>5.9526719999999896E-3</v>
      </c>
      <c r="AA5855">
        <v>0.99375040000000003</v>
      </c>
      <c r="AB5855">
        <v>31</v>
      </c>
      <c r="AC5855">
        <v>25.352599999999899</v>
      </c>
      <c r="AD5855">
        <v>-1.1225822566649999</v>
      </c>
      <c r="AE5855">
        <v>0.60368000000001099</v>
      </c>
      <c r="AF5855">
        <v>-2.8415512199581201</v>
      </c>
      <c r="AG5855">
        <v>-1.1225822566649999</v>
      </c>
      <c r="AH5855">
        <v>25.150175940618698</v>
      </c>
      <c r="AI5855">
        <v>92.539573860626604</v>
      </c>
      <c r="AJ5855">
        <v>96.446133254661703</v>
      </c>
      <c r="AK5855">
        <v>25.335073595762399</v>
      </c>
      <c r="AL5855">
        <v>81.0840734309852</v>
      </c>
      <c r="AM5855">
        <v>97.5315826749721</v>
      </c>
      <c r="AN5855">
        <v>0.99999997046332401</v>
      </c>
    </row>
    <row r="5856" spans="1:40" x14ac:dyDescent="0.25">
      <c r="A5856" t="str">
        <f>"20190303162936414"</f>
        <v>20190303162936414</v>
      </c>
      <c r="B5856" t="str">
        <f>"1551601776408014"</f>
        <v>1551601776408014</v>
      </c>
      <c r="C5856" t="s">
        <v>40</v>
      </c>
      <c r="D5856">
        <v>5.4594360000000002</v>
      </c>
      <c r="E5856">
        <v>0.50661219999999996</v>
      </c>
      <c r="F5856" t="s">
        <v>64</v>
      </c>
      <c r="G5856">
        <v>-252.46530000000001</v>
      </c>
      <c r="H5856" s="1">
        <v>-9.0517869999999995E-7</v>
      </c>
      <c r="I5856">
        <v>-63.5828699999999</v>
      </c>
      <c r="J5856">
        <v>-278.50670000000002</v>
      </c>
      <c r="K5856">
        <v>1.122762</v>
      </c>
      <c r="L5856">
        <v>-64.183199999999999</v>
      </c>
      <c r="M5856">
        <v>0.99609639999999999</v>
      </c>
      <c r="N5856">
        <v>-1.195804E-2</v>
      </c>
      <c r="O5856">
        <v>-8.7458599999999997E-2</v>
      </c>
      <c r="P5856">
        <v>0.98854739999999997</v>
      </c>
      <c r="Q5856">
        <v>0.1450796</v>
      </c>
      <c r="R5856">
        <v>4.1542160000000002E-2</v>
      </c>
      <c r="S5856">
        <v>3.050262</v>
      </c>
      <c r="T5856">
        <v>-0.13079569999999999</v>
      </c>
      <c r="U5856">
        <v>6.8634029999999999E-2</v>
      </c>
      <c r="V5856">
        <v>-0.12846399999999999</v>
      </c>
      <c r="W5856">
        <v>0.1562954</v>
      </c>
      <c r="X5856">
        <v>0.97932050000000004</v>
      </c>
      <c r="Y5856">
        <v>-0.1096813</v>
      </c>
      <c r="Z5856">
        <v>5.7057030000000003E-3</v>
      </c>
      <c r="AA5856">
        <v>0.99395040000000001</v>
      </c>
      <c r="AB5856">
        <v>31</v>
      </c>
      <c r="AC5856">
        <v>26.041399999999999</v>
      </c>
      <c r="AD5856">
        <v>-1.1227629051787</v>
      </c>
      <c r="AE5856">
        <v>0.60033000000000603</v>
      </c>
      <c r="AF5856">
        <v>-2.8704036420040899</v>
      </c>
      <c r="AG5856">
        <v>-1.1227629051787</v>
      </c>
      <c r="AH5856">
        <v>25.841081801076399</v>
      </c>
      <c r="AI5856">
        <v>92.472676887420803</v>
      </c>
      <c r="AJ5856">
        <v>96.33837898118</v>
      </c>
      <c r="AK5856">
        <v>26.024244893160699</v>
      </c>
      <c r="AL5856">
        <v>81.008066585381698</v>
      </c>
      <c r="AM5856">
        <v>97.473199801706102</v>
      </c>
      <c r="AN5856">
        <v>0.99999994653870306</v>
      </c>
    </row>
    <row r="5857" spans="1:40" x14ac:dyDescent="0.25">
      <c r="A5857" t="str">
        <f>"20190303162936427"</f>
        <v>20190303162936427</v>
      </c>
      <c r="B5857" t="str">
        <f>"1551601776417774"</f>
        <v>1551601776417774</v>
      </c>
      <c r="C5857" t="s">
        <v>40</v>
      </c>
      <c r="D5857">
        <v>5.4554109999999998</v>
      </c>
      <c r="E5857">
        <v>0.50684649999999998</v>
      </c>
      <c r="F5857" t="s">
        <v>64</v>
      </c>
      <c r="G5857">
        <v>-251.61089999999999</v>
      </c>
      <c r="H5857" s="1">
        <v>-5.3658930000000002E-7</v>
      </c>
      <c r="I5857">
        <v>-63.57376</v>
      </c>
      <c r="J5857">
        <v>-278.3365</v>
      </c>
      <c r="K5857">
        <v>1.1229739999999999</v>
      </c>
      <c r="L5857">
        <v>-64.196869999999905</v>
      </c>
      <c r="M5857">
        <v>0.99622279999999996</v>
      </c>
      <c r="N5857">
        <v>-1.195556E-2</v>
      </c>
      <c r="O5857">
        <v>-8.6008299999999996E-2</v>
      </c>
      <c r="P5857">
        <v>0.98841860000000004</v>
      </c>
      <c r="Q5857">
        <v>0.14597070000000001</v>
      </c>
      <c r="R5857">
        <v>4.1488419999999998E-2</v>
      </c>
      <c r="S5857">
        <v>3.0505369999999998</v>
      </c>
      <c r="T5857">
        <v>-0.1273445</v>
      </c>
      <c r="U5857">
        <v>6.9122310000000006E-2</v>
      </c>
      <c r="V5857">
        <v>-0.127053</v>
      </c>
      <c r="W5857">
        <v>0.15712809999999999</v>
      </c>
      <c r="X5857">
        <v>0.9793714</v>
      </c>
      <c r="Y5857">
        <v>-0.1084022</v>
      </c>
      <c r="Z5857">
        <v>5.4671850000000003E-3</v>
      </c>
      <c r="AA5857">
        <v>0.99409210000000003</v>
      </c>
      <c r="AB5857">
        <v>31</v>
      </c>
      <c r="AC5857">
        <v>26.7256</v>
      </c>
      <c r="AD5857">
        <v>-1.1229745365893</v>
      </c>
      <c r="AE5857">
        <v>0.62310999999998895</v>
      </c>
      <c r="AF5857">
        <v>-2.9144452779540302</v>
      </c>
      <c r="AG5857">
        <v>-1.1229745365893</v>
      </c>
      <c r="AH5857">
        <v>26.526147228038301</v>
      </c>
      <c r="AI5857">
        <v>92.409664586658096</v>
      </c>
      <c r="AJ5857">
        <v>96.269976293378903</v>
      </c>
      <c r="AK5857">
        <v>26.7093906679202</v>
      </c>
      <c r="AL5857">
        <v>80.959760208874002</v>
      </c>
      <c r="AM5857">
        <v>97.391649835752204</v>
      </c>
      <c r="AN5857">
        <v>1.0000000218782801</v>
      </c>
    </row>
    <row r="5858" spans="1:40" x14ac:dyDescent="0.25">
      <c r="A5858" t="str">
        <f>"20190303162936439"</f>
        <v>20190303162936439</v>
      </c>
      <c r="B5858" t="str">
        <f>"1551601776427534"</f>
        <v>1551601776427534</v>
      </c>
      <c r="C5858" t="s">
        <v>40</v>
      </c>
      <c r="D5858">
        <v>5.4546989999999997</v>
      </c>
      <c r="E5858">
        <v>0.50686999999999904</v>
      </c>
      <c r="F5858" t="s">
        <v>64</v>
      </c>
      <c r="G5858">
        <v>-251.08189999999999</v>
      </c>
      <c r="H5858" s="1">
        <v>-3.1234779999999997E-7</v>
      </c>
      <c r="I5858">
        <v>-63.585909999999998</v>
      </c>
      <c r="J5858">
        <v>-278.17340000000002</v>
      </c>
      <c r="K5858">
        <v>1.123175</v>
      </c>
      <c r="L5858">
        <v>-64.209590000000006</v>
      </c>
      <c r="M5858">
        <v>0.99635419999999997</v>
      </c>
      <c r="N5858">
        <v>-1.195477E-2</v>
      </c>
      <c r="O5858">
        <v>-8.4472510000000001E-2</v>
      </c>
      <c r="P5858">
        <v>0.98834200000000005</v>
      </c>
      <c r="Q5858">
        <v>0.14637</v>
      </c>
      <c r="R5858">
        <v>4.190663E-2</v>
      </c>
      <c r="S5858">
        <v>3.0508730000000002</v>
      </c>
      <c r="T5858">
        <v>-0.1257055</v>
      </c>
      <c r="U5858">
        <v>6.8389889999999995E-2</v>
      </c>
      <c r="V5858">
        <v>-0.12602650000000001</v>
      </c>
      <c r="W5858">
        <v>0.1574728</v>
      </c>
      <c r="X5858">
        <v>0.97944869999999995</v>
      </c>
      <c r="Y5858">
        <v>-0.10663540000000001</v>
      </c>
      <c r="Z5858">
        <v>5.2997060000000004E-3</v>
      </c>
      <c r="AA5858">
        <v>0.9942841</v>
      </c>
      <c r="AB5858">
        <v>31</v>
      </c>
      <c r="AC5858">
        <v>27.0915</v>
      </c>
      <c r="AD5858">
        <v>-1.1231753123477899</v>
      </c>
      <c r="AE5858">
        <v>0.62368000000000701</v>
      </c>
      <c r="AF5858">
        <v>-2.9051101395653598</v>
      </c>
      <c r="AG5858">
        <v>-1.1231753123477899</v>
      </c>
      <c r="AH5858">
        <v>26.895764074847399</v>
      </c>
      <c r="AI5858">
        <v>92.377487006456604</v>
      </c>
      <c r="AJ5858">
        <v>96.164826548652599</v>
      </c>
      <c r="AK5858">
        <v>27.075511313272099</v>
      </c>
      <c r="AL5858">
        <v>80.939761720805905</v>
      </c>
      <c r="AM5858">
        <v>97.332010570212304</v>
      </c>
      <c r="AN5858">
        <v>1.00000005868688</v>
      </c>
    </row>
    <row r="5859" spans="1:40" x14ac:dyDescent="0.25">
      <c r="A5859" t="str">
        <f>"20190303162936450"</f>
        <v>20190303162936450</v>
      </c>
      <c r="B5859" t="str">
        <f>"1551601776437294"</f>
        <v>1551601776437294</v>
      </c>
      <c r="C5859" t="s">
        <v>40</v>
      </c>
      <c r="D5859">
        <v>5.3952739999999997</v>
      </c>
      <c r="E5859">
        <v>0.50695009999999996</v>
      </c>
      <c r="F5859" t="s">
        <v>64</v>
      </c>
      <c r="G5859">
        <v>-250.72989999999999</v>
      </c>
      <c r="H5859" s="1">
        <v>-1.5836549999999999E-7</v>
      </c>
      <c r="I5859">
        <v>-63.57244</v>
      </c>
      <c r="J5859">
        <v>-278.02620000000002</v>
      </c>
      <c r="K5859">
        <v>1.1233470000000001</v>
      </c>
      <c r="L5859">
        <v>-64.220699999999994</v>
      </c>
      <c r="M5859">
        <v>0.99648049999999999</v>
      </c>
      <c r="N5859">
        <v>-1.1954859999999999E-2</v>
      </c>
      <c r="O5859">
        <v>-8.2968239999999999E-2</v>
      </c>
      <c r="P5859">
        <v>0.98833530000000003</v>
      </c>
      <c r="Q5859">
        <v>0.1463882</v>
      </c>
      <c r="R5859">
        <v>4.1996890000000002E-2</v>
      </c>
      <c r="S5859">
        <v>3.0508419999999998</v>
      </c>
      <c r="T5859">
        <v>-0.1248615</v>
      </c>
      <c r="U5859">
        <v>7.08313E-2</v>
      </c>
      <c r="V5859">
        <v>-0.1246995</v>
      </c>
      <c r="W5859">
        <v>0.15744820000000001</v>
      </c>
      <c r="X5859">
        <v>0.9796224</v>
      </c>
      <c r="Y5859">
        <v>-0.10593320000000001</v>
      </c>
      <c r="Z5859">
        <v>5.199759E-3</v>
      </c>
      <c r="AA5859">
        <v>0.99435969999999996</v>
      </c>
      <c r="AB5859">
        <v>31</v>
      </c>
      <c r="AC5859">
        <v>27.296299999999999</v>
      </c>
      <c r="AD5859">
        <v>-1.1233471583654999</v>
      </c>
      <c r="AE5859">
        <v>0.64825999999999295</v>
      </c>
      <c r="AF5859">
        <v>-2.9059934630154598</v>
      </c>
      <c r="AG5859">
        <v>-1.1233471583654999</v>
      </c>
      <c r="AH5859">
        <v>27.1025093420477</v>
      </c>
      <c r="AI5859">
        <v>92.359930492810093</v>
      </c>
      <c r="AJ5859">
        <v>96.120003767720704</v>
      </c>
      <c r="AK5859">
        <v>27.280995573495499</v>
      </c>
      <c r="AL5859">
        <v>80.941188226213995</v>
      </c>
      <c r="AM5859">
        <v>97.254362145439501</v>
      </c>
      <c r="AN5859">
        <v>0.99999997378262395</v>
      </c>
    </row>
    <row r="5860" spans="1:40" x14ac:dyDescent="0.25">
      <c r="A5860" t="str">
        <f>"20190303162936461"</f>
        <v>20190303162936461</v>
      </c>
      <c r="B5860" t="str">
        <f>"1551601776448030"</f>
        <v>1551601776448030</v>
      </c>
      <c r="C5860" t="s">
        <v>40</v>
      </c>
      <c r="D5860">
        <v>5.459098</v>
      </c>
      <c r="E5860">
        <v>0.50702970000000003</v>
      </c>
      <c r="F5860" t="s">
        <v>64</v>
      </c>
      <c r="G5860">
        <v>-250.8252</v>
      </c>
      <c r="H5860" s="1">
        <v>-2.0188270000000001E-7</v>
      </c>
      <c r="I5860">
        <v>-63.584319999999998</v>
      </c>
      <c r="J5860">
        <v>-277.86329999999998</v>
      </c>
      <c r="K5860">
        <v>1.123535</v>
      </c>
      <c r="L5860">
        <v>-64.232789999999994</v>
      </c>
      <c r="M5860">
        <v>0.99662410000000001</v>
      </c>
      <c r="N5860">
        <v>-1.1955159999999999E-2</v>
      </c>
      <c r="O5860">
        <v>-8.1224229999999994E-2</v>
      </c>
      <c r="P5860">
        <v>0.98830320000000005</v>
      </c>
      <c r="Q5860">
        <v>0.14657990000000001</v>
      </c>
      <c r="R5860">
        <v>4.2086020000000002E-2</v>
      </c>
      <c r="S5860">
        <v>3.051056</v>
      </c>
      <c r="T5860">
        <v>-0.12600259999999999</v>
      </c>
      <c r="U5860">
        <v>7.1380620000000006E-2</v>
      </c>
      <c r="V5860">
        <v>-0.1231404</v>
      </c>
      <c r="W5860">
        <v>0.15759570000000001</v>
      </c>
      <c r="X5860">
        <v>0.97979590000000005</v>
      </c>
      <c r="Y5860">
        <v>-0.10437</v>
      </c>
      <c r="Z5860">
        <v>5.1575579999999996E-3</v>
      </c>
      <c r="AA5860">
        <v>0.9945252</v>
      </c>
      <c r="AB5860">
        <v>31</v>
      </c>
      <c r="AC5860">
        <v>27.038099999999901</v>
      </c>
      <c r="AD5860">
        <v>-1.1235352018826901</v>
      </c>
      <c r="AE5860">
        <v>0.64847000000000998</v>
      </c>
      <c r="AF5860">
        <v>-2.8377358300111499</v>
      </c>
      <c r="AG5860">
        <v>-1.1235352018826901</v>
      </c>
      <c r="AH5860">
        <v>26.849738879751801</v>
      </c>
      <c r="AI5860">
        <v>92.382904316711802</v>
      </c>
      <c r="AJ5860">
        <v>96.033165531524006</v>
      </c>
      <c r="AK5860">
        <v>27.022648906087099</v>
      </c>
      <c r="AL5860">
        <v>80.932630351787296</v>
      </c>
      <c r="AM5860">
        <v>97.163354786290896</v>
      </c>
      <c r="AN5860">
        <v>0.99999998421372904</v>
      </c>
    </row>
    <row r="5861" spans="1:40" x14ac:dyDescent="0.25">
      <c r="A5861" t="str">
        <f>"20190303162936472"</f>
        <v>20190303162936472</v>
      </c>
      <c r="B5861" t="str">
        <f>"1551601776457790"</f>
        <v>1551601776457790</v>
      </c>
      <c r="C5861" t="s">
        <v>40</v>
      </c>
      <c r="D5861">
        <v>5.4562039999999996</v>
      </c>
      <c r="E5861">
        <v>0.50738139999999998</v>
      </c>
      <c r="F5861" t="s">
        <v>64</v>
      </c>
      <c r="G5861">
        <v>-251.0154</v>
      </c>
      <c r="H5861" s="1">
        <v>-2.8712609999999999E-7</v>
      </c>
      <c r="I5861">
        <v>-63.600720000000003</v>
      </c>
      <c r="J5861">
        <v>-277.7278</v>
      </c>
      <c r="K5861">
        <v>1.1236889999999999</v>
      </c>
      <c r="L5861">
        <v>-64.242339999999999</v>
      </c>
      <c r="M5861">
        <v>0.99675309999999995</v>
      </c>
      <c r="N5861">
        <v>-1.195659E-2</v>
      </c>
      <c r="O5861">
        <v>-7.962706E-2</v>
      </c>
      <c r="P5861">
        <v>0.98829869999999997</v>
      </c>
      <c r="Q5861">
        <v>0.14671579999999901</v>
      </c>
      <c r="R5861">
        <v>4.1717600000000001E-2</v>
      </c>
      <c r="S5861">
        <v>3.0514220000000001</v>
      </c>
      <c r="T5861">
        <v>-0.12769649999999999</v>
      </c>
      <c r="U5861">
        <v>7.1838379999999993E-2</v>
      </c>
      <c r="V5861">
        <v>-0.12125809999999999</v>
      </c>
      <c r="W5861">
        <v>0.15770209999999901</v>
      </c>
      <c r="X5861">
        <v>0.98001349999999998</v>
      </c>
      <c r="Y5861">
        <v>-0.10292080000000001</v>
      </c>
      <c r="Z5861">
        <v>5.1442830000000004E-3</v>
      </c>
      <c r="AA5861">
        <v>0.99467620000000001</v>
      </c>
      <c r="AB5861">
        <v>31</v>
      </c>
      <c r="AC5861">
        <v>26.712399999999999</v>
      </c>
      <c r="AD5861">
        <v>-1.1236892871260999</v>
      </c>
      <c r="AE5861">
        <v>0.64162000000000297</v>
      </c>
      <c r="AF5861">
        <v>-2.7618796312321199</v>
      </c>
      <c r="AG5861">
        <v>-1.1236892871260999</v>
      </c>
      <c r="AH5861">
        <v>26.5295559556487</v>
      </c>
      <c r="AI5861">
        <v>92.412355884683194</v>
      </c>
      <c r="AJ5861">
        <v>95.943410894816907</v>
      </c>
      <c r="AK5861">
        <v>26.696591466239902</v>
      </c>
      <c r="AL5861">
        <v>80.926456749854395</v>
      </c>
      <c r="AM5861">
        <v>97.053418306834999</v>
      </c>
      <c r="AN5861">
        <v>0.99999996967113403</v>
      </c>
    </row>
    <row r="5862" spans="1:40" x14ac:dyDescent="0.25">
      <c r="A5862" t="str">
        <f>"20190303162936483"</f>
        <v>20190303162936483</v>
      </c>
      <c r="B5862" t="str">
        <f>"1551601776477310"</f>
        <v>1551601776477310</v>
      </c>
      <c r="C5862" t="s">
        <v>40</v>
      </c>
      <c r="D5862">
        <v>5.291226</v>
      </c>
      <c r="E5862">
        <v>0.50760689999999997</v>
      </c>
      <c r="F5862" t="s">
        <v>64</v>
      </c>
      <c r="G5862">
        <v>-251.315</v>
      </c>
      <c r="H5862" s="1">
        <v>-4.2686959999999999E-7</v>
      </c>
      <c r="I5862">
        <v>-63.651249999999997</v>
      </c>
      <c r="J5862">
        <v>-277.57429999999999</v>
      </c>
      <c r="K5862">
        <v>1.123861</v>
      </c>
      <c r="L5862">
        <v>-64.253050000000002</v>
      </c>
      <c r="M5862">
        <v>0.99689810000000001</v>
      </c>
      <c r="N5862">
        <v>-1.1957829999999999E-2</v>
      </c>
      <c r="O5862">
        <v>-7.7790250000000005E-2</v>
      </c>
      <c r="P5862">
        <v>0.9883014</v>
      </c>
      <c r="Q5862">
        <v>0.14671339999999999</v>
      </c>
      <c r="R5862">
        <v>4.1662379999999999E-2</v>
      </c>
      <c r="S5862">
        <v>3.0519099999999999</v>
      </c>
      <c r="T5862">
        <v>-0.12983829999999999</v>
      </c>
      <c r="U5862">
        <v>6.8298339999999999E-2</v>
      </c>
      <c r="V5862">
        <v>-0.1194585</v>
      </c>
      <c r="W5862">
        <v>0.15766629999999901</v>
      </c>
      <c r="X5862">
        <v>0.98024029999999995</v>
      </c>
      <c r="Y5862">
        <v>-9.9929760000000006E-2</v>
      </c>
      <c r="Z5862">
        <v>5.097791E-3</v>
      </c>
      <c r="AA5862">
        <v>0.99498140000000002</v>
      </c>
      <c r="AB5862">
        <v>31</v>
      </c>
      <c r="AC5862">
        <v>26.2593</v>
      </c>
      <c r="AD5862">
        <v>-1.1238614268696001</v>
      </c>
      <c r="AE5862">
        <v>0.601800000000004</v>
      </c>
      <c r="AF5862">
        <v>-2.6380100060218501</v>
      </c>
      <c r="AG5862">
        <v>-1.1238614268696001</v>
      </c>
      <c r="AH5862">
        <v>26.085143168673198</v>
      </c>
      <c r="AI5862">
        <v>92.454521306281094</v>
      </c>
      <c r="AJ5862">
        <v>95.774731487241993</v>
      </c>
      <c r="AK5862">
        <v>26.242272299266599</v>
      </c>
      <c r="AL5862">
        <v>80.928534390678806</v>
      </c>
      <c r="AM5862">
        <v>96.948177100776604</v>
      </c>
      <c r="AN5862">
        <v>1.00000002056101</v>
      </c>
    </row>
    <row r="5863" spans="1:40" x14ac:dyDescent="0.25">
      <c r="A5863" t="str">
        <f>"20190303162936494"</f>
        <v>20190303162936494</v>
      </c>
      <c r="B5863" t="str">
        <f>"1551601776488046"</f>
        <v>1551601776488046</v>
      </c>
      <c r="C5863" t="s">
        <v>40</v>
      </c>
      <c r="D5863">
        <v>5.2922479999999998</v>
      </c>
      <c r="E5863">
        <v>0.50791709999999901</v>
      </c>
      <c r="F5863" t="s">
        <v>64</v>
      </c>
      <c r="G5863">
        <v>-251.65299999999999</v>
      </c>
      <c r="H5863" s="1">
        <v>-5.7974229999999995E-7</v>
      </c>
      <c r="I5863">
        <v>-63.686509999999998</v>
      </c>
      <c r="J5863">
        <v>-277.4117</v>
      </c>
      <c r="K5863">
        <v>1.124037</v>
      </c>
      <c r="L5863">
        <v>-64.263669999999905</v>
      </c>
      <c r="M5863">
        <v>0.99706249999999996</v>
      </c>
      <c r="N5863">
        <v>-1.196113E-2</v>
      </c>
      <c r="O5863">
        <v>-7.5653689999999996E-2</v>
      </c>
      <c r="P5863">
        <v>0.98830200000000001</v>
      </c>
      <c r="Q5863">
        <v>0.14661979999999999</v>
      </c>
      <c r="R5863">
        <v>4.1976439999999997E-2</v>
      </c>
      <c r="S5863">
        <v>3.0523069999999999</v>
      </c>
      <c r="T5863">
        <v>-0.13233819999999999</v>
      </c>
      <c r="U5863">
        <v>6.6711430000000002E-2</v>
      </c>
      <c r="V5863">
        <v>-0.1177322</v>
      </c>
      <c r="W5863">
        <v>0.1575415</v>
      </c>
      <c r="X5863">
        <v>0.98046920000000004</v>
      </c>
      <c r="Y5863">
        <v>-9.7275500000000001E-2</v>
      </c>
      <c r="Z5863">
        <v>5.0612440000000003E-3</v>
      </c>
      <c r="AA5863">
        <v>0.99524460000000003</v>
      </c>
      <c r="AB5863">
        <v>31</v>
      </c>
      <c r="AC5863">
        <v>25.758700000000001</v>
      </c>
      <c r="AD5863">
        <v>-1.1240375797422999</v>
      </c>
      <c r="AE5863">
        <v>0.57715999999999201</v>
      </c>
      <c r="AF5863">
        <v>-2.5195902489369</v>
      </c>
      <c r="AG5863">
        <v>-1.1240375797422999</v>
      </c>
      <c r="AH5863">
        <v>25.592492632628598</v>
      </c>
      <c r="AI5863">
        <v>92.502764419791404</v>
      </c>
      <c r="AJ5863">
        <v>95.622671273764198</v>
      </c>
      <c r="AK5863">
        <v>25.740774554281799</v>
      </c>
      <c r="AL5863">
        <v>80.935775427144804</v>
      </c>
      <c r="AM5863">
        <v>96.847145555512597</v>
      </c>
      <c r="AN5863">
        <v>1.00000002364386</v>
      </c>
    </row>
    <row r="5864" spans="1:40" x14ac:dyDescent="0.25">
      <c r="A5864" t="str">
        <f>"20190303162936505"</f>
        <v>20190303162936505</v>
      </c>
      <c r="B5864" t="str">
        <f>"1551601776497806"</f>
        <v>1551601776497806</v>
      </c>
      <c r="C5864" t="s">
        <v>40</v>
      </c>
      <c r="D5864">
        <v>5.5172470000000002</v>
      </c>
      <c r="E5864">
        <v>0.50798959999999904</v>
      </c>
      <c r="F5864" t="s">
        <v>64</v>
      </c>
      <c r="G5864">
        <v>-251.96080000000001</v>
      </c>
      <c r="H5864" s="1">
        <v>-7.1818439999999896E-7</v>
      </c>
      <c r="I5864">
        <v>-63.715389999999999</v>
      </c>
      <c r="J5864">
        <v>-277.26429999999999</v>
      </c>
      <c r="K5864">
        <v>1.1241920000000001</v>
      </c>
      <c r="L5864">
        <v>-64.273160000000004</v>
      </c>
      <c r="M5864">
        <v>0.99721029999999999</v>
      </c>
      <c r="N5864">
        <v>-1.1963990000000001E-2</v>
      </c>
      <c r="O5864">
        <v>-7.3677759999999995E-2</v>
      </c>
      <c r="P5864">
        <v>0.98823919999999998</v>
      </c>
      <c r="Q5864">
        <v>0.14698349999999999</v>
      </c>
      <c r="R5864">
        <v>4.2178460000000001E-2</v>
      </c>
      <c r="S5864">
        <v>3.0527340000000001</v>
      </c>
      <c r="T5864">
        <v>-0.13482379999999999</v>
      </c>
      <c r="U5864">
        <v>6.5765379999999998E-2</v>
      </c>
      <c r="V5864">
        <v>-0.11604449999999999</v>
      </c>
      <c r="W5864">
        <v>0.15787770000000001</v>
      </c>
      <c r="X5864">
        <v>0.9806163</v>
      </c>
      <c r="Y5864">
        <v>-9.4989749999999998E-2</v>
      </c>
      <c r="Z5864">
        <v>5.0339299999999998E-3</v>
      </c>
      <c r="AA5864">
        <v>0.9954655</v>
      </c>
      <c r="AB5864">
        <v>31</v>
      </c>
      <c r="AC5864">
        <v>25.3034999999999</v>
      </c>
      <c r="AD5864">
        <v>-1.12419271818439</v>
      </c>
      <c r="AE5864">
        <v>0.55777000000000498</v>
      </c>
      <c r="AF5864">
        <v>-2.4159260956117801</v>
      </c>
      <c r="AG5864">
        <v>-1.12419271818439</v>
      </c>
      <c r="AH5864">
        <v>25.1440124630385</v>
      </c>
      <c r="AI5864">
        <v>92.548278021769804</v>
      </c>
      <c r="AJ5864">
        <v>95.488334018428205</v>
      </c>
      <c r="AK5864">
        <v>25.284815026187399</v>
      </c>
      <c r="AL5864">
        <v>80.916268351281204</v>
      </c>
      <c r="AM5864">
        <v>96.748900150406797</v>
      </c>
      <c r="AN5864">
        <v>1.0000000109816101</v>
      </c>
    </row>
    <row r="5865" spans="1:40" x14ac:dyDescent="0.25">
      <c r="A5865" t="str">
        <f>"20190303162936515"</f>
        <v>20190303162936515</v>
      </c>
      <c r="B5865" t="str">
        <f>"1551601776507566"</f>
        <v>1551601776507566</v>
      </c>
      <c r="C5865" t="s">
        <v>40</v>
      </c>
      <c r="D5865">
        <v>5.5140560000000001</v>
      </c>
      <c r="E5865">
        <v>0.50822199999999995</v>
      </c>
      <c r="F5865" t="s">
        <v>64</v>
      </c>
      <c r="G5865">
        <v>-251.89660000000001</v>
      </c>
      <c r="H5865" s="1">
        <v>-6.923206E-7</v>
      </c>
      <c r="I5865">
        <v>-63.722909999999999</v>
      </c>
      <c r="J5865">
        <v>-277.1232</v>
      </c>
      <c r="K5865">
        <v>1.1243299999999901</v>
      </c>
      <c r="L5865">
        <v>-64.281679999999994</v>
      </c>
      <c r="M5865">
        <v>0.99735680000000004</v>
      </c>
      <c r="N5865">
        <v>-1.196799E-2</v>
      </c>
      <c r="O5865">
        <v>-7.1668099999999998E-2</v>
      </c>
      <c r="P5865">
        <v>0.98819699999999999</v>
      </c>
      <c r="Q5865">
        <v>0.1471818</v>
      </c>
      <c r="R5865">
        <v>4.2476010000000002E-2</v>
      </c>
      <c r="S5865">
        <v>3.0529790000000001</v>
      </c>
      <c r="T5865">
        <v>-0.13529550000000001</v>
      </c>
      <c r="U5865">
        <v>6.622314E-2</v>
      </c>
      <c r="V5865">
        <v>-0.1144143</v>
      </c>
      <c r="W5865">
        <v>0.15805520000000001</v>
      </c>
      <c r="X5865">
        <v>0.98077919999999996</v>
      </c>
      <c r="Y5865">
        <v>-9.3133350000000004E-2</v>
      </c>
      <c r="Z5865">
        <v>4.9350790000000002E-3</v>
      </c>
      <c r="AA5865">
        <v>0.99564140000000001</v>
      </c>
      <c r="AB5865">
        <v>31</v>
      </c>
      <c r="AC5865">
        <v>25.226599999999902</v>
      </c>
      <c r="AD5865">
        <v>-1.12433069232059</v>
      </c>
      <c r="AE5865">
        <v>0.55877000000000898</v>
      </c>
      <c r="AF5865">
        <v>-2.36071772462275</v>
      </c>
      <c r="AG5865">
        <v>-1.12433069232059</v>
      </c>
      <c r="AH5865">
        <v>25.071893704282498</v>
      </c>
      <c r="AI5865">
        <v>92.556375006665405</v>
      </c>
      <c r="AJ5865">
        <v>95.378993450797907</v>
      </c>
      <c r="AK5865">
        <v>25.207874991753702</v>
      </c>
      <c r="AL5865">
        <v>80.905968557991002</v>
      </c>
      <c r="AM5865">
        <v>96.653852161715307</v>
      </c>
      <c r="AN5865">
        <v>0.99999995872208403</v>
      </c>
    </row>
    <row r="5866" spans="1:40" x14ac:dyDescent="0.25">
      <c r="A5866" t="str">
        <f>"20190303162936527"</f>
        <v>20190303162936527</v>
      </c>
      <c r="B5866" t="str">
        <f>"1551601776517326"</f>
        <v>1551601776517326</v>
      </c>
      <c r="C5866" t="s">
        <v>40</v>
      </c>
      <c r="D5866">
        <v>5.4522709999999996</v>
      </c>
      <c r="E5866">
        <v>0.50827719999999998</v>
      </c>
      <c r="F5866" t="s">
        <v>64</v>
      </c>
      <c r="G5866">
        <v>-251.9599</v>
      </c>
      <c r="H5866" s="1">
        <v>-7.2299119999999995E-7</v>
      </c>
      <c r="I5866">
        <v>-63.738689999999998</v>
      </c>
      <c r="J5866">
        <v>-276.97280000000001</v>
      </c>
      <c r="K5866">
        <v>1.1244769999999999</v>
      </c>
      <c r="L5866">
        <v>-64.290559999999999</v>
      </c>
      <c r="M5866">
        <v>0.9975117</v>
      </c>
      <c r="N5866">
        <v>-1.1972160000000001E-2</v>
      </c>
      <c r="O5866">
        <v>-6.9479429999999995E-2</v>
      </c>
      <c r="P5866">
        <v>0.98808629999999997</v>
      </c>
      <c r="Q5866">
        <v>0.14771099999999901</v>
      </c>
      <c r="R5866">
        <v>4.3211399999999997E-2</v>
      </c>
      <c r="S5866">
        <v>3.0533450000000002</v>
      </c>
      <c r="T5866">
        <v>-0.13642760000000001</v>
      </c>
      <c r="U5866">
        <v>6.588745E-2</v>
      </c>
      <c r="V5866">
        <v>-0.1130449</v>
      </c>
      <c r="W5866">
        <v>0.15855999999999901</v>
      </c>
      <c r="X5866">
        <v>0.98085650000000002</v>
      </c>
      <c r="Y5866">
        <v>-9.0837870000000001E-2</v>
      </c>
      <c r="Z5866">
        <v>4.8417570000000004E-3</v>
      </c>
      <c r="AA5866">
        <v>0.99585389999999996</v>
      </c>
      <c r="AB5866">
        <v>31</v>
      </c>
      <c r="AC5866">
        <v>25.012899999999998</v>
      </c>
      <c r="AD5866">
        <v>-1.1244777229912</v>
      </c>
      <c r="AE5866">
        <v>0.55186999999999298</v>
      </c>
      <c r="AF5866">
        <v>-2.2839288209239599</v>
      </c>
      <c r="AG5866">
        <v>-1.1244777229912</v>
      </c>
      <c r="AH5866">
        <v>24.863872142567999</v>
      </c>
      <c r="AI5866">
        <v>92.578616849007801</v>
      </c>
      <c r="AJ5866">
        <v>95.248308854400193</v>
      </c>
      <c r="AK5866">
        <v>24.9938576240347</v>
      </c>
      <c r="AL5866">
        <v>80.876676170702694</v>
      </c>
      <c r="AM5866">
        <v>96.574401490239296</v>
      </c>
      <c r="AN5866">
        <v>0.99999994830412797</v>
      </c>
    </row>
    <row r="5867" spans="1:40" x14ac:dyDescent="0.25">
      <c r="A5867" t="str">
        <f>"20190303162936538"</f>
        <v>20190303162936538</v>
      </c>
      <c r="B5867" t="str">
        <f>"1551601776528063"</f>
        <v>1551601776528063</v>
      </c>
      <c r="C5867" t="s">
        <v>40</v>
      </c>
      <c r="D5867">
        <v>5.4559220000000002</v>
      </c>
      <c r="E5867">
        <v>0.50831680000000001</v>
      </c>
      <c r="F5867" t="s">
        <v>64</v>
      </c>
      <c r="G5867">
        <v>-251.74459999999999</v>
      </c>
      <c r="H5867" s="1">
        <v>-6.2785189999999996E-7</v>
      </c>
      <c r="I5867">
        <v>-63.7262699999999</v>
      </c>
      <c r="J5867">
        <v>-276.81360000000001</v>
      </c>
      <c r="K5867">
        <v>1.124622</v>
      </c>
      <c r="L5867">
        <v>-64.299409999999995</v>
      </c>
      <c r="M5867">
        <v>0.99767660000000002</v>
      </c>
      <c r="N5867">
        <v>-1.1977130000000001E-2</v>
      </c>
      <c r="O5867">
        <v>-6.7069340000000005E-2</v>
      </c>
      <c r="P5867">
        <v>0.98798529999999996</v>
      </c>
      <c r="Q5867">
        <v>0.14807579999999901</v>
      </c>
      <c r="R5867">
        <v>4.4259590000000001E-2</v>
      </c>
      <c r="S5867">
        <v>3.0534669999999999</v>
      </c>
      <c r="T5867">
        <v>-0.13609979999999999</v>
      </c>
      <c r="U5867">
        <v>6.8298339999999999E-2</v>
      </c>
      <c r="V5867">
        <v>-0.1117688</v>
      </c>
      <c r="W5867">
        <v>0.15890170000000001</v>
      </c>
      <c r="X5867">
        <v>0.98094749999999997</v>
      </c>
      <c r="Y5867">
        <v>-8.922099E-2</v>
      </c>
      <c r="Z5867">
        <v>4.7050939999999999E-3</v>
      </c>
      <c r="AA5867">
        <v>0.99600080000000002</v>
      </c>
      <c r="AB5867">
        <v>31</v>
      </c>
      <c r="AC5867">
        <v>25.068999999999999</v>
      </c>
      <c r="AD5867">
        <v>-1.12462262785189</v>
      </c>
      <c r="AE5867">
        <v>0.57314000000000198</v>
      </c>
      <c r="AF5867">
        <v>-2.2488074891735699</v>
      </c>
      <c r="AG5867">
        <v>-1.12462262785189</v>
      </c>
      <c r="AH5867">
        <v>24.923967881739099</v>
      </c>
      <c r="AI5867">
        <v>92.573117107155994</v>
      </c>
      <c r="AJ5867">
        <v>95.155649150142906</v>
      </c>
      <c r="AK5867">
        <v>25.050470776981399</v>
      </c>
      <c r="AL5867">
        <v>80.856847337967494</v>
      </c>
      <c r="AM5867">
        <v>96.500227750134599</v>
      </c>
      <c r="AN5867">
        <v>1.0000000063362899</v>
      </c>
    </row>
    <row r="5868" spans="1:40" x14ac:dyDescent="0.25">
      <c r="A5868" t="str">
        <f>"20190303162936549"</f>
        <v>20190303162936549</v>
      </c>
      <c r="B5868" t="str">
        <f>"1551601776537823"</f>
        <v>1551601776537823</v>
      </c>
      <c r="C5868" t="s">
        <v>40</v>
      </c>
      <c r="D5868">
        <v>5.4581480000000004</v>
      </c>
      <c r="E5868">
        <v>0.50827440000000002</v>
      </c>
      <c r="F5868" t="s">
        <v>64</v>
      </c>
      <c r="G5868">
        <v>-251.37469999999999</v>
      </c>
      <c r="H5868" s="1">
        <v>-4.639212E-7</v>
      </c>
      <c r="I5868">
        <v>-63.702689999999997</v>
      </c>
      <c r="J5868">
        <v>-276.66739999999999</v>
      </c>
      <c r="K5868">
        <v>1.124746</v>
      </c>
      <c r="L5868">
        <v>-64.307159999999996</v>
      </c>
      <c r="M5868">
        <v>0.99782720000000003</v>
      </c>
      <c r="N5868">
        <v>-1.1981530000000001E-2</v>
      </c>
      <c r="O5868">
        <v>-6.4787520000000001E-2</v>
      </c>
      <c r="P5868">
        <v>0.98791019999999896</v>
      </c>
      <c r="Q5868">
        <v>0.1482405</v>
      </c>
      <c r="R5868">
        <v>4.5368619999999998E-2</v>
      </c>
      <c r="S5868">
        <v>3.0534669999999999</v>
      </c>
      <c r="T5868">
        <v>-0.13498959999999999</v>
      </c>
      <c r="U5868">
        <v>7.1624759999999996E-2</v>
      </c>
      <c r="V5868">
        <v>-0.11067249999999999</v>
      </c>
      <c r="W5868">
        <v>0.1590482</v>
      </c>
      <c r="X5868">
        <v>0.98104800000000003</v>
      </c>
      <c r="Y5868">
        <v>-8.8032659999999999E-2</v>
      </c>
      <c r="Z5868">
        <v>4.5577430000000004E-3</v>
      </c>
      <c r="AA5868">
        <v>0.99610719999999997</v>
      </c>
      <c r="AB5868">
        <v>31</v>
      </c>
      <c r="AC5868">
        <v>25.2927</v>
      </c>
      <c r="AD5868">
        <v>-1.1247464639211999</v>
      </c>
      <c r="AE5868">
        <v>0.60446999999999196</v>
      </c>
      <c r="AF5868">
        <v>-2.2375464858449101</v>
      </c>
      <c r="AG5868">
        <v>-1.1247464639211999</v>
      </c>
      <c r="AH5868">
        <v>25.150682192640101</v>
      </c>
      <c r="AI5868">
        <v>92.550519063920007</v>
      </c>
      <c r="AJ5868">
        <v>95.083970754585906</v>
      </c>
      <c r="AK5868">
        <v>25.275056550670701</v>
      </c>
      <c r="AL5868">
        <v>80.848344912086802</v>
      </c>
      <c r="AM5868">
        <v>96.436353229984903</v>
      </c>
      <c r="AN5868">
        <v>0.99999995524174401</v>
      </c>
    </row>
    <row r="5869" spans="1:40" x14ac:dyDescent="0.25">
      <c r="A5869" t="str">
        <f>"20190303162936560"</f>
        <v>20190303162936560</v>
      </c>
      <c r="B5869" t="str">
        <f>"1551601776547582"</f>
        <v>1551601776547582</v>
      </c>
      <c r="C5869" t="s">
        <v>40</v>
      </c>
      <c r="D5869">
        <v>5.2743869999999999</v>
      </c>
      <c r="E5869">
        <v>0.50825699999999996</v>
      </c>
      <c r="F5869" t="s">
        <v>64</v>
      </c>
      <c r="G5869">
        <v>-251.2508</v>
      </c>
      <c r="H5869" s="1">
        <v>-4.0529180000000002E-7</v>
      </c>
      <c r="I5869">
        <v>-63.677959999999999</v>
      </c>
      <c r="J5869">
        <v>-276.5181</v>
      </c>
      <c r="K5869">
        <v>1.1248640000000001</v>
      </c>
      <c r="L5869">
        <v>-64.314700000000002</v>
      </c>
      <c r="M5869">
        <v>0.99797880000000005</v>
      </c>
      <c r="N5869">
        <v>-1.198577E-2</v>
      </c>
      <c r="O5869">
        <v>-6.2406089999999997E-2</v>
      </c>
      <c r="P5869">
        <v>0.98785100000000003</v>
      </c>
      <c r="Q5869">
        <v>0.14830579999999999</v>
      </c>
      <c r="R5869">
        <v>4.6430550000000001E-2</v>
      </c>
      <c r="S5869">
        <v>3.0535580000000002</v>
      </c>
      <c r="T5869">
        <v>-0.13512750000000001</v>
      </c>
      <c r="U5869">
        <v>7.5592039999999999E-2</v>
      </c>
      <c r="V5869">
        <v>-0.1094309</v>
      </c>
      <c r="W5869">
        <v>0.15909809999999999</v>
      </c>
      <c r="X5869">
        <v>0.98117920000000003</v>
      </c>
      <c r="Y5869">
        <v>-8.69505E-2</v>
      </c>
      <c r="Z5869">
        <v>4.4553459999999998E-3</v>
      </c>
      <c r="AA5869">
        <v>0.99620260000000005</v>
      </c>
      <c r="AB5869">
        <v>31</v>
      </c>
      <c r="AC5869">
        <v>25.267299999999999</v>
      </c>
      <c r="AD5869">
        <v>-1.12486440529179</v>
      </c>
      <c r="AE5869">
        <v>0.63674000000000297</v>
      </c>
      <c r="AF5869">
        <v>-2.2080720834518202</v>
      </c>
      <c r="AG5869">
        <v>-1.12486440529179</v>
      </c>
      <c r="AH5869">
        <v>25.12853285768</v>
      </c>
      <c r="AI5869">
        <v>92.553276398433297</v>
      </c>
      <c r="AJ5869">
        <v>95.021745414567206</v>
      </c>
      <c r="AK5869">
        <v>25.250427042636598</v>
      </c>
      <c r="AL5869">
        <v>80.845449159608904</v>
      </c>
      <c r="AM5869">
        <v>96.363897597229993</v>
      </c>
      <c r="AN5869">
        <v>0.99999997490552905</v>
      </c>
    </row>
    <row r="5870" spans="1:40" x14ac:dyDescent="0.25">
      <c r="A5870" t="str">
        <f>"20190303162936571"</f>
        <v>20190303162936571</v>
      </c>
      <c r="B5870" t="str">
        <f>"1551601776557342"</f>
        <v>1551601776557342</v>
      </c>
      <c r="C5870" t="s">
        <v>40</v>
      </c>
      <c r="D5870">
        <v>5.4006360000000004</v>
      </c>
      <c r="E5870">
        <v>0.50827520000000004</v>
      </c>
      <c r="F5870" t="s">
        <v>64</v>
      </c>
      <c r="G5870">
        <v>-251.2353</v>
      </c>
      <c r="H5870" s="1">
        <v>-3.9404819999999999E-7</v>
      </c>
      <c r="I5870">
        <v>-63.657240000000002</v>
      </c>
      <c r="J5870">
        <v>-276.35989999999998</v>
      </c>
      <c r="K5870">
        <v>1.124978</v>
      </c>
      <c r="L5870">
        <v>-64.322109999999995</v>
      </c>
      <c r="M5870">
        <v>0.99813879999999999</v>
      </c>
      <c r="N5870">
        <v>-1.199042E-2</v>
      </c>
      <c r="O5870">
        <v>-5.979512E-2</v>
      </c>
      <c r="P5870">
        <v>0.98783659999999995</v>
      </c>
      <c r="Q5870">
        <v>0.14801689999999901</v>
      </c>
      <c r="R5870">
        <v>4.7645819999999998E-2</v>
      </c>
      <c r="S5870">
        <v>3.0535890000000001</v>
      </c>
      <c r="T5870">
        <v>-0.13585820000000001</v>
      </c>
      <c r="U5870">
        <v>7.9406740000000003E-2</v>
      </c>
      <c r="V5870">
        <v>-0.1081148</v>
      </c>
      <c r="W5870">
        <v>0.15879679999999999</v>
      </c>
      <c r="X5870">
        <v>0.98137390000000002</v>
      </c>
      <c r="Y5870">
        <v>-8.5589310000000002E-2</v>
      </c>
      <c r="Z5870">
        <v>4.3574099999999999E-3</v>
      </c>
      <c r="AA5870">
        <v>0.99632100000000001</v>
      </c>
      <c r="AB5870">
        <v>31</v>
      </c>
      <c r="AC5870">
        <v>25.124599999999901</v>
      </c>
      <c r="AD5870">
        <v>-1.1249783940481899</v>
      </c>
      <c r="AE5870">
        <v>0.66486999999999297</v>
      </c>
      <c r="AF5870">
        <v>-2.1617853144256598</v>
      </c>
      <c r="AG5870">
        <v>-1.1249783940481899</v>
      </c>
      <c r="AH5870">
        <v>24.9898118275574</v>
      </c>
      <c r="AI5870">
        <v>92.567993581430898</v>
      </c>
      <c r="AJ5870">
        <v>94.944158354573503</v>
      </c>
      <c r="AK5870">
        <v>25.108356921739599</v>
      </c>
      <c r="AL5870">
        <v>80.862934742253998</v>
      </c>
      <c r="AM5870">
        <v>96.286739719297103</v>
      </c>
      <c r="AN5870">
        <v>0.99999998263524403</v>
      </c>
    </row>
    <row r="5871" spans="1:40" x14ac:dyDescent="0.25">
      <c r="A5871" t="str">
        <f>"20190303162936583"</f>
        <v>20190303162936583</v>
      </c>
      <c r="B5871" t="str">
        <f>"1551601776577839"</f>
        <v>1551601776577839</v>
      </c>
      <c r="C5871" t="s">
        <v>40</v>
      </c>
      <c r="D5871">
        <v>5.3964030000000003</v>
      </c>
      <c r="E5871">
        <v>0.5084438</v>
      </c>
      <c r="F5871" t="s">
        <v>64</v>
      </c>
      <c r="G5871">
        <v>-251.44880000000001</v>
      </c>
      <c r="H5871" s="1">
        <v>-4.8266520000000003E-7</v>
      </c>
      <c r="I5871">
        <v>-63.643949999999997</v>
      </c>
      <c r="J5871">
        <v>-276.20240000000001</v>
      </c>
      <c r="K5871">
        <v>1.125089</v>
      </c>
      <c r="L5871">
        <v>-64.329279999999997</v>
      </c>
      <c r="M5871">
        <v>0.99829279999999998</v>
      </c>
      <c r="N5871">
        <v>-1.1994629999999999E-2</v>
      </c>
      <c r="O5871">
        <v>-5.7163680000000001E-2</v>
      </c>
      <c r="P5871">
        <v>0.98786510000000005</v>
      </c>
      <c r="Q5871">
        <v>0.14733579999999999</v>
      </c>
      <c r="R5871">
        <v>4.9139750000000003E-2</v>
      </c>
      <c r="S5871">
        <v>3.0536189999999999</v>
      </c>
      <c r="T5871">
        <v>-0.13790079999999999</v>
      </c>
      <c r="U5871">
        <v>8.3129880000000003E-2</v>
      </c>
      <c r="V5871">
        <v>-0.1070538</v>
      </c>
      <c r="W5871">
        <v>0.1581023</v>
      </c>
      <c r="X5871">
        <v>0.98160230000000004</v>
      </c>
      <c r="Y5871">
        <v>-8.41755E-2</v>
      </c>
      <c r="Z5871">
        <v>4.2983270000000002E-3</v>
      </c>
      <c r="AA5871">
        <v>0.99644169999999999</v>
      </c>
      <c r="AB5871">
        <v>31</v>
      </c>
      <c r="AC5871">
        <v>24.753599999999999</v>
      </c>
      <c r="AD5871">
        <v>-1.1250894826652</v>
      </c>
      <c r="AE5871">
        <v>0.68533000000001398</v>
      </c>
      <c r="AF5871">
        <v>-2.0949932064202601</v>
      </c>
      <c r="AG5871">
        <v>-1.1250894826652</v>
      </c>
      <c r="AH5871">
        <v>24.623110250616801</v>
      </c>
      <c r="AI5871">
        <v>92.606758028731704</v>
      </c>
      <c r="AJ5871">
        <v>94.863149940676607</v>
      </c>
      <c r="AK5871">
        <v>24.737671298911401</v>
      </c>
      <c r="AL5871">
        <v>80.903235615120707</v>
      </c>
      <c r="AM5871">
        <v>96.224093529442499</v>
      </c>
      <c r="AN5871">
        <v>0.99999996436250904</v>
      </c>
    </row>
    <row r="5872" spans="1:40" x14ac:dyDescent="0.25">
      <c r="A5872" t="str">
        <f>"20190303162936594"</f>
        <v>20190303162936594</v>
      </c>
      <c r="B5872" t="str">
        <f>"1551601776587598"</f>
        <v>1551601776587598</v>
      </c>
      <c r="C5872" t="s">
        <v>40</v>
      </c>
      <c r="D5872">
        <v>5.4543879999999998</v>
      </c>
      <c r="E5872">
        <v>0.50853879999999996</v>
      </c>
      <c r="F5872" t="s">
        <v>64</v>
      </c>
      <c r="G5872">
        <v>-252.11439999999999</v>
      </c>
      <c r="H5872" s="1">
        <v>-7.684741E-7</v>
      </c>
      <c r="I5872">
        <v>-63.645169999999901</v>
      </c>
      <c r="J5872">
        <v>-276.04520000000002</v>
      </c>
      <c r="K5872">
        <v>1.1251880000000001</v>
      </c>
      <c r="L5872">
        <v>-64.335599999999999</v>
      </c>
      <c r="M5872">
        <v>0.99844549999999999</v>
      </c>
      <c r="N5872">
        <v>-1.1999950000000001E-2</v>
      </c>
      <c r="O5872">
        <v>-5.4431449999999999E-2</v>
      </c>
      <c r="P5872">
        <v>0.98785040000000002</v>
      </c>
      <c r="Q5872">
        <v>0.14688479999999901</v>
      </c>
      <c r="R5872">
        <v>5.0761189999999998E-2</v>
      </c>
      <c r="S5872">
        <v>3.0538020000000001</v>
      </c>
      <c r="T5872">
        <v>-0.1426356</v>
      </c>
      <c r="U5872">
        <v>8.6730959999999996E-2</v>
      </c>
      <c r="V5872">
        <v>-0.106017</v>
      </c>
      <c r="W5872">
        <v>0.1576418</v>
      </c>
      <c r="X5872">
        <v>0.98178889999999996</v>
      </c>
      <c r="Y5872">
        <v>-8.2614969999999996E-2</v>
      </c>
      <c r="Z5872">
        <v>4.3111679999999998E-3</v>
      </c>
      <c r="AA5872">
        <v>0.99657220000000002</v>
      </c>
      <c r="AB5872">
        <v>31</v>
      </c>
      <c r="AC5872">
        <v>23.930800000000001</v>
      </c>
      <c r="AD5872">
        <v>-1.12518876847409</v>
      </c>
      <c r="AE5872">
        <v>0.69043000000000598</v>
      </c>
      <c r="AF5872">
        <v>-1.9876974930424101</v>
      </c>
      <c r="AG5872">
        <v>-1.12518876847409</v>
      </c>
      <c r="AH5872">
        <v>23.805150838459699</v>
      </c>
      <c r="AI5872">
        <v>92.696792334976706</v>
      </c>
      <c r="AJ5872">
        <v>94.773047073976798</v>
      </c>
      <c r="AK5872">
        <v>23.9144767354497</v>
      </c>
      <c r="AL5872">
        <v>80.929955660141204</v>
      </c>
      <c r="AM5872">
        <v>96.163117863508305</v>
      </c>
      <c r="AN5872">
        <v>0.99999999277972396</v>
      </c>
    </row>
    <row r="5873" spans="1:40" x14ac:dyDescent="0.25">
      <c r="A5873" t="str">
        <f>"20190303162936606"</f>
        <v>20190303162936606</v>
      </c>
      <c r="B5873" t="str">
        <f>"1551601776597359"</f>
        <v>1551601776597359</v>
      </c>
      <c r="C5873" t="s">
        <v>40</v>
      </c>
      <c r="D5873">
        <v>5.2832039999999996</v>
      </c>
      <c r="E5873">
        <v>0.50859900000000002</v>
      </c>
      <c r="F5873" t="s">
        <v>64</v>
      </c>
      <c r="G5873">
        <v>-252.25360000000001</v>
      </c>
      <c r="H5873" s="1">
        <v>-8.2395340000000001E-7</v>
      </c>
      <c r="I5873">
        <v>-63.626109999999997</v>
      </c>
      <c r="J5873">
        <v>-275.89409999999998</v>
      </c>
      <c r="K5873">
        <v>1.125281</v>
      </c>
      <c r="L5873">
        <v>-64.341459999999998</v>
      </c>
      <c r="M5873">
        <v>0.99858619999999998</v>
      </c>
      <c r="N5873">
        <v>-1.200476E-2</v>
      </c>
      <c r="O5873">
        <v>-5.1783650000000001E-2</v>
      </c>
      <c r="P5873">
        <v>0.98783580000000004</v>
      </c>
      <c r="Q5873">
        <v>0.14647789999999999</v>
      </c>
      <c r="R5873">
        <v>5.2198719999999997E-2</v>
      </c>
      <c r="S5873">
        <v>3.0536799999999999</v>
      </c>
      <c r="T5873">
        <v>-0.1444193</v>
      </c>
      <c r="U5873">
        <v>9.1064450000000005E-2</v>
      </c>
      <c r="V5873">
        <v>-0.1048779</v>
      </c>
      <c r="W5873">
        <v>0.1572279</v>
      </c>
      <c r="X5873">
        <v>0.98197760000000001</v>
      </c>
      <c r="Y5873">
        <v>-8.1386159999999999E-2</v>
      </c>
      <c r="Z5873">
        <v>4.2374029999999998E-3</v>
      </c>
      <c r="AA5873">
        <v>0.99667360000000005</v>
      </c>
      <c r="AB5873">
        <v>31</v>
      </c>
      <c r="AC5873">
        <v>23.6404999999999</v>
      </c>
      <c r="AD5873">
        <v>-1.1252818239533999</v>
      </c>
      <c r="AE5873">
        <v>0.71535000000000004</v>
      </c>
      <c r="AF5873">
        <v>-1.9342910747244699</v>
      </c>
      <c r="AG5873">
        <v>-1.1252818239533999</v>
      </c>
      <c r="AH5873">
        <v>23.518493549041601</v>
      </c>
      <c r="AI5873">
        <v>92.730119561039601</v>
      </c>
      <c r="AJ5873">
        <v>94.701739701617299</v>
      </c>
      <c r="AK5873">
        <v>23.624717563632199</v>
      </c>
      <c r="AL5873">
        <v>80.953969891178602</v>
      </c>
      <c r="AM5873">
        <v>96.096236861277603</v>
      </c>
      <c r="AN5873">
        <v>0.99999999667428896</v>
      </c>
    </row>
    <row r="5874" spans="1:40" x14ac:dyDescent="0.25">
      <c r="A5874" t="str">
        <f>"20190303162936615"</f>
        <v>20190303162936615</v>
      </c>
      <c r="B5874" t="str">
        <f>"1551601776608094"</f>
        <v>1551601776608094</v>
      </c>
      <c r="C5874" t="s">
        <v>40</v>
      </c>
      <c r="D5874">
        <v>5.2867439999999997</v>
      </c>
      <c r="E5874">
        <v>0.50862419999999997</v>
      </c>
      <c r="F5874" t="s">
        <v>64</v>
      </c>
      <c r="G5874">
        <v>-252.3843</v>
      </c>
      <c r="H5874" s="1">
        <v>-8.7599640000000003E-7</v>
      </c>
      <c r="I5874">
        <v>-63.607930000000003</v>
      </c>
      <c r="J5874">
        <v>-275.74590000000001</v>
      </c>
      <c r="K5874">
        <v>1.1253690000000001</v>
      </c>
      <c r="L5874">
        <v>-64.346620000000001</v>
      </c>
      <c r="M5874">
        <v>0.99872079999999996</v>
      </c>
      <c r="N5874">
        <v>-1.2010109999999999E-2</v>
      </c>
      <c r="O5874">
        <v>-4.9118969999999998E-2</v>
      </c>
      <c r="P5874">
        <v>0.98780630000000003</v>
      </c>
      <c r="Q5874">
        <v>0.14596300000000001</v>
      </c>
      <c r="R5874">
        <v>5.4166359999999997E-2</v>
      </c>
      <c r="S5874">
        <v>3.0535890000000001</v>
      </c>
      <c r="T5874">
        <v>-0.14615810000000001</v>
      </c>
      <c r="U5874">
        <v>9.5275879999999993E-2</v>
      </c>
      <c r="V5874">
        <v>-0.10424609999999999</v>
      </c>
      <c r="W5874">
        <v>0.15670329999999999</v>
      </c>
      <c r="X5874">
        <v>0.98212869999999997</v>
      </c>
      <c r="Y5874">
        <v>-8.0100899999999906E-2</v>
      </c>
      <c r="Z5874">
        <v>4.1561749999999998E-3</v>
      </c>
      <c r="AA5874">
        <v>0.9967781</v>
      </c>
      <c r="AB5874">
        <v>31</v>
      </c>
      <c r="AC5874">
        <v>23.361599999999999</v>
      </c>
      <c r="AD5874">
        <v>-1.1253698759963999</v>
      </c>
      <c r="AE5874">
        <v>0.73868999999999796</v>
      </c>
      <c r="AF5874">
        <v>-1.88101805357837</v>
      </c>
      <c r="AG5874">
        <v>-1.1253698759963999</v>
      </c>
      <c r="AH5874">
        <v>23.243228140940101</v>
      </c>
      <c r="AI5874">
        <v>92.762912564508696</v>
      </c>
      <c r="AJ5874">
        <v>94.6267254261179</v>
      </c>
      <c r="AK5874">
        <v>23.3463560473038</v>
      </c>
      <c r="AL5874">
        <v>80.984404357739905</v>
      </c>
      <c r="AM5874">
        <v>96.0588609383868</v>
      </c>
      <c r="AN5874">
        <v>0.99999997847989397</v>
      </c>
    </row>
    <row r="5875" spans="1:40" x14ac:dyDescent="0.25">
      <c r="A5875" t="str">
        <f>"20190303162936628"</f>
        <v>20190303162936628</v>
      </c>
      <c r="B5875" t="str">
        <f>"1551601776617854"</f>
        <v>1551601776617854</v>
      </c>
      <c r="C5875" t="s">
        <v>40</v>
      </c>
      <c r="D5875">
        <v>5.3990019999999896</v>
      </c>
      <c r="E5875">
        <v>0.50860079999999996</v>
      </c>
      <c r="F5875" t="s">
        <v>64</v>
      </c>
      <c r="G5875">
        <v>-252.64169999999999</v>
      </c>
      <c r="H5875" s="1">
        <v>-9.8034619999999899E-7</v>
      </c>
      <c r="I5875">
        <v>-63.580669999999998</v>
      </c>
      <c r="J5875">
        <v>-275.5872</v>
      </c>
      <c r="K5875">
        <v>1.1254630000000001</v>
      </c>
      <c r="L5875">
        <v>-64.351749999999996</v>
      </c>
      <c r="M5875">
        <v>0.99885869999999999</v>
      </c>
      <c r="N5875">
        <v>-1.201578E-2</v>
      </c>
      <c r="O5875">
        <v>-4.6226250000000003E-2</v>
      </c>
      <c r="P5875">
        <v>0.98772420000000005</v>
      </c>
      <c r="Q5875">
        <v>0.14580119999999999</v>
      </c>
      <c r="R5875">
        <v>5.6065039999999997E-2</v>
      </c>
      <c r="S5875">
        <v>3.053436</v>
      </c>
      <c r="T5875">
        <v>-0.1487279</v>
      </c>
      <c r="U5875">
        <v>0.10122680000000001</v>
      </c>
      <c r="V5875">
        <v>-0.1033234</v>
      </c>
      <c r="W5875">
        <v>0.1565347</v>
      </c>
      <c r="X5875">
        <v>0.98225309999999999</v>
      </c>
      <c r="Y5875">
        <v>-7.9154370000000002E-2</v>
      </c>
      <c r="Z5875">
        <v>4.0964959999999998E-3</v>
      </c>
      <c r="AA5875">
        <v>0.99685389999999996</v>
      </c>
      <c r="AB5875">
        <v>31</v>
      </c>
      <c r="AC5875">
        <v>22.945499999999999</v>
      </c>
      <c r="AD5875">
        <v>-1.1254639803462001</v>
      </c>
      <c r="AE5875">
        <v>0.77107999999999699</v>
      </c>
      <c r="AF5875">
        <v>-1.8266269891756199</v>
      </c>
      <c r="AG5875">
        <v>-1.1254639803462001</v>
      </c>
      <c r="AH5875">
        <v>22.830456256307599</v>
      </c>
      <c r="AI5875">
        <v>92.813227419844395</v>
      </c>
      <c r="AJ5875">
        <v>94.574396273756093</v>
      </c>
      <c r="AK5875">
        <v>22.931048126935099</v>
      </c>
      <c r="AL5875">
        <v>80.994185278852996</v>
      </c>
      <c r="AM5875">
        <v>96.004871554547705</v>
      </c>
      <c r="AN5875">
        <v>0.99999999487562896</v>
      </c>
    </row>
    <row r="5876" spans="1:40" x14ac:dyDescent="0.25">
      <c r="A5876" t="str">
        <f>"20190303162936639"</f>
        <v>20190303162936639</v>
      </c>
      <c r="B5876" t="str">
        <f>"1551601776627614"</f>
        <v>1551601776627614</v>
      </c>
      <c r="C5876" t="s">
        <v>40</v>
      </c>
      <c r="D5876">
        <v>5.4553949999999896</v>
      </c>
      <c r="E5876">
        <v>0.50867620000000002</v>
      </c>
      <c r="F5876" t="s">
        <v>64</v>
      </c>
      <c r="G5876">
        <v>-252.6891</v>
      </c>
      <c r="H5876" s="1">
        <v>-9.9218570000000001E-7</v>
      </c>
      <c r="I5876">
        <v>-63.542479999999998</v>
      </c>
      <c r="J5876">
        <v>-275.43180000000001</v>
      </c>
      <c r="K5876">
        <v>1.125553</v>
      </c>
      <c r="L5876">
        <v>-64.356319999999997</v>
      </c>
      <c r="M5876">
        <v>0.99898790000000004</v>
      </c>
      <c r="N5876">
        <v>-1.2021459999999999E-2</v>
      </c>
      <c r="O5876">
        <v>-4.3345359999999999E-2</v>
      </c>
      <c r="P5876">
        <v>0.98755729999999997</v>
      </c>
      <c r="Q5876">
        <v>0.14615729999999999</v>
      </c>
      <c r="R5876">
        <v>5.8039559999999997E-2</v>
      </c>
      <c r="S5876">
        <v>3.0533139999999999</v>
      </c>
      <c r="T5876">
        <v>-0.1500735</v>
      </c>
      <c r="U5876">
        <v>0.107910199999999</v>
      </c>
      <c r="V5876">
        <v>-0.1024886</v>
      </c>
      <c r="W5876">
        <v>0.1568832</v>
      </c>
      <c r="X5876">
        <v>0.98228499999999996</v>
      </c>
      <c r="Y5876">
        <v>-7.8460550000000004E-2</v>
      </c>
      <c r="Z5876">
        <v>4.0062789999999997E-3</v>
      </c>
      <c r="AA5876">
        <v>0.99690909999999999</v>
      </c>
      <c r="AB5876">
        <v>31</v>
      </c>
      <c r="AC5876">
        <v>22.742699999999999</v>
      </c>
      <c r="AD5876">
        <v>-1.1255539921856901</v>
      </c>
      <c r="AE5876">
        <v>0.81383999999999102</v>
      </c>
      <c r="AF5876">
        <v>-1.7945468498094199</v>
      </c>
      <c r="AG5876">
        <v>-1.1255539921856901</v>
      </c>
      <c r="AH5876">
        <v>22.630684119442599</v>
      </c>
      <c r="AI5876">
        <v>92.838406871691703</v>
      </c>
      <c r="AJ5876">
        <v>94.533899994324102</v>
      </c>
      <c r="AK5876">
        <v>22.7296091893256</v>
      </c>
      <c r="AL5876">
        <v>80.973968288317707</v>
      </c>
      <c r="AM5876">
        <v>95.956513464519105</v>
      </c>
      <c r="AN5876">
        <v>1.0000000363985899</v>
      </c>
    </row>
    <row r="5877" spans="1:40" x14ac:dyDescent="0.25">
      <c r="A5877" t="str">
        <f>"20190303162936651"</f>
        <v>20190303162936651</v>
      </c>
      <c r="B5877" t="str">
        <f>"1551601776637374"</f>
        <v>1551601776637374</v>
      </c>
      <c r="C5877" t="s">
        <v>40</v>
      </c>
      <c r="D5877">
        <v>5.4559850000000001</v>
      </c>
      <c r="E5877">
        <v>0.50885309999999995</v>
      </c>
      <c r="F5877" t="s">
        <v>64</v>
      </c>
      <c r="G5877">
        <v>-252.47550000000001</v>
      </c>
      <c r="H5877" s="1">
        <v>-8.9097399999999899E-7</v>
      </c>
      <c r="I5877">
        <v>-63.499319999999997</v>
      </c>
      <c r="J5877">
        <v>-275.2867</v>
      </c>
      <c r="K5877">
        <v>1.125637</v>
      </c>
      <c r="L5877">
        <v>-64.360019999999906</v>
      </c>
      <c r="M5877">
        <v>0.99910299999999996</v>
      </c>
      <c r="N5877">
        <v>-1.2027120000000001E-2</v>
      </c>
      <c r="O5877">
        <v>-4.0604439999999999E-2</v>
      </c>
      <c r="P5877">
        <v>0.9873883</v>
      </c>
      <c r="Q5877">
        <v>0.1464809</v>
      </c>
      <c r="R5877">
        <v>6.0065180000000003E-2</v>
      </c>
      <c r="S5877">
        <v>3.053223</v>
      </c>
      <c r="T5877">
        <v>-0.149700799999999</v>
      </c>
      <c r="U5877">
        <v>0.11398320000000001</v>
      </c>
      <c r="V5877">
        <v>-0.101839899999999</v>
      </c>
      <c r="W5877">
        <v>0.15720010000000001</v>
      </c>
      <c r="X5877">
        <v>0.9823018</v>
      </c>
      <c r="Y5877">
        <v>-7.771053E-2</v>
      </c>
      <c r="Z5877">
        <v>3.8720730000000002E-3</v>
      </c>
      <c r="AA5877">
        <v>0.99696839999999998</v>
      </c>
      <c r="AB5877">
        <v>31</v>
      </c>
      <c r="AC5877">
        <v>22.8111999999999</v>
      </c>
      <c r="AD5877">
        <v>-1.1256378909739999</v>
      </c>
      <c r="AE5877">
        <v>0.86069999999999403</v>
      </c>
      <c r="AF5877">
        <v>-1.7819600697917599</v>
      </c>
      <c r="AG5877">
        <v>-1.1256378909739999</v>
      </c>
      <c r="AH5877">
        <v>22.7022324851009</v>
      </c>
      <c r="AI5877">
        <v>92.829864645753702</v>
      </c>
      <c r="AJ5877">
        <v>94.488099683585304</v>
      </c>
      <c r="AK5877">
        <v>22.799864082039999</v>
      </c>
      <c r="AL5877">
        <v>80.955583088139704</v>
      </c>
      <c r="AM5877">
        <v>95.918979807979099</v>
      </c>
      <c r="AN5877">
        <v>1.0000000314776201</v>
      </c>
    </row>
    <row r="5878" spans="1:40" x14ac:dyDescent="0.25">
      <c r="A5878" t="str">
        <f>"20190303162936661"</f>
        <v>20190303162936661</v>
      </c>
      <c r="B5878" t="str">
        <f>"1551601776648111"</f>
        <v>1551601776648111</v>
      </c>
      <c r="C5878" t="s">
        <v>40</v>
      </c>
      <c r="D5878">
        <v>5.4642299999999997</v>
      </c>
      <c r="E5878">
        <v>0.50900349999999905</v>
      </c>
      <c r="F5878" t="s">
        <v>64</v>
      </c>
      <c r="G5878">
        <v>-252.34190000000001</v>
      </c>
      <c r="H5878" s="1">
        <v>-8.2529109999999997E-7</v>
      </c>
      <c r="I5878">
        <v>-63.4617199999999</v>
      </c>
      <c r="J5878">
        <v>-275.12650000000002</v>
      </c>
      <c r="K5878">
        <v>1.1257250000000001</v>
      </c>
      <c r="L5878">
        <v>-64.363829999999993</v>
      </c>
      <c r="M5878">
        <v>0.99922239999999996</v>
      </c>
      <c r="N5878">
        <v>-1.203328E-2</v>
      </c>
      <c r="O5878">
        <v>-3.7548350000000001E-2</v>
      </c>
      <c r="P5878">
        <v>0.9872377</v>
      </c>
      <c r="Q5878">
        <v>0.14638789999999999</v>
      </c>
      <c r="R5878">
        <v>6.2710089999999996E-2</v>
      </c>
      <c r="S5878">
        <v>3.0532840000000001</v>
      </c>
      <c r="T5878">
        <v>-0.1497898</v>
      </c>
      <c r="U5878">
        <v>0.1195374</v>
      </c>
      <c r="V5878">
        <v>-0.1015001</v>
      </c>
      <c r="W5878">
        <v>0.1570956</v>
      </c>
      <c r="X5878">
        <v>0.9823537</v>
      </c>
      <c r="Y5878">
        <v>-7.6475070000000006E-2</v>
      </c>
      <c r="Z5878">
        <v>3.723503E-3</v>
      </c>
      <c r="AA5878">
        <v>0.99706450000000002</v>
      </c>
      <c r="AB5878">
        <v>31</v>
      </c>
      <c r="AC5878">
        <v>22.784600000000001</v>
      </c>
      <c r="AD5878">
        <v>-1.1257258252911</v>
      </c>
      <c r="AE5878">
        <v>0.90211000000001396</v>
      </c>
      <c r="AF5878">
        <v>-1.75278779461625</v>
      </c>
      <c r="AG5878">
        <v>-1.1257258252911</v>
      </c>
      <c r="AH5878">
        <v>22.679379471115201</v>
      </c>
      <c r="AI5878">
        <v>92.833196811777498</v>
      </c>
      <c r="AJ5878">
        <v>94.4193494840044</v>
      </c>
      <c r="AK5878">
        <v>22.774849656617398</v>
      </c>
      <c r="AL5878">
        <v>80.961645947968407</v>
      </c>
      <c r="AM5878">
        <v>95.899060519252302</v>
      </c>
      <c r="AN5878">
        <v>1.0000000448715201</v>
      </c>
    </row>
    <row r="5879" spans="1:40" x14ac:dyDescent="0.25">
      <c r="A5879" t="str">
        <f>"20190303162936672"</f>
        <v>20190303162936672</v>
      </c>
      <c r="B5879" t="str">
        <f>"1551601776657870"</f>
        <v>1551601776657870</v>
      </c>
      <c r="C5879" t="s">
        <v>40</v>
      </c>
      <c r="D5879">
        <v>5.2694229999999997</v>
      </c>
      <c r="E5879">
        <v>0.5088935</v>
      </c>
      <c r="F5879" t="s">
        <v>64</v>
      </c>
      <c r="G5879">
        <v>-252.31800000000001</v>
      </c>
      <c r="H5879" s="1">
        <v>-8.0381640000000002E-7</v>
      </c>
      <c r="I5879">
        <v>-63.411290000000001</v>
      </c>
      <c r="J5879">
        <v>-274.9812</v>
      </c>
      <c r="K5879">
        <v>1.1258030000000001</v>
      </c>
      <c r="L5879">
        <v>-64.366519999999994</v>
      </c>
      <c r="M5879">
        <v>0.99932520000000002</v>
      </c>
      <c r="N5879">
        <v>-1.2039660000000001E-2</v>
      </c>
      <c r="O5879">
        <v>-3.4705180000000002E-2</v>
      </c>
      <c r="P5879">
        <v>0.98711289999999996</v>
      </c>
      <c r="Q5879">
        <v>0.14619770000000001</v>
      </c>
      <c r="R5879">
        <v>6.5074720000000003E-2</v>
      </c>
      <c r="S5879">
        <v>3.0530400000000002</v>
      </c>
      <c r="T5879">
        <v>-0.15068419999999999</v>
      </c>
      <c r="U5879">
        <v>0.12750239999999999</v>
      </c>
      <c r="V5879">
        <v>-0.10108640000000001</v>
      </c>
      <c r="W5879">
        <v>0.156897799999999</v>
      </c>
      <c r="X5879">
        <v>0.98242790000000002</v>
      </c>
      <c r="Y5879">
        <v>-7.6238979999999998E-2</v>
      </c>
      <c r="Z5879">
        <v>3.6326420000000002E-3</v>
      </c>
      <c r="AA5879">
        <v>0.99708289999999999</v>
      </c>
      <c r="AB5879">
        <v>31</v>
      </c>
      <c r="AC5879">
        <v>22.6632</v>
      </c>
      <c r="AD5879">
        <v>-1.1258038038164</v>
      </c>
      <c r="AE5879">
        <v>0.95522999999999303</v>
      </c>
      <c r="AF5879">
        <v>-1.7369632150792</v>
      </c>
      <c r="AG5879">
        <v>-1.1258038038164</v>
      </c>
      <c r="AH5879">
        <v>22.5608183452118</v>
      </c>
      <c r="AI5879">
        <v>92.848322659729007</v>
      </c>
      <c r="AJ5879">
        <v>94.402531859924196</v>
      </c>
      <c r="AK5879">
        <v>22.655573261801901</v>
      </c>
      <c r="AL5879">
        <v>80.973120760935899</v>
      </c>
      <c r="AM5879">
        <v>95.874744681789906</v>
      </c>
      <c r="AN5879">
        <v>0.999999979304104</v>
      </c>
    </row>
    <row r="5880" spans="1:40" x14ac:dyDescent="0.25">
      <c r="A5880" t="str">
        <f>"20190303162936684"</f>
        <v>20190303162936684</v>
      </c>
      <c r="B5880" t="str">
        <f>"1551601776677390"</f>
        <v>1551601776677390</v>
      </c>
      <c r="C5880" t="s">
        <v>40</v>
      </c>
      <c r="D5880">
        <v>5.5084330000000001</v>
      </c>
      <c r="E5880">
        <v>0.4876781</v>
      </c>
      <c r="F5880" t="s">
        <v>64</v>
      </c>
      <c r="G5880">
        <v>-252.26589999999999</v>
      </c>
      <c r="H5880" s="1">
        <v>-7.6799400000000004E-7</v>
      </c>
      <c r="I5880">
        <v>-63.350729999999999</v>
      </c>
      <c r="J5880">
        <v>-274.82639999999998</v>
      </c>
      <c r="K5880">
        <v>1.1258840000000001</v>
      </c>
      <c r="L5880">
        <v>-64.369230000000002</v>
      </c>
      <c r="M5880">
        <v>0.99942620000000004</v>
      </c>
      <c r="N5880">
        <v>-1.204615E-2</v>
      </c>
      <c r="O5880">
        <v>-3.1659729999999997E-2</v>
      </c>
      <c r="P5880">
        <v>0.98697590000000002</v>
      </c>
      <c r="Q5880">
        <v>0.145779399999999</v>
      </c>
      <c r="R5880">
        <v>6.8023550000000002E-2</v>
      </c>
      <c r="S5880">
        <v>3.0525820000000001</v>
      </c>
      <c r="T5880">
        <v>-0.15129020000000001</v>
      </c>
      <c r="U5880">
        <v>0.13650509999999999</v>
      </c>
      <c r="V5880">
        <v>-0.1010583</v>
      </c>
      <c r="W5880">
        <v>0.15646640000000001</v>
      </c>
      <c r="X5880">
        <v>0.98249960000000003</v>
      </c>
      <c r="Y5880">
        <v>-7.614303E-2</v>
      </c>
      <c r="Z5880">
        <v>3.5304210000000002E-3</v>
      </c>
      <c r="AA5880">
        <v>0.99709060000000005</v>
      </c>
      <c r="AB5880">
        <v>31</v>
      </c>
      <c r="AC5880">
        <v>22.560499999999902</v>
      </c>
      <c r="AD5880">
        <v>-1.1258847679940001</v>
      </c>
      <c r="AE5880">
        <v>1.01849999999999</v>
      </c>
      <c r="AF5880">
        <v>-1.7280055778593599</v>
      </c>
      <c r="AG5880">
        <v>-1.1258847679940001</v>
      </c>
      <c r="AH5880">
        <v>22.4611149944438</v>
      </c>
      <c r="AI5880">
        <v>92.861163085834704</v>
      </c>
      <c r="AJ5880">
        <v>94.399282271245795</v>
      </c>
      <c r="AK5880">
        <v>22.555604770911</v>
      </c>
      <c r="AL5880">
        <v>80.998147350568303</v>
      </c>
      <c r="AM5880">
        <v>95.8726974291354</v>
      </c>
      <c r="AN5880">
        <v>0.99999998916400401</v>
      </c>
    </row>
    <row r="5881" spans="1:40" x14ac:dyDescent="0.25">
      <c r="A5881" t="str">
        <f>"20190303162936694"</f>
        <v>20190303162936694</v>
      </c>
      <c r="B5881" t="str">
        <f>"1551601776688127"</f>
        <v>1551601776688127</v>
      </c>
      <c r="C5881" t="s">
        <v>40</v>
      </c>
      <c r="D5881">
        <v>5.4429509999999999</v>
      </c>
      <c r="E5881">
        <v>0.48338320000000001</v>
      </c>
      <c r="F5881" t="s">
        <v>65</v>
      </c>
      <c r="G5881">
        <v>-247.89449999999999</v>
      </c>
      <c r="H5881" s="1">
        <v>-2.692972E-6</v>
      </c>
      <c r="I5881">
        <v>-61.583039999999997</v>
      </c>
      <c r="J5881">
        <v>-274.66669999999999</v>
      </c>
      <c r="K5881">
        <v>1.1259680000000001</v>
      </c>
      <c r="L5881">
        <v>-64.37115</v>
      </c>
      <c r="M5881">
        <v>0.99952300000000005</v>
      </c>
      <c r="N5881">
        <v>-1.205404E-2</v>
      </c>
      <c r="O5881">
        <v>-2.8434279999999999E-2</v>
      </c>
      <c r="P5881">
        <v>0.98683169999999998</v>
      </c>
      <c r="Q5881">
        <v>0.1451749</v>
      </c>
      <c r="R5881">
        <v>7.1326500000000001E-2</v>
      </c>
      <c r="S5881">
        <v>3.0366819999999999</v>
      </c>
      <c r="T5881">
        <v>-0.12694819999999901</v>
      </c>
      <c r="U5881">
        <v>0.31414789999999998</v>
      </c>
      <c r="V5881">
        <v>-0.10120460000000001</v>
      </c>
      <c r="W5881">
        <v>0.1558475</v>
      </c>
      <c r="X5881">
        <v>0.98258290000000004</v>
      </c>
      <c r="Y5881">
        <v>-0.13098699999999999</v>
      </c>
      <c r="Z5881">
        <v>4.365191E-3</v>
      </c>
      <c r="AA5881">
        <v>0.99137450000000005</v>
      </c>
      <c r="AB5881">
        <v>31</v>
      </c>
      <c r="AC5881">
        <v>26.772200000000002</v>
      </c>
      <c r="AD5881">
        <v>-1.1259706929719999</v>
      </c>
      <c r="AE5881">
        <v>2.7881099999999899</v>
      </c>
      <c r="AF5881">
        <v>-3.5420879027679</v>
      </c>
      <c r="AG5881">
        <v>-1.1259706929719999</v>
      </c>
      <c r="AH5881">
        <v>26.635481663425299</v>
      </c>
      <c r="AI5881">
        <v>92.399542971898597</v>
      </c>
      <c r="AJ5881">
        <v>97.574966207264197</v>
      </c>
      <c r="AK5881">
        <v>26.893550902679898</v>
      </c>
      <c r="AL5881">
        <v>81.034048092114901</v>
      </c>
      <c r="AM5881">
        <v>95.880644574077806</v>
      </c>
      <c r="AN5881">
        <v>0.99999998484490904</v>
      </c>
    </row>
    <row r="5882" spans="1:40" x14ac:dyDescent="0.25">
      <c r="A5882" t="str">
        <f>"20190303162936706"</f>
        <v>20190303162936706</v>
      </c>
      <c r="B5882" t="str">
        <f>"1551601776697886"</f>
        <v>1551601776697886</v>
      </c>
      <c r="C5882" t="s">
        <v>40</v>
      </c>
      <c r="D5882">
        <v>5.5022760000000002</v>
      </c>
      <c r="E5882">
        <v>0.4810914</v>
      </c>
      <c r="F5882" t="s">
        <v>65</v>
      </c>
      <c r="G5882">
        <v>-248.26070000000001</v>
      </c>
      <c r="H5882" s="1">
        <v>-2.7614400000000002E-6</v>
      </c>
      <c r="I5882">
        <v>-61.249850000000002</v>
      </c>
      <c r="J5882">
        <v>-274.51920000000001</v>
      </c>
      <c r="K5882">
        <v>1.126045</v>
      </c>
      <c r="L5882">
        <v>-64.372619999999998</v>
      </c>
      <c r="M5882">
        <v>0.99960380000000004</v>
      </c>
      <c r="N5882">
        <v>-1.206113E-2</v>
      </c>
      <c r="O5882">
        <v>-2.5434979999999999E-2</v>
      </c>
      <c r="P5882">
        <v>0.98666419999999999</v>
      </c>
      <c r="Q5882">
        <v>0.14479429999999999</v>
      </c>
      <c r="R5882">
        <v>7.4354009999999998E-2</v>
      </c>
      <c r="S5882">
        <v>3.033112</v>
      </c>
      <c r="T5882">
        <v>-0.12933430000000001</v>
      </c>
      <c r="U5882">
        <v>0.35852050000000002</v>
      </c>
      <c r="V5882">
        <v>-0.1012991</v>
      </c>
      <c r="W5882">
        <v>0.1554537</v>
      </c>
      <c r="X5882">
        <v>0.98263560000000005</v>
      </c>
      <c r="Y5882">
        <v>-0.142432</v>
      </c>
      <c r="Z5882">
        <v>4.6623699999999999E-3</v>
      </c>
      <c r="AA5882">
        <v>0.98979360000000005</v>
      </c>
      <c r="AB5882">
        <v>31</v>
      </c>
      <c r="AC5882">
        <v>26.258500000000002</v>
      </c>
      <c r="AD5882">
        <v>-1.12604776144</v>
      </c>
      <c r="AE5882">
        <v>3.1227699999999898</v>
      </c>
      <c r="AF5882">
        <v>-3.78283303173531</v>
      </c>
      <c r="AG5882">
        <v>-1.12604776144</v>
      </c>
      <c r="AH5882">
        <v>26.123200473866898</v>
      </c>
      <c r="AI5882">
        <v>92.442775147137496</v>
      </c>
      <c r="AJ5882">
        <v>98.239579629085696</v>
      </c>
      <c r="AK5882">
        <v>26.419678504949101</v>
      </c>
      <c r="AL5882">
        <v>81.056890068759799</v>
      </c>
      <c r="AM5882">
        <v>95.885783639963194</v>
      </c>
      <c r="AN5882">
        <v>1.00000004144592</v>
      </c>
    </row>
    <row r="5883" spans="1:40" x14ac:dyDescent="0.25">
      <c r="A5883" t="str">
        <f>"20190303162936716"</f>
        <v>20190303162936716</v>
      </c>
      <c r="B5883" t="str">
        <f>"1551601776707647"</f>
        <v>1551601776707647</v>
      </c>
      <c r="C5883" t="s">
        <v>40</v>
      </c>
      <c r="D5883">
        <v>5.501728</v>
      </c>
      <c r="E5883">
        <v>0.47981600000000002</v>
      </c>
      <c r="F5883" t="s">
        <v>65</v>
      </c>
      <c r="G5883">
        <v>-248.30109999999999</v>
      </c>
      <c r="H5883" s="1">
        <v>-2.7214389999999999E-6</v>
      </c>
      <c r="I5883">
        <v>-61.034350000000003</v>
      </c>
      <c r="J5883">
        <v>-274.37689999999998</v>
      </c>
      <c r="K5883">
        <v>1.1261219999999901</v>
      </c>
      <c r="L5883">
        <v>-64.373440000000002</v>
      </c>
      <c r="M5883">
        <v>0.99967419999999996</v>
      </c>
      <c r="N5883">
        <v>-1.206844E-2</v>
      </c>
      <c r="O5883">
        <v>-2.2491250000000001E-2</v>
      </c>
      <c r="P5883">
        <v>0.98651</v>
      </c>
      <c r="Q5883">
        <v>0.14433089999999901</v>
      </c>
      <c r="R5883">
        <v>7.7244229999999997E-2</v>
      </c>
      <c r="S5883">
        <v>3.030548</v>
      </c>
      <c r="T5883">
        <v>-0.1301601</v>
      </c>
      <c r="U5883">
        <v>0.38586429999999999</v>
      </c>
      <c r="V5883">
        <v>-0.1013081</v>
      </c>
      <c r="W5883">
        <v>0.15498029999999999</v>
      </c>
      <c r="X5883">
        <v>0.98270939999999996</v>
      </c>
      <c r="Y5883">
        <v>-0.14840239999999999</v>
      </c>
      <c r="Z5883">
        <v>4.7640449999999997E-3</v>
      </c>
      <c r="AA5883">
        <v>0.98891560000000001</v>
      </c>
      <c r="AB5883">
        <v>31</v>
      </c>
      <c r="AC5883">
        <v>26.075799999999902</v>
      </c>
      <c r="AD5883">
        <v>-1.12612472143899</v>
      </c>
      <c r="AE5883">
        <v>3.3390899999999899</v>
      </c>
      <c r="AF5883">
        <v>-3.9175765484639302</v>
      </c>
      <c r="AG5883">
        <v>-1.12612472143899</v>
      </c>
      <c r="AH5883">
        <v>25.946485542525998</v>
      </c>
      <c r="AI5883">
        <v>92.457363784449299</v>
      </c>
      <c r="AJ5883">
        <v>98.586052326129803</v>
      </c>
      <c r="AK5883">
        <v>26.264723012242499</v>
      </c>
      <c r="AL5883">
        <v>81.084346232410596</v>
      </c>
      <c r="AM5883">
        <v>95.885863946587506</v>
      </c>
      <c r="AN5883">
        <v>0.99999999468102996</v>
      </c>
    </row>
    <row r="5884" spans="1:40" x14ac:dyDescent="0.25">
      <c r="A5884" t="str">
        <f>"20190303162936727"</f>
        <v>20190303162936727</v>
      </c>
      <c r="B5884" t="str">
        <f>"1551601776717406"</f>
        <v>1551601776717406</v>
      </c>
      <c r="C5884" t="s">
        <v>40</v>
      </c>
      <c r="D5884">
        <v>5.502294</v>
      </c>
      <c r="E5884">
        <v>0.47922429999999999</v>
      </c>
      <c r="F5884" t="s">
        <v>65</v>
      </c>
      <c r="G5884">
        <v>-248.94059999999999</v>
      </c>
      <c r="H5884" s="1">
        <v>-2.9794429999999999E-6</v>
      </c>
      <c r="I5884">
        <v>-60.973059999999997</v>
      </c>
      <c r="J5884">
        <v>-274.22919999999999</v>
      </c>
      <c r="K5884">
        <v>1.126198</v>
      </c>
      <c r="L5884">
        <v>-64.373990000000006</v>
      </c>
      <c r="M5884">
        <v>0.99973869999999998</v>
      </c>
      <c r="N5884">
        <v>-1.2075860000000001E-2</v>
      </c>
      <c r="O5884">
        <v>-1.940865E-2</v>
      </c>
      <c r="P5884">
        <v>0.98636849999999998</v>
      </c>
      <c r="Q5884">
        <v>0.144055399999999</v>
      </c>
      <c r="R5884">
        <v>7.95323E-2</v>
      </c>
      <c r="S5884">
        <v>3.028931</v>
      </c>
      <c r="T5884">
        <v>-0.13409769999999999</v>
      </c>
      <c r="U5884">
        <v>0.40490720000000002</v>
      </c>
      <c r="V5884">
        <v>-0.1005824</v>
      </c>
      <c r="W5884">
        <v>0.154703799999999</v>
      </c>
      <c r="X5884">
        <v>0.98282749999999997</v>
      </c>
      <c r="Y5884">
        <v>-0.15151899999999999</v>
      </c>
      <c r="Z5884">
        <v>4.879174E-3</v>
      </c>
      <c r="AA5884">
        <v>0.9884423</v>
      </c>
      <c r="AB5884">
        <v>31</v>
      </c>
      <c r="AC5884">
        <v>25.288599999999999</v>
      </c>
      <c r="AD5884">
        <v>-1.1262009794429999</v>
      </c>
      <c r="AE5884">
        <v>3.4009299999999998</v>
      </c>
      <c r="AF5884">
        <v>-3.88357730708716</v>
      </c>
      <c r="AG5884">
        <v>-1.1262009794429999</v>
      </c>
      <c r="AH5884">
        <v>25.168793731301701</v>
      </c>
      <c r="AI5884">
        <v>92.532117275049103</v>
      </c>
      <c r="AJ5884">
        <v>98.771634879736794</v>
      </c>
      <c r="AK5884">
        <v>25.4915413271742</v>
      </c>
      <c r="AL5884">
        <v>81.100381874733301</v>
      </c>
      <c r="AM5884">
        <v>95.843297232686893</v>
      </c>
      <c r="AN5884">
        <v>0.99999998984022498</v>
      </c>
    </row>
    <row r="5885" spans="1:40" x14ac:dyDescent="0.25">
      <c r="A5885" t="str">
        <f>"20190303162936738"</f>
        <v>20190303162936738</v>
      </c>
      <c r="B5885" t="str">
        <f>"1551601776728143"</f>
        <v>1551601776728143</v>
      </c>
      <c r="C5885" t="s">
        <v>40</v>
      </c>
      <c r="D5885">
        <v>5.5526150000000003</v>
      </c>
      <c r="E5885">
        <v>0.47924860000000002</v>
      </c>
      <c r="F5885" t="s">
        <v>65</v>
      </c>
      <c r="G5885">
        <v>-248.9365</v>
      </c>
      <c r="H5885" s="1">
        <v>-2.9563110000000001E-6</v>
      </c>
      <c r="I5885">
        <v>-60.892609999999998</v>
      </c>
      <c r="J5885">
        <v>-274.07479999999998</v>
      </c>
      <c r="K5885">
        <v>1.1262730000000001</v>
      </c>
      <c r="L5885">
        <v>-64.373900000000006</v>
      </c>
      <c r="M5885">
        <v>0.99979669999999998</v>
      </c>
      <c r="N5885">
        <v>-1.2083669999999999E-2</v>
      </c>
      <c r="O5885">
        <v>-1.613962E-2</v>
      </c>
      <c r="P5885">
        <v>0.98613139999999999</v>
      </c>
      <c r="Q5885">
        <v>0.14434559999999999</v>
      </c>
      <c r="R5885">
        <v>8.1909040000000002E-2</v>
      </c>
      <c r="S5885">
        <v>3.0275569999999998</v>
      </c>
      <c r="T5885">
        <v>-0.13480719999999999</v>
      </c>
      <c r="U5885">
        <v>0.41671750000000002</v>
      </c>
      <c r="V5885">
        <v>-9.9767499999999995E-2</v>
      </c>
      <c r="W5885">
        <v>0.1549944</v>
      </c>
      <c r="X5885">
        <v>0.98286479999999998</v>
      </c>
      <c r="Y5885">
        <v>-0.15213109999999999</v>
      </c>
      <c r="Z5885">
        <v>4.8145749999999998E-3</v>
      </c>
      <c r="AA5885">
        <v>0.98834860000000002</v>
      </c>
      <c r="AB5885">
        <v>31</v>
      </c>
      <c r="AC5885">
        <v>25.138299999999902</v>
      </c>
      <c r="AD5885">
        <v>-1.1262759563110001</v>
      </c>
      <c r="AE5885">
        <v>3.48129</v>
      </c>
      <c r="AF5885">
        <v>-3.8789489375638202</v>
      </c>
      <c r="AG5885">
        <v>-1.1262759563110001</v>
      </c>
      <c r="AH5885">
        <v>25.029537401226499</v>
      </c>
      <c r="AI5885">
        <v>92.546097287068406</v>
      </c>
      <c r="AJ5885">
        <v>98.809326097153104</v>
      </c>
      <c r="AK5885">
        <v>25.353352537867401</v>
      </c>
      <c r="AL5885">
        <v>81.083528677456798</v>
      </c>
      <c r="AM5885">
        <v>95.796061087984697</v>
      </c>
      <c r="AN5885">
        <v>1.0000000165833201</v>
      </c>
    </row>
    <row r="5886" spans="1:40" x14ac:dyDescent="0.25">
      <c r="A5886" t="str">
        <f>"20190303162936749"</f>
        <v>20190303162936749</v>
      </c>
      <c r="B5886" t="str">
        <f>"1551601776737903"</f>
        <v>1551601776737903</v>
      </c>
      <c r="C5886" t="s">
        <v>40</v>
      </c>
      <c r="D5886">
        <v>5.604419</v>
      </c>
      <c r="E5886">
        <v>0.47943029999999998</v>
      </c>
      <c r="F5886" t="s">
        <v>65</v>
      </c>
      <c r="G5886">
        <v>-248.61</v>
      </c>
      <c r="H5886" s="1">
        <v>-2.793277E-6</v>
      </c>
      <c r="I5886">
        <v>-60.806330000000003</v>
      </c>
      <c r="J5886">
        <v>-273.92489999999998</v>
      </c>
      <c r="K5886">
        <v>1.126336</v>
      </c>
      <c r="L5886">
        <v>-64.373319999999893</v>
      </c>
      <c r="M5886">
        <v>0.9998435</v>
      </c>
      <c r="N5886">
        <v>-1.209116E-2</v>
      </c>
      <c r="O5886">
        <v>-1.2926969999999999E-2</v>
      </c>
      <c r="P5886">
        <v>0.98591329999999999</v>
      </c>
      <c r="Q5886">
        <v>0.1447927</v>
      </c>
      <c r="R5886">
        <v>8.3725750000000002E-2</v>
      </c>
      <c r="S5886">
        <v>3.0265810000000002</v>
      </c>
      <c r="T5886">
        <v>-0.13386189999999901</v>
      </c>
      <c r="U5886">
        <v>0.42401119999999998</v>
      </c>
      <c r="V5886">
        <v>-9.8449419999999996E-2</v>
      </c>
      <c r="W5886">
        <v>0.15544949999999999</v>
      </c>
      <c r="X5886">
        <v>0.98292579999999996</v>
      </c>
      <c r="Y5886">
        <v>-0.15134010000000001</v>
      </c>
      <c r="Z5886">
        <v>4.6622520000000004E-3</v>
      </c>
      <c r="AA5886">
        <v>0.98847070000000004</v>
      </c>
      <c r="AB5886">
        <v>31</v>
      </c>
      <c r="AC5886">
        <v>25.314899999999898</v>
      </c>
      <c r="AD5886">
        <v>-1.1263387932769999</v>
      </c>
      <c r="AE5886">
        <v>3.5669899999999899</v>
      </c>
      <c r="AF5886">
        <v>-3.8864168152447598</v>
      </c>
      <c r="AG5886">
        <v>-1.1263387932769999</v>
      </c>
      <c r="AH5886">
        <v>25.217720643235001</v>
      </c>
      <c r="AI5886">
        <v>92.527590758081402</v>
      </c>
      <c r="AJ5886">
        <v>98.761182168529203</v>
      </c>
      <c r="AK5886">
        <v>25.540287961949499</v>
      </c>
      <c r="AL5886">
        <v>81.057133134853302</v>
      </c>
      <c r="AM5886">
        <v>95.719644844609704</v>
      </c>
      <c r="AN5886">
        <v>0.99999998182711303</v>
      </c>
    </row>
    <row r="5887" spans="1:40" x14ac:dyDescent="0.25">
      <c r="A5887" t="str">
        <f>"20190303162936761"</f>
        <v>20190303162936761</v>
      </c>
      <c r="B5887" t="str">
        <f>"1551601776747662"</f>
        <v>1551601776747662</v>
      </c>
      <c r="C5887" t="s">
        <v>40</v>
      </c>
      <c r="D5887">
        <v>5.4821479999999996</v>
      </c>
      <c r="E5887">
        <v>0.47967520000000002</v>
      </c>
      <c r="F5887" t="s">
        <v>65</v>
      </c>
      <c r="G5887">
        <v>-247.99170000000001</v>
      </c>
      <c r="H5887" s="1">
        <v>-2.5003320000000001E-6</v>
      </c>
      <c r="I5887">
        <v>-60.702260000000003</v>
      </c>
      <c r="J5887">
        <v>-273.75940000000003</v>
      </c>
      <c r="K5887">
        <v>1.1264110000000001</v>
      </c>
      <c r="L5887">
        <v>-64.372219999999999</v>
      </c>
      <c r="M5887">
        <v>0.99988319999999997</v>
      </c>
      <c r="N5887">
        <v>-1.2099159999999999E-2</v>
      </c>
      <c r="O5887">
        <v>-9.3471720000000008E-3</v>
      </c>
      <c r="P5887">
        <v>0.98567879999999997</v>
      </c>
      <c r="Q5887">
        <v>0.1452473</v>
      </c>
      <c r="R5887">
        <v>8.5678550000000006E-2</v>
      </c>
      <c r="S5887">
        <v>3.025757</v>
      </c>
      <c r="T5887">
        <v>-0.13141539999999999</v>
      </c>
      <c r="U5887">
        <v>0.42831419999999998</v>
      </c>
      <c r="V5887">
        <v>-9.6908079999999994E-2</v>
      </c>
      <c r="W5887">
        <v>0.15591529999999901</v>
      </c>
      <c r="X5887">
        <v>0.98300520000000002</v>
      </c>
      <c r="Y5887">
        <v>-0.14922669999999999</v>
      </c>
      <c r="Z5887">
        <v>4.422207E-3</v>
      </c>
      <c r="AA5887">
        <v>0.98879309999999998</v>
      </c>
      <c r="AB5887">
        <v>31</v>
      </c>
      <c r="AC5887">
        <v>25.767700000000001</v>
      </c>
      <c r="AD5887">
        <v>-1.1264135003319999</v>
      </c>
      <c r="AE5887">
        <v>3.6699600000000001</v>
      </c>
      <c r="AF5887">
        <v>-3.9033616391282302</v>
      </c>
      <c r="AG5887">
        <v>-1.1264135003319999</v>
      </c>
      <c r="AH5887">
        <v>25.684163102617401</v>
      </c>
      <c r="AI5887">
        <v>92.482703313747805</v>
      </c>
      <c r="AJ5887">
        <v>98.641426406151794</v>
      </c>
      <c r="AK5887">
        <v>26.003485799819298</v>
      </c>
      <c r="AL5887">
        <v>81.030115410148397</v>
      </c>
      <c r="AM5887">
        <v>95.630225248177396</v>
      </c>
      <c r="AN5887">
        <v>0.999999989985208</v>
      </c>
    </row>
    <row r="5888" spans="1:40" x14ac:dyDescent="0.25">
      <c r="A5888" t="str">
        <f>"20190303162936774"</f>
        <v>20190303162936774</v>
      </c>
      <c r="B5888" t="str">
        <f>"1551601776768162"</f>
        <v>1551601776768162</v>
      </c>
      <c r="C5888" t="s">
        <v>40</v>
      </c>
      <c r="D5888">
        <v>5.4844339999999896</v>
      </c>
      <c r="E5888">
        <v>0.4802246</v>
      </c>
      <c r="F5888" t="s">
        <v>65</v>
      </c>
      <c r="G5888">
        <v>-247.05199999999999</v>
      </c>
      <c r="H5888" s="1">
        <v>-2.0570399999999998E-6</v>
      </c>
      <c r="I5888">
        <v>-60.551270000000002</v>
      </c>
      <c r="J5888">
        <v>-273.58929999999998</v>
      </c>
      <c r="K5888">
        <v>1.1264799999999999</v>
      </c>
      <c r="L5888">
        <v>-64.37012</v>
      </c>
      <c r="M5888">
        <v>0.99991110000000005</v>
      </c>
      <c r="N5888">
        <v>-1.2107400000000001E-2</v>
      </c>
      <c r="O5888">
        <v>-5.608348E-3</v>
      </c>
      <c r="P5888">
        <v>0.98539710000000003</v>
      </c>
      <c r="Q5888">
        <v>0.1459355</v>
      </c>
      <c r="R5888">
        <v>8.7725510000000007E-2</v>
      </c>
      <c r="S5888">
        <v>3.0247799999999998</v>
      </c>
      <c r="T5888">
        <v>-0.1275734</v>
      </c>
      <c r="U5888">
        <v>0.43273929999999999</v>
      </c>
      <c r="V5888">
        <v>-9.5305870000000001E-2</v>
      </c>
      <c r="W5888">
        <v>0.15661710000000001</v>
      </c>
      <c r="X5888">
        <v>0.98305030000000004</v>
      </c>
      <c r="Y5888">
        <v>-0.14700469999999999</v>
      </c>
      <c r="Z5888">
        <v>4.1456799999999997E-3</v>
      </c>
      <c r="AA5888">
        <v>0.98912710000000004</v>
      </c>
      <c r="AB5888">
        <v>31</v>
      </c>
      <c r="AC5888">
        <v>26.537299999999899</v>
      </c>
      <c r="AD5888">
        <v>-1.12648205703999</v>
      </c>
      <c r="AE5888">
        <v>3.8188499999999999</v>
      </c>
      <c r="AF5888">
        <v>-3.9606392825276799</v>
      </c>
      <c r="AG5888">
        <v>-1.12648205703999</v>
      </c>
      <c r="AH5888">
        <v>26.4687367317755</v>
      </c>
      <c r="AI5888">
        <v>92.410177464987498</v>
      </c>
      <c r="AJ5888">
        <v>98.5102902780568</v>
      </c>
      <c r="AK5888">
        <v>26.7871172306237</v>
      </c>
      <c r="AL5888">
        <v>80.9894052728133</v>
      </c>
      <c r="AM5888">
        <v>95.537470030478403</v>
      </c>
      <c r="AN5888">
        <v>1.00000000859947</v>
      </c>
    </row>
    <row r="5889" spans="1:40" x14ac:dyDescent="0.25">
      <c r="A5889" t="str">
        <f>"20190303162936784"</f>
        <v>20190303162936784</v>
      </c>
      <c r="B5889" t="str">
        <f>"1551601776777919"</f>
        <v>1551601776777919</v>
      </c>
      <c r="C5889" t="s">
        <v>40</v>
      </c>
      <c r="D5889">
        <v>5.5470470000000001</v>
      </c>
      <c r="E5889">
        <v>0.48063470000000003</v>
      </c>
      <c r="F5889" t="s">
        <v>65</v>
      </c>
      <c r="G5889">
        <v>-246.01050000000001</v>
      </c>
      <c r="H5889" s="1">
        <v>-1.571226E-6</v>
      </c>
      <c r="I5889">
        <v>-60.40466</v>
      </c>
      <c r="J5889">
        <v>-273.45119999999997</v>
      </c>
      <c r="K5889">
        <v>1.126541</v>
      </c>
      <c r="L5889">
        <v>-64.368259999999907</v>
      </c>
      <c r="M5889">
        <v>0.99992349999999997</v>
      </c>
      <c r="N5889">
        <v>-1.211373E-2</v>
      </c>
      <c r="O5889">
        <v>-2.562122E-3</v>
      </c>
      <c r="P5889">
        <v>0.98524619999999996</v>
      </c>
      <c r="Q5889">
        <v>0.14592920000000001</v>
      </c>
      <c r="R5889">
        <v>8.9413560000000003E-2</v>
      </c>
      <c r="S5889">
        <v>3.0240779999999998</v>
      </c>
      <c r="T5889">
        <v>-0.1235213</v>
      </c>
      <c r="U5889">
        <v>0.43481449999999999</v>
      </c>
      <c r="V5889">
        <v>-9.401429E-2</v>
      </c>
      <c r="W5889">
        <v>0.15662279999999901</v>
      </c>
      <c r="X5889">
        <v>0.98317370000000004</v>
      </c>
      <c r="Y5889">
        <v>-0.1447013</v>
      </c>
      <c r="Z5889">
        <v>3.8935340000000001E-3</v>
      </c>
      <c r="AA5889">
        <v>0.98946769999999995</v>
      </c>
      <c r="AB5889">
        <v>31</v>
      </c>
      <c r="AC5889">
        <v>27.4406999999999</v>
      </c>
      <c r="AD5889">
        <v>-1.126542571226</v>
      </c>
      <c r="AE5889">
        <v>3.9635999999999898</v>
      </c>
      <c r="AF5889">
        <v>-4.0272497208258402</v>
      </c>
      <c r="AG5889">
        <v>-1.126542571226</v>
      </c>
      <c r="AH5889">
        <v>27.385241950686801</v>
      </c>
      <c r="AI5889">
        <v>92.330601321668496</v>
      </c>
      <c r="AJ5889">
        <v>98.365903034748698</v>
      </c>
      <c r="AK5889">
        <v>27.702695088679199</v>
      </c>
      <c r="AL5889">
        <v>80.989074130795601</v>
      </c>
      <c r="AM5889">
        <v>95.462202087661197</v>
      </c>
      <c r="AN5889">
        <v>0.99999995628786598</v>
      </c>
    </row>
    <row r="5890" spans="1:40" x14ac:dyDescent="0.25">
      <c r="A5890" t="str">
        <f>"20190303162936795"</f>
        <v>20190303162936795</v>
      </c>
      <c r="B5890" t="str">
        <f>"1551601776787678"</f>
        <v>1551601776787678</v>
      </c>
      <c r="C5890" t="s">
        <v>40</v>
      </c>
      <c r="D5890">
        <v>5.4831479999999999</v>
      </c>
      <c r="E5890">
        <v>0.4807942</v>
      </c>
      <c r="F5890" t="s">
        <v>65</v>
      </c>
      <c r="G5890">
        <v>-245.35249999999999</v>
      </c>
      <c r="H5890" s="1">
        <v>-1.2963800000000001E-6</v>
      </c>
      <c r="I5890">
        <v>-60.310250000000003</v>
      </c>
      <c r="J5890">
        <v>-273.29629999999997</v>
      </c>
      <c r="K5890">
        <v>1.1265889999999901</v>
      </c>
      <c r="L5890">
        <v>-64.365259999999907</v>
      </c>
      <c r="M5890">
        <v>0.99992610000000004</v>
      </c>
      <c r="N5890">
        <v>-1.2120789999999999E-2</v>
      </c>
      <c r="O5890">
        <v>9.0020639999999999E-4</v>
      </c>
      <c r="P5890">
        <v>0.98505659999999895</v>
      </c>
      <c r="Q5890">
        <v>0.14595620000000001</v>
      </c>
      <c r="R5890">
        <v>9.1434290000000001E-2</v>
      </c>
      <c r="S5890">
        <v>3.023285</v>
      </c>
      <c r="T5890">
        <v>-0.12121030000000001</v>
      </c>
      <c r="U5890">
        <v>0.43661499999999998</v>
      </c>
      <c r="V5890">
        <v>-9.2644630000000006E-2</v>
      </c>
      <c r="W5890">
        <v>0.1566651</v>
      </c>
      <c r="X5890">
        <v>0.98329699999999998</v>
      </c>
      <c r="Y5890">
        <v>-0.14189779999999999</v>
      </c>
      <c r="Z5890">
        <v>3.668536E-3</v>
      </c>
      <c r="AA5890">
        <v>0.98987449999999999</v>
      </c>
      <c r="AB5890">
        <v>31</v>
      </c>
      <c r="AC5890">
        <v>27.9437999999999</v>
      </c>
      <c r="AD5890">
        <v>-1.1265902963800001</v>
      </c>
      <c r="AE5890">
        <v>4.0550099999999798</v>
      </c>
      <c r="AF5890">
        <v>-4.0234464698843198</v>
      </c>
      <c r="AG5890">
        <v>-1.1265902963800001</v>
      </c>
      <c r="AH5890">
        <v>27.9030209849799</v>
      </c>
      <c r="AI5890">
        <v>92.288430799166306</v>
      </c>
      <c r="AJ5890">
        <v>98.205149115325398</v>
      </c>
      <c r="AK5890">
        <v>28.214108302056101</v>
      </c>
      <c r="AL5890">
        <v>80.986620492661103</v>
      </c>
      <c r="AM5890">
        <v>95.382425092045494</v>
      </c>
      <c r="AN5890">
        <v>0.99999998561742298</v>
      </c>
    </row>
    <row r="5891" spans="1:40" x14ac:dyDescent="0.25">
      <c r="A5891" t="str">
        <f>"20190303162936807"</f>
        <v>20190303162936807</v>
      </c>
      <c r="B5891" t="str">
        <f>"1551601776797439"</f>
        <v>1551601776797439</v>
      </c>
      <c r="C5891" t="s">
        <v>40</v>
      </c>
      <c r="D5891">
        <v>5.5432610000000002</v>
      </c>
      <c r="E5891">
        <v>0.48108450000000003</v>
      </c>
      <c r="F5891" t="s">
        <v>65</v>
      </c>
      <c r="G5891">
        <v>-244.98089999999999</v>
      </c>
      <c r="H5891" s="1">
        <v>-1.151075E-6</v>
      </c>
      <c r="I5891">
        <v>-60.23066</v>
      </c>
      <c r="J5891">
        <v>-273.14690000000002</v>
      </c>
      <c r="K5891">
        <v>1.126633</v>
      </c>
      <c r="L5891">
        <v>-64.362089999999995</v>
      </c>
      <c r="M5891">
        <v>0.99991759999999996</v>
      </c>
      <c r="N5891">
        <v>-1.212711E-2</v>
      </c>
      <c r="O5891">
        <v>4.2483959999999998E-3</v>
      </c>
      <c r="P5891">
        <v>0.98492659999999999</v>
      </c>
      <c r="Q5891">
        <v>0.14554729999999999</v>
      </c>
      <c r="R5891">
        <v>9.3464630000000007E-2</v>
      </c>
      <c r="S5891">
        <v>3.0223390000000001</v>
      </c>
      <c r="T5891">
        <v>-0.1202503</v>
      </c>
      <c r="U5891">
        <v>0.4413147</v>
      </c>
      <c r="V5891">
        <v>-9.1389070000000003E-2</v>
      </c>
      <c r="W5891">
        <v>0.15627089999999999</v>
      </c>
      <c r="X5891">
        <v>0.98347720000000005</v>
      </c>
      <c r="Y5891">
        <v>-0.140139299999999</v>
      </c>
      <c r="Z5891">
        <v>3.5099580000000001E-3</v>
      </c>
      <c r="AA5891">
        <v>0.99012560000000005</v>
      </c>
      <c r="AB5891">
        <v>31</v>
      </c>
      <c r="AC5891">
        <v>28.166</v>
      </c>
      <c r="AD5891">
        <v>-1.126634151075</v>
      </c>
      <c r="AE5891">
        <v>4.1314299999999999</v>
      </c>
      <c r="AF5891">
        <v>-4.0054499356359896</v>
      </c>
      <c r="AG5891">
        <v>-1.126634151075</v>
      </c>
      <c r="AH5891">
        <v>28.139224997861799</v>
      </c>
      <c r="AI5891">
        <v>92.269918668198997</v>
      </c>
      <c r="AJ5891">
        <v>98.101287569600501</v>
      </c>
      <c r="AK5891">
        <v>28.4451914596746</v>
      </c>
      <c r="AL5891">
        <v>81.009488095269504</v>
      </c>
      <c r="AM5891">
        <v>95.308932574087606</v>
      </c>
      <c r="AN5891">
        <v>0.99999997961105702</v>
      </c>
    </row>
    <row r="5892" spans="1:40" x14ac:dyDescent="0.25">
      <c r="A5892" t="str">
        <f>"20190303162936819"</f>
        <v>20190303162936819</v>
      </c>
      <c r="B5892" t="str">
        <f>"1551601776808174"</f>
        <v>1551601776808174</v>
      </c>
      <c r="C5892" t="s">
        <v>40</v>
      </c>
      <c r="D5892">
        <v>5.419708</v>
      </c>
      <c r="E5892">
        <v>0.48126219999999997</v>
      </c>
      <c r="F5892" t="s">
        <v>65</v>
      </c>
      <c r="G5892">
        <v>-245.19560000000001</v>
      </c>
      <c r="H5892" s="1">
        <v>-1.240276E-6</v>
      </c>
      <c r="I5892">
        <v>-60.247030000000002</v>
      </c>
      <c r="J5892">
        <v>-272.96899999999999</v>
      </c>
      <c r="K5892">
        <v>1.1266769999999999</v>
      </c>
      <c r="L5892">
        <v>-64.35754</v>
      </c>
      <c r="M5892">
        <v>0.99989220000000001</v>
      </c>
      <c r="N5892">
        <v>-1.2133970000000001E-2</v>
      </c>
      <c r="O5892">
        <v>8.2652950000000006E-3</v>
      </c>
      <c r="P5892">
        <v>0.98472219999999999</v>
      </c>
      <c r="Q5892">
        <v>0.14519379999999901</v>
      </c>
      <c r="R5892">
        <v>9.6129290000000006E-2</v>
      </c>
      <c r="S5892">
        <v>3.0216980000000002</v>
      </c>
      <c r="T5892">
        <v>-0.1217954</v>
      </c>
      <c r="U5892">
        <v>0.44485469999999999</v>
      </c>
      <c r="V5892">
        <v>-9.0109850000000005E-2</v>
      </c>
      <c r="W5892">
        <v>0.15593319999999999</v>
      </c>
      <c r="X5892">
        <v>0.98364879999999999</v>
      </c>
      <c r="Y5892">
        <v>-0.13732810000000001</v>
      </c>
      <c r="Z5892">
        <v>3.3583670000000001E-3</v>
      </c>
      <c r="AA5892">
        <v>0.99051990000000001</v>
      </c>
      <c r="AB5892">
        <v>31</v>
      </c>
      <c r="AC5892">
        <v>27.773399999999899</v>
      </c>
      <c r="AD5892">
        <v>-1.1266782402760001</v>
      </c>
      <c r="AE5892">
        <v>4.1105099999999899</v>
      </c>
      <c r="AF5892">
        <v>-3.87455776830148</v>
      </c>
      <c r="AG5892">
        <v>-1.1266782402760001</v>
      </c>
      <c r="AH5892">
        <v>27.761721019687599</v>
      </c>
      <c r="AI5892">
        <v>92.301725028876803</v>
      </c>
      <c r="AJ5892">
        <v>97.945150566537805</v>
      </c>
      <c r="AK5892">
        <v>28.053426809072398</v>
      </c>
      <c r="AL5892">
        <v>81.029076798400197</v>
      </c>
      <c r="AM5892">
        <v>95.234128307262495</v>
      </c>
      <c r="AN5892">
        <v>0.99999995483534998</v>
      </c>
    </row>
    <row r="5893" spans="1:40" x14ac:dyDescent="0.25">
      <c r="A5893" t="str">
        <f>"20190303162936831"</f>
        <v>20190303162936831</v>
      </c>
      <c r="B5893" t="str">
        <f>"1551601776817934"</f>
        <v>1551601776817934</v>
      </c>
      <c r="C5893" t="s">
        <v>40</v>
      </c>
      <c r="D5893">
        <v>5.417929</v>
      </c>
      <c r="E5893">
        <v>0.48152250000000002</v>
      </c>
      <c r="F5893" t="s">
        <v>65</v>
      </c>
      <c r="G5893">
        <v>-245.37710000000001</v>
      </c>
      <c r="H5893" s="1">
        <v>-1.3189789999999901E-6</v>
      </c>
      <c r="I5893">
        <v>-60.242280000000001</v>
      </c>
      <c r="J5893">
        <v>-272.8066</v>
      </c>
      <c r="K5893">
        <v>1.126711</v>
      </c>
      <c r="L5893">
        <v>-64.35266</v>
      </c>
      <c r="M5893">
        <v>0.99985489999999999</v>
      </c>
      <c r="N5893">
        <v>-1.213966E-2</v>
      </c>
      <c r="O5893">
        <v>1.1949019999999999E-2</v>
      </c>
      <c r="P5893">
        <v>0.98455789999999999</v>
      </c>
      <c r="Q5893">
        <v>0.1446887</v>
      </c>
      <c r="R5893">
        <v>9.8544370000000006E-2</v>
      </c>
      <c r="S5893">
        <v>3.0207519999999999</v>
      </c>
      <c r="T5893">
        <v>-0.12334820000000001</v>
      </c>
      <c r="U5893">
        <v>0.45053100000000001</v>
      </c>
      <c r="V5893">
        <v>-8.8902369999999994E-2</v>
      </c>
      <c r="W5893">
        <v>0.15544430000000001</v>
      </c>
      <c r="X5893">
        <v>0.98383609999999999</v>
      </c>
      <c r="Y5893">
        <v>-0.1355449</v>
      </c>
      <c r="Z5893">
        <v>3.2381070000000001E-3</v>
      </c>
      <c r="AA5893">
        <v>0.99076589999999998</v>
      </c>
      <c r="AB5893">
        <v>31</v>
      </c>
      <c r="AC5893">
        <v>27.429499999999901</v>
      </c>
      <c r="AD5893">
        <v>-1.126712318979</v>
      </c>
      <c r="AE5893">
        <v>4.1103799999999904</v>
      </c>
      <c r="AF5893">
        <v>-3.7760752945493099</v>
      </c>
      <c r="AG5893">
        <v>-1.126712318979</v>
      </c>
      <c r="AH5893">
        <v>27.431391854744302</v>
      </c>
      <c r="AI5893">
        <v>92.330086805001102</v>
      </c>
      <c r="AJ5893">
        <v>97.837806834498195</v>
      </c>
      <c r="AK5893">
        <v>27.712984039406098</v>
      </c>
      <c r="AL5893">
        <v>81.057435053807396</v>
      </c>
      <c r="AM5893">
        <v>95.163394478655405</v>
      </c>
      <c r="AN5893">
        <v>1.00000001672865</v>
      </c>
    </row>
    <row r="5894" spans="1:40" x14ac:dyDescent="0.25">
      <c r="A5894" t="str">
        <f>"20190303162936844"</f>
        <v>20190303162936844</v>
      </c>
      <c r="B5894" t="str">
        <f>"1551601776827695"</f>
        <v>1551601776827695</v>
      </c>
      <c r="C5894" t="s">
        <v>40</v>
      </c>
      <c r="D5894">
        <v>5.4776049999999996</v>
      </c>
      <c r="E5894">
        <v>0.48180479999999998</v>
      </c>
      <c r="F5894" t="s">
        <v>65</v>
      </c>
      <c r="G5894">
        <v>-245.71170000000001</v>
      </c>
      <c r="H5894" s="1">
        <v>-1.4567810000000001E-6</v>
      </c>
      <c r="I5894">
        <v>-60.274669999999901</v>
      </c>
      <c r="J5894">
        <v>-272.64080000000001</v>
      </c>
      <c r="K5894">
        <v>1.1267419999999999</v>
      </c>
      <c r="L5894">
        <v>-64.347290000000001</v>
      </c>
      <c r="M5894">
        <v>0.99980270000000004</v>
      </c>
      <c r="N5894">
        <v>-1.2145070000000001E-2</v>
      </c>
      <c r="O5894">
        <v>1.5718579999999999E-2</v>
      </c>
      <c r="P5894">
        <v>0.98429949999999999</v>
      </c>
      <c r="Q5894">
        <v>0.14461459999999901</v>
      </c>
      <c r="R5894">
        <v>0.1011982</v>
      </c>
      <c r="S5894">
        <v>3.0200200000000001</v>
      </c>
      <c r="T5894">
        <v>-0.125584</v>
      </c>
      <c r="U5894">
        <v>0.45452880000000001</v>
      </c>
      <c r="V5894">
        <v>-8.7855119999999995E-2</v>
      </c>
      <c r="W5894">
        <v>0.15538450000000001</v>
      </c>
      <c r="X5894">
        <v>0.98393960000000003</v>
      </c>
      <c r="Y5894">
        <v>-0.13312669999999999</v>
      </c>
      <c r="Z5894">
        <v>3.1050639999999998E-3</v>
      </c>
      <c r="AA5894">
        <v>0.99109420000000004</v>
      </c>
      <c r="AB5894">
        <v>31</v>
      </c>
      <c r="AC5894">
        <v>26.929099999999998</v>
      </c>
      <c r="AD5894">
        <v>-1.126743456781</v>
      </c>
      <c r="AE5894">
        <v>4.0726199999999997</v>
      </c>
      <c r="AF5894">
        <v>-3.6425639788303101</v>
      </c>
      <c r="AG5894">
        <v>-1.126743456781</v>
      </c>
      <c r="AH5894">
        <v>26.943678113570801</v>
      </c>
      <c r="AI5894">
        <v>92.373063903137606</v>
      </c>
      <c r="AJ5894">
        <v>97.6992393699947</v>
      </c>
      <c r="AK5894">
        <v>27.212122545751299</v>
      </c>
      <c r="AL5894">
        <v>81.060903340550198</v>
      </c>
      <c r="AM5894">
        <v>95.102359938715793</v>
      </c>
      <c r="AN5894">
        <v>1.0000000006993099</v>
      </c>
    </row>
    <row r="5895" spans="1:40" x14ac:dyDescent="0.25">
      <c r="A5895" t="str">
        <f>"20190303162936855"</f>
        <v>20190303162936855</v>
      </c>
      <c r="B5895" t="str">
        <f>"1551601776848191"</f>
        <v>1551601776848191</v>
      </c>
      <c r="C5895" t="s">
        <v>40</v>
      </c>
      <c r="D5895">
        <v>5.4744799999999998</v>
      </c>
      <c r="E5895">
        <v>0.48228300000000002</v>
      </c>
      <c r="F5895" t="s">
        <v>65</v>
      </c>
      <c r="G5895">
        <v>-245.6771</v>
      </c>
      <c r="H5895" s="1">
        <v>-1.4473990000000001E-6</v>
      </c>
      <c r="I5895">
        <v>-60.243780000000001</v>
      </c>
      <c r="J5895">
        <v>-272.48579999999998</v>
      </c>
      <c r="K5895">
        <v>1.12676</v>
      </c>
      <c r="L5895">
        <v>-64.341369999999998</v>
      </c>
      <c r="M5895">
        <v>0.99974079999999999</v>
      </c>
      <c r="N5895">
        <v>-1.214931E-2</v>
      </c>
      <c r="O5895">
        <v>1.9259390000000001E-2</v>
      </c>
      <c r="P5895">
        <v>0.98408300000000004</v>
      </c>
      <c r="Q5895">
        <v>0.1444357</v>
      </c>
      <c r="R5895">
        <v>0.1035331</v>
      </c>
      <c r="S5895">
        <v>3.019196</v>
      </c>
      <c r="T5895">
        <v>-0.126164</v>
      </c>
      <c r="U5895">
        <v>0.45947270000000001</v>
      </c>
      <c r="V5895">
        <v>-8.6707820000000005E-2</v>
      </c>
      <c r="W5895">
        <v>0.15522239999999901</v>
      </c>
      <c r="X5895">
        <v>0.98406700000000003</v>
      </c>
      <c r="Y5895">
        <v>-0.13124530000000001</v>
      </c>
      <c r="Z5895">
        <v>2.9607940000000001E-3</v>
      </c>
      <c r="AA5895">
        <v>0.99134549999999999</v>
      </c>
      <c r="AB5895">
        <v>31</v>
      </c>
      <c r="AC5895">
        <v>26.808699999999899</v>
      </c>
      <c r="AD5895">
        <v>-1.126761447399</v>
      </c>
      <c r="AE5895">
        <v>4.0975899999999896</v>
      </c>
      <c r="AF5895">
        <v>-3.5743027522022999</v>
      </c>
      <c r="AG5895">
        <v>-1.126761447399</v>
      </c>
      <c r="AH5895">
        <v>26.836325681859101</v>
      </c>
      <c r="AI5895">
        <v>92.383212238145006</v>
      </c>
      <c r="AJ5895">
        <v>97.586516653319293</v>
      </c>
      <c r="AK5895">
        <v>27.096745332725099</v>
      </c>
      <c r="AL5895">
        <v>81.070305503072504</v>
      </c>
      <c r="AM5895">
        <v>95.035424492811003</v>
      </c>
      <c r="AN5895">
        <v>1.00000004999995</v>
      </c>
    </row>
    <row r="5896" spans="1:40" x14ac:dyDescent="0.25">
      <c r="A5896" t="str">
        <f>"20190303162936866"</f>
        <v>20190303162936866</v>
      </c>
      <c r="B5896" t="str">
        <f>"1551601776857950"</f>
        <v>1551601776857950</v>
      </c>
      <c r="C5896" t="s">
        <v>40</v>
      </c>
      <c r="D5896">
        <v>5.4746230000000002</v>
      </c>
      <c r="E5896">
        <v>0.48254079999999999</v>
      </c>
      <c r="F5896" t="s">
        <v>65</v>
      </c>
      <c r="G5896">
        <v>-245.37960000000001</v>
      </c>
      <c r="H5896" s="1">
        <v>-1.329412E-6</v>
      </c>
      <c r="I5896">
        <v>-60.189489999999999</v>
      </c>
      <c r="J5896">
        <v>-272.33109999999999</v>
      </c>
      <c r="K5896">
        <v>1.126779</v>
      </c>
      <c r="L5896">
        <v>-64.335210000000004</v>
      </c>
      <c r="M5896">
        <v>0.99966630000000001</v>
      </c>
      <c r="N5896">
        <v>-1.215333E-2</v>
      </c>
      <c r="O5896">
        <v>2.2792989999999999E-2</v>
      </c>
      <c r="P5896">
        <v>0.98385889999999998</v>
      </c>
      <c r="Q5896">
        <v>0.14430760000000001</v>
      </c>
      <c r="R5896">
        <v>0.10581599999999999</v>
      </c>
      <c r="S5896">
        <v>3.0183110000000002</v>
      </c>
      <c r="T5896">
        <v>-0.1254663</v>
      </c>
      <c r="U5896">
        <v>0.46231080000000002</v>
      </c>
      <c r="V5896">
        <v>-8.5515980000000005E-2</v>
      </c>
      <c r="W5896">
        <v>0.15511179999999999</v>
      </c>
      <c r="X5896">
        <v>0.98418870000000003</v>
      </c>
      <c r="Y5896">
        <v>-0.1287005</v>
      </c>
      <c r="Z5896">
        <v>2.779728E-3</v>
      </c>
      <c r="AA5896">
        <v>0.99167959999999999</v>
      </c>
      <c r="AB5896">
        <v>31</v>
      </c>
      <c r="AC5896">
        <v>26.9514999999999</v>
      </c>
      <c r="AD5896">
        <v>-1.126780329412</v>
      </c>
      <c r="AE5896">
        <v>4.1457199999999998</v>
      </c>
      <c r="AF5896">
        <v>-3.5242745057543998</v>
      </c>
      <c r="AG5896">
        <v>-1.126780329412</v>
      </c>
      <c r="AH5896">
        <v>26.992907528014801</v>
      </c>
      <c r="AI5896">
        <v>92.370248781564996</v>
      </c>
      <c r="AJ5896">
        <v>97.438630272563998</v>
      </c>
      <c r="AK5896">
        <v>27.245315221494899</v>
      </c>
      <c r="AL5896">
        <v>81.076719885670798</v>
      </c>
      <c r="AM5896">
        <v>94.965947717442404</v>
      </c>
      <c r="AN5896">
        <v>1.0000000252711401</v>
      </c>
    </row>
    <row r="5897" spans="1:40" x14ac:dyDescent="0.25">
      <c r="A5897" t="str">
        <f>"20190303162936877"</f>
        <v>20190303162936877</v>
      </c>
      <c r="B5897" t="str">
        <f>"1551601776867710"</f>
        <v>1551601776867710</v>
      </c>
      <c r="C5897" t="s">
        <v>40</v>
      </c>
      <c r="D5897">
        <v>5.4703780000000002</v>
      </c>
      <c r="E5897">
        <v>0.4828287</v>
      </c>
      <c r="F5897" t="s">
        <v>65</v>
      </c>
      <c r="G5897">
        <v>-245.39859999999999</v>
      </c>
      <c r="H5897" s="1">
        <v>-1.3418100000000001E-6</v>
      </c>
      <c r="I5897">
        <v>-60.165570000000002</v>
      </c>
      <c r="J5897">
        <v>-272.17899999999997</v>
      </c>
      <c r="K5897">
        <v>1.126795</v>
      </c>
      <c r="L5897">
        <v>-64.328429999999997</v>
      </c>
      <c r="M5897">
        <v>0.99958089999999999</v>
      </c>
      <c r="N5897">
        <v>-1.2157050000000001E-2</v>
      </c>
      <c r="O5897">
        <v>2.6275340000000001E-2</v>
      </c>
      <c r="P5897">
        <v>0.98369850000000003</v>
      </c>
      <c r="Q5897">
        <v>0.1436626</v>
      </c>
      <c r="R5897">
        <v>0.1081593</v>
      </c>
      <c r="S5897">
        <v>3.0175480000000001</v>
      </c>
      <c r="T5897">
        <v>-0.12624549999999901</v>
      </c>
      <c r="U5897">
        <v>0.4671631</v>
      </c>
      <c r="V5897">
        <v>-8.4424269999999996E-2</v>
      </c>
      <c r="W5897">
        <v>0.15448519999999999</v>
      </c>
      <c r="X5897">
        <v>0.98438139999999996</v>
      </c>
      <c r="Y5897">
        <v>-0.12684300000000001</v>
      </c>
      <c r="Z5897">
        <v>2.638554E-3</v>
      </c>
      <c r="AA5897">
        <v>0.99191929999999995</v>
      </c>
      <c r="AB5897">
        <v>31</v>
      </c>
      <c r="AC5897">
        <v>26.7804</v>
      </c>
      <c r="AD5897">
        <v>-1.12679634181</v>
      </c>
      <c r="AE5897">
        <v>4.16286000000001</v>
      </c>
      <c r="AF5897">
        <v>-3.4517398876924199</v>
      </c>
      <c r="AG5897">
        <v>-1.12679634181</v>
      </c>
      <c r="AH5897">
        <v>26.834156374004898</v>
      </c>
      <c r="AI5897">
        <v>92.384875016760603</v>
      </c>
      <c r="AJ5897">
        <v>97.329838927064202</v>
      </c>
      <c r="AK5897">
        <v>27.078702453270299</v>
      </c>
      <c r="AL5897">
        <v>81.1130586695906</v>
      </c>
      <c r="AM5897">
        <v>94.901907583086995</v>
      </c>
      <c r="AN5897">
        <v>0.99999993752501404</v>
      </c>
    </row>
    <row r="5898" spans="1:40" x14ac:dyDescent="0.25">
      <c r="A5898" t="str">
        <f>"20190303162936887"</f>
        <v>20190303162936887</v>
      </c>
      <c r="B5898" t="str">
        <f>"1551601776877470"</f>
        <v>1551601776877470</v>
      </c>
      <c r="C5898" t="s">
        <v>40</v>
      </c>
      <c r="D5898">
        <v>5.4201439999999996</v>
      </c>
      <c r="E5898">
        <v>0.48298089999999999</v>
      </c>
      <c r="F5898" t="s">
        <v>65</v>
      </c>
      <c r="G5898">
        <v>-245.57830000000001</v>
      </c>
      <c r="H5898" s="1">
        <v>-1.4184649999999999E-6</v>
      </c>
      <c r="I5898">
        <v>-60.168129999999998</v>
      </c>
      <c r="J5898">
        <v>-272.0421</v>
      </c>
      <c r="K5898">
        <v>1.1268039999999999</v>
      </c>
      <c r="L5898">
        <v>-64.321960000000004</v>
      </c>
      <c r="M5898">
        <v>0.99949350000000003</v>
      </c>
      <c r="N5898">
        <v>-1.2160199999999999E-2</v>
      </c>
      <c r="O5898">
        <v>2.9411509999999998E-2</v>
      </c>
      <c r="P5898">
        <v>0.983568</v>
      </c>
      <c r="Q5898">
        <v>0.14321619999999999</v>
      </c>
      <c r="R5898">
        <v>0.1099238</v>
      </c>
      <c r="S5898">
        <v>3.0165099999999998</v>
      </c>
      <c r="T5898">
        <v>-0.12777830000000001</v>
      </c>
      <c r="U5898">
        <v>0.4717712</v>
      </c>
      <c r="V5898">
        <v>-8.3096249999999997E-2</v>
      </c>
      <c r="W5898">
        <v>0.1540598</v>
      </c>
      <c r="X5898">
        <v>0.98456109999999997</v>
      </c>
      <c r="Y5898">
        <v>-0.12526219999999999</v>
      </c>
      <c r="Z5898">
        <v>2.5211949999999999E-3</v>
      </c>
      <c r="AA5898">
        <v>0.99212040000000001</v>
      </c>
      <c r="AB5898">
        <v>31</v>
      </c>
      <c r="AC5898">
        <v>26.4637999999999</v>
      </c>
      <c r="AD5898">
        <v>-1.126805418465</v>
      </c>
      <c r="AE5898">
        <v>4.1538299999999904</v>
      </c>
      <c r="AF5898">
        <v>-3.3676762012636101</v>
      </c>
      <c r="AG5898">
        <v>-1.126805418465</v>
      </c>
      <c r="AH5898">
        <v>26.5275915618687</v>
      </c>
      <c r="AI5898">
        <v>92.412932514003899</v>
      </c>
      <c r="AJ5898">
        <v>97.234994425528399</v>
      </c>
      <c r="AK5898">
        <v>26.7642307477903</v>
      </c>
      <c r="AL5898">
        <v>81.137728041215496</v>
      </c>
      <c r="AM5898">
        <v>94.824289479564399</v>
      </c>
      <c r="AN5898">
        <v>0.99999998418665603</v>
      </c>
    </row>
    <row r="5899" spans="1:40" x14ac:dyDescent="0.25">
      <c r="A5899" t="str">
        <f>"20190303162936896"</f>
        <v>20190303162936896</v>
      </c>
      <c r="B5899" t="str">
        <f>"1551601776888207"</f>
        <v>1551601776888207</v>
      </c>
      <c r="C5899" t="s">
        <v>40</v>
      </c>
      <c r="D5899">
        <v>5.5408119999999998</v>
      </c>
      <c r="E5899">
        <v>0.48326239999999998</v>
      </c>
      <c r="F5899" t="s">
        <v>65</v>
      </c>
      <c r="G5899">
        <v>-245.6551</v>
      </c>
      <c r="H5899" s="1">
        <v>-1.4530239999999999E-6</v>
      </c>
      <c r="I5899">
        <v>-60.158969999999997</v>
      </c>
      <c r="J5899">
        <v>-271.91129999999998</v>
      </c>
      <c r="K5899">
        <v>1.1268129999999901</v>
      </c>
      <c r="L5899">
        <v>-64.315309999999997</v>
      </c>
      <c r="M5899">
        <v>0.99940070000000003</v>
      </c>
      <c r="N5899">
        <v>-1.216299E-2</v>
      </c>
      <c r="O5899">
        <v>3.2408920000000001E-2</v>
      </c>
      <c r="P5899">
        <v>0.98342909999999994</v>
      </c>
      <c r="Q5899">
        <v>0.14298729999999901</v>
      </c>
      <c r="R5899">
        <v>0.11145239999999999</v>
      </c>
      <c r="S5899">
        <v>3.0156860000000001</v>
      </c>
      <c r="T5899">
        <v>-0.12877910000000001</v>
      </c>
      <c r="U5899">
        <v>0.475769</v>
      </c>
      <c r="V5899">
        <v>-8.1670209999999993E-2</v>
      </c>
      <c r="W5899">
        <v>0.15385289999999999</v>
      </c>
      <c r="X5899">
        <v>0.98471280000000005</v>
      </c>
      <c r="Y5899">
        <v>-0.1236131</v>
      </c>
      <c r="Z5899">
        <v>2.3969400000000002E-3</v>
      </c>
      <c r="AA5899">
        <v>0.99232759999999998</v>
      </c>
      <c r="AB5899">
        <v>31</v>
      </c>
      <c r="AC5899">
        <v>26.2561999999999</v>
      </c>
      <c r="AD5899">
        <v>-1.1268144530240001</v>
      </c>
      <c r="AE5899">
        <v>4.1563400000000001</v>
      </c>
      <c r="AF5899">
        <v>-3.2972339332354101</v>
      </c>
      <c r="AG5899">
        <v>-1.1268144530240001</v>
      </c>
      <c r="AH5899">
        <v>26.329809250636799</v>
      </c>
      <c r="AI5899">
        <v>92.431574549948394</v>
      </c>
      <c r="AJ5899">
        <v>97.137888262935604</v>
      </c>
      <c r="AK5899">
        <v>26.559373441347301</v>
      </c>
      <c r="AL5899">
        <v>81.149725881030406</v>
      </c>
      <c r="AM5899">
        <v>94.741152004561599</v>
      </c>
      <c r="AN5899">
        <v>1.00000001826184</v>
      </c>
    </row>
    <row r="5900" spans="1:40" x14ac:dyDescent="0.25">
      <c r="A5900" t="str">
        <f>"20190303162936906"</f>
        <v>20190303162936906</v>
      </c>
      <c r="B5900" t="str">
        <f>"1551601776897967"</f>
        <v>1551601776897967</v>
      </c>
      <c r="C5900" t="s">
        <v>40</v>
      </c>
      <c r="D5900">
        <v>5.4743589999999998</v>
      </c>
      <c r="E5900">
        <v>0.48345060000000001</v>
      </c>
      <c r="F5900" t="s">
        <v>65</v>
      </c>
      <c r="G5900">
        <v>-245.74719999999999</v>
      </c>
      <c r="H5900" s="1">
        <v>-1.491031E-6</v>
      </c>
      <c r="I5900">
        <v>-60.167349999999999</v>
      </c>
      <c r="J5900">
        <v>-271.7808</v>
      </c>
      <c r="K5900">
        <v>1.1268210000000001</v>
      </c>
      <c r="L5900">
        <v>-64.30838</v>
      </c>
      <c r="M5900">
        <v>0.99929920000000005</v>
      </c>
      <c r="N5900">
        <v>-1.216567E-2</v>
      </c>
      <c r="O5900">
        <v>3.5399239999999998E-2</v>
      </c>
      <c r="P5900">
        <v>0.98324659999999997</v>
      </c>
      <c r="Q5900">
        <v>0.14295179999999999</v>
      </c>
      <c r="R5900">
        <v>0.113096699999999</v>
      </c>
      <c r="S5900">
        <v>3.0152890000000001</v>
      </c>
      <c r="T5900">
        <v>-0.12986</v>
      </c>
      <c r="U5900">
        <v>0.47802729999999999</v>
      </c>
      <c r="V5900">
        <v>-8.0371090000000006E-2</v>
      </c>
      <c r="W5900">
        <v>0.15383829999999901</v>
      </c>
      <c r="X5900">
        <v>0.98482190000000003</v>
      </c>
      <c r="Y5900">
        <v>-0.12139079999999999</v>
      </c>
      <c r="Z5900">
        <v>2.2551440000000002E-3</v>
      </c>
      <c r="AA5900">
        <v>0.99260219999999999</v>
      </c>
      <c r="AB5900">
        <v>31</v>
      </c>
      <c r="AC5900">
        <v>26.0336</v>
      </c>
      <c r="AD5900">
        <v>-1.1268224910310001</v>
      </c>
      <c r="AE5900">
        <v>4.1410299999999998</v>
      </c>
      <c r="AF5900">
        <v>-3.2109292925368602</v>
      </c>
      <c r="AG5900">
        <v>-1.1268224910310001</v>
      </c>
      <c r="AH5900">
        <v>26.116161221580899</v>
      </c>
      <c r="AI5900">
        <v>92.452142156187705</v>
      </c>
      <c r="AJ5900">
        <v>97.009224032256597</v>
      </c>
      <c r="AK5900">
        <v>26.336926031706302</v>
      </c>
      <c r="AL5900">
        <v>81.150571911103299</v>
      </c>
      <c r="AM5900">
        <v>94.665556017644207</v>
      </c>
      <c r="AN5900">
        <v>0.99999995468714298</v>
      </c>
    </row>
    <row r="5901" spans="1:40" x14ac:dyDescent="0.25">
      <c r="A5901" t="str">
        <f>"20190303162936917"</f>
        <v>20190303162936917</v>
      </c>
      <c r="B5901" t="str">
        <f>"1551601776907727"</f>
        <v>1551601776907727</v>
      </c>
      <c r="C5901" t="s">
        <v>40</v>
      </c>
      <c r="D5901">
        <v>5.5396890000000001</v>
      </c>
      <c r="E5901">
        <v>0.4836936</v>
      </c>
      <c r="F5901" t="s">
        <v>65</v>
      </c>
      <c r="G5901">
        <v>-245.6754</v>
      </c>
      <c r="H5901" s="1">
        <v>-1.465147E-6</v>
      </c>
      <c r="I5901">
        <v>-60.139819999999901</v>
      </c>
      <c r="J5901">
        <v>-271.63040000000001</v>
      </c>
      <c r="K5901">
        <v>1.1268290000000001</v>
      </c>
      <c r="L5901">
        <v>-64.299800000000005</v>
      </c>
      <c r="M5901">
        <v>0.99917129999999998</v>
      </c>
      <c r="N5901">
        <v>-1.216859E-2</v>
      </c>
      <c r="O5901">
        <v>3.8843509999999998E-2</v>
      </c>
      <c r="P5901">
        <v>0.9829251</v>
      </c>
      <c r="Q5901">
        <v>0.1433767</v>
      </c>
      <c r="R5901">
        <v>0.1153319</v>
      </c>
      <c r="S5901">
        <v>3.0146790000000001</v>
      </c>
      <c r="T5901">
        <v>-0.13012699999999999</v>
      </c>
      <c r="U5901">
        <v>0.48138429999999999</v>
      </c>
      <c r="V5901">
        <v>-7.9225329999999997E-2</v>
      </c>
      <c r="W5901">
        <v>0.15428029999999901</v>
      </c>
      <c r="X5901">
        <v>0.98484559999999999</v>
      </c>
      <c r="Y5901">
        <v>-0.1190821</v>
      </c>
      <c r="Z5901">
        <v>2.08852E-3</v>
      </c>
      <c r="AA5901">
        <v>0.99288220000000005</v>
      </c>
      <c r="AB5901">
        <v>31</v>
      </c>
      <c r="AC5901">
        <v>25.954999999999998</v>
      </c>
      <c r="AD5901">
        <v>-1.126830465147</v>
      </c>
      <c r="AE5901">
        <v>4.1599800000000098</v>
      </c>
      <c r="AF5901">
        <v>-3.14280682492726</v>
      </c>
      <c r="AG5901">
        <v>-1.126830465147</v>
      </c>
      <c r="AH5901">
        <v>26.049140349622</v>
      </c>
      <c r="AI5901">
        <v>92.459138378142697</v>
      </c>
      <c r="AJ5901">
        <v>96.879436561115597</v>
      </c>
      <c r="AK5901">
        <v>26.262229429168801</v>
      </c>
      <c r="AL5901">
        <v>81.124941231672295</v>
      </c>
      <c r="AM5901">
        <v>94.599221647307303</v>
      </c>
      <c r="AN5901">
        <v>0.99999995986052803</v>
      </c>
    </row>
    <row r="5902" spans="1:40" x14ac:dyDescent="0.25">
      <c r="A5902" t="str">
        <f>"20190303162936929"</f>
        <v>20190303162936929</v>
      </c>
      <c r="B5902" t="str">
        <f>"1551601776917487"</f>
        <v>1551601776917487</v>
      </c>
      <c r="C5902" t="s">
        <v>40</v>
      </c>
      <c r="D5902">
        <v>5.4783759999999999</v>
      </c>
      <c r="E5902">
        <v>0.4839775</v>
      </c>
      <c r="F5902" t="s">
        <v>65</v>
      </c>
      <c r="G5902">
        <v>-245.28970000000001</v>
      </c>
      <c r="H5902" s="1">
        <v>-1.315294E-6</v>
      </c>
      <c r="I5902">
        <v>-60.051749999999998</v>
      </c>
      <c r="J5902">
        <v>-271.47770000000003</v>
      </c>
      <c r="K5902">
        <v>1.1268370000000001</v>
      </c>
      <c r="L5902">
        <v>-64.290619999999905</v>
      </c>
      <c r="M5902">
        <v>0.99902919999999995</v>
      </c>
      <c r="N5902">
        <v>-1.2171339999999999E-2</v>
      </c>
      <c r="O5902">
        <v>4.233899E-2</v>
      </c>
      <c r="P5902">
        <v>0.98251409999999995</v>
      </c>
      <c r="Q5902">
        <v>0.1444648</v>
      </c>
      <c r="R5902">
        <v>0.11745659999999999</v>
      </c>
      <c r="S5902">
        <v>3.0138850000000001</v>
      </c>
      <c r="T5902">
        <v>-0.1289313</v>
      </c>
      <c r="U5902">
        <v>0.48605350000000003</v>
      </c>
      <c r="V5902">
        <v>-7.7930929999999995E-2</v>
      </c>
      <c r="W5902">
        <v>0.15538729999999901</v>
      </c>
      <c r="X5902">
        <v>0.98477490000000001</v>
      </c>
      <c r="Y5902">
        <v>-0.11715399999999999</v>
      </c>
      <c r="Z5902">
        <v>1.922205E-3</v>
      </c>
      <c r="AA5902">
        <v>0.99311190000000005</v>
      </c>
      <c r="AB5902">
        <v>31</v>
      </c>
      <c r="AC5902">
        <v>26.187999999999999</v>
      </c>
      <c r="AD5902">
        <v>-1.126838315294</v>
      </c>
      <c r="AE5902">
        <v>4.2388699999999897</v>
      </c>
      <c r="AF5902">
        <v>-3.1205827073591399</v>
      </c>
      <c r="AG5902">
        <v>-1.126838315294</v>
      </c>
      <c r="AH5902">
        <v>26.296552122462099</v>
      </c>
      <c r="AI5902">
        <v>92.436614936611306</v>
      </c>
      <c r="AJ5902">
        <v>96.767577404944603</v>
      </c>
      <c r="AK5902">
        <v>26.505026967570601</v>
      </c>
      <c r="AL5902">
        <v>81.060741143160698</v>
      </c>
      <c r="AM5902">
        <v>94.524716630786202</v>
      </c>
      <c r="AN5902">
        <v>1.00000002326098</v>
      </c>
    </row>
    <row r="5903" spans="1:40" x14ac:dyDescent="0.25">
      <c r="A5903" t="str">
        <f>"20190303162936939"</f>
        <v>20190303162936939</v>
      </c>
      <c r="B5903" t="str">
        <f>"1551601776928223"</f>
        <v>1551601776928223</v>
      </c>
      <c r="C5903" t="s">
        <v>40</v>
      </c>
      <c r="D5903">
        <v>5.4125839999999998</v>
      </c>
      <c r="E5903">
        <v>0.48424780000000001</v>
      </c>
      <c r="F5903" t="s">
        <v>65</v>
      </c>
      <c r="G5903">
        <v>-244.49029999999999</v>
      </c>
      <c r="H5903" s="1">
        <v>-9.9898029999999999E-7</v>
      </c>
      <c r="I5903">
        <v>-59.901620000000001</v>
      </c>
      <c r="J5903">
        <v>-271.32690000000002</v>
      </c>
      <c r="K5903">
        <v>1.1268479999999901</v>
      </c>
      <c r="L5903">
        <v>-64.28107</v>
      </c>
      <c r="M5903">
        <v>0.99887700000000001</v>
      </c>
      <c r="N5903">
        <v>-1.217388E-2</v>
      </c>
      <c r="O5903">
        <v>4.5789280000000002E-2</v>
      </c>
      <c r="P5903">
        <v>0.98215419999999998</v>
      </c>
      <c r="Q5903">
        <v>0.14548610000000001</v>
      </c>
      <c r="R5903">
        <v>0.1191938</v>
      </c>
      <c r="S5903">
        <v>3.013306</v>
      </c>
      <c r="T5903">
        <v>-0.12581809999999999</v>
      </c>
      <c r="U5903">
        <v>0.49005130000000002</v>
      </c>
      <c r="V5903">
        <v>-7.629147E-2</v>
      </c>
      <c r="W5903">
        <v>0.15643290000000001</v>
      </c>
      <c r="X5903">
        <v>0.98473770000000005</v>
      </c>
      <c r="Y5903">
        <v>-0.1150458</v>
      </c>
      <c r="Z5903">
        <v>1.7483479999999901E-3</v>
      </c>
      <c r="AA5903">
        <v>0.99335870000000004</v>
      </c>
      <c r="AB5903">
        <v>31</v>
      </c>
      <c r="AC5903">
        <v>26.836600000000001</v>
      </c>
      <c r="AD5903">
        <v>-1.1268489989803001</v>
      </c>
      <c r="AE5903">
        <v>4.3794500000000003</v>
      </c>
      <c r="AF5903">
        <v>-3.1405427680331801</v>
      </c>
      <c r="AG5903">
        <v>-1.1268489989803001</v>
      </c>
      <c r="AH5903">
        <v>26.962689457264499</v>
      </c>
      <c r="AI5903">
        <v>92.377111964304902</v>
      </c>
      <c r="AJ5903">
        <v>96.643723741684994</v>
      </c>
      <c r="AK5903">
        <v>27.1683532867421</v>
      </c>
      <c r="AL5903">
        <v>81.0000906899255</v>
      </c>
      <c r="AM5903">
        <v>94.430078216288194</v>
      </c>
      <c r="AN5903">
        <v>0.99999998919923005</v>
      </c>
    </row>
    <row r="5904" spans="1:40" x14ac:dyDescent="0.25">
      <c r="A5904" t="str">
        <f>"20190303162936951"</f>
        <v>20190303162936951</v>
      </c>
      <c r="B5904" t="str">
        <f>"1551601776937983"</f>
        <v>1551601776937983</v>
      </c>
      <c r="C5904" t="s">
        <v>40</v>
      </c>
      <c r="D5904">
        <v>5.5329739999999896</v>
      </c>
      <c r="E5904">
        <v>0.48424780000000001</v>
      </c>
      <c r="F5904" t="s">
        <v>65</v>
      </c>
      <c r="G5904">
        <v>-243.5829</v>
      </c>
      <c r="H5904" s="1">
        <v>-6.3825719999999995E-7</v>
      </c>
      <c r="I5904">
        <v>-59.74071</v>
      </c>
      <c r="J5904">
        <v>-271.17110000000002</v>
      </c>
      <c r="K5904">
        <v>1.126857</v>
      </c>
      <c r="L5904">
        <v>-64.270480000000006</v>
      </c>
      <c r="M5904">
        <v>0.99870740000000002</v>
      </c>
      <c r="N5904">
        <v>-1.2176050000000001E-2</v>
      </c>
      <c r="O5904">
        <v>4.9349490000000003E-2</v>
      </c>
      <c r="P5904">
        <v>0.98188450000000005</v>
      </c>
      <c r="Q5904">
        <v>0.14610509999999999</v>
      </c>
      <c r="R5904">
        <v>0.1206488</v>
      </c>
      <c r="S5904">
        <v>3.0127869999999999</v>
      </c>
      <c r="T5904">
        <v>-0.122367</v>
      </c>
      <c r="U5904">
        <v>0.49304199999999998</v>
      </c>
      <c r="V5904">
        <v>-7.4251319999999996E-2</v>
      </c>
      <c r="W5904">
        <v>0.15708239999999901</v>
      </c>
      <c r="X5904">
        <v>0.98479030000000001</v>
      </c>
      <c r="Y5904">
        <v>-0.1125009</v>
      </c>
      <c r="Z5904">
        <v>1.568297E-3</v>
      </c>
      <c r="AA5904">
        <v>0.99365040000000004</v>
      </c>
      <c r="AB5904">
        <v>31</v>
      </c>
      <c r="AC5904">
        <v>27.588200000000001</v>
      </c>
      <c r="AD5904">
        <v>-1.1268576382572</v>
      </c>
      <c r="AE5904">
        <v>4.5297700000000001</v>
      </c>
      <c r="AF5904">
        <v>-3.1575558469375902</v>
      </c>
      <c r="AG5904">
        <v>-1.1268576382572</v>
      </c>
      <c r="AH5904">
        <v>27.733084855244002</v>
      </c>
      <c r="AI5904">
        <v>92.311856820470098</v>
      </c>
      <c r="AJ5904">
        <v>96.495451787086495</v>
      </c>
      <c r="AK5904">
        <v>27.9349953043059</v>
      </c>
      <c r="AL5904">
        <v>80.9624116879463</v>
      </c>
      <c r="AM5904">
        <v>94.311834662119097</v>
      </c>
      <c r="AN5904">
        <v>1.0000000369427899</v>
      </c>
    </row>
    <row r="5905" spans="1:40" x14ac:dyDescent="0.25">
      <c r="A5905" t="str">
        <f>"20190303162936963"</f>
        <v>20190303162936963</v>
      </c>
      <c r="B5905" t="str">
        <f>"1551601776957502"</f>
        <v>1551601776957502</v>
      </c>
      <c r="C5905" t="s">
        <v>40</v>
      </c>
      <c r="D5905">
        <v>5.4741379999999999</v>
      </c>
      <c r="E5905">
        <v>0.49171569999999998</v>
      </c>
      <c r="F5905" t="s">
        <v>65</v>
      </c>
      <c r="G5905">
        <v>-242.98990000000001</v>
      </c>
      <c r="H5905" s="1">
        <v>-4.0641520000000001E-7</v>
      </c>
      <c r="I5905">
        <v>-59.613579999999999</v>
      </c>
      <c r="J5905">
        <v>-271.00819999999999</v>
      </c>
      <c r="K5905">
        <v>1.1268609999999999</v>
      </c>
      <c r="L5905">
        <v>-64.259190000000004</v>
      </c>
      <c r="M5905">
        <v>0.99851699999999999</v>
      </c>
      <c r="N5905">
        <v>-1.2178120000000001E-2</v>
      </c>
      <c r="O5905">
        <v>5.3062289999999998E-2</v>
      </c>
      <c r="P5905">
        <v>0.98167769999999999</v>
      </c>
      <c r="Q5905">
        <v>0.14641289999999901</v>
      </c>
      <c r="R5905">
        <v>0.12195250000000001</v>
      </c>
      <c r="S5905">
        <v>3.0121150000000001</v>
      </c>
      <c r="T5905">
        <v>-0.1204431</v>
      </c>
      <c r="U5905">
        <v>0.49774170000000001</v>
      </c>
      <c r="V5905">
        <v>-7.1900119999999998E-2</v>
      </c>
      <c r="W5905">
        <v>0.1574266</v>
      </c>
      <c r="X5905">
        <v>0.98490979999999995</v>
      </c>
      <c r="Y5905">
        <v>-0.1103571</v>
      </c>
      <c r="Z5905">
        <v>1.406547E-3</v>
      </c>
      <c r="AA5905">
        <v>0.99389099999999997</v>
      </c>
      <c r="AB5905">
        <v>31</v>
      </c>
      <c r="AC5905">
        <v>28.018299999999901</v>
      </c>
      <c r="AD5905">
        <v>-1.1268614064151901</v>
      </c>
      <c r="AE5905">
        <v>4.6456099999999898</v>
      </c>
      <c r="AF5905">
        <v>-3.1472843066194698</v>
      </c>
      <c r="AG5905">
        <v>-1.1268614064151901</v>
      </c>
      <c r="AH5905">
        <v>28.1809825934934</v>
      </c>
      <c r="AI5905">
        <v>92.275709848821904</v>
      </c>
      <c r="AJ5905">
        <v>96.3724517668674</v>
      </c>
      <c r="AK5905">
        <v>28.378565768388199</v>
      </c>
      <c r="AL5905">
        <v>80.942442029542704</v>
      </c>
      <c r="AM5905">
        <v>94.175284529756993</v>
      </c>
      <c r="AN5905">
        <v>1.0000000378898</v>
      </c>
    </row>
    <row r="5906" spans="1:40" x14ac:dyDescent="0.25">
      <c r="A5906" t="str">
        <f>"20190303162936974"</f>
        <v>20190303162936974</v>
      </c>
      <c r="B5906" t="str">
        <f>"1551601776968239"</f>
        <v>1551601776968239</v>
      </c>
      <c r="C5906" t="s">
        <v>40</v>
      </c>
      <c r="D5906">
        <v>5.410736</v>
      </c>
      <c r="E5906">
        <v>0.49197639999999998</v>
      </c>
      <c r="F5906" t="s">
        <v>66</v>
      </c>
      <c r="G5906">
        <v>-236.17869999999999</v>
      </c>
      <c r="H5906" s="1">
        <v>-1.857185E-6</v>
      </c>
      <c r="I5906">
        <v>-59.1468699999999</v>
      </c>
      <c r="J5906">
        <v>-270.85840000000002</v>
      </c>
      <c r="K5906">
        <v>1.1268549999999999</v>
      </c>
      <c r="L5906">
        <v>-64.247829999999993</v>
      </c>
      <c r="M5906">
        <v>0.99833050000000001</v>
      </c>
      <c r="N5906">
        <v>-1.217933E-2</v>
      </c>
      <c r="O5906">
        <v>5.6462350000000001E-2</v>
      </c>
      <c r="P5906">
        <v>0.98158659999999998</v>
      </c>
      <c r="Q5906">
        <v>0.14627860000000001</v>
      </c>
      <c r="R5906">
        <v>0.1228433</v>
      </c>
      <c r="S5906">
        <v>3.0155940000000001</v>
      </c>
      <c r="T5906">
        <v>-9.7565529999999998E-2</v>
      </c>
      <c r="U5906">
        <v>0.44262699999999999</v>
      </c>
      <c r="V5906">
        <v>-6.9430169999999999E-2</v>
      </c>
      <c r="W5906">
        <v>0.15733150000000001</v>
      </c>
      <c r="X5906">
        <v>0.98510220000000004</v>
      </c>
      <c r="Y5906">
        <v>-8.9071830000000005E-2</v>
      </c>
      <c r="Z5906">
        <v>8.4931699999999896E-4</v>
      </c>
      <c r="AA5906">
        <v>0.99602480000000004</v>
      </c>
      <c r="AB5906">
        <v>31</v>
      </c>
      <c r="AC5906">
        <v>34.679699999999997</v>
      </c>
      <c r="AD5906">
        <v>-1.1268568571849999</v>
      </c>
      <c r="AE5906">
        <v>5.1009600000000104</v>
      </c>
      <c r="AF5906">
        <v>-3.1313427948797701</v>
      </c>
      <c r="AG5906">
        <v>-1.1268568571849999</v>
      </c>
      <c r="AH5906">
        <v>34.876358697563603</v>
      </c>
      <c r="AI5906">
        <v>91.843176616077898</v>
      </c>
      <c r="AJ5906">
        <v>95.130494074100397</v>
      </c>
      <c r="AK5906">
        <v>35.034775724653201</v>
      </c>
      <c r="AL5906">
        <v>80.947959699089694</v>
      </c>
      <c r="AM5906">
        <v>94.031549557024803</v>
      </c>
      <c r="AN5906">
        <v>1.0000000469216499</v>
      </c>
    </row>
    <row r="5907" spans="1:40" x14ac:dyDescent="0.25">
      <c r="A5907" t="str">
        <f>"20190303162936984"</f>
        <v>20190303162936984</v>
      </c>
      <c r="B5907" t="str">
        <f>"1551601776977998"</f>
        <v>1551601776977998</v>
      </c>
      <c r="C5907" t="s">
        <v>40</v>
      </c>
      <c r="D5907">
        <v>5.4061890000000004</v>
      </c>
      <c r="E5907">
        <v>0.49209969999999997</v>
      </c>
      <c r="F5907" t="s">
        <v>66</v>
      </c>
      <c r="G5907">
        <v>-237.7287</v>
      </c>
      <c r="H5907" s="1">
        <v>-2.482028E-6</v>
      </c>
      <c r="I5907">
        <v>-59.372970000000002</v>
      </c>
      <c r="J5907">
        <v>-270.7115</v>
      </c>
      <c r="K5907">
        <v>1.1268499999999999</v>
      </c>
      <c r="L5907">
        <v>-64.23657</v>
      </c>
      <c r="M5907">
        <v>0.99813669999999999</v>
      </c>
      <c r="N5907">
        <v>-1.2180409999999999E-2</v>
      </c>
      <c r="O5907">
        <v>5.9789990000000001E-2</v>
      </c>
      <c r="P5907">
        <v>0.98157850000000002</v>
      </c>
      <c r="Q5907">
        <v>0.14550070000000001</v>
      </c>
      <c r="R5907">
        <v>0.1238287</v>
      </c>
      <c r="S5907">
        <v>3.016022</v>
      </c>
      <c r="T5907">
        <v>-0.1025857</v>
      </c>
      <c r="U5907">
        <v>0.44378659999999998</v>
      </c>
      <c r="V5907">
        <v>-6.7110929999999999E-2</v>
      </c>
      <c r="W5907">
        <v>0.15659120000000001</v>
      </c>
      <c r="X5907">
        <v>0.98538079999999995</v>
      </c>
      <c r="Y5907">
        <v>-8.6105080000000001E-2</v>
      </c>
      <c r="Z5907">
        <v>6.8983800000000002E-4</v>
      </c>
      <c r="AA5907">
        <v>0.9962858</v>
      </c>
      <c r="AB5907">
        <v>31</v>
      </c>
      <c r="AC5907">
        <v>32.982799999999997</v>
      </c>
      <c r="AD5907">
        <v>-1.1268524820279999</v>
      </c>
      <c r="AE5907">
        <v>4.8635999999999999</v>
      </c>
      <c r="AF5907">
        <v>-2.8794206706331602</v>
      </c>
      <c r="AG5907">
        <v>-1.1268524820279999</v>
      </c>
      <c r="AH5907">
        <v>33.176699498052798</v>
      </c>
      <c r="AI5907">
        <v>91.938033565094301</v>
      </c>
      <c r="AJ5907">
        <v>94.960296777537195</v>
      </c>
      <c r="AK5907">
        <v>33.320477930228101</v>
      </c>
      <c r="AL5907">
        <v>80.990907702444005</v>
      </c>
      <c r="AM5907">
        <v>93.8962036312397</v>
      </c>
      <c r="AN5907">
        <v>1.0000000009257699</v>
      </c>
    </row>
    <row r="5908" spans="1:40" x14ac:dyDescent="0.25">
      <c r="A5908" t="str">
        <f>"20190303162936995"</f>
        <v>20190303162936995</v>
      </c>
      <c r="B5908" t="str">
        <f>"1551601776987759"</f>
        <v>1551601776987759</v>
      </c>
      <c r="C5908" t="s">
        <v>40</v>
      </c>
      <c r="D5908">
        <v>5.3444529999999997</v>
      </c>
      <c r="E5908">
        <v>0.49218590000000001</v>
      </c>
      <c r="F5908" t="s">
        <v>66</v>
      </c>
      <c r="G5908">
        <v>-238.77250000000001</v>
      </c>
      <c r="H5908" s="1">
        <v>-2.9053820000000001E-6</v>
      </c>
      <c r="I5908">
        <v>-59.510680000000001</v>
      </c>
      <c r="J5908">
        <v>-270.5598</v>
      </c>
      <c r="K5908">
        <v>1.1268370000000001</v>
      </c>
      <c r="L5908">
        <v>-64.224149999999995</v>
      </c>
      <c r="M5908">
        <v>0.99792619999999999</v>
      </c>
      <c r="N5908">
        <v>-1.2180740000000001E-2</v>
      </c>
      <c r="O5908">
        <v>6.3205380000000005E-2</v>
      </c>
      <c r="P5908">
        <v>0.98155559999999997</v>
      </c>
      <c r="Q5908">
        <v>0.14466950000000001</v>
      </c>
      <c r="R5908">
        <v>0.1249764</v>
      </c>
      <c r="S5908">
        <v>3.0157780000000001</v>
      </c>
      <c r="T5908">
        <v>-0.106401</v>
      </c>
      <c r="U5908">
        <v>0.44622800000000001</v>
      </c>
      <c r="V5908">
        <v>-6.4862210000000003E-2</v>
      </c>
      <c r="W5908">
        <v>0.15579760000000001</v>
      </c>
      <c r="X5908">
        <v>0.98565720000000001</v>
      </c>
      <c r="Y5908">
        <v>-8.3496680000000004E-2</v>
      </c>
      <c r="Z5908">
        <v>5.2936349999999999E-4</v>
      </c>
      <c r="AA5908">
        <v>0.9965079</v>
      </c>
      <c r="AB5908">
        <v>31</v>
      </c>
      <c r="AC5908">
        <v>31.787299999999899</v>
      </c>
      <c r="AD5908">
        <v>-1.126839905382</v>
      </c>
      <c r="AE5908">
        <v>4.7134699999999796</v>
      </c>
      <c r="AF5908">
        <v>-2.6914572864944302</v>
      </c>
      <c r="AG5908">
        <v>-1.126839905382</v>
      </c>
      <c r="AH5908">
        <v>31.982345730073899</v>
      </c>
      <c r="AI5908">
        <v>92.010776389236199</v>
      </c>
      <c r="AJ5908">
        <v>94.810361583637601</v>
      </c>
      <c r="AK5908">
        <v>32.115170074208898</v>
      </c>
      <c r="AL5908">
        <v>81.036943160346397</v>
      </c>
      <c r="AM5908">
        <v>93.764980698199906</v>
      </c>
      <c r="AN5908">
        <v>1.0000000571818399</v>
      </c>
    </row>
    <row r="5909" spans="1:40" x14ac:dyDescent="0.25">
      <c r="A5909" t="str">
        <f>"20190303162937006"</f>
        <v>20190303162937006</v>
      </c>
      <c r="B5909" t="str">
        <f>"1551601776997518"</f>
        <v>1551601776997518</v>
      </c>
      <c r="C5909" t="s">
        <v>40</v>
      </c>
      <c r="D5909">
        <v>5.1131270000000004</v>
      </c>
      <c r="E5909">
        <v>0.49256919999999998</v>
      </c>
      <c r="F5909" t="s">
        <v>65</v>
      </c>
      <c r="G5909">
        <v>-240.21639999999999</v>
      </c>
      <c r="H5909" s="1">
        <v>7.5704869999999996E-7</v>
      </c>
      <c r="I5909">
        <v>-59.699129999999997</v>
      </c>
      <c r="J5909">
        <v>-270.41120000000001</v>
      </c>
      <c r="K5909">
        <v>1.126817</v>
      </c>
      <c r="L5909">
        <v>-64.211669999999998</v>
      </c>
      <c r="M5909">
        <v>0.99770950000000003</v>
      </c>
      <c r="N5909">
        <v>-1.218085E-2</v>
      </c>
      <c r="O5909">
        <v>6.6538860000000005E-2</v>
      </c>
      <c r="P5909">
        <v>0.98148429999999998</v>
      </c>
      <c r="Q5909">
        <v>0.1442967</v>
      </c>
      <c r="R5909">
        <v>0.12596550000000001</v>
      </c>
      <c r="S5909">
        <v>3.015625</v>
      </c>
      <c r="T5909">
        <v>-0.1119889</v>
      </c>
      <c r="U5909">
        <v>0.44970700000000002</v>
      </c>
      <c r="V5909">
        <v>-6.2543600000000005E-2</v>
      </c>
      <c r="W5909">
        <v>0.15546170000000001</v>
      </c>
      <c r="X5909">
        <v>0.98585999999999996</v>
      </c>
      <c r="Y5909">
        <v>-8.1298850000000006E-2</v>
      </c>
      <c r="Z5909">
        <v>3.5401339999999903E-4</v>
      </c>
      <c r="AA5909">
        <v>0.99668970000000001</v>
      </c>
      <c r="AB5909">
        <v>31</v>
      </c>
      <c r="AC5909">
        <v>30.194800000000001</v>
      </c>
      <c r="AD5909">
        <v>-1.1268162429513</v>
      </c>
      <c r="AE5909">
        <v>4.5125399999999898</v>
      </c>
      <c r="AF5909">
        <v>-2.4898696189031901</v>
      </c>
      <c r="AG5909">
        <v>-1.1268162429513</v>
      </c>
      <c r="AH5909">
        <v>30.3867613177983</v>
      </c>
      <c r="AI5909">
        <v>92.116608955389694</v>
      </c>
      <c r="AJ5909">
        <v>94.684310582411698</v>
      </c>
      <c r="AK5909">
        <v>30.509415414743</v>
      </c>
      <c r="AL5909">
        <v>81.056425605032103</v>
      </c>
      <c r="AM5909">
        <v>93.6300168270906</v>
      </c>
      <c r="AN5909">
        <v>0.99999999083392399</v>
      </c>
    </row>
    <row r="5910" spans="1:40" x14ac:dyDescent="0.25">
      <c r="A5910" t="str">
        <f>"20190303162937017"</f>
        <v>20190303162937017</v>
      </c>
      <c r="B5910" t="str">
        <f>"1551601777008254"</f>
        <v>1551601777008254</v>
      </c>
      <c r="C5910" t="s">
        <v>40</v>
      </c>
      <c r="D5910">
        <v>5.346959</v>
      </c>
      <c r="E5910">
        <v>0.49265890000000001</v>
      </c>
      <c r="F5910" t="s">
        <v>65</v>
      </c>
      <c r="G5910">
        <v>-241.02</v>
      </c>
      <c r="H5910" s="1">
        <v>4.760132E-7</v>
      </c>
      <c r="I5910">
        <v>-59.824179999999998</v>
      </c>
      <c r="J5910">
        <v>-270.26179999999999</v>
      </c>
      <c r="K5910">
        <v>1.1267990000000001</v>
      </c>
      <c r="L5910">
        <v>-64.198580000000007</v>
      </c>
      <c r="M5910">
        <v>0.99748159999999997</v>
      </c>
      <c r="N5910">
        <v>-1.2180460000000001E-2</v>
      </c>
      <c r="O5910">
        <v>6.9873539999999998E-2</v>
      </c>
      <c r="P5910">
        <v>0.98133090000000001</v>
      </c>
      <c r="Q5910">
        <v>0.1442551</v>
      </c>
      <c r="R5910">
        <v>0.12720200000000001</v>
      </c>
      <c r="S5910">
        <v>3.0158390000000002</v>
      </c>
      <c r="T5910">
        <v>-0.1156229</v>
      </c>
      <c r="U5910">
        <v>0.45019530000000002</v>
      </c>
      <c r="V5910">
        <v>-6.047748E-2</v>
      </c>
      <c r="W5910">
        <v>0.15545329999999999</v>
      </c>
      <c r="X5910">
        <v>0.98599020000000004</v>
      </c>
      <c r="Y5910">
        <v>-7.8116279999999996E-2</v>
      </c>
      <c r="Z5910">
        <v>1.5705639999999901E-4</v>
      </c>
      <c r="AA5910">
        <v>0.99694419999999995</v>
      </c>
      <c r="AB5910">
        <v>31</v>
      </c>
      <c r="AC5910">
        <v>29.241799999999898</v>
      </c>
      <c r="AD5910">
        <v>-1.1267985239867999</v>
      </c>
      <c r="AE5910">
        <v>4.3743999999999996</v>
      </c>
      <c r="AF5910">
        <v>-2.3169622582522602</v>
      </c>
      <c r="AG5910">
        <v>-1.1267985239867999</v>
      </c>
      <c r="AH5910">
        <v>29.4332482072227</v>
      </c>
      <c r="AI5910">
        <v>92.185639512670207</v>
      </c>
      <c r="AJ5910">
        <v>94.500997092749003</v>
      </c>
      <c r="AK5910">
        <v>29.545796470019301</v>
      </c>
      <c r="AL5910">
        <v>81.0569125733698</v>
      </c>
      <c r="AM5910">
        <v>93.509942256617606</v>
      </c>
      <c r="AN5910">
        <v>0.99999996428203897</v>
      </c>
    </row>
    <row r="5911" spans="1:40" x14ac:dyDescent="0.25">
      <c r="A5911" t="str">
        <f>"20190303162937028"</f>
        <v>20190303162937028</v>
      </c>
      <c r="B5911" t="str">
        <f>"1551601777018015"</f>
        <v>1551601777018015</v>
      </c>
      <c r="C5911" t="s">
        <v>40</v>
      </c>
      <c r="D5911">
        <v>5.407254</v>
      </c>
      <c r="E5911">
        <v>0.49275029999999997</v>
      </c>
      <c r="F5911" t="s">
        <v>65</v>
      </c>
      <c r="G5911">
        <v>-241.5889</v>
      </c>
      <c r="H5911" s="1">
        <v>2.4250569999999998E-7</v>
      </c>
      <c r="I5911">
        <v>-59.883609999999997</v>
      </c>
      <c r="J5911">
        <v>-270.11250000000001</v>
      </c>
      <c r="K5911">
        <v>1.1267780000000001</v>
      </c>
      <c r="L5911">
        <v>-64.185000000000002</v>
      </c>
      <c r="M5911">
        <v>0.99724380000000001</v>
      </c>
      <c r="N5911">
        <v>-1.2179860000000001E-2</v>
      </c>
      <c r="O5911">
        <v>7.3189859999999995E-2</v>
      </c>
      <c r="P5911">
        <v>0.98115980000000003</v>
      </c>
      <c r="Q5911">
        <v>0.14455479999999901</v>
      </c>
      <c r="R5911">
        <v>0.12817770000000001</v>
      </c>
      <c r="S5911">
        <v>3.015717</v>
      </c>
      <c r="T5911">
        <v>-0.1185126</v>
      </c>
      <c r="U5911">
        <v>0.45382689999999998</v>
      </c>
      <c r="V5911">
        <v>-5.8174209999999997E-2</v>
      </c>
      <c r="W5911">
        <v>0.1557886</v>
      </c>
      <c r="X5911">
        <v>0.98607590000000001</v>
      </c>
      <c r="Y5911">
        <v>-7.5982999999999995E-2</v>
      </c>
      <c r="Z5911" s="1">
        <v>-1.550047E-5</v>
      </c>
      <c r="AA5911">
        <v>0.99710909999999997</v>
      </c>
      <c r="AB5911">
        <v>31</v>
      </c>
      <c r="AC5911">
        <v>28.523599999999998</v>
      </c>
      <c r="AD5911">
        <v>-1.1267777574943001</v>
      </c>
      <c r="AE5911">
        <v>4.3013899999999996</v>
      </c>
      <c r="AF5911">
        <v>-2.1987044105200599</v>
      </c>
      <c r="AG5911">
        <v>-1.1267777574943001</v>
      </c>
      <c r="AH5911">
        <v>28.7181119754419</v>
      </c>
      <c r="AI5911">
        <v>92.240342769646801</v>
      </c>
      <c r="AJ5911">
        <v>94.378115135220497</v>
      </c>
      <c r="AK5911">
        <v>28.824189227689399</v>
      </c>
      <c r="AL5911">
        <v>81.037464712179499</v>
      </c>
      <c r="AM5911">
        <v>93.376289576384806</v>
      </c>
      <c r="AN5911">
        <v>1.0000000035799399</v>
      </c>
    </row>
    <row r="5912" spans="1:40" x14ac:dyDescent="0.25">
      <c r="A5912" t="str">
        <f>"20190303162937041"</f>
        <v>20190303162937041</v>
      </c>
      <c r="B5912" t="str">
        <f>"1551601777027774"</f>
        <v>1551601777027774</v>
      </c>
      <c r="C5912" t="s">
        <v>40</v>
      </c>
      <c r="D5912">
        <v>5.3524750000000001</v>
      </c>
      <c r="E5912">
        <v>0.49289460000000002</v>
      </c>
      <c r="F5912" t="s">
        <v>65</v>
      </c>
      <c r="G5912">
        <v>-241.3562</v>
      </c>
      <c r="H5912" s="1">
        <v>3.3352360000000002E-7</v>
      </c>
      <c r="I5912">
        <v>-59.834020000000002</v>
      </c>
      <c r="J5912">
        <v>-269.9477</v>
      </c>
      <c r="K5912">
        <v>1.1267510000000001</v>
      </c>
      <c r="L5912">
        <v>-64.169529999999995</v>
      </c>
      <c r="M5912">
        <v>0.99696989999999996</v>
      </c>
      <c r="N5912">
        <v>-1.217905E-2</v>
      </c>
      <c r="O5912">
        <v>7.6829359999999999E-2</v>
      </c>
      <c r="P5912">
        <v>0.98092290000000004</v>
      </c>
      <c r="Q5912">
        <v>0.14511660000000001</v>
      </c>
      <c r="R5912">
        <v>0.1293513</v>
      </c>
      <c r="S5912">
        <v>3.0153810000000001</v>
      </c>
      <c r="T5912">
        <v>-0.118154</v>
      </c>
      <c r="U5912">
        <v>0.45623780000000003</v>
      </c>
      <c r="V5912">
        <v>-5.5753280000000002E-2</v>
      </c>
      <c r="W5912">
        <v>0.15638729999999901</v>
      </c>
      <c r="X5912">
        <v>0.98612100000000003</v>
      </c>
      <c r="Y5912">
        <v>-7.3143269999999996E-2</v>
      </c>
      <c r="Z5912">
        <v>-1.8098349999999999E-4</v>
      </c>
      <c r="AA5912">
        <v>0.99732140000000002</v>
      </c>
      <c r="AB5912">
        <v>31</v>
      </c>
      <c r="AC5912">
        <v>28.5915</v>
      </c>
      <c r="AD5912">
        <v>-1.1267506664764</v>
      </c>
      <c r="AE5912">
        <v>4.33551000000001</v>
      </c>
      <c r="AF5912">
        <v>-2.1226414843217798</v>
      </c>
      <c r="AG5912">
        <v>-1.1267506664764</v>
      </c>
      <c r="AH5912">
        <v>28.796380825213099</v>
      </c>
      <c r="AI5912">
        <v>92.234681242711005</v>
      </c>
      <c r="AJ5912">
        <v>94.215767406822707</v>
      </c>
      <c r="AK5912">
        <v>28.896482875361599</v>
      </c>
      <c r="AL5912">
        <v>81.0027362252861</v>
      </c>
      <c r="AM5912">
        <v>93.235942083897299</v>
      </c>
      <c r="AN5912">
        <v>1.0000000212365201</v>
      </c>
    </row>
    <row r="5913" spans="1:40" x14ac:dyDescent="0.25">
      <c r="A5913" t="str">
        <f>"20190303162937055"</f>
        <v>20190303162937055</v>
      </c>
      <c r="B5913" t="str">
        <f>"1551601777048271"</f>
        <v>1551601777048271</v>
      </c>
      <c r="C5913" t="s">
        <v>40</v>
      </c>
      <c r="D5913">
        <v>5.3454379999999997</v>
      </c>
      <c r="E5913">
        <v>0.4930698</v>
      </c>
      <c r="F5913" t="s">
        <v>65</v>
      </c>
      <c r="G5913">
        <v>-240.70089999999999</v>
      </c>
      <c r="H5913" s="1">
        <v>5.9425279999999996E-7</v>
      </c>
      <c r="I5913">
        <v>-59.718969999999999</v>
      </c>
      <c r="J5913">
        <v>-269.76569999999998</v>
      </c>
      <c r="K5913">
        <v>1.1267160000000001</v>
      </c>
      <c r="L5913">
        <v>-64.151579999999996</v>
      </c>
      <c r="M5913">
        <v>0.99665570000000003</v>
      </c>
      <c r="N5913">
        <v>-1.217741E-2</v>
      </c>
      <c r="O5913">
        <v>8.0803050000000001E-2</v>
      </c>
      <c r="P5913">
        <v>0.98066810000000004</v>
      </c>
      <c r="Q5913">
        <v>0.145763</v>
      </c>
      <c r="R5913">
        <v>0.1305499</v>
      </c>
      <c r="S5913">
        <v>3.0150450000000002</v>
      </c>
      <c r="T5913">
        <v>-0.1161566</v>
      </c>
      <c r="U5913">
        <v>0.45880130000000002</v>
      </c>
      <c r="V5913">
        <v>-5.30237E-2</v>
      </c>
      <c r="W5913">
        <v>0.1570753</v>
      </c>
      <c r="X5913">
        <v>0.98616219999999999</v>
      </c>
      <c r="Y5913">
        <v>-7.0017609999999994E-2</v>
      </c>
      <c r="Z5913">
        <v>-3.3684159999999998E-4</v>
      </c>
      <c r="AA5913">
        <v>0.99754569999999998</v>
      </c>
      <c r="AB5913">
        <v>31</v>
      </c>
      <c r="AC5913">
        <v>29.064799999999899</v>
      </c>
      <c r="AD5913">
        <v>-1.1267154057472</v>
      </c>
      <c r="AE5913">
        <v>4.4326100000000102</v>
      </c>
      <c r="AF5913">
        <v>-2.0663802498459298</v>
      </c>
      <c r="AG5913">
        <v>-1.1267154057472</v>
      </c>
      <c r="AH5913">
        <v>29.284933159265901</v>
      </c>
      <c r="AI5913">
        <v>92.197865270125007</v>
      </c>
      <c r="AJ5913">
        <v>94.036169726263495</v>
      </c>
      <c r="AK5913">
        <v>29.379358826992402</v>
      </c>
      <c r="AL5913">
        <v>80.962823480482399</v>
      </c>
      <c r="AM5913">
        <v>93.077700272341701</v>
      </c>
      <c r="AN5913">
        <v>1.0000000236702999</v>
      </c>
    </row>
    <row r="5914" spans="1:40" x14ac:dyDescent="0.25">
      <c r="A5914" t="str">
        <f>"20190303162937065"</f>
        <v>20190303162937065</v>
      </c>
      <c r="B5914" t="str">
        <f>"1551601777058031"</f>
        <v>1551601777058031</v>
      </c>
      <c r="C5914" t="s">
        <v>40</v>
      </c>
      <c r="D5914">
        <v>5.1104320000000003</v>
      </c>
      <c r="E5914">
        <v>0.49310330000000002</v>
      </c>
      <c r="F5914" t="s">
        <v>65</v>
      </c>
      <c r="G5914">
        <v>-240.0213</v>
      </c>
      <c r="H5914" s="1">
        <v>7.9683149999999996E-7</v>
      </c>
      <c r="I5914">
        <v>-59.5991199999999</v>
      </c>
      <c r="J5914">
        <v>-269.61939999999998</v>
      </c>
      <c r="K5914">
        <v>1.1266860000000001</v>
      </c>
      <c r="L5914">
        <v>-64.136870000000002</v>
      </c>
      <c r="M5914">
        <v>0.99639299999999997</v>
      </c>
      <c r="N5914">
        <v>-1.217597E-2</v>
      </c>
      <c r="O5914">
        <v>8.3979639999999994E-2</v>
      </c>
      <c r="P5914">
        <v>0.98063270000000002</v>
      </c>
      <c r="Q5914">
        <v>0.14606259999999999</v>
      </c>
      <c r="R5914">
        <v>0.1304804</v>
      </c>
      <c r="S5914">
        <v>3.0146480000000002</v>
      </c>
      <c r="T5914">
        <v>-0.1141949</v>
      </c>
      <c r="U5914">
        <v>0.46139530000000001</v>
      </c>
      <c r="V5914">
        <v>-4.9799040000000003E-2</v>
      </c>
      <c r="W5914">
        <v>0.15742239999999999</v>
      </c>
      <c r="X5914">
        <v>0.98627500000000001</v>
      </c>
      <c r="Y5914">
        <v>-6.7699739999999994E-2</v>
      </c>
      <c r="Z5914">
        <v>-4.4572209999999999E-4</v>
      </c>
      <c r="AA5914">
        <v>0.99770559999999997</v>
      </c>
      <c r="AB5914">
        <v>31</v>
      </c>
      <c r="AC5914">
        <v>29.598099999999899</v>
      </c>
      <c r="AD5914">
        <v>-1.1266852031685</v>
      </c>
      <c r="AE5914">
        <v>4.5377500000000097</v>
      </c>
      <c r="AF5914">
        <v>-2.0330173800571001</v>
      </c>
      <c r="AG5914">
        <v>-1.1266852031685</v>
      </c>
      <c r="AH5914">
        <v>29.832399858334</v>
      </c>
      <c r="AI5914">
        <v>92.157871092506795</v>
      </c>
      <c r="AJ5914">
        <v>93.898563142602796</v>
      </c>
      <c r="AK5914">
        <v>29.922811708163</v>
      </c>
      <c r="AL5914">
        <v>80.942685967145593</v>
      </c>
      <c r="AM5914">
        <v>92.890526233587806</v>
      </c>
      <c r="AN5914">
        <v>1.0000000660158299</v>
      </c>
    </row>
    <row r="5915" spans="1:40" x14ac:dyDescent="0.25">
      <c r="A5915" t="str">
        <f>"20190303162937075"</f>
        <v>20190303162937075</v>
      </c>
      <c r="B5915" t="str">
        <f>"1551601777067790"</f>
        <v>1551601777067790</v>
      </c>
      <c r="C5915" t="s">
        <v>40</v>
      </c>
      <c r="D5915">
        <v>5.3437289999999997</v>
      </c>
      <c r="E5915">
        <v>0.49320740000000002</v>
      </c>
      <c r="F5915" t="s">
        <v>66</v>
      </c>
      <c r="G5915">
        <v>-239.37960000000001</v>
      </c>
      <c r="H5915" s="1">
        <v>-3.166252E-6</v>
      </c>
      <c r="I5915">
        <v>-59.508130000000001</v>
      </c>
      <c r="J5915">
        <v>-269.46550000000002</v>
      </c>
      <c r="K5915">
        <v>1.126644</v>
      </c>
      <c r="L5915">
        <v>-64.120699999999999</v>
      </c>
      <c r="M5915">
        <v>0.9961101</v>
      </c>
      <c r="N5915">
        <v>-1.217358E-2</v>
      </c>
      <c r="O5915">
        <v>8.7272639999999999E-2</v>
      </c>
      <c r="P5915">
        <v>0.98058840000000003</v>
      </c>
      <c r="Q5915">
        <v>0.14638399999999999</v>
      </c>
      <c r="R5915">
        <v>0.13045399999999999</v>
      </c>
      <c r="S5915">
        <v>3.0145569999999999</v>
      </c>
      <c r="T5915">
        <v>-0.1123178</v>
      </c>
      <c r="U5915">
        <v>0.4614258</v>
      </c>
      <c r="V5915">
        <v>-4.6499230000000003E-2</v>
      </c>
      <c r="W5915">
        <v>0.15779199999999999</v>
      </c>
      <c r="X5915">
        <v>0.9863769</v>
      </c>
      <c r="Y5915">
        <v>-6.4420469999999994E-2</v>
      </c>
      <c r="Z5915">
        <v>-5.7709999999999999E-4</v>
      </c>
      <c r="AA5915">
        <v>0.99792270000000005</v>
      </c>
      <c r="AB5915">
        <v>31</v>
      </c>
      <c r="AC5915">
        <v>30.085899999999999</v>
      </c>
      <c r="AD5915">
        <v>-1.1266471662519999</v>
      </c>
      <c r="AE5915">
        <v>4.6125699999999901</v>
      </c>
      <c r="AF5915">
        <v>-1.9664032989920901</v>
      </c>
      <c r="AG5915">
        <v>-1.1266471662519999</v>
      </c>
      <c r="AH5915">
        <v>30.332111352911699</v>
      </c>
      <c r="AI5915">
        <v>92.122747957290997</v>
      </c>
      <c r="AJ5915">
        <v>93.709242872489696</v>
      </c>
      <c r="AK5915">
        <v>30.416657523418699</v>
      </c>
      <c r="AL5915">
        <v>80.921240289788898</v>
      </c>
      <c r="AM5915">
        <v>92.699007534978506</v>
      </c>
      <c r="AN5915">
        <v>0.99999994125409897</v>
      </c>
    </row>
    <row r="5916" spans="1:40" x14ac:dyDescent="0.25">
      <c r="A5916" t="str">
        <f>"20190303162937087"</f>
        <v>20190303162937087</v>
      </c>
      <c r="B5916" t="str">
        <f>"1551601777077551"</f>
        <v>1551601777077551</v>
      </c>
      <c r="C5916" t="s">
        <v>40</v>
      </c>
      <c r="D5916">
        <v>5.3452149999999996</v>
      </c>
      <c r="E5916">
        <v>0.49333490000000002</v>
      </c>
      <c r="F5916" t="s">
        <v>66</v>
      </c>
      <c r="G5916">
        <v>-238.714</v>
      </c>
      <c r="H5916" s="1">
        <v>-2.8975070000000002E-6</v>
      </c>
      <c r="I5916">
        <v>-59.413539999999998</v>
      </c>
      <c r="J5916">
        <v>-269.3202</v>
      </c>
      <c r="K5916">
        <v>1.126601</v>
      </c>
      <c r="L5916">
        <v>-64.105130000000003</v>
      </c>
      <c r="M5916">
        <v>0.99583469999999996</v>
      </c>
      <c r="N5916">
        <v>-1.217114E-2</v>
      </c>
      <c r="O5916">
        <v>9.0361769999999994E-2</v>
      </c>
      <c r="P5916">
        <v>0.98067079999999995</v>
      </c>
      <c r="Q5916">
        <v>0.14616789999999999</v>
      </c>
      <c r="R5916">
        <v>0.1300769</v>
      </c>
      <c r="S5916">
        <v>3.0144959999999998</v>
      </c>
      <c r="T5916">
        <v>-0.1104425</v>
      </c>
      <c r="U5916">
        <v>0.4614258</v>
      </c>
      <c r="V5916">
        <v>-4.3032290000000001E-2</v>
      </c>
      <c r="W5916">
        <v>0.1576263</v>
      </c>
      <c r="X5916">
        <v>0.98656080000000002</v>
      </c>
      <c r="Y5916">
        <v>-6.1331990000000003E-2</v>
      </c>
      <c r="Z5916">
        <v>-6.9284800000000003E-4</v>
      </c>
      <c r="AA5916">
        <v>0.99811719999999904</v>
      </c>
      <c r="AB5916">
        <v>31</v>
      </c>
      <c r="AC5916">
        <v>30.606199999999902</v>
      </c>
      <c r="AD5916">
        <v>-1.1266038975070001</v>
      </c>
      <c r="AE5916">
        <v>4.6915899999999899</v>
      </c>
      <c r="AF5916">
        <v>-1.90403815654387</v>
      </c>
      <c r="AG5916">
        <v>-1.1266038975070001</v>
      </c>
      <c r="AH5916">
        <v>30.864084193663398</v>
      </c>
      <c r="AI5916">
        <v>92.086525014958099</v>
      </c>
      <c r="AJ5916">
        <v>93.530163717920004</v>
      </c>
      <c r="AK5916">
        <v>30.943275372154702</v>
      </c>
      <c r="AL5916">
        <v>80.930855239869999</v>
      </c>
      <c r="AM5916">
        <v>92.4975721124882</v>
      </c>
      <c r="AN5916">
        <v>1.00000002026548</v>
      </c>
    </row>
    <row r="5917" spans="1:40" x14ac:dyDescent="0.25">
      <c r="A5917" t="str">
        <f>"20190303162937095"</f>
        <v>20190303162937095</v>
      </c>
      <c r="B5917" t="str">
        <f>"1551601777088286"</f>
        <v>1551601777088286</v>
      </c>
      <c r="C5917" t="s">
        <v>40</v>
      </c>
      <c r="D5917">
        <v>5.2808640000000002</v>
      </c>
      <c r="E5917">
        <v>0.49336259999999998</v>
      </c>
      <c r="F5917" t="s">
        <v>66</v>
      </c>
      <c r="G5917">
        <v>-238.8964</v>
      </c>
      <c r="H5917" s="1">
        <v>-2.9666600000000001E-6</v>
      </c>
      <c r="I5917">
        <v>-59.464880000000001</v>
      </c>
      <c r="J5917">
        <v>-269.19589999999999</v>
      </c>
      <c r="K5917">
        <v>1.1265590000000001</v>
      </c>
      <c r="L5917">
        <v>-64.091369999999998</v>
      </c>
      <c r="M5917">
        <v>0.99559430000000004</v>
      </c>
      <c r="N5917">
        <v>-1.21685E-2</v>
      </c>
      <c r="O5917">
        <v>9.2973589999999995E-2</v>
      </c>
      <c r="P5917">
        <v>0.98083779999999998</v>
      </c>
      <c r="Q5917">
        <v>0.14548420000000001</v>
      </c>
      <c r="R5917">
        <v>0.1295827</v>
      </c>
      <c r="S5917">
        <v>3.0147710000000001</v>
      </c>
      <c r="T5917">
        <v>-0.1116381</v>
      </c>
      <c r="U5917">
        <v>0.4598083</v>
      </c>
      <c r="V5917">
        <v>-3.9907819999999997E-2</v>
      </c>
      <c r="W5917">
        <v>0.15698870000000001</v>
      </c>
      <c r="X5917">
        <v>0.98679380000000005</v>
      </c>
      <c r="Y5917">
        <v>-5.8180129999999997E-2</v>
      </c>
      <c r="Z5917">
        <v>-8.5746049999999995E-4</v>
      </c>
      <c r="AA5917">
        <v>0.99830569999999996</v>
      </c>
      <c r="AB5917">
        <v>31</v>
      </c>
      <c r="AC5917">
        <v>30.299499999999899</v>
      </c>
      <c r="AD5917">
        <v>-1.12656196666</v>
      </c>
      <c r="AE5917">
        <v>4.6264899999999898</v>
      </c>
      <c r="AF5917">
        <v>-1.78677231086251</v>
      </c>
      <c r="AG5917">
        <v>-1.12656196666</v>
      </c>
      <c r="AH5917">
        <v>30.5571334590174</v>
      </c>
      <c r="AI5917">
        <v>92.107792926834406</v>
      </c>
      <c r="AJ5917">
        <v>93.346455081169196</v>
      </c>
      <c r="AK5917">
        <v>30.630052275303001</v>
      </c>
      <c r="AL5917">
        <v>80.967847819961804</v>
      </c>
      <c r="AM5917">
        <v>92.315888375592294</v>
      </c>
      <c r="AN5917">
        <v>1.00000004487164</v>
      </c>
    </row>
    <row r="5918" spans="1:40" x14ac:dyDescent="0.25">
      <c r="A5918" t="str">
        <f>"20190303162937106"</f>
        <v>20190303162937106</v>
      </c>
      <c r="B5918" t="str">
        <f>"1551601777098047"</f>
        <v>1551601777098047</v>
      </c>
      <c r="C5918" t="s">
        <v>40</v>
      </c>
      <c r="D5918">
        <v>5.2832730000000003</v>
      </c>
      <c r="E5918">
        <v>0.49340669999999998</v>
      </c>
      <c r="F5918" t="s">
        <v>66</v>
      </c>
      <c r="G5918">
        <v>-239.1645</v>
      </c>
      <c r="H5918" s="1">
        <v>-3.0715000000000002E-6</v>
      </c>
      <c r="I5918">
        <v>-59.522269999999899</v>
      </c>
      <c r="J5918">
        <v>-269.04360000000003</v>
      </c>
      <c r="K5918">
        <v>1.1265050000000001</v>
      </c>
      <c r="L5918">
        <v>-64.074190000000002</v>
      </c>
      <c r="M5918">
        <v>0.99529279999999998</v>
      </c>
      <c r="N5918">
        <v>-1.2165179999999999E-2</v>
      </c>
      <c r="O5918">
        <v>9.6147109999999994E-2</v>
      </c>
      <c r="P5918">
        <v>0.98096930000000004</v>
      </c>
      <c r="Q5918">
        <v>0.14464739999999901</v>
      </c>
      <c r="R5918">
        <v>0.12952420000000001</v>
      </c>
      <c r="S5918">
        <v>3.0148009999999998</v>
      </c>
      <c r="T5918">
        <v>-0.113093899999999</v>
      </c>
      <c r="U5918">
        <v>0.45867920000000001</v>
      </c>
      <c r="V5918">
        <v>-3.6655180000000002E-2</v>
      </c>
      <c r="W5918">
        <v>0.15619839999999999</v>
      </c>
      <c r="X5918">
        <v>0.98704530000000001</v>
      </c>
      <c r="Y5918">
        <v>-5.4634340000000003E-2</v>
      </c>
      <c r="Z5918">
        <v>-1.0550869999999999E-3</v>
      </c>
      <c r="AA5918">
        <v>0.99850589999999995</v>
      </c>
      <c r="AB5918">
        <v>31</v>
      </c>
      <c r="AC5918">
        <v>29.879100000000001</v>
      </c>
      <c r="AD5918">
        <v>-1.12650807149999</v>
      </c>
      <c r="AE5918">
        <v>4.5519200000000097</v>
      </c>
      <c r="AF5918">
        <v>-1.65552686934733</v>
      </c>
      <c r="AG5918">
        <v>-1.12650807149999</v>
      </c>
      <c r="AH5918">
        <v>30.136473938669202</v>
      </c>
      <c r="AI5918">
        <v>92.1375123878598</v>
      </c>
      <c r="AJ5918">
        <v>93.144344563840406</v>
      </c>
      <c r="AK5918">
        <v>30.202927856523701</v>
      </c>
      <c r="AL5918">
        <v>81.013693717725403</v>
      </c>
      <c r="AM5918">
        <v>92.126774173004605</v>
      </c>
      <c r="AN5918">
        <v>0.99999998331774098</v>
      </c>
    </row>
    <row r="5919" spans="1:40" x14ac:dyDescent="0.25">
      <c r="A5919" t="str">
        <f>"20190303162937117"</f>
        <v>20190303162937117</v>
      </c>
      <c r="B5919" t="str">
        <f>"1551601777107807"</f>
        <v>1551601777107807</v>
      </c>
      <c r="C5919" t="s">
        <v>40</v>
      </c>
      <c r="D5919">
        <v>5.338298</v>
      </c>
      <c r="E5919">
        <v>0.49340420000000001</v>
      </c>
      <c r="F5919" t="s">
        <v>66</v>
      </c>
      <c r="G5919">
        <v>-239.89859999999999</v>
      </c>
      <c r="H5919" s="1">
        <v>-3.3652699999999998E-6</v>
      </c>
      <c r="I5919">
        <v>-59.641449999999999</v>
      </c>
      <c r="J5919">
        <v>-268.89229999999998</v>
      </c>
      <c r="K5919">
        <v>1.1264449999999999</v>
      </c>
      <c r="L5919">
        <v>-64.056640000000002</v>
      </c>
      <c r="M5919">
        <v>0.99498750000000002</v>
      </c>
      <c r="N5919">
        <v>-1.21615E-2</v>
      </c>
      <c r="O5919">
        <v>9.9257659999999998E-2</v>
      </c>
      <c r="P5919">
        <v>0.98114230000000002</v>
      </c>
      <c r="Q5919">
        <v>0.1439078</v>
      </c>
      <c r="R5919">
        <v>0.12903729999999999</v>
      </c>
      <c r="S5919">
        <v>3.0148320000000002</v>
      </c>
      <c r="T5919">
        <v>-0.1165287</v>
      </c>
      <c r="U5919">
        <v>0.45852660000000001</v>
      </c>
      <c r="V5919">
        <v>-3.3032609999999997E-2</v>
      </c>
      <c r="W5919">
        <v>0.1555098</v>
      </c>
      <c r="X5919">
        <v>0.98728190000000005</v>
      </c>
      <c r="Y5919">
        <v>-5.146626E-2</v>
      </c>
      <c r="Z5919">
        <v>-1.2940860000000001E-3</v>
      </c>
      <c r="AA5919">
        <v>0.9986739</v>
      </c>
      <c r="AB5919">
        <v>31</v>
      </c>
      <c r="AC5919">
        <v>28.993699999999901</v>
      </c>
      <c r="AD5919">
        <v>-1.1264483652699999</v>
      </c>
      <c r="AE5919">
        <v>4.4151899999999999</v>
      </c>
      <c r="AF5919">
        <v>-1.5130918678743399</v>
      </c>
      <c r="AG5919">
        <v>-1.1264483652699999</v>
      </c>
      <c r="AH5919">
        <v>29.2456309258273</v>
      </c>
      <c r="AI5919">
        <v>92.202816894331505</v>
      </c>
      <c r="AJ5919">
        <v>92.961691939393504</v>
      </c>
      <c r="AK5919">
        <v>29.3064030745835</v>
      </c>
      <c r="AL5919">
        <v>81.053635836629894</v>
      </c>
      <c r="AM5919">
        <v>91.916295012377006</v>
      </c>
      <c r="AN5919">
        <v>1.0000000006435299</v>
      </c>
    </row>
    <row r="5920" spans="1:40" x14ac:dyDescent="0.25">
      <c r="A5920" t="str">
        <f>"20190303162937130"</f>
        <v>20190303162937130</v>
      </c>
      <c r="B5920" t="str">
        <f>"1551601777117567"</f>
        <v>1551601777117567</v>
      </c>
      <c r="C5920" t="s">
        <v>40</v>
      </c>
      <c r="D5920">
        <v>5.3333440000000003</v>
      </c>
      <c r="E5920">
        <v>0.49342409999999998</v>
      </c>
      <c r="F5920" t="s">
        <v>65</v>
      </c>
      <c r="G5920">
        <v>-240.3579</v>
      </c>
      <c r="H5920" s="1">
        <v>7.1642390000000002E-7</v>
      </c>
      <c r="I5920">
        <v>-59.727400000000003</v>
      </c>
      <c r="J5920">
        <v>-268.73500000000001</v>
      </c>
      <c r="K5920">
        <v>1.1263840000000001</v>
      </c>
      <c r="L5920">
        <v>-64.037869999999998</v>
      </c>
      <c r="M5920">
        <v>0.99466429999999995</v>
      </c>
      <c r="N5920">
        <v>-1.2157279999999999E-2</v>
      </c>
      <c r="O5920">
        <v>0.10244589999999899</v>
      </c>
      <c r="P5920">
        <v>0.98138340000000002</v>
      </c>
      <c r="Q5920">
        <v>0.14297219999999999</v>
      </c>
      <c r="R5920">
        <v>0.12824089999999999</v>
      </c>
      <c r="S5920">
        <v>3.0149840000000001</v>
      </c>
      <c r="T5920">
        <v>-0.1190219</v>
      </c>
      <c r="U5920">
        <v>0.457428</v>
      </c>
      <c r="V5920">
        <v>-2.90113E-2</v>
      </c>
      <c r="W5920">
        <v>0.1546294</v>
      </c>
      <c r="X5920">
        <v>0.98754649999999999</v>
      </c>
      <c r="Y5920">
        <v>-4.7907150000000003E-2</v>
      </c>
      <c r="Z5920">
        <v>-1.531599E-3</v>
      </c>
      <c r="AA5920">
        <v>0.99885060000000003</v>
      </c>
      <c r="AB5920">
        <v>31</v>
      </c>
      <c r="AC5920">
        <v>28.377099999999999</v>
      </c>
      <c r="AD5920">
        <v>-1.1263832835761001</v>
      </c>
      <c r="AE5920">
        <v>4.3104699999999898</v>
      </c>
      <c r="AF5920">
        <v>-1.37833239855084</v>
      </c>
      <c r="AG5920">
        <v>-1.1263832835761001</v>
      </c>
      <c r="AH5920">
        <v>28.625312695383101</v>
      </c>
      <c r="AI5920">
        <v>92.250775794224197</v>
      </c>
      <c r="AJ5920">
        <v>92.756709841940605</v>
      </c>
      <c r="AK5920">
        <v>28.680604359233399</v>
      </c>
      <c r="AL5920">
        <v>81.104696676646299</v>
      </c>
      <c r="AM5920">
        <v>91.682702657108806</v>
      </c>
      <c r="AN5920">
        <v>0.99999999826714903</v>
      </c>
    </row>
    <row r="5921" spans="1:40" x14ac:dyDescent="0.25">
      <c r="A5921" t="str">
        <f>"20190303162937140"</f>
        <v>20190303162937140</v>
      </c>
      <c r="B5921" t="str">
        <f>"1551601777128303"</f>
        <v>1551601777128303</v>
      </c>
      <c r="C5921" t="s">
        <v>40</v>
      </c>
      <c r="D5921">
        <v>5.340681</v>
      </c>
      <c r="E5921">
        <v>0.4933594</v>
      </c>
      <c r="F5921" t="s">
        <v>65</v>
      </c>
      <c r="G5921">
        <v>-241.0307</v>
      </c>
      <c r="H5921" s="1">
        <v>4.7662479999999998E-7</v>
      </c>
      <c r="I5921">
        <v>-59.853459999999998</v>
      </c>
      <c r="J5921">
        <v>-268.58670000000001</v>
      </c>
      <c r="K5921">
        <v>1.126323</v>
      </c>
      <c r="L5921">
        <v>-64.019840000000002</v>
      </c>
      <c r="M5921">
        <v>0.99435359999999995</v>
      </c>
      <c r="N5921">
        <v>-1.215315E-2</v>
      </c>
      <c r="O5921">
        <v>0.10542</v>
      </c>
      <c r="P5921">
        <v>0.98158219999999996</v>
      </c>
      <c r="Q5921">
        <v>0.1428664</v>
      </c>
      <c r="R5921">
        <v>0.12683169999999999</v>
      </c>
      <c r="S5921">
        <v>3.0152589999999999</v>
      </c>
      <c r="T5921">
        <v>-0.1225926</v>
      </c>
      <c r="U5921">
        <v>0.45541379999999998</v>
      </c>
      <c r="V5921">
        <v>-2.460737E-2</v>
      </c>
      <c r="W5921">
        <v>0.15458079999999999</v>
      </c>
      <c r="X5921">
        <v>0.98767360000000004</v>
      </c>
      <c r="Y5921">
        <v>-4.4259659999999999E-2</v>
      </c>
      <c r="Z5921">
        <v>-1.80295E-3</v>
      </c>
      <c r="AA5921">
        <v>0.99901839999999997</v>
      </c>
      <c r="AB5921">
        <v>31</v>
      </c>
      <c r="AC5921">
        <v>27.556000000000001</v>
      </c>
      <c r="AD5921">
        <v>-1.1263225233751999</v>
      </c>
      <c r="AE5921">
        <v>4.1663800000000002</v>
      </c>
      <c r="AF5921">
        <v>-1.2359739965192</v>
      </c>
      <c r="AG5921">
        <v>-1.1263225233751999</v>
      </c>
      <c r="AH5921">
        <v>27.796280765616999</v>
      </c>
      <c r="AI5921">
        <v>92.318103069931993</v>
      </c>
      <c r="AJ5921">
        <v>92.546005255833805</v>
      </c>
      <c r="AK5921">
        <v>27.846534049100999</v>
      </c>
      <c r="AL5921">
        <v>81.1075146466587</v>
      </c>
      <c r="AM5921">
        <v>91.427199058384303</v>
      </c>
      <c r="AN5921">
        <v>0.99999994326195596</v>
      </c>
    </row>
    <row r="5922" spans="1:40" x14ac:dyDescent="0.25">
      <c r="A5922" t="str">
        <f>"20190303162937153"</f>
        <v>20190303162937153</v>
      </c>
      <c r="B5922" t="str">
        <f>"1551601777147822"</f>
        <v>1551601777147822</v>
      </c>
      <c r="C5922" t="s">
        <v>40</v>
      </c>
      <c r="D5922">
        <v>5.3411869999999997</v>
      </c>
      <c r="E5922">
        <v>0.49354389999999998</v>
      </c>
      <c r="F5922" t="s">
        <v>65</v>
      </c>
      <c r="G5922">
        <v>-241.00460000000001</v>
      </c>
      <c r="H5922" s="1">
        <v>4.9292039999999996E-7</v>
      </c>
      <c r="I5922">
        <v>-59.882190000000001</v>
      </c>
      <c r="J5922">
        <v>-268.42230000000001</v>
      </c>
      <c r="K5922">
        <v>1.126244</v>
      </c>
      <c r="L5922">
        <v>-63.999209999999998</v>
      </c>
      <c r="M5922">
        <v>0.99400690000000003</v>
      </c>
      <c r="N5922">
        <v>-1.214763E-2</v>
      </c>
      <c r="O5922">
        <v>0.1086413</v>
      </c>
      <c r="P5922">
        <v>0.98177020000000004</v>
      </c>
      <c r="Q5922">
        <v>0.14283129999999999</v>
      </c>
      <c r="R5922">
        <v>0.12540599999999999</v>
      </c>
      <c r="S5922">
        <v>3.0157470000000002</v>
      </c>
      <c r="T5922">
        <v>-0.12314899999999999</v>
      </c>
      <c r="U5922">
        <v>0.45239259999999898</v>
      </c>
      <c r="V5922">
        <v>-1.993559E-2</v>
      </c>
      <c r="W5922">
        <v>0.15460389999999999</v>
      </c>
      <c r="X5922">
        <v>0.98777539999999997</v>
      </c>
      <c r="Y5922">
        <v>-4.0025669999999999E-2</v>
      </c>
      <c r="Z5922">
        <v>-2.0208119999999999E-3</v>
      </c>
      <c r="AA5922">
        <v>0.99919659999999999</v>
      </c>
      <c r="AB5922">
        <v>31</v>
      </c>
      <c r="AC5922">
        <v>27.4177</v>
      </c>
      <c r="AD5922">
        <v>-1.1262435070796</v>
      </c>
      <c r="AE5922">
        <v>4.1170199999999904</v>
      </c>
      <c r="AF5922">
        <v>-1.1118989929579</v>
      </c>
      <c r="AG5922">
        <v>-1.1262435070796</v>
      </c>
      <c r="AH5922">
        <v>27.6570646335703</v>
      </c>
      <c r="AI5922">
        <v>92.330014697913299</v>
      </c>
      <c r="AJ5922">
        <v>92.302226596847007</v>
      </c>
      <c r="AK5922">
        <v>27.7023097945508</v>
      </c>
      <c r="AL5922">
        <v>81.106175672738999</v>
      </c>
      <c r="AM5922">
        <v>91.156204255662999</v>
      </c>
      <c r="AN5922">
        <v>1.0000000172445001</v>
      </c>
    </row>
    <row r="5923" spans="1:40" x14ac:dyDescent="0.25">
      <c r="A5923" t="str">
        <f>"20190303162937164"</f>
        <v>20190303162937164</v>
      </c>
      <c r="B5923" t="str">
        <f>"1551601777157582"</f>
        <v>1551601777157582</v>
      </c>
      <c r="C5923" t="s">
        <v>40</v>
      </c>
      <c r="D5923">
        <v>5.4025759999999998</v>
      </c>
      <c r="E5923">
        <v>0.49362600000000001</v>
      </c>
      <c r="F5923" t="s">
        <v>65</v>
      </c>
      <c r="G5923">
        <v>-240.94890000000001</v>
      </c>
      <c r="H5923" s="1">
        <v>5.2383000000000005E-7</v>
      </c>
      <c r="I5923">
        <v>-59.921709999999997</v>
      </c>
      <c r="J5923">
        <v>-268.26530000000002</v>
      </c>
      <c r="K5923">
        <v>1.1261730000000001</v>
      </c>
      <c r="L5923">
        <v>-63.979309999999998</v>
      </c>
      <c r="M5923">
        <v>0.99366929999999998</v>
      </c>
      <c r="N5923">
        <v>-1.214234E-2</v>
      </c>
      <c r="O5923">
        <v>0.1116876</v>
      </c>
      <c r="P5923">
        <v>0.98192869999999999</v>
      </c>
      <c r="Q5923">
        <v>0.14318699999999901</v>
      </c>
      <c r="R5923">
        <v>0.1237494</v>
      </c>
      <c r="S5923">
        <v>3.0165099999999998</v>
      </c>
      <c r="T5923">
        <v>-0.1236588</v>
      </c>
      <c r="U5923">
        <v>0.4476929</v>
      </c>
      <c r="V5923">
        <v>-1.521583E-2</v>
      </c>
      <c r="W5923">
        <v>0.15501609999999999</v>
      </c>
      <c r="X5923">
        <v>0.98779479999999997</v>
      </c>
      <c r="Y5923">
        <v>-3.5408960000000003E-2</v>
      </c>
      <c r="Z5923">
        <v>-2.2440670000000002E-3</v>
      </c>
      <c r="AA5923">
        <v>0.99937039999999999</v>
      </c>
      <c r="AB5923">
        <v>31</v>
      </c>
      <c r="AC5923">
        <v>27.316400000000002</v>
      </c>
      <c r="AD5923">
        <v>-1.1261724761699901</v>
      </c>
      <c r="AE5923">
        <v>4.0575999999999999</v>
      </c>
      <c r="AF5923">
        <v>-0.97945280492096898</v>
      </c>
      <c r="AG5923">
        <v>-1.1261724761699901</v>
      </c>
      <c r="AH5923">
        <v>27.5528634317916</v>
      </c>
      <c r="AI5923">
        <v>92.339080702441507</v>
      </c>
      <c r="AJ5923">
        <v>92.035900609016693</v>
      </c>
      <c r="AK5923">
        <v>27.593257791245101</v>
      </c>
      <c r="AL5923">
        <v>81.082270356978398</v>
      </c>
      <c r="AM5923">
        <v>90.882505047947603</v>
      </c>
      <c r="AN5923">
        <v>1.00000003982441</v>
      </c>
    </row>
    <row r="5924" spans="1:40" x14ac:dyDescent="0.25">
      <c r="A5924" t="str">
        <f>"20190303162937175"</f>
        <v>20190303162937175</v>
      </c>
      <c r="B5924" t="str">
        <f>"1551601777168319"</f>
        <v>1551601777168319</v>
      </c>
      <c r="C5924" t="s">
        <v>40</v>
      </c>
      <c r="D5924">
        <v>5.3368019999999996</v>
      </c>
      <c r="E5924">
        <v>0.49361820000000001</v>
      </c>
      <c r="F5924" t="s">
        <v>65</v>
      </c>
      <c r="G5924">
        <v>-240.4897</v>
      </c>
      <c r="H5924" s="1">
        <v>7.1700199999999897E-7</v>
      </c>
      <c r="I5924">
        <v>-59.90005</v>
      </c>
      <c r="J5924">
        <v>-268.11900000000003</v>
      </c>
      <c r="K5924">
        <v>1.126096</v>
      </c>
      <c r="L5924">
        <v>-63.96011</v>
      </c>
      <c r="M5924">
        <v>0.99335649999999998</v>
      </c>
      <c r="N5924">
        <v>-1.213623E-2</v>
      </c>
      <c r="O5924">
        <v>0.1144371</v>
      </c>
      <c r="P5924">
        <v>0.9820257</v>
      </c>
      <c r="Q5924">
        <v>0.14417650000000001</v>
      </c>
      <c r="R5924">
        <v>0.1218156</v>
      </c>
      <c r="S5924">
        <v>3.0172119999999998</v>
      </c>
      <c r="T5924">
        <v>-0.122334</v>
      </c>
      <c r="U5924">
        <v>0.44311519999999999</v>
      </c>
      <c r="V5924">
        <v>-1.052778E-2</v>
      </c>
      <c r="W5924">
        <v>0.15605849999999999</v>
      </c>
      <c r="X5924">
        <v>0.98769169999999995</v>
      </c>
      <c r="Y5924">
        <v>-3.113026E-2</v>
      </c>
      <c r="Z5924">
        <v>-2.3922919999999999E-3</v>
      </c>
      <c r="AA5924">
        <v>0.99951250000000003</v>
      </c>
      <c r="AB5924">
        <v>31</v>
      </c>
      <c r="AC5924">
        <v>27.629300000000001</v>
      </c>
      <c r="AD5924">
        <v>-1.126095282998</v>
      </c>
      <c r="AE5924">
        <v>4.06006</v>
      </c>
      <c r="AF5924">
        <v>-0.86991954824631801</v>
      </c>
      <c r="AG5924">
        <v>-1.126095282998</v>
      </c>
      <c r="AH5924">
        <v>27.867104927319598</v>
      </c>
      <c r="AI5924">
        <v>92.312908340034497</v>
      </c>
      <c r="AJ5924">
        <v>91.788005532630393</v>
      </c>
      <c r="AK5924">
        <v>27.903411756218201</v>
      </c>
      <c r="AL5924">
        <v>81.021808993841603</v>
      </c>
      <c r="AM5924">
        <v>90.610691088490995</v>
      </c>
      <c r="AN5924">
        <v>0.99999999191143396</v>
      </c>
    </row>
    <row r="5925" spans="1:40" x14ac:dyDescent="0.25">
      <c r="A5925" t="str">
        <f>"20190303162937185"</f>
        <v>20190303162937185</v>
      </c>
      <c r="B5925" t="str">
        <f>"1551601777178079"</f>
        <v>1551601777178079</v>
      </c>
      <c r="C5925" t="s">
        <v>40</v>
      </c>
      <c r="D5925">
        <v>5.3456270000000004</v>
      </c>
      <c r="E5925">
        <v>0.49361769999999999</v>
      </c>
      <c r="F5925" t="s">
        <v>66</v>
      </c>
      <c r="G5925">
        <v>-239.5985</v>
      </c>
      <c r="H5925" s="1">
        <v>-3.2047509999999999E-6</v>
      </c>
      <c r="I5925">
        <v>-59.82056</v>
      </c>
      <c r="J5925">
        <v>-267.97500000000002</v>
      </c>
      <c r="K5925">
        <v>1.1260220000000001</v>
      </c>
      <c r="L5925">
        <v>-63.941040000000001</v>
      </c>
      <c r="M5925">
        <v>0.99304380000000003</v>
      </c>
      <c r="N5925">
        <v>-1.213037E-2</v>
      </c>
      <c r="O5925">
        <v>0.1171191</v>
      </c>
      <c r="P5925">
        <v>0.98213010000000001</v>
      </c>
      <c r="Q5925">
        <v>0.1451974</v>
      </c>
      <c r="R5925">
        <v>0.1197438</v>
      </c>
      <c r="S5925">
        <v>3.018097</v>
      </c>
      <c r="T5925">
        <v>-0.1191663</v>
      </c>
      <c r="U5925">
        <v>0.43804929999999997</v>
      </c>
      <c r="V5925">
        <v>-5.7684900000000002E-3</v>
      </c>
      <c r="W5925">
        <v>0.157130399999999</v>
      </c>
      <c r="X5925">
        <v>0.98756100000000002</v>
      </c>
      <c r="Y5925">
        <v>-2.674965E-2</v>
      </c>
      <c r="Z5925">
        <v>-2.4740819999999998E-3</v>
      </c>
      <c r="AA5925">
        <v>0.9996391</v>
      </c>
      <c r="AB5925">
        <v>31</v>
      </c>
      <c r="AC5925">
        <v>28.3765</v>
      </c>
      <c r="AD5925">
        <v>-1.12602520475099</v>
      </c>
      <c r="AE5925">
        <v>4.1204799999999997</v>
      </c>
      <c r="AF5925">
        <v>-0.767260304481301</v>
      </c>
      <c r="AG5925">
        <v>-1.12602520475099</v>
      </c>
      <c r="AH5925">
        <v>28.619668195772199</v>
      </c>
      <c r="AI5925">
        <v>92.252300617970903</v>
      </c>
      <c r="AJ5925">
        <v>91.535665952773201</v>
      </c>
      <c r="AK5925">
        <v>28.6520859410386</v>
      </c>
      <c r="AL5925">
        <v>80.959626420260804</v>
      </c>
      <c r="AM5925">
        <v>90.334669324069594</v>
      </c>
      <c r="AN5925">
        <v>0.99999998340101903</v>
      </c>
    </row>
    <row r="5926" spans="1:40" x14ac:dyDescent="0.25">
      <c r="A5926" t="str">
        <f>"20190303162937196"</f>
        <v>20190303162937196</v>
      </c>
      <c r="B5926" t="str">
        <f>"1551601777187839"</f>
        <v>1551601777187839</v>
      </c>
      <c r="C5926" t="s">
        <v>40</v>
      </c>
      <c r="D5926">
        <v>5.3493250000000003</v>
      </c>
      <c r="E5926">
        <v>0.49363240000000003</v>
      </c>
      <c r="F5926" t="s">
        <v>66</v>
      </c>
      <c r="G5926">
        <v>-238.62620000000001</v>
      </c>
      <c r="H5926" s="1">
        <v>-2.802085E-6</v>
      </c>
      <c r="I5926">
        <v>-59.739229999999999</v>
      </c>
      <c r="J5926">
        <v>-267.8236</v>
      </c>
      <c r="K5926">
        <v>1.1259380000000001</v>
      </c>
      <c r="L5926">
        <v>-63.920499999999997</v>
      </c>
      <c r="M5926">
        <v>0.99271699999999996</v>
      </c>
      <c r="N5926">
        <v>-1.2123500000000001E-2</v>
      </c>
      <c r="O5926">
        <v>0.1198588</v>
      </c>
      <c r="P5926">
        <v>0.98232229999999998</v>
      </c>
      <c r="Q5926">
        <v>0.14582400000000001</v>
      </c>
      <c r="R5926">
        <v>0.1173809</v>
      </c>
      <c r="S5926">
        <v>3.019012</v>
      </c>
      <c r="T5926">
        <v>-0.1158305</v>
      </c>
      <c r="U5926">
        <v>0.43222050000000001</v>
      </c>
      <c r="V5926">
        <v>-6.4255439999999996E-4</v>
      </c>
      <c r="W5926">
        <v>0.15781039999999999</v>
      </c>
      <c r="X5926">
        <v>0.98746929999999999</v>
      </c>
      <c r="Y5926">
        <v>-2.206048E-2</v>
      </c>
      <c r="Z5926">
        <v>-2.5491020000000001E-3</v>
      </c>
      <c r="AA5926">
        <v>0.99975340000000001</v>
      </c>
      <c r="AB5926">
        <v>31</v>
      </c>
      <c r="AC5926">
        <v>29.197399999999899</v>
      </c>
      <c r="AD5926">
        <v>-1.1259408020849999</v>
      </c>
      <c r="AE5926">
        <v>4.1812699999999898</v>
      </c>
      <c r="AF5926">
        <v>-0.65035258987337796</v>
      </c>
      <c r="AG5926">
        <v>-1.1259408020849999</v>
      </c>
      <c r="AH5926">
        <v>29.445174020675299</v>
      </c>
      <c r="AI5926">
        <v>92.189307289310406</v>
      </c>
      <c r="AJ5926">
        <v>91.265280384475204</v>
      </c>
      <c r="AK5926">
        <v>29.473869347081099</v>
      </c>
      <c r="AL5926">
        <v>80.920173912528796</v>
      </c>
      <c r="AM5926">
        <v>90.037282829989095</v>
      </c>
      <c r="AN5926">
        <v>1.0000000768334001</v>
      </c>
    </row>
    <row r="5927" spans="1:40" x14ac:dyDescent="0.25">
      <c r="A5927" t="str">
        <f>"20190303162937208"</f>
        <v>20190303162937208</v>
      </c>
      <c r="B5927" t="str">
        <f>"1551601777197599"</f>
        <v>1551601777197599</v>
      </c>
      <c r="C5927" t="s">
        <v>40</v>
      </c>
      <c r="D5927">
        <v>5.4078470000000003</v>
      </c>
      <c r="E5927">
        <v>0.49360999999999999</v>
      </c>
      <c r="F5927" t="s">
        <v>66</v>
      </c>
      <c r="G5927">
        <v>-237.84829999999999</v>
      </c>
      <c r="H5927" s="1">
        <v>-2.4752909999999998E-6</v>
      </c>
      <c r="I5927">
        <v>-59.700119999999998</v>
      </c>
      <c r="J5927">
        <v>-267.6748</v>
      </c>
      <c r="K5927">
        <v>1.1258490000000001</v>
      </c>
      <c r="L5927">
        <v>-63.900019999999998</v>
      </c>
      <c r="M5927">
        <v>0.99239409999999895</v>
      </c>
      <c r="N5927">
        <v>-1.211663E-2</v>
      </c>
      <c r="O5927">
        <v>0.1225043</v>
      </c>
      <c r="P5927">
        <v>0.98252300000000004</v>
      </c>
      <c r="Q5927">
        <v>0.1464123</v>
      </c>
      <c r="R5927">
        <v>0.1149442</v>
      </c>
      <c r="S5927">
        <v>3.0200499999999999</v>
      </c>
      <c r="T5927">
        <v>-0.11343979999999999</v>
      </c>
      <c r="U5927">
        <v>0.42520140000000001</v>
      </c>
      <c r="V5927">
        <v>4.464918E-3</v>
      </c>
      <c r="W5927">
        <v>0.158449799999999</v>
      </c>
      <c r="X5927">
        <v>0.98735700000000004</v>
      </c>
      <c r="Y5927">
        <v>-1.7073370000000001E-2</v>
      </c>
      <c r="Z5927">
        <v>-2.6531969999999999E-3</v>
      </c>
      <c r="AA5927">
        <v>0.99985069999999998</v>
      </c>
      <c r="AB5927">
        <v>31</v>
      </c>
      <c r="AC5927">
        <v>29.826499999999999</v>
      </c>
      <c r="AD5927">
        <v>-1.1258514752909901</v>
      </c>
      <c r="AE5927">
        <v>4.1999000000000004</v>
      </c>
      <c r="AF5927">
        <v>-0.51340189574200301</v>
      </c>
      <c r="AG5927">
        <v>-1.1258514752909901</v>
      </c>
      <c r="AH5927">
        <v>30.074339568352201</v>
      </c>
      <c r="AI5927">
        <v>92.143589728366393</v>
      </c>
      <c r="AJ5927">
        <v>90.9780066752039</v>
      </c>
      <c r="AK5927">
        <v>30.0997844431405</v>
      </c>
      <c r="AL5927">
        <v>80.8830720355502</v>
      </c>
      <c r="AM5927">
        <v>89.740905049028399</v>
      </c>
      <c r="AN5927">
        <v>1.00000006003089</v>
      </c>
    </row>
    <row r="5928" spans="1:40" x14ac:dyDescent="0.25">
      <c r="A5928" t="str">
        <f>"20190303162937219"</f>
        <v>20190303162937219</v>
      </c>
      <c r="B5928" t="str">
        <f>"1551601777208335"</f>
        <v>1551601777208335</v>
      </c>
      <c r="C5928" t="s">
        <v>40</v>
      </c>
      <c r="D5928">
        <v>5.4021339999999904</v>
      </c>
      <c r="E5928">
        <v>0.49360999999999999</v>
      </c>
      <c r="F5928" t="s">
        <v>66</v>
      </c>
      <c r="G5928">
        <v>-237.11410000000001</v>
      </c>
      <c r="H5928" s="1">
        <v>-2.1652590000000002E-6</v>
      </c>
      <c r="I5928">
        <v>-59.672179999999997</v>
      </c>
      <c r="J5928">
        <v>-267.52100000000002</v>
      </c>
      <c r="K5928">
        <v>1.1257520000000001</v>
      </c>
      <c r="L5928">
        <v>-63.878480000000003</v>
      </c>
      <c r="M5928">
        <v>0.99206179999999999</v>
      </c>
      <c r="N5928">
        <v>-1.2109180000000001E-2</v>
      </c>
      <c r="O5928">
        <v>0.12516759999999999</v>
      </c>
      <c r="P5928">
        <v>0.9827977</v>
      </c>
      <c r="Q5928">
        <v>0.146654799999999</v>
      </c>
      <c r="R5928">
        <v>0.1122549</v>
      </c>
      <c r="S5928">
        <v>3.0210880000000002</v>
      </c>
      <c r="T5928">
        <v>-0.1112962</v>
      </c>
      <c r="U5928">
        <v>0.41793819999999998</v>
      </c>
      <c r="V5928">
        <v>9.8584359999999999E-3</v>
      </c>
      <c r="W5928">
        <v>0.1587431</v>
      </c>
      <c r="X5928">
        <v>0.98727069999999995</v>
      </c>
      <c r="Y5928">
        <v>-1.198783E-2</v>
      </c>
      <c r="Z5928">
        <v>-2.7617230000000002E-3</v>
      </c>
      <c r="AA5928">
        <v>0.99992429999999999</v>
      </c>
      <c r="AB5928">
        <v>31</v>
      </c>
      <c r="AC5928">
        <v>30.406899999999901</v>
      </c>
      <c r="AD5928">
        <v>-1.125754165259</v>
      </c>
      <c r="AE5928">
        <v>4.2062999999999899</v>
      </c>
      <c r="AF5928">
        <v>-0.36648481827803298</v>
      </c>
      <c r="AG5928">
        <v>-1.125754165259</v>
      </c>
      <c r="AH5928">
        <v>30.653036972714599</v>
      </c>
      <c r="AI5928">
        <v>92.103132016128697</v>
      </c>
      <c r="AJ5928">
        <v>90.684990297548197</v>
      </c>
      <c r="AK5928">
        <v>30.675891335269</v>
      </c>
      <c r="AL5928">
        <v>80.866051194069698</v>
      </c>
      <c r="AM5928">
        <v>89.427889430234103</v>
      </c>
      <c r="AN5928">
        <v>0.99999999781823301</v>
      </c>
    </row>
    <row r="5929" spans="1:40" x14ac:dyDescent="0.25">
      <c r="A5929" t="str">
        <f>"20190303162937230"</f>
        <v>20190303162937230</v>
      </c>
      <c r="B5929" t="str">
        <f>"1551601777218095"</f>
        <v>1551601777218095</v>
      </c>
      <c r="C5929" t="s">
        <v>40</v>
      </c>
      <c r="D5929">
        <v>5.4643610000000002</v>
      </c>
      <c r="E5929">
        <v>0.49447279999999999</v>
      </c>
      <c r="F5929" t="s">
        <v>66</v>
      </c>
      <c r="G5929">
        <v>-236.73589999999999</v>
      </c>
      <c r="H5929" s="1">
        <v>-1.9979369999999999E-6</v>
      </c>
      <c r="I5929">
        <v>-59.701030000000003</v>
      </c>
      <c r="J5929">
        <v>-267.36810000000003</v>
      </c>
      <c r="K5929">
        <v>1.1256459999999999</v>
      </c>
      <c r="L5929">
        <v>-63.856659999999998</v>
      </c>
      <c r="M5929">
        <v>0.99173540000000004</v>
      </c>
      <c r="N5929">
        <v>-1.2101229999999999E-2</v>
      </c>
      <c r="O5929">
        <v>0.12772729999999999</v>
      </c>
      <c r="P5929">
        <v>0.98313919999999999</v>
      </c>
      <c r="Q5929">
        <v>0.14664369999999999</v>
      </c>
      <c r="R5929">
        <v>0.109237</v>
      </c>
      <c r="S5929">
        <v>3.022186</v>
      </c>
      <c r="T5929">
        <v>-0.1105158</v>
      </c>
      <c r="U5929">
        <v>0.41009519999999999</v>
      </c>
      <c r="V5929">
        <v>1.548969E-2</v>
      </c>
      <c r="W5929">
        <v>0.1587826</v>
      </c>
      <c r="X5929">
        <v>0.98719199999999996</v>
      </c>
      <c r="Y5929">
        <v>-6.8153819999999896E-3</v>
      </c>
      <c r="Z5929">
        <v>-2.9180790000000001E-3</v>
      </c>
      <c r="AA5929">
        <v>0.99997250000000004</v>
      </c>
      <c r="AB5929">
        <v>31</v>
      </c>
      <c r="AC5929">
        <v>30.632200000000001</v>
      </c>
      <c r="AD5929">
        <v>-1.125647997937</v>
      </c>
      <c r="AE5929">
        <v>4.1556299999999897</v>
      </c>
      <c r="AF5929">
        <v>-0.20845608207001901</v>
      </c>
      <c r="AG5929">
        <v>-1.125647997937</v>
      </c>
      <c r="AH5929">
        <v>30.8711572208936</v>
      </c>
      <c r="AI5929">
        <v>92.088190305575196</v>
      </c>
      <c r="AJ5929">
        <v>90.386881259739297</v>
      </c>
      <c r="AK5929">
        <v>30.892375847618801</v>
      </c>
      <c r="AL5929">
        <v>80.863758448151799</v>
      </c>
      <c r="AM5929">
        <v>89.101065404661895</v>
      </c>
      <c r="AN5929">
        <v>0.99999994471152598</v>
      </c>
    </row>
    <row r="5930" spans="1:40" x14ac:dyDescent="0.25">
      <c r="A5930" t="str">
        <f>"20190303162937242"</f>
        <v>20190303162937242</v>
      </c>
      <c r="B5930" t="str">
        <f>"1551601777227855"</f>
        <v>1551601777227855</v>
      </c>
      <c r="C5930" t="s">
        <v>40</v>
      </c>
      <c r="D5930">
        <v>5.405672</v>
      </c>
      <c r="E5930">
        <v>0.49506470000000002</v>
      </c>
      <c r="F5930" t="s">
        <v>66</v>
      </c>
      <c r="G5930">
        <v>-236.06389999999999</v>
      </c>
      <c r="H5930" s="1">
        <v>-1.6965110000000001E-6</v>
      </c>
      <c r="I5930">
        <v>-59.775109999999998</v>
      </c>
      <c r="J5930">
        <v>-267.2054</v>
      </c>
      <c r="K5930">
        <v>1.125526</v>
      </c>
      <c r="L5930">
        <v>-63.833190000000002</v>
      </c>
      <c r="M5930">
        <v>0.99138870000000001</v>
      </c>
      <c r="N5930">
        <v>-1.2092779999999999E-2</v>
      </c>
      <c r="O5930">
        <v>0.13039210000000001</v>
      </c>
      <c r="P5930">
        <v>0.98344520000000002</v>
      </c>
      <c r="Q5930">
        <v>0.14672099999999999</v>
      </c>
      <c r="R5930">
        <v>0.10634150000000001</v>
      </c>
      <c r="S5930">
        <v>3.0238649999999998</v>
      </c>
      <c r="T5930">
        <v>-0.10873339999999899</v>
      </c>
      <c r="U5930">
        <v>0.39425660000000001</v>
      </c>
      <c r="V5930">
        <v>2.1104339999999999E-2</v>
      </c>
      <c r="W5930">
        <v>0.15890499999999999</v>
      </c>
      <c r="X5930">
        <v>0.98706830000000001</v>
      </c>
      <c r="Y5930">
        <v>1.0869810000000001E-3</v>
      </c>
      <c r="Z5930">
        <v>-3.097051E-3</v>
      </c>
      <c r="AA5930">
        <v>0.99999459999999996</v>
      </c>
      <c r="AB5930">
        <v>31</v>
      </c>
      <c r="AC5930">
        <v>31.141500000000001</v>
      </c>
      <c r="AD5930">
        <v>-1.1255276965109999</v>
      </c>
      <c r="AE5930">
        <v>4.0580800000000004</v>
      </c>
      <c r="AF5930">
        <v>3.7425596938167098E-2</v>
      </c>
      <c r="AG5930">
        <v>-1.1255276965109999</v>
      </c>
      <c r="AH5930">
        <v>31.364484418406601</v>
      </c>
      <c r="AI5930">
        <v>92.055199748774996</v>
      </c>
      <c r="AJ5930">
        <v>89.9316319788974</v>
      </c>
      <c r="AK5930">
        <v>31.384695252676799</v>
      </c>
      <c r="AL5930">
        <v>80.856655867264095</v>
      </c>
      <c r="AM5930">
        <v>88.775155269748197</v>
      </c>
      <c r="AN5930">
        <v>1.00000001052836</v>
      </c>
    </row>
    <row r="5931" spans="1:40" x14ac:dyDescent="0.25">
      <c r="A5931" t="str">
        <f>"20190303162937254"</f>
        <v>20190303162937254</v>
      </c>
      <c r="B5931" t="str">
        <f>"1551601777247739"</f>
        <v>1551601777247739</v>
      </c>
      <c r="C5931" t="s">
        <v>40</v>
      </c>
      <c r="D5931">
        <v>5.4021990000000004</v>
      </c>
      <c r="E5931">
        <v>0.49605450000000001</v>
      </c>
      <c r="F5931" t="s">
        <v>66</v>
      </c>
      <c r="G5931">
        <v>-235.87360000000001</v>
      </c>
      <c r="H5931" s="1">
        <v>-1.5951110000000001E-6</v>
      </c>
      <c r="I5931">
        <v>-59.886479999999999</v>
      </c>
      <c r="J5931">
        <v>-267.04750000000001</v>
      </c>
      <c r="K5931">
        <v>1.1253959999999901</v>
      </c>
      <c r="L5931">
        <v>-63.809910000000002</v>
      </c>
      <c r="M5931">
        <v>0.99106680000000003</v>
      </c>
      <c r="N5931">
        <v>-1.2083160000000001E-2</v>
      </c>
      <c r="O5931">
        <v>0.13281860000000001</v>
      </c>
      <c r="P5931">
        <v>0.98378940000000004</v>
      </c>
      <c r="Q5931">
        <v>0.14659269999999999</v>
      </c>
      <c r="R5931">
        <v>0.1032906</v>
      </c>
      <c r="S5931">
        <v>3.0255130000000001</v>
      </c>
      <c r="T5931">
        <v>-0.1086853</v>
      </c>
      <c r="U5931">
        <v>0.38110349999999998</v>
      </c>
      <c r="V5931">
        <v>2.664909E-2</v>
      </c>
      <c r="W5931">
        <v>0.1588156</v>
      </c>
      <c r="X5931">
        <v>0.98694850000000001</v>
      </c>
      <c r="Y5931">
        <v>7.8753799999999995E-3</v>
      </c>
      <c r="Z5931">
        <v>-3.3139549999999999E-3</v>
      </c>
      <c r="AA5931">
        <v>0.99996350000000001</v>
      </c>
      <c r="AB5931">
        <v>31</v>
      </c>
      <c r="AC5931">
        <v>31.1739</v>
      </c>
      <c r="AD5931">
        <v>-1.12539759511099</v>
      </c>
      <c r="AE5931">
        <v>3.9234299999999802</v>
      </c>
      <c r="AF5931">
        <v>0.25178789380613698</v>
      </c>
      <c r="AG5931">
        <v>-1.12539759511099</v>
      </c>
      <c r="AH5931">
        <v>31.378555954627799</v>
      </c>
      <c r="AI5931">
        <v>92.053977035379702</v>
      </c>
      <c r="AJ5931">
        <v>89.540256917731995</v>
      </c>
      <c r="AK5931">
        <v>31.399740296509702</v>
      </c>
      <c r="AL5931">
        <v>80.861843483861605</v>
      </c>
      <c r="AM5931">
        <v>88.453303820875504</v>
      </c>
      <c r="AN5931">
        <v>0.99999995522671803</v>
      </c>
    </row>
    <row r="5932" spans="1:40" x14ac:dyDescent="0.25">
      <c r="A5932" t="str">
        <f>"20190303162937266"</f>
        <v>20190303162937266</v>
      </c>
      <c r="B5932" t="str">
        <f>"1551601777257499"</f>
        <v>1551601777257499</v>
      </c>
      <c r="C5932" t="s">
        <v>40</v>
      </c>
      <c r="D5932">
        <v>5.3949740000000004</v>
      </c>
      <c r="E5932">
        <v>0.49645499999999998</v>
      </c>
      <c r="F5932" t="s">
        <v>66</v>
      </c>
      <c r="G5932">
        <v>-236.00370000000001</v>
      </c>
      <c r="H5932" s="1">
        <v>-1.617133E-6</v>
      </c>
      <c r="I5932">
        <v>-60.076990000000002</v>
      </c>
      <c r="J5932">
        <v>-266.88929999999999</v>
      </c>
      <c r="K5932">
        <v>1.1252530000000001</v>
      </c>
      <c r="L5932">
        <v>-63.786439999999999</v>
      </c>
      <c r="M5932">
        <v>0.99074569999999995</v>
      </c>
      <c r="N5932">
        <v>-1.207363E-2</v>
      </c>
      <c r="O5932">
        <v>0.135193799999999</v>
      </c>
      <c r="P5932">
        <v>0.98407239999999996</v>
      </c>
      <c r="Q5932">
        <v>0.1469578</v>
      </c>
      <c r="R5932">
        <v>0.1000254</v>
      </c>
      <c r="S5932">
        <v>3.0275270000000001</v>
      </c>
      <c r="T5932">
        <v>-0.1097538</v>
      </c>
      <c r="U5932">
        <v>0.36404419999999998</v>
      </c>
      <c r="V5932">
        <v>3.2345209999999999E-2</v>
      </c>
      <c r="W5932">
        <v>0.15921569999999999</v>
      </c>
      <c r="X5932">
        <v>0.98671379999999997</v>
      </c>
      <c r="Y5932">
        <v>1.5896179999999999E-2</v>
      </c>
      <c r="Z5932">
        <v>-3.6109139999999998E-3</v>
      </c>
      <c r="AA5932">
        <v>0.99986710000000001</v>
      </c>
      <c r="AB5932">
        <v>31</v>
      </c>
      <c r="AC5932">
        <v>30.885599999999901</v>
      </c>
      <c r="AD5932">
        <v>-1.125254617133</v>
      </c>
      <c r="AE5932">
        <v>3.7094499999999901</v>
      </c>
      <c r="AF5932">
        <v>0.49980244012542402</v>
      </c>
      <c r="AG5932">
        <v>-1.125254617133</v>
      </c>
      <c r="AH5932">
        <v>31.0628889518206</v>
      </c>
      <c r="AI5932">
        <v>92.074366886288203</v>
      </c>
      <c r="AJ5932">
        <v>89.078189423727096</v>
      </c>
      <c r="AK5932">
        <v>31.0872814904371</v>
      </c>
      <c r="AL5932">
        <v>80.838624295468705</v>
      </c>
      <c r="AM5932">
        <v>88.122474186210297</v>
      </c>
      <c r="AN5932">
        <v>0.99999998742343699</v>
      </c>
    </row>
    <row r="5933" spans="1:40" x14ac:dyDescent="0.25">
      <c r="A5933" t="str">
        <f>"20190303162937275"</f>
        <v>20190303162937275</v>
      </c>
      <c r="B5933" t="str">
        <f>"1551601777268236"</f>
        <v>1551601777268236</v>
      </c>
      <c r="C5933" t="s">
        <v>40</v>
      </c>
      <c r="D5933">
        <v>5.346393</v>
      </c>
      <c r="E5933">
        <v>0.49673129999999999</v>
      </c>
      <c r="F5933" t="s">
        <v>66</v>
      </c>
      <c r="G5933">
        <v>-235.559</v>
      </c>
      <c r="H5933" s="1">
        <v>-1.412038E-6</v>
      </c>
      <c r="I5933">
        <v>-60.157719999999998</v>
      </c>
      <c r="J5933">
        <v>-266.7473</v>
      </c>
      <c r="K5933">
        <v>1.125105</v>
      </c>
      <c r="L5933">
        <v>-63.765009999999997</v>
      </c>
      <c r="M5933">
        <v>0.99047370000000001</v>
      </c>
      <c r="N5933">
        <v>-1.2063890000000001E-2</v>
      </c>
      <c r="O5933">
        <v>0.1371723</v>
      </c>
      <c r="P5933">
        <v>0.98428490000000002</v>
      </c>
      <c r="Q5933">
        <v>0.1478932</v>
      </c>
      <c r="R5933">
        <v>9.649199E-2</v>
      </c>
      <c r="S5933">
        <v>3.0291139999999999</v>
      </c>
      <c r="T5933">
        <v>-0.1087933</v>
      </c>
      <c r="U5933">
        <v>0.35083009999999998</v>
      </c>
      <c r="V5933">
        <v>3.7898439999999999E-2</v>
      </c>
      <c r="W5933">
        <v>0.1601783</v>
      </c>
      <c r="X5933">
        <v>0.98636029999999997</v>
      </c>
      <c r="Y5933">
        <v>2.225208E-2</v>
      </c>
      <c r="Z5933">
        <v>-3.7639819999999999E-3</v>
      </c>
      <c r="AA5933">
        <v>0.99974529999999995</v>
      </c>
      <c r="AB5933">
        <v>31</v>
      </c>
      <c r="AC5933">
        <v>31.188299999999899</v>
      </c>
      <c r="AD5933">
        <v>-1.1251064120379899</v>
      </c>
      <c r="AE5933">
        <v>3.6072899999999901</v>
      </c>
      <c r="AF5933">
        <v>0.70439174218437495</v>
      </c>
      <c r="AG5933">
        <v>-1.1251064120379899</v>
      </c>
      <c r="AH5933">
        <v>31.3480393320066</v>
      </c>
      <c r="AI5933">
        <v>92.054991159024794</v>
      </c>
      <c r="AJ5933">
        <v>88.712778072700104</v>
      </c>
      <c r="AK5933">
        <v>31.376131089187801</v>
      </c>
      <c r="AL5933">
        <v>80.782754558900095</v>
      </c>
      <c r="AM5933">
        <v>87.799634617091698</v>
      </c>
      <c r="AN5933">
        <v>1.0000000104807001</v>
      </c>
    </row>
    <row r="5934" spans="1:40" x14ac:dyDescent="0.25">
      <c r="A5934" t="str">
        <f>"20190303162937286"</f>
        <v>20190303162937286</v>
      </c>
      <c r="B5934" t="str">
        <f>"1551601777277996"</f>
        <v>1551601777277996</v>
      </c>
      <c r="C5934" t="s">
        <v>40</v>
      </c>
      <c r="D5934">
        <v>5.407527</v>
      </c>
      <c r="E5934">
        <v>0.49693989999999999</v>
      </c>
      <c r="F5934" t="s">
        <v>66</v>
      </c>
      <c r="G5934">
        <v>-234.60339999999999</v>
      </c>
      <c r="H5934" s="1">
        <v>-9.974739999999999E-7</v>
      </c>
      <c r="I5934">
        <v>-60.183549999999997</v>
      </c>
      <c r="J5934">
        <v>-266.59620000000001</v>
      </c>
      <c r="K5934">
        <v>1.124941</v>
      </c>
      <c r="L5934">
        <v>-63.742100000000001</v>
      </c>
      <c r="M5934">
        <v>0.99019000000000001</v>
      </c>
      <c r="N5934">
        <v>-1.2053660000000001E-2</v>
      </c>
      <c r="O5934">
        <v>0.13920750000000001</v>
      </c>
      <c r="P5934">
        <v>0.98445479999999996</v>
      </c>
      <c r="Q5934">
        <v>0.14860809999999999</v>
      </c>
      <c r="R5934">
        <v>9.3619679999999997E-2</v>
      </c>
      <c r="S5934">
        <v>3.0307309999999998</v>
      </c>
      <c r="T5934">
        <v>-0.1060818</v>
      </c>
      <c r="U5934">
        <v>0.337677</v>
      </c>
      <c r="V5934">
        <v>4.285634E-2</v>
      </c>
      <c r="W5934">
        <v>0.16090929999999901</v>
      </c>
      <c r="X5934">
        <v>0.98603830000000003</v>
      </c>
      <c r="Y5934">
        <v>2.8648509999999999E-2</v>
      </c>
      <c r="Z5934">
        <v>-3.8278980000000002E-3</v>
      </c>
      <c r="AA5934">
        <v>0.99958219999999998</v>
      </c>
      <c r="AB5934">
        <v>31</v>
      </c>
      <c r="AC5934">
        <v>31.992799999999999</v>
      </c>
      <c r="AD5934">
        <v>-1.124941997474</v>
      </c>
      <c r="AE5934">
        <v>3.5585499999999999</v>
      </c>
      <c r="AF5934">
        <v>0.92893004564556603</v>
      </c>
      <c r="AG5934">
        <v>-1.124941997474</v>
      </c>
      <c r="AH5934">
        <v>32.137412138380903</v>
      </c>
      <c r="AI5934">
        <v>92.003933816892797</v>
      </c>
      <c r="AJ5934">
        <v>88.344329794458602</v>
      </c>
      <c r="AK5934">
        <v>32.170509235626596</v>
      </c>
      <c r="AL5934">
        <v>80.740320816509296</v>
      </c>
      <c r="AM5934">
        <v>87.511310685319202</v>
      </c>
      <c r="AN5934">
        <v>0.99999999888578694</v>
      </c>
    </row>
    <row r="5935" spans="1:40" x14ac:dyDescent="0.25">
      <c r="A5935" t="str">
        <f>"20190303162937297"</f>
        <v>20190303162937297</v>
      </c>
      <c r="B5935" t="str">
        <f>"1551601777287756"</f>
        <v>1551601777287756</v>
      </c>
      <c r="C5935" t="s">
        <v>40</v>
      </c>
      <c r="D5935">
        <v>5.1772780000000003</v>
      </c>
      <c r="E5935">
        <v>0.49710149999999997</v>
      </c>
      <c r="F5935" t="s">
        <v>66</v>
      </c>
      <c r="G5935">
        <v>-233.63040000000001</v>
      </c>
      <c r="H5935" s="1">
        <v>-5.7865960000000005E-7</v>
      </c>
      <c r="I5935">
        <v>-60.191659999999999</v>
      </c>
      <c r="J5935">
        <v>-266.44600000000003</v>
      </c>
      <c r="K5935">
        <v>1.12476</v>
      </c>
      <c r="L5935">
        <v>-63.719090000000001</v>
      </c>
      <c r="M5935">
        <v>0.98992340000000001</v>
      </c>
      <c r="N5935">
        <v>-1.204304E-2</v>
      </c>
      <c r="O5935">
        <v>0.1410911</v>
      </c>
      <c r="P5935">
        <v>0.98457689999999998</v>
      </c>
      <c r="Q5935">
        <v>0.1494751</v>
      </c>
      <c r="R5935">
        <v>9.0915750000000004E-2</v>
      </c>
      <c r="S5935">
        <v>3.031952</v>
      </c>
      <c r="T5935">
        <v>-0.1034641</v>
      </c>
      <c r="U5935">
        <v>0.3265381</v>
      </c>
      <c r="V5935">
        <v>4.7493220000000003E-2</v>
      </c>
      <c r="W5935">
        <v>0.1617827</v>
      </c>
      <c r="X5935">
        <v>0.98568290000000003</v>
      </c>
      <c r="Y5935">
        <v>3.4221660000000001E-2</v>
      </c>
      <c r="Z5935">
        <v>-3.8655759999999999E-3</v>
      </c>
      <c r="AA5935">
        <v>0.99940680000000004</v>
      </c>
      <c r="AB5935">
        <v>31</v>
      </c>
      <c r="AC5935">
        <v>32.815599999999897</v>
      </c>
      <c r="AD5935">
        <v>-1.1247605786596</v>
      </c>
      <c r="AE5935">
        <v>3.5274299999999998</v>
      </c>
      <c r="AF5935">
        <v>1.1368657827050599</v>
      </c>
      <c r="AG5935">
        <v>-1.1247605786596</v>
      </c>
      <c r="AH5935">
        <v>32.946746882177202</v>
      </c>
      <c r="AI5935">
        <v>91.954084547134002</v>
      </c>
      <c r="AJ5935">
        <v>88.023726672361406</v>
      </c>
      <c r="AK5935">
        <v>32.985537441209701</v>
      </c>
      <c r="AL5935">
        <v>80.689614458114903</v>
      </c>
      <c r="AM5935">
        <v>87.241447358595906</v>
      </c>
      <c r="AN5935">
        <v>1.0000000136588301</v>
      </c>
    </row>
    <row r="5936" spans="1:40" x14ac:dyDescent="0.25">
      <c r="A5936" t="str">
        <f>"20190303162937309"</f>
        <v>20190303162937309</v>
      </c>
      <c r="B5936" t="str">
        <f>"1551601777297515"</f>
        <v>1551601777297515</v>
      </c>
      <c r="C5936" t="s">
        <v>40</v>
      </c>
      <c r="D5936">
        <v>5.1261650000000003</v>
      </c>
      <c r="E5936">
        <v>0.49724230000000003</v>
      </c>
      <c r="F5936" t="s">
        <v>66</v>
      </c>
      <c r="G5936">
        <v>-232.73070000000001</v>
      </c>
      <c r="H5936" s="1">
        <v>-1.9006609999999999E-7</v>
      </c>
      <c r="I5936">
        <v>-60.206409999999998</v>
      </c>
      <c r="J5936">
        <v>-266.30119999999999</v>
      </c>
      <c r="K5936">
        <v>1.1245780000000001</v>
      </c>
      <c r="L5936">
        <v>-63.6967199999999</v>
      </c>
      <c r="M5936">
        <v>0.98967950000000005</v>
      </c>
      <c r="N5936">
        <v>-1.2032910000000001E-2</v>
      </c>
      <c r="O5936">
        <v>0.14279229999999901</v>
      </c>
      <c r="P5936">
        <v>0.98474510000000004</v>
      </c>
      <c r="Q5936">
        <v>0.14987320000000001</v>
      </c>
      <c r="R5936">
        <v>8.8404189999999994E-2</v>
      </c>
      <c r="S5936">
        <v>3.0331730000000001</v>
      </c>
      <c r="T5936">
        <v>-0.10118820000000001</v>
      </c>
      <c r="U5936">
        <v>0.3160095</v>
      </c>
      <c r="V5936">
        <v>5.1769849999999999E-2</v>
      </c>
      <c r="W5936">
        <v>0.1621813</v>
      </c>
      <c r="X5936">
        <v>0.985402</v>
      </c>
      <c r="Y5936">
        <v>3.9411269999999998E-2</v>
      </c>
      <c r="Z5936">
        <v>-3.9007880000000001E-3</v>
      </c>
      <c r="AA5936">
        <v>0.99921550000000003</v>
      </c>
      <c r="AB5936">
        <v>31</v>
      </c>
      <c r="AC5936">
        <v>33.570499999999903</v>
      </c>
      <c r="AD5936">
        <v>-1.1245781900661</v>
      </c>
      <c r="AE5936">
        <v>3.4903099999999898</v>
      </c>
      <c r="AF5936">
        <v>1.3379323110953201</v>
      </c>
      <c r="AG5936">
        <v>-1.1245781900661</v>
      </c>
      <c r="AH5936">
        <v>33.687468365889401</v>
      </c>
      <c r="AI5936">
        <v>91.910471966618204</v>
      </c>
      <c r="AJ5936">
        <v>87.725634760781006</v>
      </c>
      <c r="AK5936">
        <v>33.732777292678399</v>
      </c>
      <c r="AL5936">
        <v>80.666470556287805</v>
      </c>
      <c r="AM5936">
        <v>86.992628986966594</v>
      </c>
      <c r="AN5936">
        <v>0.99999999652135596</v>
      </c>
    </row>
    <row r="5937" spans="1:40" x14ac:dyDescent="0.25">
      <c r="A5937" t="str">
        <f>"20190303162937320"</f>
        <v>20190303162937320</v>
      </c>
      <c r="B5937" t="str">
        <f>"1551601777308252"</f>
        <v>1551601777308252</v>
      </c>
      <c r="C5937" t="s">
        <v>40</v>
      </c>
      <c r="D5937">
        <v>5.528537</v>
      </c>
      <c r="E5937">
        <v>0.49744310000000003</v>
      </c>
      <c r="F5937" t="s">
        <v>66</v>
      </c>
      <c r="G5937">
        <v>-232.23609999999999</v>
      </c>
      <c r="H5937" s="1">
        <v>3.1836520000000002E-8</v>
      </c>
      <c r="I5937">
        <v>-60.261200000000002</v>
      </c>
      <c r="J5937">
        <v>-266.14400000000001</v>
      </c>
      <c r="K5937">
        <v>1.1243620000000001</v>
      </c>
      <c r="L5937">
        <v>-63.672269999999997</v>
      </c>
      <c r="M5937">
        <v>0.98942920000000001</v>
      </c>
      <c r="N5937">
        <v>-1.2022069999999999E-2</v>
      </c>
      <c r="O5937">
        <v>0.1445176</v>
      </c>
      <c r="P5937">
        <v>0.98483860000000001</v>
      </c>
      <c r="Q5937">
        <v>0.1502511</v>
      </c>
      <c r="R5937">
        <v>8.6703639999999998E-2</v>
      </c>
      <c r="S5937">
        <v>3.0342099999999999</v>
      </c>
      <c r="T5937">
        <v>-0.1001673</v>
      </c>
      <c r="U5937">
        <v>0.30599979999999999</v>
      </c>
      <c r="V5937">
        <v>5.5268129999999999E-2</v>
      </c>
      <c r="W5937">
        <v>0.16254540000000001</v>
      </c>
      <c r="X5937">
        <v>0.98515200000000003</v>
      </c>
      <c r="Y5937">
        <v>4.4447729999999998E-2</v>
      </c>
      <c r="Z5937">
        <v>-3.9954389999999999E-3</v>
      </c>
      <c r="AA5937">
        <v>0.99900370000000005</v>
      </c>
      <c r="AB5937">
        <v>31</v>
      </c>
      <c r="AC5937">
        <v>33.907899999999998</v>
      </c>
      <c r="AD5937">
        <v>-1.12436196816348</v>
      </c>
      <c r="AE5937">
        <v>3.4110699999999898</v>
      </c>
      <c r="AF5937">
        <v>1.5237276849288</v>
      </c>
      <c r="AG5937">
        <v>-1.12436196816348</v>
      </c>
      <c r="AH5937">
        <v>34.007867877024999</v>
      </c>
      <c r="AI5937">
        <v>91.891716447560597</v>
      </c>
      <c r="AJ5937">
        <v>87.434569681343405</v>
      </c>
      <c r="AK5937">
        <v>34.060549223911003</v>
      </c>
      <c r="AL5937">
        <v>80.645328835803298</v>
      </c>
      <c r="AM5937">
        <v>86.7890084978429</v>
      </c>
      <c r="AN5937">
        <v>1.00000001817942</v>
      </c>
    </row>
    <row r="5938" spans="1:40" x14ac:dyDescent="0.25">
      <c r="A5938" t="str">
        <f>"20190303162937332"</f>
        <v>20190303162937332</v>
      </c>
      <c r="B5938" t="str">
        <f>"1551601777327773"</f>
        <v>1551601777327773</v>
      </c>
      <c r="C5938" t="s">
        <v>40</v>
      </c>
      <c r="D5938">
        <v>5.462396</v>
      </c>
      <c r="E5938">
        <v>0.49761610000000001</v>
      </c>
      <c r="F5938" t="s">
        <v>66</v>
      </c>
      <c r="G5938">
        <v>-231.7587</v>
      </c>
      <c r="H5938" s="1">
        <v>2.4313609999999998E-7</v>
      </c>
      <c r="I5938">
        <v>-60.297780000000003</v>
      </c>
      <c r="J5938">
        <v>-265.97980000000001</v>
      </c>
      <c r="K5938">
        <v>1.124126</v>
      </c>
      <c r="L5938">
        <v>-63.64658</v>
      </c>
      <c r="M5938">
        <v>0.98919659999999998</v>
      </c>
      <c r="N5938">
        <v>-1.2010720000000001E-2</v>
      </c>
      <c r="O5938">
        <v>0.14610209999999901</v>
      </c>
      <c r="P5938">
        <v>0.98490820000000001</v>
      </c>
      <c r="Q5938">
        <v>0.15071860000000001</v>
      </c>
      <c r="R5938">
        <v>8.5088010000000006E-2</v>
      </c>
      <c r="S5938">
        <v>3.0350950000000001</v>
      </c>
      <c r="T5938">
        <v>-9.9244360000000004E-2</v>
      </c>
      <c r="U5938">
        <v>0.29785159999999899</v>
      </c>
      <c r="V5938">
        <v>5.8548040000000003E-2</v>
      </c>
      <c r="W5938">
        <v>0.16299</v>
      </c>
      <c r="X5938">
        <v>0.98488900000000001</v>
      </c>
      <c r="Y5938">
        <v>4.8730049999999997E-2</v>
      </c>
      <c r="Z5938">
        <v>-4.0731439999999999E-3</v>
      </c>
      <c r="AA5938">
        <v>0.99880369999999996</v>
      </c>
      <c r="AB5938">
        <v>31</v>
      </c>
      <c r="AC5938">
        <v>34.2211</v>
      </c>
      <c r="AD5938">
        <v>-1.1241257568639</v>
      </c>
      <c r="AE5938">
        <v>3.3488000000000002</v>
      </c>
      <c r="AF5938">
        <v>1.6854732500879801</v>
      </c>
      <c r="AG5938">
        <v>-1.1241257568639</v>
      </c>
      <c r="AH5938">
        <v>34.3064724975725</v>
      </c>
      <c r="AI5938">
        <v>91.874489334749896</v>
      </c>
      <c r="AJ5938">
        <v>87.187326177066296</v>
      </c>
      <c r="AK5938">
        <v>34.366241197150202</v>
      </c>
      <c r="AL5938">
        <v>80.619510451322796</v>
      </c>
      <c r="AM5938">
        <v>86.597979639467596</v>
      </c>
      <c r="AN5938">
        <v>0.99999997770441995</v>
      </c>
    </row>
    <row r="5939" spans="1:40" x14ac:dyDescent="0.25">
      <c r="A5939" t="str">
        <f>"20190303162937342"</f>
        <v>20190303162937342</v>
      </c>
      <c r="B5939" t="str">
        <f>"1551601777327773"</f>
        <v>1551601777327773</v>
      </c>
      <c r="C5939" t="s">
        <v>40</v>
      </c>
      <c r="D5939">
        <v>5.462396</v>
      </c>
      <c r="E5939">
        <v>0.49761610000000001</v>
      </c>
      <c r="F5939" t="s">
        <v>66</v>
      </c>
      <c r="G5939">
        <v>-231.23650000000001</v>
      </c>
      <c r="H5939" s="1">
        <v>4.7135879999999999E-7</v>
      </c>
      <c r="I5939">
        <v>-60.321339999999999</v>
      </c>
      <c r="J5939">
        <v>-265.83190000000002</v>
      </c>
      <c r="K5939">
        <v>1.1239059999999901</v>
      </c>
      <c r="L5939">
        <v>-63.623440000000002</v>
      </c>
      <c r="M5939">
        <v>0.98899479999999995</v>
      </c>
      <c r="N5939">
        <v>-1.200098E-2</v>
      </c>
      <c r="O5939">
        <v>0.14746339999999999</v>
      </c>
      <c r="P5939">
        <v>0.98498090000000005</v>
      </c>
      <c r="Q5939">
        <v>0.15096399999999999</v>
      </c>
      <c r="R5939">
        <v>8.3801399999999901E-2</v>
      </c>
      <c r="S5939">
        <v>3.0359189999999998</v>
      </c>
      <c r="T5939">
        <v>-9.8227499999999995E-2</v>
      </c>
      <c r="U5939">
        <v>0.29055789999999998</v>
      </c>
      <c r="V5939">
        <v>6.1274969999999998E-2</v>
      </c>
      <c r="W5939">
        <v>0.16320970000000001</v>
      </c>
      <c r="X5939">
        <v>0.98468670000000003</v>
      </c>
      <c r="Y5939">
        <v>5.2506570000000002E-2</v>
      </c>
      <c r="Z5939">
        <v>-4.1273990000000003E-3</v>
      </c>
      <c r="AA5939">
        <v>0.99861200000000006</v>
      </c>
      <c r="AB5939">
        <v>31</v>
      </c>
      <c r="AC5939">
        <v>34.595399999999998</v>
      </c>
      <c r="AD5939">
        <v>-1.1239055286412001</v>
      </c>
      <c r="AE5939">
        <v>3.3020999999999998</v>
      </c>
      <c r="AF5939">
        <v>1.8340094519069601</v>
      </c>
      <c r="AG5939">
        <v>-1.1239055286412001</v>
      </c>
      <c r="AH5939">
        <v>34.667846853817203</v>
      </c>
      <c r="AI5939">
        <v>91.854244688716605</v>
      </c>
      <c r="AJ5939">
        <v>86.971743373429803</v>
      </c>
      <c r="AK5939">
        <v>34.734512516900502</v>
      </c>
      <c r="AL5939">
        <v>80.606751580575505</v>
      </c>
      <c r="AM5939">
        <v>86.439196305472905</v>
      </c>
      <c r="AN5939">
        <v>0.999999962639739</v>
      </c>
    </row>
    <row r="5940" spans="1:40" x14ac:dyDescent="0.25">
      <c r="A5940" t="str">
        <f>"20190303162937355"</f>
        <v>20190303162937355</v>
      </c>
      <c r="B5940" t="str">
        <f>"1551601777348269"</f>
        <v>1551601777348269</v>
      </c>
      <c r="C5940" t="s">
        <v>40</v>
      </c>
      <c r="D5940">
        <v>5.4674310000000004</v>
      </c>
      <c r="E5940">
        <v>0.49764839999999999</v>
      </c>
      <c r="F5940" t="s">
        <v>66</v>
      </c>
      <c r="G5940">
        <v>-230.8383</v>
      </c>
      <c r="H5940" s="1">
        <v>6.4428119999999895E-7</v>
      </c>
      <c r="I5940">
        <v>-60.333179999999999</v>
      </c>
      <c r="J5940">
        <v>-265.6712</v>
      </c>
      <c r="K5940">
        <v>1.1236459999999999</v>
      </c>
      <c r="L5940">
        <v>-63.598140000000001</v>
      </c>
      <c r="M5940">
        <v>0.98881969999999997</v>
      </c>
      <c r="N5940">
        <v>-1.1990610000000001E-2</v>
      </c>
      <c r="O5940">
        <v>0.14863390000000001</v>
      </c>
      <c r="P5940">
        <v>0.98501640000000001</v>
      </c>
      <c r="Q5940">
        <v>0.15128420000000001</v>
      </c>
      <c r="R5940">
        <v>8.2802020000000004E-2</v>
      </c>
      <c r="S5940">
        <v>3.0364070000000001</v>
      </c>
      <c r="T5940">
        <v>-9.7521540000000004E-2</v>
      </c>
      <c r="U5940">
        <v>0.28549190000000002</v>
      </c>
      <c r="V5940">
        <v>6.3538059999999993E-2</v>
      </c>
      <c r="W5940">
        <v>0.16349149999999901</v>
      </c>
      <c r="X5940">
        <v>0.9844965</v>
      </c>
      <c r="Y5940">
        <v>5.5353699999999902E-2</v>
      </c>
      <c r="Z5940">
        <v>-4.1737290000000002E-3</v>
      </c>
      <c r="AA5940">
        <v>0.99845810000000002</v>
      </c>
      <c r="AB5940">
        <v>31</v>
      </c>
      <c r="AC5940">
        <v>34.832899999999903</v>
      </c>
      <c r="AD5940">
        <v>-1.1236453557188</v>
      </c>
      <c r="AE5940">
        <v>3.2649599999999901</v>
      </c>
      <c r="AF5940">
        <v>1.94702451160441</v>
      </c>
      <c r="AG5940">
        <v>-1.1236453557188</v>
      </c>
      <c r="AH5940">
        <v>34.895253628185202</v>
      </c>
      <c r="AI5940">
        <v>91.841454475969698</v>
      </c>
      <c r="AJ5940">
        <v>86.806421366875597</v>
      </c>
      <c r="AK5940">
        <v>34.967587979578902</v>
      </c>
      <c r="AL5940">
        <v>80.590385752665995</v>
      </c>
      <c r="AM5940">
        <v>86.307329879285703</v>
      </c>
      <c r="AN5940">
        <v>0.99999995707653</v>
      </c>
    </row>
    <row r="5941" spans="1:40" x14ac:dyDescent="0.25">
      <c r="A5941" t="str">
        <f>"20190303162937364"</f>
        <v>20190303162937364</v>
      </c>
      <c r="B5941" t="str">
        <f>"1551601777358028"</f>
        <v>1551601777358028</v>
      </c>
      <c r="C5941" t="s">
        <v>40</v>
      </c>
      <c r="D5941">
        <v>5.5823460000000003</v>
      </c>
      <c r="E5941">
        <v>0.49773699999999999</v>
      </c>
      <c r="F5941" t="s">
        <v>66</v>
      </c>
      <c r="G5941">
        <v>-230.5462</v>
      </c>
      <c r="H5941" s="1">
        <v>7.7213010000000001E-7</v>
      </c>
      <c r="I5941">
        <v>-60.347650000000002</v>
      </c>
      <c r="J5941">
        <v>-265.53500000000003</v>
      </c>
      <c r="K5941">
        <v>1.123426</v>
      </c>
      <c r="L5941">
        <v>-63.576689999999999</v>
      </c>
      <c r="M5941">
        <v>0.98867740000000004</v>
      </c>
      <c r="N5941">
        <v>-1.1982400000000001E-2</v>
      </c>
      <c r="O5941">
        <v>0.1495776</v>
      </c>
      <c r="P5941">
        <v>0.98503499999999999</v>
      </c>
      <c r="Q5941">
        <v>0.15148339999999999</v>
      </c>
      <c r="R5941">
        <v>8.2212199999999999E-2</v>
      </c>
      <c r="S5941">
        <v>3.0369570000000001</v>
      </c>
      <c r="T5941">
        <v>-9.7151879999999996E-2</v>
      </c>
      <c r="U5941">
        <v>0.28103640000000002</v>
      </c>
      <c r="V5941">
        <v>6.5153989999999995E-2</v>
      </c>
      <c r="W5941">
        <v>0.16365469999999999</v>
      </c>
      <c r="X5941">
        <v>0.98436380000000001</v>
      </c>
      <c r="Y5941">
        <v>5.7774329999999999E-2</v>
      </c>
      <c r="Z5941">
        <v>-4.2243109999999997E-3</v>
      </c>
      <c r="AA5941">
        <v>0.99832080000000001</v>
      </c>
      <c r="AB5941">
        <v>31</v>
      </c>
      <c r="AC5941">
        <v>34.988799999999998</v>
      </c>
      <c r="AD5941">
        <v>-1.1234252278699</v>
      </c>
      <c r="AE5941">
        <v>3.2290399999999901</v>
      </c>
      <c r="AF5941">
        <v>2.03912391638789</v>
      </c>
      <c r="AG5941">
        <v>-1.1234252278699</v>
      </c>
      <c r="AH5941">
        <v>35.042324338836501</v>
      </c>
      <c r="AI5941">
        <v>91.833123130394398</v>
      </c>
      <c r="AJ5941">
        <v>86.669696041614699</v>
      </c>
      <c r="AK5941">
        <v>35.119575818298401</v>
      </c>
      <c r="AL5941">
        <v>80.580907798851896</v>
      </c>
      <c r="AM5941">
        <v>86.213177012156905</v>
      </c>
      <c r="AN5941">
        <v>0.99999999699772502</v>
      </c>
    </row>
    <row r="5942" spans="1:40" x14ac:dyDescent="0.25">
      <c r="A5942" t="str">
        <f>"20190303162937376"</f>
        <v>20190303162937376</v>
      </c>
      <c r="B5942" t="str">
        <f>"1551601777367788"</f>
        <v>1551601777367788</v>
      </c>
      <c r="C5942" t="s">
        <v>40</v>
      </c>
      <c r="D5942">
        <v>5.521871</v>
      </c>
      <c r="E5942">
        <v>0.49782080000000001</v>
      </c>
      <c r="F5942" t="s">
        <v>66</v>
      </c>
      <c r="G5942">
        <v>-230.35560000000001</v>
      </c>
      <c r="H5942" s="1">
        <v>8.5660369999999996E-7</v>
      </c>
      <c r="I5942">
        <v>-60.362879999999997</v>
      </c>
      <c r="J5942">
        <v>-265.375</v>
      </c>
      <c r="K5942">
        <v>1.1231469999999999</v>
      </c>
      <c r="L5942">
        <v>-63.551450000000003</v>
      </c>
      <c r="M5942">
        <v>0.98855139999999997</v>
      </c>
      <c r="N5942">
        <v>-1.1973320000000001E-2</v>
      </c>
      <c r="O5942">
        <v>0.15040909999999999</v>
      </c>
      <c r="P5942">
        <v>0.98504999999999998</v>
      </c>
      <c r="Q5942">
        <v>0.15178349999999999</v>
      </c>
      <c r="R5942">
        <v>8.1477330000000001E-2</v>
      </c>
      <c r="S5942">
        <v>3.0372919999999999</v>
      </c>
      <c r="T5942">
        <v>-9.6993330000000003E-2</v>
      </c>
      <c r="U5942">
        <v>0.27746579999999998</v>
      </c>
      <c r="V5942">
        <v>6.6823080000000007E-2</v>
      </c>
      <c r="W5942">
        <v>0.16390679999999999</v>
      </c>
      <c r="X5942">
        <v>0.98421000000000003</v>
      </c>
      <c r="Y5942">
        <v>5.9786480000000003E-2</v>
      </c>
      <c r="Z5942">
        <v>-4.2761120000000003E-3</v>
      </c>
      <c r="AA5942">
        <v>0.99820200000000003</v>
      </c>
      <c r="AB5942">
        <v>31</v>
      </c>
      <c r="AC5942">
        <v>35.019399999999898</v>
      </c>
      <c r="AD5942">
        <v>-1.1231461433962999</v>
      </c>
      <c r="AE5942">
        <v>3.1885699999999901</v>
      </c>
      <c r="AF5942">
        <v>2.1131668212797199</v>
      </c>
      <c r="AG5942">
        <v>-1.1231461433962999</v>
      </c>
      <c r="AH5942">
        <v>35.064808881589599</v>
      </c>
      <c r="AI5942">
        <v>91.831269638937897</v>
      </c>
      <c r="AJ5942">
        <v>86.551263567635999</v>
      </c>
      <c r="AK5942">
        <v>35.146376103040701</v>
      </c>
      <c r="AL5942">
        <v>80.566266262322003</v>
      </c>
      <c r="AM5942">
        <v>86.115855773623394</v>
      </c>
      <c r="AN5942">
        <v>1.00000004360346</v>
      </c>
    </row>
    <row r="5943" spans="1:40" x14ac:dyDescent="0.25">
      <c r="A5943" t="str">
        <f>"20190303162937387"</f>
        <v>20190303162937387</v>
      </c>
      <c r="B5943" t="str">
        <f>"1551601777377548"</f>
        <v>1551601777377548</v>
      </c>
      <c r="C5943" t="s">
        <v>40</v>
      </c>
      <c r="D5943">
        <v>5.5222949999999997</v>
      </c>
      <c r="E5943">
        <v>0.49788850000000001</v>
      </c>
      <c r="F5943" t="s">
        <v>66</v>
      </c>
      <c r="G5943">
        <v>-230.06440000000001</v>
      </c>
      <c r="H5943" s="1">
        <v>9.8315889999999995E-7</v>
      </c>
      <c r="I5943">
        <v>-60.372</v>
      </c>
      <c r="J5943">
        <v>-265.23140000000001</v>
      </c>
      <c r="K5943">
        <v>1.1228899999999999</v>
      </c>
      <c r="L5943">
        <v>-63.528869999999998</v>
      </c>
      <c r="M5943">
        <v>0.98845240000000001</v>
      </c>
      <c r="N5943">
        <v>-1.196594E-2</v>
      </c>
      <c r="O5943">
        <v>0.15105869999999999</v>
      </c>
      <c r="P5943">
        <v>0.9851086</v>
      </c>
      <c r="Q5943">
        <v>0.15210850000000001</v>
      </c>
      <c r="R5943">
        <v>8.0150219999999994E-2</v>
      </c>
      <c r="S5943">
        <v>3.0378419999999999</v>
      </c>
      <c r="T5943">
        <v>-9.6626400000000001E-2</v>
      </c>
      <c r="U5943">
        <v>0.27352910000000002</v>
      </c>
      <c r="V5943">
        <v>6.8890850000000003E-2</v>
      </c>
      <c r="W5943">
        <v>0.16418959999999999</v>
      </c>
      <c r="X5943">
        <v>0.98402020000000001</v>
      </c>
      <c r="Y5943">
        <v>6.174085E-2</v>
      </c>
      <c r="Z5943">
        <v>-4.3099499999999999E-3</v>
      </c>
      <c r="AA5943">
        <v>0.9980829</v>
      </c>
      <c r="AB5943">
        <v>31</v>
      </c>
      <c r="AC5943">
        <v>35.167000000000002</v>
      </c>
      <c r="AD5943">
        <v>-1.1228890168411001</v>
      </c>
      <c r="AE5943">
        <v>3.1568699999999899</v>
      </c>
      <c r="AF5943">
        <v>2.1898077008297898</v>
      </c>
      <c r="AG5943">
        <v>-1.1228890168411001</v>
      </c>
      <c r="AH5943">
        <v>35.2046945804355</v>
      </c>
      <c r="AI5943">
        <v>91.823365341098096</v>
      </c>
      <c r="AJ5943">
        <v>86.440665072046102</v>
      </c>
      <c r="AK5943">
        <v>35.290602970373001</v>
      </c>
      <c r="AL5943">
        <v>80.549839726137606</v>
      </c>
      <c r="AM5943">
        <v>85.995280316060004</v>
      </c>
      <c r="AN5943">
        <v>0.99999996398496005</v>
      </c>
    </row>
    <row r="5944" spans="1:40" x14ac:dyDescent="0.25">
      <c r="A5944" t="str">
        <f>"20190303162937398"</f>
        <v>20190303162937398</v>
      </c>
      <c r="B5944" t="str">
        <f>"1551601777388284"</f>
        <v>1551601777388284</v>
      </c>
      <c r="C5944" t="s">
        <v>40</v>
      </c>
      <c r="D5944">
        <v>5.5224390000000003</v>
      </c>
      <c r="E5944">
        <v>0.49795630000000002</v>
      </c>
      <c r="F5944" t="s">
        <v>67</v>
      </c>
      <c r="G5944">
        <v>-229.8279</v>
      </c>
      <c r="H5944" s="1">
        <v>-3.3391509999999999E-6</v>
      </c>
      <c r="I5944">
        <v>-60.406120000000001</v>
      </c>
      <c r="J5944">
        <v>-265.07850000000002</v>
      </c>
      <c r="K5944">
        <v>1.1226259999999999</v>
      </c>
      <c r="L5944">
        <v>-63.50488</v>
      </c>
      <c r="M5944">
        <v>0.98837410000000003</v>
      </c>
      <c r="N5944">
        <v>-1.1958989999999999E-2</v>
      </c>
      <c r="O5944">
        <v>0.15157039999999999</v>
      </c>
      <c r="P5944">
        <v>0.98513090000000003</v>
      </c>
      <c r="Q5944">
        <v>0.1523456</v>
      </c>
      <c r="R5944">
        <v>7.9423030000000006E-2</v>
      </c>
      <c r="S5944">
        <v>3.0384519999999999</v>
      </c>
      <c r="T5944">
        <v>-9.6370579999999997E-2</v>
      </c>
      <c r="U5944">
        <v>0.2680054</v>
      </c>
      <c r="V5944">
        <v>7.0228639999999995E-2</v>
      </c>
      <c r="W5944">
        <v>0.1643782</v>
      </c>
      <c r="X5944">
        <v>0.98389420000000005</v>
      </c>
      <c r="Y5944">
        <v>6.4074149999999996E-2</v>
      </c>
      <c r="Z5944">
        <v>-4.3556530000000001E-3</v>
      </c>
      <c r="AA5944">
        <v>0.99793569999999998</v>
      </c>
      <c r="AB5944">
        <v>31</v>
      </c>
      <c r="AC5944">
        <v>35.250599999999999</v>
      </c>
      <c r="AD5944">
        <v>-1.1226293391509901</v>
      </c>
      <c r="AE5944">
        <v>3.0987600000000102</v>
      </c>
      <c r="AF5944">
        <v>2.2780837278792001</v>
      </c>
      <c r="AG5944">
        <v>-1.1226293391509901</v>
      </c>
      <c r="AH5944">
        <v>35.277480853587697</v>
      </c>
      <c r="AI5944">
        <v>91.818912835573897</v>
      </c>
      <c r="AJ5944">
        <v>86.305189603995402</v>
      </c>
      <c r="AK5944">
        <v>35.368780265646699</v>
      </c>
      <c r="AL5944">
        <v>80.538885488355703</v>
      </c>
      <c r="AM5944">
        <v>85.917252158323095</v>
      </c>
      <c r="AN5944">
        <v>1.0000000256525601</v>
      </c>
    </row>
    <row r="5945" spans="1:40" x14ac:dyDescent="0.25">
      <c r="A5945" t="str">
        <f>"20190303162937409"</f>
        <v>20190303162937409</v>
      </c>
      <c r="B5945" t="str">
        <f>"1551601777398044"</f>
        <v>1551601777398044</v>
      </c>
      <c r="C5945" t="s">
        <v>40</v>
      </c>
      <c r="D5945">
        <v>5.5787959999999996</v>
      </c>
      <c r="E5945">
        <v>0.49800859999999902</v>
      </c>
      <c r="F5945" t="s">
        <v>67</v>
      </c>
      <c r="G5945">
        <v>-229.66130000000001</v>
      </c>
      <c r="H5945" s="1">
        <v>-3.2711049999999998E-6</v>
      </c>
      <c r="I5945">
        <v>-60.421509999999998</v>
      </c>
      <c r="J5945">
        <v>-264.92930000000001</v>
      </c>
      <c r="K5945">
        <v>1.1223730000000001</v>
      </c>
      <c r="L5945">
        <v>-63.48151</v>
      </c>
      <c r="M5945">
        <v>0.9883208</v>
      </c>
      <c r="N5945">
        <v>-1.1952839999999999E-2</v>
      </c>
      <c r="O5945">
        <v>0.15191849999999901</v>
      </c>
      <c r="P5945">
        <v>0.98517330000000003</v>
      </c>
      <c r="Q5945">
        <v>0.1524954</v>
      </c>
      <c r="R5945">
        <v>7.8606259999999997E-2</v>
      </c>
      <c r="S5945">
        <v>3.0388489999999999</v>
      </c>
      <c r="T5945">
        <v>-9.6323130000000007E-2</v>
      </c>
      <c r="U5945">
        <v>0.26455689999999998</v>
      </c>
      <c r="V5945">
        <v>7.1491579999999999E-2</v>
      </c>
      <c r="W5945">
        <v>0.16448070000000001</v>
      </c>
      <c r="X5945">
        <v>0.9837861</v>
      </c>
      <c r="Y5945">
        <v>6.5559770000000003E-2</v>
      </c>
      <c r="Z5945">
        <v>-4.3921749999999999E-3</v>
      </c>
      <c r="AA5945">
        <v>0.99783900000000003</v>
      </c>
      <c r="AB5945">
        <v>31</v>
      </c>
      <c r="AC5945">
        <v>35.268000000000001</v>
      </c>
      <c r="AD5945">
        <v>-1.1223762711049901</v>
      </c>
      <c r="AE5945">
        <v>3.06</v>
      </c>
      <c r="AF5945">
        <v>2.3314230297541099</v>
      </c>
      <c r="AG5945">
        <v>-1.1223762711049901</v>
      </c>
      <c r="AH5945">
        <v>35.288018185640802</v>
      </c>
      <c r="AI5945">
        <v>91.817784095366505</v>
      </c>
      <c r="AJ5945">
        <v>86.220052789955901</v>
      </c>
      <c r="AK5945">
        <v>35.382756948939502</v>
      </c>
      <c r="AL5945">
        <v>80.532931565050106</v>
      </c>
      <c r="AM5945">
        <v>85.843630971243599</v>
      </c>
      <c r="AN5945">
        <v>1.00000001861829</v>
      </c>
    </row>
    <row r="5946" spans="1:40" x14ac:dyDescent="0.25">
      <c r="A5946" t="str">
        <f>"20190303162937420"</f>
        <v>20190303162937420</v>
      </c>
      <c r="B5946" t="str">
        <f>"1551601777407804"</f>
        <v>1551601777407804</v>
      </c>
      <c r="C5946" t="s">
        <v>40</v>
      </c>
      <c r="D5946">
        <v>5.5223399999999998</v>
      </c>
      <c r="E5946">
        <v>0.49804159999999997</v>
      </c>
      <c r="F5946" t="s">
        <v>67</v>
      </c>
      <c r="G5946">
        <v>-229.43799999999999</v>
      </c>
      <c r="H5946" s="1">
        <v>-3.1778220000000001E-6</v>
      </c>
      <c r="I5946">
        <v>-60.432729999999999</v>
      </c>
      <c r="J5946">
        <v>-264.7706</v>
      </c>
      <c r="K5946">
        <v>1.1221049999999999</v>
      </c>
      <c r="L5946">
        <v>-63.456760000000003</v>
      </c>
      <c r="M5946">
        <v>0.98828479999999996</v>
      </c>
      <c r="N5946">
        <v>-1.1946790000000001E-2</v>
      </c>
      <c r="O5946">
        <v>0.15215229999999999</v>
      </c>
      <c r="P5946">
        <v>0.98525280000000004</v>
      </c>
      <c r="Q5946">
        <v>0.15221489999999999</v>
      </c>
      <c r="R5946">
        <v>7.8150839999999999E-2</v>
      </c>
      <c r="S5946">
        <v>3.0392459999999999</v>
      </c>
      <c r="T5946">
        <v>-9.6113089999999998E-2</v>
      </c>
      <c r="U5946">
        <v>0.26107789999999997</v>
      </c>
      <c r="V5946">
        <v>7.2294990000000003E-2</v>
      </c>
      <c r="W5946">
        <v>0.16414909999999999</v>
      </c>
      <c r="X5946">
        <v>0.98378279999999996</v>
      </c>
      <c r="Y5946">
        <v>6.6940150000000004E-2</v>
      </c>
      <c r="Z5946">
        <v>-4.4142900000000004E-3</v>
      </c>
      <c r="AA5946">
        <v>0.99774719999999995</v>
      </c>
      <c r="AB5946">
        <v>31</v>
      </c>
      <c r="AC5946">
        <v>35.332599999999999</v>
      </c>
      <c r="AD5946">
        <v>-1.1221081778219999</v>
      </c>
      <c r="AE5946">
        <v>3.0240299999999798</v>
      </c>
      <c r="AF5946">
        <v>2.3851158525790601</v>
      </c>
      <c r="AG5946">
        <v>-1.1221081778219999</v>
      </c>
      <c r="AH5946">
        <v>35.345920926702902</v>
      </c>
      <c r="AI5946">
        <v>91.814204997651004</v>
      </c>
      <c r="AJ5946">
        <v>86.139576703699902</v>
      </c>
      <c r="AK5946">
        <v>35.444069046170299</v>
      </c>
      <c r="AL5946">
        <v>80.552192895519298</v>
      </c>
      <c r="AM5946">
        <v>85.797074819048404</v>
      </c>
      <c r="AN5946">
        <v>1.0000000450928701</v>
      </c>
    </row>
    <row r="5947" spans="1:40" x14ac:dyDescent="0.25">
      <c r="A5947" t="str">
        <f>"20190303162937434"</f>
        <v>20190303162937434</v>
      </c>
      <c r="B5947" t="str">
        <f>"1551601777428299"</f>
        <v>1551601777428299</v>
      </c>
      <c r="C5947" t="s">
        <v>40</v>
      </c>
      <c r="D5947">
        <v>5.5209239999999999</v>
      </c>
      <c r="E5947">
        <v>0.4980774</v>
      </c>
      <c r="F5947" t="s">
        <v>67</v>
      </c>
      <c r="G5947">
        <v>-229.9186</v>
      </c>
      <c r="H5947" s="1">
        <v>-3.3970510000000002E-6</v>
      </c>
      <c r="I5947">
        <v>-60.491500000000002</v>
      </c>
      <c r="J5947">
        <v>-264.59359999999998</v>
      </c>
      <c r="K5947">
        <v>1.12181</v>
      </c>
      <c r="L5947">
        <v>-63.429349999999999</v>
      </c>
      <c r="M5947">
        <v>0.98828680000000002</v>
      </c>
      <c r="N5947">
        <v>-1.1940839999999999E-2</v>
      </c>
      <c r="O5947">
        <v>0.15214079999999999</v>
      </c>
      <c r="P5947">
        <v>0.98526970000000003</v>
      </c>
      <c r="Q5947">
        <v>0.15234739999999999</v>
      </c>
      <c r="R5947">
        <v>7.7681089999999994E-2</v>
      </c>
      <c r="S5947">
        <v>3.03952</v>
      </c>
      <c r="T5947">
        <v>-9.7861409999999996E-2</v>
      </c>
      <c r="U5947">
        <v>0.258606</v>
      </c>
      <c r="V5947">
        <v>7.2867970000000004E-2</v>
      </c>
      <c r="W5947">
        <v>0.16422390000000001</v>
      </c>
      <c r="X5947">
        <v>0.98372800000000005</v>
      </c>
      <c r="Y5947">
        <v>6.7737999999999896E-2</v>
      </c>
      <c r="Z5947">
        <v>-4.5381809999999996E-3</v>
      </c>
      <c r="AA5947">
        <v>0.99769280000000005</v>
      </c>
      <c r="AB5947">
        <v>31</v>
      </c>
      <c r="AC5947">
        <v>34.674999999999898</v>
      </c>
      <c r="AD5947">
        <v>-1.121813397051</v>
      </c>
      <c r="AE5947">
        <v>2.9378499999999899</v>
      </c>
      <c r="AF5947">
        <v>2.36975008597638</v>
      </c>
      <c r="AG5947">
        <v>-1.121813397051</v>
      </c>
      <c r="AH5947">
        <v>34.682241270484603</v>
      </c>
      <c r="AI5947">
        <v>91.848306496454299</v>
      </c>
      <c r="AJ5947">
        <v>86.091199250466502</v>
      </c>
      <c r="AK5947">
        <v>34.781202398880502</v>
      </c>
      <c r="AL5947">
        <v>80.547847820836907</v>
      </c>
      <c r="AM5947">
        <v>85.763649846626507</v>
      </c>
      <c r="AN5947">
        <v>1.0000000041835599</v>
      </c>
    </row>
    <row r="5948" spans="1:40" x14ac:dyDescent="0.25">
      <c r="A5948" t="str">
        <f>"20190303162937443"</f>
        <v>20190303162937443</v>
      </c>
      <c r="B5948" t="str">
        <f>"1551601777438060"</f>
        <v>1551601777438060</v>
      </c>
      <c r="C5948" t="s">
        <v>40</v>
      </c>
      <c r="D5948">
        <v>5.5821709999999998</v>
      </c>
      <c r="E5948">
        <v>0.49809320000000001</v>
      </c>
      <c r="F5948" t="s">
        <v>66</v>
      </c>
      <c r="G5948">
        <v>-230.08680000000001</v>
      </c>
      <c r="H5948" s="1">
        <v>9.3830139999999997E-7</v>
      </c>
      <c r="I5948">
        <v>-60.52393</v>
      </c>
      <c r="J5948">
        <v>-264.45429999999999</v>
      </c>
      <c r="K5948">
        <v>1.12158</v>
      </c>
      <c r="L5948">
        <v>-63.40784</v>
      </c>
      <c r="M5948">
        <v>0.98829849999999997</v>
      </c>
      <c r="N5948">
        <v>-1.193634E-2</v>
      </c>
      <c r="O5948">
        <v>0.15206529999999999</v>
      </c>
      <c r="P5948">
        <v>0.98520079999999999</v>
      </c>
      <c r="Q5948">
        <v>0.1525832</v>
      </c>
      <c r="R5948">
        <v>7.8089569999999997E-2</v>
      </c>
      <c r="S5948">
        <v>3.039917</v>
      </c>
      <c r="T5948">
        <v>-9.8826890000000001E-2</v>
      </c>
      <c r="U5948">
        <v>0.25595089999999998</v>
      </c>
      <c r="V5948">
        <v>7.2471259999999996E-2</v>
      </c>
      <c r="W5948">
        <v>0.16441339999999999</v>
      </c>
      <c r="X5948">
        <v>0.98372570000000004</v>
      </c>
      <c r="Y5948">
        <v>6.853563E-2</v>
      </c>
      <c r="Z5948">
        <v>-4.6131080000000003E-3</v>
      </c>
      <c r="AA5948">
        <v>0.99763800000000002</v>
      </c>
      <c r="AB5948">
        <v>31</v>
      </c>
      <c r="AC5948">
        <v>34.3674999999999</v>
      </c>
      <c r="AD5948">
        <v>-1.1215790616986001</v>
      </c>
      <c r="AE5948">
        <v>2.88390999999999</v>
      </c>
      <c r="AF5948">
        <v>2.3735989512845901</v>
      </c>
      <c r="AG5948">
        <v>-1.1215790616986001</v>
      </c>
      <c r="AH5948">
        <v>34.3699887619739</v>
      </c>
      <c r="AI5948">
        <v>91.8646039446499</v>
      </c>
      <c r="AJ5948">
        <v>86.049413479670505</v>
      </c>
      <c r="AK5948">
        <v>34.470103554694902</v>
      </c>
      <c r="AL5948">
        <v>80.536841102966093</v>
      </c>
      <c r="AM5948">
        <v>85.786620412338095</v>
      </c>
      <c r="AN5948">
        <v>1.0000000512330101</v>
      </c>
    </row>
    <row r="5949" spans="1:40" x14ac:dyDescent="0.25">
      <c r="A5949" t="str">
        <f>"20190303162937454"</f>
        <v>20190303162937454</v>
      </c>
      <c r="B5949" t="str">
        <f>"1551601777448149"</f>
        <v>1551601777448149</v>
      </c>
      <c r="C5949" t="s">
        <v>40</v>
      </c>
      <c r="D5949">
        <v>5.582516</v>
      </c>
      <c r="E5949">
        <v>0.49814130000000001</v>
      </c>
      <c r="F5949" t="s">
        <v>67</v>
      </c>
      <c r="G5949">
        <v>-229.90559999999999</v>
      </c>
      <c r="H5949" s="1">
        <v>-3.392379E-6</v>
      </c>
      <c r="I5949">
        <v>-60.495559999999998</v>
      </c>
      <c r="J5949">
        <v>-264.30529999999999</v>
      </c>
      <c r="K5949">
        <v>1.1213360000000001</v>
      </c>
      <c r="L5949">
        <v>-63.385039999999996</v>
      </c>
      <c r="M5949">
        <v>0.98835070000000003</v>
      </c>
      <c r="N5949">
        <v>-1.1932949999999999E-2</v>
      </c>
      <c r="O5949">
        <v>0.15172479999999999</v>
      </c>
      <c r="P5949">
        <v>0.98517840000000001</v>
      </c>
      <c r="Q5949">
        <v>0.15264140000000001</v>
      </c>
      <c r="R5949">
        <v>7.8255370000000005E-2</v>
      </c>
      <c r="S5949">
        <v>3.040009</v>
      </c>
      <c r="T5949">
        <v>-9.8690150000000004E-2</v>
      </c>
      <c r="U5949">
        <v>0.25625609999999999</v>
      </c>
      <c r="V5949">
        <v>7.2062730000000005E-2</v>
      </c>
      <c r="W5949">
        <v>0.16442519999999999</v>
      </c>
      <c r="X5949">
        <v>0.98375369999999995</v>
      </c>
      <c r="Y5949">
        <v>6.8095580000000003E-2</v>
      </c>
      <c r="Z5949">
        <v>-4.5884150000000002E-3</v>
      </c>
      <c r="AA5949">
        <v>0.99766829999999995</v>
      </c>
      <c r="AB5949">
        <v>31</v>
      </c>
      <c r="AC5949">
        <v>34.399700000000003</v>
      </c>
      <c r="AD5949">
        <v>-1.121339392379</v>
      </c>
      <c r="AE5949">
        <v>2.8894799999999998</v>
      </c>
      <c r="AF5949">
        <v>2.3611450657641799</v>
      </c>
      <c r="AG5949">
        <v>-1.121339392379</v>
      </c>
      <c r="AH5949">
        <v>34.403526262559197</v>
      </c>
      <c r="AI5949">
        <v>91.862444529923806</v>
      </c>
      <c r="AJ5949">
        <v>86.073895450653296</v>
      </c>
      <c r="AK5949">
        <v>34.502681451636299</v>
      </c>
      <c r="AL5949">
        <v>80.536155318103695</v>
      </c>
      <c r="AM5949">
        <v>85.8104057943698</v>
      </c>
      <c r="AN5949">
        <v>1.00000001285689</v>
      </c>
    </row>
    <row r="5950" spans="1:40" x14ac:dyDescent="0.25">
      <c r="A5950" t="str">
        <f>"20190303162937466"</f>
        <v>20190303162937466</v>
      </c>
      <c r="B5950" t="str">
        <f>"1551601777457909"</f>
        <v>1551601777457909</v>
      </c>
      <c r="C5950" t="s">
        <v>40</v>
      </c>
      <c r="D5950">
        <v>5.5233650000000001</v>
      </c>
      <c r="E5950">
        <v>0.49812919999999999</v>
      </c>
      <c r="F5950" t="s">
        <v>67</v>
      </c>
      <c r="G5950">
        <v>-229.94649999999999</v>
      </c>
      <c r="H5950" s="1">
        <v>-3.40813E-6</v>
      </c>
      <c r="I5950">
        <v>-60.492719999999998</v>
      </c>
      <c r="J5950">
        <v>-264.1431</v>
      </c>
      <c r="K5950">
        <v>1.1210739999999999</v>
      </c>
      <c r="L5950">
        <v>-63.360379999999999</v>
      </c>
      <c r="M5950">
        <v>0.98841880000000004</v>
      </c>
      <c r="N5950">
        <v>-1.192959E-2</v>
      </c>
      <c r="O5950">
        <v>0.15128179999999999</v>
      </c>
      <c r="P5950">
        <v>0.98518870000000003</v>
      </c>
      <c r="Q5950">
        <v>0.1525079</v>
      </c>
      <c r="R5950">
        <v>7.8389239999999999E-2</v>
      </c>
      <c r="S5950">
        <v>3.0401609999999999</v>
      </c>
      <c r="T5950">
        <v>-9.9219199999999994E-2</v>
      </c>
      <c r="U5950">
        <v>0.25592039999999999</v>
      </c>
      <c r="V5950">
        <v>7.1595800000000001E-2</v>
      </c>
      <c r="W5950">
        <v>0.16424269999999999</v>
      </c>
      <c r="X5950">
        <v>0.98381819999999998</v>
      </c>
      <c r="Y5950">
        <v>6.776132E-2</v>
      </c>
      <c r="Z5950">
        <v>-4.6043159999999998E-3</v>
      </c>
      <c r="AA5950">
        <v>0.99769090000000005</v>
      </c>
      <c r="AB5950">
        <v>31</v>
      </c>
      <c r="AC5950">
        <v>34.196599999999997</v>
      </c>
      <c r="AD5950">
        <v>-1.1210774081299999</v>
      </c>
      <c r="AE5950">
        <v>2.8676599999999999</v>
      </c>
      <c r="AF5950">
        <v>2.33654667663341</v>
      </c>
      <c r="AG5950">
        <v>-1.1210774081299999</v>
      </c>
      <c r="AH5950">
        <v>34.200319650589101</v>
      </c>
      <c r="AI5950">
        <v>91.873105005148005</v>
      </c>
      <c r="AJ5950">
        <v>86.091657684374894</v>
      </c>
      <c r="AK5950">
        <v>34.2983691905253</v>
      </c>
      <c r="AL5950">
        <v>80.546755190444799</v>
      </c>
      <c r="AM5950">
        <v>85.837728455707094</v>
      </c>
      <c r="AN5950">
        <v>0.99999993686608302</v>
      </c>
    </row>
    <row r="5951" spans="1:40" x14ac:dyDescent="0.25">
      <c r="A5951" t="str">
        <f>"20190303162937476"</f>
        <v>20190303162937476</v>
      </c>
      <c r="B5951" t="str">
        <f>"1551601777467669"</f>
        <v>1551601777467669</v>
      </c>
      <c r="C5951" t="s">
        <v>40</v>
      </c>
      <c r="D5951">
        <v>5.5819479999999997</v>
      </c>
      <c r="E5951">
        <v>0.49810989999999999</v>
      </c>
      <c r="F5951" t="s">
        <v>66</v>
      </c>
      <c r="G5951">
        <v>-230.0643</v>
      </c>
      <c r="H5951" s="1">
        <v>9.5706549999999991E-7</v>
      </c>
      <c r="I5951">
        <v>-60.489609999999999</v>
      </c>
      <c r="J5951">
        <v>-264.00380000000001</v>
      </c>
      <c r="K5951">
        <v>1.120857</v>
      </c>
      <c r="L5951">
        <v>-63.339449999999999</v>
      </c>
      <c r="M5951">
        <v>0.98850170000000004</v>
      </c>
      <c r="N5951">
        <v>-1.192768E-2</v>
      </c>
      <c r="O5951">
        <v>0.1507394</v>
      </c>
      <c r="P5951">
        <v>0.98511170000000003</v>
      </c>
      <c r="Q5951">
        <v>0.1526759</v>
      </c>
      <c r="R5951">
        <v>7.9028829999999994E-2</v>
      </c>
      <c r="S5951">
        <v>3.0402529999999999</v>
      </c>
      <c r="T5951">
        <v>-0.1000137</v>
      </c>
      <c r="U5951">
        <v>0.25610349999999998</v>
      </c>
      <c r="V5951">
        <v>7.0498930000000001E-2</v>
      </c>
      <c r="W5951">
        <v>0.16437209999999999</v>
      </c>
      <c r="X5951">
        <v>0.98387590000000003</v>
      </c>
      <c r="Y5951">
        <v>6.7155740000000005E-2</v>
      </c>
      <c r="Z5951">
        <v>-4.6278200000000004E-3</v>
      </c>
      <c r="AA5951">
        <v>0.9977317</v>
      </c>
      <c r="AB5951">
        <v>31</v>
      </c>
      <c r="AC5951">
        <v>33.939500000000002</v>
      </c>
      <c r="AD5951">
        <v>-1.1208560429345</v>
      </c>
      <c r="AE5951">
        <v>2.8498399999999999</v>
      </c>
      <c r="AF5951">
        <v>2.29662415440739</v>
      </c>
      <c r="AG5951">
        <v>-1.1208560429345</v>
      </c>
      <c r="AH5951">
        <v>33.944487110685202</v>
      </c>
      <c r="AI5951">
        <v>91.886924035160405</v>
      </c>
      <c r="AJ5951">
        <v>86.129367494066898</v>
      </c>
      <c r="AK5951">
        <v>34.040549437150197</v>
      </c>
      <c r="AL5951">
        <v>80.539239915672397</v>
      </c>
      <c r="AM5951">
        <v>85.901516299159795</v>
      </c>
      <c r="AN5951">
        <v>1.00000003649518</v>
      </c>
    </row>
    <row r="5952" spans="1:40" x14ac:dyDescent="0.25">
      <c r="A5952" t="str">
        <f>"20190303162937487"</f>
        <v>20190303162937487</v>
      </c>
      <c r="B5952" t="str">
        <f>"1551601777477429"</f>
        <v>1551601777477429</v>
      </c>
      <c r="C5952" t="s">
        <v>40</v>
      </c>
      <c r="D5952">
        <v>5.5799799999999999</v>
      </c>
      <c r="E5952">
        <v>0.49808950000000002</v>
      </c>
      <c r="F5952" t="s">
        <v>66</v>
      </c>
      <c r="G5952">
        <v>-230.0018</v>
      </c>
      <c r="H5952" s="1">
        <v>9.9436649999999999E-7</v>
      </c>
      <c r="I5952">
        <v>-60.450139999999998</v>
      </c>
      <c r="J5952">
        <v>-263.85489999999999</v>
      </c>
      <c r="K5952">
        <v>1.1206320000000001</v>
      </c>
      <c r="L5952">
        <v>-63.3172</v>
      </c>
      <c r="M5952">
        <v>0.9886028</v>
      </c>
      <c r="N5952">
        <v>-1.192587E-2</v>
      </c>
      <c r="O5952">
        <v>0.15007519999999999</v>
      </c>
      <c r="P5952">
        <v>0.98504380000000002</v>
      </c>
      <c r="Q5952">
        <v>0.15292410000000001</v>
      </c>
      <c r="R5952">
        <v>7.9394080000000006E-2</v>
      </c>
      <c r="S5952">
        <v>3.0401609999999999</v>
      </c>
      <c r="T5952">
        <v>-0.1002171</v>
      </c>
      <c r="U5952">
        <v>0.25833129999999999</v>
      </c>
      <c r="V5952">
        <v>6.9557149999999998E-2</v>
      </c>
      <c r="W5952">
        <v>0.16458039999999999</v>
      </c>
      <c r="X5952">
        <v>0.98390809999999995</v>
      </c>
      <c r="Y5952">
        <v>6.5757629999999997E-2</v>
      </c>
      <c r="Z5952">
        <v>-4.5953139999999996E-3</v>
      </c>
      <c r="AA5952">
        <v>0.99782499999999996</v>
      </c>
      <c r="AB5952">
        <v>31</v>
      </c>
      <c r="AC5952">
        <v>33.853099999999898</v>
      </c>
      <c r="AD5952">
        <v>-1.1206310056335</v>
      </c>
      <c r="AE5952">
        <v>2.8670599999999902</v>
      </c>
      <c r="AF5952">
        <v>2.2438453530128402</v>
      </c>
      <c r="AG5952">
        <v>-1.1206310056335</v>
      </c>
      <c r="AH5952">
        <v>33.863107299544303</v>
      </c>
      <c r="AI5952">
        <v>91.891251785749901</v>
      </c>
      <c r="AJ5952">
        <v>86.208995177309205</v>
      </c>
      <c r="AK5952">
        <v>33.955863879446099</v>
      </c>
      <c r="AL5952">
        <v>80.527140334017801</v>
      </c>
      <c r="AM5952">
        <v>85.956216094810102</v>
      </c>
      <c r="AN5952">
        <v>1.0000000272129399</v>
      </c>
    </row>
    <row r="5953" spans="1:40" x14ac:dyDescent="0.25">
      <c r="A5953" t="str">
        <f>"20190303162937497"</f>
        <v>20190303162937497</v>
      </c>
      <c r="B5953" t="str">
        <f>"1551601777488167"</f>
        <v>1551601777488167</v>
      </c>
      <c r="C5953" t="s">
        <v>40</v>
      </c>
      <c r="D5953">
        <v>5.5778930000000004</v>
      </c>
      <c r="E5953">
        <v>0.4981138</v>
      </c>
      <c r="F5953" t="s">
        <v>67</v>
      </c>
      <c r="G5953">
        <v>-229.9058</v>
      </c>
      <c r="H5953" s="1">
        <v>-3.3748229999999999E-6</v>
      </c>
      <c r="I5953">
        <v>-60.416089999999997</v>
      </c>
      <c r="J5953">
        <v>-263.7047</v>
      </c>
      <c r="K5953">
        <v>1.120412</v>
      </c>
      <c r="L5953">
        <v>-63.295009999999998</v>
      </c>
      <c r="M5953">
        <v>0.98872400000000005</v>
      </c>
      <c r="N5953">
        <v>-1.1924529999999999E-2</v>
      </c>
      <c r="O5953">
        <v>0.14927370000000001</v>
      </c>
      <c r="P5953">
        <v>0.98492599999999997</v>
      </c>
      <c r="Q5953">
        <v>0.15337579999999901</v>
      </c>
      <c r="R5953">
        <v>7.9979750000000002E-2</v>
      </c>
      <c r="S5953">
        <v>3.0401609999999999</v>
      </c>
      <c r="T5953">
        <v>-0.1003537</v>
      </c>
      <c r="U5953">
        <v>0.25979609999999997</v>
      </c>
      <c r="V5953">
        <v>6.8250939999999996E-2</v>
      </c>
      <c r="W5953">
        <v>0.1649967</v>
      </c>
      <c r="X5953">
        <v>0.98392979999999997</v>
      </c>
      <c r="Y5953">
        <v>6.4472280000000007E-2</v>
      </c>
      <c r="Z5953">
        <v>-4.5582139999999997E-3</v>
      </c>
      <c r="AA5953">
        <v>0.99790909999999999</v>
      </c>
      <c r="AB5953">
        <v>31</v>
      </c>
      <c r="AC5953">
        <v>33.798900000000003</v>
      </c>
      <c r="AD5953">
        <v>-1.1204153748229999</v>
      </c>
      <c r="AE5953">
        <v>2.8789199999999902</v>
      </c>
      <c r="AF5953">
        <v>2.1965895133243598</v>
      </c>
      <c r="AG5953">
        <v>-1.1204153748229999</v>
      </c>
      <c r="AH5953">
        <v>33.813048627472</v>
      </c>
      <c r="AI5953">
        <v>91.893846128990504</v>
      </c>
      <c r="AJ5953">
        <v>86.283129821014597</v>
      </c>
      <c r="AK5953">
        <v>33.902840494359303</v>
      </c>
      <c r="AL5953">
        <v>80.5029570105457</v>
      </c>
      <c r="AM5953">
        <v>86.0319964336542</v>
      </c>
      <c r="AN5953">
        <v>0.99999997657490602</v>
      </c>
    </row>
    <row r="5954" spans="1:40" x14ac:dyDescent="0.25">
      <c r="A5954" t="str">
        <f>"20190303162937509"</f>
        <v>20190303162937509</v>
      </c>
      <c r="B5954" t="str">
        <f>"1551601777497926"</f>
        <v>1551601777497926</v>
      </c>
      <c r="C5954" t="s">
        <v>40</v>
      </c>
      <c r="D5954">
        <v>5.6439709999999996</v>
      </c>
      <c r="E5954">
        <v>0.49814540000000002</v>
      </c>
      <c r="F5954" t="s">
        <v>67</v>
      </c>
      <c r="G5954">
        <v>-229.48929999999999</v>
      </c>
      <c r="H5954" s="1">
        <v>-3.195915E-6</v>
      </c>
      <c r="I5954">
        <v>-60.351939999999999</v>
      </c>
      <c r="J5954">
        <v>-263.55790000000002</v>
      </c>
      <c r="K5954">
        <v>1.1202080000000001</v>
      </c>
      <c r="L5954">
        <v>-63.273560000000003</v>
      </c>
      <c r="M5954">
        <v>0.98885769999999995</v>
      </c>
      <c r="N5954">
        <v>-1.1923410000000001E-2</v>
      </c>
      <c r="O5954">
        <v>0.14838599999999999</v>
      </c>
      <c r="P5954">
        <v>0.98477570000000003</v>
      </c>
      <c r="Q5954">
        <v>0.15393509999999999</v>
      </c>
      <c r="R5954">
        <v>8.075388E-2</v>
      </c>
      <c r="S5954">
        <v>3.0401919999999998</v>
      </c>
      <c r="T5954">
        <v>-9.9553939999999994E-2</v>
      </c>
      <c r="U5954">
        <v>0.26150509999999999</v>
      </c>
      <c r="V5954">
        <v>6.6662170000000007E-2</v>
      </c>
      <c r="W5954">
        <v>0.165524799999999</v>
      </c>
      <c r="X5954">
        <v>0.98395010000000005</v>
      </c>
      <c r="Y5954">
        <v>6.3022980000000006E-2</v>
      </c>
      <c r="Z5954">
        <v>-4.4603459999999996E-3</v>
      </c>
      <c r="AA5954">
        <v>0.9980021</v>
      </c>
      <c r="AB5954">
        <v>31</v>
      </c>
      <c r="AC5954">
        <v>34.068600000000004</v>
      </c>
      <c r="AD5954">
        <v>-1.1202111959150001</v>
      </c>
      <c r="AE5954">
        <v>2.9216199999999901</v>
      </c>
      <c r="AF5954">
        <v>2.16406808366495</v>
      </c>
      <c r="AG5954">
        <v>-1.1202111959150001</v>
      </c>
      <c r="AH5954">
        <v>34.088362635154297</v>
      </c>
      <c r="AI5954">
        <v>91.878396944567299</v>
      </c>
      <c r="AJ5954">
        <v>86.367505274696001</v>
      </c>
      <c r="AK5954">
        <v>34.175349755927499</v>
      </c>
      <c r="AL5954">
        <v>80.472277982382906</v>
      </c>
      <c r="AM5954">
        <v>86.1241598946485</v>
      </c>
      <c r="AN5954">
        <v>1.00000005180707</v>
      </c>
    </row>
    <row r="5955" spans="1:40" x14ac:dyDescent="0.25">
      <c r="A5955" t="str">
        <f>"20190303162937520"</f>
        <v>20190303162937520</v>
      </c>
      <c r="B5955" t="str">
        <f>"1551601777507685"</f>
        <v>1551601777507685</v>
      </c>
      <c r="C5955" t="s">
        <v>40</v>
      </c>
      <c r="D5955">
        <v>5.5203470000000001</v>
      </c>
      <c r="E5955">
        <v>0.49809170000000003</v>
      </c>
      <c r="F5955" t="s">
        <v>67</v>
      </c>
      <c r="G5955">
        <v>-229.0607</v>
      </c>
      <c r="H5955" s="1">
        <v>-3.0262980000000001E-6</v>
      </c>
      <c r="I5955">
        <v>-60.287579999999998</v>
      </c>
      <c r="J5955">
        <v>-263.40230000000003</v>
      </c>
      <c r="K5955">
        <v>1.1200030000000001</v>
      </c>
      <c r="L5955">
        <v>-63.251040000000003</v>
      </c>
      <c r="M5955">
        <v>0.98901190000000005</v>
      </c>
      <c r="N5955">
        <v>-1.192226E-2</v>
      </c>
      <c r="O5955">
        <v>0.14735399999999901</v>
      </c>
      <c r="P5955">
        <v>0.98451149999999998</v>
      </c>
      <c r="Q5955">
        <v>0.1548474</v>
      </c>
      <c r="R5955">
        <v>8.2214910000000002E-2</v>
      </c>
      <c r="S5955">
        <v>3.040222</v>
      </c>
      <c r="T5955">
        <v>-9.8723770000000002E-2</v>
      </c>
      <c r="U5955">
        <v>0.26315309999999997</v>
      </c>
      <c r="V5955">
        <v>6.4236829999999995E-2</v>
      </c>
      <c r="W5955">
        <v>0.1664088</v>
      </c>
      <c r="X5955">
        <v>0.98396220000000001</v>
      </c>
      <c r="Y5955">
        <v>6.1448120000000002E-2</v>
      </c>
      <c r="Z5955">
        <v>-4.3558870000000001E-3</v>
      </c>
      <c r="AA5955">
        <v>0.99810080000000001</v>
      </c>
      <c r="AB5955">
        <v>31</v>
      </c>
      <c r="AC5955">
        <v>34.3416</v>
      </c>
      <c r="AD5955">
        <v>-1.1200060262980001</v>
      </c>
      <c r="AE5955">
        <v>2.9634599999999902</v>
      </c>
      <c r="AF5955">
        <v>2.1273803399228899</v>
      </c>
      <c r="AG5955">
        <v>-1.1200060262980001</v>
      </c>
      <c r="AH5955">
        <v>34.367091515428001</v>
      </c>
      <c r="AI5955">
        <v>91.863016237656396</v>
      </c>
      <c r="AJ5955">
        <v>86.457815314408904</v>
      </c>
      <c r="AK5955">
        <v>34.451083289781202</v>
      </c>
      <c r="AL5955">
        <v>80.420915065940207</v>
      </c>
      <c r="AM5955">
        <v>86.264811960302296</v>
      </c>
      <c r="AN5955">
        <v>0.99999993503736195</v>
      </c>
    </row>
    <row r="5956" spans="1:40" x14ac:dyDescent="0.25">
      <c r="A5956" t="str">
        <f>"20190303162937534"</f>
        <v>20190303162937534</v>
      </c>
      <c r="B5956" t="str">
        <f>"1551601777528182"</f>
        <v>1551601777528182</v>
      </c>
      <c r="C5956" t="s">
        <v>40</v>
      </c>
      <c r="D5956">
        <v>5.6390129999999896</v>
      </c>
      <c r="E5956">
        <v>0.49803150000000002</v>
      </c>
      <c r="F5956" t="s">
        <v>67</v>
      </c>
      <c r="G5956">
        <v>-228.19149999999999</v>
      </c>
      <c r="H5956" s="1">
        <v>-2.6831639999999998E-6</v>
      </c>
      <c r="I5956">
        <v>-60.152949999999997</v>
      </c>
      <c r="J5956">
        <v>-263.2328</v>
      </c>
      <c r="K5956">
        <v>1.119794</v>
      </c>
      <c r="L5956">
        <v>-63.226900000000001</v>
      </c>
      <c r="M5956">
        <v>0.98920070000000004</v>
      </c>
      <c r="N5956">
        <v>-1.192154E-2</v>
      </c>
      <c r="O5956">
        <v>0.146082399999999</v>
      </c>
      <c r="P5956">
        <v>0.98422200000000004</v>
      </c>
      <c r="Q5956">
        <v>0.1560231</v>
      </c>
      <c r="R5956">
        <v>8.3451330000000004E-2</v>
      </c>
      <c r="S5956">
        <v>3.0400700000000001</v>
      </c>
      <c r="T5956">
        <v>-9.6700309999999998E-2</v>
      </c>
      <c r="U5956">
        <v>0.26748660000000002</v>
      </c>
      <c r="V5956">
        <v>6.1793420000000002E-2</v>
      </c>
      <c r="W5956">
        <v>0.16755880000000001</v>
      </c>
      <c r="X5956">
        <v>0.98392360000000001</v>
      </c>
      <c r="Y5956">
        <v>5.8753979999999997E-2</v>
      </c>
      <c r="Z5956">
        <v>-4.1546140000000001E-3</v>
      </c>
      <c r="AA5956">
        <v>0.99826380000000003</v>
      </c>
      <c r="AB5956">
        <v>31</v>
      </c>
      <c r="AC5956">
        <v>35.0413</v>
      </c>
      <c r="AD5956">
        <v>-1.1197966831640001</v>
      </c>
      <c r="AE5956">
        <v>3.07395</v>
      </c>
      <c r="AF5956">
        <v>2.0762071147868602</v>
      </c>
      <c r="AG5956">
        <v>-1.1197966831640001</v>
      </c>
      <c r="AH5956">
        <v>35.078870509914701</v>
      </c>
      <c r="AI5956">
        <v>91.825197699628305</v>
      </c>
      <c r="AJ5956">
        <v>86.612796016672604</v>
      </c>
      <c r="AK5956">
        <v>35.158096320001199</v>
      </c>
      <c r="AL5956">
        <v>80.354087388580894</v>
      </c>
      <c r="AM5956">
        <v>86.406369044734802</v>
      </c>
      <c r="AN5956">
        <v>1.00000001442484</v>
      </c>
    </row>
    <row r="5957" spans="1:40" x14ac:dyDescent="0.25">
      <c r="A5957" t="str">
        <f>"20190303162937543"</f>
        <v>20190303162937543</v>
      </c>
      <c r="B5957" t="str">
        <f>"1551601777537941"</f>
        <v>1551601777537941</v>
      </c>
      <c r="C5957" t="s">
        <v>40</v>
      </c>
      <c r="D5957">
        <v>5.58352</v>
      </c>
      <c r="E5957">
        <v>0.49807689999999999</v>
      </c>
      <c r="F5957" t="s">
        <v>67</v>
      </c>
      <c r="G5957">
        <v>-227.22210000000001</v>
      </c>
      <c r="H5957" s="1">
        <v>-2.299071E-6</v>
      </c>
      <c r="I5957">
        <v>-60.0092199999999</v>
      </c>
      <c r="J5957">
        <v>-263.07619999999997</v>
      </c>
      <c r="K5957">
        <v>1.11961</v>
      </c>
      <c r="L5957">
        <v>-63.204770000000003</v>
      </c>
      <c r="M5957">
        <v>0.98938099999999995</v>
      </c>
      <c r="N5957">
        <v>-1.1920689999999999E-2</v>
      </c>
      <c r="O5957">
        <v>0.14485590000000001</v>
      </c>
      <c r="P5957">
        <v>0.98400460000000001</v>
      </c>
      <c r="Q5957">
        <v>0.15686510000000001</v>
      </c>
      <c r="R5957">
        <v>8.4431839999999994E-2</v>
      </c>
      <c r="S5957">
        <v>3.0400390000000002</v>
      </c>
      <c r="T5957">
        <v>-9.4533679999999995E-2</v>
      </c>
      <c r="U5957">
        <v>0.27163700000000002</v>
      </c>
      <c r="V5957">
        <v>5.9649699999999903E-2</v>
      </c>
      <c r="W5957">
        <v>0.16838</v>
      </c>
      <c r="X5957">
        <v>0.98391569999999995</v>
      </c>
      <c r="Y5957">
        <v>5.6168500000000003E-2</v>
      </c>
      <c r="Z5957">
        <v>-3.951698E-3</v>
      </c>
      <c r="AA5957">
        <v>0.99841349999999995</v>
      </c>
      <c r="AB5957">
        <v>31</v>
      </c>
      <c r="AC5957">
        <v>35.854099999999903</v>
      </c>
      <c r="AD5957">
        <v>-1.119612299071</v>
      </c>
      <c r="AE5957">
        <v>3.1955499999999999</v>
      </c>
      <c r="AF5957">
        <v>2.0302416411839399</v>
      </c>
      <c r="AG5957">
        <v>-1.119612299071</v>
      </c>
      <c r="AH5957">
        <v>35.904076586535702</v>
      </c>
      <c r="AI5957">
        <v>91.783253365275996</v>
      </c>
      <c r="AJ5957">
        <v>86.763583853195897</v>
      </c>
      <c r="AK5957">
        <v>35.978856684914902</v>
      </c>
      <c r="AL5957">
        <v>80.306357900228903</v>
      </c>
      <c r="AM5957">
        <v>86.530700549995203</v>
      </c>
      <c r="AN5957">
        <v>1.00000000790829</v>
      </c>
    </row>
    <row r="5958" spans="1:40" x14ac:dyDescent="0.25">
      <c r="A5958" t="str">
        <f>"20190303162937554"</f>
        <v>20190303162937554</v>
      </c>
      <c r="B5958" t="str">
        <f>"1551601777547701"</f>
        <v>1551601777547701</v>
      </c>
      <c r="C5958" t="s">
        <v>40</v>
      </c>
      <c r="D5958">
        <v>5.5916110000000003</v>
      </c>
      <c r="E5958">
        <v>0.49809520000000002</v>
      </c>
      <c r="F5958" t="s">
        <v>67</v>
      </c>
      <c r="G5958">
        <v>-226.38730000000001</v>
      </c>
      <c r="H5958" s="1">
        <v>-1.9665090000000002E-6</v>
      </c>
      <c r="I5958">
        <v>-59.893680000000003</v>
      </c>
      <c r="J5958">
        <v>-262.92239999999998</v>
      </c>
      <c r="K5958">
        <v>1.119451</v>
      </c>
      <c r="L5958">
        <v>-63.1834699999999</v>
      </c>
      <c r="M5958">
        <v>0.98957620000000002</v>
      </c>
      <c r="N5958">
        <v>-1.192051E-2</v>
      </c>
      <c r="O5958">
        <v>0.1435157</v>
      </c>
      <c r="P5958">
        <v>0.98391399999999996</v>
      </c>
      <c r="Q5958">
        <v>0.15720629999999999</v>
      </c>
      <c r="R5958">
        <v>8.4851170000000004E-2</v>
      </c>
      <c r="S5958">
        <v>3.040009</v>
      </c>
      <c r="T5958">
        <v>-9.2769980000000002E-2</v>
      </c>
      <c r="U5958">
        <v>0.27435300000000001</v>
      </c>
      <c r="V5958">
        <v>5.7955050000000001E-2</v>
      </c>
      <c r="W5958">
        <v>0.1687052</v>
      </c>
      <c r="X5958">
        <v>0.98396130000000004</v>
      </c>
      <c r="Y5958">
        <v>5.3934719999999998E-2</v>
      </c>
      <c r="Z5958">
        <v>-3.7802439999999999E-3</v>
      </c>
      <c r="AA5958">
        <v>0.99853729999999996</v>
      </c>
      <c r="AB5958">
        <v>31</v>
      </c>
      <c r="AC5958">
        <v>36.5350999999999</v>
      </c>
      <c r="AD5958">
        <v>-1.1194529665090001</v>
      </c>
      <c r="AE5958">
        <v>3.28978999999998</v>
      </c>
      <c r="AF5958">
        <v>1.9861542228209801</v>
      </c>
      <c r="AG5958">
        <v>-1.1194529665090001</v>
      </c>
      <c r="AH5958">
        <v>36.594925722385</v>
      </c>
      <c r="AI5958">
        <v>91.7495803627002</v>
      </c>
      <c r="AJ5958">
        <v>86.893374918487794</v>
      </c>
      <c r="AK5958">
        <v>36.665877490767002</v>
      </c>
      <c r="AL5958">
        <v>80.287455169968197</v>
      </c>
      <c r="AM5958">
        <v>86.629188723352797</v>
      </c>
      <c r="AN5958">
        <v>1.00000003611261</v>
      </c>
    </row>
    <row r="5959" spans="1:40" x14ac:dyDescent="0.25">
      <c r="A5959" t="str">
        <f>"20190303162937566"</f>
        <v>20190303162937566</v>
      </c>
      <c r="B5959" t="str">
        <f>"1551601777557462"</f>
        <v>1551601777557462</v>
      </c>
      <c r="C5959" t="s">
        <v>40</v>
      </c>
      <c r="D5959">
        <v>5.5880749999999999</v>
      </c>
      <c r="E5959">
        <v>0.498164</v>
      </c>
      <c r="F5959" t="s">
        <v>67</v>
      </c>
      <c r="G5959">
        <v>-226.17580000000001</v>
      </c>
      <c r="H5959" s="1">
        <v>-1.886382E-6</v>
      </c>
      <c r="I5959">
        <v>-59.845750000000002</v>
      </c>
      <c r="J5959">
        <v>-262.77170000000001</v>
      </c>
      <c r="K5959">
        <v>1.1192930000000001</v>
      </c>
      <c r="L5959">
        <v>-63.162779999999998</v>
      </c>
      <c r="M5959">
        <v>0.98977009999999999</v>
      </c>
      <c r="N5959">
        <v>-1.192003E-2</v>
      </c>
      <c r="O5959">
        <v>0.1421732</v>
      </c>
      <c r="P5959">
        <v>0.98381019999999997</v>
      </c>
      <c r="Q5959">
        <v>0.15750649999999999</v>
      </c>
      <c r="R5959">
        <v>8.5496080000000002E-2</v>
      </c>
      <c r="S5959">
        <v>3.0399780000000001</v>
      </c>
      <c r="T5959">
        <v>-9.2610239999999996E-2</v>
      </c>
      <c r="U5959">
        <v>0.27612300000000001</v>
      </c>
      <c r="V5959">
        <v>5.6028870000000001E-2</v>
      </c>
      <c r="W5959">
        <v>0.16899339999999999</v>
      </c>
      <c r="X5959">
        <v>0.98402339999999999</v>
      </c>
      <c r="Y5959">
        <v>5.2004189999999999E-2</v>
      </c>
      <c r="Z5959">
        <v>-3.7062190000000002E-3</v>
      </c>
      <c r="AA5959">
        <v>0.99863999999999997</v>
      </c>
      <c r="AB5959">
        <v>31</v>
      </c>
      <c r="AC5959">
        <v>36.5959</v>
      </c>
      <c r="AD5959">
        <v>-1.119294886382</v>
      </c>
      <c r="AE5959">
        <v>3.3170299999999999</v>
      </c>
      <c r="AF5959">
        <v>1.9182155649538299</v>
      </c>
      <c r="AG5959">
        <v>-1.119294886382</v>
      </c>
      <c r="AH5959">
        <v>36.661708562434399</v>
      </c>
      <c r="AI5959">
        <v>91.746329896248994</v>
      </c>
      <c r="AJ5959">
        <v>87.004898780062604</v>
      </c>
      <c r="AK5959">
        <v>36.728915675706801</v>
      </c>
      <c r="AL5959">
        <v>80.270701899262903</v>
      </c>
      <c r="AM5959">
        <v>86.741179792811096</v>
      </c>
      <c r="AN5959">
        <v>1.00000002763229</v>
      </c>
    </row>
    <row r="5960" spans="1:40" x14ac:dyDescent="0.25">
      <c r="A5960" t="str">
        <f>"20190303162937576"</f>
        <v>20190303162937576</v>
      </c>
      <c r="B5960" t="str">
        <f>"1551601777568198"</f>
        <v>1551601777568198</v>
      </c>
      <c r="C5960" t="s">
        <v>40</v>
      </c>
      <c r="D5960">
        <v>5.6341099999999997</v>
      </c>
      <c r="E5960">
        <v>0.49822300000000003</v>
      </c>
      <c r="F5960" t="s">
        <v>67</v>
      </c>
      <c r="G5960">
        <v>-226.00700000000001</v>
      </c>
      <c r="H5960" s="1">
        <v>-1.8249159999999999E-6</v>
      </c>
      <c r="I5960">
        <v>-59.796129999999998</v>
      </c>
      <c r="J5960">
        <v>-262.6259</v>
      </c>
      <c r="K5960">
        <v>1.1191610000000001</v>
      </c>
      <c r="L5960">
        <v>-63.143099999999997</v>
      </c>
      <c r="M5960">
        <v>0.98996689999999998</v>
      </c>
      <c r="N5960">
        <v>-1.191974E-2</v>
      </c>
      <c r="O5960">
        <v>0.14079630000000001</v>
      </c>
      <c r="P5960">
        <v>0.98387899999999995</v>
      </c>
      <c r="Q5960">
        <v>0.156974799999999</v>
      </c>
      <c r="R5960">
        <v>8.5679839999999993E-2</v>
      </c>
      <c r="S5960">
        <v>3.040009</v>
      </c>
      <c r="T5960">
        <v>-9.2552419999999996E-2</v>
      </c>
      <c r="U5960">
        <v>0.2783813</v>
      </c>
      <c r="V5960">
        <v>5.4536029999999999E-2</v>
      </c>
      <c r="W5960">
        <v>0.16845280000000001</v>
      </c>
      <c r="X5960">
        <v>0.98419990000000002</v>
      </c>
      <c r="Y5960">
        <v>4.9881830000000002E-2</v>
      </c>
      <c r="Z5960">
        <v>-3.6331150000000001E-3</v>
      </c>
      <c r="AA5960">
        <v>0.99874850000000004</v>
      </c>
      <c r="AB5960">
        <v>31</v>
      </c>
      <c r="AC5960">
        <v>36.618899999999996</v>
      </c>
      <c r="AD5960">
        <v>-1.1191628249159999</v>
      </c>
      <c r="AE5960">
        <v>3.34696999999999</v>
      </c>
      <c r="AF5960">
        <v>1.84084166792717</v>
      </c>
      <c r="AG5960">
        <v>-1.1191628249159999</v>
      </c>
      <c r="AH5960">
        <v>36.691358286747203</v>
      </c>
      <c r="AI5960">
        <v>91.744905552354197</v>
      </c>
      <c r="AJ5960">
        <v>87.1278224419314</v>
      </c>
      <c r="AK5960">
        <v>36.754550689696998</v>
      </c>
      <c r="AL5960">
        <v>80.302126087147002</v>
      </c>
      <c r="AM5960">
        <v>86.828396163467204</v>
      </c>
      <c r="AN5960">
        <v>0.99999998377800503</v>
      </c>
    </row>
    <row r="5961" spans="1:40" x14ac:dyDescent="0.25">
      <c r="A5961" t="str">
        <f>"20190303162937586"</f>
        <v>20190303162937586</v>
      </c>
      <c r="B5961" t="str">
        <f>"1551601777577958"</f>
        <v>1551601777577958</v>
      </c>
      <c r="C5961" t="s">
        <v>40</v>
      </c>
      <c r="D5961">
        <v>5.5775790000000001</v>
      </c>
      <c r="E5961">
        <v>0.49825649999999999</v>
      </c>
      <c r="F5961" t="s">
        <v>67</v>
      </c>
      <c r="G5961">
        <v>-226.77780000000001</v>
      </c>
      <c r="H5961" s="1">
        <v>-2.143442E-6</v>
      </c>
      <c r="I5961">
        <v>-59.851030000000002</v>
      </c>
      <c r="J5961">
        <v>-262.4787</v>
      </c>
      <c r="K5961">
        <v>1.1190389999999999</v>
      </c>
      <c r="L5961">
        <v>-63.123379999999997</v>
      </c>
      <c r="M5961">
        <v>0.9901681</v>
      </c>
      <c r="N5961">
        <v>-1.1919219999999999E-2</v>
      </c>
      <c r="O5961">
        <v>0.13937430000000001</v>
      </c>
      <c r="P5961">
        <v>0.98394720000000002</v>
      </c>
      <c r="Q5961">
        <v>0.1562906</v>
      </c>
      <c r="R5961">
        <v>8.6146130000000001E-2</v>
      </c>
      <c r="S5961">
        <v>3.040009</v>
      </c>
      <c r="T5961">
        <v>-9.4907640000000001E-2</v>
      </c>
      <c r="U5961">
        <v>0.2791748</v>
      </c>
      <c r="V5961">
        <v>5.2713410000000002E-2</v>
      </c>
      <c r="W5961">
        <v>0.16776469999999999</v>
      </c>
      <c r="X5961">
        <v>0.98441670000000003</v>
      </c>
      <c r="Y5961">
        <v>4.8186670000000001E-2</v>
      </c>
      <c r="Z5961">
        <v>-3.6974759999999999E-3</v>
      </c>
      <c r="AA5961">
        <v>0.99883149999999998</v>
      </c>
      <c r="AB5961">
        <v>31</v>
      </c>
      <c r="AC5961">
        <v>35.700899999999898</v>
      </c>
      <c r="AD5961">
        <v>-1.11904114344199</v>
      </c>
      <c r="AE5961">
        <v>3.2723499999999999</v>
      </c>
      <c r="AF5961">
        <v>1.7340450432742001</v>
      </c>
      <c r="AG5961">
        <v>-1.11904114344199</v>
      </c>
      <c r="AH5961">
        <v>35.773660317109702</v>
      </c>
      <c r="AI5961">
        <v>91.789593670535695</v>
      </c>
      <c r="AJ5961">
        <v>87.224892352142206</v>
      </c>
      <c r="AK5961">
        <v>35.833140216519801</v>
      </c>
      <c r="AL5961">
        <v>80.342120349749905</v>
      </c>
      <c r="AM5961">
        <v>86.934860878522699</v>
      </c>
      <c r="AN5961">
        <v>0.999999968699403</v>
      </c>
    </row>
    <row r="5962" spans="1:40" x14ac:dyDescent="0.25">
      <c r="A5962" t="str">
        <f>"20190303162937598"</f>
        <v>20190303162937598</v>
      </c>
      <c r="B5962" t="str">
        <f>"1551601777587717"</f>
        <v>1551601777587717</v>
      </c>
      <c r="C5962" t="s">
        <v>40</v>
      </c>
      <c r="D5962">
        <v>5.5790300000000004</v>
      </c>
      <c r="E5962">
        <v>0.49828420000000001</v>
      </c>
      <c r="F5962" t="s">
        <v>67</v>
      </c>
      <c r="G5962">
        <v>-227.6524</v>
      </c>
      <c r="H5962" s="1">
        <v>-2.5056339999999999E-6</v>
      </c>
      <c r="I5962">
        <v>-59.91</v>
      </c>
      <c r="J5962">
        <v>-262.32279999999997</v>
      </c>
      <c r="K5962">
        <v>1.1189199999999999</v>
      </c>
      <c r="L5962">
        <v>-63.102910000000001</v>
      </c>
      <c r="M5962">
        <v>0.99038630000000005</v>
      </c>
      <c r="N5962">
        <v>-1.19186E-2</v>
      </c>
      <c r="O5962">
        <v>0.13781470000000001</v>
      </c>
      <c r="P5962">
        <v>0.98397210000000002</v>
      </c>
      <c r="Q5962">
        <v>0.15585550000000001</v>
      </c>
      <c r="R5962">
        <v>8.6647760000000004E-2</v>
      </c>
      <c r="S5962">
        <v>3.0398860000000001</v>
      </c>
      <c r="T5962">
        <v>-9.7677949999999999E-2</v>
      </c>
      <c r="U5962">
        <v>0.28048709999999999</v>
      </c>
      <c r="V5962">
        <v>5.070976E-2</v>
      </c>
      <c r="W5962">
        <v>0.16732749999999999</v>
      </c>
      <c r="X5962">
        <v>0.98459640000000004</v>
      </c>
      <c r="Y5962">
        <v>4.6179930000000001E-2</v>
      </c>
      <c r="Z5962">
        <v>-3.7708189999999999E-3</v>
      </c>
      <c r="AA5962">
        <v>0.99892599999999998</v>
      </c>
      <c r="AB5962">
        <v>31</v>
      </c>
      <c r="AC5962">
        <v>34.670399999999901</v>
      </c>
      <c r="AD5962">
        <v>-1.118922505634</v>
      </c>
      <c r="AE5962">
        <v>3.1929099999999901</v>
      </c>
      <c r="AF5962">
        <v>1.6143239948105399</v>
      </c>
      <c r="AG5962">
        <v>-1.118922505634</v>
      </c>
      <c r="AH5962">
        <v>34.743706870867399</v>
      </c>
      <c r="AI5962">
        <v>91.842588875405795</v>
      </c>
      <c r="AJ5962">
        <v>87.339734735464404</v>
      </c>
      <c r="AK5962">
        <v>34.799183850524301</v>
      </c>
      <c r="AL5962">
        <v>80.367529752491507</v>
      </c>
      <c r="AM5962">
        <v>87.051695155576994</v>
      </c>
      <c r="AN5962">
        <v>1.0000000214542299</v>
      </c>
    </row>
    <row r="5963" spans="1:40" x14ac:dyDescent="0.25">
      <c r="A5963" t="str">
        <f>"20190303162937610"</f>
        <v>20190303162937610</v>
      </c>
      <c r="B5963" t="str">
        <f>"1551601777597478"</f>
        <v>1551601777597478</v>
      </c>
      <c r="C5963" t="s">
        <v>40</v>
      </c>
      <c r="D5963">
        <v>5.5775629999999996</v>
      </c>
      <c r="E5963">
        <v>0.49834859999999997</v>
      </c>
      <c r="F5963" t="s">
        <v>67</v>
      </c>
      <c r="G5963">
        <v>-228.14330000000001</v>
      </c>
      <c r="H5963" s="1">
        <v>-2.7098420000000002E-6</v>
      </c>
      <c r="I5963">
        <v>-59.938839999999999</v>
      </c>
      <c r="J5963">
        <v>-262.16980000000001</v>
      </c>
      <c r="K5963">
        <v>1.1188209999999901</v>
      </c>
      <c r="L5963">
        <v>-63.083039999999997</v>
      </c>
      <c r="M5963">
        <v>0.99060300000000001</v>
      </c>
      <c r="N5963">
        <v>-1.191791E-2</v>
      </c>
      <c r="O5963">
        <v>0.13624810000000001</v>
      </c>
      <c r="P5963">
        <v>0.98398580000000002</v>
      </c>
      <c r="Q5963">
        <v>0.1555967</v>
      </c>
      <c r="R5963">
        <v>8.6959289999999995E-2</v>
      </c>
      <c r="S5963">
        <v>3.039825</v>
      </c>
      <c r="T5963">
        <v>-9.9513889999999994E-2</v>
      </c>
      <c r="U5963">
        <v>0.2814026</v>
      </c>
      <c r="V5963">
        <v>4.8879720000000002E-2</v>
      </c>
      <c r="W5963">
        <v>0.16706889999999999</v>
      </c>
      <c r="X5963">
        <v>0.98473279999999996</v>
      </c>
      <c r="Y5963">
        <v>4.429876E-2</v>
      </c>
      <c r="Z5963">
        <v>-3.793739E-3</v>
      </c>
      <c r="AA5963">
        <v>0.99901110000000004</v>
      </c>
      <c r="AB5963">
        <v>31</v>
      </c>
      <c r="AC5963">
        <v>34.026499999999999</v>
      </c>
      <c r="AD5963">
        <v>-1.11882370984199</v>
      </c>
      <c r="AE5963">
        <v>3.1442000000000001</v>
      </c>
      <c r="AF5963">
        <v>1.5198708607187901</v>
      </c>
      <c r="AG5963">
        <v>-1.11882370984199</v>
      </c>
      <c r="AH5963">
        <v>34.101014287225198</v>
      </c>
      <c r="AI5963">
        <v>91.877286783442102</v>
      </c>
      <c r="AJ5963">
        <v>87.448035064362998</v>
      </c>
      <c r="AK5963">
        <v>34.153198230100003</v>
      </c>
      <c r="AL5963">
        <v>80.382557449192205</v>
      </c>
      <c r="AM5963">
        <v>87.158310423833299</v>
      </c>
      <c r="AN5963">
        <v>0.99999996588516304</v>
      </c>
    </row>
    <row r="5964" spans="1:40" x14ac:dyDescent="0.25">
      <c r="A5964" t="str">
        <f>"20190303162937620"</f>
        <v>20190303162937620</v>
      </c>
      <c r="B5964" t="str">
        <f>"1551601777608214"</f>
        <v>1551601777608214</v>
      </c>
      <c r="C5964" t="s">
        <v>40</v>
      </c>
      <c r="D5964">
        <v>5.2973480000000004</v>
      </c>
      <c r="E5964">
        <v>0.49837589999999998</v>
      </c>
      <c r="F5964" t="s">
        <v>67</v>
      </c>
      <c r="G5964">
        <v>-228.45320000000001</v>
      </c>
      <c r="H5964" s="1">
        <v>-2.83747E-6</v>
      </c>
      <c r="I5964">
        <v>-59.962940000000003</v>
      </c>
      <c r="J5964">
        <v>-262.00959999999998</v>
      </c>
      <c r="K5964">
        <v>1.1187309999999999</v>
      </c>
      <c r="L5964">
        <v>-63.0625</v>
      </c>
      <c r="M5964">
        <v>0.99083120000000002</v>
      </c>
      <c r="N5964">
        <v>-1.191707E-2</v>
      </c>
      <c r="O5964">
        <v>0.134579799999999</v>
      </c>
      <c r="P5964">
        <v>0.98396950000000005</v>
      </c>
      <c r="Q5964">
        <v>0.1555077</v>
      </c>
      <c r="R5964">
        <v>8.7301420000000005E-2</v>
      </c>
      <c r="S5964">
        <v>3.039917</v>
      </c>
      <c r="T5964">
        <v>-0.1008742</v>
      </c>
      <c r="U5964">
        <v>0.28131099999999998</v>
      </c>
      <c r="V5964">
        <v>4.6912830000000003E-2</v>
      </c>
      <c r="W5964">
        <v>0.166981399999999</v>
      </c>
      <c r="X5964">
        <v>0.98484329999999998</v>
      </c>
      <c r="Y5964">
        <v>4.2648529999999997E-2</v>
      </c>
      <c r="Z5964">
        <v>-3.7923309999999999E-3</v>
      </c>
      <c r="AA5964">
        <v>0.9990829</v>
      </c>
      <c r="AB5964">
        <v>31</v>
      </c>
      <c r="AC5964">
        <v>33.556399999999897</v>
      </c>
      <c r="AD5964">
        <v>-1.11873383747</v>
      </c>
      <c r="AE5964">
        <v>3.0995599999999901</v>
      </c>
      <c r="AF5964">
        <v>1.44338458104905</v>
      </c>
      <c r="AG5964">
        <v>-1.11873383747</v>
      </c>
      <c r="AH5964">
        <v>33.631189321972101</v>
      </c>
      <c r="AI5964">
        <v>91.903477530997094</v>
      </c>
      <c r="AJ5964">
        <v>87.542485833030597</v>
      </c>
      <c r="AK5964">
        <v>33.680733656769398</v>
      </c>
      <c r="AL5964">
        <v>80.387642235678996</v>
      </c>
      <c r="AM5964">
        <v>87.272787553384802</v>
      </c>
      <c r="AN5964">
        <v>0.99999996355972798</v>
      </c>
    </row>
    <row r="5965" spans="1:40" x14ac:dyDescent="0.25">
      <c r="A5965" t="str">
        <f>"20190303162937633"</f>
        <v>20190303162937633</v>
      </c>
      <c r="B5965" t="str">
        <f>"1551601777627733"</f>
        <v>1551601777627733</v>
      </c>
      <c r="C5965" t="s">
        <v>40</v>
      </c>
      <c r="D5965">
        <v>5.3678419999999996</v>
      </c>
      <c r="E5965">
        <v>0.49854280000000001</v>
      </c>
      <c r="F5965" t="s">
        <v>67</v>
      </c>
      <c r="G5965">
        <v>-228.5864</v>
      </c>
      <c r="H5965" s="1">
        <v>-2.8943099999999998E-6</v>
      </c>
      <c r="I5965">
        <v>-59.964170000000003</v>
      </c>
      <c r="J5965">
        <v>-261.84390000000002</v>
      </c>
      <c r="K5965">
        <v>1.1186560000000001</v>
      </c>
      <c r="L5965">
        <v>-63.04175</v>
      </c>
      <c r="M5965">
        <v>0.99106910000000004</v>
      </c>
      <c r="N5965">
        <v>-1.191623E-2</v>
      </c>
      <c r="O5965">
        <v>0.1328164</v>
      </c>
      <c r="P5965">
        <v>0.98397730000000005</v>
      </c>
      <c r="Q5965">
        <v>0.1554836</v>
      </c>
      <c r="R5965">
        <v>8.7257639999999997E-2</v>
      </c>
      <c r="S5965">
        <v>3.039917</v>
      </c>
      <c r="T5965">
        <v>-0.1017512</v>
      </c>
      <c r="U5965">
        <v>0.28179929999999997</v>
      </c>
      <c r="V5965">
        <v>4.5230659999999999E-2</v>
      </c>
      <c r="W5965">
        <v>0.16695989999999999</v>
      </c>
      <c r="X5965">
        <v>0.98492570000000002</v>
      </c>
      <c r="Y5965">
        <v>4.0712060000000001E-2</v>
      </c>
      <c r="Z5965">
        <v>-3.7560670000000001E-3</v>
      </c>
      <c r="AA5965">
        <v>0.99916389999999999</v>
      </c>
      <c r="AB5965">
        <v>31</v>
      </c>
      <c r="AC5965">
        <v>33.2575</v>
      </c>
      <c r="AD5965">
        <v>-1.11865889430999</v>
      </c>
      <c r="AE5965">
        <v>3.0775800000000002</v>
      </c>
      <c r="AF5965">
        <v>1.3656120104924101</v>
      </c>
      <c r="AG5965">
        <v>-1.11865889430999</v>
      </c>
      <c r="AH5965">
        <v>33.3342064318268</v>
      </c>
      <c r="AI5965">
        <v>91.9204516313347</v>
      </c>
      <c r="AJ5965">
        <v>87.654059167083403</v>
      </c>
      <c r="AK5965">
        <v>33.380916888615701</v>
      </c>
      <c r="AL5965">
        <v>80.388892256187901</v>
      </c>
      <c r="AM5965">
        <v>87.370658055025103</v>
      </c>
      <c r="AN5965">
        <v>1.0000000276662599</v>
      </c>
    </row>
    <row r="5966" spans="1:40" x14ac:dyDescent="0.25">
      <c r="A5966" t="str">
        <f>"20190303162937645"</f>
        <v>20190303162937645</v>
      </c>
      <c r="B5966" t="str">
        <f>"1551601777637493"</f>
        <v>1551601777637493</v>
      </c>
      <c r="C5966" t="s">
        <v>40</v>
      </c>
      <c r="D5966">
        <v>5.6412529999999999</v>
      </c>
      <c r="E5966">
        <v>0.49864340000000001</v>
      </c>
      <c r="F5966" t="s">
        <v>67</v>
      </c>
      <c r="G5966">
        <v>-228.7099</v>
      </c>
      <c r="H5966" s="1">
        <v>-2.9419210000000001E-6</v>
      </c>
      <c r="I5966">
        <v>-59.988529999999997</v>
      </c>
      <c r="J5966">
        <v>-261.67610000000002</v>
      </c>
      <c r="K5966">
        <v>1.1185830000000001</v>
      </c>
      <c r="L5966">
        <v>-63.02084</v>
      </c>
      <c r="M5966">
        <v>0.99130830000000003</v>
      </c>
      <c r="N5966">
        <v>-1.191526E-2</v>
      </c>
      <c r="O5966">
        <v>0.1310183</v>
      </c>
      <c r="P5966">
        <v>0.98404809999999998</v>
      </c>
      <c r="Q5966">
        <v>0.15536849999999999</v>
      </c>
      <c r="R5966">
        <v>8.6660870000000001E-2</v>
      </c>
      <c r="S5966">
        <v>3.0402529999999999</v>
      </c>
      <c r="T5966">
        <v>-0.10264379999999999</v>
      </c>
      <c r="U5966">
        <v>0.28015139999999999</v>
      </c>
      <c r="V5966">
        <v>4.4067290000000002E-2</v>
      </c>
      <c r="W5966">
        <v>0.1668451</v>
      </c>
      <c r="X5966">
        <v>0.98499789999999998</v>
      </c>
      <c r="Y5966">
        <v>3.944661E-2</v>
      </c>
      <c r="Z5966">
        <v>-3.733189E-3</v>
      </c>
      <c r="AA5966">
        <v>0.99921470000000001</v>
      </c>
      <c r="AB5966">
        <v>31</v>
      </c>
      <c r="AC5966">
        <v>32.966200000000001</v>
      </c>
      <c r="AD5966">
        <v>-1.11858594192099</v>
      </c>
      <c r="AE5966">
        <v>3.0323099999999901</v>
      </c>
      <c r="AF5966">
        <v>1.3118170311817099</v>
      </c>
      <c r="AG5966">
        <v>-1.11858594192099</v>
      </c>
      <c r="AH5966">
        <v>33.041582777215602</v>
      </c>
      <c r="AI5966">
        <v>91.937419060379298</v>
      </c>
      <c r="AJ5966">
        <v>87.726436833548405</v>
      </c>
      <c r="AK5966">
        <v>33.086527331473597</v>
      </c>
      <c r="AL5966">
        <v>80.395563487064095</v>
      </c>
      <c r="AM5966">
        <v>87.438383150250502</v>
      </c>
      <c r="AN5966">
        <v>1.00000003822318</v>
      </c>
    </row>
    <row r="5967" spans="1:40" x14ac:dyDescent="0.25">
      <c r="A5967" t="str">
        <f>"20190303162937655"</f>
        <v>20190303162937655</v>
      </c>
      <c r="B5967" t="str">
        <f>"1551601777648229"</f>
        <v>1551601777648229</v>
      </c>
      <c r="C5967" t="s">
        <v>40</v>
      </c>
      <c r="D5967">
        <v>5.4001859999999997</v>
      </c>
      <c r="E5967">
        <v>0.49873440000000002</v>
      </c>
      <c r="F5967" t="s">
        <v>67</v>
      </c>
      <c r="G5967">
        <v>-228.8254</v>
      </c>
      <c r="H5967" s="1">
        <v>-2.9839159999999999E-6</v>
      </c>
      <c r="I5967">
        <v>-60.022629999999999</v>
      </c>
      <c r="J5967">
        <v>-261.53289999999998</v>
      </c>
      <c r="K5967">
        <v>1.1185369999999999</v>
      </c>
      <c r="L5967">
        <v>-63.003419999999998</v>
      </c>
      <c r="M5967">
        <v>0.99151239999999996</v>
      </c>
      <c r="N5967">
        <v>-1.1914650000000001E-2</v>
      </c>
      <c r="O5967">
        <v>0.1294661</v>
      </c>
      <c r="P5967">
        <v>0.98416320000000002</v>
      </c>
      <c r="Q5967">
        <v>0.1547934</v>
      </c>
      <c r="R5967">
        <v>8.6382790000000001E-2</v>
      </c>
      <c r="S5967">
        <v>3.0404659999999999</v>
      </c>
      <c r="T5967">
        <v>-0.1035296</v>
      </c>
      <c r="U5967">
        <v>0.27749629999999997</v>
      </c>
      <c r="V5967">
        <v>4.2826389999999999E-2</v>
      </c>
      <c r="W5967">
        <v>0.16627430000000001</v>
      </c>
      <c r="X5967">
        <v>0.9851491</v>
      </c>
      <c r="Y5967">
        <v>3.8753540000000003E-2</v>
      </c>
      <c r="Z5967">
        <v>-3.7272550000000001E-3</v>
      </c>
      <c r="AA5967">
        <v>0.99924179999999996</v>
      </c>
      <c r="AB5967">
        <v>31</v>
      </c>
      <c r="AC5967">
        <v>32.707499999999897</v>
      </c>
      <c r="AD5967">
        <v>-1.118539983916</v>
      </c>
      <c r="AE5967">
        <v>2.9807899999999901</v>
      </c>
      <c r="AF5967">
        <v>1.27763093147363</v>
      </c>
      <c r="AG5967">
        <v>-1.118539983916</v>
      </c>
      <c r="AH5967">
        <v>32.780106892471203</v>
      </c>
      <c r="AI5967">
        <v>91.952836767430895</v>
      </c>
      <c r="AJ5967">
        <v>87.767980857085902</v>
      </c>
      <c r="AK5967">
        <v>32.8240594743325</v>
      </c>
      <c r="AL5967">
        <v>80.428730815886794</v>
      </c>
      <c r="AM5967">
        <v>87.510805800410395</v>
      </c>
      <c r="AN5967">
        <v>0.99999999587586597</v>
      </c>
    </row>
    <row r="5968" spans="1:40" x14ac:dyDescent="0.25">
      <c r="A5968" t="str">
        <f>"20190303162937667"</f>
        <v>20190303162937667</v>
      </c>
      <c r="B5968" t="str">
        <f>"1551601777657990"</f>
        <v>1551601777657990</v>
      </c>
      <c r="C5968" t="s">
        <v>40</v>
      </c>
      <c r="D5968">
        <v>5.5680569999999996</v>
      </c>
      <c r="E5968">
        <v>0.498861</v>
      </c>
      <c r="F5968" t="s">
        <v>67</v>
      </c>
      <c r="G5968">
        <v>-229.3339</v>
      </c>
      <c r="H5968" s="1">
        <v>-3.1887250000000001E-6</v>
      </c>
      <c r="I5968">
        <v>-60.082990000000002</v>
      </c>
      <c r="J5968">
        <v>-261.37810000000002</v>
      </c>
      <c r="K5968">
        <v>1.1184909999999999</v>
      </c>
      <c r="L5968">
        <v>-62.984740000000002</v>
      </c>
      <c r="M5968">
        <v>0.99173040000000001</v>
      </c>
      <c r="N5968">
        <v>-1.191393E-2</v>
      </c>
      <c r="O5968">
        <v>0.1277845</v>
      </c>
      <c r="P5968">
        <v>0.98430850000000003</v>
      </c>
      <c r="Q5968">
        <v>0.154094799999999</v>
      </c>
      <c r="R5968">
        <v>8.5975570000000001E-2</v>
      </c>
      <c r="S5968">
        <v>3.04068</v>
      </c>
      <c r="T5968">
        <v>-0.1056281</v>
      </c>
      <c r="U5968">
        <v>0.27578740000000002</v>
      </c>
      <c r="V5968">
        <v>4.1586860000000003E-2</v>
      </c>
      <c r="W5968">
        <v>0.1655807</v>
      </c>
      <c r="X5968">
        <v>0.98531899999999994</v>
      </c>
      <c r="Y5968">
        <v>3.7620630000000002E-2</v>
      </c>
      <c r="Z5968">
        <v>-3.765277E-3</v>
      </c>
      <c r="AA5968">
        <v>0.99928499999999998</v>
      </c>
      <c r="AB5968">
        <v>31</v>
      </c>
      <c r="AC5968">
        <v>32.044199999999996</v>
      </c>
      <c r="AD5968">
        <v>-1.1184941887249999</v>
      </c>
      <c r="AE5968">
        <v>2.9017499999999998</v>
      </c>
      <c r="AF5968">
        <v>1.21561577565323</v>
      </c>
      <c r="AG5968">
        <v>-1.1184941887249999</v>
      </c>
      <c r="AH5968">
        <v>32.113480884808901</v>
      </c>
      <c r="AI5968">
        <v>91.993346432976693</v>
      </c>
      <c r="AJ5968">
        <v>87.832174745357406</v>
      </c>
      <c r="AK5968">
        <v>32.155938883870498</v>
      </c>
      <c r="AL5968">
        <v>80.469029676376493</v>
      </c>
      <c r="AM5968">
        <v>87.583180469355298</v>
      </c>
      <c r="AN5968">
        <v>0.99999998344907404</v>
      </c>
    </row>
    <row r="5969" spans="1:40" x14ac:dyDescent="0.25">
      <c r="A5969" t="str">
        <f>"20190303162937688"</f>
        <v>20190303162937688</v>
      </c>
      <c r="B5969" t="str">
        <f>"1551601777677509"</f>
        <v>1551601777677509</v>
      </c>
      <c r="C5969" t="s">
        <v>40</v>
      </c>
      <c r="D5969">
        <v>5.3296720000000004</v>
      </c>
      <c r="E5969">
        <v>0.4989326</v>
      </c>
      <c r="F5969" t="s">
        <v>67</v>
      </c>
      <c r="G5969">
        <v>-229.98560000000001</v>
      </c>
      <c r="H5969" s="1">
        <v>-3.4507080000000001E-6</v>
      </c>
      <c r="I5969">
        <v>-60.162590000000002</v>
      </c>
      <c r="J5969">
        <v>-261.08409999999998</v>
      </c>
      <c r="K5969">
        <v>1.118428</v>
      </c>
      <c r="L5969">
        <v>-62.950099999999999</v>
      </c>
      <c r="M5969">
        <v>0.99213839999999998</v>
      </c>
      <c r="N5969">
        <v>-1.191271E-2</v>
      </c>
      <c r="O5969">
        <v>0.1245777</v>
      </c>
      <c r="P5969">
        <v>0.98466670000000001</v>
      </c>
      <c r="Q5969">
        <v>0.1517416</v>
      </c>
      <c r="R5969">
        <v>8.6057949999999994E-2</v>
      </c>
      <c r="S5969">
        <v>3.040924</v>
      </c>
      <c r="T5969">
        <v>-0.1083462</v>
      </c>
      <c r="U5969">
        <v>0.27337650000000002</v>
      </c>
      <c r="V5969">
        <v>3.8365000000000003E-2</v>
      </c>
      <c r="W5969">
        <v>0.16324830000000001</v>
      </c>
      <c r="X5969">
        <v>0.98583880000000002</v>
      </c>
      <c r="Y5969">
        <v>3.518189E-2</v>
      </c>
      <c r="Z5969">
        <v>-3.7630440000000001E-3</v>
      </c>
      <c r="AA5969">
        <v>0.99937390000000004</v>
      </c>
      <c r="AB5969">
        <v>31</v>
      </c>
      <c r="AC5969">
        <v>31.098499999999898</v>
      </c>
      <c r="AD5969">
        <v>-1.118431450708</v>
      </c>
      <c r="AE5969">
        <v>2.7875099999999899</v>
      </c>
      <c r="AF5969">
        <v>1.1072417795374201</v>
      </c>
      <c r="AG5969">
        <v>-1.118431450708</v>
      </c>
      <c r="AH5969">
        <v>31.163503637080399</v>
      </c>
      <c r="AI5969">
        <v>92.054119244936601</v>
      </c>
      <c r="AJ5969">
        <v>87.965132341290698</v>
      </c>
      <c r="AK5969">
        <v>31.203218298864801</v>
      </c>
      <c r="AL5969">
        <v>80.604510348681103</v>
      </c>
      <c r="AM5969">
        <v>87.771396383591593</v>
      </c>
      <c r="AN5969">
        <v>1.00000001013166</v>
      </c>
    </row>
    <row r="5970" spans="1:40" x14ac:dyDescent="0.25">
      <c r="A5970" t="str">
        <f>"20190303162937698"</f>
        <v>20190303162937698</v>
      </c>
      <c r="B5970" t="str">
        <f>"1551601777688246"</f>
        <v>1551601777688246</v>
      </c>
      <c r="C5970" t="s">
        <v>40</v>
      </c>
      <c r="D5970">
        <v>5.3717329999999999</v>
      </c>
      <c r="E5970">
        <v>0.49904159999999997</v>
      </c>
      <c r="F5970" t="s">
        <v>66</v>
      </c>
      <c r="G5970">
        <v>-231.74879999999999</v>
      </c>
      <c r="H5970" s="1">
        <v>2.5263610000000001E-7</v>
      </c>
      <c r="I5970">
        <v>-60.32743</v>
      </c>
      <c r="J5970">
        <v>-260.93290000000002</v>
      </c>
      <c r="K5970">
        <v>1.118403</v>
      </c>
      <c r="L5970">
        <v>-62.932650000000002</v>
      </c>
      <c r="M5970">
        <v>0.99234429999999996</v>
      </c>
      <c r="N5970">
        <v>-1.191205E-2</v>
      </c>
      <c r="O5970">
        <v>0.1229258</v>
      </c>
      <c r="P5970">
        <v>0.98473949999999999</v>
      </c>
      <c r="Q5970">
        <v>0.15116160000000001</v>
      </c>
      <c r="R5970">
        <v>8.6245139999999998E-2</v>
      </c>
      <c r="S5970">
        <v>3.0408019999999998</v>
      </c>
      <c r="T5970">
        <v>-0.11593249999999999</v>
      </c>
      <c r="U5970">
        <v>0.2718506</v>
      </c>
      <c r="V5970">
        <v>3.6548440000000001E-2</v>
      </c>
      <c r="W5970">
        <v>0.1626795</v>
      </c>
      <c r="X5970">
        <v>0.98600180000000004</v>
      </c>
      <c r="Y5970">
        <v>3.4002350000000001E-2</v>
      </c>
      <c r="Z5970">
        <v>-4.0441239999999996E-3</v>
      </c>
      <c r="AA5970">
        <v>0.99941349999999995</v>
      </c>
      <c r="AB5970">
        <v>31</v>
      </c>
      <c r="AC5970">
        <v>29.184100000000001</v>
      </c>
      <c r="AD5970">
        <v>-1.1184027473639</v>
      </c>
      <c r="AE5970">
        <v>2.6052199999999899</v>
      </c>
      <c r="AF5970">
        <v>1.0008166252580299</v>
      </c>
      <c r="AG5970">
        <v>-1.1184027473639</v>
      </c>
      <c r="AH5970">
        <v>29.240400774404499</v>
      </c>
      <c r="AI5970">
        <v>92.189131728034795</v>
      </c>
      <c r="AJ5970">
        <v>88.039691980119102</v>
      </c>
      <c r="AK5970">
        <v>29.278891646892902</v>
      </c>
      <c r="AL5970">
        <v>80.637541455849899</v>
      </c>
      <c r="AM5970">
        <v>87.877171142254099</v>
      </c>
      <c r="AN5970">
        <v>0.99999997889496095</v>
      </c>
    </row>
    <row r="5971" spans="1:40" x14ac:dyDescent="0.25">
      <c r="A5971" t="str">
        <f>"20190303162937710"</f>
        <v>20190303162937710</v>
      </c>
      <c r="B5971" t="str">
        <f>"1551601777698006"</f>
        <v>1551601777698006</v>
      </c>
      <c r="C5971" t="s">
        <v>40</v>
      </c>
      <c r="D5971">
        <v>5.5656480000000004</v>
      </c>
      <c r="E5971">
        <v>0.49914730000000002</v>
      </c>
      <c r="F5971" t="s">
        <v>66</v>
      </c>
      <c r="G5971">
        <v>-232.17060000000001</v>
      </c>
      <c r="H5971" s="1">
        <v>7.9764619999999998E-8</v>
      </c>
      <c r="I5971">
        <v>-60.372889999999998</v>
      </c>
      <c r="J5971">
        <v>-260.77460000000002</v>
      </c>
      <c r="K5971">
        <v>1.1183780000000001</v>
      </c>
      <c r="L5971">
        <v>-62.914729999999999</v>
      </c>
      <c r="M5971">
        <v>0.99255680000000002</v>
      </c>
      <c r="N5971">
        <v>-1.1911659999999999E-2</v>
      </c>
      <c r="O5971">
        <v>0.121199</v>
      </c>
      <c r="P5971">
        <v>0.9848015</v>
      </c>
      <c r="Q5971">
        <v>0.15082779999999901</v>
      </c>
      <c r="R5971">
        <v>8.6123759999999994E-2</v>
      </c>
      <c r="S5971">
        <v>3.0409549999999999</v>
      </c>
      <c r="T5971">
        <v>-0.1182454</v>
      </c>
      <c r="U5971">
        <v>0.27062989999999998</v>
      </c>
      <c r="V5971">
        <v>3.4962260000000002E-2</v>
      </c>
      <c r="W5971">
        <v>0.16235579999999999</v>
      </c>
      <c r="X5971">
        <v>0.98611269999999995</v>
      </c>
      <c r="Y5971">
        <v>3.2664190000000003E-2</v>
      </c>
      <c r="Z5971">
        <v>-4.0701419999999997E-3</v>
      </c>
      <c r="AA5971">
        <v>0.99945810000000002</v>
      </c>
      <c r="AB5971">
        <v>31</v>
      </c>
      <c r="AC5971">
        <v>28.603999999999999</v>
      </c>
      <c r="AD5971">
        <v>-1.1183779202353701</v>
      </c>
      <c r="AE5971">
        <v>2.5418400000000001</v>
      </c>
      <c r="AF5971">
        <v>0.94249304118729604</v>
      </c>
      <c r="AG5971">
        <v>-1.1183779202353701</v>
      </c>
      <c r="AH5971">
        <v>28.657732200040599</v>
      </c>
      <c r="AI5971">
        <v>92.233647124993198</v>
      </c>
      <c r="AJ5971">
        <v>88.116340248220794</v>
      </c>
      <c r="AK5971">
        <v>28.6950287881786</v>
      </c>
      <c r="AL5971">
        <v>80.656338293213395</v>
      </c>
      <c r="AM5971">
        <v>87.969449926331393</v>
      </c>
      <c r="AN5971">
        <v>1.0000000112596099</v>
      </c>
    </row>
    <row r="5972" spans="1:40" x14ac:dyDescent="0.25">
      <c r="A5972" t="str">
        <f>"20190303162937723"</f>
        <v>20190303162937723</v>
      </c>
      <c r="B5972" t="str">
        <f>"1551601777717525"</f>
        <v>1551601777717525</v>
      </c>
      <c r="C5972" t="s">
        <v>40</v>
      </c>
      <c r="D5972">
        <v>5.506386</v>
      </c>
      <c r="E5972">
        <v>0.49933559999999999</v>
      </c>
      <c r="F5972" t="s">
        <v>66</v>
      </c>
      <c r="G5972">
        <v>-232.35939999999999</v>
      </c>
      <c r="H5972" s="1">
        <v>-4.598633E-9</v>
      </c>
      <c r="I5972">
        <v>-60.40343</v>
      </c>
      <c r="J5972">
        <v>-260.59750000000003</v>
      </c>
      <c r="K5972">
        <v>1.11836</v>
      </c>
      <c r="L5972">
        <v>-62.894869999999997</v>
      </c>
      <c r="M5972">
        <v>0.99279070000000003</v>
      </c>
      <c r="N5972">
        <v>-1.1911390000000001E-2</v>
      </c>
      <c r="O5972">
        <v>0.1192681</v>
      </c>
      <c r="P5972">
        <v>0.9847688</v>
      </c>
      <c r="Q5972">
        <v>0.15133099999999999</v>
      </c>
      <c r="R5972">
        <v>8.5613359999999999E-2</v>
      </c>
      <c r="S5972">
        <v>3.0411679999999999</v>
      </c>
      <c r="T5972">
        <v>-0.1196958</v>
      </c>
      <c r="U5972">
        <v>0.26876830000000002</v>
      </c>
      <c r="V5972">
        <v>3.3553359999999997E-2</v>
      </c>
      <c r="W5972">
        <v>0.16286629999999999</v>
      </c>
      <c r="X5972">
        <v>0.98607739999999999</v>
      </c>
      <c r="Y5972">
        <v>3.1333029999999998E-2</v>
      </c>
      <c r="Z5972">
        <v>-4.049024E-3</v>
      </c>
      <c r="AA5972">
        <v>0.99950079999999997</v>
      </c>
      <c r="AB5972">
        <v>31</v>
      </c>
      <c r="AC5972">
        <v>28.238099999999999</v>
      </c>
      <c r="AD5972">
        <v>-1.1183600045986299</v>
      </c>
      <c r="AE5972">
        <v>2.4914399999999901</v>
      </c>
      <c r="AF5972">
        <v>0.89309943962743099</v>
      </c>
      <c r="AG5972">
        <v>-1.1183600045986299</v>
      </c>
      <c r="AH5972">
        <v>28.289650191005201</v>
      </c>
      <c r="AI5972">
        <v>92.262739230091796</v>
      </c>
      <c r="AJ5972">
        <v>88.191782559470795</v>
      </c>
      <c r="AK5972">
        <v>28.3258303256655</v>
      </c>
      <c r="AL5972">
        <v>80.626693656022198</v>
      </c>
      <c r="AM5972">
        <v>88.051142375151898</v>
      </c>
      <c r="AN5972">
        <v>0.99999994921686797</v>
      </c>
    </row>
    <row r="5973" spans="1:40" x14ac:dyDescent="0.25">
      <c r="A5973" t="str">
        <f>"20190303162937734"</f>
        <v>20190303162937734</v>
      </c>
      <c r="B5973" t="str">
        <f>"1551601777728261"</f>
        <v>1551601777728261</v>
      </c>
      <c r="C5973" t="s">
        <v>40</v>
      </c>
      <c r="D5973">
        <v>5.4580109999999999</v>
      </c>
      <c r="E5973">
        <v>0.49941799999999997</v>
      </c>
      <c r="F5973" t="s">
        <v>66</v>
      </c>
      <c r="G5973">
        <v>-231.9813</v>
      </c>
      <c r="H5973" s="1">
        <v>1.58060899999999E-7</v>
      </c>
      <c r="I5973">
        <v>-60.401780000000002</v>
      </c>
      <c r="J5973">
        <v>-260.45269999999999</v>
      </c>
      <c r="K5973">
        <v>1.118349</v>
      </c>
      <c r="L5973">
        <v>-62.879060000000003</v>
      </c>
      <c r="M5973">
        <v>0.99297860000000004</v>
      </c>
      <c r="N5973">
        <v>-1.1911359999999999E-2</v>
      </c>
      <c r="O5973">
        <v>0.1176932</v>
      </c>
      <c r="P5973">
        <v>0.98471609999999998</v>
      </c>
      <c r="Q5973">
        <v>0.1520859</v>
      </c>
      <c r="R5973">
        <v>8.4877159999999993E-2</v>
      </c>
      <c r="S5973">
        <v>3.0416259999999999</v>
      </c>
      <c r="T5973">
        <v>-0.11887060000000001</v>
      </c>
      <c r="U5973">
        <v>0.2649841</v>
      </c>
      <c r="V5973">
        <v>3.2720480000000003E-2</v>
      </c>
      <c r="W5973">
        <v>0.1636251</v>
      </c>
      <c r="X5973">
        <v>0.98597979999999996</v>
      </c>
      <c r="Y5973">
        <v>3.0996929999999999E-2</v>
      </c>
      <c r="Z5973">
        <v>-3.9615249999999996E-3</v>
      </c>
      <c r="AA5973">
        <v>0.99951159999999994</v>
      </c>
      <c r="AB5973">
        <v>31</v>
      </c>
      <c r="AC5973">
        <v>28.4713999999999</v>
      </c>
      <c r="AD5973">
        <v>-1.1183488419390999</v>
      </c>
      <c r="AE5973">
        <v>2.4772799999999902</v>
      </c>
      <c r="AF5973">
        <v>0.88970492315007299</v>
      </c>
      <c r="AG5973">
        <v>-1.1183488419390999</v>
      </c>
      <c r="AH5973">
        <v>28.521400473327098</v>
      </c>
      <c r="AI5973">
        <v>92.244376267942997</v>
      </c>
      <c r="AJ5973">
        <v>88.213278059328104</v>
      </c>
      <c r="AK5973">
        <v>28.557180602126099</v>
      </c>
      <c r="AL5973">
        <v>80.582626809586102</v>
      </c>
      <c r="AM5973">
        <v>88.099294076091695</v>
      </c>
      <c r="AN5973">
        <v>0.99999998458473904</v>
      </c>
    </row>
    <row r="5974" spans="1:40" x14ac:dyDescent="0.25">
      <c r="A5974" t="str">
        <f>"20190303162937744"</f>
        <v>20190303162937744</v>
      </c>
      <c r="B5974" t="str">
        <f>"1551601777738021"</f>
        <v>1551601777738021</v>
      </c>
      <c r="C5974" t="s">
        <v>40</v>
      </c>
      <c r="D5974">
        <v>5.5116569999999996</v>
      </c>
      <c r="E5974">
        <v>0.49958419999999998</v>
      </c>
      <c r="F5974" t="s">
        <v>66</v>
      </c>
      <c r="G5974">
        <v>-231.2841</v>
      </c>
      <c r="H5974" s="1">
        <v>4.5996930000000001E-7</v>
      </c>
      <c r="I5974">
        <v>-60.372500000000002</v>
      </c>
      <c r="J5974">
        <v>-260.3014</v>
      </c>
      <c r="K5974">
        <v>1.1183379999999901</v>
      </c>
      <c r="L5974">
        <v>-62.862580000000001</v>
      </c>
      <c r="M5974">
        <v>0.99317219999999995</v>
      </c>
      <c r="N5974">
        <v>-1.191132E-2</v>
      </c>
      <c r="O5974">
        <v>0.1160481</v>
      </c>
      <c r="P5974">
        <v>0.98466339999999997</v>
      </c>
      <c r="Q5974">
        <v>0.15281689999999901</v>
      </c>
      <c r="R5974">
        <v>8.4171259999999998E-2</v>
      </c>
      <c r="S5974">
        <v>3.0421140000000002</v>
      </c>
      <c r="T5974">
        <v>-0.1166373</v>
      </c>
      <c r="U5974">
        <v>0.26141360000000002</v>
      </c>
      <c r="V5974">
        <v>3.1788379999999998E-2</v>
      </c>
      <c r="W5974">
        <v>0.16436029999999999</v>
      </c>
      <c r="X5974">
        <v>0.98588799999999999</v>
      </c>
      <c r="Y5974">
        <v>3.0523809999999998E-2</v>
      </c>
      <c r="Z5974">
        <v>-3.8091169999999999E-3</v>
      </c>
      <c r="AA5974">
        <v>0.99952680000000005</v>
      </c>
      <c r="AB5974">
        <v>31</v>
      </c>
      <c r="AC5974">
        <v>29.017299999999999</v>
      </c>
      <c r="AD5974">
        <v>-1.1183375400307001</v>
      </c>
      <c r="AE5974">
        <v>2.4900799999999901</v>
      </c>
      <c r="AF5974">
        <v>0.89307088858986905</v>
      </c>
      <c r="AG5974">
        <v>-1.1183375400307001</v>
      </c>
      <c r="AH5974">
        <v>29.067349137933199</v>
      </c>
      <c r="AI5974">
        <v>92.202273610131797</v>
      </c>
      <c r="AJ5974">
        <v>88.240186927247393</v>
      </c>
      <c r="AK5974">
        <v>29.102560718465899</v>
      </c>
      <c r="AL5974">
        <v>80.5399247783117</v>
      </c>
      <c r="AM5974">
        <v>88.153229142017395</v>
      </c>
      <c r="AN5974">
        <v>0.99999997893155701</v>
      </c>
    </row>
    <row r="5975" spans="1:40" x14ac:dyDescent="0.25">
      <c r="A5975" t="str">
        <f>"20190303162937756"</f>
        <v>20190303162937756</v>
      </c>
      <c r="B5975" t="str">
        <f>"1551601777747781"</f>
        <v>1551601777747781</v>
      </c>
      <c r="C5975" t="s">
        <v>40</v>
      </c>
      <c r="D5975">
        <v>5.5704830000000003</v>
      </c>
      <c r="E5975">
        <v>0.49974170000000001</v>
      </c>
      <c r="F5975" t="s">
        <v>66</v>
      </c>
      <c r="G5975">
        <v>-230.64940000000001</v>
      </c>
      <c r="H5975" s="1">
        <v>7.2928609999999897E-7</v>
      </c>
      <c r="I5975">
        <v>-60.355580000000003</v>
      </c>
      <c r="J5975">
        <v>-260.13459999999998</v>
      </c>
      <c r="K5975">
        <v>1.118333</v>
      </c>
      <c r="L5975">
        <v>-62.844909999999999</v>
      </c>
      <c r="M5975">
        <v>0.99338170000000003</v>
      </c>
      <c r="N5975">
        <v>-1.191147E-2</v>
      </c>
      <c r="O5975">
        <v>0.1142408</v>
      </c>
      <c r="P5975">
        <v>0.98469269999999998</v>
      </c>
      <c r="Q5975">
        <v>0.15331330000000001</v>
      </c>
      <c r="R5975">
        <v>8.2918899999999907E-2</v>
      </c>
      <c r="S5975">
        <v>3.0425420000000001</v>
      </c>
      <c r="T5975">
        <v>-0.1147507</v>
      </c>
      <c r="U5975">
        <v>0.25723269999999998</v>
      </c>
      <c r="V5975">
        <v>3.1245080000000001E-2</v>
      </c>
      <c r="W5975">
        <v>0.1648589</v>
      </c>
      <c r="X5975">
        <v>0.98582210000000003</v>
      </c>
      <c r="Y5975">
        <v>3.0084369999999999E-2</v>
      </c>
      <c r="Z5975">
        <v>-3.6709630000000002E-3</v>
      </c>
      <c r="AA5975">
        <v>0.9995406</v>
      </c>
      <c r="AB5975">
        <v>31</v>
      </c>
      <c r="AC5975">
        <v>29.485199999999899</v>
      </c>
      <c r="AD5975">
        <v>-1.1183322707138901</v>
      </c>
      <c r="AE5975">
        <v>2.4893299999999901</v>
      </c>
      <c r="AF5975">
        <v>0.89434400920163903</v>
      </c>
      <c r="AG5975">
        <v>-1.1183322707138901</v>
      </c>
      <c r="AH5975">
        <v>29.5343519770711</v>
      </c>
      <c r="AI5975">
        <v>92.167503328838507</v>
      </c>
      <c r="AJ5975">
        <v>88.265528786954206</v>
      </c>
      <c r="AK5975">
        <v>29.5690457231889</v>
      </c>
      <c r="AL5975">
        <v>80.510961856402602</v>
      </c>
      <c r="AM5975">
        <v>88.184650018716994</v>
      </c>
      <c r="AN5975">
        <v>0.99999996239091204</v>
      </c>
    </row>
    <row r="5976" spans="1:40" x14ac:dyDescent="0.25">
      <c r="A5976" t="str">
        <f>"20190303162937768"</f>
        <v>20190303162937768</v>
      </c>
      <c r="B5976" t="str">
        <f>"1551601777757542"</f>
        <v>1551601777757542</v>
      </c>
      <c r="C5976" t="s">
        <v>40</v>
      </c>
      <c r="D5976">
        <v>5.3533150000000003</v>
      </c>
      <c r="E5976">
        <v>0.49974170000000001</v>
      </c>
      <c r="F5976" t="s">
        <v>66</v>
      </c>
      <c r="G5976">
        <v>-230.1506</v>
      </c>
      <c r="H5976" s="1">
        <v>9.4520959999999996E-7</v>
      </c>
      <c r="I5976">
        <v>-60.366549999999997</v>
      </c>
      <c r="J5976">
        <v>-259.98059999999998</v>
      </c>
      <c r="K5976">
        <v>1.1183289999999999</v>
      </c>
      <c r="L5976">
        <v>-62.828769999999999</v>
      </c>
      <c r="M5976">
        <v>0.99357189999999995</v>
      </c>
      <c r="N5976">
        <v>-1.191162E-2</v>
      </c>
      <c r="O5976">
        <v>0.1125753</v>
      </c>
      <c r="P5976">
        <v>0.98465849999999999</v>
      </c>
      <c r="Q5976">
        <v>0.1538785</v>
      </c>
      <c r="R5976">
        <v>8.2276459999999996E-2</v>
      </c>
      <c r="S5976">
        <v>3.0431210000000002</v>
      </c>
      <c r="T5976">
        <v>-0.1135013</v>
      </c>
      <c r="U5976">
        <v>0.25152590000000002</v>
      </c>
      <c r="V5976">
        <v>3.0230259999999998E-2</v>
      </c>
      <c r="W5976">
        <v>0.165430299999999</v>
      </c>
      <c r="X5976">
        <v>0.98575809999999997</v>
      </c>
      <c r="Y5976">
        <v>3.028813E-2</v>
      </c>
      <c r="Z5976">
        <v>-3.5810289999999999E-3</v>
      </c>
      <c r="AA5976">
        <v>0.99953479999999995</v>
      </c>
      <c r="AB5976">
        <v>31</v>
      </c>
      <c r="AC5976">
        <v>29.829999999999899</v>
      </c>
      <c r="AD5976">
        <v>-1.1183280547904</v>
      </c>
      <c r="AE5976">
        <v>2.4622199999999999</v>
      </c>
      <c r="AF5976">
        <v>0.91052210776268705</v>
      </c>
      <c r="AG5976">
        <v>-1.1183280547904</v>
      </c>
      <c r="AH5976">
        <v>29.875847930009002</v>
      </c>
      <c r="AI5976">
        <v>92.1427301398693</v>
      </c>
      <c r="AJ5976">
        <v>88.254344752990306</v>
      </c>
      <c r="AK5976">
        <v>29.910633521941399</v>
      </c>
      <c r="AL5976">
        <v>80.477768030883198</v>
      </c>
      <c r="AM5976">
        <v>88.243459896837393</v>
      </c>
      <c r="AN5976">
        <v>1.0000000422466799</v>
      </c>
    </row>
    <row r="5977" spans="1:40" x14ac:dyDescent="0.25">
      <c r="A5977" t="str">
        <f>"20190303162937779"</f>
        <v>20190303162937779</v>
      </c>
      <c r="B5977" t="str">
        <f>"1551601777768278"</f>
        <v>1551601777768278</v>
      </c>
      <c r="C5977" t="s">
        <v>40</v>
      </c>
      <c r="D5977">
        <v>5.3318099999999999</v>
      </c>
      <c r="E5977">
        <v>0.51034959999999996</v>
      </c>
      <c r="F5977" t="s">
        <v>67</v>
      </c>
      <c r="G5977">
        <v>-229.5257</v>
      </c>
      <c r="H5977" s="1">
        <v>-3.2161020000000001E-6</v>
      </c>
      <c r="I5977">
        <v>-60.331290000000003</v>
      </c>
      <c r="J5977">
        <v>-259.82580000000002</v>
      </c>
      <c r="K5977">
        <v>1.1183270000000001</v>
      </c>
      <c r="L5977">
        <v>-62.812840000000001</v>
      </c>
      <c r="M5977">
        <v>0.99375979999999997</v>
      </c>
      <c r="N5977">
        <v>-1.191183E-2</v>
      </c>
      <c r="O5977">
        <v>0.11090369999999999</v>
      </c>
      <c r="P5977">
        <v>0.98471500000000001</v>
      </c>
      <c r="Q5977">
        <v>0.15397720000000001</v>
      </c>
      <c r="R5977">
        <v>8.1409209999999996E-2</v>
      </c>
      <c r="S5977">
        <v>3.0433650000000001</v>
      </c>
      <c r="T5977">
        <v>-0.11175499999999999</v>
      </c>
      <c r="U5977">
        <v>0.24957280000000001</v>
      </c>
      <c r="V5977">
        <v>2.944016E-2</v>
      </c>
      <c r="W5977">
        <v>0.16553419999999999</v>
      </c>
      <c r="X5977">
        <v>0.98576450000000004</v>
      </c>
      <c r="Y5977">
        <v>2.9254200000000001E-2</v>
      </c>
      <c r="Z5977">
        <v>-3.441908E-3</v>
      </c>
      <c r="AA5977">
        <v>0.99956610000000001</v>
      </c>
      <c r="AB5977">
        <v>31</v>
      </c>
      <c r="AC5977">
        <v>30.3001</v>
      </c>
      <c r="AD5977">
        <v>-1.1183302161019999</v>
      </c>
      <c r="AE5977">
        <v>2.4815499999999902</v>
      </c>
      <c r="AF5977">
        <v>0.89318337760512101</v>
      </c>
      <c r="AG5977">
        <v>-1.1183302161019999</v>
      </c>
      <c r="AH5977">
        <v>30.347324706001999</v>
      </c>
      <c r="AI5977">
        <v>92.109540920187698</v>
      </c>
      <c r="AJ5977">
        <v>88.314155558383405</v>
      </c>
      <c r="AK5977">
        <v>30.381055870884399</v>
      </c>
      <c r="AL5977">
        <v>80.471731100123804</v>
      </c>
      <c r="AM5977">
        <v>88.289352396941595</v>
      </c>
      <c r="AN5977">
        <v>0.99999997192535695</v>
      </c>
    </row>
    <row r="5978" spans="1:40" x14ac:dyDescent="0.25">
      <c r="A5978" t="str">
        <f>"20190303162937789"</f>
        <v>20190303162937789</v>
      </c>
      <c r="B5978" t="str">
        <f>"1551601777778038"</f>
        <v>1551601777778038</v>
      </c>
      <c r="C5978" t="s">
        <v>40</v>
      </c>
      <c r="D5978">
        <v>5.454072</v>
      </c>
      <c r="E5978">
        <v>0.50870329999999997</v>
      </c>
      <c r="F5978" t="s">
        <v>66</v>
      </c>
      <c r="G5978">
        <v>-230.82929999999999</v>
      </c>
      <c r="H5978" s="1">
        <v>4.2254960000000001E-7</v>
      </c>
      <c r="I5978">
        <v>-61.265090000000001</v>
      </c>
      <c r="J5978">
        <v>-259.68450000000001</v>
      </c>
      <c r="K5978">
        <v>1.1183240000000001</v>
      </c>
      <c r="L5978">
        <v>-62.798549999999999</v>
      </c>
      <c r="M5978">
        <v>0.99392849999999999</v>
      </c>
      <c r="N5978">
        <v>-1.191205E-2</v>
      </c>
      <c r="O5978">
        <v>0.1093817</v>
      </c>
      <c r="P5978">
        <v>0.9847766</v>
      </c>
      <c r="Q5978">
        <v>0.15387229999999999</v>
      </c>
      <c r="R5978">
        <v>8.0861669999999997E-2</v>
      </c>
      <c r="S5978">
        <v>3.0514830000000002</v>
      </c>
      <c r="T5978">
        <v>-0.1176885</v>
      </c>
      <c r="U5978">
        <v>0.1628723</v>
      </c>
      <c r="V5978">
        <v>2.8478960000000001E-2</v>
      </c>
      <c r="W5978">
        <v>0.16543640000000001</v>
      </c>
      <c r="X5978">
        <v>0.98580919999999905</v>
      </c>
      <c r="Y5978">
        <v>5.6162040000000003E-2</v>
      </c>
      <c r="Z5978">
        <v>-4.3167259999999999E-3</v>
      </c>
      <c r="AA5978">
        <v>0.99841230000000003</v>
      </c>
      <c r="AB5978">
        <v>31</v>
      </c>
      <c r="AC5978">
        <v>28.8552</v>
      </c>
      <c r="AD5978">
        <v>-1.1183235774503999</v>
      </c>
      <c r="AE5978">
        <v>1.5334599999999901</v>
      </c>
      <c r="AF5978">
        <v>1.62975584914162</v>
      </c>
      <c r="AG5978">
        <v>-1.1183235774503999</v>
      </c>
      <c r="AH5978">
        <v>28.806635968110299</v>
      </c>
      <c r="AI5978">
        <v>92.219659155033995</v>
      </c>
      <c r="AJ5978">
        <v>86.761902562441193</v>
      </c>
      <c r="AK5978">
        <v>28.8743662709836</v>
      </c>
      <c r="AL5978">
        <v>80.477413393248298</v>
      </c>
      <c r="AM5978">
        <v>88.345247223304398</v>
      </c>
      <c r="AN5978">
        <v>1.00000001620614</v>
      </c>
    </row>
    <row r="5979" spans="1:40" x14ac:dyDescent="0.25">
      <c r="A5979" t="str">
        <f>"20190303162937800"</f>
        <v>20190303162937800</v>
      </c>
      <c r="B5979" t="str">
        <f>"1551601777787798"</f>
        <v>1551601777787798</v>
      </c>
      <c r="C5979" t="s">
        <v>40</v>
      </c>
      <c r="D5979">
        <v>5.4488320000000003</v>
      </c>
      <c r="E5979">
        <v>0.50880839999999905</v>
      </c>
      <c r="F5979" t="s">
        <v>66</v>
      </c>
      <c r="G5979">
        <v>-230.30269999999999</v>
      </c>
      <c r="H5979" s="1">
        <v>6.8812009999999999E-7</v>
      </c>
      <c r="I5979">
        <v>-61.116109999999999</v>
      </c>
      <c r="J5979">
        <v>-259.5274</v>
      </c>
      <c r="K5979">
        <v>1.118317</v>
      </c>
      <c r="L5979">
        <v>-62.78284</v>
      </c>
      <c r="M5979">
        <v>0.99411289999999997</v>
      </c>
      <c r="N5979">
        <v>-1.1912310000000001E-2</v>
      </c>
      <c r="O5979">
        <v>0.107693</v>
      </c>
      <c r="P5979">
        <v>0.98487670000000005</v>
      </c>
      <c r="Q5979">
        <v>0.15374549999999901</v>
      </c>
      <c r="R5979">
        <v>7.9877970000000006E-2</v>
      </c>
      <c r="S5979">
        <v>3.0502009999999999</v>
      </c>
      <c r="T5979">
        <v>-0.1160958</v>
      </c>
      <c r="U5979">
        <v>0.1746521</v>
      </c>
      <c r="V5979">
        <v>2.7789990000000001E-2</v>
      </c>
      <c r="W5979">
        <v>0.16531499999999999</v>
      </c>
      <c r="X5979">
        <v>0.98584919999999998</v>
      </c>
      <c r="Y5979">
        <v>5.0607199999999998E-2</v>
      </c>
      <c r="Z5979">
        <v>-4.0644000000000001E-3</v>
      </c>
      <c r="AA5979">
        <v>0.9987104</v>
      </c>
      <c r="AB5979">
        <v>31</v>
      </c>
      <c r="AC5979">
        <v>29.224699999999999</v>
      </c>
      <c r="AD5979">
        <v>-1.1183163118799</v>
      </c>
      <c r="AE5979">
        <v>1.66673</v>
      </c>
      <c r="AF5979">
        <v>1.4883112080988601</v>
      </c>
      <c r="AG5979">
        <v>-1.1183163118799</v>
      </c>
      <c r="AH5979">
        <v>29.1916120045234</v>
      </c>
      <c r="AI5979">
        <v>92.191057231407598</v>
      </c>
      <c r="AJ5979">
        <v>87.081347234263006</v>
      </c>
      <c r="AK5979">
        <v>29.2509130293091</v>
      </c>
      <c r="AL5979">
        <v>80.484465951862404</v>
      </c>
      <c r="AM5979">
        <v>88.385323434950394</v>
      </c>
      <c r="AN5979">
        <v>0.99999998895491904</v>
      </c>
    </row>
    <row r="5980" spans="1:40" x14ac:dyDescent="0.25">
      <c r="A5980" t="str">
        <f>"20190303162937813"</f>
        <v>20190303162937813</v>
      </c>
      <c r="B5980" t="str">
        <f>"1551601777808294"</f>
        <v>1551601777808294</v>
      </c>
      <c r="C5980" t="s">
        <v>40</v>
      </c>
      <c r="D5980">
        <v>5.5055540000000001</v>
      </c>
      <c r="E5980">
        <v>0.50997289999999995</v>
      </c>
      <c r="F5980" t="s">
        <v>66</v>
      </c>
      <c r="G5980">
        <v>-230.6258</v>
      </c>
      <c r="H5980" s="1">
        <v>5.3760519999999996E-7</v>
      </c>
      <c r="I5980">
        <v>-61.160780000000003</v>
      </c>
      <c r="J5980">
        <v>-259.35730000000001</v>
      </c>
      <c r="K5980">
        <v>1.118314</v>
      </c>
      <c r="L5980">
        <v>-62.766199999999998</v>
      </c>
      <c r="M5980">
        <v>0.99430850000000004</v>
      </c>
      <c r="N5980">
        <v>-1.1912499999999999E-2</v>
      </c>
      <c r="O5980">
        <v>0.1058712</v>
      </c>
      <c r="P5980">
        <v>0.98502230000000002</v>
      </c>
      <c r="Q5980">
        <v>0.15345510000000001</v>
      </c>
      <c r="R5980">
        <v>7.8628749999999997E-2</v>
      </c>
      <c r="S5980">
        <v>3.0505979999999999</v>
      </c>
      <c r="T5980">
        <v>-0.11803959999999999</v>
      </c>
      <c r="U5980">
        <v>0.17120360000000001</v>
      </c>
      <c r="V5980">
        <v>2.7235519999999999E-2</v>
      </c>
      <c r="W5980">
        <v>0.16502910000000001</v>
      </c>
      <c r="X5980">
        <v>0.98591260000000003</v>
      </c>
      <c r="Y5980">
        <v>4.9907989999999999E-2</v>
      </c>
      <c r="Z5980">
        <v>-4.0824950000000002E-3</v>
      </c>
      <c r="AA5980">
        <v>0.99874549999999995</v>
      </c>
      <c r="AB5980">
        <v>31</v>
      </c>
      <c r="AC5980">
        <v>28.7315</v>
      </c>
      <c r="AD5980">
        <v>-1.1183134623947999</v>
      </c>
      <c r="AE5980">
        <v>1.6054199999999901</v>
      </c>
      <c r="AF5980">
        <v>1.44347814868317</v>
      </c>
      <c r="AG5980">
        <v>-1.1183134623947999</v>
      </c>
      <c r="AH5980">
        <v>28.696641640489599</v>
      </c>
      <c r="AI5980">
        <v>92.228882747546606</v>
      </c>
      <c r="AJ5980">
        <v>87.120375326212596</v>
      </c>
      <c r="AK5980">
        <v>28.754677803943199</v>
      </c>
      <c r="AL5980">
        <v>80.501075204226893</v>
      </c>
      <c r="AM5980">
        <v>88.417624864131994</v>
      </c>
      <c r="AN5980">
        <v>1.0000000161176199</v>
      </c>
    </row>
    <row r="5981" spans="1:40" x14ac:dyDescent="0.25">
      <c r="A5981" t="str">
        <f>"20190303162937825"</f>
        <v>20190303162937825</v>
      </c>
      <c r="B5981" t="str">
        <f>"1551601777819031"</f>
        <v>1551601777819031</v>
      </c>
      <c r="C5981" t="s">
        <v>40</v>
      </c>
      <c r="D5981">
        <v>5.3402059999999896</v>
      </c>
      <c r="E5981">
        <v>0.50967870000000004</v>
      </c>
      <c r="F5981" t="s">
        <v>66</v>
      </c>
      <c r="G5981">
        <v>-232.0504</v>
      </c>
      <c r="H5981" s="1">
        <v>-1.2366399999999999E-7</v>
      </c>
      <c r="I5981">
        <v>-61.349240000000002</v>
      </c>
      <c r="J5981">
        <v>-259.1866</v>
      </c>
      <c r="K5981">
        <v>1.118314</v>
      </c>
      <c r="L5981">
        <v>-62.749760000000002</v>
      </c>
      <c r="M5981">
        <v>0.99450119999999997</v>
      </c>
      <c r="N5981">
        <v>-1.191267E-2</v>
      </c>
      <c r="O5981">
        <v>0.10404720000000001</v>
      </c>
      <c r="P5981">
        <v>0.98519469999999998</v>
      </c>
      <c r="Q5981">
        <v>0.1527712</v>
      </c>
      <c r="R5981">
        <v>7.779954E-2</v>
      </c>
      <c r="S5981">
        <v>3.05246</v>
      </c>
      <c r="T5981">
        <v>-0.12500890000000001</v>
      </c>
      <c r="U5981">
        <v>0.1583862</v>
      </c>
      <c r="V5981">
        <v>2.626059E-2</v>
      </c>
      <c r="W5981">
        <v>0.16435369999999999</v>
      </c>
      <c r="X5981">
        <v>0.98605189999999998</v>
      </c>
      <c r="Y5981">
        <v>5.2277990000000003E-2</v>
      </c>
      <c r="Z5981">
        <v>-4.3880400000000002E-3</v>
      </c>
      <c r="AA5981">
        <v>0.99862300000000004</v>
      </c>
      <c r="AB5981">
        <v>31</v>
      </c>
      <c r="AC5981">
        <v>27.136199999999999</v>
      </c>
      <c r="AD5981">
        <v>-1.118314123664</v>
      </c>
      <c r="AE5981">
        <v>1.40051999999999</v>
      </c>
      <c r="AF5981">
        <v>1.4283087296338299</v>
      </c>
      <c r="AG5981">
        <v>-1.118314123664</v>
      </c>
      <c r="AH5981">
        <v>27.0887398878867</v>
      </c>
      <c r="AI5981">
        <v>92.3607441237438</v>
      </c>
      <c r="AJ5981">
        <v>86.981758838227194</v>
      </c>
      <c r="AK5981">
        <v>27.1494110621191</v>
      </c>
      <c r="AL5981">
        <v>80.540308854729005</v>
      </c>
      <c r="AM5981">
        <v>88.474456161881903</v>
      </c>
      <c r="AN5981">
        <v>1.00000005339222</v>
      </c>
    </row>
    <row r="5982" spans="1:40" x14ac:dyDescent="0.25">
      <c r="A5982" t="str">
        <f>"20190303162937834"</f>
        <v>20190303162937834</v>
      </c>
      <c r="B5982" t="str">
        <f>"1551601777827813"</f>
        <v>1551601777827813</v>
      </c>
      <c r="C5982" t="s">
        <v>40</v>
      </c>
      <c r="D5982">
        <v>5.1245570000000003</v>
      </c>
      <c r="E5982">
        <v>0.51011870000000004</v>
      </c>
      <c r="F5982" t="s">
        <v>66</v>
      </c>
      <c r="G5982">
        <v>-232.45079999999999</v>
      </c>
      <c r="H5982" s="1">
        <v>-2.9893079999999998E-7</v>
      </c>
      <c r="I5982">
        <v>-61.362380000000002</v>
      </c>
      <c r="J5982">
        <v>-259.0446</v>
      </c>
      <c r="K5982">
        <v>1.118314</v>
      </c>
      <c r="L5982">
        <v>-62.736420000000003</v>
      </c>
      <c r="M5982">
        <v>0.99465760000000003</v>
      </c>
      <c r="N5982">
        <v>-1.1912799999999999E-2</v>
      </c>
      <c r="O5982">
        <v>0.1025394</v>
      </c>
      <c r="P5982">
        <v>0.98538789999999998</v>
      </c>
      <c r="Q5982">
        <v>0.1520668</v>
      </c>
      <c r="R5982">
        <v>7.6723990000000006E-2</v>
      </c>
      <c r="S5982">
        <v>3.052368</v>
      </c>
      <c r="T5982">
        <v>-0.12767539999999999</v>
      </c>
      <c r="U5982">
        <v>0.1583862</v>
      </c>
      <c r="V5982">
        <v>2.5845770000000001E-2</v>
      </c>
      <c r="W5982">
        <v>0.1636543</v>
      </c>
      <c r="X5982">
        <v>0.98617909999999998</v>
      </c>
      <c r="Y5982">
        <v>5.076E-2</v>
      </c>
      <c r="Z5982">
        <v>-4.4161510000000001E-3</v>
      </c>
      <c r="AA5982">
        <v>0.99870110000000001</v>
      </c>
      <c r="AB5982">
        <v>31</v>
      </c>
      <c r="AC5982">
        <v>26.593800000000002</v>
      </c>
      <c r="AD5982">
        <v>-1.1183142989307999</v>
      </c>
      <c r="AE5982">
        <v>1.3740399999999899</v>
      </c>
      <c r="AF5982">
        <v>1.3579146368275099</v>
      </c>
      <c r="AG5982">
        <v>-1.1183142989307999</v>
      </c>
      <c r="AH5982">
        <v>26.547685396039601</v>
      </c>
      <c r="AI5982">
        <v>92.408998028287797</v>
      </c>
      <c r="AJ5982">
        <v>87.071871602114697</v>
      </c>
      <c r="AK5982">
        <v>26.605904587500799</v>
      </c>
      <c r="AL5982">
        <v>80.580930826103199</v>
      </c>
      <c r="AM5982">
        <v>88.498736554806797</v>
      </c>
      <c r="AN5982">
        <v>0.99999997550609598</v>
      </c>
    </row>
    <row r="5983" spans="1:40" x14ac:dyDescent="0.25">
      <c r="A5983" t="str">
        <f>"20190303162937847"</f>
        <v>20190303162937847</v>
      </c>
      <c r="B5983" t="str">
        <f>"1551601777837573"</f>
        <v>1551601777837573</v>
      </c>
      <c r="C5983" t="s">
        <v>40</v>
      </c>
      <c r="D5983">
        <v>5.305491</v>
      </c>
      <c r="E5983">
        <v>0.51011870000000004</v>
      </c>
      <c r="F5983" t="s">
        <v>66</v>
      </c>
      <c r="G5983">
        <v>-234.49539999999999</v>
      </c>
      <c r="H5983" s="1">
        <v>-1.218006E-6</v>
      </c>
      <c r="I5983">
        <v>-61.5199199999999</v>
      </c>
      <c r="J5983">
        <v>-258.88839999999999</v>
      </c>
      <c r="K5983">
        <v>1.1183190000000001</v>
      </c>
      <c r="L5983">
        <v>-62.721890000000002</v>
      </c>
      <c r="M5983">
        <v>0.99482709999999996</v>
      </c>
      <c r="N5983">
        <v>-1.191293E-2</v>
      </c>
      <c r="O5983">
        <v>0.1008834</v>
      </c>
      <c r="P5983">
        <v>0.98549229999999999</v>
      </c>
      <c r="Q5983">
        <v>0.1516112</v>
      </c>
      <c r="R5983">
        <v>7.6284859999999996E-2</v>
      </c>
      <c r="S5983">
        <v>3.054138</v>
      </c>
      <c r="T5983">
        <v>-0.139128799999999</v>
      </c>
      <c r="U5983">
        <v>0.15133669999999999</v>
      </c>
      <c r="V5983">
        <v>2.4642859999999999E-2</v>
      </c>
      <c r="W5983">
        <v>0.163208299999999</v>
      </c>
      <c r="X5983">
        <v>0.98628380000000004</v>
      </c>
      <c r="Y5983">
        <v>5.140521E-2</v>
      </c>
      <c r="Z5983">
        <v>-4.8549099999999996E-3</v>
      </c>
      <c r="AA5983">
        <v>0.99866600000000005</v>
      </c>
      <c r="AB5983">
        <v>31</v>
      </c>
      <c r="AC5983">
        <v>24.393000000000001</v>
      </c>
      <c r="AD5983">
        <v>-1.1183202180059999</v>
      </c>
      <c r="AE5983">
        <v>1.20197000000001</v>
      </c>
      <c r="AF5983">
        <v>1.26253877221598</v>
      </c>
      <c r="AG5983">
        <v>-1.1183202180059999</v>
      </c>
      <c r="AH5983">
        <v>24.3387703356202</v>
      </c>
      <c r="AI5983">
        <v>92.627254310252795</v>
      </c>
      <c r="AJ5983">
        <v>87.030525265705705</v>
      </c>
      <c r="AK5983">
        <v>24.397138883717801</v>
      </c>
      <c r="AL5983">
        <v>80.606833020379398</v>
      </c>
      <c r="AM5983">
        <v>88.5687302476192</v>
      </c>
      <c r="AN5983">
        <v>0.99999997694015397</v>
      </c>
    </row>
    <row r="5984" spans="1:40" x14ac:dyDescent="0.25">
      <c r="A5984" t="str">
        <f>"20190303162937860"</f>
        <v>20190303162937860</v>
      </c>
      <c r="B5984" t="str">
        <f>"1551601777848309"</f>
        <v>1551601777848309</v>
      </c>
      <c r="C5984" t="s">
        <v>40</v>
      </c>
      <c r="D5984">
        <v>5.3741909999999997</v>
      </c>
      <c r="E5984">
        <v>0.51150870000000004</v>
      </c>
      <c r="F5984" t="s">
        <v>66</v>
      </c>
      <c r="G5984">
        <v>-234.57159999999999</v>
      </c>
      <c r="H5984" s="1">
        <v>-1.254277E-6</v>
      </c>
      <c r="I5984">
        <v>-61.533439999999999</v>
      </c>
      <c r="J5984">
        <v>-258.69349999999997</v>
      </c>
      <c r="K5984">
        <v>1.118328</v>
      </c>
      <c r="L5984">
        <v>-62.704129999999999</v>
      </c>
      <c r="M5984">
        <v>0.99503339999999996</v>
      </c>
      <c r="N5984">
        <v>-1.191299E-2</v>
      </c>
      <c r="O5984">
        <v>9.882618E-2</v>
      </c>
      <c r="P5984">
        <v>0.98563529999999999</v>
      </c>
      <c r="Q5984">
        <v>0.1511921</v>
      </c>
      <c r="R5984">
        <v>7.5260720000000003E-2</v>
      </c>
      <c r="S5984">
        <v>3.0541839999999998</v>
      </c>
      <c r="T5984">
        <v>-0.14046049999999999</v>
      </c>
      <c r="U5984">
        <v>0.14926149999999999</v>
      </c>
      <c r="V5984">
        <v>2.362622E-2</v>
      </c>
      <c r="W5984">
        <v>0.16279759999999999</v>
      </c>
      <c r="X5984">
        <v>0.98637660000000005</v>
      </c>
      <c r="Y5984">
        <v>5.0018279999999998E-2</v>
      </c>
      <c r="Z5984">
        <v>-4.8003940000000004E-3</v>
      </c>
      <c r="AA5984">
        <v>0.99873670000000003</v>
      </c>
      <c r="AB5984">
        <v>31</v>
      </c>
      <c r="AC5984">
        <v>24.121899999999901</v>
      </c>
      <c r="AD5984">
        <v>-1.118329254277</v>
      </c>
      <c r="AE5984">
        <v>1.17069</v>
      </c>
      <c r="AF5984">
        <v>1.2164775418223801</v>
      </c>
      <c r="AG5984">
        <v>-1.118329254277</v>
      </c>
      <c r="AH5984">
        <v>24.0678927003088</v>
      </c>
      <c r="AI5984">
        <v>92.656982872881599</v>
      </c>
      <c r="AJ5984">
        <v>87.106528253299103</v>
      </c>
      <c r="AK5984">
        <v>24.124550502844698</v>
      </c>
      <c r="AL5984">
        <v>80.630683855101594</v>
      </c>
      <c r="AM5984">
        <v>88.627883203155207</v>
      </c>
      <c r="AN5984">
        <v>1.0000000269324001</v>
      </c>
    </row>
    <row r="5985" spans="1:40" x14ac:dyDescent="0.25">
      <c r="A5985" t="str">
        <f>"20190303162937871"</f>
        <v>20190303162937871</v>
      </c>
      <c r="B5985" t="str">
        <f>"1551601777858069"</f>
        <v>1551601777858069</v>
      </c>
      <c r="C5985" t="s">
        <v>40</v>
      </c>
      <c r="D5985">
        <v>5.3672230000000001</v>
      </c>
      <c r="E5985">
        <v>0.51205869999999998</v>
      </c>
      <c r="F5985" t="s">
        <v>44</v>
      </c>
      <c r="G5985">
        <v>-257.93610000000001</v>
      </c>
      <c r="H5985">
        <v>1.014054</v>
      </c>
      <c r="I5985">
        <v>-62.671289999999999</v>
      </c>
      <c r="J5985">
        <v>-258.54320000000001</v>
      </c>
      <c r="K5985">
        <v>1.1183369999999999</v>
      </c>
      <c r="L5985">
        <v>-62.690800000000003</v>
      </c>
      <c r="M5985">
        <v>0.99518879999999998</v>
      </c>
      <c r="N5985">
        <v>-1.191296E-2</v>
      </c>
      <c r="O5985">
        <v>9.7248070000000006E-2</v>
      </c>
      <c r="P5985">
        <v>0.98568800000000001</v>
      </c>
      <c r="Q5985">
        <v>0.15116679999999999</v>
      </c>
      <c r="R5985">
        <v>7.4615280000000006E-2</v>
      </c>
      <c r="S5985">
        <v>3.0988310000000001</v>
      </c>
      <c r="T5985">
        <v>-0.42649049999999999</v>
      </c>
      <c r="U5985">
        <v>0.13497919999999999</v>
      </c>
      <c r="V5985">
        <v>2.270308E-2</v>
      </c>
      <c r="W5985">
        <v>0.16277920000000001</v>
      </c>
      <c r="X5985">
        <v>0.98640130000000004</v>
      </c>
      <c r="Y5985">
        <v>5.2554879999999998E-2</v>
      </c>
      <c r="Z5985">
        <v>-1.6049959999999999E-2</v>
      </c>
      <c r="AA5985">
        <v>0.99848899999999996</v>
      </c>
      <c r="AB5985">
        <v>31</v>
      </c>
      <c r="AC5985">
        <v>0.60710000000000197</v>
      </c>
      <c r="AD5985">
        <v>-0.104283</v>
      </c>
      <c r="AE5985">
        <v>1.9510000000003899E-2</v>
      </c>
      <c r="AF5985">
        <v>3.8491437843142198E-2</v>
      </c>
      <c r="AG5985">
        <v>-0.104283</v>
      </c>
      <c r="AH5985">
        <v>0.588765446039063</v>
      </c>
      <c r="AI5985">
        <v>100.02318022461399</v>
      </c>
      <c r="AJ5985">
        <v>86.259524124311497</v>
      </c>
      <c r="AK5985">
        <v>0.59916715975244295</v>
      </c>
      <c r="AL5985">
        <v>80.631752201522104</v>
      </c>
      <c r="AM5985">
        <v>88.681509193504695</v>
      </c>
      <c r="AN5985">
        <v>1.0000000112178999</v>
      </c>
    </row>
    <row r="5986" spans="1:40" x14ac:dyDescent="0.25">
      <c r="A5986" t="str">
        <f>"20190303162937881"</f>
        <v>20190303162937881</v>
      </c>
      <c r="B5986" t="str">
        <f>"1551601777867830"</f>
        <v>1551601777867830</v>
      </c>
      <c r="C5986" t="s">
        <v>40</v>
      </c>
      <c r="D5986">
        <v>5.442482</v>
      </c>
      <c r="E5986">
        <v>0.51301869999999905</v>
      </c>
      <c r="F5986" t="s">
        <v>44</v>
      </c>
      <c r="G5986">
        <v>-257.67790000000002</v>
      </c>
      <c r="H5986">
        <v>0.97206700000000001</v>
      </c>
      <c r="I5986">
        <v>-62.655009999999997</v>
      </c>
      <c r="J5986">
        <v>-258.39580000000001</v>
      </c>
      <c r="K5986">
        <v>1.1183459999999901</v>
      </c>
      <c r="L5986">
        <v>-62.677799999999998</v>
      </c>
      <c r="M5986">
        <v>0.99533839999999996</v>
      </c>
      <c r="N5986">
        <v>-1.1912910000000001E-2</v>
      </c>
      <c r="O5986">
        <v>9.5705200000000004E-2</v>
      </c>
      <c r="P5986">
        <v>0.98572729999999997</v>
      </c>
      <c r="Q5986">
        <v>0.1513475</v>
      </c>
      <c r="R5986">
        <v>7.3727089999999995E-2</v>
      </c>
      <c r="S5986">
        <v>3.1145170000000002</v>
      </c>
      <c r="T5986">
        <v>-0.5263892</v>
      </c>
      <c r="U5986">
        <v>0.12908939999999999</v>
      </c>
      <c r="V5986">
        <v>2.205646E-2</v>
      </c>
      <c r="W5986">
        <v>0.1629651</v>
      </c>
      <c r="X5986">
        <v>0.98638530000000002</v>
      </c>
      <c r="Y5986">
        <v>5.2446920000000001E-2</v>
      </c>
      <c r="Z5986">
        <v>-1.9607960000000001E-2</v>
      </c>
      <c r="AA5986">
        <v>0.99843119999999996</v>
      </c>
      <c r="AB5986">
        <v>31</v>
      </c>
      <c r="AC5986">
        <v>0.71789999999998599</v>
      </c>
      <c r="AD5986">
        <v>-0.14627899999999899</v>
      </c>
      <c r="AE5986">
        <v>2.2790000000000501E-2</v>
      </c>
      <c r="AF5986">
        <v>4.4193299889395098E-2</v>
      </c>
      <c r="AG5986">
        <v>-0.14627899999999899</v>
      </c>
      <c r="AH5986">
        <v>0.68823989421482801</v>
      </c>
      <c r="AI5986">
        <v>101.975182899643</v>
      </c>
      <c r="AJ5986">
        <v>86.325964132908396</v>
      </c>
      <c r="AK5986">
        <v>0.704999819563773</v>
      </c>
      <c r="AL5986">
        <v>80.620956997973295</v>
      </c>
      <c r="AM5986">
        <v>88.719028452271601</v>
      </c>
      <c r="AN5986">
        <v>1.00000003565091</v>
      </c>
    </row>
    <row r="5987" spans="1:40" x14ac:dyDescent="0.25">
      <c r="A5987" t="str">
        <f>"20190303162937894"</f>
        <v>20190303162937894</v>
      </c>
      <c r="B5987" t="str">
        <f>"1551601777888325"</f>
        <v>1551601777888325</v>
      </c>
      <c r="C5987" t="s">
        <v>40</v>
      </c>
      <c r="D5987">
        <v>5.3700739999999998</v>
      </c>
      <c r="E5987">
        <v>0.51394309999999999</v>
      </c>
      <c r="F5987" t="s">
        <v>44</v>
      </c>
      <c r="G5987">
        <v>-257.67509999999999</v>
      </c>
      <c r="H5987">
        <v>0.97850429999999999</v>
      </c>
      <c r="I5987">
        <v>-62.65014</v>
      </c>
      <c r="J5987">
        <v>-258.22789999999998</v>
      </c>
      <c r="K5987">
        <v>1.1183590000000001</v>
      </c>
      <c r="L5987">
        <v>-62.66339</v>
      </c>
      <c r="M5987">
        <v>0.99550450000000001</v>
      </c>
      <c r="N5987">
        <v>-1.191278E-2</v>
      </c>
      <c r="O5987">
        <v>9.3962909999999997E-2</v>
      </c>
      <c r="P5987">
        <v>0.98584000000000005</v>
      </c>
      <c r="Q5987">
        <v>0.1513341</v>
      </c>
      <c r="R5987">
        <v>7.2235170000000001E-2</v>
      </c>
      <c r="S5987">
        <v>3.1275789999999999</v>
      </c>
      <c r="T5987">
        <v>-0.60679569999999905</v>
      </c>
      <c r="U5987">
        <v>0.1203613</v>
      </c>
      <c r="V5987">
        <v>2.1817570000000001E-2</v>
      </c>
      <c r="W5987">
        <v>0.16295379999999901</v>
      </c>
      <c r="X5987">
        <v>0.98639239999999995</v>
      </c>
      <c r="Y5987">
        <v>5.3030849999999997E-2</v>
      </c>
      <c r="Z5987">
        <v>-2.2330079999999999E-2</v>
      </c>
      <c r="AA5987">
        <v>0.99834319999999999</v>
      </c>
      <c r="AB5987">
        <v>31</v>
      </c>
      <c r="AC5987">
        <v>0.55279999999998997</v>
      </c>
      <c r="AD5987">
        <v>-0.1398547</v>
      </c>
      <c r="AE5987">
        <v>1.3249999999999301E-2</v>
      </c>
      <c r="AF5987">
        <v>3.6424946700427799E-2</v>
      </c>
      <c r="AG5987">
        <v>-0.1398547</v>
      </c>
      <c r="AH5987">
        <v>0.51843528018328799</v>
      </c>
      <c r="AI5987">
        <v>105.06148641534</v>
      </c>
      <c r="AJ5987">
        <v>85.981037825438904</v>
      </c>
      <c r="AK5987">
        <v>0.53820187067023795</v>
      </c>
      <c r="AL5987">
        <v>80.6216124680913</v>
      </c>
      <c r="AM5987">
        <v>88.732907020384403</v>
      </c>
      <c r="AN5987">
        <v>0.99999995703645095</v>
      </c>
    </row>
    <row r="5988" spans="1:40" x14ac:dyDescent="0.25">
      <c r="A5988" t="str">
        <f>"20190303162937905"</f>
        <v>20190303162937905</v>
      </c>
      <c r="B5988" t="str">
        <f>"1551601777898086"</f>
        <v>1551601777898086</v>
      </c>
      <c r="C5988" t="s">
        <v>40</v>
      </c>
      <c r="D5988">
        <v>5.3239769999999904</v>
      </c>
      <c r="E5988">
        <v>0.513984</v>
      </c>
      <c r="F5988" t="s">
        <v>44</v>
      </c>
      <c r="G5988">
        <v>-257.41559999999998</v>
      </c>
      <c r="H5988">
        <v>0.93865319999999997</v>
      </c>
      <c r="I5988">
        <v>-62.634909999999998</v>
      </c>
      <c r="J5988">
        <v>-258.05840000000001</v>
      </c>
      <c r="K5988">
        <v>1.1183700000000001</v>
      </c>
      <c r="L5988">
        <v>-62.649050000000003</v>
      </c>
      <c r="M5988">
        <v>0.9956682</v>
      </c>
      <c r="N5988">
        <v>-1.1912610000000001E-2</v>
      </c>
      <c r="O5988">
        <v>9.2211280000000007E-2</v>
      </c>
      <c r="P5988">
        <v>0.98595169999999999</v>
      </c>
      <c r="Q5988">
        <v>0.15132409999999999</v>
      </c>
      <c r="R5988">
        <v>7.0713579999999998E-2</v>
      </c>
      <c r="S5988">
        <v>3.1416780000000002</v>
      </c>
      <c r="T5988">
        <v>-0.69495010000000002</v>
      </c>
      <c r="U5988">
        <v>0.1105042</v>
      </c>
      <c r="V5988">
        <v>2.1598619999999999E-2</v>
      </c>
      <c r="W5988">
        <v>0.162945799999999</v>
      </c>
      <c r="X5988">
        <v>0.98639860000000001</v>
      </c>
      <c r="Y5988">
        <v>5.3802919999999997E-2</v>
      </c>
      <c r="Z5988">
        <v>-2.5233129999999999E-2</v>
      </c>
      <c r="AA5988">
        <v>0.99823269999999997</v>
      </c>
      <c r="AB5988">
        <v>31</v>
      </c>
      <c r="AC5988">
        <v>0.64280000000002202</v>
      </c>
      <c r="AD5988">
        <v>-0.17971680000000001</v>
      </c>
      <c r="AE5988">
        <v>1.4140000000004699E-2</v>
      </c>
      <c r="AF5988">
        <v>4.1922483449456899E-2</v>
      </c>
      <c r="AG5988">
        <v>-0.17971680000000001</v>
      </c>
      <c r="AH5988">
        <v>0.59488665066869095</v>
      </c>
      <c r="AI5988">
        <v>106.770454832722</v>
      </c>
      <c r="AJ5988">
        <v>85.968951531148406</v>
      </c>
      <c r="AK5988">
        <v>0.62285291198213399</v>
      </c>
      <c r="AL5988">
        <v>80.622077602616599</v>
      </c>
      <c r="AM5988">
        <v>88.745626717464901</v>
      </c>
      <c r="AN5988">
        <v>1.00000001610275</v>
      </c>
    </row>
    <row r="5989" spans="1:40" x14ac:dyDescent="0.25">
      <c r="A5989" t="str">
        <f>"20190303162937916"</f>
        <v>20190303162937916</v>
      </c>
      <c r="B5989" t="str">
        <f>"1551601777907845"</f>
        <v>1551601777907845</v>
      </c>
      <c r="C5989" t="s">
        <v>40</v>
      </c>
      <c r="D5989">
        <v>5.3089199999999996</v>
      </c>
      <c r="E5989">
        <v>0.51401940000000002</v>
      </c>
      <c r="F5989" t="s">
        <v>44</v>
      </c>
      <c r="G5989">
        <v>-257.14980000000003</v>
      </c>
      <c r="H5989">
        <v>0.91076429999999997</v>
      </c>
      <c r="I5989">
        <v>-62.61806</v>
      </c>
      <c r="J5989">
        <v>-257.90629999999999</v>
      </c>
      <c r="K5989">
        <v>1.1183809999999901</v>
      </c>
      <c r="L5989">
        <v>-62.636539999999997</v>
      </c>
      <c r="M5989">
        <v>0.99581129999999995</v>
      </c>
      <c r="N5989">
        <v>-1.1912290000000001E-2</v>
      </c>
      <c r="O5989">
        <v>9.0653919999999999E-2</v>
      </c>
      <c r="P5989">
        <v>0.98613110000000004</v>
      </c>
      <c r="Q5989">
        <v>0.15078720000000001</v>
      </c>
      <c r="R5989">
        <v>6.9346110000000002E-2</v>
      </c>
      <c r="S5989">
        <v>3.14534</v>
      </c>
      <c r="T5989">
        <v>-0.71867789999999998</v>
      </c>
      <c r="U5989">
        <v>0.1074219</v>
      </c>
      <c r="V5989">
        <v>2.1421860000000001E-2</v>
      </c>
      <c r="W5989">
        <v>0.16241129999999901</v>
      </c>
      <c r="X5989">
        <v>0.9864906</v>
      </c>
      <c r="Y5989">
        <v>5.3086889999999998E-2</v>
      </c>
      <c r="Z5989">
        <v>-2.5653539999999999E-2</v>
      </c>
      <c r="AA5989">
        <v>0.99826029999999999</v>
      </c>
      <c r="AB5989">
        <v>31</v>
      </c>
      <c r="AC5989">
        <v>0.75649999999995898</v>
      </c>
      <c r="AD5989">
        <v>-0.20761669999999899</v>
      </c>
      <c r="AE5989">
        <v>1.8480000000003799E-2</v>
      </c>
      <c r="AF5989">
        <v>4.6667763191415197E-2</v>
      </c>
      <c r="AG5989">
        <v>-0.20761669999999899</v>
      </c>
      <c r="AH5989">
        <v>0.70220215458688995</v>
      </c>
      <c r="AI5989">
        <v>106.436815466911</v>
      </c>
      <c r="AJ5989">
        <v>86.197762152326305</v>
      </c>
      <c r="AK5989">
        <v>0.73373731004130505</v>
      </c>
      <c r="AL5989">
        <v>80.653115641936097</v>
      </c>
      <c r="AM5989">
        <v>88.756005077439198</v>
      </c>
      <c r="AN5989">
        <v>1.0000000151709501</v>
      </c>
    </row>
    <row r="5990" spans="1:40" x14ac:dyDescent="0.25">
      <c r="A5990" t="str">
        <f>"20190303162937926"</f>
        <v>20190303162937926</v>
      </c>
      <c r="B5990" t="str">
        <f>"1551601777917605"</f>
        <v>1551601777917605</v>
      </c>
      <c r="C5990" t="s">
        <v>40</v>
      </c>
      <c r="D5990">
        <v>5.3083070000000001</v>
      </c>
      <c r="E5990">
        <v>0.51414919999999997</v>
      </c>
      <c r="F5990" t="s">
        <v>44</v>
      </c>
      <c r="G5990">
        <v>-257.13819999999998</v>
      </c>
      <c r="H5990">
        <v>0.93671249999999995</v>
      </c>
      <c r="I5990">
        <v>-62.611229999999999</v>
      </c>
      <c r="J5990">
        <v>-257.77809999999999</v>
      </c>
      <c r="K5990">
        <v>1.118387</v>
      </c>
      <c r="L5990">
        <v>-62.626040000000003</v>
      </c>
      <c r="M5990">
        <v>0.99592950000000002</v>
      </c>
      <c r="N5990">
        <v>-1.191205E-2</v>
      </c>
      <c r="O5990">
        <v>8.9345949999999993E-2</v>
      </c>
      <c r="P5990">
        <v>0.98636290000000004</v>
      </c>
      <c r="Q5990">
        <v>0.14966589999999999</v>
      </c>
      <c r="R5990">
        <v>6.8470779999999995E-2</v>
      </c>
      <c r="S5990">
        <v>3.1487579999999999</v>
      </c>
      <c r="T5990">
        <v>-0.74471779999999999</v>
      </c>
      <c r="U5990">
        <v>0.1039429</v>
      </c>
      <c r="V5990">
        <v>2.10043E-2</v>
      </c>
      <c r="W5990">
        <v>0.16129569999999999</v>
      </c>
      <c r="X5990">
        <v>0.98668259999999997</v>
      </c>
      <c r="Y5990">
        <v>5.2702810000000003E-2</v>
      </c>
      <c r="Z5990">
        <v>-2.6222390000000002E-2</v>
      </c>
      <c r="AA5990">
        <v>0.99826590000000004</v>
      </c>
      <c r="AB5990">
        <v>31</v>
      </c>
      <c r="AC5990">
        <v>0.63990000000001102</v>
      </c>
      <c r="AD5990">
        <v>-0.18167449999999999</v>
      </c>
      <c r="AE5990">
        <v>1.48099999999971E-2</v>
      </c>
      <c r="AF5990">
        <v>3.9262677647246197E-2</v>
      </c>
      <c r="AG5990">
        <v>-0.18167449999999999</v>
      </c>
      <c r="AH5990">
        <v>0.591047678159904</v>
      </c>
      <c r="AI5990">
        <v>107.050834392544</v>
      </c>
      <c r="AJ5990">
        <v>86.199485179647894</v>
      </c>
      <c r="AK5990">
        <v>0.61958416673160299</v>
      </c>
      <c r="AL5990">
        <v>80.717888893597603</v>
      </c>
      <c r="AM5990">
        <v>88.780483206468801</v>
      </c>
      <c r="AN5990">
        <v>1.0000000182998601</v>
      </c>
    </row>
    <row r="5991" spans="1:40" x14ac:dyDescent="0.25">
      <c r="A5991" t="str">
        <f>"20190303162937935"</f>
        <v>20190303162937935</v>
      </c>
      <c r="B5991" t="str">
        <f>"1551601777928342"</f>
        <v>1551601777928342</v>
      </c>
      <c r="C5991" t="s">
        <v>40</v>
      </c>
      <c r="D5991">
        <v>5.3090460000000004</v>
      </c>
      <c r="E5991">
        <v>0.51441040000000005</v>
      </c>
      <c r="F5991" t="s">
        <v>44</v>
      </c>
      <c r="G5991">
        <v>-256.8766</v>
      </c>
      <c r="H5991">
        <v>0.89927570000000001</v>
      </c>
      <c r="I5991">
        <v>-62.597679999999997</v>
      </c>
      <c r="J5991">
        <v>-257.65210000000002</v>
      </c>
      <c r="K5991">
        <v>1.1183920000000001</v>
      </c>
      <c r="L5991">
        <v>-62.616030000000002</v>
      </c>
      <c r="M5991">
        <v>0.99604309999999996</v>
      </c>
      <c r="N5991">
        <v>-1.191185E-2</v>
      </c>
      <c r="O5991">
        <v>8.8071540000000004E-2</v>
      </c>
      <c r="P5991">
        <v>0.98660060000000005</v>
      </c>
      <c r="Q5991">
        <v>0.14834829999999999</v>
      </c>
      <c r="R5991">
        <v>6.7916560000000001E-2</v>
      </c>
      <c r="S5991">
        <v>3.1506959999999999</v>
      </c>
      <c r="T5991">
        <v>-0.76561859999999904</v>
      </c>
      <c r="U5991">
        <v>9.9700929999999993E-2</v>
      </c>
      <c r="V5991">
        <v>2.029868E-2</v>
      </c>
      <c r="W5991">
        <v>0.1599854</v>
      </c>
      <c r="X5991">
        <v>0.98691059999999997</v>
      </c>
      <c r="Y5991">
        <v>5.2614090000000002E-2</v>
      </c>
      <c r="Z5991">
        <v>-2.6642949999999999E-2</v>
      </c>
      <c r="AA5991">
        <v>0.99825940000000002</v>
      </c>
      <c r="AB5991">
        <v>31</v>
      </c>
      <c r="AC5991">
        <v>0.77550000000002195</v>
      </c>
      <c r="AD5991">
        <v>-0.21911630000000001</v>
      </c>
      <c r="AE5991">
        <v>1.8349999999998E-2</v>
      </c>
      <c r="AF5991">
        <v>4.6329080911356103E-2</v>
      </c>
      <c r="AG5991">
        <v>-0.21911630000000001</v>
      </c>
      <c r="AH5991">
        <v>0.71690151530762203</v>
      </c>
      <c r="AI5991">
        <v>106.96208769907101</v>
      </c>
      <c r="AJ5991">
        <v>86.302456148386099</v>
      </c>
      <c r="AK5991">
        <v>0.75106998296706395</v>
      </c>
      <c r="AL5991">
        <v>80.793950735360298</v>
      </c>
      <c r="AM5991">
        <v>88.821712186187398</v>
      </c>
      <c r="AN5991">
        <v>0.99999994850762897</v>
      </c>
    </row>
    <row r="5992" spans="1:40" x14ac:dyDescent="0.25">
      <c r="A5992" t="str">
        <f>"20190303162937945"</f>
        <v>20190303162937945</v>
      </c>
      <c r="B5992" t="str">
        <f>"1551601777938102"</f>
        <v>1551601777938102</v>
      </c>
      <c r="C5992" t="s">
        <v>40</v>
      </c>
      <c r="D5992">
        <v>5.2876690000000002</v>
      </c>
      <c r="E5992">
        <v>0.51477519999999999</v>
      </c>
      <c r="F5992" t="s">
        <v>44</v>
      </c>
      <c r="G5992">
        <v>-256.86559999999997</v>
      </c>
      <c r="H5992">
        <v>0.92384909999999998</v>
      </c>
      <c r="I5992">
        <v>-62.592359999999999</v>
      </c>
      <c r="J5992">
        <v>-257.50630000000001</v>
      </c>
      <c r="K5992">
        <v>1.1184019999999999</v>
      </c>
      <c r="L5992">
        <v>-62.604489999999998</v>
      </c>
      <c r="M5992">
        <v>0.9961721</v>
      </c>
      <c r="N5992">
        <v>-1.1911649999999999E-2</v>
      </c>
      <c r="O5992">
        <v>8.6599419999999996E-2</v>
      </c>
      <c r="P5992">
        <v>0.98680239999999997</v>
      </c>
      <c r="Q5992">
        <v>0.14720139999999901</v>
      </c>
      <c r="R5992">
        <v>6.7475880000000002E-2</v>
      </c>
      <c r="S5992">
        <v>3.1513369999999998</v>
      </c>
      <c r="T5992">
        <v>-0.77926519999999899</v>
      </c>
      <c r="U5992">
        <v>9.5520019999999997E-2</v>
      </c>
      <c r="V5992">
        <v>1.9280749999999999E-2</v>
      </c>
      <c r="W5992">
        <v>0.15884809999999999</v>
      </c>
      <c r="X5992">
        <v>0.98711479999999996</v>
      </c>
      <c r="Y5992">
        <v>5.2375119999999997E-2</v>
      </c>
      <c r="Z5992">
        <v>-2.6742060000000002E-2</v>
      </c>
      <c r="AA5992">
        <v>0.99826939999999997</v>
      </c>
      <c r="AB5992">
        <v>31</v>
      </c>
      <c r="AC5992">
        <v>0.64070000000003802</v>
      </c>
      <c r="AD5992">
        <v>-0.1945529</v>
      </c>
      <c r="AE5992">
        <v>1.2130000000006099E-2</v>
      </c>
      <c r="AF5992">
        <v>3.9740682187170598E-2</v>
      </c>
      <c r="AG5992">
        <v>-0.1945529</v>
      </c>
      <c r="AH5992">
        <v>0.58538563911000296</v>
      </c>
      <c r="AI5992">
        <v>108.344836649161</v>
      </c>
      <c r="AJ5992">
        <v>86.116261099870499</v>
      </c>
      <c r="AK5992">
        <v>0.61814763543617801</v>
      </c>
      <c r="AL5992">
        <v>80.859958277336602</v>
      </c>
      <c r="AM5992">
        <v>88.881016528723194</v>
      </c>
      <c r="AN5992">
        <v>1.0000000472866</v>
      </c>
    </row>
    <row r="5993" spans="1:40" x14ac:dyDescent="0.25">
      <c r="A5993" t="str">
        <f>"20190303162937955"</f>
        <v>20190303162937955</v>
      </c>
      <c r="B5993" t="str">
        <f>"1551601777947861"</f>
        <v>1551601777947861</v>
      </c>
      <c r="C5993" t="s">
        <v>40</v>
      </c>
      <c r="D5993">
        <v>5.3201839999999896</v>
      </c>
      <c r="E5993">
        <v>0.51503650000000001</v>
      </c>
      <c r="F5993" t="s">
        <v>44</v>
      </c>
      <c r="G5993">
        <v>-256.60140000000001</v>
      </c>
      <c r="H5993">
        <v>0.89125529999999997</v>
      </c>
      <c r="I5993">
        <v>-62.578629999999997</v>
      </c>
      <c r="J5993">
        <v>-257.35860000000002</v>
      </c>
      <c r="K5993">
        <v>1.118412</v>
      </c>
      <c r="L5993">
        <v>-62.593110000000003</v>
      </c>
      <c r="M5993">
        <v>0.9962993</v>
      </c>
      <c r="N5993">
        <v>-1.1911400000000001E-2</v>
      </c>
      <c r="O5993">
        <v>8.5121929999999998E-2</v>
      </c>
      <c r="P5993">
        <v>0.98694930000000003</v>
      </c>
      <c r="Q5993">
        <v>0.14630599999999999</v>
      </c>
      <c r="R5993">
        <v>6.7275130000000002E-2</v>
      </c>
      <c r="S5993">
        <v>3.1519780000000002</v>
      </c>
      <c r="T5993">
        <v>-0.79125080000000003</v>
      </c>
      <c r="U5993">
        <v>9.0454099999999996E-2</v>
      </c>
      <c r="V5993">
        <v>1.8015199999999999E-2</v>
      </c>
      <c r="W5993">
        <v>0.15796299999999999</v>
      </c>
      <c r="X5993">
        <v>0.98728070000000001</v>
      </c>
      <c r="Y5993">
        <v>5.2419830000000001E-2</v>
      </c>
      <c r="Z5993">
        <v>-2.680693E-2</v>
      </c>
      <c r="AA5993">
        <v>0.99826530000000002</v>
      </c>
      <c r="AB5993">
        <v>31</v>
      </c>
      <c r="AC5993">
        <v>0.75720000000001098</v>
      </c>
      <c r="AD5993">
        <v>-0.22715669999999999</v>
      </c>
      <c r="AE5993">
        <v>1.44799999999918E-2</v>
      </c>
      <c r="AF5993">
        <v>4.5901920282429898E-2</v>
      </c>
      <c r="AG5993">
        <v>-0.22715669999999999</v>
      </c>
      <c r="AH5993">
        <v>0.693310696276497</v>
      </c>
      <c r="AI5993">
        <v>108.10385346917801</v>
      </c>
      <c r="AJ5993">
        <v>86.212154697761903</v>
      </c>
      <c r="AK5993">
        <v>0.73101769760513002</v>
      </c>
      <c r="AL5993">
        <v>80.911318985801998</v>
      </c>
      <c r="AM5993">
        <v>88.9546231494041</v>
      </c>
      <c r="AN5993">
        <v>1.0000000186962601</v>
      </c>
    </row>
    <row r="5994" spans="1:40" x14ac:dyDescent="0.25">
      <c r="A5994" t="str">
        <f>"20190303162937967"</f>
        <v>20190303162937967</v>
      </c>
      <c r="B5994" t="str">
        <f>"1551601777957622"</f>
        <v>1551601777957622</v>
      </c>
      <c r="C5994" t="s">
        <v>40</v>
      </c>
      <c r="D5994">
        <v>5.3200539999999998</v>
      </c>
      <c r="E5994">
        <v>0.51547460000000001</v>
      </c>
      <c r="F5994" t="s">
        <v>44</v>
      </c>
      <c r="G5994">
        <v>-256.58749999999998</v>
      </c>
      <c r="H5994">
        <v>0.92254499999999995</v>
      </c>
      <c r="I5994">
        <v>-62.572139999999997</v>
      </c>
      <c r="J5994">
        <v>-257.20589999999999</v>
      </c>
      <c r="K5994">
        <v>1.118425</v>
      </c>
      <c r="L5994">
        <v>-62.581479999999999</v>
      </c>
      <c r="M5994">
        <v>0.99642819999999999</v>
      </c>
      <c r="N5994">
        <v>-1.1911140000000001E-2</v>
      </c>
      <c r="O5994">
        <v>8.3599980000000004E-2</v>
      </c>
      <c r="P5994">
        <v>0.98702880000000004</v>
      </c>
      <c r="Q5994">
        <v>0.14597160000000001</v>
      </c>
      <c r="R5994">
        <v>6.6832810000000006E-2</v>
      </c>
      <c r="S5994">
        <v>3.1524960000000002</v>
      </c>
      <c r="T5994">
        <v>-0.8007668</v>
      </c>
      <c r="U5994">
        <v>8.6181640000000004E-2</v>
      </c>
      <c r="V5994">
        <v>1.6943940000000001E-2</v>
      </c>
      <c r="W5994">
        <v>0.1576371</v>
      </c>
      <c r="X5994">
        <v>0.98735170000000005</v>
      </c>
      <c r="Y5994">
        <v>5.2203699999999902E-2</v>
      </c>
      <c r="Z5994">
        <v>-2.6734620000000001E-2</v>
      </c>
      <c r="AA5994">
        <v>0.99827860000000002</v>
      </c>
      <c r="AB5994">
        <v>31</v>
      </c>
      <c r="AC5994">
        <v>0.61840000000000805</v>
      </c>
      <c r="AD5994">
        <v>-0.195879999999999</v>
      </c>
      <c r="AE5994">
        <v>9.3400000000016803E-3</v>
      </c>
      <c r="AF5994">
        <v>3.8529700057468398E-2</v>
      </c>
      <c r="AG5994">
        <v>-0.195879999999999</v>
      </c>
      <c r="AH5994">
        <v>0.56076566042755105</v>
      </c>
      <c r="AI5994">
        <v>109.21275615495399</v>
      </c>
      <c r="AJ5994">
        <v>86.069436492117205</v>
      </c>
      <c r="AK5994">
        <v>0.59524082361785802</v>
      </c>
      <c r="AL5994">
        <v>80.930228114515401</v>
      </c>
      <c r="AM5994">
        <v>89.0168437797617</v>
      </c>
      <c r="AN5994">
        <v>0.99999996594601104</v>
      </c>
    </row>
    <row r="5995" spans="1:40" x14ac:dyDescent="0.25">
      <c r="A5995" t="str">
        <f>"20190303162937978"</f>
        <v>20190303162937978</v>
      </c>
      <c r="B5995" t="str">
        <f>"1551601777967382"</f>
        <v>1551601777967382</v>
      </c>
      <c r="C5995" t="s">
        <v>40</v>
      </c>
      <c r="D5995">
        <v>5.3782319999999997</v>
      </c>
      <c r="E5995">
        <v>0.51608160000000003</v>
      </c>
      <c r="F5995" t="s">
        <v>44</v>
      </c>
      <c r="G5995">
        <v>-256.32249999999999</v>
      </c>
      <c r="H5995">
        <v>0.89192150000000003</v>
      </c>
      <c r="I5995">
        <v>-62.559330000000003</v>
      </c>
      <c r="J5995">
        <v>-257.04770000000002</v>
      </c>
      <c r="K5995">
        <v>1.1184430000000001</v>
      </c>
      <c r="L5995">
        <v>-62.569760000000002</v>
      </c>
      <c r="M5995">
        <v>0.99655830000000001</v>
      </c>
      <c r="N5995">
        <v>-1.1910830000000001E-2</v>
      </c>
      <c r="O5995">
        <v>8.2034109999999993E-2</v>
      </c>
      <c r="P5995">
        <v>0.98709259999999999</v>
      </c>
      <c r="Q5995">
        <v>0.14586589999999999</v>
      </c>
      <c r="R5995">
        <v>6.6115170000000001E-2</v>
      </c>
      <c r="S5995">
        <v>3.1536249999999999</v>
      </c>
      <c r="T5995">
        <v>-0.80848690000000001</v>
      </c>
      <c r="U5995">
        <v>7.9772949999999995E-2</v>
      </c>
      <c r="V5995">
        <v>1.6103889999999999E-2</v>
      </c>
      <c r="W5995">
        <v>0.15753729999999999</v>
      </c>
      <c r="X5995">
        <v>0.98738179999999998</v>
      </c>
      <c r="Y5995">
        <v>5.2625390000000001E-2</v>
      </c>
      <c r="Z5995">
        <v>-2.666288E-2</v>
      </c>
      <c r="AA5995">
        <v>0.99825830000000004</v>
      </c>
      <c r="AB5995">
        <v>31</v>
      </c>
      <c r="AC5995">
        <v>0.72520000000002904</v>
      </c>
      <c r="AD5995">
        <v>-0.22652149999999999</v>
      </c>
      <c r="AE5995">
        <v>1.04299999999923E-2</v>
      </c>
      <c r="AF5995">
        <v>4.4736602203881398E-2</v>
      </c>
      <c r="AG5995">
        <v>-0.22652149999999999</v>
      </c>
      <c r="AH5995">
        <v>0.65929853462004395</v>
      </c>
      <c r="AI5995">
        <v>108.921269260171</v>
      </c>
      <c r="AJ5995">
        <v>86.118153964930002</v>
      </c>
      <c r="AK5995">
        <v>0.69856131534113397</v>
      </c>
      <c r="AL5995">
        <v>80.936019605267205</v>
      </c>
      <c r="AM5995">
        <v>89.065606505436705</v>
      </c>
      <c r="AN5995">
        <v>1.0000000775678199</v>
      </c>
    </row>
    <row r="5996" spans="1:40" x14ac:dyDescent="0.25">
      <c r="A5996" t="str">
        <f>"20190303162937989"</f>
        <v>20190303162937989</v>
      </c>
      <c r="B5996" t="str">
        <f>"1551601777978118"</f>
        <v>1551601777978118</v>
      </c>
      <c r="C5996" t="s">
        <v>40</v>
      </c>
      <c r="D5996">
        <v>5.3172870000000003</v>
      </c>
      <c r="E5996">
        <v>0.51660980000000001</v>
      </c>
      <c r="F5996" t="s">
        <v>44</v>
      </c>
      <c r="G5996">
        <v>-256.30700000000002</v>
      </c>
      <c r="H5996">
        <v>0.92655920000000003</v>
      </c>
      <c r="I5996">
        <v>-62.553080000000001</v>
      </c>
      <c r="J5996">
        <v>-256.89550000000003</v>
      </c>
      <c r="K5996">
        <v>1.118457</v>
      </c>
      <c r="L5996">
        <v>-62.558689999999999</v>
      </c>
      <c r="M5996">
        <v>0.99668029999999996</v>
      </c>
      <c r="N5996">
        <v>-1.1910530000000001E-2</v>
      </c>
      <c r="O5996">
        <v>8.0538189999999996E-2</v>
      </c>
      <c r="P5996">
        <v>0.98708260000000003</v>
      </c>
      <c r="Q5996">
        <v>0.14618979999999901</v>
      </c>
      <c r="R5996">
        <v>6.5547809999999998E-2</v>
      </c>
      <c r="S5996">
        <v>3.1551819999999999</v>
      </c>
      <c r="T5996">
        <v>-0.81728009999999995</v>
      </c>
      <c r="U5996">
        <v>7.1899409999999997E-2</v>
      </c>
      <c r="V5996">
        <v>1.518036E-2</v>
      </c>
      <c r="W5996">
        <v>0.15786689999999901</v>
      </c>
      <c r="X5996">
        <v>0.98734370000000005</v>
      </c>
      <c r="Y5996">
        <v>5.3553410000000003E-2</v>
      </c>
      <c r="Z5996">
        <v>-2.6700419999999999E-2</v>
      </c>
      <c r="AA5996">
        <v>0.99820790000000004</v>
      </c>
      <c r="AB5996">
        <v>31</v>
      </c>
      <c r="AC5996">
        <v>0.58850000000001002</v>
      </c>
      <c r="AD5996">
        <v>-0.19189780000000001</v>
      </c>
      <c r="AE5996">
        <v>5.6100000000043303E-3</v>
      </c>
      <c r="AF5996">
        <v>3.7790498791671602E-2</v>
      </c>
      <c r="AG5996">
        <v>-0.19189780000000001</v>
      </c>
      <c r="AH5996">
        <v>0.530624782192058</v>
      </c>
      <c r="AI5996">
        <v>109.83596188624</v>
      </c>
      <c r="AJ5996">
        <v>85.926337263457398</v>
      </c>
      <c r="AK5996">
        <v>0.56552236641898901</v>
      </c>
      <c r="AL5996">
        <v>80.916894827477606</v>
      </c>
      <c r="AM5996">
        <v>89.119149659382003</v>
      </c>
      <c r="AN5996">
        <v>0.99999999168751397</v>
      </c>
    </row>
    <row r="5997" spans="1:40" x14ac:dyDescent="0.25">
      <c r="A5997" t="str">
        <f>"20190303162938002"</f>
        <v>20190303162938002</v>
      </c>
      <c r="B5997" t="str">
        <f>"1551601777997637"</f>
        <v>1551601777997637</v>
      </c>
      <c r="C5997" t="s">
        <v>40</v>
      </c>
      <c r="D5997">
        <v>5.2821870000000004</v>
      </c>
      <c r="E5997">
        <v>0.5175343</v>
      </c>
      <c r="F5997" t="s">
        <v>44</v>
      </c>
      <c r="G5997">
        <v>-256.04219999999998</v>
      </c>
      <c r="H5997">
        <v>0.89536919999999898</v>
      </c>
      <c r="I5997">
        <v>-62.540799999999997</v>
      </c>
      <c r="J5997">
        <v>-256.72129999999999</v>
      </c>
      <c r="K5997">
        <v>1.1184719999999999</v>
      </c>
      <c r="L5997">
        <v>-62.546230000000001</v>
      </c>
      <c r="M5997">
        <v>0.99681679999999995</v>
      </c>
      <c r="N5997">
        <v>-1.1910189999999999E-2</v>
      </c>
      <c r="O5997">
        <v>7.8832559999999996E-2</v>
      </c>
      <c r="P5997">
        <v>0.98704049999999999</v>
      </c>
      <c r="Q5997">
        <v>0.14693800000000001</v>
      </c>
      <c r="R5997">
        <v>6.4502370000000003E-2</v>
      </c>
      <c r="S5997">
        <v>3.1571039999999999</v>
      </c>
      <c r="T5997">
        <v>-0.82533979999999996</v>
      </c>
      <c r="U5997">
        <v>6.6192630000000002E-2</v>
      </c>
      <c r="V5997">
        <v>1.4525400000000001E-2</v>
      </c>
      <c r="W5997">
        <v>0.15861829999999999</v>
      </c>
      <c r="X5997">
        <v>0.98723309999999997</v>
      </c>
      <c r="Y5997">
        <v>5.3631869999999998E-2</v>
      </c>
      <c r="Z5997">
        <v>-2.653952E-2</v>
      </c>
      <c r="AA5997">
        <v>0.99820799999999998</v>
      </c>
      <c r="AB5997">
        <v>31</v>
      </c>
      <c r="AC5997">
        <v>0.67910000000000503</v>
      </c>
      <c r="AD5997">
        <v>-0.22310279999999999</v>
      </c>
      <c r="AE5997">
        <v>5.4300000000040401E-3</v>
      </c>
      <c r="AF5997">
        <v>4.3437925994804998E-2</v>
      </c>
      <c r="AG5997">
        <v>-0.22310279999999999</v>
      </c>
      <c r="AH5997">
        <v>0.61142716768148198</v>
      </c>
      <c r="AI5997">
        <v>110.000050722956</v>
      </c>
      <c r="AJ5997">
        <v>85.936334791863899</v>
      </c>
      <c r="AK5997">
        <v>0.65230736172572001</v>
      </c>
      <c r="AL5997">
        <v>80.873293239222903</v>
      </c>
      <c r="AM5997">
        <v>89.157054125372696</v>
      </c>
      <c r="AN5997">
        <v>0.99999997303782895</v>
      </c>
    </row>
    <row r="5998" spans="1:40" x14ac:dyDescent="0.25">
      <c r="A5998" t="str">
        <f>"20190303162938013"</f>
        <v>20190303162938013</v>
      </c>
      <c r="B5998" t="str">
        <f>"1551601778007398"</f>
        <v>1551601778007398</v>
      </c>
      <c r="C5998" t="s">
        <v>40</v>
      </c>
      <c r="D5998">
        <v>5.2878129999999999</v>
      </c>
      <c r="E5998">
        <v>0.51796030000000004</v>
      </c>
      <c r="F5998" t="s">
        <v>44</v>
      </c>
      <c r="G5998">
        <v>-256.02530000000002</v>
      </c>
      <c r="H5998">
        <v>0.93296579999999996</v>
      </c>
      <c r="I5998">
        <v>-62.533769999999997</v>
      </c>
      <c r="J5998">
        <v>-256.57369999999997</v>
      </c>
      <c r="K5998">
        <v>1.1184810000000001</v>
      </c>
      <c r="L5998">
        <v>-62.535980000000002</v>
      </c>
      <c r="M5998">
        <v>0.99692879999999995</v>
      </c>
      <c r="N5998">
        <v>-1.190985E-2</v>
      </c>
      <c r="O5998">
        <v>7.7403990000000006E-2</v>
      </c>
      <c r="P5998">
        <v>0.98704970000000003</v>
      </c>
      <c r="Q5998">
        <v>0.14711729999999901</v>
      </c>
      <c r="R5998">
        <v>6.3947530000000002E-2</v>
      </c>
      <c r="S5998">
        <v>3.1611180000000001</v>
      </c>
      <c r="T5998">
        <v>-0.84252109999999902</v>
      </c>
      <c r="U5998">
        <v>5.6640629999999997E-2</v>
      </c>
      <c r="V5998">
        <v>1.365796E-2</v>
      </c>
      <c r="W5998">
        <v>0.1588029</v>
      </c>
      <c r="X5998">
        <v>0.98721579999999998</v>
      </c>
      <c r="Y5998">
        <v>5.5065910000000003E-2</v>
      </c>
      <c r="Z5998">
        <v>-2.6893879999999998E-2</v>
      </c>
      <c r="AA5998">
        <v>0.99812049999999997</v>
      </c>
      <c r="AB5998">
        <v>31</v>
      </c>
      <c r="AC5998">
        <v>0.54839999999995803</v>
      </c>
      <c r="AD5998">
        <v>-0.18551519999999899</v>
      </c>
      <c r="AE5998">
        <v>2.2100000000051501E-3</v>
      </c>
      <c r="AF5998">
        <v>3.61151635210493E-2</v>
      </c>
      <c r="AG5998">
        <v>-0.18551519999999899</v>
      </c>
      <c r="AH5998">
        <v>0.49076507220860199</v>
      </c>
      <c r="AI5998">
        <v>110.65608289264701</v>
      </c>
      <c r="AJ5998">
        <v>85.791217884060401</v>
      </c>
      <c r="AK5998">
        <v>0.52589975334383499</v>
      </c>
      <c r="AL5998">
        <v>80.862580614365797</v>
      </c>
      <c r="AM5998">
        <v>89.207373358914097</v>
      </c>
      <c r="AN5998">
        <v>0.99999996834470495</v>
      </c>
    </row>
    <row r="5999" spans="1:40" x14ac:dyDescent="0.25">
      <c r="A5999" t="str">
        <f>"20190303162938024"</f>
        <v>20190303162938024</v>
      </c>
      <c r="B5999" t="str">
        <f>"1551601778018134"</f>
        <v>1551601778018134</v>
      </c>
      <c r="C5999" t="s">
        <v>40</v>
      </c>
      <c r="D5999">
        <v>5.2977349999999896</v>
      </c>
      <c r="E5999">
        <v>0.51837239999999996</v>
      </c>
      <c r="F5999" t="s">
        <v>44</v>
      </c>
      <c r="G5999">
        <v>-255.7612</v>
      </c>
      <c r="H5999">
        <v>0.90005669999999904</v>
      </c>
      <c r="I5999">
        <v>-62.522849999999998</v>
      </c>
      <c r="J5999">
        <v>-256.40809999999999</v>
      </c>
      <c r="K5999">
        <v>1.1184959999999999</v>
      </c>
      <c r="L5999">
        <v>-62.5246</v>
      </c>
      <c r="M5999">
        <v>0.99705160000000004</v>
      </c>
      <c r="N5999">
        <v>-1.190947E-2</v>
      </c>
      <c r="O5999">
        <v>7.5805479999999995E-2</v>
      </c>
      <c r="P5999">
        <v>0.98711099999999996</v>
      </c>
      <c r="Q5999">
        <v>0.14710279999999901</v>
      </c>
      <c r="R5999">
        <v>6.3031630000000005E-2</v>
      </c>
      <c r="S5999">
        <v>3.1626889999999999</v>
      </c>
      <c r="T5999">
        <v>-0.85006899999999996</v>
      </c>
      <c r="U5999">
        <v>5.2093510000000003E-2</v>
      </c>
      <c r="V5999">
        <v>1.298383E-2</v>
      </c>
      <c r="W5999">
        <v>0.15879299999999999</v>
      </c>
      <c r="X5999">
        <v>0.98722650000000001</v>
      </c>
      <c r="Y5999">
        <v>5.4890809999999998E-2</v>
      </c>
      <c r="Z5999">
        <v>-2.6692759999999999E-2</v>
      </c>
      <c r="AA5999">
        <v>0.99813549999999995</v>
      </c>
      <c r="AB5999">
        <v>31</v>
      </c>
      <c r="AC5999">
        <v>0.64689999999998704</v>
      </c>
      <c r="AD5999">
        <v>-0.2184393</v>
      </c>
      <c r="AE5999">
        <v>1.7500000000012499E-3</v>
      </c>
      <c r="AF5999">
        <v>4.2456186143060799E-2</v>
      </c>
      <c r="AG5999">
        <v>-0.2184393</v>
      </c>
      <c r="AH5999">
        <v>0.57913733104611398</v>
      </c>
      <c r="AI5999">
        <v>110.614845123951</v>
      </c>
      <c r="AJ5999">
        <v>85.807183530862801</v>
      </c>
      <c r="AK5999">
        <v>0.62041784608239703</v>
      </c>
      <c r="AL5999">
        <v>80.863155235368495</v>
      </c>
      <c r="AM5999">
        <v>89.246499386541103</v>
      </c>
      <c r="AN5999">
        <v>0.99999997949635899</v>
      </c>
    </row>
    <row r="6000" spans="1:40" x14ac:dyDescent="0.25">
      <c r="A6000" t="str">
        <f>"20190303162938034"</f>
        <v>20190303162938034</v>
      </c>
      <c r="B6000" t="str">
        <f>"1551601778027893"</f>
        <v>1551601778027893</v>
      </c>
      <c r="C6000" t="s">
        <v>40</v>
      </c>
      <c r="D6000">
        <v>5.3482839999999996</v>
      </c>
      <c r="E6000">
        <v>0.51837239999999996</v>
      </c>
      <c r="F6000" t="s">
        <v>44</v>
      </c>
      <c r="G6000">
        <v>-255.49440000000001</v>
      </c>
      <c r="H6000">
        <v>0.87105509999999997</v>
      </c>
      <c r="I6000">
        <v>-62.511539999999997</v>
      </c>
      <c r="J6000">
        <v>-256.2602</v>
      </c>
      <c r="K6000">
        <v>1.118509</v>
      </c>
      <c r="L6000">
        <v>-62.514830000000003</v>
      </c>
      <c r="M6000">
        <v>0.99715779999999998</v>
      </c>
      <c r="N6000">
        <v>-1.1909009999999999E-2</v>
      </c>
      <c r="O6000">
        <v>7.4395660000000002E-2</v>
      </c>
      <c r="P6000">
        <v>0.98715980000000003</v>
      </c>
      <c r="Q6000">
        <v>0.14704919999999999</v>
      </c>
      <c r="R6000">
        <v>6.2389170000000001E-2</v>
      </c>
      <c r="S6000">
        <v>3.1638950000000001</v>
      </c>
      <c r="T6000">
        <v>-0.85665990000000003</v>
      </c>
      <c r="U6000">
        <v>4.5654300000000002E-2</v>
      </c>
      <c r="V6000">
        <v>1.222327E-2</v>
      </c>
      <c r="W6000">
        <v>0.158744</v>
      </c>
      <c r="X6000">
        <v>0.98724409999999896</v>
      </c>
      <c r="Y6000">
        <v>5.5474179999999998E-2</v>
      </c>
      <c r="Z6000">
        <v>-2.6611340000000001E-2</v>
      </c>
      <c r="AA6000">
        <v>0.99810540000000003</v>
      </c>
      <c r="AB6000">
        <v>31</v>
      </c>
      <c r="AC6000">
        <v>0.76579999999998405</v>
      </c>
      <c r="AD6000">
        <v>-0.24745389999999901</v>
      </c>
      <c r="AE6000">
        <v>3.2899999999997901E-3</v>
      </c>
      <c r="AF6000">
        <v>4.8618953479323601E-2</v>
      </c>
      <c r="AG6000">
        <v>-0.24745389999999901</v>
      </c>
      <c r="AH6000">
        <v>0.69170054901491895</v>
      </c>
      <c r="AI6000">
        <v>109.63978896017299</v>
      </c>
      <c r="AJ6000">
        <v>85.979348531963694</v>
      </c>
      <c r="AK6000">
        <v>0.73623833421669505</v>
      </c>
      <c r="AL6000">
        <v>80.865998888284693</v>
      </c>
      <c r="AM6000">
        <v>89.290645545484097</v>
      </c>
      <c r="AN6000">
        <v>0.999999989425151</v>
      </c>
    </row>
    <row r="6001" spans="1:40" x14ac:dyDescent="0.25">
      <c r="A6001" t="str">
        <f>"20190303162938045"</f>
        <v>20190303162938045</v>
      </c>
      <c r="B6001" t="str">
        <f>"1551601778037654"</f>
        <v>1551601778037654</v>
      </c>
      <c r="C6001" t="s">
        <v>40</v>
      </c>
      <c r="D6001">
        <v>5.36456</v>
      </c>
      <c r="E6001">
        <v>0.53221980000000002</v>
      </c>
      <c r="F6001" t="s">
        <v>44</v>
      </c>
      <c r="G6001">
        <v>-255.47929999999999</v>
      </c>
      <c r="H6001">
        <v>0.90699359999999996</v>
      </c>
      <c r="I6001">
        <v>-62.504330000000003</v>
      </c>
      <c r="J6001">
        <v>-256.11070000000001</v>
      </c>
      <c r="K6001">
        <v>1.1185290000000001</v>
      </c>
      <c r="L6001">
        <v>-62.504969999999901</v>
      </c>
      <c r="M6001">
        <v>0.9972628</v>
      </c>
      <c r="N6001">
        <v>-1.190855E-2</v>
      </c>
      <c r="O6001">
        <v>7.297526E-2</v>
      </c>
      <c r="P6001">
        <v>0.98730110000000004</v>
      </c>
      <c r="Q6001">
        <v>0.14629879999999901</v>
      </c>
      <c r="R6001">
        <v>6.1914179999999999E-2</v>
      </c>
      <c r="S6001">
        <v>3.1639249999999999</v>
      </c>
      <c r="T6001">
        <v>-0.85681200000000002</v>
      </c>
      <c r="U6001">
        <v>4.3090820000000002E-2</v>
      </c>
      <c r="V6001">
        <v>1.1287470000000001E-2</v>
      </c>
      <c r="W6001">
        <v>0.15800110000000001</v>
      </c>
      <c r="X6001">
        <v>0.98737439999999999</v>
      </c>
      <c r="Y6001">
        <v>5.492652E-2</v>
      </c>
      <c r="Z6001">
        <v>-2.6179620000000001E-2</v>
      </c>
      <c r="AA6001">
        <v>0.99814709999999995</v>
      </c>
      <c r="AB6001">
        <v>31</v>
      </c>
      <c r="AC6001">
        <v>0.63140000000001295</v>
      </c>
      <c r="AD6001">
        <v>-0.21153540000000001</v>
      </c>
      <c r="AE6001">
        <v>6.3999999998998105E-4</v>
      </c>
      <c r="AF6001">
        <v>4.0855798240074397E-2</v>
      </c>
      <c r="AG6001">
        <v>-0.21153540000000001</v>
      </c>
      <c r="AH6001">
        <v>0.56621026394321905</v>
      </c>
      <c r="AI6001">
        <v>110.436896096921</v>
      </c>
      <c r="AJ6001">
        <v>85.872885086112504</v>
      </c>
      <c r="AK6001">
        <v>0.60581390269425495</v>
      </c>
      <c r="AL6001">
        <v>80.909107901106395</v>
      </c>
      <c r="AM6001">
        <v>89.3450344449342</v>
      </c>
      <c r="AN6001">
        <v>0.99999998017778502</v>
      </c>
    </row>
    <row r="6002" spans="1:40" x14ac:dyDescent="0.25">
      <c r="A6002" t="str">
        <f>"20190303162938057"</f>
        <v>20190303162938057</v>
      </c>
      <c r="B6002" t="str">
        <f>"1551601778047415"</f>
        <v>1551601778047415</v>
      </c>
      <c r="C6002" t="s">
        <v>40</v>
      </c>
      <c r="D6002">
        <v>5.3298610000000002</v>
      </c>
      <c r="E6002">
        <v>0.53306189999999998</v>
      </c>
      <c r="F6002" t="s">
        <v>44</v>
      </c>
      <c r="G6002">
        <v>-255.22450000000001</v>
      </c>
      <c r="H6002">
        <v>0.84339940000000002</v>
      </c>
      <c r="I6002">
        <v>-62.524430000000002</v>
      </c>
      <c r="J6002">
        <v>-255.947</v>
      </c>
      <c r="K6002">
        <v>1.1185480000000001</v>
      </c>
      <c r="L6002">
        <v>-62.494540000000001</v>
      </c>
      <c r="M6002">
        <v>0.99737410000000004</v>
      </c>
      <c r="N6002">
        <v>-1.1908E-2</v>
      </c>
      <c r="O6002">
        <v>7.1435999999999999E-2</v>
      </c>
      <c r="P6002">
        <v>0.98742149999999995</v>
      </c>
      <c r="Q6002">
        <v>0.14566029999999999</v>
      </c>
      <c r="R6002">
        <v>6.1498570000000002E-2</v>
      </c>
      <c r="S6002">
        <v>3.189667</v>
      </c>
      <c r="T6002">
        <v>-0.99000189999999999</v>
      </c>
      <c r="U6002">
        <v>-6.9244379999999994E-2</v>
      </c>
      <c r="V6002">
        <v>1.017261E-2</v>
      </c>
      <c r="W6002">
        <v>0.15737110000000001</v>
      </c>
      <c r="X6002">
        <v>0.98748709999999995</v>
      </c>
      <c r="Y6002">
        <v>8.5770360000000004E-2</v>
      </c>
      <c r="Z6002">
        <v>-3.434396E-2</v>
      </c>
      <c r="AA6002">
        <v>0.99572280000000002</v>
      </c>
      <c r="AB6002">
        <v>31</v>
      </c>
      <c r="AC6002">
        <v>0.72249999999999603</v>
      </c>
      <c r="AD6002">
        <v>-0.27514859999999902</v>
      </c>
      <c r="AE6002">
        <v>-2.98900000000017E-2</v>
      </c>
      <c r="AF6002">
        <v>7.1131233409473693E-2</v>
      </c>
      <c r="AG6002">
        <v>-0.27514859999999902</v>
      </c>
      <c r="AH6002">
        <v>0.62764627584795696</v>
      </c>
      <c r="AI6002">
        <v>113.53761580419901</v>
      </c>
      <c r="AJ6002">
        <v>83.534249167520898</v>
      </c>
      <c r="AK6002">
        <v>0.68898929747429505</v>
      </c>
      <c r="AL6002">
        <v>80.945661361453702</v>
      </c>
      <c r="AM6002">
        <v>89.409787729419804</v>
      </c>
      <c r="AN6002">
        <v>0.99999995888791504</v>
      </c>
    </row>
    <row r="6003" spans="1:40" x14ac:dyDescent="0.25">
      <c r="A6003" t="str">
        <f>"20190303162938068"</f>
        <v>20190303162938068</v>
      </c>
      <c r="B6003" t="str">
        <f>"1551601778058150"</f>
        <v>1551601778058150</v>
      </c>
      <c r="C6003" t="s">
        <v>40</v>
      </c>
      <c r="D6003">
        <v>5.291766</v>
      </c>
      <c r="E6003">
        <v>0.53373249999999905</v>
      </c>
      <c r="F6003" t="s">
        <v>44</v>
      </c>
      <c r="G6003">
        <v>-255.20939999999999</v>
      </c>
      <c r="H6003">
        <v>0.88325619999999905</v>
      </c>
      <c r="I6003">
        <v>-62.5126699999999</v>
      </c>
      <c r="J6003">
        <v>-255.79480000000001</v>
      </c>
      <c r="K6003">
        <v>1.118568</v>
      </c>
      <c r="L6003">
        <v>-62.485019999999999</v>
      </c>
      <c r="M6003">
        <v>0.997475</v>
      </c>
      <c r="N6003">
        <v>-1.190742E-2</v>
      </c>
      <c r="O6003">
        <v>7.0014339999999994E-2</v>
      </c>
      <c r="P6003">
        <v>0.98751560000000005</v>
      </c>
      <c r="Q6003">
        <v>0.1453612</v>
      </c>
      <c r="R6003">
        <v>6.0688560000000003E-2</v>
      </c>
      <c r="S6003">
        <v>3.1932529999999999</v>
      </c>
      <c r="T6003">
        <v>-1.0183089999999999</v>
      </c>
      <c r="U6003">
        <v>-7.7575679999999994E-2</v>
      </c>
      <c r="V6003">
        <v>9.5681410000000005E-3</v>
      </c>
      <c r="W6003">
        <v>0.15707579999999999</v>
      </c>
      <c r="X6003">
        <v>0.98754019999999998</v>
      </c>
      <c r="Y6003">
        <v>8.6549290000000001E-2</v>
      </c>
      <c r="Z6003">
        <v>-3.4952419999999998E-2</v>
      </c>
      <c r="AA6003">
        <v>0.99563429999999997</v>
      </c>
      <c r="AB6003">
        <v>31</v>
      </c>
      <c r="AC6003">
        <v>0.58540000000002101</v>
      </c>
      <c r="AD6003">
        <v>-0.23531179999999999</v>
      </c>
      <c r="AE6003">
        <v>-2.7649999999994099E-2</v>
      </c>
      <c r="AF6003">
        <v>5.9051289067604602E-2</v>
      </c>
      <c r="AG6003">
        <v>-0.23531179999999999</v>
      </c>
      <c r="AH6003">
        <v>0.50122118484105105</v>
      </c>
      <c r="AI6003">
        <v>114.99739214562899</v>
      </c>
      <c r="AJ6003">
        <v>83.280681983142003</v>
      </c>
      <c r="AK6003">
        <v>0.55684950758104601</v>
      </c>
      <c r="AL6003">
        <v>80.962794269940403</v>
      </c>
      <c r="AM6003">
        <v>89.444886452528607</v>
      </c>
      <c r="AN6003">
        <v>1.0000000014419299</v>
      </c>
    </row>
    <row r="6004" spans="1:40" x14ac:dyDescent="0.25">
      <c r="A6004" t="str">
        <f>"20190303162938078"</f>
        <v>20190303162938078</v>
      </c>
      <c r="B6004" t="str">
        <f>"1551601778067911"</f>
        <v>1551601778067911</v>
      </c>
      <c r="C6004" t="s">
        <v>40</v>
      </c>
      <c r="D6004">
        <v>5.2918479999999999</v>
      </c>
      <c r="E6004">
        <v>0.53403369999999994</v>
      </c>
      <c r="F6004" t="s">
        <v>44</v>
      </c>
      <c r="G6004">
        <v>-254.94540000000001</v>
      </c>
      <c r="H6004">
        <v>0.84391519999999998</v>
      </c>
      <c r="I6004">
        <v>-62.507950000000001</v>
      </c>
      <c r="J6004">
        <v>-255.6414</v>
      </c>
      <c r="K6004">
        <v>1.1185909999999999</v>
      </c>
      <c r="L6004">
        <v>-62.4756199999999</v>
      </c>
      <c r="M6004">
        <v>0.99757370000000001</v>
      </c>
      <c r="N6004">
        <v>-1.1906770000000001E-2</v>
      </c>
      <c r="O6004">
        <v>6.8593230000000005E-2</v>
      </c>
      <c r="P6004">
        <v>0.98756169999999999</v>
      </c>
      <c r="Q6004">
        <v>0.1452272</v>
      </c>
      <c r="R6004">
        <v>6.0257129999999999E-2</v>
      </c>
      <c r="S6004">
        <v>3.1953429999999998</v>
      </c>
      <c r="T6004">
        <v>-1.033199</v>
      </c>
      <c r="U6004">
        <v>-8.6181640000000004E-2</v>
      </c>
      <c r="V6004">
        <v>8.5839290000000006E-3</v>
      </c>
      <c r="W6004">
        <v>0.15694820000000001</v>
      </c>
      <c r="X6004">
        <v>0.98756949999999999</v>
      </c>
      <c r="Y6004">
        <v>8.7594989999999998E-2</v>
      </c>
      <c r="Z6004">
        <v>-3.5161280000000003E-2</v>
      </c>
      <c r="AA6004">
        <v>0.99553539999999996</v>
      </c>
      <c r="AB6004">
        <v>31</v>
      </c>
      <c r="AC6004">
        <v>0.69599999999999795</v>
      </c>
      <c r="AD6004">
        <v>-0.27467579999999903</v>
      </c>
      <c r="AE6004">
        <v>-3.2330000000008803E-2</v>
      </c>
      <c r="AF6004">
        <v>6.9237701465952206E-2</v>
      </c>
      <c r="AG6004">
        <v>-0.27467579999999903</v>
      </c>
      <c r="AH6004">
        <v>0.59904375782803698</v>
      </c>
      <c r="AI6004">
        <v>114.48885899069199</v>
      </c>
      <c r="AJ6004">
        <v>83.406986824617704</v>
      </c>
      <c r="AK6004">
        <v>0.66264174197122805</v>
      </c>
      <c r="AL6004">
        <v>80.970196737661198</v>
      </c>
      <c r="AM6004">
        <v>89.501999081490396</v>
      </c>
      <c r="AN6004">
        <v>0.99999996932528301</v>
      </c>
    </row>
    <row r="6005" spans="1:40" x14ac:dyDescent="0.25">
      <c r="A6005" t="str">
        <f>"20190303162938091"</f>
        <v>20190303162938091</v>
      </c>
      <c r="B6005" t="str">
        <f>"1551601778087429"</f>
        <v>1551601778087429</v>
      </c>
      <c r="C6005" t="s">
        <v>40</v>
      </c>
      <c r="D6005">
        <v>5.2681930000000001</v>
      </c>
      <c r="E6005">
        <v>0.53426870000000004</v>
      </c>
      <c r="F6005" t="s">
        <v>44</v>
      </c>
      <c r="G6005">
        <v>-254.92949999999999</v>
      </c>
      <c r="H6005">
        <v>0.88575969999999904</v>
      </c>
      <c r="I6005">
        <v>-62.49588</v>
      </c>
      <c r="J6005">
        <v>-255.48220000000001</v>
      </c>
      <c r="K6005">
        <v>1.118614</v>
      </c>
      <c r="L6005">
        <v>-62.46613</v>
      </c>
      <c r="M6005">
        <v>0.99767280000000003</v>
      </c>
      <c r="N6005">
        <v>-1.190604E-2</v>
      </c>
      <c r="O6005">
        <v>6.7136039999999994E-2</v>
      </c>
      <c r="P6005">
        <v>0.98756960000000005</v>
      </c>
      <c r="Q6005">
        <v>0.1454396</v>
      </c>
      <c r="R6005">
        <v>5.9613760000000002E-2</v>
      </c>
      <c r="S6005">
        <v>3.1971280000000002</v>
      </c>
      <c r="T6005">
        <v>-1.0456449999999999</v>
      </c>
      <c r="U6005">
        <v>-9.0942380000000003E-2</v>
      </c>
      <c r="V6005">
        <v>7.7741260000000001E-3</v>
      </c>
      <c r="W6005">
        <v>0.15716479999999999</v>
      </c>
      <c r="X6005">
        <v>0.98754180000000003</v>
      </c>
      <c r="Y6005">
        <v>8.7504349999999995E-2</v>
      </c>
      <c r="Z6005">
        <v>-3.508646E-2</v>
      </c>
      <c r="AA6005">
        <v>0.99554600000000004</v>
      </c>
      <c r="AB6005">
        <v>31</v>
      </c>
      <c r="AC6005">
        <v>0.55270000000001496</v>
      </c>
      <c r="AD6005">
        <v>-0.23285429999999999</v>
      </c>
      <c r="AE6005">
        <v>-2.9749999999999902E-2</v>
      </c>
      <c r="AF6005">
        <v>5.6748102749369499E-2</v>
      </c>
      <c r="AG6005">
        <v>-0.23285429999999999</v>
      </c>
      <c r="AH6005">
        <v>0.466833505457114</v>
      </c>
      <c r="AI6005">
        <v>116.34232347551399</v>
      </c>
      <c r="AJ6005">
        <v>83.069151869003207</v>
      </c>
      <c r="AK6005">
        <v>0.52476184504165302</v>
      </c>
      <c r="AL6005">
        <v>80.957630882258798</v>
      </c>
      <c r="AM6005">
        <v>89.548965513833295</v>
      </c>
      <c r="AN6005">
        <v>1.00000000907067</v>
      </c>
    </row>
    <row r="6006" spans="1:40" x14ac:dyDescent="0.25">
      <c r="A6006" t="str">
        <f>"20190303162938104"</f>
        <v>20190303162938104</v>
      </c>
      <c r="B6006" t="str">
        <f>"1551601778098166"</f>
        <v>1551601778098166</v>
      </c>
      <c r="C6006" t="s">
        <v>40</v>
      </c>
      <c r="D6006">
        <v>5.2624449999999996</v>
      </c>
      <c r="E6006">
        <v>0.53435699999999997</v>
      </c>
      <c r="F6006" t="s">
        <v>44</v>
      </c>
      <c r="G6006">
        <v>-254.66470000000001</v>
      </c>
      <c r="H6006">
        <v>0.84843729999999995</v>
      </c>
      <c r="I6006">
        <v>-62.490430000000003</v>
      </c>
      <c r="J6006">
        <v>-255.3253</v>
      </c>
      <c r="K6006">
        <v>1.1186370000000001</v>
      </c>
      <c r="L6006">
        <v>-62.456879999999998</v>
      </c>
      <c r="M6006">
        <v>0.99776790000000004</v>
      </c>
      <c r="N6006">
        <v>-1.190533E-2</v>
      </c>
      <c r="O6006">
        <v>6.5708069999999993E-2</v>
      </c>
      <c r="P6006">
        <v>0.98755479999999995</v>
      </c>
      <c r="Q6006">
        <v>0.14587269999999999</v>
      </c>
      <c r="R6006">
        <v>5.8793459999999999E-2</v>
      </c>
      <c r="S6006">
        <v>3.1991580000000002</v>
      </c>
      <c r="T6006">
        <v>-1.0572429999999999</v>
      </c>
      <c r="U6006">
        <v>-9.4482419999999998E-2</v>
      </c>
      <c r="V6006">
        <v>7.1699090000000004E-3</v>
      </c>
      <c r="W6006">
        <v>0.1576004</v>
      </c>
      <c r="X6006">
        <v>0.98747689999999999</v>
      </c>
      <c r="Y6006">
        <v>8.7091450000000001E-2</v>
      </c>
      <c r="Z6006">
        <v>-3.4926110000000003E-2</v>
      </c>
      <c r="AA6006">
        <v>0.99558789999999997</v>
      </c>
      <c r="AB6006">
        <v>31</v>
      </c>
      <c r="AC6006">
        <v>0.66059999999998797</v>
      </c>
      <c r="AD6006">
        <v>-0.27019969999999999</v>
      </c>
      <c r="AE6006">
        <v>-3.3549999999998102E-2</v>
      </c>
      <c r="AF6006">
        <v>6.5892021061125405E-2</v>
      </c>
      <c r="AG6006">
        <v>-0.27019969999999999</v>
      </c>
      <c r="AH6006">
        <v>0.56301770044624599</v>
      </c>
      <c r="AI6006">
        <v>115.485272812259</v>
      </c>
      <c r="AJ6006">
        <v>83.324831129041499</v>
      </c>
      <c r="AK6006">
        <v>0.62796382645450899</v>
      </c>
      <c r="AL6006">
        <v>80.932357440206303</v>
      </c>
      <c r="AM6006">
        <v>89.583991983779896</v>
      </c>
      <c r="AN6006">
        <v>0.999999960854418</v>
      </c>
    </row>
    <row r="6007" spans="1:40" x14ac:dyDescent="0.25">
      <c r="A6007" t="str">
        <f>"20190303162938113"</f>
        <v>20190303162938113</v>
      </c>
      <c r="B6007" t="str">
        <f>"1551601778107926"</f>
        <v>1551601778107926</v>
      </c>
      <c r="C6007" t="s">
        <v>40</v>
      </c>
      <c r="D6007">
        <v>5.2312200000000004</v>
      </c>
      <c r="E6007">
        <v>0.53439399999999904</v>
      </c>
      <c r="F6007" t="s">
        <v>44</v>
      </c>
      <c r="G6007">
        <v>-254.6472</v>
      </c>
      <c r="H6007">
        <v>0.89430049999999905</v>
      </c>
      <c r="I6007">
        <v>-62.477339999999998</v>
      </c>
      <c r="J6007">
        <v>-255.16290000000001</v>
      </c>
      <c r="K6007">
        <v>1.1186590000000001</v>
      </c>
      <c r="L6007">
        <v>-62.447690000000001</v>
      </c>
      <c r="M6007">
        <v>0.99786240000000004</v>
      </c>
      <c r="N6007">
        <v>-1.190447E-2</v>
      </c>
      <c r="O6007">
        <v>6.4256679999999997E-2</v>
      </c>
      <c r="P6007">
        <v>0.98750230000000006</v>
      </c>
      <c r="Q6007">
        <v>0.1464616</v>
      </c>
      <c r="R6007">
        <v>5.820898E-2</v>
      </c>
      <c r="S6007">
        <v>3.1998600000000001</v>
      </c>
      <c r="T6007">
        <v>-1.058486</v>
      </c>
      <c r="U6007">
        <v>-9.5794679999999993E-2</v>
      </c>
      <c r="V6007">
        <v>6.3046689999999997E-3</v>
      </c>
      <c r="W6007">
        <v>0.15819269999999999</v>
      </c>
      <c r="X6007">
        <v>0.98738809999999999</v>
      </c>
      <c r="Y6007">
        <v>8.6153439999999998E-2</v>
      </c>
      <c r="Z6007">
        <v>-3.4351010000000001E-2</v>
      </c>
      <c r="AA6007">
        <v>0.99568950000000001</v>
      </c>
      <c r="AB6007">
        <v>31</v>
      </c>
      <c r="AC6007">
        <v>0.51570000000000904</v>
      </c>
      <c r="AD6007">
        <v>-0.22435849999999999</v>
      </c>
      <c r="AE6007">
        <v>-2.9650000000003701E-2</v>
      </c>
      <c r="AF6007">
        <v>5.2772656406635698E-2</v>
      </c>
      <c r="AG6007">
        <v>-0.22435849999999999</v>
      </c>
      <c r="AH6007">
        <v>0.43135373976281599</v>
      </c>
      <c r="AI6007">
        <v>117.306271924104</v>
      </c>
      <c r="AJ6007">
        <v>83.0249845908086</v>
      </c>
      <c r="AK6007">
        <v>0.48906823511022501</v>
      </c>
      <c r="AL6007">
        <v>80.897990111922198</v>
      </c>
      <c r="AM6007">
        <v>89.6341600472729</v>
      </c>
      <c r="AN6007">
        <v>0.99999996960304904</v>
      </c>
    </row>
    <row r="6008" spans="1:40" x14ac:dyDescent="0.25">
      <c r="A6008" t="str">
        <f>"20190303162938125"</f>
        <v>20190303162938125</v>
      </c>
      <c r="B6008" t="str">
        <f>"1551601778117685"</f>
        <v>1551601778117685</v>
      </c>
      <c r="C6008" t="s">
        <v>40</v>
      </c>
      <c r="D6008">
        <v>5.2715800000000002</v>
      </c>
      <c r="E6008">
        <v>0.53422910000000001</v>
      </c>
      <c r="F6008" t="s">
        <v>44</v>
      </c>
      <c r="G6008">
        <v>-254.38130000000001</v>
      </c>
      <c r="H6008">
        <v>0.86002029999999996</v>
      </c>
      <c r="I6008">
        <v>-62.471179999999997</v>
      </c>
      <c r="J6008">
        <v>-254.99780000000001</v>
      </c>
      <c r="K6008">
        <v>1.118689</v>
      </c>
      <c r="L6008">
        <v>-62.438450000000003</v>
      </c>
      <c r="M6008">
        <v>0.99795590000000001</v>
      </c>
      <c r="N6008">
        <v>-1.19036E-2</v>
      </c>
      <c r="O6008">
        <v>6.2791009999999994E-2</v>
      </c>
      <c r="P6008">
        <v>0.98752700000000004</v>
      </c>
      <c r="Q6008">
        <v>0.14647689999999999</v>
      </c>
      <c r="R6008">
        <v>5.775429E-2</v>
      </c>
      <c r="S6008">
        <v>3.2007599999999998</v>
      </c>
      <c r="T6008">
        <v>-1.0591980000000001</v>
      </c>
      <c r="U6008">
        <v>-9.6282960000000001E-2</v>
      </c>
      <c r="V6008">
        <v>5.2967480000000004E-3</v>
      </c>
      <c r="W6008">
        <v>0.1582134</v>
      </c>
      <c r="X6008">
        <v>0.98739080000000001</v>
      </c>
      <c r="Y6008">
        <v>8.4966570000000005E-2</v>
      </c>
      <c r="Z6008">
        <v>-3.3710579999999997E-2</v>
      </c>
      <c r="AA6008">
        <v>0.99581339999999996</v>
      </c>
      <c r="AB6008">
        <v>31</v>
      </c>
      <c r="AC6008">
        <v>0.61650000000000205</v>
      </c>
      <c r="AD6008">
        <v>-0.25866869999999897</v>
      </c>
      <c r="AE6008">
        <v>-3.27300000000008E-2</v>
      </c>
      <c r="AF6008">
        <v>6.0719524364718398E-2</v>
      </c>
      <c r="AG6008">
        <v>-0.25866869999999897</v>
      </c>
      <c r="AH6008">
        <v>0.52165227176476203</v>
      </c>
      <c r="AI6008">
        <v>116.222037401761</v>
      </c>
      <c r="AJ6008">
        <v>83.360735821999299</v>
      </c>
      <c r="AK6008">
        <v>0.58542074581970904</v>
      </c>
      <c r="AL6008">
        <v>80.896789826579294</v>
      </c>
      <c r="AM6008">
        <v>89.692646118907902</v>
      </c>
      <c r="AN6008">
        <v>1.0000000637017801</v>
      </c>
    </row>
    <row r="6009" spans="1:40" x14ac:dyDescent="0.25">
      <c r="A6009" t="str">
        <f>"20190303162938135"</f>
        <v>20190303162938135</v>
      </c>
      <c r="B6009" t="str">
        <f>"1551601778127446"</f>
        <v>1551601778127446</v>
      </c>
      <c r="C6009" t="s">
        <v>40</v>
      </c>
      <c r="D6009">
        <v>5.2514019999999997</v>
      </c>
      <c r="E6009">
        <v>0.53417720000000002</v>
      </c>
      <c r="F6009" t="s">
        <v>44</v>
      </c>
      <c r="G6009">
        <v>-254.11500000000001</v>
      </c>
      <c r="H6009">
        <v>0.826874</v>
      </c>
      <c r="I6009">
        <v>-62.4649199999999</v>
      </c>
      <c r="J6009">
        <v>-254.85650000000001</v>
      </c>
      <c r="K6009">
        <v>1.118717</v>
      </c>
      <c r="L6009">
        <v>-62.430790000000002</v>
      </c>
      <c r="M6009">
        <v>0.99803240000000004</v>
      </c>
      <c r="N6009">
        <v>-1.1902680000000001E-2</v>
      </c>
      <c r="O6009">
        <v>6.1561949999999997E-2</v>
      </c>
      <c r="P6009">
        <v>0.98752499999999999</v>
      </c>
      <c r="Q6009">
        <v>0.1465726</v>
      </c>
      <c r="R6009">
        <v>5.7539769999999997E-2</v>
      </c>
      <c r="S6009">
        <v>3.200348</v>
      </c>
      <c r="T6009">
        <v>-1.057701</v>
      </c>
      <c r="U6009">
        <v>-9.5214839999999995E-2</v>
      </c>
      <c r="V6009">
        <v>4.2833350000000001E-3</v>
      </c>
      <c r="W6009">
        <v>0.1583146</v>
      </c>
      <c r="X6009">
        <v>0.98737940000000002</v>
      </c>
      <c r="Y6009">
        <v>8.3569350000000001E-2</v>
      </c>
      <c r="Z6009">
        <v>-3.3054920000000002E-2</v>
      </c>
      <c r="AA6009">
        <v>0.99595359999999999</v>
      </c>
      <c r="AB6009">
        <v>31</v>
      </c>
      <c r="AC6009">
        <v>0.74150000000000205</v>
      </c>
      <c r="AD6009">
        <v>-0.29184300000000002</v>
      </c>
      <c r="AE6009">
        <v>-3.4129999999990397E-2</v>
      </c>
      <c r="AF6009">
        <v>6.9043787482720595E-2</v>
      </c>
      <c r="AG6009">
        <v>-0.29184300000000002</v>
      </c>
      <c r="AH6009">
        <v>0.63918588899223305</v>
      </c>
      <c r="AI6009">
        <v>114.415429272426</v>
      </c>
      <c r="AJ6009">
        <v>83.834909862046402</v>
      </c>
      <c r="AK6009">
        <v>0.70604389518340105</v>
      </c>
      <c r="AL6009">
        <v>80.890916618910197</v>
      </c>
      <c r="AM6009">
        <v>89.751447641849495</v>
      </c>
      <c r="AN6009">
        <v>0.99999996953811998</v>
      </c>
    </row>
    <row r="6010" spans="1:40" x14ac:dyDescent="0.25">
      <c r="A6010" t="str">
        <f>"20190303162938145"</f>
        <v>20190303162938145</v>
      </c>
      <c r="B6010" t="str">
        <f>"1551601778138182"</f>
        <v>1551601778138182</v>
      </c>
      <c r="C6010" t="s">
        <v>40</v>
      </c>
      <c r="D6010">
        <v>5.2273180000000004</v>
      </c>
      <c r="E6010">
        <v>0.5341688</v>
      </c>
      <c r="F6010" t="s">
        <v>44</v>
      </c>
      <c r="G6010">
        <v>-254.09909999999999</v>
      </c>
      <c r="H6010">
        <v>0.86838470000000001</v>
      </c>
      <c r="I6010">
        <v>-62.453479999999999</v>
      </c>
      <c r="J6010">
        <v>-254.70910000000001</v>
      </c>
      <c r="K6010">
        <v>1.1187450000000001</v>
      </c>
      <c r="L6010">
        <v>-62.422910000000002</v>
      </c>
      <c r="M6010">
        <v>0.99811000000000005</v>
      </c>
      <c r="N6010">
        <v>-1.1901729999999999E-2</v>
      </c>
      <c r="O6010">
        <v>6.0289830000000003E-2</v>
      </c>
      <c r="P6010">
        <v>0.98752309999999999</v>
      </c>
      <c r="Q6010">
        <v>0.14660319999999999</v>
      </c>
      <c r="R6010">
        <v>5.7494950000000003E-2</v>
      </c>
      <c r="S6010">
        <v>3.2004389999999998</v>
      </c>
      <c r="T6010">
        <v>-1.0576719999999999</v>
      </c>
      <c r="U6010">
        <v>-9.5062259999999996E-2</v>
      </c>
      <c r="V6010">
        <v>3.056811E-3</v>
      </c>
      <c r="W6010">
        <v>0.1583514</v>
      </c>
      <c r="X6010">
        <v>0.98737810000000004</v>
      </c>
      <c r="Y6010">
        <v>8.238086E-2</v>
      </c>
      <c r="Z6010">
        <v>-3.2460410000000002E-2</v>
      </c>
      <c r="AA6010">
        <v>0.99607219999999996</v>
      </c>
      <c r="AB6010">
        <v>31</v>
      </c>
      <c r="AC6010">
        <v>0.61000000000001298</v>
      </c>
      <c r="AD6010">
        <v>-0.25036029999999998</v>
      </c>
      <c r="AE6010">
        <v>-3.0570000000011501E-2</v>
      </c>
      <c r="AF6010">
        <v>5.7613153976740203E-2</v>
      </c>
      <c r="AG6010">
        <v>-0.25036029999999998</v>
      </c>
      <c r="AH6010">
        <v>0.51971952830933399</v>
      </c>
      <c r="AI6010">
        <v>115.58459057792599</v>
      </c>
      <c r="AJ6010">
        <v>83.674342383599296</v>
      </c>
      <c r="AK6010">
        <v>0.57974817242774801</v>
      </c>
      <c r="AL6010">
        <v>80.888781579987807</v>
      </c>
      <c r="AM6010">
        <v>89.822619309137195</v>
      </c>
      <c r="AN6010">
        <v>1.00000001116752</v>
      </c>
    </row>
    <row r="6011" spans="1:40" x14ac:dyDescent="0.25">
      <c r="A6011" t="str">
        <f>"20190303162938156"</f>
        <v>20190303162938156</v>
      </c>
      <c r="B6011" t="str">
        <f>"1551601778147942"</f>
        <v>1551601778147942</v>
      </c>
      <c r="C6011" t="s">
        <v>40</v>
      </c>
      <c r="D6011">
        <v>5.2344309999999998</v>
      </c>
      <c r="E6011">
        <v>0.53410690000000005</v>
      </c>
      <c r="F6011" t="s">
        <v>44</v>
      </c>
      <c r="G6011">
        <v>-253.8347</v>
      </c>
      <c r="H6011">
        <v>0.83005980000000001</v>
      </c>
      <c r="I6011">
        <v>-62.448950000000004</v>
      </c>
      <c r="J6011">
        <v>-254.5549</v>
      </c>
      <c r="K6011">
        <v>1.1187769999999999</v>
      </c>
      <c r="L6011">
        <v>-62.41489</v>
      </c>
      <c r="M6011">
        <v>0.99818810000000002</v>
      </c>
      <c r="N6011">
        <v>-1.1900630000000001E-2</v>
      </c>
      <c r="O6011">
        <v>5.8983859999999999E-2</v>
      </c>
      <c r="P6011">
        <v>0.98747569999999996</v>
      </c>
      <c r="Q6011">
        <v>0.14691360000000001</v>
      </c>
      <c r="R6011">
        <v>5.7516589999999999E-2</v>
      </c>
      <c r="S6011">
        <v>3.2002410000000001</v>
      </c>
      <c r="T6011">
        <v>-1.0564439999999999</v>
      </c>
      <c r="U6011">
        <v>-9.4848630000000003E-2</v>
      </c>
      <c r="V6011">
        <v>1.7281029999999999E-3</v>
      </c>
      <c r="W6011">
        <v>0.15866729999999901</v>
      </c>
      <c r="X6011">
        <v>0.98733059999999995</v>
      </c>
      <c r="Y6011">
        <v>8.1160700000000002E-2</v>
      </c>
      <c r="Z6011">
        <v>-3.1818350000000002E-2</v>
      </c>
      <c r="AA6011">
        <v>0.996193</v>
      </c>
      <c r="AB6011">
        <v>31</v>
      </c>
      <c r="AC6011">
        <v>0.72020000000000495</v>
      </c>
      <c r="AD6011">
        <v>-0.28871720000000001</v>
      </c>
      <c r="AE6011">
        <v>-3.4060000000003698E-2</v>
      </c>
      <c r="AF6011">
        <v>6.5914486360164296E-2</v>
      </c>
      <c r="AG6011">
        <v>-0.28871720000000001</v>
      </c>
      <c r="AH6011">
        <v>0.61786254661405304</v>
      </c>
      <c r="AI6011">
        <v>114.921809260381</v>
      </c>
      <c r="AJ6011">
        <v>83.910633070900303</v>
      </c>
      <c r="AK6011">
        <v>0.68516893361883202</v>
      </c>
      <c r="AL6011">
        <v>80.870450040026995</v>
      </c>
      <c r="AM6011">
        <v>89.899716561649896</v>
      </c>
      <c r="AN6011">
        <v>1.00000000606281</v>
      </c>
    </row>
    <row r="6012" spans="1:40" x14ac:dyDescent="0.25">
      <c r="A6012" t="str">
        <f>"20190303162938168"</f>
        <v>20190303162938168</v>
      </c>
      <c r="B6012" t="str">
        <f>"1551601778157702"</f>
        <v>1551601778157702</v>
      </c>
      <c r="C6012" t="s">
        <v>40</v>
      </c>
      <c r="D6012">
        <v>5.221247</v>
      </c>
      <c r="E6012">
        <v>0.53413920000000004</v>
      </c>
      <c r="F6012" t="s">
        <v>44</v>
      </c>
      <c r="G6012">
        <v>-253.81729999999999</v>
      </c>
      <c r="H6012">
        <v>0.87548700000000002</v>
      </c>
      <c r="I6012">
        <v>-62.436839999999997</v>
      </c>
      <c r="J6012">
        <v>-254.39709999999999</v>
      </c>
      <c r="K6012">
        <v>1.118817</v>
      </c>
      <c r="L6012">
        <v>-62.406829999999999</v>
      </c>
      <c r="M6012">
        <v>0.99826530000000002</v>
      </c>
      <c r="N6012">
        <v>-1.189948E-2</v>
      </c>
      <c r="O6012">
        <v>5.7665059999999997E-2</v>
      </c>
      <c r="P6012">
        <v>0.98740050000000001</v>
      </c>
      <c r="Q6012">
        <v>0.147333399999999</v>
      </c>
      <c r="R6012">
        <v>5.7735420000000003E-2</v>
      </c>
      <c r="S6012">
        <v>3.2006070000000002</v>
      </c>
      <c r="T6012">
        <v>-1.0555330000000001</v>
      </c>
      <c r="U6012">
        <v>-9.4696039999999995E-2</v>
      </c>
      <c r="V6012">
        <v>1.8835E-4</v>
      </c>
      <c r="W6012">
        <v>0.15909429999999999</v>
      </c>
      <c r="X6012">
        <v>0.98726340000000001</v>
      </c>
      <c r="Y6012">
        <v>7.9939819999999995E-2</v>
      </c>
      <c r="Z6012">
        <v>-3.1177159999999999E-2</v>
      </c>
      <c r="AA6012">
        <v>0.99631199999999998</v>
      </c>
      <c r="AB6012">
        <v>31</v>
      </c>
      <c r="AC6012">
        <v>0.57980000000000498</v>
      </c>
      <c r="AD6012">
        <v>-0.24332999999999899</v>
      </c>
      <c r="AE6012">
        <v>-3.0009999999997199E-2</v>
      </c>
      <c r="AF6012">
        <v>5.3924276901096399E-2</v>
      </c>
      <c r="AG6012">
        <v>-0.24332999999999899</v>
      </c>
      <c r="AH6012">
        <v>0.490876955002016</v>
      </c>
      <c r="AI6012">
        <v>116.23133370973601</v>
      </c>
      <c r="AJ6012">
        <v>83.731026801137403</v>
      </c>
      <c r="AK6012">
        <v>0.55052475102519904</v>
      </c>
      <c r="AL6012">
        <v>80.845670167693996</v>
      </c>
      <c r="AM6012">
        <v>89.989069117785206</v>
      </c>
      <c r="AN6012">
        <v>1.00000002637388</v>
      </c>
    </row>
    <row r="6013" spans="1:40" x14ac:dyDescent="0.25">
      <c r="A6013" t="str">
        <f>"20190303162938179"</f>
        <v>20190303162938179</v>
      </c>
      <c r="B6013" t="str">
        <f>"1551601778167462"</f>
        <v>1551601778167462</v>
      </c>
      <c r="C6013" t="s">
        <v>40</v>
      </c>
      <c r="D6013">
        <v>5.2194310000000002</v>
      </c>
      <c r="E6013">
        <v>0.53423369999999903</v>
      </c>
      <c r="F6013" t="s">
        <v>44</v>
      </c>
      <c r="G6013">
        <v>-253.5515</v>
      </c>
      <c r="H6013">
        <v>0.84063519999999903</v>
      </c>
      <c r="I6013">
        <v>-62.432009999999998</v>
      </c>
      <c r="J6013">
        <v>-254.2465</v>
      </c>
      <c r="K6013">
        <v>1.118852</v>
      </c>
      <c r="L6013">
        <v>-62.399380000000001</v>
      </c>
      <c r="M6013">
        <v>0.998336</v>
      </c>
      <c r="N6013">
        <v>-1.189834E-2</v>
      </c>
      <c r="O6013">
        <v>5.6427369999999998E-2</v>
      </c>
      <c r="P6013">
        <v>0.98724500000000004</v>
      </c>
      <c r="Q6013">
        <v>0.14817910000000001</v>
      </c>
      <c r="R6013">
        <v>5.8230440000000001E-2</v>
      </c>
      <c r="S6013">
        <v>3.2009120000000002</v>
      </c>
      <c r="T6013">
        <v>-1.052881</v>
      </c>
      <c r="U6013">
        <v>-9.4604489999999999E-2</v>
      </c>
      <c r="V6013">
        <v>-1.548895E-3</v>
      </c>
      <c r="W6013">
        <v>0.159946799999999</v>
      </c>
      <c r="X6013">
        <v>0.98712440000000001</v>
      </c>
      <c r="Y6013">
        <v>7.8831360000000003E-2</v>
      </c>
      <c r="Z6013">
        <v>-3.053316E-2</v>
      </c>
      <c r="AA6013">
        <v>0.99642030000000004</v>
      </c>
      <c r="AB6013">
        <v>31</v>
      </c>
      <c r="AC6013">
        <v>0.69499999999999296</v>
      </c>
      <c r="AD6013">
        <v>-0.27821679999999999</v>
      </c>
      <c r="AE6013">
        <v>-3.2629999999990299E-2</v>
      </c>
      <c r="AF6013">
        <v>6.1900136184946698E-2</v>
      </c>
      <c r="AG6013">
        <v>-0.27821679999999999</v>
      </c>
      <c r="AH6013">
        <v>0.596648696653301</v>
      </c>
      <c r="AI6013">
        <v>114.88233238301601</v>
      </c>
      <c r="AJ6013">
        <v>84.076960732959293</v>
      </c>
      <c r="AK6013">
        <v>0.66123058147671798</v>
      </c>
      <c r="AL6013">
        <v>80.796191491824899</v>
      </c>
      <c r="AM6013">
        <v>90.089902623799702</v>
      </c>
      <c r="AN6013">
        <v>0.99999997949066</v>
      </c>
    </row>
    <row r="6014" spans="1:40" x14ac:dyDescent="0.25">
      <c r="A6014" t="str">
        <f>"20190303162938190"</f>
        <v>20190303162938190</v>
      </c>
      <c r="B6014" t="str">
        <f>"1551601778187959"</f>
        <v>1551601778187959</v>
      </c>
      <c r="C6014" t="s">
        <v>40</v>
      </c>
      <c r="D6014">
        <v>5.3181589999999996</v>
      </c>
      <c r="E6014">
        <v>0.53403519999999904</v>
      </c>
      <c r="F6014" t="s">
        <v>44</v>
      </c>
      <c r="G6014">
        <v>-253.5343</v>
      </c>
      <c r="H6014">
        <v>0.88549489999999997</v>
      </c>
      <c r="I6014">
        <v>-62.420430000000003</v>
      </c>
      <c r="J6014">
        <v>-254.08330000000001</v>
      </c>
      <c r="K6014">
        <v>1.1188959999999999</v>
      </c>
      <c r="L6014">
        <v>-62.391449999999999</v>
      </c>
      <c r="M6014">
        <v>0.9984092</v>
      </c>
      <c r="N6014">
        <v>-1.1897019999999999E-2</v>
      </c>
      <c r="O6014">
        <v>5.5117869999999999E-2</v>
      </c>
      <c r="P6014">
        <v>0.9870295</v>
      </c>
      <c r="Q6014">
        <v>0.14965100000000001</v>
      </c>
      <c r="R6014">
        <v>5.8118030000000001E-2</v>
      </c>
      <c r="S6014">
        <v>3.2017359999999999</v>
      </c>
      <c r="T6014">
        <v>-1.048881</v>
      </c>
      <c r="U6014">
        <v>-9.375E-2</v>
      </c>
      <c r="V6014">
        <v>-2.7527390000000001E-3</v>
      </c>
      <c r="W6014">
        <v>0.161420799999999</v>
      </c>
      <c r="X6014">
        <v>0.98688189999999998</v>
      </c>
      <c r="Y6014">
        <v>7.7445860000000005E-2</v>
      </c>
      <c r="Z6014">
        <v>-2.9782690000000001E-2</v>
      </c>
      <c r="AA6014">
        <v>0.99655159999999998</v>
      </c>
      <c r="AB6014">
        <v>31</v>
      </c>
      <c r="AC6014">
        <v>0.54900000000000604</v>
      </c>
      <c r="AD6014">
        <v>-0.233401099999999</v>
      </c>
      <c r="AE6014">
        <v>-2.89800000000042E-2</v>
      </c>
      <c r="AF6014">
        <v>5.0157387388417699E-2</v>
      </c>
      <c r="AG6014">
        <v>-0.233401099999999</v>
      </c>
      <c r="AH6014">
        <v>0.46309870136763898</v>
      </c>
      <c r="AI6014">
        <v>116.61399488823299</v>
      </c>
      <c r="AJ6014">
        <v>83.818493091517993</v>
      </c>
      <c r="AK6014">
        <v>0.52101079086640401</v>
      </c>
      <c r="AL6014">
        <v>80.710626487740598</v>
      </c>
      <c r="AM6014">
        <v>90.159816405349602</v>
      </c>
      <c r="AN6014">
        <v>1.0000000683961201</v>
      </c>
    </row>
    <row r="6015" spans="1:40" x14ac:dyDescent="0.25">
      <c r="A6015" t="str">
        <f>"20190303162938203"</f>
        <v>20190303162938203</v>
      </c>
      <c r="B6015" t="str">
        <f>"1551601778197719"</f>
        <v>1551601778197719</v>
      </c>
      <c r="C6015" t="s">
        <v>40</v>
      </c>
      <c r="D6015">
        <v>5.0404489999999997</v>
      </c>
      <c r="E6015">
        <v>0.51515730000000004</v>
      </c>
      <c r="F6015" t="s">
        <v>44</v>
      </c>
      <c r="G6015">
        <v>-253.26740000000001</v>
      </c>
      <c r="H6015">
        <v>0.85339639999999894</v>
      </c>
      <c r="I6015">
        <v>-62.414909999999999</v>
      </c>
      <c r="J6015">
        <v>-253.9083</v>
      </c>
      <c r="K6015">
        <v>1.1189450000000001</v>
      </c>
      <c r="L6015">
        <v>-62.383090000000003</v>
      </c>
      <c r="M6015">
        <v>0.9984847</v>
      </c>
      <c r="N6015">
        <v>-1.1895630000000001E-2</v>
      </c>
      <c r="O6015">
        <v>5.373228E-2</v>
      </c>
      <c r="P6015">
        <v>0.9867785</v>
      </c>
      <c r="Q6015">
        <v>0.15125160000000001</v>
      </c>
      <c r="R6015">
        <v>5.8235700000000001E-2</v>
      </c>
      <c r="S6015">
        <v>3.2028660000000002</v>
      </c>
      <c r="T6015">
        <v>-1.042176</v>
      </c>
      <c r="U6015">
        <v>-9.1857910000000001E-2</v>
      </c>
      <c r="V6015">
        <v>-4.2645169999999998E-3</v>
      </c>
      <c r="W6015">
        <v>0.16302440000000001</v>
      </c>
      <c r="X6015">
        <v>0.98661290000000001</v>
      </c>
      <c r="Y6015">
        <v>7.5713879999999997E-2</v>
      </c>
      <c r="Z6015">
        <v>-2.8882270000000002E-2</v>
      </c>
      <c r="AA6015">
        <v>0.99671120000000002</v>
      </c>
      <c r="AB6015">
        <v>31</v>
      </c>
      <c r="AC6015">
        <v>0.64089999999998704</v>
      </c>
      <c r="AD6015">
        <v>-0.26554860000000002</v>
      </c>
      <c r="AE6015">
        <v>-3.1819999999996101E-2</v>
      </c>
      <c r="AF6015">
        <v>5.6532169204421598E-2</v>
      </c>
      <c r="AG6015">
        <v>-0.26554860000000002</v>
      </c>
      <c r="AH6015">
        <v>0.544941283152788</v>
      </c>
      <c r="AI6015">
        <v>115.859304452505</v>
      </c>
      <c r="AJ6015">
        <v>84.077325906177606</v>
      </c>
      <c r="AK6015">
        <v>0.60882916093196804</v>
      </c>
      <c r="AL6015">
        <v>80.617513704440995</v>
      </c>
      <c r="AM6015">
        <v>90.247652654977202</v>
      </c>
      <c r="AN6015">
        <v>1.0000000777735001</v>
      </c>
    </row>
    <row r="6016" spans="1:40" x14ac:dyDescent="0.25">
      <c r="A6016" t="str">
        <f>"20190303162938213"</f>
        <v>20190303162938213</v>
      </c>
      <c r="B6016" t="str">
        <f>"1551601778207478"</f>
        <v>1551601778207478</v>
      </c>
      <c r="C6016" t="s">
        <v>40</v>
      </c>
      <c r="D6016">
        <v>5.3222769999999997</v>
      </c>
      <c r="E6016">
        <v>0.51515730000000004</v>
      </c>
      <c r="F6016" t="s">
        <v>44</v>
      </c>
      <c r="G6016">
        <v>-252.959</v>
      </c>
      <c r="H6016">
        <v>0.92381760000000002</v>
      </c>
      <c r="I6016">
        <v>-62.365459999999999</v>
      </c>
      <c r="J6016">
        <v>-253.76300000000001</v>
      </c>
      <c r="K6016">
        <v>1.118994</v>
      </c>
      <c r="L6016">
        <v>-62.376429999999999</v>
      </c>
      <c r="M6016">
        <v>0.99854330000000002</v>
      </c>
      <c r="N6016">
        <v>-1.189429E-2</v>
      </c>
      <c r="O6016">
        <v>5.2631850000000001E-2</v>
      </c>
      <c r="P6016">
        <v>0.98660780000000003</v>
      </c>
      <c r="Q6016">
        <v>0.15221390000000001</v>
      </c>
      <c r="R6016">
        <v>5.8618150000000001E-2</v>
      </c>
      <c r="S6016">
        <v>3.135529</v>
      </c>
      <c r="T6016">
        <v>-0.64446949999999903</v>
      </c>
      <c r="U6016">
        <v>5.8532710000000002E-2</v>
      </c>
      <c r="V6016">
        <v>-5.7558560000000002E-3</v>
      </c>
      <c r="W6016">
        <v>0.16399059999999999</v>
      </c>
      <c r="X6016">
        <v>0.98644509999999996</v>
      </c>
      <c r="Y6016">
        <v>3.2298130000000001E-2</v>
      </c>
      <c r="Z6016">
        <v>-1.355863E-2</v>
      </c>
      <c r="AA6016">
        <v>0.99938629999999995</v>
      </c>
      <c r="AB6016">
        <v>31</v>
      </c>
      <c r="AC6016">
        <v>0.80400000000000205</v>
      </c>
      <c r="AD6016">
        <v>-0.1951764</v>
      </c>
      <c r="AE6016">
        <v>1.0970000000007399E-2</v>
      </c>
      <c r="AF6016">
        <v>2.96190510832352E-2</v>
      </c>
      <c r="AG6016">
        <v>-0.1951764</v>
      </c>
      <c r="AH6016">
        <v>0.75875704302004898</v>
      </c>
      <c r="AI6016">
        <v>104.415029284139</v>
      </c>
      <c r="AJ6016">
        <v>87.764521042628701</v>
      </c>
      <c r="AK6016">
        <v>0.78401745238008602</v>
      </c>
      <c r="AL6016">
        <v>80.5613985162028</v>
      </c>
      <c r="AM6016">
        <v>90.334314107961006</v>
      </c>
      <c r="AN6016">
        <v>0.99999999104033099</v>
      </c>
    </row>
    <row r="6017" spans="1:40" x14ac:dyDescent="0.25">
      <c r="A6017" t="str">
        <f>"20190303162938225"</f>
        <v>20190303162938225</v>
      </c>
      <c r="B6017" t="str">
        <f>"1551601778218214"</f>
        <v>1551601778218214</v>
      </c>
      <c r="C6017" t="s">
        <v>40</v>
      </c>
      <c r="D6017">
        <v>5.3858249999999996</v>
      </c>
      <c r="E6017">
        <v>0.48868250000000002</v>
      </c>
      <c r="F6017" t="s">
        <v>44</v>
      </c>
      <c r="G6017">
        <v>-252.946</v>
      </c>
      <c r="H6017">
        <v>0.95183779999999996</v>
      </c>
      <c r="I6017">
        <v>-62.360599999999998</v>
      </c>
      <c r="J6017">
        <v>-253.60659999999999</v>
      </c>
      <c r="K6017">
        <v>1.1190439999999999</v>
      </c>
      <c r="L6017">
        <v>-62.369320000000002</v>
      </c>
      <c r="M6017">
        <v>0.99860439999999995</v>
      </c>
      <c r="N6017">
        <v>-1.18929E-2</v>
      </c>
      <c r="O6017">
        <v>5.1455439999999998E-2</v>
      </c>
      <c r="P6017">
        <v>0.98646270000000003</v>
      </c>
      <c r="Q6017">
        <v>0.15317030000000001</v>
      </c>
      <c r="R6017">
        <v>5.8567010000000003E-2</v>
      </c>
      <c r="S6017">
        <v>3.1360929999999998</v>
      </c>
      <c r="T6017">
        <v>-0.64160779999999995</v>
      </c>
      <c r="U6017">
        <v>6.1126710000000001E-2</v>
      </c>
      <c r="V6017">
        <v>-6.8897469999999999E-3</v>
      </c>
      <c r="W6017">
        <v>0.1649487</v>
      </c>
      <c r="X6017">
        <v>0.98627810000000005</v>
      </c>
      <c r="Y6017">
        <v>3.037718E-2</v>
      </c>
      <c r="Z6017">
        <v>-1.3065129999999999E-2</v>
      </c>
      <c r="AA6017">
        <v>0.99945309999999998</v>
      </c>
      <c r="AB6017">
        <v>31</v>
      </c>
      <c r="AC6017">
        <v>0.66059999999998797</v>
      </c>
      <c r="AD6017">
        <v>-0.1672062</v>
      </c>
      <c r="AE6017">
        <v>8.7199999999967304E-3</v>
      </c>
      <c r="AF6017">
        <v>2.37632709293812E-2</v>
      </c>
      <c r="AG6017">
        <v>-0.1672062</v>
      </c>
      <c r="AH6017">
        <v>0.62043183494489795</v>
      </c>
      <c r="AI6017">
        <v>105.072306968102</v>
      </c>
      <c r="AJ6017">
        <v>87.806576228560701</v>
      </c>
      <c r="AK6017">
        <v>0.64300720694001201</v>
      </c>
      <c r="AL6017">
        <v>80.505745795902598</v>
      </c>
      <c r="AM6017">
        <v>90.400239044197306</v>
      </c>
      <c r="AN6017">
        <v>1.00000001639251</v>
      </c>
    </row>
    <row r="6018" spans="1:40" x14ac:dyDescent="0.25">
      <c r="A6018" t="str">
        <f>"20190303162938235"</f>
        <v>20190303162938235</v>
      </c>
      <c r="B6018" t="str">
        <f>"1551601778227974"</f>
        <v>1551601778227974</v>
      </c>
      <c r="C6018" t="s">
        <v>40</v>
      </c>
      <c r="D6018">
        <v>5.3202949999999998</v>
      </c>
      <c r="E6018">
        <v>0.4867281</v>
      </c>
      <c r="F6018" t="s">
        <v>68</v>
      </c>
      <c r="G6018">
        <v>-210.94</v>
      </c>
      <c r="H6018" s="1">
        <v>2.2921319999999999E-7</v>
      </c>
      <c r="I6018">
        <v>-58.586790000000001</v>
      </c>
      <c r="J6018">
        <v>-253.45439999999999</v>
      </c>
      <c r="K6018">
        <v>1.119095</v>
      </c>
      <c r="L6018">
        <v>-62.362609999999997</v>
      </c>
      <c r="M6018">
        <v>0.99866069999999996</v>
      </c>
      <c r="N6018">
        <v>-1.189135E-2</v>
      </c>
      <c r="O6018">
        <v>5.0355589999999999E-2</v>
      </c>
      <c r="P6018">
        <v>0.98638599999999999</v>
      </c>
      <c r="Q6018">
        <v>0.15367800000000001</v>
      </c>
      <c r="R6018">
        <v>5.8531189999999997E-2</v>
      </c>
      <c r="S6018">
        <v>3.0375670000000001</v>
      </c>
      <c r="T6018">
        <v>-7.9668279999999994E-2</v>
      </c>
      <c r="U6018">
        <v>0.269287099999999</v>
      </c>
      <c r="V6018">
        <v>-7.9622670000000003E-3</v>
      </c>
      <c r="W6018">
        <v>0.16545850000000001</v>
      </c>
      <c r="X6018">
        <v>0.98618459999999997</v>
      </c>
      <c r="Y6018">
        <v>-3.8017670000000003E-2</v>
      </c>
      <c r="Z6018" s="1">
        <v>5.4096449999999996E-6</v>
      </c>
      <c r="AA6018">
        <v>0.99927710000000003</v>
      </c>
      <c r="AB6018">
        <v>31</v>
      </c>
      <c r="AC6018">
        <v>42.514400000000002</v>
      </c>
      <c r="AD6018">
        <v>-1.1190947707868</v>
      </c>
      <c r="AE6018">
        <v>3.7758199999999902</v>
      </c>
      <c r="AF6018">
        <v>-1.62892054617118</v>
      </c>
      <c r="AG6018">
        <v>-1.1190947707868</v>
      </c>
      <c r="AH6018">
        <v>42.6213030794529</v>
      </c>
      <c r="AI6018">
        <v>91.5029557796897</v>
      </c>
      <c r="AJ6018">
        <v>92.188691206650404</v>
      </c>
      <c r="AK6018">
        <v>42.6670977621202</v>
      </c>
      <c r="AL6018">
        <v>80.476129201601097</v>
      </c>
      <c r="AM6018">
        <v>90.462585181386004</v>
      </c>
      <c r="AN6018">
        <v>0.99999998909759402</v>
      </c>
    </row>
    <row r="6019" spans="1:40" x14ac:dyDescent="0.25">
      <c r="A6019" t="str">
        <f>"20190303162938246"</f>
        <v>20190303162938246</v>
      </c>
      <c r="B6019" t="str">
        <f>"1551601778237734"</f>
        <v>1551601778237734</v>
      </c>
      <c r="C6019" t="s">
        <v>40</v>
      </c>
      <c r="D6019">
        <v>5.3072869999999996</v>
      </c>
      <c r="E6019">
        <v>0.48728929999999998</v>
      </c>
      <c r="F6019" t="s">
        <v>57</v>
      </c>
      <c r="G6019">
        <v>-200.3741</v>
      </c>
      <c r="H6019" s="1">
        <v>-6.0360100000000002E-6</v>
      </c>
      <c r="I6019">
        <v>-57.378799999999998</v>
      </c>
      <c r="J6019">
        <v>-253.30529999999999</v>
      </c>
      <c r="K6019">
        <v>1.1191409999999999</v>
      </c>
      <c r="L6019">
        <v>-62.356079999999999</v>
      </c>
      <c r="M6019">
        <v>0.99871350000000003</v>
      </c>
      <c r="N6019">
        <v>-1.188986E-2</v>
      </c>
      <c r="O6019">
        <v>4.9296699999999999E-2</v>
      </c>
      <c r="P6019">
        <v>0.98634480000000002</v>
      </c>
      <c r="Q6019">
        <v>0.15391270000000001</v>
      </c>
      <c r="R6019">
        <v>5.8608819999999999E-2</v>
      </c>
      <c r="S6019">
        <v>3.0344699999999998</v>
      </c>
      <c r="T6019">
        <v>-6.3976169999999999E-2</v>
      </c>
      <c r="U6019">
        <v>0.284912099999999</v>
      </c>
      <c r="V6019">
        <v>-9.1074180000000008E-3</v>
      </c>
      <c r="W6019">
        <v>0.1656955</v>
      </c>
      <c r="X6019">
        <v>0.98613490000000004</v>
      </c>
      <c r="Y6019">
        <v>-4.4269559999999999E-2</v>
      </c>
      <c r="Z6019">
        <v>2.7874040000000001E-4</v>
      </c>
      <c r="AA6019">
        <v>0.99901960000000001</v>
      </c>
      <c r="AB6019">
        <v>31</v>
      </c>
      <c r="AC6019">
        <v>52.931199999999897</v>
      </c>
      <c r="AD6019">
        <v>-1.11914703601</v>
      </c>
      <c r="AE6019">
        <v>4.9772800000000004</v>
      </c>
      <c r="AF6019">
        <v>-2.3606638891998801</v>
      </c>
      <c r="AG6019">
        <v>-1.11914703601</v>
      </c>
      <c r="AH6019">
        <v>53.088691823354097</v>
      </c>
      <c r="AI6019">
        <v>91.2064647312137</v>
      </c>
      <c r="AJ6019">
        <v>92.546060810506503</v>
      </c>
      <c r="AK6019">
        <v>53.152934289661196</v>
      </c>
      <c r="AL6019">
        <v>80.462360075832606</v>
      </c>
      <c r="AM6019">
        <v>90.529138334419599</v>
      </c>
      <c r="AN6019">
        <v>0.99999999239044302</v>
      </c>
    </row>
    <row r="6020" spans="1:40" x14ac:dyDescent="0.25">
      <c r="A6020" t="str">
        <f>"20190303162938257"</f>
        <v>20190303162938257</v>
      </c>
      <c r="B6020" t="str">
        <f>"1551601778247494"</f>
        <v>1551601778247494</v>
      </c>
      <c r="C6020" t="s">
        <v>40</v>
      </c>
      <c r="D6020">
        <v>5.2886980000000001</v>
      </c>
      <c r="E6020">
        <v>0.4882843</v>
      </c>
      <c r="F6020" t="s">
        <v>57</v>
      </c>
      <c r="G6020">
        <v>-204.81489999999999</v>
      </c>
      <c r="H6020" s="1">
        <v>-3.806826E-6</v>
      </c>
      <c r="I6020">
        <v>-57.869540000000001</v>
      </c>
      <c r="J6020">
        <v>-253.15280000000001</v>
      </c>
      <c r="K6020">
        <v>1.1191960000000001</v>
      </c>
      <c r="L6020">
        <v>-62.349609999999998</v>
      </c>
      <c r="M6020">
        <v>0.99876450000000006</v>
      </c>
      <c r="N6020">
        <v>-1.1888259999999999E-2</v>
      </c>
      <c r="O6020">
        <v>4.8255840000000001E-2</v>
      </c>
      <c r="P6020">
        <v>0.98627949999999998</v>
      </c>
      <c r="Q6020">
        <v>0.15443080000000001</v>
      </c>
      <c r="R6020">
        <v>5.8346160000000001E-2</v>
      </c>
      <c r="S6020">
        <v>3.0357820000000002</v>
      </c>
      <c r="T6020">
        <v>-7.0065020000000006E-2</v>
      </c>
      <c r="U6020">
        <v>0.28088380000000002</v>
      </c>
      <c r="V6020">
        <v>-9.8965219999999996E-3</v>
      </c>
      <c r="W6020">
        <v>0.16621320000000001</v>
      </c>
      <c r="X6020">
        <v>0.98604020000000003</v>
      </c>
      <c r="Y6020">
        <v>-4.3954890000000003E-2</v>
      </c>
      <c r="Z6020">
        <v>2.30635E-4</v>
      </c>
      <c r="AA6020">
        <v>0.99903350000000002</v>
      </c>
      <c r="AB6020">
        <v>31</v>
      </c>
      <c r="AC6020">
        <v>48.337899999999998</v>
      </c>
      <c r="AD6020">
        <v>-1.1191998068259901</v>
      </c>
      <c r="AE6020">
        <v>4.4800699999999898</v>
      </c>
      <c r="AF6020">
        <v>-2.1409617869229001</v>
      </c>
      <c r="AG6020">
        <v>-1.1191998068259901</v>
      </c>
      <c r="AH6020">
        <v>48.472019411160197</v>
      </c>
      <c r="AI6020">
        <v>91.321414033294701</v>
      </c>
      <c r="AJ6020">
        <v>92.529054866413205</v>
      </c>
      <c r="AK6020">
        <v>48.532185108199599</v>
      </c>
      <c r="AL6020">
        <v>80.432281247014998</v>
      </c>
      <c r="AM6020">
        <v>90.575037309753696</v>
      </c>
      <c r="AN6020">
        <v>1.00000002250898</v>
      </c>
    </row>
    <row r="6021" spans="1:40" x14ac:dyDescent="0.25">
      <c r="A6021" t="str">
        <f>"20190303162938269"</f>
        <v>20190303162938269</v>
      </c>
      <c r="B6021" t="str">
        <f>"1551601778258229"</f>
        <v>1551601778258229</v>
      </c>
      <c r="C6021" t="s">
        <v>40</v>
      </c>
      <c r="D6021">
        <v>5.3485620000000003</v>
      </c>
      <c r="E6021">
        <v>0.4891452</v>
      </c>
      <c r="F6021" t="s">
        <v>68</v>
      </c>
      <c r="G6021">
        <v>-210.82339999999999</v>
      </c>
      <c r="H6021" s="1">
        <v>2.6094829999999999E-7</v>
      </c>
      <c r="I6021">
        <v>-58.556930000000001</v>
      </c>
      <c r="J6021">
        <v>-252.98519999999999</v>
      </c>
      <c r="K6021">
        <v>1.1192610000000001</v>
      </c>
      <c r="L6021">
        <v>-62.342649999999999</v>
      </c>
      <c r="M6021">
        <v>0.99881710000000001</v>
      </c>
      <c r="N6021">
        <v>-1.1886499999999999E-2</v>
      </c>
      <c r="O6021">
        <v>4.7151419999999999E-2</v>
      </c>
      <c r="P6021">
        <v>0.98621250000000005</v>
      </c>
      <c r="Q6021">
        <v>0.15501609999999999</v>
      </c>
      <c r="R6021">
        <v>5.7924959999999998E-2</v>
      </c>
      <c r="S6021">
        <v>3.038208</v>
      </c>
      <c r="T6021">
        <v>-8.0330730000000003E-2</v>
      </c>
      <c r="U6021">
        <v>0.27221679999999998</v>
      </c>
      <c r="V6021">
        <v>-1.0593679999999999E-2</v>
      </c>
      <c r="W6021">
        <v>0.16679720000000001</v>
      </c>
      <c r="X6021">
        <v>0.98593430000000004</v>
      </c>
      <c r="Y6021">
        <v>-4.2158170000000002E-2</v>
      </c>
      <c r="Z6021">
        <v>1.2403420000000001E-4</v>
      </c>
      <c r="AA6021">
        <v>0.99911090000000002</v>
      </c>
      <c r="AB6021">
        <v>31</v>
      </c>
      <c r="AC6021">
        <v>42.161799999999999</v>
      </c>
      <c r="AD6021">
        <v>-1.1192607390517</v>
      </c>
      <c r="AE6021">
        <v>3.7857199999999902</v>
      </c>
      <c r="AF6021">
        <v>-1.79212683033492</v>
      </c>
      <c r="AG6021">
        <v>-1.1192607390517</v>
      </c>
      <c r="AH6021">
        <v>42.2638672189156</v>
      </c>
      <c r="AI6021">
        <v>91.515630252330695</v>
      </c>
      <c r="AJ6021">
        <v>92.428074739496196</v>
      </c>
      <c r="AK6021">
        <v>42.316650806462903</v>
      </c>
      <c r="AL6021">
        <v>80.398346471834998</v>
      </c>
      <c r="AM6021">
        <v>90.615608764777605</v>
      </c>
      <c r="AN6021">
        <v>0.999999987950136</v>
      </c>
    </row>
    <row r="6022" spans="1:40" x14ac:dyDescent="0.25">
      <c r="A6022" t="str">
        <f>"20190303162938280"</f>
        <v>20190303162938280</v>
      </c>
      <c r="B6022" t="str">
        <f>"1551601778267990"</f>
        <v>1551601778267990</v>
      </c>
      <c r="C6022" t="s">
        <v>40</v>
      </c>
      <c r="D6022">
        <v>5.343553</v>
      </c>
      <c r="E6022">
        <v>0.48959570000000002</v>
      </c>
      <c r="F6022" t="s">
        <v>68</v>
      </c>
      <c r="G6022">
        <v>-215.3939</v>
      </c>
      <c r="H6022" s="1">
        <v>-1.5144709999999999E-6</v>
      </c>
      <c r="I6022">
        <v>-59.078699999999998</v>
      </c>
      <c r="J6022">
        <v>-252.8322</v>
      </c>
      <c r="K6022">
        <v>1.1193219999999999</v>
      </c>
      <c r="L6022">
        <v>-62.336399999999998</v>
      </c>
      <c r="M6022">
        <v>0.99886269999999999</v>
      </c>
      <c r="N6022">
        <v>-1.188491E-2</v>
      </c>
      <c r="O6022">
        <v>4.6176340000000003E-2</v>
      </c>
      <c r="P6022">
        <v>0.98616939999999997</v>
      </c>
      <c r="Q6022">
        <v>0.15549470000000001</v>
      </c>
      <c r="R6022">
        <v>5.7371310000000002E-2</v>
      </c>
      <c r="S6022">
        <v>3.0406650000000002</v>
      </c>
      <c r="T6022">
        <v>-9.0534329999999996E-2</v>
      </c>
      <c r="U6022">
        <v>0.26400759999999901</v>
      </c>
      <c r="V6022">
        <v>-1.1028110000000001E-2</v>
      </c>
      <c r="W6022">
        <v>0.16727339999999999</v>
      </c>
      <c r="X6022">
        <v>0.98584879999999997</v>
      </c>
      <c r="Y6022">
        <v>-4.0383799999999997E-2</v>
      </c>
      <c r="Z6022" s="1">
        <v>1.7651649999999999E-5</v>
      </c>
      <c r="AA6022">
        <v>0.99918430000000003</v>
      </c>
      <c r="AB6022">
        <v>31</v>
      </c>
      <c r="AC6022">
        <v>37.438299999999998</v>
      </c>
      <c r="AD6022">
        <v>-1.1193235144710001</v>
      </c>
      <c r="AE6022">
        <v>3.2576999999999998</v>
      </c>
      <c r="AF6022">
        <v>-1.5239869042143099</v>
      </c>
      <c r="AG6022">
        <v>-1.1193235144710001</v>
      </c>
      <c r="AH6022">
        <v>37.515515995825801</v>
      </c>
      <c r="AI6022">
        <v>91.707578519276296</v>
      </c>
      <c r="AJ6022">
        <v>92.326238401675894</v>
      </c>
      <c r="AK6022">
        <v>37.563138335971402</v>
      </c>
      <c r="AL6022">
        <v>80.3706729061781</v>
      </c>
      <c r="AM6022">
        <v>90.640907413703005</v>
      </c>
      <c r="AN6022">
        <v>0.99999993300958301</v>
      </c>
    </row>
    <row r="6023" spans="1:40" x14ac:dyDescent="0.25">
      <c r="A6023" t="str">
        <f>"20190303162938292"</f>
        <v>20190303162938292</v>
      </c>
      <c r="B6023" t="str">
        <f>"1551601778277750"</f>
        <v>1551601778277750</v>
      </c>
      <c r="C6023" t="s">
        <v>40</v>
      </c>
      <c r="D6023">
        <v>5.2248390000000002</v>
      </c>
      <c r="E6023">
        <v>0.48992380000000002</v>
      </c>
      <c r="F6023" t="s">
        <v>68</v>
      </c>
      <c r="G6023">
        <v>-217.5231</v>
      </c>
      <c r="H6023" s="1">
        <v>-2.3829690000000001E-6</v>
      </c>
      <c r="I6023">
        <v>-59.332050000000002</v>
      </c>
      <c r="J6023">
        <v>-252.67250000000001</v>
      </c>
      <c r="K6023">
        <v>1.119389</v>
      </c>
      <c r="L6023">
        <v>-62.330019999999998</v>
      </c>
      <c r="M6023">
        <v>0.99890650000000003</v>
      </c>
      <c r="N6023">
        <v>-1.1883100000000001E-2</v>
      </c>
      <c r="O6023">
        <v>4.5216880000000001E-2</v>
      </c>
      <c r="P6023">
        <v>0.98615189999999997</v>
      </c>
      <c r="Q6023">
        <v>0.15598989999999999</v>
      </c>
      <c r="R6023">
        <v>5.6317100000000002E-2</v>
      </c>
      <c r="S6023">
        <v>3.0422359999999999</v>
      </c>
      <c r="T6023">
        <v>-9.6441150000000003E-2</v>
      </c>
      <c r="U6023">
        <v>0.25885010000000003</v>
      </c>
      <c r="V6023">
        <v>-1.0948680000000001E-2</v>
      </c>
      <c r="W6023">
        <v>0.1677642</v>
      </c>
      <c r="X6023">
        <v>0.98576640000000004</v>
      </c>
      <c r="Y6023">
        <v>-3.9616739999999998E-2</v>
      </c>
      <c r="Z6023" s="1">
        <v>-3.018588E-5</v>
      </c>
      <c r="AA6023">
        <v>0.99921490000000002</v>
      </c>
      <c r="AB6023">
        <v>31</v>
      </c>
      <c r="AC6023">
        <v>35.1494</v>
      </c>
      <c r="AD6023">
        <v>-1.1193913829690001</v>
      </c>
      <c r="AE6023">
        <v>2.9979699999999898</v>
      </c>
      <c r="AF6023">
        <v>-1.4040310738708199</v>
      </c>
      <c r="AG6023">
        <v>-1.1193913829690001</v>
      </c>
      <c r="AH6023">
        <v>35.2135562959485</v>
      </c>
      <c r="AI6023">
        <v>91.819297711087302</v>
      </c>
      <c r="AJ6023">
        <v>92.283281618291099</v>
      </c>
      <c r="AK6023">
        <v>35.259309229373599</v>
      </c>
      <c r="AL6023">
        <v>80.342150181562602</v>
      </c>
      <c r="AM6023">
        <v>90.636344839876401</v>
      </c>
      <c r="AN6023">
        <v>1.00000004788217</v>
      </c>
    </row>
    <row r="6024" spans="1:40" x14ac:dyDescent="0.25">
      <c r="A6024" t="str">
        <f>"20190303162938304"</f>
        <v>20190303162938304</v>
      </c>
      <c r="B6024" t="str">
        <f>"1551601778298246"</f>
        <v>1551601778298246</v>
      </c>
      <c r="C6024" t="s">
        <v>40</v>
      </c>
      <c r="D6024">
        <v>5.336506</v>
      </c>
      <c r="E6024">
        <v>0.49091190000000001</v>
      </c>
      <c r="F6024" t="s">
        <v>68</v>
      </c>
      <c r="G6024">
        <v>-218.85069999999999</v>
      </c>
      <c r="H6024" s="1">
        <v>-2.9196430000000001E-6</v>
      </c>
      <c r="I6024">
        <v>-59.517249999999997</v>
      </c>
      <c r="J6024">
        <v>-252.50880000000001</v>
      </c>
      <c r="K6024">
        <v>1.1194599999999999</v>
      </c>
      <c r="L6024">
        <v>-62.32349</v>
      </c>
      <c r="M6024">
        <v>0.9989498</v>
      </c>
      <c r="N6024">
        <v>-1.1881310000000001E-2</v>
      </c>
      <c r="O6024">
        <v>4.425449E-2</v>
      </c>
      <c r="P6024">
        <v>0.98612829999999996</v>
      </c>
      <c r="Q6024">
        <v>0.15646209999999999</v>
      </c>
      <c r="R6024">
        <v>5.5413839999999999E-2</v>
      </c>
      <c r="S6024">
        <v>3.0435940000000001</v>
      </c>
      <c r="T6024">
        <v>-0.100733</v>
      </c>
      <c r="U6024">
        <v>0.25311280000000003</v>
      </c>
      <c r="V6024">
        <v>-1.102535E-2</v>
      </c>
      <c r="W6024">
        <v>0.16823189999999999</v>
      </c>
      <c r="X6024">
        <v>0.98568579999999995</v>
      </c>
      <c r="Y6024">
        <v>-3.867106E-2</v>
      </c>
      <c r="Z6024" s="1">
        <v>-6.6648909999999999E-5</v>
      </c>
      <c r="AA6024">
        <v>0.99925200000000003</v>
      </c>
      <c r="AB6024">
        <v>31</v>
      </c>
      <c r="AC6024">
        <v>33.658099999999997</v>
      </c>
      <c r="AD6024">
        <v>-1.1194629196429999</v>
      </c>
      <c r="AE6024">
        <v>2.8062399999999998</v>
      </c>
      <c r="AF6024">
        <v>-1.31242156032087</v>
      </c>
      <c r="AG6024">
        <v>-1.1194629196429999</v>
      </c>
      <c r="AH6024">
        <v>33.7122820038906</v>
      </c>
      <c r="AI6024">
        <v>91.900448198225803</v>
      </c>
      <c r="AJ6024">
        <v>92.229403009807299</v>
      </c>
      <c r="AK6024">
        <v>33.756386143814296</v>
      </c>
      <c r="AL6024">
        <v>80.314966258148104</v>
      </c>
      <c r="AM6024">
        <v>90.640852977115102</v>
      </c>
      <c r="AN6024">
        <v>1.0000000134209299</v>
      </c>
    </row>
    <row r="6025" spans="1:40" x14ac:dyDescent="0.25">
      <c r="A6025" t="str">
        <f>"20190303162938325"</f>
        <v>20190303162938325</v>
      </c>
      <c r="B6025" t="str">
        <f>"1551601778317765"</f>
        <v>1551601778317765</v>
      </c>
      <c r="C6025" t="s">
        <v>40</v>
      </c>
      <c r="D6025">
        <v>5.2802860000000003</v>
      </c>
      <c r="E6025">
        <v>0.4911915</v>
      </c>
      <c r="F6025" t="s">
        <v>67</v>
      </c>
      <c r="G6025">
        <v>-221.1764</v>
      </c>
      <c r="H6025" s="1">
        <v>2.5422579999999998E-7</v>
      </c>
      <c r="I6025">
        <v>-59.827100000000002</v>
      </c>
      <c r="J6025">
        <v>-252.20699999999999</v>
      </c>
      <c r="K6025">
        <v>1.119599</v>
      </c>
      <c r="L6025">
        <v>-62.311950000000003</v>
      </c>
      <c r="M6025">
        <v>0.99901980000000001</v>
      </c>
      <c r="N6025">
        <v>-1.18779E-2</v>
      </c>
      <c r="O6025">
        <v>4.2642119999999999E-2</v>
      </c>
      <c r="P6025">
        <v>0.98614939999999995</v>
      </c>
      <c r="Q6025">
        <v>0.15724369999999999</v>
      </c>
      <c r="R6025">
        <v>5.276165E-2</v>
      </c>
      <c r="S6025">
        <v>3.0458370000000001</v>
      </c>
      <c r="T6025">
        <v>-0.1088234</v>
      </c>
      <c r="U6025">
        <v>0.2426758</v>
      </c>
      <c r="V6025">
        <v>-1.0020060000000001E-2</v>
      </c>
      <c r="W6025">
        <v>0.16900079999999901</v>
      </c>
      <c r="X6025">
        <v>0.98556489999999997</v>
      </c>
      <c r="Y6025">
        <v>-3.6821109999999997E-2</v>
      </c>
      <c r="Z6025">
        <v>-1.3806150000000001E-4</v>
      </c>
      <c r="AA6025">
        <v>0.99932189999999999</v>
      </c>
      <c r="AB6025">
        <v>31</v>
      </c>
      <c r="AC6025">
        <v>31.0306</v>
      </c>
      <c r="AD6025">
        <v>-1.1195987457742</v>
      </c>
      <c r="AE6025">
        <v>2.4848499999999998</v>
      </c>
      <c r="AF6025">
        <v>-1.15778795935141</v>
      </c>
      <c r="AG6025">
        <v>-1.1195987457742</v>
      </c>
      <c r="AH6025">
        <v>31.068150831356199</v>
      </c>
      <c r="AI6025">
        <v>92.062436761252101</v>
      </c>
      <c r="AJ6025">
        <v>92.134201070786901</v>
      </c>
      <c r="AK6025">
        <v>31.1098693406169</v>
      </c>
      <c r="AL6025">
        <v>80.270270685885095</v>
      </c>
      <c r="AM6025">
        <v>90.582495753434401</v>
      </c>
      <c r="AN6025">
        <v>0.99999992205752297</v>
      </c>
    </row>
    <row r="6026" spans="1:40" x14ac:dyDescent="0.25">
      <c r="A6026" t="str">
        <f>"20190303162938335"</f>
        <v>20190303162938335</v>
      </c>
      <c r="B6026" t="str">
        <f>"1551601778327525"</f>
        <v>1551601778327525</v>
      </c>
      <c r="C6026" t="s">
        <v>40</v>
      </c>
      <c r="D6026">
        <v>5.3355319999999997</v>
      </c>
      <c r="E6026">
        <v>0.49134450000000002</v>
      </c>
      <c r="F6026" t="s">
        <v>67</v>
      </c>
      <c r="G6026">
        <v>-222.8022</v>
      </c>
      <c r="H6026" s="1">
        <v>-3.9133289999999998E-7</v>
      </c>
      <c r="I6026">
        <v>-60.061889999999998</v>
      </c>
      <c r="J6026">
        <v>-252.0583</v>
      </c>
      <c r="K6026">
        <v>1.119664</v>
      </c>
      <c r="L6026">
        <v>-62.306339999999999</v>
      </c>
      <c r="M6026">
        <v>0.99905080000000002</v>
      </c>
      <c r="N6026">
        <v>-1.187618E-2</v>
      </c>
      <c r="O6026">
        <v>4.191023E-2</v>
      </c>
      <c r="P6026">
        <v>0.98614120000000005</v>
      </c>
      <c r="Q6026">
        <v>0.15760969999999999</v>
      </c>
      <c r="R6026">
        <v>5.1816910000000001E-2</v>
      </c>
      <c r="S6026">
        <v>3.0481569999999998</v>
      </c>
      <c r="T6026">
        <v>-0.1160598</v>
      </c>
      <c r="U6026">
        <v>0.2332458</v>
      </c>
      <c r="V6026">
        <v>-9.8258210000000002E-3</v>
      </c>
      <c r="W6026">
        <v>0.1693627</v>
      </c>
      <c r="X6026">
        <v>0.98550479999999996</v>
      </c>
      <c r="Y6026">
        <v>-3.4420899999999997E-2</v>
      </c>
      <c r="Z6026">
        <v>-2.35749E-4</v>
      </c>
      <c r="AA6026">
        <v>0.99940739999999995</v>
      </c>
      <c r="AB6026">
        <v>31</v>
      </c>
      <c r="AC6026">
        <v>29.2561</v>
      </c>
      <c r="AD6026">
        <v>-1.1196643913328901</v>
      </c>
      <c r="AE6026">
        <v>2.2444500000000001</v>
      </c>
      <c r="AF6026">
        <v>-1.01478371607527</v>
      </c>
      <c r="AG6026">
        <v>-1.1196643913328901</v>
      </c>
      <c r="AH6026">
        <v>29.2818258662586</v>
      </c>
      <c r="AI6026">
        <v>92.188469151262495</v>
      </c>
      <c r="AJ6026">
        <v>91.984834011139995</v>
      </c>
      <c r="AK6026">
        <v>29.320790582819001</v>
      </c>
      <c r="AL6026">
        <v>80.249232744549801</v>
      </c>
      <c r="AM6026">
        <v>90.571239652887101</v>
      </c>
      <c r="AN6026">
        <v>0.99999999086632696</v>
      </c>
    </row>
    <row r="6027" spans="1:40" x14ac:dyDescent="0.25">
      <c r="A6027" t="str">
        <f>"20190303162938347"</f>
        <v>20190303162938347</v>
      </c>
      <c r="B6027" t="str">
        <f>"1551601778338263"</f>
        <v>1551601778338263</v>
      </c>
      <c r="C6027" t="s">
        <v>40</v>
      </c>
      <c r="D6027">
        <v>5.1559200000000001</v>
      </c>
      <c r="E6027">
        <v>0.4914502</v>
      </c>
      <c r="F6027" t="s">
        <v>67</v>
      </c>
      <c r="G6027">
        <v>-223.30930000000001</v>
      </c>
      <c r="H6027" s="1">
        <v>-5.9102749999999995E-7</v>
      </c>
      <c r="I6027">
        <v>-60.142519999999998</v>
      </c>
      <c r="J6027">
        <v>-251.90379999999999</v>
      </c>
      <c r="K6027">
        <v>1.1197319999999999</v>
      </c>
      <c r="L6027">
        <v>-62.300629999999998</v>
      </c>
      <c r="M6027">
        <v>0.99908169999999996</v>
      </c>
      <c r="N6027">
        <v>-1.18745E-2</v>
      </c>
      <c r="O6027">
        <v>4.1171619999999999E-2</v>
      </c>
      <c r="P6027">
        <v>0.98616809999999999</v>
      </c>
      <c r="Q6027">
        <v>0.15775400000000001</v>
      </c>
      <c r="R6027">
        <v>5.0855539999999998E-2</v>
      </c>
      <c r="S6027">
        <v>3.0490879999999998</v>
      </c>
      <c r="T6027">
        <v>-0.11875049999999999</v>
      </c>
      <c r="U6027">
        <v>0.22949220000000001</v>
      </c>
      <c r="V6027">
        <v>-9.6202309999999999E-3</v>
      </c>
      <c r="W6027">
        <v>0.16950229999999999</v>
      </c>
      <c r="X6027">
        <v>0.98548279999999999</v>
      </c>
      <c r="Y6027">
        <v>-3.3913110000000003E-2</v>
      </c>
      <c r="Z6027">
        <v>-2.503141E-4</v>
      </c>
      <c r="AA6027">
        <v>0.9994248</v>
      </c>
      <c r="AB6027">
        <v>31</v>
      </c>
      <c r="AC6027">
        <v>28.594499999999901</v>
      </c>
      <c r="AD6027">
        <v>-1.1197325910275</v>
      </c>
      <c r="AE6027">
        <v>2.1581100000000002</v>
      </c>
      <c r="AF6027">
        <v>-0.97742484397496598</v>
      </c>
      <c r="AG6027">
        <v>-1.1197325910275</v>
      </c>
      <c r="AH6027">
        <v>28.615478872175999</v>
      </c>
      <c r="AI6027">
        <v>92.239553676221306</v>
      </c>
      <c r="AJ6027">
        <v>91.956303239118</v>
      </c>
      <c r="AK6027">
        <v>28.654053665842401</v>
      </c>
      <c r="AL6027">
        <v>80.241116646791397</v>
      </c>
      <c r="AM6027">
        <v>90.559300605048506</v>
      </c>
      <c r="AN6027">
        <v>0.99999996382281098</v>
      </c>
    </row>
    <row r="6028" spans="1:40" x14ac:dyDescent="0.25">
      <c r="A6028" t="str">
        <f>"20190303162938357"</f>
        <v>20190303162938357</v>
      </c>
      <c r="B6028" t="str">
        <f>"1551601778348023"</f>
        <v>1551601778348023</v>
      </c>
      <c r="C6028" t="s">
        <v>40</v>
      </c>
      <c r="D6028">
        <v>5.2739029999999998</v>
      </c>
      <c r="E6028">
        <v>0.49148649999999999</v>
      </c>
      <c r="F6028" t="s">
        <v>67</v>
      </c>
      <c r="G6028">
        <v>-223.9889</v>
      </c>
      <c r="H6028" s="1">
        <v>-8.6284189999999997E-7</v>
      </c>
      <c r="I6028">
        <v>-60.231789999999997</v>
      </c>
      <c r="J6028">
        <v>-251.7475</v>
      </c>
      <c r="K6028">
        <v>1.119794</v>
      </c>
      <c r="L6028">
        <v>-62.294919999999998</v>
      </c>
      <c r="M6028">
        <v>0.99911030000000001</v>
      </c>
      <c r="N6028">
        <v>-1.1872890000000001E-2</v>
      </c>
      <c r="O6028">
        <v>4.0468469999999999E-2</v>
      </c>
      <c r="P6028">
        <v>0.98621820000000004</v>
      </c>
      <c r="Q6028">
        <v>0.15772720000000001</v>
      </c>
      <c r="R6028">
        <v>4.9960669999999999E-2</v>
      </c>
      <c r="S6028">
        <v>3.0500180000000001</v>
      </c>
      <c r="T6028">
        <v>-0.1223434</v>
      </c>
      <c r="U6028">
        <v>0.22604369999999999</v>
      </c>
      <c r="V6028">
        <v>-9.4454740000000006E-3</v>
      </c>
      <c r="W6028">
        <v>0.16947179999999901</v>
      </c>
      <c r="X6028">
        <v>0.98548979999999997</v>
      </c>
      <c r="Y6028">
        <v>-3.3469659999999998E-2</v>
      </c>
      <c r="Z6028">
        <v>-2.70337E-4</v>
      </c>
      <c r="AA6028">
        <v>0.99943970000000004</v>
      </c>
      <c r="AB6028">
        <v>31</v>
      </c>
      <c r="AC6028">
        <v>27.758600000000001</v>
      </c>
      <c r="AD6028">
        <v>-1.1197948628419001</v>
      </c>
      <c r="AE6028">
        <v>2.0631299999999899</v>
      </c>
      <c r="AF6028">
        <v>-0.93649681391439199</v>
      </c>
      <c r="AG6028">
        <v>-1.1197948628419001</v>
      </c>
      <c r="AH6028">
        <v>27.774404531414699</v>
      </c>
      <c r="AI6028">
        <v>92.3074629080471</v>
      </c>
      <c r="AJ6028">
        <v>91.931166315056302</v>
      </c>
      <c r="AK6028">
        <v>27.812740136347301</v>
      </c>
      <c r="AL6028">
        <v>80.242890443547594</v>
      </c>
      <c r="AM6028">
        <v>90.549137317163002</v>
      </c>
      <c r="AN6028">
        <v>1.00000002693918</v>
      </c>
    </row>
    <row r="6029" spans="1:40" x14ac:dyDescent="0.25">
      <c r="A6029" t="str">
        <f>"20190303162938369"</f>
        <v>20190303162938369</v>
      </c>
      <c r="B6029" t="str">
        <f>"1551601778357782"</f>
        <v>1551601778357782</v>
      </c>
      <c r="C6029" t="s">
        <v>40</v>
      </c>
      <c r="D6029">
        <v>5.3281660000000004</v>
      </c>
      <c r="E6029">
        <v>0.49161919999999998</v>
      </c>
      <c r="F6029" t="s">
        <v>67</v>
      </c>
      <c r="G6029">
        <v>-224.52010000000001</v>
      </c>
      <c r="H6029" s="1">
        <v>-1.0747700000000001E-6</v>
      </c>
      <c r="I6029">
        <v>-60.303890000000003</v>
      </c>
      <c r="J6029">
        <v>-251.59360000000001</v>
      </c>
      <c r="K6029">
        <v>1.119856</v>
      </c>
      <c r="L6029">
        <v>-62.289340000000003</v>
      </c>
      <c r="M6029">
        <v>0.99913660000000004</v>
      </c>
      <c r="N6029">
        <v>-1.1871339999999999E-2</v>
      </c>
      <c r="O6029">
        <v>3.9814860000000001E-2</v>
      </c>
      <c r="P6029">
        <v>0.98620479999999999</v>
      </c>
      <c r="Q6029">
        <v>0.15794149999999901</v>
      </c>
      <c r="R6029">
        <v>4.9543410000000003E-2</v>
      </c>
      <c r="S6029">
        <v>3.0506739999999999</v>
      </c>
      <c r="T6029">
        <v>-0.1254663</v>
      </c>
      <c r="U6029">
        <v>0.22308349999999999</v>
      </c>
      <c r="V6029">
        <v>-9.6998090000000002E-3</v>
      </c>
      <c r="W6029">
        <v>0.16968320000000001</v>
      </c>
      <c r="X6029">
        <v>0.98545090000000002</v>
      </c>
      <c r="Y6029">
        <v>-3.3142730000000002E-2</v>
      </c>
      <c r="Z6029">
        <v>-2.8408380000000003E-4</v>
      </c>
      <c r="AA6029">
        <v>0.99945059999999997</v>
      </c>
      <c r="AB6029">
        <v>31</v>
      </c>
      <c r="AC6029">
        <v>27.073499999999999</v>
      </c>
      <c r="AD6029">
        <v>-1.1198570747700001</v>
      </c>
      <c r="AE6029">
        <v>1.9854499999999999</v>
      </c>
      <c r="AF6029">
        <v>-0.90433295182851203</v>
      </c>
      <c r="AG6029">
        <v>-1.1198570747700001</v>
      </c>
      <c r="AH6029">
        <v>27.0849926008562</v>
      </c>
      <c r="AI6029">
        <v>92.366287723417798</v>
      </c>
      <c r="AJ6029">
        <v>91.912321730713202</v>
      </c>
      <c r="AK6029">
        <v>27.1232137134247</v>
      </c>
      <c r="AL6029">
        <v>80.230599605819407</v>
      </c>
      <c r="AM6029">
        <v>90.563945063751405</v>
      </c>
      <c r="AN6029">
        <v>0.99999997548384201</v>
      </c>
    </row>
    <row r="6030" spans="1:40" x14ac:dyDescent="0.25">
      <c r="A6030" t="str">
        <f>"20190303162938383"</f>
        <v>20190303162938383</v>
      </c>
      <c r="B6030" t="str">
        <f>"1551601778378278"</f>
        <v>1551601778378278</v>
      </c>
      <c r="C6030" t="s">
        <v>40</v>
      </c>
      <c r="D6030">
        <v>5.2738449999999997</v>
      </c>
      <c r="E6030">
        <v>0.49173169999999999</v>
      </c>
      <c r="F6030" t="s">
        <v>67</v>
      </c>
      <c r="G6030">
        <v>-224.9332</v>
      </c>
      <c r="H6030" s="1">
        <v>-1.2391510000000001E-6</v>
      </c>
      <c r="I6030">
        <v>-60.362119999999997</v>
      </c>
      <c r="J6030">
        <v>-251.42850000000001</v>
      </c>
      <c r="K6030">
        <v>1.1199170000000001</v>
      </c>
      <c r="L6030">
        <v>-62.283450000000002</v>
      </c>
      <c r="M6030">
        <v>0.99916289999999996</v>
      </c>
      <c r="N6030">
        <v>-1.186975E-2</v>
      </c>
      <c r="O6030">
        <v>3.9149459999999997E-2</v>
      </c>
      <c r="P6030">
        <v>0.98621389999999998</v>
      </c>
      <c r="Q6030">
        <v>0.15801029999999999</v>
      </c>
      <c r="R6030">
        <v>4.914553E-2</v>
      </c>
      <c r="S6030">
        <v>3.0514220000000001</v>
      </c>
      <c r="T6030">
        <v>-0.1281737</v>
      </c>
      <c r="U6030">
        <v>0.2205811</v>
      </c>
      <c r="V6030">
        <v>-9.9863309999999993E-3</v>
      </c>
      <c r="W6030">
        <v>0.16974990000000001</v>
      </c>
      <c r="X6030">
        <v>0.9854366</v>
      </c>
      <c r="Y6030">
        <v>-3.2974749999999997E-2</v>
      </c>
      <c r="Z6030">
        <v>-2.8907409999999998E-4</v>
      </c>
      <c r="AA6030">
        <v>0.99945620000000002</v>
      </c>
      <c r="AB6030">
        <v>31</v>
      </c>
      <c r="AC6030">
        <v>26.4953</v>
      </c>
      <c r="AD6030">
        <v>-1.1199182391509901</v>
      </c>
      <c r="AE6030">
        <v>1.92133</v>
      </c>
      <c r="AF6030">
        <v>-0.88094142187370295</v>
      </c>
      <c r="AG6030">
        <v>-1.1199182391509901</v>
      </c>
      <c r="AH6030">
        <v>26.503105686645299</v>
      </c>
      <c r="AI6030">
        <v>92.418323499810398</v>
      </c>
      <c r="AJ6030">
        <v>91.903763645084794</v>
      </c>
      <c r="AK6030">
        <v>26.541380628909302</v>
      </c>
      <c r="AL6030">
        <v>80.226722199128105</v>
      </c>
      <c r="AM6030">
        <v>90.580610699460905</v>
      </c>
      <c r="AN6030">
        <v>1.0000000239882001</v>
      </c>
    </row>
    <row r="6031" spans="1:40" x14ac:dyDescent="0.25">
      <c r="A6031" t="str">
        <f>"20190303162938392"</f>
        <v>20190303162938392</v>
      </c>
      <c r="B6031" t="str">
        <f>"1551601778388039"</f>
        <v>1551601778388039</v>
      </c>
      <c r="C6031" t="s">
        <v>40</v>
      </c>
      <c r="D6031">
        <v>5.2704259999999996</v>
      </c>
      <c r="E6031">
        <v>0.49166589999999999</v>
      </c>
      <c r="F6031" t="s">
        <v>67</v>
      </c>
      <c r="G6031">
        <v>-225.75720000000001</v>
      </c>
      <c r="H6031" s="1">
        <v>-1.6025049999999901E-6</v>
      </c>
      <c r="I6031">
        <v>-60.449399999999997</v>
      </c>
      <c r="J6031">
        <v>-251.26589999999999</v>
      </c>
      <c r="K6031">
        <v>1.11998</v>
      </c>
      <c r="L6031">
        <v>-62.277740000000001</v>
      </c>
      <c r="M6031">
        <v>0.99918609999999997</v>
      </c>
      <c r="N6031">
        <v>-1.1868170000000001E-2</v>
      </c>
      <c r="O6031">
        <v>3.8552610000000001E-2</v>
      </c>
      <c r="P6031">
        <v>0.98614820000000003</v>
      </c>
      <c r="Q6031">
        <v>0.15853619999999999</v>
      </c>
      <c r="R6031">
        <v>4.8765459999999997E-2</v>
      </c>
      <c r="S6031">
        <v>3.0524439999999999</v>
      </c>
      <c r="T6031">
        <v>-0.13316430000000001</v>
      </c>
      <c r="U6031">
        <v>0.21807860000000001</v>
      </c>
      <c r="V6031">
        <v>-1.0223629999999999E-2</v>
      </c>
      <c r="W6031">
        <v>0.17027249999999999</v>
      </c>
      <c r="X6031">
        <v>0.985344</v>
      </c>
      <c r="Y6031">
        <v>-3.2731879999999998E-2</v>
      </c>
      <c r="Z6031">
        <v>-3.1365229999999998E-4</v>
      </c>
      <c r="AA6031">
        <v>0.99946409999999997</v>
      </c>
      <c r="AB6031">
        <v>31</v>
      </c>
      <c r="AC6031">
        <v>25.508699999999902</v>
      </c>
      <c r="AD6031">
        <v>-1.119981602505</v>
      </c>
      <c r="AE6031">
        <v>1.8283400000000001</v>
      </c>
      <c r="AF6031">
        <v>-0.84186975021285904</v>
      </c>
      <c r="AG6031">
        <v>-1.119981602505</v>
      </c>
      <c r="AH6031">
        <v>25.511298267213999</v>
      </c>
      <c r="AI6031">
        <v>92.512384721210097</v>
      </c>
      <c r="AJ6031">
        <v>91.890067887778002</v>
      </c>
      <c r="AK6031">
        <v>25.549744475141601</v>
      </c>
      <c r="AL6031">
        <v>80.196337068808504</v>
      </c>
      <c r="AM6031">
        <v>90.594462270293405</v>
      </c>
      <c r="AN6031">
        <v>1.0000000226013099</v>
      </c>
    </row>
    <row r="6032" spans="1:40" x14ac:dyDescent="0.25">
      <c r="A6032" t="str">
        <f>"20190303162938403"</f>
        <v>20190303162938403</v>
      </c>
      <c r="B6032" t="str">
        <f>"1551601778397798"</f>
        <v>1551601778397798</v>
      </c>
      <c r="C6032" t="s">
        <v>40</v>
      </c>
      <c r="D6032">
        <v>5.2856480000000001</v>
      </c>
      <c r="E6032">
        <v>0.49147150000000001</v>
      </c>
      <c r="F6032" t="s">
        <v>67</v>
      </c>
      <c r="G6032">
        <v>-225.51660000000001</v>
      </c>
      <c r="H6032" s="1">
        <v>-1.4984210000000001E-6</v>
      </c>
      <c r="I6032">
        <v>-60.445500000000003</v>
      </c>
      <c r="J6032">
        <v>-251.10919999999999</v>
      </c>
      <c r="K6032">
        <v>1.1200429999999999</v>
      </c>
      <c r="L6032">
        <v>-62.27225</v>
      </c>
      <c r="M6032">
        <v>0.99920759999999997</v>
      </c>
      <c r="N6032">
        <v>-1.1866700000000001E-2</v>
      </c>
      <c r="O6032">
        <v>3.7993430000000002E-2</v>
      </c>
      <c r="P6032">
        <v>0.98604290000000006</v>
      </c>
      <c r="Q6032">
        <v>0.15923770000000001</v>
      </c>
      <c r="R6032">
        <v>4.8611580000000001E-2</v>
      </c>
      <c r="S6032">
        <v>3.0527500000000001</v>
      </c>
      <c r="T6032">
        <v>-0.13278129999999999</v>
      </c>
      <c r="U6032">
        <v>0.2172241</v>
      </c>
      <c r="V6032">
        <v>-1.064942E-2</v>
      </c>
      <c r="W6032">
        <v>0.17097019999999999</v>
      </c>
      <c r="X6032">
        <v>0.98521860000000006</v>
      </c>
      <c r="Y6032">
        <v>-3.300521E-2</v>
      </c>
      <c r="Z6032">
        <v>-2.8569750000000002E-4</v>
      </c>
      <c r="AA6032">
        <v>0.99945519999999999</v>
      </c>
      <c r="AB6032">
        <v>31</v>
      </c>
      <c r="AC6032">
        <v>25.592599999999901</v>
      </c>
      <c r="AD6032">
        <v>-1.1200444984209901</v>
      </c>
      <c r="AE6032">
        <v>1.8267499999999901</v>
      </c>
      <c r="AF6032">
        <v>-0.85138940727448298</v>
      </c>
      <c r="AG6032">
        <v>-1.1200444984209901</v>
      </c>
      <c r="AH6032">
        <v>25.5947549438647</v>
      </c>
      <c r="AI6032">
        <v>92.504321619004202</v>
      </c>
      <c r="AJ6032">
        <v>91.905196576658398</v>
      </c>
      <c r="AK6032">
        <v>25.633393147177198</v>
      </c>
      <c r="AL6032">
        <v>80.155766233882801</v>
      </c>
      <c r="AM6032">
        <v>90.619297136928907</v>
      </c>
      <c r="AN6032">
        <v>0.999999954610167</v>
      </c>
    </row>
    <row r="6033" spans="1:40" x14ac:dyDescent="0.25">
      <c r="A6033" t="str">
        <f>"20190303162938414"</f>
        <v>20190303162938414</v>
      </c>
      <c r="B6033" t="str">
        <f>"1551601778407558"</f>
        <v>1551601778407558</v>
      </c>
      <c r="C6033" t="s">
        <v>40</v>
      </c>
      <c r="D6033">
        <v>5.3474000000000004</v>
      </c>
      <c r="E6033">
        <v>0.49133060000000001</v>
      </c>
      <c r="F6033" t="s">
        <v>67</v>
      </c>
      <c r="G6033">
        <v>-224.53620000000001</v>
      </c>
      <c r="H6033" s="1">
        <v>-1.066005E-6</v>
      </c>
      <c r="I6033">
        <v>-60.374839999999999</v>
      </c>
      <c r="J6033">
        <v>-250.95930000000001</v>
      </c>
      <c r="K6033">
        <v>1.120098</v>
      </c>
      <c r="L6033">
        <v>-62.267090000000003</v>
      </c>
      <c r="M6033">
        <v>0.99922580000000005</v>
      </c>
      <c r="N6033">
        <v>-1.1865219999999999E-2</v>
      </c>
      <c r="O6033">
        <v>3.7510540000000002E-2</v>
      </c>
      <c r="P6033">
        <v>0.98595330000000003</v>
      </c>
      <c r="Q6033">
        <v>0.15977249999999901</v>
      </c>
      <c r="R6033">
        <v>4.8672029999999998E-2</v>
      </c>
      <c r="S6033">
        <v>3.05246</v>
      </c>
      <c r="T6033">
        <v>-0.128660199999999</v>
      </c>
      <c r="U6033">
        <v>0.2179565</v>
      </c>
      <c r="V6033">
        <v>-1.121164E-2</v>
      </c>
      <c r="W6033">
        <v>0.1715025</v>
      </c>
      <c r="X6033">
        <v>0.98511990000000005</v>
      </c>
      <c r="Y6033">
        <v>-3.3733069999999997E-2</v>
      </c>
      <c r="Z6033">
        <v>-2.227362E-4</v>
      </c>
      <c r="AA6033">
        <v>0.99943079999999995</v>
      </c>
      <c r="AB6033">
        <v>31</v>
      </c>
      <c r="AC6033">
        <v>26.423100000000002</v>
      </c>
      <c r="AD6033">
        <v>-1.1200990660050001</v>
      </c>
      <c r="AE6033">
        <v>1.89225</v>
      </c>
      <c r="AF6033">
        <v>-0.89809795660722003</v>
      </c>
      <c r="AG6033">
        <v>-1.1200990660050001</v>
      </c>
      <c r="AH6033">
        <v>26.428237039320699</v>
      </c>
      <c r="AI6033">
        <v>92.425496859957605</v>
      </c>
      <c r="AJ6033">
        <v>91.946305701186603</v>
      </c>
      <c r="AK6033">
        <v>26.467204515472499</v>
      </c>
      <c r="AL6033">
        <v>80.124811052530205</v>
      </c>
      <c r="AM6033">
        <v>90.652054557438603</v>
      </c>
      <c r="AN6033">
        <v>1.00000001287687</v>
      </c>
    </row>
    <row r="6034" spans="1:40" x14ac:dyDescent="0.25">
      <c r="A6034" t="str">
        <f>"20190303162938425"</f>
        <v>20190303162938425</v>
      </c>
      <c r="B6034" t="str">
        <f>"1551601778418295"</f>
        <v>1551601778418295</v>
      </c>
      <c r="C6034" t="s">
        <v>40</v>
      </c>
      <c r="D6034">
        <v>5.2885070000000001</v>
      </c>
      <c r="E6034">
        <v>0.49120750000000002</v>
      </c>
      <c r="F6034" t="s">
        <v>67</v>
      </c>
      <c r="G6034">
        <v>-223.31319999999999</v>
      </c>
      <c r="H6034" s="1">
        <v>-5.618273E-7</v>
      </c>
      <c r="I6034">
        <v>-60.282249999999998</v>
      </c>
      <c r="J6034">
        <v>-250.80789999999999</v>
      </c>
      <c r="K6034">
        <v>1.120155</v>
      </c>
      <c r="L6034">
        <v>-62.261870000000002</v>
      </c>
      <c r="M6034">
        <v>0.99924369999999996</v>
      </c>
      <c r="N6034">
        <v>-1.1863830000000001E-2</v>
      </c>
      <c r="O6034">
        <v>3.703103E-2</v>
      </c>
      <c r="P6034">
        <v>0.98586390000000002</v>
      </c>
      <c r="Q6034">
        <v>0.16037360000000001</v>
      </c>
      <c r="R6034">
        <v>4.8506489999999999E-2</v>
      </c>
      <c r="S6034">
        <v>3.051987</v>
      </c>
      <c r="T6034">
        <v>-0.1236532</v>
      </c>
      <c r="U6034">
        <v>0.21911620000000001</v>
      </c>
      <c r="V6034">
        <v>-1.1543930000000001E-2</v>
      </c>
      <c r="W6034">
        <v>0.17210049999999999</v>
      </c>
      <c r="X6034">
        <v>0.98501179999999999</v>
      </c>
      <c r="Y6034">
        <v>-3.4601180000000002E-2</v>
      </c>
      <c r="Z6034">
        <v>-1.5277849999999999E-4</v>
      </c>
      <c r="AA6034">
        <v>0.99940119999999999</v>
      </c>
      <c r="AB6034">
        <v>31</v>
      </c>
      <c r="AC6034">
        <v>27.494699999999899</v>
      </c>
      <c r="AD6034">
        <v>-1.1201555618273</v>
      </c>
      <c r="AE6034">
        <v>1.9796199999999899</v>
      </c>
      <c r="AF6034">
        <v>-0.95845066559013903</v>
      </c>
      <c r="AG6034">
        <v>-1.1201555618273</v>
      </c>
      <c r="AH6034">
        <v>27.5037361252718</v>
      </c>
      <c r="AI6034">
        <v>92.330805734565701</v>
      </c>
      <c r="AJ6034">
        <v>91.995836658926194</v>
      </c>
      <c r="AK6034">
        <v>27.543218348799499</v>
      </c>
      <c r="AL6034">
        <v>80.090031377230304</v>
      </c>
      <c r="AM6034">
        <v>90.671452046399395</v>
      </c>
      <c r="AN6034">
        <v>1.00000004527966</v>
      </c>
    </row>
    <row r="6035" spans="1:40" x14ac:dyDescent="0.25">
      <c r="A6035" t="str">
        <f>"20190303162938435"</f>
        <v>20190303162938435</v>
      </c>
      <c r="B6035" t="str">
        <f>"1551601778428054"</f>
        <v>1551601778428054</v>
      </c>
      <c r="C6035" t="s">
        <v>40</v>
      </c>
      <c r="D6035">
        <v>5.343712</v>
      </c>
      <c r="E6035">
        <v>0.49110589999999998</v>
      </c>
      <c r="F6035" t="s">
        <v>67</v>
      </c>
      <c r="G6035">
        <v>-222.0634</v>
      </c>
      <c r="H6035" s="1">
        <v>-4.4738840000000003E-8</v>
      </c>
      <c r="I6035">
        <v>-60.1958699999999</v>
      </c>
      <c r="J6035">
        <v>-250.6497</v>
      </c>
      <c r="K6035">
        <v>1.120207</v>
      </c>
      <c r="L6035">
        <v>-62.256529999999998</v>
      </c>
      <c r="M6035">
        <v>0.99926090000000001</v>
      </c>
      <c r="N6035">
        <v>-1.1862579999999999E-2</v>
      </c>
      <c r="O6035">
        <v>3.6563650000000003E-2</v>
      </c>
      <c r="P6035">
        <v>0.98574609999999996</v>
      </c>
      <c r="Q6035">
        <v>0.16110139999999901</v>
      </c>
      <c r="R6035">
        <v>4.8485109999999998E-2</v>
      </c>
      <c r="S6035">
        <v>3.0515750000000001</v>
      </c>
      <c r="T6035">
        <v>-0.1189176</v>
      </c>
      <c r="U6035">
        <v>0.21932979999999999</v>
      </c>
      <c r="V6035">
        <v>-1.200738E-2</v>
      </c>
      <c r="W6035">
        <v>0.17282520000000001</v>
      </c>
      <c r="X6035">
        <v>0.98487930000000001</v>
      </c>
      <c r="Y6035">
        <v>-3.5147999999999999E-2</v>
      </c>
      <c r="Z6035" s="1">
        <v>-9.5927190000000005E-5</v>
      </c>
      <c r="AA6035">
        <v>0.99938210000000005</v>
      </c>
      <c r="AB6035">
        <v>31</v>
      </c>
      <c r="AC6035">
        <v>28.586299999999898</v>
      </c>
      <c r="AD6035">
        <v>-1.1202070447388399</v>
      </c>
      <c r="AE6035">
        <v>2.0606600000000102</v>
      </c>
      <c r="AF6035">
        <v>-1.01244218333764</v>
      </c>
      <c r="AG6035">
        <v>-1.1202070447388399</v>
      </c>
      <c r="AH6035">
        <v>28.598843330976798</v>
      </c>
      <c r="AI6035">
        <v>92.241706794888501</v>
      </c>
      <c r="AJ6035">
        <v>92.027510280667499</v>
      </c>
      <c r="AK6035">
        <v>28.638675647931802</v>
      </c>
      <c r="AL6035">
        <v>80.047876850181893</v>
      </c>
      <c r="AM6035">
        <v>90.698499921491702</v>
      </c>
      <c r="AN6035">
        <v>0.99999998124899703</v>
      </c>
    </row>
    <row r="6036" spans="1:40" x14ac:dyDescent="0.25">
      <c r="A6036" t="str">
        <f>"20190303162938446"</f>
        <v>20190303162938446</v>
      </c>
      <c r="B6036" t="str">
        <f>"1551601778437815"</f>
        <v>1551601778437815</v>
      </c>
      <c r="C6036" t="s">
        <v>40</v>
      </c>
      <c r="D6036">
        <v>5.2177020000000001</v>
      </c>
      <c r="E6036">
        <v>0.49095850000000002</v>
      </c>
      <c r="F6036" t="s">
        <v>67</v>
      </c>
      <c r="G6036">
        <v>-220.64609999999999</v>
      </c>
      <c r="H6036" s="1">
        <v>5.4086680000000004E-7</v>
      </c>
      <c r="I6036">
        <v>-60.094659999999998</v>
      </c>
      <c r="J6036">
        <v>-250.5034</v>
      </c>
      <c r="K6036">
        <v>1.1202529999999999</v>
      </c>
      <c r="L6036">
        <v>-62.251620000000003</v>
      </c>
      <c r="M6036">
        <v>0.99927619999999895</v>
      </c>
      <c r="N6036">
        <v>-1.186153E-2</v>
      </c>
      <c r="O6036">
        <v>3.6142019999999997E-2</v>
      </c>
      <c r="P6036">
        <v>0.98567269999999896</v>
      </c>
      <c r="Q6036">
        <v>0.1615086</v>
      </c>
      <c r="R6036">
        <v>4.8626780000000001E-2</v>
      </c>
      <c r="S6036">
        <v>3.0511780000000002</v>
      </c>
      <c r="T6036">
        <v>-0.1139179</v>
      </c>
      <c r="U6036">
        <v>0.21984860000000001</v>
      </c>
      <c r="V6036">
        <v>-1.258505E-2</v>
      </c>
      <c r="W6036">
        <v>0.17323050000000001</v>
      </c>
      <c r="X6036">
        <v>0.98480089999999998</v>
      </c>
      <c r="Y6036">
        <v>-3.5748269999999999E-2</v>
      </c>
      <c r="Z6036" s="1">
        <v>-3.9606469999999999E-5</v>
      </c>
      <c r="AA6036">
        <v>0.99936080000000005</v>
      </c>
      <c r="AB6036">
        <v>31</v>
      </c>
      <c r="AC6036">
        <v>29.857299999999999</v>
      </c>
      <c r="AD6036">
        <v>-1.1202524591331999</v>
      </c>
      <c r="AE6036">
        <v>2.15695999999999</v>
      </c>
      <c r="AF6036">
        <v>-1.07486614937061</v>
      </c>
      <c r="AG6036">
        <v>-1.1202524591331999</v>
      </c>
      <c r="AH6036">
        <v>29.873915613786199</v>
      </c>
      <c r="AI6036">
        <v>92.146160892972404</v>
      </c>
      <c r="AJ6036">
        <v>92.060618363301899</v>
      </c>
      <c r="AK6036">
        <v>29.9142296726971</v>
      </c>
      <c r="AL6036">
        <v>80.024299447863697</v>
      </c>
      <c r="AM6036">
        <v>90.732159161435007</v>
      </c>
      <c r="AN6036">
        <v>1.00000000112728</v>
      </c>
    </row>
    <row r="6037" spans="1:40" x14ac:dyDescent="0.25">
      <c r="A6037" t="str">
        <f>"20190303162938458"</f>
        <v>20190303162938458</v>
      </c>
      <c r="B6037" t="str">
        <f>"1551601778447573"</f>
        <v>1551601778447573</v>
      </c>
      <c r="C6037" t="s">
        <v>40</v>
      </c>
      <c r="D6037">
        <v>5.3358930000000004</v>
      </c>
      <c r="E6037">
        <v>0.49082710000000002</v>
      </c>
      <c r="F6037" t="s">
        <v>68</v>
      </c>
      <c r="G6037">
        <v>-219.4623</v>
      </c>
      <c r="H6037" s="1">
        <v>-3.0965369999999999E-6</v>
      </c>
      <c r="I6037">
        <v>-59.999090000000002</v>
      </c>
      <c r="J6037">
        <v>-250.3467</v>
      </c>
      <c r="K6037">
        <v>1.1202920000000001</v>
      </c>
      <c r="L6037">
        <v>-62.246400000000001</v>
      </c>
      <c r="M6037">
        <v>0.99929179999999995</v>
      </c>
      <c r="N6037">
        <v>-1.1860529999999999E-2</v>
      </c>
      <c r="O6037">
        <v>3.5709360000000002E-2</v>
      </c>
      <c r="P6037">
        <v>0.98556790000000005</v>
      </c>
      <c r="Q6037">
        <v>0.16214189999999901</v>
      </c>
      <c r="R6037">
        <v>4.864081E-2</v>
      </c>
      <c r="S6037">
        <v>3.050751</v>
      </c>
      <c r="T6037">
        <v>-0.1100998</v>
      </c>
      <c r="U6037">
        <v>0.2213745</v>
      </c>
      <c r="V6037">
        <v>-1.3044709999999999E-2</v>
      </c>
      <c r="W6037">
        <v>0.17386119999999999</v>
      </c>
      <c r="X6037">
        <v>0.9846838</v>
      </c>
      <c r="Y6037">
        <v>-3.6688070000000003E-2</v>
      </c>
      <c r="Z6037" s="1">
        <v>1.6003120000000001E-5</v>
      </c>
      <c r="AA6037">
        <v>0.99932679999999996</v>
      </c>
      <c r="AB6037">
        <v>31</v>
      </c>
      <c r="AC6037">
        <v>30.884399999999999</v>
      </c>
      <c r="AD6037">
        <v>-1.120295096537</v>
      </c>
      <c r="AE6037">
        <v>2.2473100000000001</v>
      </c>
      <c r="AF6037">
        <v>-1.14144273995614</v>
      </c>
      <c r="AG6037">
        <v>-1.120295096537</v>
      </c>
      <c r="AH6037">
        <v>30.904505680749399</v>
      </c>
      <c r="AI6037">
        <v>92.074662129964196</v>
      </c>
      <c r="AJ6037">
        <v>92.115229991770406</v>
      </c>
      <c r="AK6037">
        <v>30.9458627930034</v>
      </c>
      <c r="AL6037">
        <v>79.987606537212102</v>
      </c>
      <c r="AM6037">
        <v>90.758987920246398</v>
      </c>
      <c r="AN6037">
        <v>1.00000003365343</v>
      </c>
    </row>
    <row r="6038" spans="1:40" x14ac:dyDescent="0.25">
      <c r="A6038" t="str">
        <f>"20190303162938472"</f>
        <v>20190303162938472</v>
      </c>
      <c r="B6038" t="str">
        <f>"1551601778468069"</f>
        <v>1551601778468069</v>
      </c>
      <c r="C6038" t="s">
        <v>40</v>
      </c>
      <c r="D6038">
        <v>5.0866740000000004</v>
      </c>
      <c r="E6038">
        <v>0.49069639999999998</v>
      </c>
      <c r="F6038" t="s">
        <v>68</v>
      </c>
      <c r="G6038">
        <v>-218.2362</v>
      </c>
      <c r="H6038" s="1">
        <v>-2.5874590000000001E-6</v>
      </c>
      <c r="I6038">
        <v>-59.903849999999998</v>
      </c>
      <c r="J6038">
        <v>-250.14680000000001</v>
      </c>
      <c r="K6038">
        <v>1.120331</v>
      </c>
      <c r="L6038">
        <v>-62.239840000000001</v>
      </c>
      <c r="M6038">
        <v>0.99931080000000005</v>
      </c>
      <c r="N6038">
        <v>-1.1859379999999999E-2</v>
      </c>
      <c r="O6038">
        <v>3.5175079999999997E-2</v>
      </c>
      <c r="P6038">
        <v>0.98543539999999996</v>
      </c>
      <c r="Q6038">
        <v>0.16284029999999899</v>
      </c>
      <c r="R6038">
        <v>4.8991590000000002E-2</v>
      </c>
      <c r="S6038">
        <v>3.0504609999999999</v>
      </c>
      <c r="T6038">
        <v>-0.1064268</v>
      </c>
      <c r="U6038">
        <v>0.22253419999999999</v>
      </c>
      <c r="V6038">
        <v>-1.3942120000000001E-2</v>
      </c>
      <c r="W6038">
        <v>0.17455699999999999</v>
      </c>
      <c r="X6038">
        <v>0.98454830000000004</v>
      </c>
      <c r="Y6038">
        <v>-3.7607040000000001E-2</v>
      </c>
      <c r="Z6038" s="1">
        <v>7.0451930000000004E-5</v>
      </c>
      <c r="AA6038">
        <v>0.99929259999999998</v>
      </c>
      <c r="AB6038">
        <v>31</v>
      </c>
      <c r="AC6038">
        <v>31.910599999999999</v>
      </c>
      <c r="AD6038">
        <v>-1.1203335874589999</v>
      </c>
      <c r="AE6038">
        <v>2.3359899999999998</v>
      </c>
      <c r="AF6038">
        <v>-1.2105232118929401</v>
      </c>
      <c r="AG6038">
        <v>-1.1203335874589999</v>
      </c>
      <c r="AH6038">
        <v>31.9338721350254</v>
      </c>
      <c r="AI6038">
        <v>92.007838474596994</v>
      </c>
      <c r="AJ6038">
        <v>92.170882315526896</v>
      </c>
      <c r="AK6038">
        <v>31.976439816368998</v>
      </c>
      <c r="AL6038">
        <v>79.947120126993795</v>
      </c>
      <c r="AM6038">
        <v>90.8113073205934</v>
      </c>
      <c r="AN6038">
        <v>0.99999994199598996</v>
      </c>
    </row>
    <row r="6039" spans="1:40" x14ac:dyDescent="0.25">
      <c r="A6039" t="str">
        <f>"20190303162938482"</f>
        <v>20190303162938482</v>
      </c>
      <c r="B6039" t="str">
        <f>"1551601778468069"</f>
        <v>1551601778468069</v>
      </c>
      <c r="C6039" t="s">
        <v>40</v>
      </c>
      <c r="D6039">
        <v>5.0866740000000004</v>
      </c>
      <c r="E6039">
        <v>0.49069639999999998</v>
      </c>
      <c r="F6039" t="s">
        <v>68</v>
      </c>
      <c r="G6039">
        <v>-216.50630000000001</v>
      </c>
      <c r="H6039" s="1">
        <v>-1.870525E-6</v>
      </c>
      <c r="I6039">
        <v>-59.761679999999998</v>
      </c>
      <c r="J6039">
        <v>-250.0112</v>
      </c>
      <c r="K6039">
        <v>1.120352</v>
      </c>
      <c r="L6039">
        <v>-62.235410000000002</v>
      </c>
      <c r="M6039">
        <v>0.99932330000000003</v>
      </c>
      <c r="N6039">
        <v>-1.185865E-2</v>
      </c>
      <c r="O6039">
        <v>3.481911E-2</v>
      </c>
      <c r="P6039">
        <v>0.98534940000000004</v>
      </c>
      <c r="Q6039">
        <v>0.163193</v>
      </c>
      <c r="R6039">
        <v>4.9544619999999998E-2</v>
      </c>
      <c r="S6039">
        <v>3.0499420000000002</v>
      </c>
      <c r="T6039">
        <v>-0.10157239999999999</v>
      </c>
      <c r="U6039">
        <v>0.22467039999999999</v>
      </c>
      <c r="V6039">
        <v>-1.485851E-2</v>
      </c>
      <c r="W6039">
        <v>0.1749096</v>
      </c>
      <c r="X6039">
        <v>0.98447240000000003</v>
      </c>
      <c r="Y6039">
        <v>-3.8671749999999998E-2</v>
      </c>
      <c r="Z6039">
        <v>1.279338E-4</v>
      </c>
      <c r="AA6039">
        <v>0.99925200000000003</v>
      </c>
      <c r="AB6039">
        <v>31</v>
      </c>
      <c r="AC6039">
        <v>33.5048999999999</v>
      </c>
      <c r="AD6039">
        <v>-1.120353870525</v>
      </c>
      <c r="AE6039">
        <v>2.4737299999999798</v>
      </c>
      <c r="AF6039">
        <v>-1.30408675419451</v>
      </c>
      <c r="AG6039">
        <v>-1.120353870525</v>
      </c>
      <c r="AH6039">
        <v>33.533428361305603</v>
      </c>
      <c r="AI6039">
        <v>91.912099408581796</v>
      </c>
      <c r="AJ6039">
        <v>92.227062295450494</v>
      </c>
      <c r="AK6039">
        <v>33.577472399221499</v>
      </c>
      <c r="AL6039">
        <v>79.926602822622499</v>
      </c>
      <c r="AM6039">
        <v>90.864691868354996</v>
      </c>
      <c r="AN6039">
        <v>1.0000000249266601</v>
      </c>
    </row>
    <row r="6040" spans="1:40" x14ac:dyDescent="0.25">
      <c r="A6040" t="str">
        <f>"20190303162938493"</f>
        <v>20190303162938493</v>
      </c>
      <c r="B6040" t="str">
        <f>"1551601778487591"</f>
        <v>1551601778487591</v>
      </c>
      <c r="C6040" t="s">
        <v>40</v>
      </c>
      <c r="D6040">
        <v>5.276262</v>
      </c>
      <c r="E6040">
        <v>0.4905447</v>
      </c>
      <c r="F6040" t="s">
        <v>68</v>
      </c>
      <c r="G6040">
        <v>-216.01050000000001</v>
      </c>
      <c r="H6040" s="1">
        <v>-1.6663639999999999E-6</v>
      </c>
      <c r="I6040">
        <v>-59.713679999999997</v>
      </c>
      <c r="J6040">
        <v>-249.8596</v>
      </c>
      <c r="K6040">
        <v>1.1203719999999999</v>
      </c>
      <c r="L6040">
        <v>-62.230559999999997</v>
      </c>
      <c r="M6040">
        <v>0.99933669999999997</v>
      </c>
      <c r="N6040">
        <v>-1.1857940000000001E-2</v>
      </c>
      <c r="O6040">
        <v>3.443181E-2</v>
      </c>
      <c r="P6040">
        <v>0.98526440000000004</v>
      </c>
      <c r="Q6040">
        <v>0.1634071</v>
      </c>
      <c r="R6040">
        <v>5.0518599999999997E-2</v>
      </c>
      <c r="S6040">
        <v>3.0498959999999999</v>
      </c>
      <c r="T6040">
        <v>-0.1004968</v>
      </c>
      <c r="U6040">
        <v>0.22619629999999999</v>
      </c>
      <c r="V6040">
        <v>-1.6223919999999999E-2</v>
      </c>
      <c r="W6040">
        <v>0.17512420000000001</v>
      </c>
      <c r="X6040">
        <v>0.98441270000000003</v>
      </c>
      <c r="Y6040">
        <v>-3.9556870000000001E-2</v>
      </c>
      <c r="Z6040">
        <v>1.612924E-4</v>
      </c>
      <c r="AA6040">
        <v>0.99921729999999997</v>
      </c>
      <c r="AB6040">
        <v>31</v>
      </c>
      <c r="AC6040">
        <v>33.8490999999999</v>
      </c>
      <c r="AD6040">
        <v>-1.1203736663639901</v>
      </c>
      <c r="AE6040">
        <v>2.5168799999999898</v>
      </c>
      <c r="AF6040">
        <v>-1.3483506152717799</v>
      </c>
      <c r="AG6040">
        <v>-1.1203736663639901</v>
      </c>
      <c r="AH6040">
        <v>33.878781396932197</v>
      </c>
      <c r="AI6040">
        <v>91.892587926451995</v>
      </c>
      <c r="AJ6040">
        <v>92.279127083063301</v>
      </c>
      <c r="AK6040">
        <v>33.924108175088499</v>
      </c>
      <c r="AL6040">
        <v>79.914114471923199</v>
      </c>
      <c r="AM6040">
        <v>90.944195452984204</v>
      </c>
      <c r="AN6040">
        <v>1.0000000324635401</v>
      </c>
    </row>
    <row r="6041" spans="1:40" x14ac:dyDescent="0.25">
      <c r="A6041" t="str">
        <f>"20190303162938504"</f>
        <v>20190303162938504</v>
      </c>
      <c r="B6041" t="str">
        <f>"1551601778498325"</f>
        <v>1551601778498325</v>
      </c>
      <c r="C6041" t="s">
        <v>40</v>
      </c>
      <c r="D6041">
        <v>5.218623</v>
      </c>
      <c r="E6041">
        <v>0.49050959999999899</v>
      </c>
      <c r="F6041" t="s">
        <v>68</v>
      </c>
      <c r="G6041">
        <v>-214.92529999999999</v>
      </c>
      <c r="H6041" s="1">
        <v>-1.221436E-6</v>
      </c>
      <c r="I6041">
        <v>-59.597470000000001</v>
      </c>
      <c r="J6041">
        <v>-249.7054</v>
      </c>
      <c r="K6041">
        <v>1.1203909999999999</v>
      </c>
      <c r="L6041">
        <v>-62.225650000000002</v>
      </c>
      <c r="M6041">
        <v>0.99935019999999997</v>
      </c>
      <c r="N6041">
        <v>-1.185725E-2</v>
      </c>
      <c r="O6041">
        <v>3.4039310000000003E-2</v>
      </c>
      <c r="P6041">
        <v>0.98516210000000004</v>
      </c>
      <c r="Q6041">
        <v>0.16368859999999999</v>
      </c>
      <c r="R6041">
        <v>5.1594429999999997E-2</v>
      </c>
      <c r="S6041">
        <v>3.0492859999999999</v>
      </c>
      <c r="T6041">
        <v>-9.7793340000000006E-2</v>
      </c>
      <c r="U6041">
        <v>0.2298279</v>
      </c>
      <c r="V6041">
        <v>-1.769693E-2</v>
      </c>
      <c r="W6041">
        <v>0.17540629999999999</v>
      </c>
      <c r="X6041">
        <v>0.98433700000000002</v>
      </c>
      <c r="Y6041">
        <v>-4.1146950000000002E-2</v>
      </c>
      <c r="Z6041">
        <v>2.1692989999999999E-4</v>
      </c>
      <c r="AA6041">
        <v>0.99915310000000002</v>
      </c>
      <c r="AB6041">
        <v>31</v>
      </c>
      <c r="AC6041">
        <v>34.780099999999997</v>
      </c>
      <c r="AD6041">
        <v>-1.12039222143599</v>
      </c>
      <c r="AE6041">
        <v>2.62818</v>
      </c>
      <c r="AF6041">
        <v>-1.4411958965084499</v>
      </c>
      <c r="AG6041">
        <v>-1.12039222143599</v>
      </c>
      <c r="AH6041">
        <v>34.8134882393636</v>
      </c>
      <c r="AI6041">
        <v>91.841720587014194</v>
      </c>
      <c r="AJ6041">
        <v>92.370555894030701</v>
      </c>
      <c r="AK6041">
        <v>34.8613150603111</v>
      </c>
      <c r="AL6041">
        <v>79.897696275488002</v>
      </c>
      <c r="AM6041">
        <v>91.029982794524798</v>
      </c>
      <c r="AN6041">
        <v>0.99999994049005503</v>
      </c>
    </row>
    <row r="6042" spans="1:40" x14ac:dyDescent="0.25">
      <c r="A6042" t="str">
        <f>"20190303162938514"</f>
        <v>20190303162938514</v>
      </c>
      <c r="B6042" t="str">
        <f>"1551601778508088"</f>
        <v>1551601778508088</v>
      </c>
      <c r="C6042" t="s">
        <v>40</v>
      </c>
      <c r="D6042">
        <v>5.2133750000000001</v>
      </c>
      <c r="E6042">
        <v>0.49044290000000001</v>
      </c>
      <c r="F6042" t="s">
        <v>68</v>
      </c>
      <c r="G6042">
        <v>-214.20089999999999</v>
      </c>
      <c r="H6042" s="1">
        <v>-9.2584239999999996E-7</v>
      </c>
      <c r="I6042">
        <v>-59.511969999999998</v>
      </c>
      <c r="J6042">
        <v>-249.54900000000001</v>
      </c>
      <c r="K6042">
        <v>1.1204099999999999</v>
      </c>
      <c r="L6042">
        <v>-62.220730000000003</v>
      </c>
      <c r="M6042">
        <v>0.99936349999999996</v>
      </c>
      <c r="N6042">
        <v>-1.185665E-2</v>
      </c>
      <c r="O6042">
        <v>3.3645950000000001E-2</v>
      </c>
      <c r="P6042">
        <v>0.98509760000000002</v>
      </c>
      <c r="Q6042">
        <v>0.16372320000000001</v>
      </c>
      <c r="R6042">
        <v>5.2704710000000002E-2</v>
      </c>
      <c r="S6042">
        <v>3.04895</v>
      </c>
      <c r="T6042">
        <v>-9.6213699999999999E-2</v>
      </c>
      <c r="U6042">
        <v>0.23303219999999999</v>
      </c>
      <c r="V6042">
        <v>-1.9202049999999998E-2</v>
      </c>
      <c r="W6042">
        <v>0.1754425</v>
      </c>
      <c r="X6042">
        <v>0.98430240000000002</v>
      </c>
      <c r="Y6042">
        <v>-4.2591879999999999E-2</v>
      </c>
      <c r="Z6042">
        <v>2.628784E-4</v>
      </c>
      <c r="AA6042">
        <v>0.99909250000000005</v>
      </c>
      <c r="AB6042">
        <v>31</v>
      </c>
      <c r="AC6042">
        <v>35.348100000000002</v>
      </c>
      <c r="AD6042">
        <v>-1.1204109258424</v>
      </c>
      <c r="AE6042">
        <v>2.7087599999999998</v>
      </c>
      <c r="AF6042">
        <v>-1.51630764187659</v>
      </c>
      <c r="AG6042">
        <v>-1.1204109258424</v>
      </c>
      <c r="AH6042">
        <v>35.383887302653299</v>
      </c>
      <c r="AI6042">
        <v>91.811970850276793</v>
      </c>
      <c r="AJ6042">
        <v>92.453797843584894</v>
      </c>
      <c r="AK6042">
        <v>35.434079502005297</v>
      </c>
      <c r="AL6042">
        <v>79.895590127091495</v>
      </c>
      <c r="AM6042">
        <v>91.117600532587304</v>
      </c>
      <c r="AN6042">
        <v>1.0000000020880999</v>
      </c>
    </row>
    <row r="6043" spans="1:40" x14ac:dyDescent="0.25">
      <c r="A6043" t="str">
        <f>"20190303162938525"</f>
        <v>20190303162938525</v>
      </c>
      <c r="B6043" t="str">
        <f>"1551601778517846"</f>
        <v>1551601778517846</v>
      </c>
      <c r="C6043" t="s">
        <v>40</v>
      </c>
      <c r="D6043">
        <v>5.2107419999999998</v>
      </c>
      <c r="E6043">
        <v>0.49038799999999999</v>
      </c>
      <c r="F6043" t="s">
        <v>68</v>
      </c>
      <c r="G6043">
        <v>-213.66210000000001</v>
      </c>
      <c r="H6043" s="1">
        <v>-7.0789130000000003E-7</v>
      </c>
      <c r="I6043">
        <v>-59.437609999999999</v>
      </c>
      <c r="J6043">
        <v>-249.40469999999999</v>
      </c>
      <c r="K6043">
        <v>1.120425</v>
      </c>
      <c r="L6043">
        <v>-62.2162199999999</v>
      </c>
      <c r="M6043">
        <v>0.99937569999999998</v>
      </c>
      <c r="N6043">
        <v>-1.1856129999999999E-2</v>
      </c>
      <c r="O6043">
        <v>3.3283020000000003E-2</v>
      </c>
      <c r="P6043">
        <v>0.98494619999999999</v>
      </c>
      <c r="Q6043">
        <v>0.16412189999999999</v>
      </c>
      <c r="R6043">
        <v>5.4268070000000002E-2</v>
      </c>
      <c r="S6043">
        <v>3.0485690000000001</v>
      </c>
      <c r="T6043">
        <v>-9.5178250000000006E-2</v>
      </c>
      <c r="U6043">
        <v>0.23641970000000001</v>
      </c>
      <c r="V6043">
        <v>-2.1130449999999999E-2</v>
      </c>
      <c r="W6043">
        <v>0.1758419</v>
      </c>
      <c r="X6043">
        <v>0.98419160000000006</v>
      </c>
      <c r="Y6043">
        <v>-4.4067040000000002E-2</v>
      </c>
      <c r="Z6043">
        <v>3.0574589999999999E-4</v>
      </c>
      <c r="AA6043">
        <v>0.99902849999999999</v>
      </c>
      <c r="AB6043">
        <v>31</v>
      </c>
      <c r="AC6043">
        <v>35.742599999999896</v>
      </c>
      <c r="AD6043">
        <v>-1.1204257078913</v>
      </c>
      <c r="AE6043">
        <v>2.7786099999999898</v>
      </c>
      <c r="AF6043">
        <v>-1.5858161969025</v>
      </c>
      <c r="AG6043">
        <v>-1.1204257078913</v>
      </c>
      <c r="AH6043">
        <v>35.780333724132802</v>
      </c>
      <c r="AI6043">
        <v>91.791816635605599</v>
      </c>
      <c r="AJ6043">
        <v>92.537739087729193</v>
      </c>
      <c r="AK6043">
        <v>35.832979895447899</v>
      </c>
      <c r="AL6043">
        <v>79.872344674618503</v>
      </c>
      <c r="AM6043">
        <v>91.229943063862507</v>
      </c>
      <c r="AN6043">
        <v>0.99999998761168596</v>
      </c>
    </row>
    <row r="6044" spans="1:40" x14ac:dyDescent="0.25">
      <c r="A6044" t="str">
        <f>"20190303162938536"</f>
        <v>20190303162938536</v>
      </c>
      <c r="B6044" t="str">
        <f>"1551601778527606"</f>
        <v>1551601778527606</v>
      </c>
      <c r="C6044" t="s">
        <v>40</v>
      </c>
      <c r="D6044">
        <v>5.1525679999999996</v>
      </c>
      <c r="E6044">
        <v>0.49034480000000003</v>
      </c>
      <c r="F6044" t="s">
        <v>68</v>
      </c>
      <c r="G6044">
        <v>-212.6798</v>
      </c>
      <c r="H6044" s="1">
        <v>-3.097944E-7</v>
      </c>
      <c r="I6044">
        <v>-59.306190000000001</v>
      </c>
      <c r="J6044">
        <v>-249.24889999999999</v>
      </c>
      <c r="K6044">
        <v>1.1204379999999901</v>
      </c>
      <c r="L6044">
        <v>-62.211460000000002</v>
      </c>
      <c r="M6044">
        <v>0.99938859999999996</v>
      </c>
      <c r="N6044">
        <v>-1.185569E-2</v>
      </c>
      <c r="O6044">
        <v>3.289127E-2</v>
      </c>
      <c r="P6044">
        <v>0.98482360000000002</v>
      </c>
      <c r="Q6044">
        <v>0.1644234</v>
      </c>
      <c r="R6044">
        <v>5.5563800000000003E-2</v>
      </c>
      <c r="S6044">
        <v>3.048019</v>
      </c>
      <c r="T6044">
        <v>-9.2990879999999998E-2</v>
      </c>
      <c r="U6044">
        <v>0.24151610000000001</v>
      </c>
      <c r="V6044">
        <v>-2.2819579999999999E-2</v>
      </c>
      <c r="W6044">
        <v>0.1761452</v>
      </c>
      <c r="X6044">
        <v>0.98409970000000002</v>
      </c>
      <c r="Y6044">
        <v>-4.6131949999999998E-2</v>
      </c>
      <c r="Z6044">
        <v>3.6470870000000001E-4</v>
      </c>
      <c r="AA6044">
        <v>0.99893529999999997</v>
      </c>
      <c r="AB6044">
        <v>31</v>
      </c>
      <c r="AC6044">
        <v>36.569099999999899</v>
      </c>
      <c r="AD6044">
        <v>-1.12043830979439</v>
      </c>
      <c r="AE6044">
        <v>2.90526999999999</v>
      </c>
      <c r="AF6044">
        <v>-1.6992240070406399</v>
      </c>
      <c r="AG6044">
        <v>-1.12043830979439</v>
      </c>
      <c r="AH6044">
        <v>36.610723173050701</v>
      </c>
      <c r="AI6044">
        <v>91.751054883368695</v>
      </c>
      <c r="AJ6044">
        <v>92.657378392535193</v>
      </c>
      <c r="AK6044">
        <v>36.667257812466801</v>
      </c>
      <c r="AL6044">
        <v>79.8546918777391</v>
      </c>
      <c r="AM6044">
        <v>91.328352564277296</v>
      </c>
      <c r="AN6044">
        <v>1.0000000421272499</v>
      </c>
    </row>
    <row r="6045" spans="1:40" x14ac:dyDescent="0.25">
      <c r="A6045" t="str">
        <f>"20190303162938549"</f>
        <v>20190303162938549</v>
      </c>
      <c r="B6045" t="str">
        <f>"1551601778538343"</f>
        <v>1551601778538343</v>
      </c>
      <c r="C6045" t="s">
        <v>40</v>
      </c>
      <c r="D6045">
        <v>4.9494109999999996</v>
      </c>
      <c r="E6045">
        <v>0.4902841</v>
      </c>
      <c r="F6045" t="s">
        <v>68</v>
      </c>
      <c r="G6045">
        <v>-211.61580000000001</v>
      </c>
      <c r="H6045" s="1">
        <v>1.2386490000000001E-7</v>
      </c>
      <c r="I6045">
        <v>-59.177720000000001</v>
      </c>
      <c r="J6045">
        <v>-249.08690000000001</v>
      </c>
      <c r="K6045">
        <v>1.120455</v>
      </c>
      <c r="L6045">
        <v>-62.206539999999997</v>
      </c>
      <c r="M6045">
        <v>0.99940220000000002</v>
      </c>
      <c r="N6045">
        <v>-1.1855259999999999E-2</v>
      </c>
      <c r="O6045">
        <v>3.2481870000000003E-2</v>
      </c>
      <c r="P6045">
        <v>0.98466770000000003</v>
      </c>
      <c r="Q6045">
        <v>0.1648802</v>
      </c>
      <c r="R6045">
        <v>5.6961659999999997E-2</v>
      </c>
      <c r="S6045">
        <v>3.0475159999999999</v>
      </c>
      <c r="T6045">
        <v>-9.0732690000000005E-2</v>
      </c>
      <c r="U6045">
        <v>0.24566650000000001</v>
      </c>
      <c r="V6045">
        <v>-2.4627880000000001E-2</v>
      </c>
      <c r="W6045">
        <v>0.17660279999999901</v>
      </c>
      <c r="X6045">
        <v>0.98397400000000002</v>
      </c>
      <c r="Y6045">
        <v>-4.7905530000000002E-2</v>
      </c>
      <c r="Z6045">
        <v>4.1609589999999999E-4</v>
      </c>
      <c r="AA6045">
        <v>0.99885179999999996</v>
      </c>
      <c r="AB6045">
        <v>31</v>
      </c>
      <c r="AC6045">
        <v>37.4711</v>
      </c>
      <c r="AD6045">
        <v>-1.1204548761351001</v>
      </c>
      <c r="AE6045">
        <v>3.0288200000000098</v>
      </c>
      <c r="AF6045">
        <v>-1.80839840221346</v>
      </c>
      <c r="AG6045">
        <v>-1.1204548761351001</v>
      </c>
      <c r="AH6045">
        <v>37.516386878689197</v>
      </c>
      <c r="AI6045">
        <v>91.708689935147902</v>
      </c>
      <c r="AJ6045">
        <v>92.759686287662902</v>
      </c>
      <c r="AK6045">
        <v>37.576655097840501</v>
      </c>
      <c r="AL6045">
        <v>79.828054887004598</v>
      </c>
      <c r="AM6045">
        <v>91.433756417451605</v>
      </c>
      <c r="AN6045">
        <v>0.99999995705856604</v>
      </c>
    </row>
    <row r="6046" spans="1:40" x14ac:dyDescent="0.25">
      <c r="A6046" t="str">
        <f>"20190303162938558"</f>
        <v>20190303162938558</v>
      </c>
      <c r="B6046" t="str">
        <f>"1551601778548103"</f>
        <v>1551601778548103</v>
      </c>
      <c r="C6046" t="s">
        <v>40</v>
      </c>
      <c r="D6046">
        <v>5.1595839999999997</v>
      </c>
      <c r="E6046">
        <v>0.49025039999999998</v>
      </c>
      <c r="F6046" t="s">
        <v>68</v>
      </c>
      <c r="G6046">
        <v>-210.7099</v>
      </c>
      <c r="H6046" s="1">
        <v>4.3156129999999999E-7</v>
      </c>
      <c r="I6046">
        <v>-59.052869999999999</v>
      </c>
      <c r="J6046">
        <v>-248.9359</v>
      </c>
      <c r="K6046">
        <v>1.1204670000000001</v>
      </c>
      <c r="L6046">
        <v>-62.202030000000001</v>
      </c>
      <c r="M6046">
        <v>0.99941440000000004</v>
      </c>
      <c r="N6046">
        <v>-1.185489E-2</v>
      </c>
      <c r="O6046">
        <v>3.2099080000000002E-2</v>
      </c>
      <c r="P6046">
        <v>0.98448349999999996</v>
      </c>
      <c r="Q6046">
        <v>0.1654989</v>
      </c>
      <c r="R6046">
        <v>5.8327280000000002E-2</v>
      </c>
      <c r="S6046">
        <v>3.0471339999999998</v>
      </c>
      <c r="T6046">
        <v>-8.8963990000000007E-2</v>
      </c>
      <c r="U6046">
        <v>0.25039670000000003</v>
      </c>
      <c r="V6046">
        <v>-2.6377299999999999E-2</v>
      </c>
      <c r="W6046">
        <v>0.17722179999999901</v>
      </c>
      <c r="X6046">
        <v>0.98381739999999995</v>
      </c>
      <c r="Y6046">
        <v>-4.983783E-2</v>
      </c>
      <c r="Z6046">
        <v>4.6723069999999998E-4</v>
      </c>
      <c r="AA6046">
        <v>0.99875720000000001</v>
      </c>
      <c r="AB6046">
        <v>31</v>
      </c>
      <c r="AC6046">
        <v>38.225999999999999</v>
      </c>
      <c r="AD6046">
        <v>-1.1204665684387001</v>
      </c>
      <c r="AE6046">
        <v>3.1491600000000002</v>
      </c>
      <c r="AF6046">
        <v>-1.9187938801467599</v>
      </c>
      <c r="AG6046">
        <v>-1.1204665684387001</v>
      </c>
      <c r="AH6046">
        <v>38.2747284059894</v>
      </c>
      <c r="AI6046">
        <v>91.674714021999307</v>
      </c>
      <c r="AJ6046">
        <v>92.869957117099702</v>
      </c>
      <c r="AK6046">
        <v>38.339171220016397</v>
      </c>
      <c r="AL6046">
        <v>79.792020880061898</v>
      </c>
      <c r="AM6046">
        <v>91.535799216381704</v>
      </c>
      <c r="AN6046">
        <v>1.00000000244664</v>
      </c>
    </row>
    <row r="6047" spans="1:40" x14ac:dyDescent="0.25">
      <c r="A6047" t="str">
        <f>"20190303162938570"</f>
        <v>20190303162938570</v>
      </c>
      <c r="B6047" t="str">
        <f>"1551601778557862"</f>
        <v>1551601778557862</v>
      </c>
      <c r="C6047" t="s">
        <v>40</v>
      </c>
      <c r="D6047">
        <v>5.1569940000000001</v>
      </c>
      <c r="E6047">
        <v>0.49023499999999998</v>
      </c>
      <c r="F6047" t="s">
        <v>57</v>
      </c>
      <c r="G6047">
        <v>-209.51259999999999</v>
      </c>
      <c r="H6047" s="1">
        <v>-6.7454780000000003E-7</v>
      </c>
      <c r="I6047">
        <v>-58.905940000000001</v>
      </c>
      <c r="J6047">
        <v>-248.7825</v>
      </c>
      <c r="K6047">
        <v>1.120479</v>
      </c>
      <c r="L6047">
        <v>-62.197510000000001</v>
      </c>
      <c r="M6047">
        <v>0.99942690000000001</v>
      </c>
      <c r="N6047">
        <v>-1.185453E-2</v>
      </c>
      <c r="O6047">
        <v>3.1707699999999998E-2</v>
      </c>
      <c r="P6047">
        <v>0.98422670000000001</v>
      </c>
      <c r="Q6047">
        <v>0.16642279999999901</v>
      </c>
      <c r="R6047">
        <v>6.0011149999999999E-2</v>
      </c>
      <c r="S6047">
        <v>3.0467379999999999</v>
      </c>
      <c r="T6047">
        <v>-8.6592790000000003E-2</v>
      </c>
      <c r="U6047">
        <v>0.25473020000000002</v>
      </c>
      <c r="V6047">
        <v>-2.8455310000000001E-2</v>
      </c>
      <c r="W6047">
        <v>0.17814579999999999</v>
      </c>
      <c r="X6047">
        <v>0.98359260000000004</v>
      </c>
      <c r="Y6047">
        <v>-5.1650189999999999E-2</v>
      </c>
      <c r="Z6047">
        <v>5.1568459999999997E-4</v>
      </c>
      <c r="AA6047">
        <v>0.99866509999999997</v>
      </c>
      <c r="AB6047">
        <v>31</v>
      </c>
      <c r="AC6047">
        <v>39.2699</v>
      </c>
      <c r="AD6047">
        <v>-1.1204796745478001</v>
      </c>
      <c r="AE6047">
        <v>3.2915699999999899</v>
      </c>
      <c r="AF6047">
        <v>-2.0430173720670899</v>
      </c>
      <c r="AG6047">
        <v>-1.1204796745478001</v>
      </c>
      <c r="AH6047">
        <v>39.322737078432702</v>
      </c>
      <c r="AI6047">
        <v>91.629972700206693</v>
      </c>
      <c r="AJ6047">
        <v>92.974134741713797</v>
      </c>
      <c r="AK6047">
        <v>39.391712910499201</v>
      </c>
      <c r="AL6047">
        <v>79.738223682991702</v>
      </c>
      <c r="AM6047">
        <v>91.657103310575494</v>
      </c>
      <c r="AN6047">
        <v>1.00000001674979</v>
      </c>
    </row>
    <row r="6048" spans="1:40" x14ac:dyDescent="0.25">
      <c r="A6048" t="str">
        <f>"20190303162938582"</f>
        <v>20190303162938582</v>
      </c>
      <c r="B6048" t="str">
        <f>"1551601778567622"</f>
        <v>1551601778567622</v>
      </c>
      <c r="C6048" t="s">
        <v>40</v>
      </c>
      <c r="D6048">
        <v>5.101146</v>
      </c>
      <c r="E6048">
        <v>0.4902031</v>
      </c>
      <c r="F6048" t="s">
        <v>57</v>
      </c>
      <c r="G6048">
        <v>-207.87139999999999</v>
      </c>
      <c r="H6048" s="1">
        <v>-1.7710679999999901E-6</v>
      </c>
      <c r="I6048">
        <v>-58.705649999999999</v>
      </c>
      <c r="J6048">
        <v>-248.61689999999999</v>
      </c>
      <c r="K6048">
        <v>1.120487</v>
      </c>
      <c r="L6048">
        <v>-62.192689999999999</v>
      </c>
      <c r="M6048">
        <v>0.99944029999999995</v>
      </c>
      <c r="N6048">
        <v>-1.1854160000000001E-2</v>
      </c>
      <c r="O6048">
        <v>3.128359E-2</v>
      </c>
      <c r="P6048">
        <v>0.98402529999999999</v>
      </c>
      <c r="Q6048">
        <v>0.16705500000000001</v>
      </c>
      <c r="R6048">
        <v>6.1538889999999999E-2</v>
      </c>
      <c r="S6048">
        <v>3.0463100000000001</v>
      </c>
      <c r="T6048">
        <v>-8.3432909999999999E-2</v>
      </c>
      <c r="U6048">
        <v>0.26000980000000001</v>
      </c>
      <c r="V6048">
        <v>-3.040843E-2</v>
      </c>
      <c r="W6048">
        <v>0.1787792</v>
      </c>
      <c r="X6048">
        <v>0.98341920000000005</v>
      </c>
      <c r="Y6048">
        <v>-5.3804049999999999E-2</v>
      </c>
      <c r="Z6048">
        <v>5.7051330000000003E-4</v>
      </c>
      <c r="AA6048">
        <v>0.99855139999999998</v>
      </c>
      <c r="AB6048">
        <v>31</v>
      </c>
      <c r="AC6048">
        <v>40.7454999999999</v>
      </c>
      <c r="AD6048">
        <v>-1.120488771068</v>
      </c>
      <c r="AE6048">
        <v>3.4870399999999999</v>
      </c>
      <c r="AF6048">
        <v>-2.2089196889723999</v>
      </c>
      <c r="AG6048">
        <v>-1.120488771068</v>
      </c>
      <c r="AH6048">
        <v>40.804016060315703</v>
      </c>
      <c r="AI6048">
        <v>91.570662901791493</v>
      </c>
      <c r="AJ6048">
        <v>93.098674379173403</v>
      </c>
      <c r="AK6048">
        <v>40.879121173637301</v>
      </c>
      <c r="AL6048">
        <v>79.701340253590701</v>
      </c>
      <c r="AM6048">
        <v>91.771085765509994</v>
      </c>
      <c r="AN6048">
        <v>0.99999999894817204</v>
      </c>
    </row>
    <row r="6049" spans="1:40" x14ac:dyDescent="0.25">
      <c r="A6049" t="str">
        <f>"20190303162938593"</f>
        <v>20190303162938593</v>
      </c>
      <c r="B6049" t="str">
        <f>"1551601778588119"</f>
        <v>1551601778588119</v>
      </c>
      <c r="C6049" t="s">
        <v>40</v>
      </c>
      <c r="D6049">
        <v>4.8465499999999997</v>
      </c>
      <c r="E6049">
        <v>0.49016850000000001</v>
      </c>
      <c r="F6049" t="s">
        <v>57</v>
      </c>
      <c r="G6049">
        <v>-206.3031</v>
      </c>
      <c r="H6049" s="1">
        <v>-2.819605E-6</v>
      </c>
      <c r="I6049">
        <v>-58.511409999999998</v>
      </c>
      <c r="J6049">
        <v>-248.45830000000001</v>
      </c>
      <c r="K6049">
        <v>1.120492</v>
      </c>
      <c r="L6049">
        <v>-62.188139999999997</v>
      </c>
      <c r="M6049">
        <v>0.99945300000000004</v>
      </c>
      <c r="N6049">
        <v>-1.1853829999999999E-2</v>
      </c>
      <c r="O6049">
        <v>3.0874430000000001E-2</v>
      </c>
      <c r="P6049">
        <v>0.98374589999999995</v>
      </c>
      <c r="Q6049">
        <v>0.16808970000000001</v>
      </c>
      <c r="R6049">
        <v>6.3167979999999999E-2</v>
      </c>
      <c r="S6049">
        <v>3.0458219999999998</v>
      </c>
      <c r="T6049">
        <v>-8.0654740000000003E-2</v>
      </c>
      <c r="U6049">
        <v>0.2649841</v>
      </c>
      <c r="V6049">
        <v>-3.2448560000000001E-2</v>
      </c>
      <c r="W6049">
        <v>0.1798141</v>
      </c>
      <c r="X6049">
        <v>0.98316530000000002</v>
      </c>
      <c r="Y6049">
        <v>-5.5845190000000003E-2</v>
      </c>
      <c r="Z6049">
        <v>6.1950869999999997E-4</v>
      </c>
      <c r="AA6049">
        <v>0.99843930000000003</v>
      </c>
      <c r="AB6049">
        <v>31</v>
      </c>
      <c r="AC6049">
        <v>42.155200000000001</v>
      </c>
      <c r="AD6049">
        <v>-1.120494819605</v>
      </c>
      <c r="AE6049">
        <v>3.6767300000000001</v>
      </c>
      <c r="AF6049">
        <v>-2.3717047778210998</v>
      </c>
      <c r="AG6049">
        <v>-1.120494819605</v>
      </c>
      <c r="AH6049">
        <v>42.21902258726</v>
      </c>
      <c r="AI6049">
        <v>91.517883733032207</v>
      </c>
      <c r="AJ6049">
        <v>93.215280492741499</v>
      </c>
      <c r="AK6049">
        <v>42.300429789985202</v>
      </c>
      <c r="AL6049">
        <v>79.6410682930684</v>
      </c>
      <c r="AM6049">
        <v>91.890313797934098</v>
      </c>
      <c r="AN6049">
        <v>1.00000001336448</v>
      </c>
    </row>
    <row r="6050" spans="1:40" x14ac:dyDescent="0.25">
      <c r="A6050" t="str">
        <f>"20190303162938604"</f>
        <v>20190303162938604</v>
      </c>
      <c r="B6050" t="str">
        <f>"1551601778597878"</f>
        <v>1551601778597878</v>
      </c>
      <c r="C6050" t="s">
        <v>40</v>
      </c>
      <c r="D6050">
        <v>4.8034520000000001</v>
      </c>
      <c r="E6050">
        <v>0.49018699999999998</v>
      </c>
      <c r="F6050" t="s">
        <v>57</v>
      </c>
      <c r="G6050">
        <v>-203.5187</v>
      </c>
      <c r="H6050" s="1">
        <v>-4.39456E-6</v>
      </c>
      <c r="I6050">
        <v>-58.19744</v>
      </c>
      <c r="J6050">
        <v>-248.30009999999999</v>
      </c>
      <c r="K6050">
        <v>1.1204989999999999</v>
      </c>
      <c r="L6050">
        <v>-62.18365</v>
      </c>
      <c r="M6050">
        <v>0.99946559999999995</v>
      </c>
      <c r="N6050">
        <v>-1.1853509999999999E-2</v>
      </c>
      <c r="O6050">
        <v>3.046604E-2</v>
      </c>
      <c r="P6050">
        <v>0.98352220000000001</v>
      </c>
      <c r="Q6050">
        <v>0.16867199999999999</v>
      </c>
      <c r="R6050">
        <v>6.5071580000000004E-2</v>
      </c>
      <c r="S6050">
        <v>3.0451809999999999</v>
      </c>
      <c r="T6050">
        <v>-7.5926660000000007E-2</v>
      </c>
      <c r="U6050">
        <v>0.2704163</v>
      </c>
      <c r="V6050">
        <v>-3.476154E-2</v>
      </c>
      <c r="W6050">
        <v>0.1803971</v>
      </c>
      <c r="X6050">
        <v>0.98297939999999995</v>
      </c>
      <c r="Y6050">
        <v>-5.8039599999999997E-2</v>
      </c>
      <c r="Z6050">
        <v>6.6968110000000002E-4</v>
      </c>
      <c r="AA6050">
        <v>0.99831409999999998</v>
      </c>
      <c r="AB6050">
        <v>31</v>
      </c>
      <c r="AC6050">
        <v>44.781399999999898</v>
      </c>
      <c r="AD6050">
        <v>-1.12050339455999</v>
      </c>
      <c r="AE6050">
        <v>3.9862099999999998</v>
      </c>
      <c r="AF6050">
        <v>-2.61832528881907</v>
      </c>
      <c r="AG6050">
        <v>-1.12050339455999</v>
      </c>
      <c r="AH6050">
        <v>44.854200592652397</v>
      </c>
      <c r="AI6050">
        <v>91.428578133683999</v>
      </c>
      <c r="AJ6050">
        <v>93.340800536706396</v>
      </c>
      <c r="AK6050">
        <v>44.944526540850198</v>
      </c>
      <c r="AL6050">
        <v>79.607109285652697</v>
      </c>
      <c r="AM6050">
        <v>92.025332272968996</v>
      </c>
      <c r="AN6050">
        <v>0.99999998958796998</v>
      </c>
    </row>
    <row r="6051" spans="1:40" x14ac:dyDescent="0.25">
      <c r="A6051" t="str">
        <f>"20190303162938615"</f>
        <v>20190303162938615</v>
      </c>
      <c r="B6051" t="str">
        <f>"1551601778607638"</f>
        <v>1551601778607638</v>
      </c>
      <c r="C6051" t="s">
        <v>40</v>
      </c>
      <c r="D6051">
        <v>5.1514089999999904</v>
      </c>
      <c r="E6051">
        <v>0.49024309999999899</v>
      </c>
      <c r="F6051" t="s">
        <v>57</v>
      </c>
      <c r="G6051">
        <v>-201.82859999999999</v>
      </c>
      <c r="H6051" s="1">
        <v>-5.3076300000000002E-6</v>
      </c>
      <c r="I6051">
        <v>-57.963380000000001</v>
      </c>
      <c r="J6051">
        <v>-248.1481</v>
      </c>
      <c r="K6051">
        <v>1.1205099999999999</v>
      </c>
      <c r="L6051">
        <v>-62.179409999999997</v>
      </c>
      <c r="M6051">
        <v>0.99947750000000002</v>
      </c>
      <c r="N6051">
        <v>-1.1853280000000001E-2</v>
      </c>
      <c r="O6051">
        <v>3.0072169999999999E-2</v>
      </c>
      <c r="P6051">
        <v>0.98338270000000005</v>
      </c>
      <c r="Q6051">
        <v>0.168826</v>
      </c>
      <c r="R6051">
        <v>6.6755289999999995E-2</v>
      </c>
      <c r="S6051">
        <v>3.044556</v>
      </c>
      <c r="T6051">
        <v>-7.3409199999999994E-2</v>
      </c>
      <c r="U6051">
        <v>0.27648929999999999</v>
      </c>
      <c r="V6051">
        <v>-3.6837300000000003E-2</v>
      </c>
      <c r="W6051">
        <v>0.1805532</v>
      </c>
      <c r="X6051">
        <v>0.98287519999999995</v>
      </c>
      <c r="Y6051">
        <v>-6.0426399999999998E-2</v>
      </c>
      <c r="Z6051">
        <v>7.1854199999999997E-4</v>
      </c>
      <c r="AA6051">
        <v>0.99817239999999996</v>
      </c>
      <c r="AB6051">
        <v>31</v>
      </c>
      <c r="AC6051">
        <v>46.319499999999998</v>
      </c>
      <c r="AD6051">
        <v>-1.1205153076300001</v>
      </c>
      <c r="AE6051">
        <v>4.2160299999999804</v>
      </c>
      <c r="AF6051">
        <v>-2.8194608773596102</v>
      </c>
      <c r="AG6051">
        <v>-1.1205153076300001</v>
      </c>
      <c r="AH6051">
        <v>46.398412741492599</v>
      </c>
      <c r="AI6051">
        <v>91.380870194604995</v>
      </c>
      <c r="AJ6051">
        <v>93.477377853520693</v>
      </c>
      <c r="AK6051">
        <v>46.497501213758703</v>
      </c>
      <c r="AL6051">
        <v>79.5980167537992</v>
      </c>
      <c r="AM6051">
        <v>92.146390913172098</v>
      </c>
      <c r="AN6051">
        <v>1.0000000517382801</v>
      </c>
    </row>
    <row r="6052" spans="1:40" x14ac:dyDescent="0.25">
      <c r="A6052" t="str">
        <f>"20190303162938626"</f>
        <v>20190303162938626</v>
      </c>
      <c r="B6052" t="str">
        <f>"1551601778618375"</f>
        <v>1551601778618375</v>
      </c>
      <c r="C6052" t="s">
        <v>40</v>
      </c>
      <c r="D6052">
        <v>4.8791580000000003</v>
      </c>
      <c r="E6052">
        <v>0.4903266</v>
      </c>
      <c r="F6052" t="s">
        <v>57</v>
      </c>
      <c r="G6052">
        <v>-201.11060000000001</v>
      </c>
      <c r="H6052" s="1">
        <v>-5.6865469999999999E-6</v>
      </c>
      <c r="I6052">
        <v>-57.831519999999998</v>
      </c>
      <c r="J6052">
        <v>-247.9973</v>
      </c>
      <c r="K6052">
        <v>1.120512</v>
      </c>
      <c r="L6052">
        <v>-62.175260000000002</v>
      </c>
      <c r="M6052">
        <v>0.99948919999999997</v>
      </c>
      <c r="N6052">
        <v>-1.185307E-2</v>
      </c>
      <c r="O6052">
        <v>2.9681039999999999E-2</v>
      </c>
      <c r="P6052">
        <v>0.9831242</v>
      </c>
      <c r="Q6052">
        <v>0.169624</v>
      </c>
      <c r="R6052">
        <v>6.851757E-2</v>
      </c>
      <c r="S6052">
        <v>3.044006</v>
      </c>
      <c r="T6052">
        <v>-7.2513579999999994E-2</v>
      </c>
      <c r="U6052">
        <v>0.28137210000000001</v>
      </c>
      <c r="V6052">
        <v>-3.8991480000000002E-2</v>
      </c>
      <c r="W6052">
        <v>0.18135190000000001</v>
      </c>
      <c r="X6052">
        <v>0.98264499999999999</v>
      </c>
      <c r="Y6052">
        <v>-6.242048E-2</v>
      </c>
      <c r="Z6052">
        <v>7.5868989999999998E-4</v>
      </c>
      <c r="AA6052">
        <v>0.99804970000000004</v>
      </c>
      <c r="AB6052">
        <v>31</v>
      </c>
      <c r="AC6052">
        <v>46.886699999999898</v>
      </c>
      <c r="AD6052">
        <v>-1.1205176865469999</v>
      </c>
      <c r="AE6052">
        <v>4.3437399999999897</v>
      </c>
      <c r="AF6052">
        <v>-2.9484126563924198</v>
      </c>
      <c r="AG6052">
        <v>-1.1205176865469999</v>
      </c>
      <c r="AH6052">
        <v>46.968378601741698</v>
      </c>
      <c r="AI6052">
        <v>91.363953975941001</v>
      </c>
      <c r="AJ6052">
        <v>93.591995951998399</v>
      </c>
      <c r="AK6052">
        <v>47.0741679220652</v>
      </c>
      <c r="AL6052">
        <v>79.551486167485805</v>
      </c>
      <c r="AM6052">
        <v>92.272311806965703</v>
      </c>
      <c r="AN6052">
        <v>1.0000000215856</v>
      </c>
    </row>
    <row r="6053" spans="1:40" x14ac:dyDescent="0.25">
      <c r="A6053" t="str">
        <f>"20190303162938636"</f>
        <v>20190303162938636</v>
      </c>
      <c r="B6053" t="str">
        <f>"1551601778628134"</f>
        <v>1551601778628134</v>
      </c>
      <c r="C6053" t="s">
        <v>40</v>
      </c>
      <c r="D6053">
        <v>5.0965959999999999</v>
      </c>
      <c r="E6053">
        <v>0.4904367</v>
      </c>
      <c r="F6053" t="s">
        <v>57</v>
      </c>
      <c r="G6053">
        <v>-199.13480000000001</v>
      </c>
      <c r="H6053" s="1">
        <v>-8.177889E-6</v>
      </c>
      <c r="I6053">
        <v>-57.581600000000002</v>
      </c>
      <c r="J6053">
        <v>-247.84180000000001</v>
      </c>
      <c r="K6053">
        <v>1.1205149999999999</v>
      </c>
      <c r="L6053">
        <v>-62.171050000000001</v>
      </c>
      <c r="M6053">
        <v>0.99950099999999997</v>
      </c>
      <c r="N6053">
        <v>-1.18529E-2</v>
      </c>
      <c r="O6053">
        <v>2.9277319999999999E-2</v>
      </c>
      <c r="P6053">
        <v>0.98291439999999997</v>
      </c>
      <c r="Q6053">
        <v>0.17014270000000001</v>
      </c>
      <c r="R6053">
        <v>7.0218310000000006E-2</v>
      </c>
      <c r="S6053">
        <v>3.0435789999999998</v>
      </c>
      <c r="T6053">
        <v>-6.979573E-2</v>
      </c>
      <c r="U6053">
        <v>0.28613280000000002</v>
      </c>
      <c r="V6053">
        <v>-4.1095439999999997E-2</v>
      </c>
      <c r="W6053">
        <v>0.18187139999999999</v>
      </c>
      <c r="X6053">
        <v>0.98246319999999998</v>
      </c>
      <c r="Y6053">
        <v>-6.4384529999999995E-2</v>
      </c>
      <c r="Z6053">
        <v>7.9589660000000003E-4</v>
      </c>
      <c r="AA6053">
        <v>0.9979249</v>
      </c>
      <c r="AB6053">
        <v>31</v>
      </c>
      <c r="AC6053">
        <v>48.707000000000001</v>
      </c>
      <c r="AD6053">
        <v>-1.1205231778889999</v>
      </c>
      <c r="AE6053">
        <v>4.5894499999999896</v>
      </c>
      <c r="AF6053">
        <v>-3.1597141202392698</v>
      </c>
      <c r="AG6053">
        <v>-1.1205231778889999</v>
      </c>
      <c r="AH6053">
        <v>48.794896630666301</v>
      </c>
      <c r="AI6053">
        <v>91.312757261329693</v>
      </c>
      <c r="AJ6053">
        <v>93.705016033184606</v>
      </c>
      <c r="AK6053">
        <v>48.909930512230702</v>
      </c>
      <c r="AL6053">
        <v>79.521217323867603</v>
      </c>
      <c r="AM6053">
        <v>92.3952280948387</v>
      </c>
      <c r="AN6053">
        <v>0.99999999034049603</v>
      </c>
    </row>
    <row r="6054" spans="1:40" x14ac:dyDescent="0.25">
      <c r="A6054" t="str">
        <f>"20190303162938648"</f>
        <v>20190303162938648</v>
      </c>
      <c r="B6054" t="str">
        <f>"1551601778637894"</f>
        <v>1551601778637894</v>
      </c>
      <c r="C6054" t="s">
        <v>40</v>
      </c>
      <c r="D6054">
        <v>5.1007290000000003</v>
      </c>
      <c r="E6054">
        <v>0.49045460000000002</v>
      </c>
      <c r="F6054" t="s">
        <v>57</v>
      </c>
      <c r="G6054">
        <v>-197.59960000000001</v>
      </c>
      <c r="H6054" s="1">
        <v>-8.0779049999999997E-6</v>
      </c>
      <c r="I6054">
        <v>-57.374490000000002</v>
      </c>
      <c r="J6054">
        <v>-247.69200000000001</v>
      </c>
      <c r="K6054">
        <v>1.120512</v>
      </c>
      <c r="L6054">
        <v>-62.167050000000003</v>
      </c>
      <c r="M6054">
        <v>0.99951239999999997</v>
      </c>
      <c r="N6054">
        <v>-1.185276E-2</v>
      </c>
      <c r="O6054">
        <v>2.8888009999999999E-2</v>
      </c>
      <c r="P6054">
        <v>0.98269079999999998</v>
      </c>
      <c r="Q6054">
        <v>0.17078360000000001</v>
      </c>
      <c r="R6054">
        <v>7.1776729999999997E-2</v>
      </c>
      <c r="S6054">
        <v>3.043167</v>
      </c>
      <c r="T6054">
        <v>-6.7870020000000003E-2</v>
      </c>
      <c r="U6054">
        <v>0.29052729999999999</v>
      </c>
      <c r="V6054">
        <v>-4.3042749999999998E-2</v>
      </c>
      <c r="W6054">
        <v>0.1825138</v>
      </c>
      <c r="X6054">
        <v>0.98226069999999999</v>
      </c>
      <c r="Y6054">
        <v>-6.6214200000000001E-2</v>
      </c>
      <c r="Z6054">
        <v>8.2931940000000005E-4</v>
      </c>
      <c r="AA6054">
        <v>0.9978051</v>
      </c>
      <c r="AB6054">
        <v>31</v>
      </c>
      <c r="AC6054">
        <v>50.092399999999998</v>
      </c>
      <c r="AD6054">
        <v>-1.120520077905</v>
      </c>
      <c r="AE6054">
        <v>4.7925599999999999</v>
      </c>
      <c r="AF6054">
        <v>-3.34173123342857</v>
      </c>
      <c r="AG6054">
        <v>-1.120520077905</v>
      </c>
      <c r="AH6054">
        <v>50.185064884064097</v>
      </c>
      <c r="AI6054">
        <v>91.2762485182039</v>
      </c>
      <c r="AJ6054">
        <v>93.809596730838294</v>
      </c>
      <c r="AK6054">
        <v>50.308681858096698</v>
      </c>
      <c r="AL6054">
        <v>79.483784346611102</v>
      </c>
      <c r="AM6054">
        <v>92.509100911637802</v>
      </c>
      <c r="AN6054">
        <v>1.0000000241412399</v>
      </c>
    </row>
    <row r="6055" spans="1:40" x14ac:dyDescent="0.25">
      <c r="A6055" t="str">
        <f>"20190303162938659"</f>
        <v>20190303162938659</v>
      </c>
      <c r="B6055" t="str">
        <f>"1551601778647654"</f>
        <v>1551601778647654</v>
      </c>
      <c r="C6055" t="s">
        <v>40</v>
      </c>
      <c r="D6055">
        <v>5.0515280000000002</v>
      </c>
      <c r="E6055">
        <v>0.49032500000000001</v>
      </c>
      <c r="F6055" t="s">
        <v>57</v>
      </c>
      <c r="G6055">
        <v>-195.92240000000001</v>
      </c>
      <c r="H6055" s="1">
        <v>-7.9703429999999999E-6</v>
      </c>
      <c r="I6055">
        <v>-57.143469999999901</v>
      </c>
      <c r="J6055">
        <v>-247.53190000000001</v>
      </c>
      <c r="K6055">
        <v>1.1205160000000001</v>
      </c>
      <c r="L6055">
        <v>-62.16281</v>
      </c>
      <c r="M6055">
        <v>0.99952430000000003</v>
      </c>
      <c r="N6055">
        <v>-1.1852629999999999E-2</v>
      </c>
      <c r="O6055">
        <v>2.847098E-2</v>
      </c>
      <c r="P6055">
        <v>0.98244799999999999</v>
      </c>
      <c r="Q6055">
        <v>0.17157210000000001</v>
      </c>
      <c r="R6055">
        <v>7.3204950000000005E-2</v>
      </c>
      <c r="S6055">
        <v>3.0427249999999999</v>
      </c>
      <c r="T6055">
        <v>-6.5857890000000002E-2</v>
      </c>
      <c r="U6055">
        <v>0.29525759999999901</v>
      </c>
      <c r="V6055">
        <v>-4.4887000000000003E-2</v>
      </c>
      <c r="W6055">
        <v>0.1833023</v>
      </c>
      <c r="X6055">
        <v>0.98203130000000005</v>
      </c>
      <c r="Y6055">
        <v>-6.8181340000000007E-2</v>
      </c>
      <c r="Z6055">
        <v>8.6351780000000001E-4</v>
      </c>
      <c r="AA6055">
        <v>0.99767260000000002</v>
      </c>
      <c r="AB6055">
        <v>31</v>
      </c>
      <c r="AC6055">
        <v>51.609499999999997</v>
      </c>
      <c r="AD6055">
        <v>-1.1205239703429899</v>
      </c>
      <c r="AE6055">
        <v>5.0193399999999997</v>
      </c>
      <c r="AF6055">
        <v>-3.5461726609907398</v>
      </c>
      <c r="AG6055">
        <v>-1.1205239703429899</v>
      </c>
      <c r="AH6055">
        <v>51.707345065100903</v>
      </c>
      <c r="AI6055">
        <v>91.238525491028795</v>
      </c>
      <c r="AJ6055">
        <v>93.9232931683391</v>
      </c>
      <c r="AK6055">
        <v>51.840914808586199</v>
      </c>
      <c r="AL6055">
        <v>79.437831409053402</v>
      </c>
      <c r="AM6055">
        <v>92.617072212738506</v>
      </c>
      <c r="AN6055">
        <v>1.00000002506698</v>
      </c>
    </row>
    <row r="6056" spans="1:40" x14ac:dyDescent="0.25">
      <c r="A6056" t="str">
        <f>"20190303162938671"</f>
        <v>20190303162938671</v>
      </c>
      <c r="B6056" t="str">
        <f>"1551601778657414"</f>
        <v>1551601778657414</v>
      </c>
      <c r="C6056" t="s">
        <v>40</v>
      </c>
      <c r="D6056">
        <v>5.063574</v>
      </c>
      <c r="E6056">
        <v>0.49032500000000001</v>
      </c>
      <c r="F6056" t="s">
        <v>57</v>
      </c>
      <c r="G6056">
        <v>-194.3006</v>
      </c>
      <c r="H6056" s="1">
        <v>-7.8742660000000005E-6</v>
      </c>
      <c r="I6056">
        <v>-56.897480000000002</v>
      </c>
      <c r="J6056">
        <v>-247.36959999999999</v>
      </c>
      <c r="K6056">
        <v>1.120514</v>
      </c>
      <c r="L6056">
        <v>-62.158630000000002</v>
      </c>
      <c r="M6056">
        <v>0.99953639999999999</v>
      </c>
      <c r="N6056">
        <v>-1.185252E-2</v>
      </c>
      <c r="O6056">
        <v>2.804721E-2</v>
      </c>
      <c r="P6056">
        <v>0.98218039999999995</v>
      </c>
      <c r="Q6056">
        <v>0.17266689999999901</v>
      </c>
      <c r="R6056">
        <v>7.4215320000000001E-2</v>
      </c>
      <c r="S6056">
        <v>3.0423740000000001</v>
      </c>
      <c r="T6056">
        <v>-6.4042210000000002E-2</v>
      </c>
      <c r="U6056">
        <v>0.30093379999999997</v>
      </c>
      <c r="V6056">
        <v>-4.6319119999999998E-2</v>
      </c>
      <c r="W6056">
        <v>0.1843958</v>
      </c>
      <c r="X6056">
        <v>0.98175999999999997</v>
      </c>
      <c r="Y6056">
        <v>-7.0459060000000004E-2</v>
      </c>
      <c r="Z6056">
        <v>9.0149160000000002E-4</v>
      </c>
      <c r="AA6056">
        <v>0.99751420000000002</v>
      </c>
      <c r="AB6056">
        <v>31</v>
      </c>
      <c r="AC6056">
        <v>53.068999999999903</v>
      </c>
      <c r="AD6056">
        <v>-1.1205218742659999</v>
      </c>
      <c r="AE6056">
        <v>5.2611499999999998</v>
      </c>
      <c r="AF6056">
        <v>-3.7688742458885902</v>
      </c>
      <c r="AG6056">
        <v>-1.1205218742659999</v>
      </c>
      <c r="AH6056">
        <v>53.172216153257096</v>
      </c>
      <c r="AI6056">
        <v>91.204220533191901</v>
      </c>
      <c r="AJ6056">
        <v>94.054373837815604</v>
      </c>
      <c r="AK6056">
        <v>53.317394469354198</v>
      </c>
      <c r="AL6056">
        <v>79.374091568221601</v>
      </c>
      <c r="AM6056">
        <v>92.701193361968905</v>
      </c>
      <c r="AN6056">
        <v>0.99999998476760699</v>
      </c>
    </row>
    <row r="6057" spans="1:40" x14ac:dyDescent="0.25">
      <c r="A6057" t="str">
        <f>"20190303162938683"</f>
        <v>20190303162938683</v>
      </c>
      <c r="B6057" t="str">
        <f>"1551601778677911"</f>
        <v>1551601778677911</v>
      </c>
      <c r="C6057" t="s">
        <v>40</v>
      </c>
      <c r="D6057">
        <v>5.0517719999999997</v>
      </c>
      <c r="E6057">
        <v>0.47876639999999998</v>
      </c>
      <c r="F6057" t="s">
        <v>57</v>
      </c>
      <c r="G6057">
        <v>-191.15010000000001</v>
      </c>
      <c r="H6057" s="1">
        <v>-7.6804950000000001E-6</v>
      </c>
      <c r="I6057">
        <v>-56.535159999999998</v>
      </c>
      <c r="J6057">
        <v>-247.19759999999999</v>
      </c>
      <c r="K6057">
        <v>1.1205149999999999</v>
      </c>
      <c r="L6057">
        <v>-62.154209999999999</v>
      </c>
      <c r="M6057">
        <v>0.99954889999999996</v>
      </c>
      <c r="N6057">
        <v>-1.1852410000000001E-2</v>
      </c>
      <c r="O6057">
        <v>2.7597799999999999E-2</v>
      </c>
      <c r="P6057">
        <v>0.98207800000000001</v>
      </c>
      <c r="Q6057">
        <v>0.1729435</v>
      </c>
      <c r="R6057">
        <v>7.4919970000000002E-2</v>
      </c>
      <c r="S6057">
        <v>3.042084</v>
      </c>
      <c r="T6057">
        <v>-6.0632350000000002E-2</v>
      </c>
      <c r="U6057">
        <v>0.30429079999999997</v>
      </c>
      <c r="V6057">
        <v>-4.746819E-2</v>
      </c>
      <c r="W6057">
        <v>0.18467320000000001</v>
      </c>
      <c r="X6057">
        <v>0.981653</v>
      </c>
      <c r="Y6057">
        <v>-7.2008039999999995E-2</v>
      </c>
      <c r="Z6057">
        <v>9.2166100000000005E-4</v>
      </c>
      <c r="AA6057">
        <v>0.99740359999999995</v>
      </c>
      <c r="AB6057">
        <v>31</v>
      </c>
      <c r="AC6057">
        <v>56.0474999999999</v>
      </c>
      <c r="AD6057">
        <v>-1.1205226804949999</v>
      </c>
      <c r="AE6057">
        <v>5.6190499999999997</v>
      </c>
      <c r="AF6057">
        <v>-4.0684032512604897</v>
      </c>
      <c r="AG6057">
        <v>-1.1205226804949999</v>
      </c>
      <c r="AH6057">
        <v>56.159010156444403</v>
      </c>
      <c r="AI6057">
        <v>91.140065672601295</v>
      </c>
      <c r="AJ6057">
        <v>94.143517242851999</v>
      </c>
      <c r="AK6057">
        <v>56.317332126477702</v>
      </c>
      <c r="AL6057">
        <v>79.357920326261294</v>
      </c>
      <c r="AM6057">
        <v>92.768401995810805</v>
      </c>
      <c r="AN6057">
        <v>1.0000000161345499</v>
      </c>
    </row>
    <row r="6058" spans="1:40" x14ac:dyDescent="0.25">
      <c r="A6058" t="str">
        <f>"20190303162938695"</f>
        <v>20190303162938695</v>
      </c>
      <c r="B6058" t="str">
        <f>"1551601778687670"</f>
        <v>1551601778687670</v>
      </c>
      <c r="C6058" t="s">
        <v>40</v>
      </c>
      <c r="D6058">
        <v>4.8180540000000001</v>
      </c>
      <c r="E6058">
        <v>0.4787689</v>
      </c>
      <c r="F6058" t="s">
        <v>57</v>
      </c>
      <c r="G6058">
        <v>-207.73570000000001</v>
      </c>
      <c r="H6058" s="1">
        <v>-2.318143E-6</v>
      </c>
      <c r="I6058">
        <v>-56.973750000000003</v>
      </c>
      <c r="J6058">
        <v>-247.03280000000001</v>
      </c>
      <c r="K6058">
        <v>1.120512</v>
      </c>
      <c r="L6058">
        <v>-62.150089999999999</v>
      </c>
      <c r="M6058">
        <v>0.99956080000000003</v>
      </c>
      <c r="N6058">
        <v>-1.1852400000000001E-2</v>
      </c>
      <c r="O6058">
        <v>2.7166320000000001E-2</v>
      </c>
      <c r="P6058">
        <v>0.98197789999999996</v>
      </c>
      <c r="Q6058">
        <v>0.17319179999999901</v>
      </c>
      <c r="R6058">
        <v>7.5658119999999995E-2</v>
      </c>
      <c r="S6058">
        <v>3.0395050000000001</v>
      </c>
      <c r="T6058">
        <v>-8.6306450000000007E-2</v>
      </c>
      <c r="U6058">
        <v>0.39901730000000002</v>
      </c>
      <c r="V6058">
        <v>-4.863278E-2</v>
      </c>
      <c r="W6058">
        <v>0.18492249999999999</v>
      </c>
      <c r="X6058">
        <v>0.981549</v>
      </c>
      <c r="Y6058">
        <v>-0.103120699999999</v>
      </c>
      <c r="Z6058">
        <v>1.6246570000000001E-3</v>
      </c>
      <c r="AA6058">
        <v>0.99466750000000004</v>
      </c>
      <c r="AB6058">
        <v>31</v>
      </c>
      <c r="AC6058">
        <v>39.2971</v>
      </c>
      <c r="AD6058">
        <v>-1.120514318143</v>
      </c>
      <c r="AE6058">
        <v>5.1763399999999997</v>
      </c>
      <c r="AF6058">
        <v>-4.10351741366713</v>
      </c>
      <c r="AG6058">
        <v>-1.120514318143</v>
      </c>
      <c r="AH6058">
        <v>39.391745472730797</v>
      </c>
      <c r="AI6058">
        <v>91.620597758998699</v>
      </c>
      <c r="AJ6058">
        <v>95.947166076771794</v>
      </c>
      <c r="AK6058">
        <v>39.620752376624999</v>
      </c>
      <c r="AL6058">
        <v>79.343385542587697</v>
      </c>
      <c r="AM6058">
        <v>92.836512732365506</v>
      </c>
      <c r="AN6058">
        <v>0.99999995884888804</v>
      </c>
    </row>
    <row r="6059" spans="1:40" x14ac:dyDescent="0.25">
      <c r="A6059" t="str">
        <f>"20190303162938706"</f>
        <v>20190303162938706</v>
      </c>
      <c r="B6059" t="str">
        <f>"1551601778697431"</f>
        <v>1551601778697431</v>
      </c>
      <c r="C6059" t="s">
        <v>40</v>
      </c>
      <c r="D6059">
        <v>5.0537739999999998</v>
      </c>
      <c r="E6059">
        <v>0.4794757</v>
      </c>
      <c r="F6059" t="s">
        <v>57</v>
      </c>
      <c r="G6059">
        <v>-206.91040000000001</v>
      </c>
      <c r="H6059" s="1">
        <v>-2.8765919999999999E-6</v>
      </c>
      <c r="I6059">
        <v>-56.846310000000003</v>
      </c>
      <c r="J6059">
        <v>-246.88130000000001</v>
      </c>
      <c r="K6059">
        <v>1.120506</v>
      </c>
      <c r="L6059">
        <v>-62.146360000000001</v>
      </c>
      <c r="M6059">
        <v>0.99957149999999995</v>
      </c>
      <c r="N6059">
        <v>-1.1852390000000001E-2</v>
      </c>
      <c r="O6059">
        <v>2.6769709999999999E-2</v>
      </c>
      <c r="P6059">
        <v>0.98205609999999999</v>
      </c>
      <c r="Q6059">
        <v>0.17259150000000001</v>
      </c>
      <c r="R6059">
        <v>7.6013590000000006E-2</v>
      </c>
      <c r="S6059">
        <v>3.0390630000000001</v>
      </c>
      <c r="T6059">
        <v>-8.4873320000000002E-2</v>
      </c>
      <c r="U6059">
        <v>0.40173340000000002</v>
      </c>
      <c r="V6059">
        <v>-4.9376509999999998E-2</v>
      </c>
      <c r="W6059">
        <v>0.18432499999999999</v>
      </c>
      <c r="X6059">
        <v>0.98162430000000001</v>
      </c>
      <c r="Y6059">
        <v>-0.104408399999999</v>
      </c>
      <c r="Z6059">
        <v>1.6451739999999999E-3</v>
      </c>
      <c r="AA6059">
        <v>0.99453309999999995</v>
      </c>
      <c r="AB6059">
        <v>31</v>
      </c>
      <c r="AC6059">
        <v>39.9709</v>
      </c>
      <c r="AD6059">
        <v>-1.1205088765919999</v>
      </c>
      <c r="AE6059">
        <v>5.3000499999999899</v>
      </c>
      <c r="AF6059">
        <v>-4.2248032032736704</v>
      </c>
      <c r="AG6059">
        <v>-1.1205088765919999</v>
      </c>
      <c r="AH6059">
        <v>40.067521015207603</v>
      </c>
      <c r="AI6059">
        <v>91.593061706082693</v>
      </c>
      <c r="AJ6059">
        <v>96.019145537169507</v>
      </c>
      <c r="AK6059">
        <v>40.305219792888103</v>
      </c>
      <c r="AL6059">
        <v>79.378219083139399</v>
      </c>
      <c r="AM6059">
        <v>92.879597863947595</v>
      </c>
      <c r="AN6059">
        <v>1.0000000058576299</v>
      </c>
    </row>
    <row r="6060" spans="1:40" x14ac:dyDescent="0.25">
      <c r="A6060" t="str">
        <f>"20190303162938716"</f>
        <v>20190303162938716</v>
      </c>
      <c r="B6060" t="str">
        <f>"1551601778708166"</f>
        <v>1551601778708166</v>
      </c>
      <c r="C6060" t="s">
        <v>40</v>
      </c>
      <c r="D6060">
        <v>4.8289119999999999</v>
      </c>
      <c r="E6060">
        <v>0.480049</v>
      </c>
      <c r="F6060" t="s">
        <v>57</v>
      </c>
      <c r="G6060">
        <v>-207.07310000000001</v>
      </c>
      <c r="H6060" s="1">
        <v>-2.7490790000000001E-6</v>
      </c>
      <c r="I6060">
        <v>-56.936900000000001</v>
      </c>
      <c r="J6060">
        <v>-246.73009999999999</v>
      </c>
      <c r="K6060">
        <v>1.1204970000000001</v>
      </c>
      <c r="L6060">
        <v>-62.14273</v>
      </c>
      <c r="M6060">
        <v>0.99958199999999997</v>
      </c>
      <c r="N6060">
        <v>-1.1852349999999999E-2</v>
      </c>
      <c r="O6060">
        <v>2.637304E-2</v>
      </c>
      <c r="P6060">
        <v>0.9821278</v>
      </c>
      <c r="Q6060">
        <v>0.17212450000000001</v>
      </c>
      <c r="R6060">
        <v>7.6147359999999997E-2</v>
      </c>
      <c r="S6060">
        <v>3.0390779999999999</v>
      </c>
      <c r="T6060">
        <v>-8.5543040000000001E-2</v>
      </c>
      <c r="U6060">
        <v>0.39770509999999998</v>
      </c>
      <c r="V6060">
        <v>-4.9900029999999998E-2</v>
      </c>
      <c r="W6060">
        <v>0.1838591</v>
      </c>
      <c r="X6060">
        <v>0.98168520000000004</v>
      </c>
      <c r="Y6060">
        <v>-0.10350620000000001</v>
      </c>
      <c r="Z6060">
        <v>1.6391859999999999E-3</v>
      </c>
      <c r="AA6060">
        <v>0.9946275</v>
      </c>
      <c r="AB6060">
        <v>31</v>
      </c>
      <c r="AC6060">
        <v>39.656999999999897</v>
      </c>
      <c r="AD6060">
        <v>-1.1204997490790001</v>
      </c>
      <c r="AE6060">
        <v>5.2058299999999997</v>
      </c>
      <c r="AF6060">
        <v>-4.1548092599489603</v>
      </c>
      <c r="AG6060">
        <v>-1.1204997490790001</v>
      </c>
      <c r="AH6060">
        <v>39.749311799885298</v>
      </c>
      <c r="AI6060">
        <v>91.605947875562407</v>
      </c>
      <c r="AJ6060">
        <v>95.967190650045495</v>
      </c>
      <c r="AK6060">
        <v>39.981567606070001</v>
      </c>
      <c r="AL6060">
        <v>79.405377358448703</v>
      </c>
      <c r="AM6060">
        <v>92.909896698992299</v>
      </c>
      <c r="AN6060">
        <v>1.00000000677292</v>
      </c>
    </row>
    <row r="6061" spans="1:40" x14ac:dyDescent="0.25">
      <c r="A6061" t="str">
        <f>"20190303162938727"</f>
        <v>20190303162938727</v>
      </c>
      <c r="B6061" t="str">
        <f>"1551601778717926"</f>
        <v>1551601778717926</v>
      </c>
      <c r="C6061" t="s">
        <v>40</v>
      </c>
      <c r="D6061">
        <v>4.761889</v>
      </c>
      <c r="E6061">
        <v>0.480049</v>
      </c>
      <c r="F6061" t="s">
        <v>57</v>
      </c>
      <c r="G6061">
        <v>-207.15270000000001</v>
      </c>
      <c r="H6061" s="1">
        <v>-2.679049E-6</v>
      </c>
      <c r="I6061">
        <v>-57.01</v>
      </c>
      <c r="J6061">
        <v>-246.5838</v>
      </c>
      <c r="K6061">
        <v>1.120484</v>
      </c>
      <c r="L6061">
        <v>-62.139220000000002</v>
      </c>
      <c r="M6061">
        <v>0.99959189999999998</v>
      </c>
      <c r="N6061">
        <v>-1.185232E-2</v>
      </c>
      <c r="O6061">
        <v>2.5989370000000001E-2</v>
      </c>
      <c r="P6061">
        <v>0.98242910000000006</v>
      </c>
      <c r="Q6061">
        <v>0.17042689999999999</v>
      </c>
      <c r="R6061">
        <v>7.6076930000000001E-2</v>
      </c>
      <c r="S6061">
        <v>3.0390929999999998</v>
      </c>
      <c r="T6061">
        <v>-8.6041690000000004E-2</v>
      </c>
      <c r="U6061">
        <v>0.3941345</v>
      </c>
      <c r="V6061">
        <v>-5.0202129999999998E-2</v>
      </c>
      <c r="W6061">
        <v>0.18216589999999999</v>
      </c>
      <c r="X6061">
        <v>0.98198540000000001</v>
      </c>
      <c r="Y6061">
        <v>-0.1027381</v>
      </c>
      <c r="Z6061">
        <v>1.634227E-3</v>
      </c>
      <c r="AA6061">
        <v>0.99470709999999996</v>
      </c>
      <c r="AB6061">
        <v>31</v>
      </c>
      <c r="AC6061">
        <v>39.431100000000001</v>
      </c>
      <c r="AD6061">
        <v>-1.120486679049</v>
      </c>
      <c r="AE6061">
        <v>5.1292199999999903</v>
      </c>
      <c r="AF6061">
        <v>-4.0993706046722398</v>
      </c>
      <c r="AG6061">
        <v>-1.120486679049</v>
      </c>
      <c r="AH6061">
        <v>39.519712960434497</v>
      </c>
      <c r="AI6061">
        <v>91.615386543278703</v>
      </c>
      <c r="AJ6061">
        <v>95.922098119934205</v>
      </c>
      <c r="AK6061">
        <v>39.747553915021101</v>
      </c>
      <c r="AL6061">
        <v>79.504057130522398</v>
      </c>
      <c r="AM6061">
        <v>92.926589568797198</v>
      </c>
      <c r="AN6061">
        <v>0.999999997396253</v>
      </c>
    </row>
    <row r="6062" spans="1:40" x14ac:dyDescent="0.25">
      <c r="A6062" t="str">
        <f>"20190303162938737"</f>
        <v>20190303162938737</v>
      </c>
      <c r="B6062" t="str">
        <f>"1551601778727687"</f>
        <v>1551601778727687</v>
      </c>
      <c r="C6062" t="s">
        <v>40</v>
      </c>
      <c r="D6062">
        <v>4.866498</v>
      </c>
      <c r="E6062">
        <v>0.48368030000000001</v>
      </c>
      <c r="F6062" t="s">
        <v>57</v>
      </c>
      <c r="G6062">
        <v>-209.22970000000001</v>
      </c>
      <c r="H6062" s="1">
        <v>-1.284263E-6</v>
      </c>
      <c r="I6062">
        <v>-57.290430000000001</v>
      </c>
      <c r="J6062">
        <v>-246.4393</v>
      </c>
      <c r="K6062">
        <v>1.120468</v>
      </c>
      <c r="L6062">
        <v>-62.135860000000001</v>
      </c>
      <c r="M6062">
        <v>0.99960190000000004</v>
      </c>
      <c r="N6062">
        <v>-1.185231E-2</v>
      </c>
      <c r="O6062">
        <v>2.5609340000000001E-2</v>
      </c>
      <c r="P6062">
        <v>0.98276289999999999</v>
      </c>
      <c r="Q6062">
        <v>0.16859360000000001</v>
      </c>
      <c r="R6062">
        <v>7.5850550000000003E-2</v>
      </c>
      <c r="S6062">
        <v>3.0389249999999999</v>
      </c>
      <c r="T6062">
        <v>-9.1156479999999998E-2</v>
      </c>
      <c r="U6062">
        <v>0.39447019999999999</v>
      </c>
      <c r="V6062">
        <v>-5.034346E-2</v>
      </c>
      <c r="W6062">
        <v>0.1803361</v>
      </c>
      <c r="X6062">
        <v>0.98231579999999996</v>
      </c>
      <c r="Y6062">
        <v>-0.10322580000000001</v>
      </c>
      <c r="Z6062">
        <v>1.6938400000000001E-3</v>
      </c>
      <c r="AA6062">
        <v>0.99465650000000005</v>
      </c>
      <c r="AB6062">
        <v>31</v>
      </c>
      <c r="AC6062">
        <v>37.209600000000002</v>
      </c>
      <c r="AD6062">
        <v>-1.120469284263</v>
      </c>
      <c r="AE6062">
        <v>4.8454299999999897</v>
      </c>
      <c r="AF6062">
        <v>-3.8873943639964099</v>
      </c>
      <c r="AG6062">
        <v>-1.120469284263</v>
      </c>
      <c r="AH6062">
        <v>37.2882439985571</v>
      </c>
      <c r="AI6062">
        <v>91.711882872183807</v>
      </c>
      <c r="AJ6062">
        <v>95.951730702989593</v>
      </c>
      <c r="AK6062">
        <v>37.507071691270902</v>
      </c>
      <c r="AL6062">
        <v>79.610662209006506</v>
      </c>
      <c r="AM6062">
        <v>92.933828782316795</v>
      </c>
      <c r="AN6062">
        <v>0.99999995192880897</v>
      </c>
    </row>
    <row r="6063" spans="1:40" x14ac:dyDescent="0.25">
      <c r="A6063" t="str">
        <f>"20190303162938749"</f>
        <v>20190303162938749</v>
      </c>
      <c r="B6063" t="str">
        <f>"1551601778737448"</f>
        <v>1551601778737448</v>
      </c>
      <c r="C6063" t="s">
        <v>40</v>
      </c>
      <c r="D6063">
        <v>3.7948710000000001</v>
      </c>
      <c r="E6063">
        <v>0.48368030000000001</v>
      </c>
      <c r="F6063" t="s">
        <v>68</v>
      </c>
      <c r="G6063">
        <v>-214.40350000000001</v>
      </c>
      <c r="H6063" s="1">
        <v>-1.228923E-6</v>
      </c>
      <c r="I6063">
        <v>-58.29325</v>
      </c>
      <c r="J6063">
        <v>-246.27869999999999</v>
      </c>
      <c r="K6063">
        <v>1.1204449999999999</v>
      </c>
      <c r="L6063">
        <v>-62.132170000000002</v>
      </c>
      <c r="M6063">
        <v>0.99961259999999996</v>
      </c>
      <c r="N6063">
        <v>-1.185231E-2</v>
      </c>
      <c r="O6063">
        <v>2.5186989999999999E-2</v>
      </c>
      <c r="P6063">
        <v>0.98315469999999905</v>
      </c>
      <c r="Q6063">
        <v>0.1662739</v>
      </c>
      <c r="R6063">
        <v>7.5897409999999998E-2</v>
      </c>
      <c r="S6063">
        <v>3.0427089999999999</v>
      </c>
      <c r="T6063">
        <v>-0.1064205</v>
      </c>
      <c r="U6063">
        <v>0.3649597</v>
      </c>
      <c r="V6063">
        <v>-5.080084E-2</v>
      </c>
      <c r="W6063">
        <v>0.1780224</v>
      </c>
      <c r="X6063">
        <v>0.98271419999999998</v>
      </c>
      <c r="Y6063">
        <v>-9.3975310000000006E-2</v>
      </c>
      <c r="Z6063">
        <v>1.61663E-3</v>
      </c>
      <c r="AA6063">
        <v>0.99557320000000005</v>
      </c>
      <c r="AB6063">
        <v>31</v>
      </c>
      <c r="AC6063">
        <v>31.8751999999999</v>
      </c>
      <c r="AD6063">
        <v>-1.1204462289229999</v>
      </c>
      <c r="AE6063">
        <v>3.8389199999999901</v>
      </c>
      <c r="AF6063">
        <v>-3.03111362321143</v>
      </c>
      <c r="AG6063">
        <v>-1.1204462289229999</v>
      </c>
      <c r="AH6063">
        <v>31.922904191705499</v>
      </c>
      <c r="AI6063">
        <v>92.001177654282003</v>
      </c>
      <c r="AJ6063">
        <v>95.424033567369406</v>
      </c>
      <c r="AK6063">
        <v>32.086054004528698</v>
      </c>
      <c r="AL6063">
        <v>79.745408138357007</v>
      </c>
      <c r="AM6063">
        <v>92.959237928209902</v>
      </c>
      <c r="AN6063">
        <v>0.99999994956405103</v>
      </c>
    </row>
    <row r="6064" spans="1:40" x14ac:dyDescent="0.25">
      <c r="A6064" t="str">
        <f>"20190303162938837"</f>
        <v>20190303162938837</v>
      </c>
      <c r="B6064" t="str">
        <f>"1551601778828215"</f>
        <v>1551601778828215</v>
      </c>
      <c r="C6064" t="s">
        <v>40</v>
      </c>
      <c r="D6064">
        <v>4.2095209999999996</v>
      </c>
      <c r="E6064">
        <v>0.51246170000000002</v>
      </c>
      <c r="F6064" t="s">
        <v>68</v>
      </c>
      <c r="G6064">
        <v>-216.2861</v>
      </c>
      <c r="H6064" s="1">
        <v>-1.9935219999999998E-6</v>
      </c>
      <c r="I6064">
        <v>-58.535850000000003</v>
      </c>
      <c r="J6064">
        <v>-245.03059999999999</v>
      </c>
      <c r="K6064">
        <v>1.120387</v>
      </c>
      <c r="L6064">
        <v>-62.10568</v>
      </c>
      <c r="M6064">
        <v>0.99968990000000002</v>
      </c>
      <c r="N6064">
        <v>-1.1852700000000001E-2</v>
      </c>
      <c r="O6064">
        <v>2.1900780000000002E-2</v>
      </c>
      <c r="P6064">
        <v>0.98450360000000003</v>
      </c>
      <c r="Q6064">
        <v>0.15906329999999999</v>
      </c>
      <c r="R6064">
        <v>7.3836680000000002E-2</v>
      </c>
      <c r="S6064">
        <v>3.042465</v>
      </c>
      <c r="T6064">
        <v>-0.11365889999999999</v>
      </c>
      <c r="U6064">
        <v>0.3648071</v>
      </c>
      <c r="V6064">
        <v>-5.1960319999999997E-2</v>
      </c>
      <c r="W6064">
        <v>0.17082739999999999</v>
      </c>
      <c r="X6064">
        <v>0.98392990000000002</v>
      </c>
      <c r="Y6064">
        <v>-9.7195980000000001E-2</v>
      </c>
      <c r="Z6064">
        <v>1.830815E-3</v>
      </c>
      <c r="AA6064">
        <v>0.99526360000000003</v>
      </c>
      <c r="AB6064">
        <v>31</v>
      </c>
      <c r="AC6064">
        <v>28.744499999999899</v>
      </c>
      <c r="AD6064">
        <v>-1.1203889935219999</v>
      </c>
      <c r="AE6064">
        <v>3.5698300000000001</v>
      </c>
      <c r="AF6064">
        <v>-2.9350111907428</v>
      </c>
      <c r="AG6064">
        <v>-1.1203889935219999</v>
      </c>
      <c r="AH6064">
        <v>28.772743280312799</v>
      </c>
      <c r="AI6064">
        <v>92.218427678190594</v>
      </c>
      <c r="AJ6064">
        <v>95.824404683267701</v>
      </c>
      <c r="AK6064">
        <v>28.9437440228692</v>
      </c>
      <c r="AL6064">
        <v>80.164070306397605</v>
      </c>
      <c r="AM6064">
        <v>93.022922826219201</v>
      </c>
      <c r="AN6064">
        <v>0.99999996177963502</v>
      </c>
    </row>
    <row r="6065" spans="1:40" x14ac:dyDescent="0.25">
      <c r="A6065" t="str">
        <f>"20190303162938849"</f>
        <v>20190303162938849</v>
      </c>
      <c r="B6065" t="str">
        <f>"1551601778837975"</f>
        <v>1551601778837975</v>
      </c>
      <c r="C6065" t="s">
        <v>40</v>
      </c>
      <c r="D6065">
        <v>4.4487170000000003</v>
      </c>
      <c r="E6065">
        <v>0.51246170000000002</v>
      </c>
      <c r="F6065" t="s">
        <v>44</v>
      </c>
      <c r="G6065">
        <v>-244.34030000000001</v>
      </c>
      <c r="H6065">
        <v>0.79976630000000004</v>
      </c>
      <c r="I6065">
        <v>-62.078290000000003</v>
      </c>
      <c r="J6065">
        <v>-244.87039999999999</v>
      </c>
      <c r="K6065">
        <v>1.1203920000000001</v>
      </c>
      <c r="L6065">
        <v>-62.102600000000002</v>
      </c>
      <c r="M6065">
        <v>0.99969920000000001</v>
      </c>
      <c r="N6065">
        <v>-1.185277E-2</v>
      </c>
      <c r="O6065">
        <v>2.1479149999999999E-2</v>
      </c>
      <c r="P6065">
        <v>0.98430620000000002</v>
      </c>
      <c r="Q6065">
        <v>0.16024189999999999</v>
      </c>
      <c r="R6065">
        <v>7.3919960000000007E-2</v>
      </c>
      <c r="S6065">
        <v>3.2838289999999999</v>
      </c>
      <c r="T6065">
        <v>-1.5251159999999999</v>
      </c>
      <c r="U6065">
        <v>0.13070680000000001</v>
      </c>
      <c r="V6065">
        <v>-5.2461269999999997E-2</v>
      </c>
      <c r="W6065">
        <v>0.17200470000000001</v>
      </c>
      <c r="X6065">
        <v>0.98369819999999997</v>
      </c>
      <c r="Y6065">
        <v>-1.8445059999999999E-2</v>
      </c>
      <c r="Z6065">
        <v>-5.0539649999999997E-3</v>
      </c>
      <c r="AA6065">
        <v>0.99981710000000001</v>
      </c>
      <c r="AB6065">
        <v>31</v>
      </c>
      <c r="AC6065">
        <v>0.53009999999997603</v>
      </c>
      <c r="AD6065">
        <v>-0.32062570000000001</v>
      </c>
      <c r="AE6065">
        <v>2.4309999999999801E-2</v>
      </c>
      <c r="AF6065">
        <v>-9.4629249437738396E-3</v>
      </c>
      <c r="AG6065">
        <v>-0.32062570000000001</v>
      </c>
      <c r="AH6065">
        <v>0.38862646416087998</v>
      </c>
      <c r="AI6065">
        <v>129.515073782211</v>
      </c>
      <c r="AJ6065">
        <v>91.394857515191106</v>
      </c>
      <c r="AK6065">
        <v>0.50390566090804101</v>
      </c>
      <c r="AL6065">
        <v>80.0956027027148</v>
      </c>
      <c r="AM6065">
        <v>93.052729531848001</v>
      </c>
      <c r="AN6065">
        <v>0.99999997517767103</v>
      </c>
    </row>
    <row r="6066" spans="1:40" x14ac:dyDescent="0.25">
      <c r="A6066" t="str">
        <f>"20190303162938860"</f>
        <v>20190303162938860</v>
      </c>
      <c r="B6066" t="str">
        <f>"1551601778858053"</f>
        <v>1551601778858053</v>
      </c>
      <c r="C6066" t="s">
        <v>40</v>
      </c>
      <c r="D6066">
        <v>4.6822319999999999</v>
      </c>
      <c r="E6066">
        <v>0.50172919999999999</v>
      </c>
      <c r="F6066" t="s">
        <v>44</v>
      </c>
      <c r="G6066">
        <v>-244.0772</v>
      </c>
      <c r="H6066">
        <v>0.75316359999999904</v>
      </c>
      <c r="I6066">
        <v>-62.071539999999999</v>
      </c>
      <c r="J6066">
        <v>-244.7124</v>
      </c>
      <c r="K6066">
        <v>1.1204000000000001</v>
      </c>
      <c r="L6066">
        <v>-62.099580000000003</v>
      </c>
      <c r="M6066">
        <v>0.99970800000000004</v>
      </c>
      <c r="N6066">
        <v>-1.185287E-2</v>
      </c>
      <c r="O6066">
        <v>2.106336E-2</v>
      </c>
      <c r="P6066">
        <v>0.98404939999999996</v>
      </c>
      <c r="Q6066">
        <v>0.16170609999999999</v>
      </c>
      <c r="R6066">
        <v>7.4150789999999994E-2</v>
      </c>
      <c r="S6066">
        <v>3.285736</v>
      </c>
      <c r="T6066">
        <v>-1.521177</v>
      </c>
      <c r="U6066">
        <v>0.12976070000000001</v>
      </c>
      <c r="V6066">
        <v>-5.3105060000000003E-2</v>
      </c>
      <c r="W6066">
        <v>0.1734667</v>
      </c>
      <c r="X6066">
        <v>0.98340689999999997</v>
      </c>
      <c r="Y6066">
        <v>-1.850284E-2</v>
      </c>
      <c r="Z6066">
        <v>-4.8470199999999996E-3</v>
      </c>
      <c r="AA6066">
        <v>0.99981710000000001</v>
      </c>
      <c r="AB6066">
        <v>31</v>
      </c>
      <c r="AC6066">
        <v>0.63519999999999699</v>
      </c>
      <c r="AD6066">
        <v>-0.36723640000000002</v>
      </c>
      <c r="AE6066">
        <v>2.80400000000042E-2</v>
      </c>
      <c r="AF6066">
        <v>-1.0987854280909299E-2</v>
      </c>
      <c r="AG6066">
        <v>-0.36723640000000002</v>
      </c>
      <c r="AH6066">
        <v>0.47664224440040098</v>
      </c>
      <c r="AI6066">
        <v>127.60565256735001</v>
      </c>
      <c r="AJ6066">
        <v>91.320584145800197</v>
      </c>
      <c r="AK6066">
        <v>0.60180655992911003</v>
      </c>
      <c r="AL6066">
        <v>80.010558008048804</v>
      </c>
      <c r="AM6066">
        <v>93.091033174012793</v>
      </c>
      <c r="AN6066">
        <v>0.99999998718705096</v>
      </c>
    </row>
    <row r="6067" spans="1:40" x14ac:dyDescent="0.25">
      <c r="A6067" t="str">
        <f>"20190303162938872"</f>
        <v>20190303162938872</v>
      </c>
      <c r="B6067" t="str">
        <f>"1551601778867813"</f>
        <v>1551601778867813</v>
      </c>
      <c r="C6067" t="s">
        <v>40</v>
      </c>
      <c r="D6067">
        <v>4.7653660000000002</v>
      </c>
      <c r="E6067">
        <v>0.50510559999999904</v>
      </c>
      <c r="F6067" t="s">
        <v>66</v>
      </c>
      <c r="G6067">
        <v>-234.70400000000001</v>
      </c>
      <c r="H6067" s="1">
        <v>-1.2792209999999999E-6</v>
      </c>
      <c r="I6067">
        <v>-61.413719999999998</v>
      </c>
      <c r="J6067">
        <v>-244.54750000000001</v>
      </c>
      <c r="K6067">
        <v>1.1204069999999999</v>
      </c>
      <c r="L6067">
        <v>-62.096589999999999</v>
      </c>
      <c r="M6067">
        <v>0.99971690000000002</v>
      </c>
      <c r="N6067">
        <v>-1.1852980000000001E-2</v>
      </c>
      <c r="O6067">
        <v>2.0629809999999998E-2</v>
      </c>
      <c r="P6067">
        <v>0.98381680000000005</v>
      </c>
      <c r="Q6067">
        <v>0.16302520000000001</v>
      </c>
      <c r="R6067">
        <v>7.4348289999999997E-2</v>
      </c>
      <c r="S6067">
        <v>3.0895229999999998</v>
      </c>
      <c r="T6067">
        <v>-0.34586</v>
      </c>
      <c r="U6067">
        <v>0.21170040000000001</v>
      </c>
      <c r="V6067">
        <v>-5.3732410000000001E-2</v>
      </c>
      <c r="W6067">
        <v>0.174784299999999</v>
      </c>
      <c r="X6067">
        <v>0.98313950000000006</v>
      </c>
      <c r="Y6067">
        <v>-4.7539600000000001E-2</v>
      </c>
      <c r="Z6067">
        <v>8.7721019999999997E-4</v>
      </c>
      <c r="AA6067">
        <v>0.99886889999999995</v>
      </c>
      <c r="AB6067">
        <v>31</v>
      </c>
      <c r="AC6067">
        <v>9.8435000000000006</v>
      </c>
      <c r="AD6067">
        <v>-1.1204082792209999</v>
      </c>
      <c r="AE6067">
        <v>0.68287000000000098</v>
      </c>
      <c r="AF6067">
        <v>-0.47353535315362999</v>
      </c>
      <c r="AG6067">
        <v>-1.1204082792209999</v>
      </c>
      <c r="AH6067">
        <v>9.7300397214326999</v>
      </c>
      <c r="AI6067">
        <v>96.5609473470045</v>
      </c>
      <c r="AJ6067">
        <v>92.786236013703004</v>
      </c>
      <c r="AK6067">
        <v>9.8057750037154801</v>
      </c>
      <c r="AL6067">
        <v>79.933894050153796</v>
      </c>
      <c r="AM6067">
        <v>93.128325581811495</v>
      </c>
      <c r="AN6067">
        <v>0.99999999993557398</v>
      </c>
    </row>
    <row r="6068" spans="1:40" x14ac:dyDescent="0.25">
      <c r="A6068" t="str">
        <f>"20190303162938884"</f>
        <v>20190303162938884</v>
      </c>
      <c r="B6068" t="str">
        <f>"1551601778877573"</f>
        <v>1551601778877573</v>
      </c>
      <c r="C6068" t="s">
        <v>40</v>
      </c>
      <c r="D6068">
        <v>4.7267669999999997</v>
      </c>
      <c r="E6068">
        <v>0.50629469999999999</v>
      </c>
      <c r="F6068" t="s">
        <v>66</v>
      </c>
      <c r="G6068">
        <v>-232.56360000000001</v>
      </c>
      <c r="H6068" s="1">
        <v>-3.5095019999999999E-7</v>
      </c>
      <c r="I6068">
        <v>-61.376019999999997</v>
      </c>
      <c r="J6068">
        <v>-244.3836</v>
      </c>
      <c r="K6068">
        <v>1.1204149999999999</v>
      </c>
      <c r="L6068">
        <v>-62.093600000000002</v>
      </c>
      <c r="M6068">
        <v>0.99972570000000005</v>
      </c>
      <c r="N6068">
        <v>-1.185309E-2</v>
      </c>
      <c r="O6068">
        <v>2.0198529999999999E-2</v>
      </c>
      <c r="P6068">
        <v>0.98363440000000002</v>
      </c>
      <c r="Q6068">
        <v>0.1639736</v>
      </c>
      <c r="R6068">
        <v>7.4672639999999998E-2</v>
      </c>
      <c r="S6068">
        <v>3.0831149999999998</v>
      </c>
      <c r="T6068">
        <v>-0.28824689999999997</v>
      </c>
      <c r="U6068">
        <v>0.1853638</v>
      </c>
      <c r="V6068">
        <v>-5.4483459999999997E-2</v>
      </c>
      <c r="W6068">
        <v>0.1757312</v>
      </c>
      <c r="X6068">
        <v>0.98292930000000001</v>
      </c>
      <c r="Y6068">
        <v>-3.9710450000000001E-2</v>
      </c>
      <c r="Z6068">
        <v>4.4332820000000001E-4</v>
      </c>
      <c r="AA6068">
        <v>0.99921110000000002</v>
      </c>
      <c r="AB6068">
        <v>31</v>
      </c>
      <c r="AC6068">
        <v>11.819999999999901</v>
      </c>
      <c r="AD6068">
        <v>-1.1204153509502</v>
      </c>
      <c r="AE6068">
        <v>0.71758000000000499</v>
      </c>
      <c r="AF6068">
        <v>-0.474423093289838</v>
      </c>
      <c r="AG6068">
        <v>-1.1204153509502</v>
      </c>
      <c r="AH6068">
        <v>11.7271010180904</v>
      </c>
      <c r="AI6068">
        <v>95.453079645614096</v>
      </c>
      <c r="AJ6068">
        <v>92.316653217142402</v>
      </c>
      <c r="AK6068">
        <v>11.790051149956399</v>
      </c>
      <c r="AL6068">
        <v>79.878787316348195</v>
      </c>
      <c r="AM6068">
        <v>93.172640322705206</v>
      </c>
      <c r="AN6068">
        <v>0.999999955432749</v>
      </c>
    </row>
    <row r="6069" spans="1:40" x14ac:dyDescent="0.25">
      <c r="A6069" t="str">
        <f>"20190303162938896"</f>
        <v>20190303162938896</v>
      </c>
      <c r="B6069" t="str">
        <f>"1551601778888308"</f>
        <v>1551601778888308</v>
      </c>
      <c r="C6069" t="s">
        <v>40</v>
      </c>
      <c r="D6069">
        <v>4.6732990000000001</v>
      </c>
      <c r="E6069">
        <v>0.50691889999999995</v>
      </c>
      <c r="F6069" t="s">
        <v>66</v>
      </c>
      <c r="G6069">
        <v>-230.5301</v>
      </c>
      <c r="H6069" s="1">
        <v>5.4225040000000005E-7</v>
      </c>
      <c r="I6069">
        <v>-61.297699999999999</v>
      </c>
      <c r="J6069">
        <v>-244.2183</v>
      </c>
      <c r="K6069">
        <v>1.120417</v>
      </c>
      <c r="L6069">
        <v>-62.090699999999998</v>
      </c>
      <c r="M6069">
        <v>0.99973449999999997</v>
      </c>
      <c r="N6069">
        <v>-1.1853270000000001E-2</v>
      </c>
      <c r="O6069">
        <v>1.976342E-2</v>
      </c>
      <c r="P6069">
        <v>0.98345539999999998</v>
      </c>
      <c r="Q6069">
        <v>0.16488620000000001</v>
      </c>
      <c r="R6069">
        <v>7.5021939999999995E-2</v>
      </c>
      <c r="S6069">
        <v>3.0779879999999999</v>
      </c>
      <c r="T6069">
        <v>-0.24893409999999999</v>
      </c>
      <c r="U6069">
        <v>0.1768188</v>
      </c>
      <c r="V6069">
        <v>-5.5263100000000002E-2</v>
      </c>
      <c r="W6069">
        <v>0.1766432</v>
      </c>
      <c r="X6069">
        <v>0.98272230000000005</v>
      </c>
      <c r="Y6069">
        <v>-3.7514980000000003E-2</v>
      </c>
      <c r="Z6069">
        <v>3.758864E-4</v>
      </c>
      <c r="AA6069">
        <v>0.99929599999999996</v>
      </c>
      <c r="AB6069">
        <v>31</v>
      </c>
      <c r="AC6069">
        <v>13.688199999999901</v>
      </c>
      <c r="AD6069">
        <v>-1.1204164577496001</v>
      </c>
      <c r="AE6069">
        <v>0.79299999999999904</v>
      </c>
      <c r="AF6069">
        <v>-0.51883595818084005</v>
      </c>
      <c r="AG6069">
        <v>-1.1204164577496001</v>
      </c>
      <c r="AH6069">
        <v>13.610317287617599</v>
      </c>
      <c r="AI6069">
        <v>94.702640515206795</v>
      </c>
      <c r="AJ6069">
        <v>92.183102922848704</v>
      </c>
      <c r="AK6069">
        <v>13.666208708340401</v>
      </c>
      <c r="AL6069">
        <v>79.825703345595201</v>
      </c>
      <c r="AM6069">
        <v>93.218621400393701</v>
      </c>
      <c r="AN6069">
        <v>0.99999997462256895</v>
      </c>
    </row>
    <row r="6070" spans="1:40" x14ac:dyDescent="0.25">
      <c r="A6070" t="str">
        <f>"20190303162938906"</f>
        <v>20190303162938906</v>
      </c>
      <c r="B6070" t="str">
        <f>"1551601778898069"</f>
        <v>1551601778898069</v>
      </c>
      <c r="C6070" t="s">
        <v>40</v>
      </c>
      <c r="D6070">
        <v>4.6698870000000001</v>
      </c>
      <c r="E6070">
        <v>0.50781799999999999</v>
      </c>
      <c r="F6070" t="s">
        <v>67</v>
      </c>
      <c r="G6070">
        <v>-228.2911</v>
      </c>
      <c r="H6070" s="1">
        <v>-2.8552420000000001E-6</v>
      </c>
      <c r="I6070">
        <v>-61.194650000000003</v>
      </c>
      <c r="J6070">
        <v>-244.0728</v>
      </c>
      <c r="K6070">
        <v>1.1204209999999999</v>
      </c>
      <c r="L6070">
        <v>-62.088200000000001</v>
      </c>
      <c r="M6070">
        <v>0.99974200000000002</v>
      </c>
      <c r="N6070">
        <v>-1.185342E-2</v>
      </c>
      <c r="O6070">
        <v>1.9380830000000002E-2</v>
      </c>
      <c r="P6070">
        <v>0.98334520000000003</v>
      </c>
      <c r="Q6070">
        <v>0.165383</v>
      </c>
      <c r="R6070">
        <v>7.5371729999999998E-2</v>
      </c>
      <c r="S6070">
        <v>3.0735169999999998</v>
      </c>
      <c r="T6070">
        <v>-0.21621109999999999</v>
      </c>
      <c r="U6070">
        <v>0.1729126</v>
      </c>
      <c r="V6070">
        <v>-5.5990890000000001E-2</v>
      </c>
      <c r="W6070">
        <v>0.1771402</v>
      </c>
      <c r="X6070">
        <v>0.98259169999999996</v>
      </c>
      <c r="Y6070">
        <v>-3.6735110000000001E-2</v>
      </c>
      <c r="Z6070">
        <v>3.7668640000000002E-4</v>
      </c>
      <c r="AA6070">
        <v>0.99932500000000002</v>
      </c>
      <c r="AB6070">
        <v>31</v>
      </c>
      <c r="AC6070">
        <v>15.781700000000001</v>
      </c>
      <c r="AD6070">
        <v>-1.1204238552419901</v>
      </c>
      <c r="AE6070">
        <v>0.89354999999999696</v>
      </c>
      <c r="AF6070">
        <v>-0.58456128457622103</v>
      </c>
      <c r="AG6070">
        <v>-1.1204238552419901</v>
      </c>
      <c r="AH6070">
        <v>15.717088496137</v>
      </c>
      <c r="AI6070">
        <v>94.074737769792804</v>
      </c>
      <c r="AJ6070">
        <v>92.130004149920794</v>
      </c>
      <c r="AK6070">
        <v>15.767813174509101</v>
      </c>
      <c r="AL6070">
        <v>79.796771759442805</v>
      </c>
      <c r="AM6070">
        <v>93.261350789572802</v>
      </c>
      <c r="AN6070">
        <v>1.0000000395639601</v>
      </c>
    </row>
    <row r="6071" spans="1:40" x14ac:dyDescent="0.25">
      <c r="A6071" t="str">
        <f>"20190303162938917"</f>
        <v>20190303162938917</v>
      </c>
      <c r="B6071" t="str">
        <f>"1551601778907828"</f>
        <v>1551601778907828</v>
      </c>
      <c r="C6071" t="s">
        <v>40</v>
      </c>
      <c r="D6071">
        <v>4.7309999999999999</v>
      </c>
      <c r="E6071">
        <v>0.50770979999999999</v>
      </c>
      <c r="F6071" t="s">
        <v>67</v>
      </c>
      <c r="G6071">
        <v>-225.7054</v>
      </c>
      <c r="H6071" s="1">
        <v>-1.7226480000000001E-6</v>
      </c>
      <c r="I6071">
        <v>-61.089689999999997</v>
      </c>
      <c r="J6071">
        <v>-243.9151</v>
      </c>
      <c r="K6071">
        <v>1.1204289999999999</v>
      </c>
      <c r="L6071">
        <v>-62.085569999999997</v>
      </c>
      <c r="M6071">
        <v>0.99974989999999997</v>
      </c>
      <c r="N6071">
        <v>-1.1853549999999999E-2</v>
      </c>
      <c r="O6071">
        <v>1.8966110000000001E-2</v>
      </c>
      <c r="P6071">
        <v>0.98321369999999997</v>
      </c>
      <c r="Q6071">
        <v>0.16604849999999999</v>
      </c>
      <c r="R6071">
        <v>7.5622229999999999E-2</v>
      </c>
      <c r="S6071">
        <v>3.069534</v>
      </c>
      <c r="T6071">
        <v>-0.18724379999999999</v>
      </c>
      <c r="U6071">
        <v>0.16687009999999999</v>
      </c>
      <c r="V6071">
        <v>-5.665071E-2</v>
      </c>
      <c r="W6071">
        <v>0.17780470000000001</v>
      </c>
      <c r="X6071">
        <v>0.98243380000000002</v>
      </c>
      <c r="Y6071">
        <v>-3.5278619999999997E-2</v>
      </c>
      <c r="Z6071">
        <v>3.5340950000000001E-4</v>
      </c>
      <c r="AA6071">
        <v>0.99937739999999997</v>
      </c>
      <c r="AB6071">
        <v>31</v>
      </c>
      <c r="AC6071">
        <v>18.209700000000002</v>
      </c>
      <c r="AD6071">
        <v>-1.1204307226479999</v>
      </c>
      <c r="AE6071">
        <v>0.99587999999999199</v>
      </c>
      <c r="AF6071">
        <v>-0.64786401059382603</v>
      </c>
      <c r="AG6071">
        <v>-1.1204307226479999</v>
      </c>
      <c r="AH6071">
        <v>18.156779380175099</v>
      </c>
      <c r="AI6071">
        <v>93.528928671980793</v>
      </c>
      <c r="AJ6071">
        <v>92.043541495722806</v>
      </c>
      <c r="AK6071">
        <v>18.202849508822201</v>
      </c>
      <c r="AL6071">
        <v>79.758084101821098</v>
      </c>
      <c r="AM6071">
        <v>93.300228642893003</v>
      </c>
      <c r="AN6071">
        <v>0.99999999283401697</v>
      </c>
    </row>
    <row r="6072" spans="1:40" x14ac:dyDescent="0.25">
      <c r="A6072" t="str">
        <f>"20190303162938928"</f>
        <v>20190303162938928</v>
      </c>
      <c r="B6072" t="str">
        <f>"1551601778918565"</f>
        <v>1551601778918565</v>
      </c>
      <c r="C6072" t="s">
        <v>40</v>
      </c>
      <c r="D6072">
        <v>4.7161049999999998</v>
      </c>
      <c r="E6072">
        <v>0.50771080000000002</v>
      </c>
      <c r="F6072" t="s">
        <v>67</v>
      </c>
      <c r="G6072">
        <v>-223.91499999999999</v>
      </c>
      <c r="H6072" s="1">
        <v>-9.3145660000000001E-7</v>
      </c>
      <c r="I6072">
        <v>-60.985759999999999</v>
      </c>
      <c r="J6072">
        <v>-243.77010000000001</v>
      </c>
      <c r="K6072">
        <v>1.120433</v>
      </c>
      <c r="L6072">
        <v>-62.083190000000002</v>
      </c>
      <c r="M6072">
        <v>0.99975709999999995</v>
      </c>
      <c r="N6072">
        <v>-1.185368E-2</v>
      </c>
      <c r="O6072">
        <v>1.8584719999999999E-2</v>
      </c>
      <c r="P6072">
        <v>0.98305880000000001</v>
      </c>
      <c r="Q6072">
        <v>0.166876</v>
      </c>
      <c r="R6072">
        <v>7.581504E-2</v>
      </c>
      <c r="S6072">
        <v>3.0672609999999998</v>
      </c>
      <c r="T6072">
        <v>-0.1718316</v>
      </c>
      <c r="U6072">
        <v>0.16867070000000001</v>
      </c>
      <c r="V6072">
        <v>-5.7221000000000001E-2</v>
      </c>
      <c r="W6072">
        <v>0.1786314</v>
      </c>
      <c r="X6072">
        <v>0.98225079999999998</v>
      </c>
      <c r="Y6072">
        <v>-3.6289509999999997E-2</v>
      </c>
      <c r="Z6072">
        <v>4.110645E-4</v>
      </c>
      <c r="AA6072">
        <v>0.99934120000000004</v>
      </c>
      <c r="AB6072">
        <v>31</v>
      </c>
      <c r="AC6072">
        <v>19.8551</v>
      </c>
      <c r="AD6072">
        <v>-1.1204339314566001</v>
      </c>
      <c r="AE6072">
        <v>1.0974299999999999</v>
      </c>
      <c r="AF6072">
        <v>-0.72590851740839801</v>
      </c>
      <c r="AG6072">
        <v>-1.1204339314566001</v>
      </c>
      <c r="AH6072">
        <v>19.809178856149</v>
      </c>
      <c r="AI6072">
        <v>93.235110650736004</v>
      </c>
      <c r="AJ6072">
        <v>92.098668120409499</v>
      </c>
      <c r="AK6072">
        <v>19.854114997282199</v>
      </c>
      <c r="AL6072">
        <v>79.709947409399803</v>
      </c>
      <c r="AM6072">
        <v>93.333996391203897</v>
      </c>
      <c r="AN6072">
        <v>1.0000000270037901</v>
      </c>
    </row>
    <row r="6073" spans="1:40" x14ac:dyDescent="0.25">
      <c r="A6073" t="str">
        <f>"20190303162938939"</f>
        <v>20190303162938939</v>
      </c>
      <c r="B6073" t="str">
        <f>"1551601778928328"</f>
        <v>1551601778928328</v>
      </c>
      <c r="C6073" t="s">
        <v>40</v>
      </c>
      <c r="D6073">
        <v>4.7586639999999996</v>
      </c>
      <c r="E6073">
        <v>0.50708129999999996</v>
      </c>
      <c r="F6073" t="s">
        <v>67</v>
      </c>
      <c r="G6073">
        <v>-222.14330000000001</v>
      </c>
      <c r="H6073" s="1">
        <v>-1.4934429999999999E-7</v>
      </c>
      <c r="I6073">
        <v>-60.886589999999998</v>
      </c>
      <c r="J6073">
        <v>-243.61859999999999</v>
      </c>
      <c r="K6073">
        <v>1.1204369999999999</v>
      </c>
      <c r="L6073">
        <v>-62.080750000000002</v>
      </c>
      <c r="M6073">
        <v>0.9997644</v>
      </c>
      <c r="N6073">
        <v>-1.1853829999999999E-2</v>
      </c>
      <c r="O6073">
        <v>1.8186210000000001E-2</v>
      </c>
      <c r="P6073">
        <v>0.9829137</v>
      </c>
      <c r="Q6073">
        <v>0.1679148</v>
      </c>
      <c r="R6073">
        <v>7.5401830000000003E-2</v>
      </c>
      <c r="S6073">
        <v>3.0655670000000002</v>
      </c>
      <c r="T6073">
        <v>-0.15881970000000001</v>
      </c>
      <c r="U6073">
        <v>0.16961670000000001</v>
      </c>
      <c r="V6073">
        <v>-5.7201120000000001E-2</v>
      </c>
      <c r="W6073">
        <v>0.1796681</v>
      </c>
      <c r="X6073">
        <v>0.98206280000000001</v>
      </c>
      <c r="Y6073">
        <v>-3.7029880000000001E-2</v>
      </c>
      <c r="Z6073">
        <v>4.5233609999999999E-4</v>
      </c>
      <c r="AA6073">
        <v>0.99931409999999998</v>
      </c>
      <c r="AB6073">
        <v>31</v>
      </c>
      <c r="AC6073">
        <v>21.475299999999901</v>
      </c>
      <c r="AD6073">
        <v>-1.1204371493442999</v>
      </c>
      <c r="AE6073">
        <v>1.1941599999999899</v>
      </c>
      <c r="AF6073">
        <v>-0.80120653847953005</v>
      </c>
      <c r="AG6073">
        <v>-1.1204371493442999</v>
      </c>
      <c r="AH6073">
        <v>21.435298473300399</v>
      </c>
      <c r="AI6073">
        <v>92.990080765138501</v>
      </c>
      <c r="AJ6073">
        <v>92.140599661138793</v>
      </c>
      <c r="AK6073">
        <v>21.4795095838431</v>
      </c>
      <c r="AL6073">
        <v>79.649571500807994</v>
      </c>
      <c r="AM6073">
        <v>93.333477269070698</v>
      </c>
      <c r="AN6073">
        <v>0.99999996871535102</v>
      </c>
    </row>
    <row r="6074" spans="1:40" x14ac:dyDescent="0.25">
      <c r="A6074" t="str">
        <f>"20190303162938950"</f>
        <v>20190303162938950</v>
      </c>
      <c r="B6074" t="str">
        <f>"1551601778938086"</f>
        <v>1551601778938086</v>
      </c>
      <c r="C6074" t="s">
        <v>40</v>
      </c>
      <c r="D6074">
        <v>4.7372339999999999</v>
      </c>
      <c r="E6074">
        <v>0.50655530000000004</v>
      </c>
      <c r="F6074" t="s">
        <v>67</v>
      </c>
      <c r="G6074">
        <v>-220.81399999999999</v>
      </c>
      <c r="H6074" s="1">
        <v>4.4270140000000001E-7</v>
      </c>
      <c r="I6074">
        <v>-60.788589999999999</v>
      </c>
      <c r="J6074">
        <v>-243.46100000000001</v>
      </c>
      <c r="K6074">
        <v>1.1204499999999999</v>
      </c>
      <c r="L6074">
        <v>-62.078310000000002</v>
      </c>
      <c r="M6074">
        <v>0.99977179999999999</v>
      </c>
      <c r="N6074">
        <v>-1.185397E-2</v>
      </c>
      <c r="O6074">
        <v>1.777161E-2</v>
      </c>
      <c r="P6074">
        <v>0.9828036</v>
      </c>
      <c r="Q6074">
        <v>0.16881409999999999</v>
      </c>
      <c r="R6074">
        <v>7.4824829999999995E-2</v>
      </c>
      <c r="S6074">
        <v>3.0645600000000002</v>
      </c>
      <c r="T6074">
        <v>-0.15056800000000001</v>
      </c>
      <c r="U6074">
        <v>0.17364499999999999</v>
      </c>
      <c r="V6074">
        <v>-5.7032380000000001E-2</v>
      </c>
      <c r="W6074">
        <v>0.1805659</v>
      </c>
      <c r="X6074">
        <v>0.981908</v>
      </c>
      <c r="Y6074">
        <v>-3.8772630000000002E-2</v>
      </c>
      <c r="Z6074">
        <v>5.1997649999999996E-4</v>
      </c>
      <c r="AA6074">
        <v>0.99924789999999997</v>
      </c>
      <c r="AB6074">
        <v>31</v>
      </c>
      <c r="AC6074">
        <v>22.646999999999899</v>
      </c>
      <c r="AD6074">
        <v>-1.1204495572986</v>
      </c>
      <c r="AE6074">
        <v>1.28971999999999</v>
      </c>
      <c r="AF6074">
        <v>-0.88485547266708897</v>
      </c>
      <c r="AG6074">
        <v>-1.1204495572986</v>
      </c>
      <c r="AH6074">
        <v>22.611177813989201</v>
      </c>
      <c r="AI6074">
        <v>92.834685717712901</v>
      </c>
      <c r="AJ6074">
        <v>92.241043247367401</v>
      </c>
      <c r="AK6074">
        <v>22.656207505975001</v>
      </c>
      <c r="AL6074">
        <v>79.597276693826402</v>
      </c>
      <c r="AM6074">
        <v>93.324188589914797</v>
      </c>
      <c r="AN6074">
        <v>1.00000002853763</v>
      </c>
    </row>
    <row r="6075" spans="1:40" x14ac:dyDescent="0.25">
      <c r="A6075" t="str">
        <f>"20190303162938961"</f>
        <v>20190303162938961</v>
      </c>
      <c r="B6075" t="str">
        <f>"1551601778957605"</f>
        <v>1551601778957605</v>
      </c>
      <c r="C6075" t="s">
        <v>40</v>
      </c>
      <c r="D6075">
        <v>4.7339589999999996</v>
      </c>
      <c r="E6075">
        <v>0.50588829999999996</v>
      </c>
      <c r="F6075" t="s">
        <v>68</v>
      </c>
      <c r="G6075">
        <v>-219.65430000000001</v>
      </c>
      <c r="H6075" s="1">
        <v>-3.196782E-6</v>
      </c>
      <c r="I6075">
        <v>-60.707169999999998</v>
      </c>
      <c r="J6075">
        <v>-243.2961</v>
      </c>
      <c r="K6075">
        <v>1.1204559999999999</v>
      </c>
      <c r="L6075">
        <v>-62.075809999999997</v>
      </c>
      <c r="M6075">
        <v>0.99977950000000004</v>
      </c>
      <c r="N6075">
        <v>-1.1854089999999999E-2</v>
      </c>
      <c r="O6075">
        <v>1.733782E-2</v>
      </c>
      <c r="P6075">
        <v>0.9827591</v>
      </c>
      <c r="Q6075">
        <v>0.1694253</v>
      </c>
      <c r="R6075">
        <v>7.4027300000000004E-2</v>
      </c>
      <c r="S6075">
        <v>3.063828</v>
      </c>
      <c r="T6075">
        <v>-0.1441982</v>
      </c>
      <c r="U6075">
        <v>0.17645259999999999</v>
      </c>
      <c r="V6075">
        <v>-5.6662120000000003E-2</v>
      </c>
      <c r="W6075">
        <v>0.18117559999999999</v>
      </c>
      <c r="X6075">
        <v>0.9818171</v>
      </c>
      <c r="Y6075">
        <v>-4.0133189999999999E-2</v>
      </c>
      <c r="Z6075">
        <v>5.7193459999999995E-4</v>
      </c>
      <c r="AA6075">
        <v>0.99919420000000003</v>
      </c>
      <c r="AB6075">
        <v>31</v>
      </c>
      <c r="AC6075">
        <v>23.6417999999999</v>
      </c>
      <c r="AD6075">
        <v>-1.1204591967819999</v>
      </c>
      <c r="AE6075">
        <v>1.3686399999999901</v>
      </c>
      <c r="AF6075">
        <v>-0.95636727724295301</v>
      </c>
      <c r="AG6075">
        <v>-1.1204591967819999</v>
      </c>
      <c r="AH6075">
        <v>23.609125202757699</v>
      </c>
      <c r="AI6075">
        <v>92.714923172112805</v>
      </c>
      <c r="AJ6075">
        <v>92.319690613505799</v>
      </c>
      <c r="AK6075">
        <v>23.655038787119398</v>
      </c>
      <c r="AL6075">
        <v>79.5617573978937</v>
      </c>
      <c r="AM6075">
        <v>93.302960641826601</v>
      </c>
      <c r="AN6075">
        <v>1.00000000586533</v>
      </c>
    </row>
    <row r="6076" spans="1:40" x14ac:dyDescent="0.25">
      <c r="A6076" t="str">
        <f>"20190303162938974"</f>
        <v>20190303162938974</v>
      </c>
      <c r="B6076" t="str">
        <f>"1551601778968341"</f>
        <v>1551601778968341</v>
      </c>
      <c r="C6076" t="s">
        <v>40</v>
      </c>
      <c r="D6076">
        <v>4.7690289999999997</v>
      </c>
      <c r="E6076">
        <v>0.50567790000000001</v>
      </c>
      <c r="F6076" t="s">
        <v>68</v>
      </c>
      <c r="G6076">
        <v>-218.0701</v>
      </c>
      <c r="H6076" s="1">
        <v>-2.487697E-6</v>
      </c>
      <c r="I6076">
        <v>-60.596429999999998</v>
      </c>
      <c r="J6076">
        <v>-243.12620000000001</v>
      </c>
      <c r="K6076">
        <v>1.12046</v>
      </c>
      <c r="L6076">
        <v>-62.073329999999999</v>
      </c>
      <c r="M6076">
        <v>0.99978719999999999</v>
      </c>
      <c r="N6076">
        <v>-1.185434E-2</v>
      </c>
      <c r="O6076">
        <v>1.689092E-2</v>
      </c>
      <c r="P6076">
        <v>0.9827458</v>
      </c>
      <c r="Q6076">
        <v>0.17</v>
      </c>
      <c r="R6076">
        <v>7.2875599999999999E-2</v>
      </c>
      <c r="S6076">
        <v>3.0625610000000001</v>
      </c>
      <c r="T6076">
        <v>-0.13602939999999999</v>
      </c>
      <c r="U6076">
        <v>0.179595899999999</v>
      </c>
      <c r="V6076">
        <v>-5.5948690000000002E-2</v>
      </c>
      <c r="W6076">
        <v>0.18174860000000001</v>
      </c>
      <c r="X6076">
        <v>0.98175210000000002</v>
      </c>
      <c r="Y6076">
        <v>-4.1627419999999998E-2</v>
      </c>
      <c r="Z6076">
        <v>6.2125500000000003E-4</v>
      </c>
      <c r="AA6076">
        <v>0.99913300000000005</v>
      </c>
      <c r="AB6076">
        <v>31</v>
      </c>
      <c r="AC6076">
        <v>25.056100000000001</v>
      </c>
      <c r="AD6076">
        <v>-1.120462487697</v>
      </c>
      <c r="AE6076">
        <v>1.4769000000000001</v>
      </c>
      <c r="AF6076">
        <v>-1.0513439038480199</v>
      </c>
      <c r="AG6076">
        <v>-1.120462487697</v>
      </c>
      <c r="AH6076">
        <v>25.0275981670286</v>
      </c>
      <c r="AI6076">
        <v>92.561111872937204</v>
      </c>
      <c r="AJ6076">
        <v>92.405431533173996</v>
      </c>
      <c r="AK6076">
        <v>25.074716951557999</v>
      </c>
      <c r="AL6076">
        <v>79.528372573837004</v>
      </c>
      <c r="AM6076">
        <v>93.261679042375107</v>
      </c>
      <c r="AN6076">
        <v>0.99999999768454295</v>
      </c>
    </row>
    <row r="6077" spans="1:40" x14ac:dyDescent="0.25">
      <c r="A6077" t="str">
        <f>"20190303162938984"</f>
        <v>20190303162938984</v>
      </c>
      <c r="B6077" t="str">
        <f>"1551601778978101"</f>
        <v>1551601778978101</v>
      </c>
      <c r="C6077" t="s">
        <v>40</v>
      </c>
      <c r="D6077">
        <v>4.747903</v>
      </c>
      <c r="E6077">
        <v>0.50524279999999999</v>
      </c>
      <c r="F6077" t="s">
        <v>68</v>
      </c>
      <c r="G6077">
        <v>-216.82730000000001</v>
      </c>
      <c r="H6077" s="1">
        <v>-1.9411949999999998E-6</v>
      </c>
      <c r="I6077">
        <v>-60.546250000000001</v>
      </c>
      <c r="J6077">
        <v>-242.9786</v>
      </c>
      <c r="K6077">
        <v>1.1204639999999999</v>
      </c>
      <c r="L6077">
        <v>-62.071199999999997</v>
      </c>
      <c r="M6077">
        <v>0.99979359999999995</v>
      </c>
      <c r="N6077">
        <v>-1.185456E-2</v>
      </c>
      <c r="O6077">
        <v>1.6502900000000001E-2</v>
      </c>
      <c r="P6077">
        <v>0.98287179999999996</v>
      </c>
      <c r="Q6077">
        <v>0.16971420000000001</v>
      </c>
      <c r="R6077">
        <v>7.1833569999999999E-2</v>
      </c>
      <c r="S6077">
        <v>3.0620569999999998</v>
      </c>
      <c r="T6077">
        <v>-0.13045880000000001</v>
      </c>
      <c r="U6077">
        <v>0.17779539999999999</v>
      </c>
      <c r="V6077">
        <v>-5.5287360000000001E-2</v>
      </c>
      <c r="W6077">
        <v>0.1814626</v>
      </c>
      <c r="X6077">
        <v>0.98184249999999995</v>
      </c>
      <c r="Y6077">
        <v>-4.1442039999999999E-2</v>
      </c>
      <c r="Z6077">
        <v>6.2102749999999997E-4</v>
      </c>
      <c r="AA6077">
        <v>0.99914069999999999</v>
      </c>
      <c r="AB6077">
        <v>31</v>
      </c>
      <c r="AC6077">
        <v>26.1512999999999</v>
      </c>
      <c r="AD6077">
        <v>-1.120465941195</v>
      </c>
      <c r="AE6077">
        <v>1.52494999999999</v>
      </c>
      <c r="AF6077">
        <v>-1.09114344331885</v>
      </c>
      <c r="AG6077">
        <v>-1.120465941195</v>
      </c>
      <c r="AH6077">
        <v>26.125109686401299</v>
      </c>
      <c r="AI6077">
        <v>92.4536866410415</v>
      </c>
      <c r="AJ6077">
        <v>92.391630148085</v>
      </c>
      <c r="AK6077">
        <v>26.171881744837801</v>
      </c>
      <c r="AL6077">
        <v>79.545036613024394</v>
      </c>
      <c r="AM6077">
        <v>93.222910668327003</v>
      </c>
      <c r="AN6077">
        <v>1.00000003109038</v>
      </c>
    </row>
    <row r="6078" spans="1:40" x14ac:dyDescent="0.25">
      <c r="A6078" t="str">
        <f>"20190303162938995"</f>
        <v>20190303162938995</v>
      </c>
      <c r="B6078" t="str">
        <f>"1551601778987861"</f>
        <v>1551601778987861</v>
      </c>
      <c r="C6078" t="s">
        <v>40</v>
      </c>
      <c r="D6078">
        <v>4.7201029999999999</v>
      </c>
      <c r="E6078">
        <v>0.50491790000000003</v>
      </c>
      <c r="F6078" t="s">
        <v>68</v>
      </c>
      <c r="G6078">
        <v>-216.37100000000001</v>
      </c>
      <c r="H6078" s="1">
        <v>-1.7395429999999999E-6</v>
      </c>
      <c r="I6078">
        <v>-60.524079999999998</v>
      </c>
      <c r="J6078">
        <v>-242.81979999999999</v>
      </c>
      <c r="K6078">
        <v>1.1204639999999999</v>
      </c>
      <c r="L6078">
        <v>-62.069000000000003</v>
      </c>
      <c r="M6078">
        <v>0.99980040000000003</v>
      </c>
      <c r="N6078">
        <v>-1.185479E-2</v>
      </c>
      <c r="O6078">
        <v>1.6085439999999999E-2</v>
      </c>
      <c r="P6078">
        <v>0.98306059999999995</v>
      </c>
      <c r="Q6078">
        <v>0.1691076</v>
      </c>
      <c r="R6078">
        <v>7.0673349999999996E-2</v>
      </c>
      <c r="S6078">
        <v>3.0615540000000001</v>
      </c>
      <c r="T6078">
        <v>-0.12892439999999999</v>
      </c>
      <c r="U6078">
        <v>0.178009</v>
      </c>
      <c r="V6078">
        <v>-5.4536010000000003E-2</v>
      </c>
      <c r="W6078">
        <v>0.1808572</v>
      </c>
      <c r="X6078">
        <v>0.98199619999999999</v>
      </c>
      <c r="Y6078">
        <v>-4.193819E-2</v>
      </c>
      <c r="Z6078">
        <v>6.4493790000000003E-4</v>
      </c>
      <c r="AA6078">
        <v>0.99912000000000001</v>
      </c>
      <c r="AB6078">
        <v>31</v>
      </c>
      <c r="AC6078">
        <v>26.448799999999999</v>
      </c>
      <c r="AD6078">
        <v>-1.120465739543</v>
      </c>
      <c r="AE6078">
        <v>1.5449199999999901</v>
      </c>
      <c r="AF6078">
        <v>-1.1172513507658599</v>
      </c>
      <c r="AG6078">
        <v>-1.120465739543</v>
      </c>
      <c r="AH6078">
        <v>26.422970726921498</v>
      </c>
      <c r="AI6078">
        <v>92.426006927114003</v>
      </c>
      <c r="AJ6078">
        <v>92.421214439512696</v>
      </c>
      <c r="AK6078">
        <v>26.4703055533938</v>
      </c>
      <c r="AL6078">
        <v>79.580306957786604</v>
      </c>
      <c r="AM6078">
        <v>93.178705497681506</v>
      </c>
      <c r="AN6078">
        <v>1.00000001999649</v>
      </c>
    </row>
    <row r="6079" spans="1:40" x14ac:dyDescent="0.25">
      <c r="A6079" t="str">
        <f>"20190303162939006"</f>
        <v>20190303162939006</v>
      </c>
      <c r="B6079" t="str">
        <f>"1551601778997621"</f>
        <v>1551601778997621</v>
      </c>
      <c r="C6079" t="s">
        <v>40</v>
      </c>
      <c r="D6079">
        <v>4.6867609999999997</v>
      </c>
      <c r="E6079">
        <v>0.50414799999999904</v>
      </c>
      <c r="F6079" t="s">
        <v>68</v>
      </c>
      <c r="G6079">
        <v>-215.9915</v>
      </c>
      <c r="H6079" s="1">
        <v>-1.5753430000000001E-6</v>
      </c>
      <c r="I6079">
        <v>-60.518909999999998</v>
      </c>
      <c r="J6079">
        <v>-242.66820000000001</v>
      </c>
      <c r="K6079">
        <v>1.120465</v>
      </c>
      <c r="L6079">
        <v>-62.066960000000002</v>
      </c>
      <c r="M6079">
        <v>0.9998068</v>
      </c>
      <c r="N6079">
        <v>-1.1854979999999999E-2</v>
      </c>
      <c r="O6079">
        <v>1.5687059999999999E-2</v>
      </c>
      <c r="P6079">
        <v>0.9832398</v>
      </c>
      <c r="Q6079">
        <v>0.16851529999999901</v>
      </c>
      <c r="R6079">
        <v>6.9587220000000005E-2</v>
      </c>
      <c r="S6079">
        <v>3.060959</v>
      </c>
      <c r="T6079">
        <v>-0.1278387</v>
      </c>
      <c r="U6079">
        <v>0.17684939999999999</v>
      </c>
      <c r="V6079">
        <v>-5.3840499999999999E-2</v>
      </c>
      <c r="W6079">
        <v>0.1802648</v>
      </c>
      <c r="X6079">
        <v>0.98214349999999995</v>
      </c>
      <c r="Y6079">
        <v>-4.197062E-2</v>
      </c>
      <c r="Z6079">
        <v>6.5601699999999995E-4</v>
      </c>
      <c r="AA6079">
        <v>0.99911859999999997</v>
      </c>
      <c r="AB6079">
        <v>31</v>
      </c>
      <c r="AC6079">
        <v>26.6767</v>
      </c>
      <c r="AD6079">
        <v>-1.1204665753430001</v>
      </c>
      <c r="AE6079">
        <v>1.5480499999999899</v>
      </c>
      <c r="AF6079">
        <v>-1.12736897371019</v>
      </c>
      <c r="AG6079">
        <v>-1.1204665753430001</v>
      </c>
      <c r="AH6079">
        <v>26.650844953951498</v>
      </c>
      <c r="AI6079">
        <v>92.405288126625706</v>
      </c>
      <c r="AJ6079">
        <v>92.422249555952803</v>
      </c>
      <c r="AK6079">
        <v>26.6982011174706</v>
      </c>
      <c r="AL6079">
        <v>79.614816242128796</v>
      </c>
      <c r="AM6079">
        <v>93.137778575777006</v>
      </c>
      <c r="AN6079">
        <v>1.00000002607576</v>
      </c>
    </row>
    <row r="6080" spans="1:40" x14ac:dyDescent="0.25">
      <c r="A6080" t="str">
        <f>"20190303162939017"</f>
        <v>20190303162939017</v>
      </c>
      <c r="B6080" t="str">
        <f>"1551601779008358"</f>
        <v>1551601779008358</v>
      </c>
      <c r="C6080" t="s">
        <v>40</v>
      </c>
      <c r="D6080">
        <v>4.7502570000000004</v>
      </c>
      <c r="E6080">
        <v>0.50361040000000001</v>
      </c>
      <c r="F6080" t="s">
        <v>68</v>
      </c>
      <c r="G6080">
        <v>-216.0275</v>
      </c>
      <c r="H6080" s="1">
        <v>-1.586262E-6</v>
      </c>
      <c r="I6080">
        <v>-60.501950000000001</v>
      </c>
      <c r="J6080">
        <v>-242.5155</v>
      </c>
      <c r="K6080">
        <v>1.120463</v>
      </c>
      <c r="L6080">
        <v>-62.064999999999998</v>
      </c>
      <c r="M6080">
        <v>0.9998129</v>
      </c>
      <c r="N6080">
        <v>-1.185511E-2</v>
      </c>
      <c r="O6080">
        <v>1.528611E-2</v>
      </c>
      <c r="P6080">
        <v>0.98344860000000001</v>
      </c>
      <c r="Q6080">
        <v>0.16777999999999901</v>
      </c>
      <c r="R6080">
        <v>6.8401840000000005E-2</v>
      </c>
      <c r="S6080">
        <v>3.0604550000000001</v>
      </c>
      <c r="T6080">
        <v>-0.12871749999999901</v>
      </c>
      <c r="U6080">
        <v>0.1797791</v>
      </c>
      <c r="V6080">
        <v>-5.3047839999999999E-2</v>
      </c>
      <c r="W6080">
        <v>0.1795302</v>
      </c>
      <c r="X6080">
        <v>0.98232109999999995</v>
      </c>
      <c r="Y6080">
        <v>-4.3331740000000001E-2</v>
      </c>
      <c r="Z6080">
        <v>7.0632699999999997E-4</v>
      </c>
      <c r="AA6080">
        <v>0.99906050000000002</v>
      </c>
      <c r="AB6080">
        <v>31</v>
      </c>
      <c r="AC6080">
        <v>26.488</v>
      </c>
      <c r="AD6080">
        <v>-1.120464586262</v>
      </c>
      <c r="AE6080">
        <v>1.5630499999999901</v>
      </c>
      <c r="AF6080">
        <v>-1.1558793116269701</v>
      </c>
      <c r="AG6080">
        <v>-1.120464586262</v>
      </c>
      <c r="AH6080">
        <v>26.461614284355399</v>
      </c>
      <c r="AI6080">
        <v>92.422320689149899</v>
      </c>
      <c r="AJ6080">
        <v>92.5011676120847</v>
      </c>
      <c r="AK6080">
        <v>26.510536177265699</v>
      </c>
      <c r="AL6080">
        <v>79.657603039458706</v>
      </c>
      <c r="AM6080">
        <v>93.091115431786804</v>
      </c>
      <c r="AN6080">
        <v>0.999999954772956</v>
      </c>
    </row>
    <row r="6081" spans="1:40" x14ac:dyDescent="0.25">
      <c r="A6081" t="str">
        <f>"20190303162939028"</f>
        <v>20190303162939028</v>
      </c>
      <c r="B6081" t="str">
        <f>"1551601779018118"</f>
        <v>1551601779018118</v>
      </c>
      <c r="C6081" t="s">
        <v>40</v>
      </c>
      <c r="D6081">
        <v>4.6520440000000001</v>
      </c>
      <c r="E6081">
        <v>0.5030462</v>
      </c>
      <c r="F6081" t="s">
        <v>68</v>
      </c>
      <c r="G6081">
        <v>-216.18969999999999</v>
      </c>
      <c r="H6081" s="1">
        <v>-1.6591149999999999E-6</v>
      </c>
      <c r="I6081">
        <v>-60.514150000000001</v>
      </c>
      <c r="J6081">
        <v>-242.3629</v>
      </c>
      <c r="K6081">
        <v>1.12046</v>
      </c>
      <c r="L6081">
        <v>-62.063049999999997</v>
      </c>
      <c r="M6081">
        <v>0.99981900000000001</v>
      </c>
      <c r="N6081">
        <v>-1.185524E-2</v>
      </c>
      <c r="O6081">
        <v>1.4885580000000001E-2</v>
      </c>
      <c r="P6081">
        <v>0.98355970000000004</v>
      </c>
      <c r="Q6081">
        <v>0.16745570000000001</v>
      </c>
      <c r="R6081">
        <v>6.7596349999999999E-2</v>
      </c>
      <c r="S6081">
        <v>3.060165</v>
      </c>
      <c r="T6081">
        <v>-0.1302449</v>
      </c>
      <c r="U6081">
        <v>0.18026729999999999</v>
      </c>
      <c r="V6081">
        <v>-5.2636460000000003E-2</v>
      </c>
      <c r="W6081">
        <v>0.17920659999999999</v>
      </c>
      <c r="X6081">
        <v>0.98240240000000001</v>
      </c>
      <c r="Y6081">
        <v>-4.3894710000000003E-2</v>
      </c>
      <c r="Z6081">
        <v>7.3711779999999997E-4</v>
      </c>
      <c r="AA6081">
        <v>0.99903589999999998</v>
      </c>
      <c r="AB6081">
        <v>31</v>
      </c>
      <c r="AC6081">
        <v>26.173200000000001</v>
      </c>
      <c r="AD6081">
        <v>-1.1204616591150001</v>
      </c>
      <c r="AE6081">
        <v>1.54889999999999</v>
      </c>
      <c r="AF6081">
        <v>-1.15698479812897</v>
      </c>
      <c r="AG6081">
        <v>-1.1204616591150001</v>
      </c>
      <c r="AH6081">
        <v>26.145608971623901</v>
      </c>
      <c r="AI6081">
        <v>92.451494562330893</v>
      </c>
      <c r="AJ6081">
        <v>92.533776388287293</v>
      </c>
      <c r="AK6081">
        <v>26.195169719811101</v>
      </c>
      <c r="AL6081">
        <v>79.676450487467207</v>
      </c>
      <c r="AM6081">
        <v>93.066936785358294</v>
      </c>
      <c r="AN6081">
        <v>1.0000000389653201</v>
      </c>
    </row>
    <row r="6082" spans="1:40" x14ac:dyDescent="0.25">
      <c r="A6082" t="str">
        <f>"20190303162939038"</f>
        <v>20190303162939038</v>
      </c>
      <c r="B6082" t="str">
        <f>"1551601779027877"</f>
        <v>1551601779027877</v>
      </c>
      <c r="C6082" t="s">
        <v>40</v>
      </c>
      <c r="D6082">
        <v>4.6791589999999896</v>
      </c>
      <c r="E6082">
        <v>0.50256959999999995</v>
      </c>
      <c r="F6082" t="s">
        <v>68</v>
      </c>
      <c r="G6082">
        <v>-215.99209999999999</v>
      </c>
      <c r="H6082" s="1">
        <v>-1.568804E-6</v>
      </c>
      <c r="I6082">
        <v>-60.493299999999998</v>
      </c>
      <c r="J6082">
        <v>-242.20939999999999</v>
      </c>
      <c r="K6082">
        <v>1.120458</v>
      </c>
      <c r="L6082">
        <v>-62.061160000000001</v>
      </c>
      <c r="M6082">
        <v>0.99982499999999996</v>
      </c>
      <c r="N6082">
        <v>-1.185538E-2</v>
      </c>
      <c r="O6082">
        <v>1.4483330000000001E-2</v>
      </c>
      <c r="P6082">
        <v>0.98368520000000004</v>
      </c>
      <c r="Q6082">
        <v>0.16706029999999999</v>
      </c>
      <c r="R6082">
        <v>6.6742670000000004E-2</v>
      </c>
      <c r="S6082">
        <v>3.0597690000000002</v>
      </c>
      <c r="T6082">
        <v>-0.1300056</v>
      </c>
      <c r="U6082">
        <v>0.18212890000000001</v>
      </c>
      <c r="V6082">
        <v>-5.2177429999999997E-2</v>
      </c>
      <c r="W6082">
        <v>0.17881159999999999</v>
      </c>
      <c r="X6082">
        <v>0.98249880000000001</v>
      </c>
      <c r="Y6082">
        <v>-4.4908690000000001E-2</v>
      </c>
      <c r="Z6082">
        <v>7.7643829999999995E-4</v>
      </c>
      <c r="AA6082">
        <v>0.99899079999999996</v>
      </c>
      <c r="AB6082">
        <v>31</v>
      </c>
      <c r="AC6082">
        <v>26.217299999999899</v>
      </c>
      <c r="AD6082">
        <v>-1.120459568804</v>
      </c>
      <c r="AE6082">
        <v>1.56786</v>
      </c>
      <c r="AF6082">
        <v>-1.1857969730529501</v>
      </c>
      <c r="AG6082">
        <v>-1.120459568804</v>
      </c>
      <c r="AH6082">
        <v>26.189594660538599</v>
      </c>
      <c r="AI6082">
        <v>92.447265682416699</v>
      </c>
      <c r="AJ6082">
        <v>92.592433841313095</v>
      </c>
      <c r="AK6082">
        <v>26.240358469158501</v>
      </c>
      <c r="AL6082">
        <v>79.699453293286496</v>
      </c>
      <c r="AM6082">
        <v>93.039943417433904</v>
      </c>
      <c r="AN6082">
        <v>0.99999998224870201</v>
      </c>
    </row>
    <row r="6083" spans="1:40" x14ac:dyDescent="0.25">
      <c r="A6083" t="str">
        <f>"20190303162939051"</f>
        <v>20190303162939051</v>
      </c>
      <c r="B6083" t="str">
        <f>"1551601779037637"</f>
        <v>1551601779037637</v>
      </c>
      <c r="C6083" t="s">
        <v>40</v>
      </c>
      <c r="D6083">
        <v>4.782044</v>
      </c>
      <c r="E6083">
        <v>0.50225350000000002</v>
      </c>
      <c r="F6083" t="s">
        <v>68</v>
      </c>
      <c r="G6083">
        <v>-215.96870000000001</v>
      </c>
      <c r="H6083" s="1">
        <v>-1.5580440000000001E-6</v>
      </c>
      <c r="I6083">
        <v>-60.490650000000002</v>
      </c>
      <c r="J6083">
        <v>-242.04320000000001</v>
      </c>
      <c r="K6083">
        <v>1.120449</v>
      </c>
      <c r="L6083">
        <v>-62.059199999999997</v>
      </c>
      <c r="M6083">
        <v>0.99983109999999997</v>
      </c>
      <c r="N6083">
        <v>-1.1855549999999999E-2</v>
      </c>
      <c r="O6083">
        <v>1.4048359999999999E-2</v>
      </c>
      <c r="P6083">
        <v>0.98380860000000003</v>
      </c>
      <c r="Q6083">
        <v>0.16670969999999999</v>
      </c>
      <c r="R6083">
        <v>6.5793130000000005E-2</v>
      </c>
      <c r="S6083">
        <v>3.0595400000000001</v>
      </c>
      <c r="T6083">
        <v>-0.130639899999999</v>
      </c>
      <c r="U6083">
        <v>0.1831055</v>
      </c>
      <c r="V6083">
        <v>-5.1655590000000001E-2</v>
      </c>
      <c r="W6083">
        <v>0.1784616</v>
      </c>
      <c r="X6083">
        <v>0.98258999999999996</v>
      </c>
      <c r="Y6083">
        <v>-4.5664000000000003E-2</v>
      </c>
      <c r="Z6083">
        <v>8.1209589999999996E-4</v>
      </c>
      <c r="AA6083">
        <v>0.99895650000000002</v>
      </c>
      <c r="AB6083">
        <v>31</v>
      </c>
      <c r="AC6083">
        <v>26.0745</v>
      </c>
      <c r="AD6083">
        <v>-1.1204505580440001</v>
      </c>
      <c r="AE6083">
        <v>1.5685499999999899</v>
      </c>
      <c r="AF6083">
        <v>-1.19985793623524</v>
      </c>
      <c r="AG6083">
        <v>-1.1204505580440001</v>
      </c>
      <c r="AH6083">
        <v>26.046042573684201</v>
      </c>
      <c r="AI6083">
        <v>92.460629002056606</v>
      </c>
      <c r="AJ6083">
        <v>92.637568722649405</v>
      </c>
      <c r="AK6083">
        <v>26.097727913945601</v>
      </c>
      <c r="AL6083">
        <v>79.719834576813696</v>
      </c>
      <c r="AM6083">
        <v>93.009317505349003</v>
      </c>
      <c r="AN6083">
        <v>0.99999997537640295</v>
      </c>
    </row>
    <row r="6084" spans="1:40" x14ac:dyDescent="0.25">
      <c r="A6084" t="str">
        <f>"20190303162939062"</f>
        <v>20190303162939062</v>
      </c>
      <c r="B6084" t="str">
        <f>"1551601779057664"</f>
        <v>1551601779057664</v>
      </c>
      <c r="C6084" t="s">
        <v>40</v>
      </c>
      <c r="D6084">
        <v>4.7370729999999996</v>
      </c>
      <c r="E6084">
        <v>0.50158789999999998</v>
      </c>
      <c r="F6084" t="s">
        <v>68</v>
      </c>
      <c r="G6084">
        <v>-215.83949999999999</v>
      </c>
      <c r="H6084" s="1">
        <v>-1.504279E-6</v>
      </c>
      <c r="I6084">
        <v>-60.496839999999999</v>
      </c>
      <c r="J6084">
        <v>-241.88550000000001</v>
      </c>
      <c r="K6084">
        <v>1.1204499999999999</v>
      </c>
      <c r="L6084">
        <v>-62.057369999999999</v>
      </c>
      <c r="M6084">
        <v>0.99983679999999997</v>
      </c>
      <c r="N6084">
        <v>-1.18557E-2</v>
      </c>
      <c r="O6084">
        <v>1.3636219999999999E-2</v>
      </c>
      <c r="P6084">
        <v>0.98385730000000005</v>
      </c>
      <c r="Q6084">
        <v>0.16664670000000001</v>
      </c>
      <c r="R6084">
        <v>6.5223110000000001E-2</v>
      </c>
      <c r="S6084">
        <v>3.0593409999999999</v>
      </c>
      <c r="T6084">
        <v>-0.1308154</v>
      </c>
      <c r="U6084">
        <v>0.1824036</v>
      </c>
      <c r="V6084">
        <v>-5.1491259999999997E-2</v>
      </c>
      <c r="W6084">
        <v>0.17839869999999999</v>
      </c>
      <c r="X6084">
        <v>0.98260999999999998</v>
      </c>
      <c r="Y6084">
        <v>-4.5850729999999999E-2</v>
      </c>
      <c r="Z6084">
        <v>8.3043859999999995E-4</v>
      </c>
      <c r="AA6084">
        <v>0.99894799999999995</v>
      </c>
      <c r="AB6084">
        <v>31</v>
      </c>
      <c r="AC6084">
        <v>26.045999999999999</v>
      </c>
      <c r="AD6084">
        <v>-1.120451504279</v>
      </c>
      <c r="AE6084">
        <v>1.56053</v>
      </c>
      <c r="AF6084">
        <v>-1.2029727439745399</v>
      </c>
      <c r="AG6084">
        <v>-1.120451504279</v>
      </c>
      <c r="AH6084">
        <v>26.0168854977703</v>
      </c>
      <c r="AI6084">
        <v>92.463365891591096</v>
      </c>
      <c r="AJ6084">
        <v>92.647365459823305</v>
      </c>
      <c r="AK6084">
        <v>26.068772238068199</v>
      </c>
      <c r="AL6084">
        <v>79.723496776866398</v>
      </c>
      <c r="AM6084">
        <v>92.9997006432653</v>
      </c>
      <c r="AN6084">
        <v>0.99999992905903601</v>
      </c>
    </row>
    <row r="6085" spans="1:40" x14ac:dyDescent="0.25">
      <c r="A6085" t="str">
        <f>"20190303162939074"</f>
        <v>20190303162939074</v>
      </c>
      <c r="B6085" t="str">
        <f>"1551601779068401"</f>
        <v>1551601779068401</v>
      </c>
      <c r="C6085" t="s">
        <v>40</v>
      </c>
      <c r="D6085">
        <v>4.7350760000000003</v>
      </c>
      <c r="E6085">
        <v>0.50120880000000001</v>
      </c>
      <c r="F6085" t="s">
        <v>68</v>
      </c>
      <c r="G6085">
        <v>-215.16370000000001</v>
      </c>
      <c r="H6085" s="1">
        <v>-1.1974430000000001E-6</v>
      </c>
      <c r="I6085">
        <v>-60.433329999999998</v>
      </c>
      <c r="J6085">
        <v>-241.72120000000001</v>
      </c>
      <c r="K6085">
        <v>1.1204510000000001</v>
      </c>
      <c r="L6085">
        <v>-62.055570000000003</v>
      </c>
      <c r="M6085">
        <v>0.99984249999999997</v>
      </c>
      <c r="N6085">
        <v>-1.1855900000000001E-2</v>
      </c>
      <c r="O6085">
        <v>1.320757E-2</v>
      </c>
      <c r="P6085">
        <v>0.98391059999999997</v>
      </c>
      <c r="Q6085">
        <v>0.1666754</v>
      </c>
      <c r="R6085">
        <v>6.4335699999999996E-2</v>
      </c>
      <c r="S6085">
        <v>3.058624</v>
      </c>
      <c r="T6085">
        <v>-0.12824829999999901</v>
      </c>
      <c r="U6085">
        <v>0.18588260000000001</v>
      </c>
      <c r="V6085">
        <v>-5.1025719999999997E-2</v>
      </c>
      <c r="W6085">
        <v>0.17842640000000001</v>
      </c>
      <c r="X6085">
        <v>0.98262939999999999</v>
      </c>
      <c r="Y6085">
        <v>-4.7424519999999998E-2</v>
      </c>
      <c r="Z6085">
        <v>8.779072E-4</v>
      </c>
      <c r="AA6085">
        <v>0.99887440000000005</v>
      </c>
      <c r="AB6085">
        <v>31</v>
      </c>
      <c r="AC6085">
        <v>26.557500000000001</v>
      </c>
      <c r="AD6085">
        <v>-1.120452197443</v>
      </c>
      <c r="AE6085">
        <v>1.6222399999999899</v>
      </c>
      <c r="AF6085">
        <v>-1.2690632969498099</v>
      </c>
      <c r="AG6085">
        <v>-1.120452197443</v>
      </c>
      <c r="AH6085">
        <v>26.5295643400292</v>
      </c>
      <c r="AI6085">
        <v>92.415639332225794</v>
      </c>
      <c r="AJ6085">
        <v>92.7387025478412</v>
      </c>
      <c r="AK6085">
        <v>26.583523446867801</v>
      </c>
      <c r="AL6085">
        <v>79.721885279831</v>
      </c>
      <c r="AM6085">
        <v>92.972570191928696</v>
      </c>
      <c r="AN6085">
        <v>1.0000000710314101</v>
      </c>
    </row>
    <row r="6086" spans="1:40" x14ac:dyDescent="0.25">
      <c r="A6086" t="str">
        <f>"20190303162939084"</f>
        <v>20190303162939084</v>
      </c>
      <c r="B6086" t="str">
        <f>"1551601779078160"</f>
        <v>1551601779078160</v>
      </c>
      <c r="C6086" t="s">
        <v>40</v>
      </c>
      <c r="D6086">
        <v>4.7166449999999998</v>
      </c>
      <c r="E6086">
        <v>0.50091620000000003</v>
      </c>
      <c r="F6086" t="s">
        <v>68</v>
      </c>
      <c r="G6086">
        <v>-214.96199999999999</v>
      </c>
      <c r="H6086" s="1">
        <v>-1.109111E-6</v>
      </c>
      <c r="I6086">
        <v>-60.426560000000002</v>
      </c>
      <c r="J6086">
        <v>-241.57300000000001</v>
      </c>
      <c r="K6086">
        <v>1.120449</v>
      </c>
      <c r="L6086">
        <v>-62.054020000000001</v>
      </c>
      <c r="M6086">
        <v>0.9998475</v>
      </c>
      <c r="N6086">
        <v>-1.185574E-2</v>
      </c>
      <c r="O6086">
        <v>1.282088E-2</v>
      </c>
      <c r="P6086">
        <v>0.98391770000000001</v>
      </c>
      <c r="Q6086">
        <v>0.1669021</v>
      </c>
      <c r="R6086">
        <v>6.3636590000000007E-2</v>
      </c>
      <c r="S6086">
        <v>3.0585629999999999</v>
      </c>
      <c r="T6086">
        <v>-0.12806680000000001</v>
      </c>
      <c r="U6086">
        <v>0.18618770000000001</v>
      </c>
      <c r="V6086">
        <v>-5.0707330000000002E-2</v>
      </c>
      <c r="W6086">
        <v>0.17865200000000001</v>
      </c>
      <c r="X6086">
        <v>0.98260479999999994</v>
      </c>
      <c r="Y6086">
        <v>-4.7910719999999997E-2</v>
      </c>
      <c r="Z6086">
        <v>9.0192319999999996E-4</v>
      </c>
      <c r="AA6086">
        <v>0.99885119999999905</v>
      </c>
      <c r="AB6086">
        <v>31</v>
      </c>
      <c r="AC6086">
        <v>26.610999999999901</v>
      </c>
      <c r="AD6086">
        <v>-1.120450109111</v>
      </c>
      <c r="AE6086">
        <v>1.6274599999999899</v>
      </c>
      <c r="AF6086">
        <v>-1.2838582356743899</v>
      </c>
      <c r="AG6086">
        <v>-1.120450109111</v>
      </c>
      <c r="AH6086">
        <v>26.582728875855</v>
      </c>
      <c r="AI6086">
        <v>92.410756134252495</v>
      </c>
      <c r="AJ6086">
        <v>92.765048850278603</v>
      </c>
      <c r="AK6086">
        <v>26.637289180836898</v>
      </c>
      <c r="AL6086">
        <v>79.708747348715903</v>
      </c>
      <c r="AM6086">
        <v>92.954128746066203</v>
      </c>
      <c r="AN6086">
        <v>0.99999998170138404</v>
      </c>
    </row>
    <row r="6087" spans="1:40" x14ac:dyDescent="0.25">
      <c r="A6087" t="str">
        <f>"20190303162939095"</f>
        <v>20190303162939095</v>
      </c>
      <c r="B6087" t="str">
        <f>"1551601779087920"</f>
        <v>1551601779087920</v>
      </c>
      <c r="C6087" t="s">
        <v>40</v>
      </c>
      <c r="D6087">
        <v>4.7431269999999897</v>
      </c>
      <c r="E6087">
        <v>0.5006699</v>
      </c>
      <c r="F6087" t="s">
        <v>68</v>
      </c>
      <c r="G6087">
        <v>-214.5633</v>
      </c>
      <c r="H6087" s="1">
        <v>-9.3297470000000002E-7</v>
      </c>
      <c r="I6087">
        <v>-60.407299999999999</v>
      </c>
      <c r="J6087">
        <v>-241.41079999999999</v>
      </c>
      <c r="K6087">
        <v>1.1204510000000001</v>
      </c>
      <c r="L6087">
        <v>-62.052370000000003</v>
      </c>
      <c r="M6087">
        <v>0.99985299999999999</v>
      </c>
      <c r="N6087">
        <v>-1.1853219999999999E-2</v>
      </c>
      <c r="O6087">
        <v>1.2398630000000001E-2</v>
      </c>
      <c r="P6087">
        <v>0.98389340000000003</v>
      </c>
      <c r="Q6087">
        <v>0.16733799999999999</v>
      </c>
      <c r="R6087">
        <v>6.2865379999999998E-2</v>
      </c>
      <c r="S6087">
        <v>3.0585019999999998</v>
      </c>
      <c r="T6087">
        <v>-0.12687670000000001</v>
      </c>
      <c r="U6087">
        <v>0.1864624</v>
      </c>
      <c r="V6087">
        <v>-5.035237E-2</v>
      </c>
      <c r="W6087">
        <v>0.1790841</v>
      </c>
      <c r="X6087">
        <v>0.98254439999999998</v>
      </c>
      <c r="Y6087">
        <v>-4.8423109999999998E-2</v>
      </c>
      <c r="Z6087">
        <v>9.2365640000000005E-4</v>
      </c>
      <c r="AA6087">
        <v>0.99882649999999995</v>
      </c>
      <c r="AB6087">
        <v>31</v>
      </c>
      <c r="AC6087">
        <v>26.8475</v>
      </c>
      <c r="AD6087">
        <v>-1.12045193297469</v>
      </c>
      <c r="AE6087">
        <v>1.64506999999999</v>
      </c>
      <c r="AF6087">
        <v>-1.30977523714114</v>
      </c>
      <c r="AG6087">
        <v>-1.12045193297469</v>
      </c>
      <c r="AH6087">
        <v>26.8192970718559</v>
      </c>
      <c r="AI6087">
        <v>92.3894574449358</v>
      </c>
      <c r="AJ6087">
        <v>92.795935193705503</v>
      </c>
      <c r="AK6087">
        <v>26.874627795271799</v>
      </c>
      <c r="AL6087">
        <v>79.683584090041506</v>
      </c>
      <c r="AM6087">
        <v>92.933665600339594</v>
      </c>
      <c r="AN6087">
        <v>0.99999998700439297</v>
      </c>
    </row>
    <row r="6088" spans="1:40" x14ac:dyDescent="0.25">
      <c r="A6088" t="str">
        <f>"20190303162939108"</f>
        <v>20190303162939108</v>
      </c>
      <c r="B6088" t="str">
        <f>"1551601779097680"</f>
        <v>1551601779097680</v>
      </c>
      <c r="C6088" t="s">
        <v>40</v>
      </c>
      <c r="D6088">
        <v>4.7742139999999997</v>
      </c>
      <c r="E6088">
        <v>0.50049330000000003</v>
      </c>
      <c r="F6088" t="s">
        <v>68</v>
      </c>
      <c r="G6088">
        <v>-213.98439999999999</v>
      </c>
      <c r="H6088" s="1">
        <v>-6.7877609999999998E-7</v>
      </c>
      <c r="I6088">
        <v>-60.381030000000003</v>
      </c>
      <c r="J6088">
        <v>-241.25129999999999</v>
      </c>
      <c r="K6088">
        <v>1.1204529999999999</v>
      </c>
      <c r="L6088">
        <v>-62.050780000000003</v>
      </c>
      <c r="M6088">
        <v>0.99985809999999997</v>
      </c>
      <c r="N6088">
        <v>-1.184995E-2</v>
      </c>
      <c r="O6088">
        <v>1.1983840000000001E-2</v>
      </c>
      <c r="P6088">
        <v>0.98387899999999995</v>
      </c>
      <c r="Q6088">
        <v>0.1677418</v>
      </c>
      <c r="R6088">
        <v>6.200891E-2</v>
      </c>
      <c r="S6088">
        <v>3.0584259999999999</v>
      </c>
      <c r="T6088">
        <v>-0.1249458</v>
      </c>
      <c r="U6088">
        <v>0.1863708</v>
      </c>
      <c r="V6088">
        <v>-4.9903589999999998E-2</v>
      </c>
      <c r="W6088">
        <v>0.17948339999999999</v>
      </c>
      <c r="X6088">
        <v>0.98249450000000005</v>
      </c>
      <c r="Y6088">
        <v>-4.8809829999999998E-2</v>
      </c>
      <c r="Z6088">
        <v>9.3829530000000001E-4</v>
      </c>
      <c r="AA6088">
        <v>0.99880769999999997</v>
      </c>
      <c r="AB6088">
        <v>31</v>
      </c>
      <c r="AC6088">
        <v>27.2669</v>
      </c>
      <c r="AD6088">
        <v>-1.1204536787760999</v>
      </c>
      <c r="AE6088">
        <v>1.6697500000000001</v>
      </c>
      <c r="AF6088">
        <v>-1.34058980228555</v>
      </c>
      <c r="AG6088">
        <v>-1.1204536787760999</v>
      </c>
      <c r="AH6088">
        <v>27.239130095439801</v>
      </c>
      <c r="AI6088">
        <v>92.3526309207152</v>
      </c>
      <c r="AJ6088">
        <v>92.817572058675907</v>
      </c>
      <c r="AK6088">
        <v>27.295105895023902</v>
      </c>
      <c r="AL6088">
        <v>79.660329760953303</v>
      </c>
      <c r="AM6088">
        <v>92.907710947520101</v>
      </c>
      <c r="AN6088">
        <v>1.0000000508503399</v>
      </c>
    </row>
    <row r="6089" spans="1:40" x14ac:dyDescent="0.25">
      <c r="A6089" t="str">
        <f>"20190303162939120"</f>
        <v>20190303162939120</v>
      </c>
      <c r="B6089" t="str">
        <f>"1551601779108416"</f>
        <v>1551601779108416</v>
      </c>
      <c r="C6089" t="s">
        <v>40</v>
      </c>
      <c r="D6089">
        <v>4.720631</v>
      </c>
      <c r="E6089">
        <v>0.50030090000000005</v>
      </c>
      <c r="F6089" t="s">
        <v>68</v>
      </c>
      <c r="G6089">
        <v>-213.3886</v>
      </c>
      <c r="H6089" s="1">
        <v>-4.2665589999999999E-7</v>
      </c>
      <c r="I6089">
        <v>-60.361490000000003</v>
      </c>
      <c r="J6089">
        <v>-241.0746</v>
      </c>
      <c r="K6089">
        <v>1.1204540000000001</v>
      </c>
      <c r="L6089">
        <v>-62.049100000000003</v>
      </c>
      <c r="M6089">
        <v>0.99986350000000002</v>
      </c>
      <c r="N6089">
        <v>-1.184493E-2</v>
      </c>
      <c r="O6089">
        <v>1.152483E-2</v>
      </c>
      <c r="P6089">
        <v>0.98392460000000004</v>
      </c>
      <c r="Q6089">
        <v>0.16795460000000001</v>
      </c>
      <c r="R6089">
        <v>6.069422E-2</v>
      </c>
      <c r="S6089">
        <v>3.0584560000000001</v>
      </c>
      <c r="T6089">
        <v>-0.12299069999999999</v>
      </c>
      <c r="U6089">
        <v>0.1854248</v>
      </c>
      <c r="V6089">
        <v>-4.9041080000000001E-2</v>
      </c>
      <c r="W6089">
        <v>0.17968979999999901</v>
      </c>
      <c r="X6089">
        <v>0.98250009999999999</v>
      </c>
      <c r="Y6089">
        <v>-4.8960820000000002E-2</v>
      </c>
      <c r="Z6089">
        <v>9.4710940000000004E-4</v>
      </c>
      <c r="AA6089">
        <v>0.99880029999999997</v>
      </c>
      <c r="AB6089">
        <v>31</v>
      </c>
      <c r="AC6089">
        <v>27.686</v>
      </c>
      <c r="AD6089">
        <v>-1.12045442665589</v>
      </c>
      <c r="AE6089">
        <v>1.6876099999999901</v>
      </c>
      <c r="AF6089">
        <v>-1.3661698318379401</v>
      </c>
      <c r="AG6089">
        <v>-1.12045442665589</v>
      </c>
      <c r="AH6089">
        <v>27.658479704283199</v>
      </c>
      <c r="AI6089">
        <v>92.316981413964797</v>
      </c>
      <c r="AJ6089">
        <v>92.827783756284205</v>
      </c>
      <c r="AK6089">
        <v>27.714857706361901</v>
      </c>
      <c r="AL6089">
        <v>79.648307407942099</v>
      </c>
      <c r="AM6089">
        <v>92.857523214062198</v>
      </c>
      <c r="AN6089">
        <v>0.99999994912580603</v>
      </c>
    </row>
    <row r="6090" spans="1:40" x14ac:dyDescent="0.25">
      <c r="A6090" t="str">
        <f>"20190303162939130"</f>
        <v>20190303162939130</v>
      </c>
      <c r="B6090" t="str">
        <f>"1551601779118176"</f>
        <v>1551601779118176</v>
      </c>
      <c r="C6090" t="s">
        <v>40</v>
      </c>
      <c r="D6090">
        <v>4.7725669999999996</v>
      </c>
      <c r="E6090">
        <v>0.50016570000000005</v>
      </c>
      <c r="F6090" t="s">
        <v>68</v>
      </c>
      <c r="G6090">
        <v>-212.70480000000001</v>
      </c>
      <c r="H6090" s="1">
        <v>-1.354089E-7</v>
      </c>
      <c r="I6090">
        <v>-60.349679999999999</v>
      </c>
      <c r="J6090">
        <v>-240.9298</v>
      </c>
      <c r="K6090">
        <v>1.120455</v>
      </c>
      <c r="L6090">
        <v>-62.047849999999997</v>
      </c>
      <c r="M6090">
        <v>0.99986790000000003</v>
      </c>
      <c r="N6090">
        <v>-1.1840699999999999E-2</v>
      </c>
      <c r="O6090">
        <v>1.1149070000000001E-2</v>
      </c>
      <c r="P6090">
        <v>0.98390230000000001</v>
      </c>
      <c r="Q6090">
        <v>0.16852149999999999</v>
      </c>
      <c r="R6090">
        <v>5.9472879999999999E-2</v>
      </c>
      <c r="S6090">
        <v>3.0583499999999999</v>
      </c>
      <c r="T6090">
        <v>-0.1207883</v>
      </c>
      <c r="U6090">
        <v>0.183197</v>
      </c>
      <c r="V6090">
        <v>-4.8189000000000003E-2</v>
      </c>
      <c r="W6090">
        <v>0.18024979999999999</v>
      </c>
      <c r="X6090">
        <v>0.98243979999999997</v>
      </c>
      <c r="Y6090">
        <v>-4.8614940000000002E-2</v>
      </c>
      <c r="Z6090">
        <v>9.3916910000000004E-4</v>
      </c>
      <c r="AA6090">
        <v>0.99881710000000001</v>
      </c>
      <c r="AB6090">
        <v>31</v>
      </c>
      <c r="AC6090">
        <v>28.224999999999898</v>
      </c>
      <c r="AD6090">
        <v>-1.1204551354088901</v>
      </c>
      <c r="AE6090">
        <v>1.69816999999999</v>
      </c>
      <c r="AF6090">
        <v>-1.38119119661571</v>
      </c>
      <c r="AG6090">
        <v>-1.1204551354088901</v>
      </c>
      <c r="AH6090">
        <v>28.197903808375401</v>
      </c>
      <c r="AI6090">
        <v>92.272751994391797</v>
      </c>
      <c r="AJ6090">
        <v>92.804223626858402</v>
      </c>
      <c r="AK6090">
        <v>28.253935796955101</v>
      </c>
      <c r="AL6090">
        <v>79.615690403849996</v>
      </c>
      <c r="AM6090">
        <v>92.808126489202195</v>
      </c>
      <c r="AN6090">
        <v>1.0000000653725301</v>
      </c>
    </row>
    <row r="6091" spans="1:40" x14ac:dyDescent="0.25">
      <c r="A6091" t="str">
        <f>"20190303162939140"</f>
        <v>20190303162939140</v>
      </c>
      <c r="B6091" t="str">
        <f>"1551601779127936"</f>
        <v>1551601779127936</v>
      </c>
      <c r="C6091" t="s">
        <v>40</v>
      </c>
      <c r="D6091">
        <v>5.0431800000000004</v>
      </c>
      <c r="E6091">
        <v>0.49989420000000001</v>
      </c>
      <c r="F6091" t="s">
        <v>68</v>
      </c>
      <c r="G6091">
        <v>-212.0891</v>
      </c>
      <c r="H6091" s="1">
        <v>1.2745960000000001E-7</v>
      </c>
      <c r="I6091">
        <v>-60.342460000000003</v>
      </c>
      <c r="J6091">
        <v>-240.78540000000001</v>
      </c>
      <c r="K6091">
        <v>1.1204559999999999</v>
      </c>
      <c r="L6091">
        <v>-62.046570000000003</v>
      </c>
      <c r="M6091">
        <v>0.99987199999999998</v>
      </c>
      <c r="N6091">
        <v>-1.183644E-2</v>
      </c>
      <c r="O6091">
        <v>1.077445E-2</v>
      </c>
      <c r="P6091">
        <v>0.98396870000000003</v>
      </c>
      <c r="Q6091">
        <v>0.16853950000000001</v>
      </c>
      <c r="R6091">
        <v>5.8311710000000003E-2</v>
      </c>
      <c r="S6091">
        <v>3.0585019999999998</v>
      </c>
      <c r="T6091">
        <v>-0.118822</v>
      </c>
      <c r="U6091">
        <v>0.18084720000000001</v>
      </c>
      <c r="V6091">
        <v>-4.73967E-2</v>
      </c>
      <c r="W6091">
        <v>0.1802629</v>
      </c>
      <c r="X6091">
        <v>0.98247589999999996</v>
      </c>
      <c r="Y6091">
        <v>-4.8222969999999997E-2</v>
      </c>
      <c r="Z6091">
        <v>9.3072879999999997E-4</v>
      </c>
      <c r="AA6091">
        <v>0.99883619999999995</v>
      </c>
      <c r="AB6091">
        <v>31</v>
      </c>
      <c r="AC6091">
        <v>28.696300000000001</v>
      </c>
      <c r="AD6091">
        <v>-1.1204558725403999</v>
      </c>
      <c r="AE6091">
        <v>1.70410999999999</v>
      </c>
      <c r="AF6091">
        <v>-1.3926868504429699</v>
      </c>
      <c r="AG6091">
        <v>-1.1204558725403999</v>
      </c>
      <c r="AH6091">
        <v>28.6694421859697</v>
      </c>
      <c r="AI6091">
        <v>92.235454770017299</v>
      </c>
      <c r="AJ6091">
        <v>92.781093579661899</v>
      </c>
      <c r="AK6091">
        <v>28.725109456368799</v>
      </c>
      <c r="AL6091">
        <v>79.614926928790297</v>
      </c>
      <c r="AM6091">
        <v>92.761927405717501</v>
      </c>
      <c r="AN6091">
        <v>1.0000000271840499</v>
      </c>
    </row>
    <row r="6092" spans="1:40" x14ac:dyDescent="0.25">
      <c r="A6092" t="str">
        <f>"20190303162939152"</f>
        <v>20190303162939152</v>
      </c>
      <c r="B6092" t="str">
        <f>"1551601779148433"</f>
        <v>1551601779148433</v>
      </c>
      <c r="C6092" t="s">
        <v>40</v>
      </c>
      <c r="D6092">
        <v>4.8359030000000001</v>
      </c>
      <c r="E6092">
        <v>0.49934450000000002</v>
      </c>
      <c r="F6092" t="s">
        <v>68</v>
      </c>
      <c r="G6092">
        <v>-211.32830000000001</v>
      </c>
      <c r="H6092" s="1">
        <v>4.4949570000000001E-7</v>
      </c>
      <c r="I6092">
        <v>-60.318060000000003</v>
      </c>
      <c r="J6092">
        <v>-240.62780000000001</v>
      </c>
      <c r="K6092">
        <v>1.1204510000000001</v>
      </c>
      <c r="L6092">
        <v>-62.045319999999997</v>
      </c>
      <c r="M6092">
        <v>0.9998764</v>
      </c>
      <c r="N6092">
        <v>-1.183206E-2</v>
      </c>
      <c r="O6092">
        <v>1.03655E-2</v>
      </c>
      <c r="P6092">
        <v>0.98405390000000004</v>
      </c>
      <c r="Q6092">
        <v>0.1683915</v>
      </c>
      <c r="R6092">
        <v>5.7294930000000001E-2</v>
      </c>
      <c r="S6092">
        <v>3.0581670000000001</v>
      </c>
      <c r="T6092">
        <v>-0.1163228</v>
      </c>
      <c r="U6092">
        <v>0.1794434</v>
      </c>
      <c r="V6092">
        <v>-4.6782440000000002E-2</v>
      </c>
      <c r="W6092">
        <v>0.18010999999999999</v>
      </c>
      <c r="X6092">
        <v>0.98253330000000005</v>
      </c>
      <c r="Y6092">
        <v>-4.8182450000000002E-2</v>
      </c>
      <c r="Z6092">
        <v>9.2944369999999998E-4</v>
      </c>
      <c r="AA6092">
        <v>0.99883809999999995</v>
      </c>
      <c r="AB6092">
        <v>31</v>
      </c>
      <c r="AC6092">
        <v>29.299499999999899</v>
      </c>
      <c r="AD6092">
        <v>-1.1204505505043001</v>
      </c>
      <c r="AE6092">
        <v>1.72726</v>
      </c>
      <c r="AF6092">
        <v>-1.4213705958185101</v>
      </c>
      <c r="AG6092">
        <v>-1.1204505505043001</v>
      </c>
      <c r="AH6092">
        <v>29.273170175285401</v>
      </c>
      <c r="AI6092">
        <v>92.1893881734822</v>
      </c>
      <c r="AJ6092">
        <v>92.779836471021994</v>
      </c>
      <c r="AK6092">
        <v>29.329067423257801</v>
      </c>
      <c r="AL6092">
        <v>79.623832388202104</v>
      </c>
      <c r="AM6092">
        <v>92.726028227348195</v>
      </c>
      <c r="AN6092">
        <v>0.99999994720062002</v>
      </c>
    </row>
    <row r="6093" spans="1:40" x14ac:dyDescent="0.25">
      <c r="A6093" t="str">
        <f>"20190303162939163"</f>
        <v>20190303162939163</v>
      </c>
      <c r="B6093" t="str">
        <f>"1551601779157615"</f>
        <v>1551601779157615</v>
      </c>
      <c r="C6093" t="s">
        <v>40</v>
      </c>
      <c r="D6093">
        <v>4.6901529999999996</v>
      </c>
      <c r="E6093">
        <v>0.49908019999999997</v>
      </c>
      <c r="F6093" t="s">
        <v>42</v>
      </c>
      <c r="G6093">
        <v>-208.6464</v>
      </c>
      <c r="H6093">
        <v>-0.05</v>
      </c>
      <c r="I6093">
        <v>-60.1547699999999</v>
      </c>
      <c r="J6093">
        <v>-240.46379999999999</v>
      </c>
      <c r="K6093">
        <v>1.1204480000000001</v>
      </c>
      <c r="L6093">
        <v>-62.04401</v>
      </c>
      <c r="M6093">
        <v>0.99988080000000001</v>
      </c>
      <c r="N6093">
        <v>-1.1827509999999999E-2</v>
      </c>
      <c r="O6093">
        <v>9.9403330000000008E-3</v>
      </c>
      <c r="P6093">
        <v>0.98419440000000002</v>
      </c>
      <c r="Q6093">
        <v>0.16801849999999999</v>
      </c>
      <c r="R6093">
        <v>5.5959960000000003E-2</v>
      </c>
      <c r="S6093">
        <v>3.05722</v>
      </c>
      <c r="T6093">
        <v>-0.1118876</v>
      </c>
      <c r="U6093">
        <v>0.1807251</v>
      </c>
      <c r="V6093">
        <v>-4.5865490000000002E-2</v>
      </c>
      <c r="W6093">
        <v>0.179732</v>
      </c>
      <c r="X6093">
        <v>0.98264580000000001</v>
      </c>
      <c r="Y6093">
        <v>-4.9044259999999999E-2</v>
      </c>
      <c r="Z6093">
        <v>9.4093119999999995E-4</v>
      </c>
      <c r="AA6093">
        <v>0.99879620000000002</v>
      </c>
      <c r="AB6093">
        <v>31</v>
      </c>
      <c r="AC6093">
        <v>31.8173999999999</v>
      </c>
      <c r="AD6093">
        <v>-1.1704479999999999</v>
      </c>
      <c r="AE6093">
        <v>1.88924</v>
      </c>
      <c r="AF6093">
        <v>-1.57073091256158</v>
      </c>
      <c r="AG6093">
        <v>-1.1704479999999999</v>
      </c>
      <c r="AH6093">
        <v>31.791738077951798</v>
      </c>
      <c r="AI6093">
        <v>92.105888823036594</v>
      </c>
      <c r="AJ6093">
        <v>92.828506283953601</v>
      </c>
      <c r="AK6093">
        <v>31.852029042707301</v>
      </c>
      <c r="AL6093">
        <v>79.645850059638903</v>
      </c>
      <c r="AM6093">
        <v>92.672369952858304</v>
      </c>
      <c r="AN6093">
        <v>1.0000000016272901</v>
      </c>
    </row>
    <row r="6094" spans="1:40" x14ac:dyDescent="0.25">
      <c r="A6094" t="str">
        <f>"20190303162939174"</f>
        <v>20190303162939174</v>
      </c>
      <c r="B6094" t="str">
        <f>"1551601779168352"</f>
        <v>1551601779168352</v>
      </c>
      <c r="C6094" t="s">
        <v>40</v>
      </c>
      <c r="D6094">
        <v>5.977201</v>
      </c>
      <c r="E6094">
        <v>0.499</v>
      </c>
      <c r="F6094" t="s">
        <v>57</v>
      </c>
      <c r="G6094">
        <v>-209.5592</v>
      </c>
      <c r="H6094" s="1">
        <v>-2.9100240000000002E-7</v>
      </c>
      <c r="I6094">
        <v>-60.236049999999999</v>
      </c>
      <c r="J6094">
        <v>-240.3115</v>
      </c>
      <c r="K6094">
        <v>1.120444</v>
      </c>
      <c r="L6094">
        <v>-62.042909999999999</v>
      </c>
      <c r="M6094">
        <v>0.99988460000000001</v>
      </c>
      <c r="N6094">
        <v>-1.1821099999999999E-2</v>
      </c>
      <c r="O6094">
        <v>9.5476699999999994E-3</v>
      </c>
      <c r="P6094">
        <v>0.98433689999999996</v>
      </c>
      <c r="Q6094">
        <v>0.16759679999999999</v>
      </c>
      <c r="R6094">
        <v>5.4699930000000001E-2</v>
      </c>
      <c r="S6094">
        <v>3.0569310000000001</v>
      </c>
      <c r="T6094">
        <v>-0.1108292</v>
      </c>
      <c r="U6094">
        <v>0.17883299999999999</v>
      </c>
      <c r="V6094">
        <v>-4.4991900000000001E-2</v>
      </c>
      <c r="W6094">
        <v>0.17930409999999999</v>
      </c>
      <c r="X6094">
        <v>0.98276439999999998</v>
      </c>
      <c r="Y6094">
        <v>-4.8826700000000001E-2</v>
      </c>
      <c r="Z6094">
        <v>9.4007819999999997E-4</v>
      </c>
      <c r="AA6094">
        <v>0.99880679999999999</v>
      </c>
      <c r="AB6094">
        <v>31</v>
      </c>
      <c r="AC6094">
        <v>30.752299999999899</v>
      </c>
      <c r="AD6094">
        <v>-1.1204442910024</v>
      </c>
      <c r="AE6094">
        <v>1.8068599999999999</v>
      </c>
      <c r="AF6094">
        <v>-1.5111452175535001</v>
      </c>
      <c r="AG6094">
        <v>-1.1204442910024</v>
      </c>
      <c r="AH6094">
        <v>30.727501056796299</v>
      </c>
      <c r="AI6094">
        <v>92.085783370129903</v>
      </c>
      <c r="AJ6094">
        <v>92.815476030265501</v>
      </c>
      <c r="AK6094">
        <v>30.785033319345199</v>
      </c>
      <c r="AL6094">
        <v>79.670772276058003</v>
      </c>
      <c r="AM6094">
        <v>92.621225674776895</v>
      </c>
      <c r="AN6094">
        <v>1.0000000486248799</v>
      </c>
    </row>
    <row r="6095" spans="1:40" x14ac:dyDescent="0.25">
      <c r="A6095" t="str">
        <f>"20190303162939185"</f>
        <v>20190303162939185</v>
      </c>
      <c r="B6095" t="str">
        <f>"1551601779178111"</f>
        <v>1551601779178111</v>
      </c>
      <c r="C6095" t="s">
        <v>40</v>
      </c>
      <c r="D6095">
        <v>4.9415269999999998</v>
      </c>
      <c r="E6095">
        <v>0.49917640000000002</v>
      </c>
      <c r="F6095" t="s">
        <v>57</v>
      </c>
      <c r="G6095">
        <v>-209.23009999999999</v>
      </c>
      <c r="H6095" s="1">
        <v>-4.9370350000000002E-7</v>
      </c>
      <c r="I6095">
        <v>-60.260509999999996</v>
      </c>
      <c r="J6095">
        <v>-240.15979999999999</v>
      </c>
      <c r="K6095">
        <v>1.120447</v>
      </c>
      <c r="L6095">
        <v>-62.041840000000001</v>
      </c>
      <c r="M6095">
        <v>0.99988829999999995</v>
      </c>
      <c r="N6095">
        <v>-1.1814409999999999E-2</v>
      </c>
      <c r="O6095">
        <v>9.1571580000000003E-3</v>
      </c>
      <c r="P6095">
        <v>0.98447240000000003</v>
      </c>
      <c r="Q6095">
        <v>0.16718179999999999</v>
      </c>
      <c r="R6095">
        <v>5.3519990000000003E-2</v>
      </c>
      <c r="S6095">
        <v>3.0567630000000001</v>
      </c>
      <c r="T6095">
        <v>-0.1101924</v>
      </c>
      <c r="U6095">
        <v>0.175293</v>
      </c>
      <c r="V6095">
        <v>-4.4196329999999999E-2</v>
      </c>
      <c r="W6095">
        <v>0.1788824</v>
      </c>
      <c r="X6095">
        <v>0.98287729999999995</v>
      </c>
      <c r="Y6095">
        <v>-4.8068050000000001E-2</v>
      </c>
      <c r="Z6095">
        <v>9.2810259999999997E-4</v>
      </c>
      <c r="AA6095">
        <v>0.99884360000000005</v>
      </c>
      <c r="AB6095">
        <v>31</v>
      </c>
      <c r="AC6095">
        <v>30.9297</v>
      </c>
      <c r="AD6095">
        <v>-1.1204474937035001</v>
      </c>
      <c r="AE6095">
        <v>1.7813300000000001</v>
      </c>
      <c r="AF6095">
        <v>-1.4960506209081199</v>
      </c>
      <c r="AG6095">
        <v>-1.1204474937035001</v>
      </c>
      <c r="AH6095">
        <v>30.904294579998201</v>
      </c>
      <c r="AI6095">
        <v>92.073945289598498</v>
      </c>
      <c r="AJ6095">
        <v>92.771476380696498</v>
      </c>
      <c r="AK6095">
        <v>30.9607653899862</v>
      </c>
      <c r="AL6095">
        <v>79.695330541696293</v>
      </c>
      <c r="AM6095">
        <v>92.574643376157894</v>
      </c>
      <c r="AN6095">
        <v>1.00000000773525</v>
      </c>
    </row>
    <row r="6096" spans="1:40" x14ac:dyDescent="0.25">
      <c r="A6096" t="str">
        <f>"20190303162939195"</f>
        <v>20190303162939195</v>
      </c>
      <c r="B6096" t="str">
        <f>"1551601779187871"</f>
        <v>1551601779187871</v>
      </c>
      <c r="C6096" t="s">
        <v>40</v>
      </c>
      <c r="D6096">
        <v>4.9032369999999998</v>
      </c>
      <c r="E6096">
        <v>0.49917640000000002</v>
      </c>
      <c r="F6096" t="s">
        <v>57</v>
      </c>
      <c r="G6096">
        <v>-209.48920000000001</v>
      </c>
      <c r="H6096" s="1">
        <v>-3.091728E-7</v>
      </c>
      <c r="I6096">
        <v>-60.3352199999999</v>
      </c>
      <c r="J6096">
        <v>-240.0061</v>
      </c>
      <c r="K6096">
        <v>1.1204480000000001</v>
      </c>
      <c r="L6096">
        <v>-62.04083</v>
      </c>
      <c r="M6096">
        <v>0.999892</v>
      </c>
      <c r="N6096">
        <v>-1.1806270000000001E-2</v>
      </c>
      <c r="O6096">
        <v>8.7640459999999993E-3</v>
      </c>
      <c r="P6096">
        <v>0.98455479999999995</v>
      </c>
      <c r="Q6096">
        <v>0.16706029999999999</v>
      </c>
      <c r="R6096">
        <v>5.2370859999999998E-2</v>
      </c>
      <c r="S6096">
        <v>3.0570529999999998</v>
      </c>
      <c r="T6096">
        <v>-0.111679</v>
      </c>
      <c r="U6096">
        <v>0.17010500000000001</v>
      </c>
      <c r="V6096">
        <v>-4.3434840000000002E-2</v>
      </c>
      <c r="W6096">
        <v>0.17875199999999999</v>
      </c>
      <c r="X6096">
        <v>0.982935</v>
      </c>
      <c r="Y6096">
        <v>-4.6765760000000003E-2</v>
      </c>
      <c r="Z6096">
        <v>9.1326910000000001E-4</v>
      </c>
      <c r="AA6096">
        <v>0.9989055</v>
      </c>
      <c r="AB6096">
        <v>31</v>
      </c>
      <c r="AC6096">
        <v>30.5169</v>
      </c>
      <c r="AD6096">
        <v>-1.1204483091727999</v>
      </c>
      <c r="AE6096">
        <v>1.7056100000000101</v>
      </c>
      <c r="AF6096">
        <v>-1.4361444061225099</v>
      </c>
      <c r="AG6096">
        <v>-1.1204483091727999</v>
      </c>
      <c r="AH6096">
        <v>30.4897035676474</v>
      </c>
      <c r="AI6096">
        <v>92.102253403437203</v>
      </c>
      <c r="AJ6096">
        <v>92.696787127342802</v>
      </c>
      <c r="AK6096">
        <v>30.5440655252666</v>
      </c>
      <c r="AL6096">
        <v>79.7029246257094</v>
      </c>
      <c r="AM6096">
        <v>92.530192832768094</v>
      </c>
      <c r="AN6096">
        <v>1.0000000385274099</v>
      </c>
    </row>
    <row r="6097" spans="1:40" x14ac:dyDescent="0.25">
      <c r="A6097" t="str">
        <f>"20190303162939206"</f>
        <v>20190303162939206</v>
      </c>
      <c r="B6097" t="str">
        <f>"1551601779197631"</f>
        <v>1551601779197631</v>
      </c>
      <c r="C6097" t="s">
        <v>40</v>
      </c>
      <c r="D6097">
        <v>4.8634409999999999</v>
      </c>
      <c r="E6097">
        <v>0.51723909999999995</v>
      </c>
      <c r="F6097" t="s">
        <v>57</v>
      </c>
      <c r="G6097">
        <v>-209.4366</v>
      </c>
      <c r="H6097" s="1">
        <v>-3.3175539999999999E-7</v>
      </c>
      <c r="I6097">
        <v>-60.375929999999997</v>
      </c>
      <c r="J6097">
        <v>-239.85470000000001</v>
      </c>
      <c r="K6097">
        <v>1.120449</v>
      </c>
      <c r="L6097">
        <v>-62.03989</v>
      </c>
      <c r="M6097">
        <v>0.99989539999999999</v>
      </c>
      <c r="N6097">
        <v>-1.179823E-2</v>
      </c>
      <c r="O6097">
        <v>8.3771939999999993E-3</v>
      </c>
      <c r="P6097">
        <v>0.98458179999999995</v>
      </c>
      <c r="Q6097">
        <v>0.1672043</v>
      </c>
      <c r="R6097">
        <v>5.1395820000000002E-2</v>
      </c>
      <c r="S6097">
        <v>3.0572050000000002</v>
      </c>
      <c r="T6097">
        <v>-0.112054</v>
      </c>
      <c r="U6097">
        <v>0.16650390000000001</v>
      </c>
      <c r="V6097">
        <v>-4.2841320000000002E-2</v>
      </c>
      <c r="W6097">
        <v>0.17888709999999999</v>
      </c>
      <c r="X6097">
        <v>0.98293640000000004</v>
      </c>
      <c r="Y6097">
        <v>-4.597677E-2</v>
      </c>
      <c r="Z6097">
        <v>9.0528289999999997E-4</v>
      </c>
      <c r="AA6097">
        <v>0.99894210000000006</v>
      </c>
      <c r="AB6097">
        <v>31</v>
      </c>
      <c r="AC6097">
        <v>30.418099999999999</v>
      </c>
      <c r="AD6097">
        <v>-1.1204493317553901</v>
      </c>
      <c r="AE6097">
        <v>1.6639599999999899</v>
      </c>
      <c r="AF6097">
        <v>-1.4071620059635499</v>
      </c>
      <c r="AG6097">
        <v>-1.1204493317553901</v>
      </c>
      <c r="AH6097">
        <v>30.389862418420101</v>
      </c>
      <c r="AI6097">
        <v>92.109234182469706</v>
      </c>
      <c r="AJ6097">
        <v>92.651110970553404</v>
      </c>
      <c r="AK6097">
        <v>30.443049279376702</v>
      </c>
      <c r="AL6097">
        <v>79.695056441963899</v>
      </c>
      <c r="AM6097">
        <v>92.495659209329702</v>
      </c>
      <c r="AN6097">
        <v>0.999999969845355</v>
      </c>
    </row>
    <row r="6098" spans="1:40" x14ac:dyDescent="0.25">
      <c r="A6098" t="str">
        <f>"20190303162939217"</f>
        <v>20190303162939217</v>
      </c>
      <c r="B6098" t="str">
        <f>"1551601779208367"</f>
        <v>1551601779208367</v>
      </c>
      <c r="C6098" t="s">
        <v>40</v>
      </c>
      <c r="D6098">
        <v>4.865583</v>
      </c>
      <c r="E6098">
        <v>0.51898149999999998</v>
      </c>
      <c r="F6098" t="s">
        <v>57</v>
      </c>
      <c r="G6098">
        <v>-209.7236</v>
      </c>
      <c r="H6098" s="1">
        <v>-4.7754829999999996E-7</v>
      </c>
      <c r="I6098">
        <v>-61.848190000000002</v>
      </c>
      <c r="J6098">
        <v>-239.70230000000001</v>
      </c>
      <c r="K6098">
        <v>1.120457</v>
      </c>
      <c r="L6098">
        <v>-62.0389699999999</v>
      </c>
      <c r="M6098">
        <v>0.99989859999999997</v>
      </c>
      <c r="N6098">
        <v>-1.179009E-2</v>
      </c>
      <c r="O6098">
        <v>7.9898130000000001E-3</v>
      </c>
      <c r="P6098">
        <v>0.98452850000000003</v>
      </c>
      <c r="Q6098">
        <v>0.16778689999999999</v>
      </c>
      <c r="R6098">
        <v>5.0509739999999997E-2</v>
      </c>
      <c r="S6098">
        <v>3.0653229999999998</v>
      </c>
      <c r="T6098">
        <v>-0.1139865</v>
      </c>
      <c r="U6098">
        <v>1.9500730000000001E-2</v>
      </c>
      <c r="V6098">
        <v>-4.2337670000000001E-2</v>
      </c>
      <c r="W6098">
        <v>0.17945899999999901</v>
      </c>
      <c r="X6098">
        <v>0.98285400000000001</v>
      </c>
      <c r="Y6098">
        <v>1.624763E-3</v>
      </c>
      <c r="Z6098">
        <v>-2.4259680000000001E-4</v>
      </c>
      <c r="AA6098">
        <v>0.99999859999999896</v>
      </c>
      <c r="AB6098">
        <v>31</v>
      </c>
      <c r="AC6098">
        <v>29.9787</v>
      </c>
      <c r="AD6098">
        <v>-1.1204574775483001</v>
      </c>
      <c r="AE6098">
        <v>0.19077999999998899</v>
      </c>
      <c r="AF6098">
        <v>4.8698915602904097E-2</v>
      </c>
      <c r="AG6098">
        <v>-1.1204574775483001</v>
      </c>
      <c r="AH6098">
        <v>29.9374494623274</v>
      </c>
      <c r="AI6098">
        <v>92.143383994856407</v>
      </c>
      <c r="AJ6098">
        <v>89.906797675823199</v>
      </c>
      <c r="AK6098">
        <v>29.958449173026001</v>
      </c>
      <c r="AL6098">
        <v>79.661750300998406</v>
      </c>
      <c r="AM6098">
        <v>92.466562768679097</v>
      </c>
      <c r="AN6098">
        <v>0.99999999814901397</v>
      </c>
    </row>
    <row r="6099" spans="1:40" x14ac:dyDescent="0.25">
      <c r="A6099" t="str">
        <f>"20190303162939228"</f>
        <v>20190303162939228</v>
      </c>
      <c r="B6099" t="str">
        <f>"1551601779218127"</f>
        <v>1551601779218127</v>
      </c>
      <c r="C6099" t="s">
        <v>40</v>
      </c>
      <c r="D6099">
        <v>4.9118000000000004</v>
      </c>
      <c r="E6099">
        <v>0.5199471</v>
      </c>
      <c r="F6099" t="s">
        <v>57</v>
      </c>
      <c r="G6099">
        <v>-209.50559999999999</v>
      </c>
      <c r="H6099" s="1">
        <v>-6.0395040000000003E-7</v>
      </c>
      <c r="I6099">
        <v>-62.010420000000003</v>
      </c>
      <c r="J6099">
        <v>-239.54490000000001</v>
      </c>
      <c r="K6099">
        <v>1.1204609999999999</v>
      </c>
      <c r="L6099">
        <v>-62.038150000000002</v>
      </c>
      <c r="M6099">
        <v>0.99990190000000001</v>
      </c>
      <c r="N6099">
        <v>-1.1781939999999999E-2</v>
      </c>
      <c r="O6099">
        <v>7.5908099999999999E-3</v>
      </c>
      <c r="P6099">
        <v>0.98443029999999998</v>
      </c>
      <c r="Q6099">
        <v>0.16868259999999999</v>
      </c>
      <c r="R6099">
        <v>4.9431509999999998E-2</v>
      </c>
      <c r="S6099">
        <v>3.0663909999999999</v>
      </c>
      <c r="T6099">
        <v>-0.1137794</v>
      </c>
      <c r="U6099">
        <v>2.89917E-3</v>
      </c>
      <c r="V6099">
        <v>-4.1652649999999999E-2</v>
      </c>
      <c r="W6099">
        <v>0.18034410000000001</v>
      </c>
      <c r="X6099">
        <v>0.98272130000000002</v>
      </c>
      <c r="Y6099">
        <v>6.6374429999999998E-3</v>
      </c>
      <c r="Z6099">
        <v>-3.5436289999999997E-4</v>
      </c>
      <c r="AA6099">
        <v>0.99997789999999998</v>
      </c>
      <c r="AB6099">
        <v>31</v>
      </c>
      <c r="AC6099">
        <v>30.039300000000001</v>
      </c>
      <c r="AD6099">
        <v>-1.1204616039503901</v>
      </c>
      <c r="AE6099">
        <v>2.7730000000005299E-2</v>
      </c>
      <c r="AF6099">
        <v>0.20003091939741099</v>
      </c>
      <c r="AG6099">
        <v>-1.1204616039503901</v>
      </c>
      <c r="AH6099">
        <v>29.996910889847801</v>
      </c>
      <c r="AI6099">
        <v>92.139102402182203</v>
      </c>
      <c r="AJ6099">
        <v>89.617935406041994</v>
      </c>
      <c r="AK6099">
        <v>30.018496123358901</v>
      </c>
      <c r="AL6099">
        <v>79.610197185917499</v>
      </c>
      <c r="AM6099">
        <v>92.427029382066905</v>
      </c>
      <c r="AN6099">
        <v>1.00000004556526</v>
      </c>
    </row>
    <row r="6100" spans="1:40" x14ac:dyDescent="0.25">
      <c r="A6100" t="str">
        <f>"20190303162939240"</f>
        <v>20190303162939240</v>
      </c>
      <c r="B6100" t="str">
        <f>"1551601779227887"</f>
        <v>1551601779227887</v>
      </c>
      <c r="C6100" t="s">
        <v>40</v>
      </c>
      <c r="D6100">
        <v>4.8706009999999997</v>
      </c>
      <c r="E6100">
        <v>0.51936590000000005</v>
      </c>
      <c r="F6100" t="s">
        <v>42</v>
      </c>
      <c r="G6100">
        <v>-208.69239999999999</v>
      </c>
      <c r="H6100">
        <v>-0.05</v>
      </c>
      <c r="I6100">
        <v>-62.121000000000002</v>
      </c>
      <c r="J6100">
        <v>-239.38499999999999</v>
      </c>
      <c r="K6100">
        <v>1.120466</v>
      </c>
      <c r="L6100">
        <v>-62.037320000000001</v>
      </c>
      <c r="M6100">
        <v>0.99990489999999999</v>
      </c>
      <c r="N6100">
        <v>-1.177389E-2</v>
      </c>
      <c r="O6100">
        <v>7.1866209999999998E-3</v>
      </c>
      <c r="P6100">
        <v>0.98435119999999998</v>
      </c>
      <c r="Q6100">
        <v>0.1693431</v>
      </c>
      <c r="R6100">
        <v>4.8742130000000002E-2</v>
      </c>
      <c r="S6100">
        <v>3.0678100000000001</v>
      </c>
      <c r="T6100">
        <v>-0.1163845</v>
      </c>
      <c r="U6100">
        <v>-8.2397459999999992E-3</v>
      </c>
      <c r="V6100">
        <v>-4.1361780000000001E-2</v>
      </c>
      <c r="W6100">
        <v>0.18099460000000001</v>
      </c>
      <c r="X6100">
        <v>0.98261399999999999</v>
      </c>
      <c r="Y6100">
        <v>9.8611310000000004E-3</v>
      </c>
      <c r="Z6100">
        <v>-4.3301130000000001E-4</v>
      </c>
      <c r="AA6100">
        <v>0.99995129999999999</v>
      </c>
      <c r="AB6100">
        <v>31</v>
      </c>
      <c r="AC6100">
        <v>30.692599999999999</v>
      </c>
      <c r="AD6100">
        <v>-1.170466</v>
      </c>
      <c r="AE6100">
        <v>-8.3680000000008095E-2</v>
      </c>
      <c r="AF6100">
        <v>0.30382735470244998</v>
      </c>
      <c r="AG6100">
        <v>-1.170466</v>
      </c>
      <c r="AH6100">
        <v>30.646637175945699</v>
      </c>
      <c r="AI6100">
        <v>92.187088008842295</v>
      </c>
      <c r="AJ6100">
        <v>89.431994618472004</v>
      </c>
      <c r="AK6100">
        <v>30.670485355023001</v>
      </c>
      <c r="AL6100">
        <v>79.572302812557894</v>
      </c>
      <c r="AM6100">
        <v>92.410363804279797</v>
      </c>
      <c r="AN6100">
        <v>1.0000000575349599</v>
      </c>
    </row>
    <row r="6101" spans="1:40" x14ac:dyDescent="0.25">
      <c r="A6101" t="str">
        <f>"20190303162939253"</f>
        <v>20190303162939253</v>
      </c>
      <c r="B6101" t="str">
        <f>"1551601779237647"</f>
        <v>1551601779237647</v>
      </c>
      <c r="C6101" t="s">
        <v>40</v>
      </c>
      <c r="D6101">
        <v>4.7801169999999997</v>
      </c>
      <c r="E6101">
        <v>0.51897059999999995</v>
      </c>
      <c r="F6101" t="s">
        <v>57</v>
      </c>
      <c r="G6101">
        <v>-209.78829999999999</v>
      </c>
      <c r="H6101" s="1">
        <v>-5.1832590000000001E-7</v>
      </c>
      <c r="I6101">
        <v>-62.094430000000003</v>
      </c>
      <c r="J6101">
        <v>-239.21719999999999</v>
      </c>
      <c r="K6101">
        <v>1.1204700000000001</v>
      </c>
      <c r="L6101">
        <v>-62.036560000000001</v>
      </c>
      <c r="M6101">
        <v>0.99990800000000002</v>
      </c>
      <c r="N6101">
        <v>-1.176586E-2</v>
      </c>
      <c r="O6101">
        <v>6.7645530000000004E-3</v>
      </c>
      <c r="P6101">
        <v>0.98428139999999997</v>
      </c>
      <c r="Q6101">
        <v>0.169901</v>
      </c>
      <c r="R6101">
        <v>4.8209059999999998E-2</v>
      </c>
      <c r="S6101">
        <v>3.0679630000000002</v>
      </c>
      <c r="T6101">
        <v>-0.11614629999999999</v>
      </c>
      <c r="U6101">
        <v>-5.9204100000000001E-3</v>
      </c>
      <c r="V6101">
        <v>-4.1245089999999998E-2</v>
      </c>
      <c r="W6101">
        <v>0.18154319999999999</v>
      </c>
      <c r="X6101">
        <v>0.98251770000000005</v>
      </c>
      <c r="Y6101">
        <v>8.6842559999999996E-3</v>
      </c>
      <c r="Z6101">
        <v>-3.9186309999999998E-4</v>
      </c>
      <c r="AA6101">
        <v>0.99996220000000002</v>
      </c>
      <c r="AB6101">
        <v>31</v>
      </c>
      <c r="AC6101">
        <v>29.428899999999999</v>
      </c>
      <c r="AD6101">
        <v>-1.1204705183258901</v>
      </c>
      <c r="AE6101">
        <v>-5.7870000000008297E-2</v>
      </c>
      <c r="AF6101">
        <v>0.25658384369196302</v>
      </c>
      <c r="AG6101">
        <v>-1.1204705183258901</v>
      </c>
      <c r="AH6101">
        <v>29.3852379560862</v>
      </c>
      <c r="AI6101">
        <v>92.183569252269805</v>
      </c>
      <c r="AJ6101">
        <v>89.499721671364298</v>
      </c>
      <c r="AK6101">
        <v>29.407711559845801</v>
      </c>
      <c r="AL6101">
        <v>79.540340888989405</v>
      </c>
      <c r="AM6101">
        <v>92.4038069699983</v>
      </c>
      <c r="AN6101">
        <v>1.00000006086431</v>
      </c>
    </row>
    <row r="6102" spans="1:40" x14ac:dyDescent="0.25">
      <c r="A6102" t="str">
        <f>"20190303162939263"</f>
        <v>20190303162939263</v>
      </c>
      <c r="B6102" t="str">
        <f>"1551601779258143"</f>
        <v>1551601779258143</v>
      </c>
      <c r="C6102" t="s">
        <v>40</v>
      </c>
      <c r="D6102">
        <v>4.9402599999999897</v>
      </c>
      <c r="E6102">
        <v>0.51904539999999999</v>
      </c>
      <c r="F6102" t="s">
        <v>57</v>
      </c>
      <c r="G6102">
        <v>-207.98660000000001</v>
      </c>
      <c r="H6102" s="1">
        <v>-1.4883009999999901E-6</v>
      </c>
      <c r="I6102">
        <v>-62.085349999999998</v>
      </c>
      <c r="J6102">
        <v>-239.0592</v>
      </c>
      <c r="K6102">
        <v>1.1204799999999999</v>
      </c>
      <c r="L6102">
        <v>-62.035829999999997</v>
      </c>
      <c r="M6102">
        <v>0.99991070000000004</v>
      </c>
      <c r="N6102">
        <v>-1.175844E-2</v>
      </c>
      <c r="O6102">
        <v>6.3684650000000002E-3</v>
      </c>
      <c r="P6102">
        <v>0.98421360000000002</v>
      </c>
      <c r="Q6102">
        <v>0.17033129999999999</v>
      </c>
      <c r="R6102">
        <v>4.8072419999999998E-2</v>
      </c>
      <c r="S6102">
        <v>3.0671390000000001</v>
      </c>
      <c r="T6102">
        <v>-0.11004079999999999</v>
      </c>
      <c r="U6102">
        <v>-4.7912600000000003E-3</v>
      </c>
      <c r="V6102">
        <v>-4.1499469999999997E-2</v>
      </c>
      <c r="W6102">
        <v>0.18196519999999999</v>
      </c>
      <c r="X6102">
        <v>0.98242879999999999</v>
      </c>
      <c r="Y6102">
        <v>7.9223709999999992E-3</v>
      </c>
      <c r="Z6102">
        <v>-3.4220920000000002E-4</v>
      </c>
      <c r="AA6102">
        <v>0.99996859999999999</v>
      </c>
      <c r="AB6102">
        <v>31</v>
      </c>
      <c r="AC6102">
        <v>31.072599999999898</v>
      </c>
      <c r="AD6102">
        <v>-1.1204814883009999</v>
      </c>
      <c r="AE6102">
        <v>-4.9519999999993999E-2</v>
      </c>
      <c r="AF6102">
        <v>0.247096113986149</v>
      </c>
      <c r="AG6102">
        <v>-1.1204814883009999</v>
      </c>
      <c r="AH6102">
        <v>31.031303519132099</v>
      </c>
      <c r="AI6102">
        <v>92.067877966932102</v>
      </c>
      <c r="AJ6102">
        <v>89.543774716317898</v>
      </c>
      <c r="AK6102">
        <v>31.052509292353001</v>
      </c>
      <c r="AL6102">
        <v>79.515751283542699</v>
      </c>
      <c r="AM6102">
        <v>92.418833551136004</v>
      </c>
      <c r="AN6102">
        <v>0.99999994354537802</v>
      </c>
    </row>
    <row r="6103" spans="1:40" x14ac:dyDescent="0.25">
      <c r="A6103" t="str">
        <f>"20190303162939274"</f>
        <v>20190303162939274</v>
      </c>
      <c r="B6103" t="str">
        <f>"1551601779267903"</f>
        <v>1551601779267903</v>
      </c>
      <c r="C6103" t="s">
        <v>40</v>
      </c>
      <c r="D6103">
        <v>4.9487269999999999</v>
      </c>
      <c r="E6103">
        <v>0.51906779999999997</v>
      </c>
      <c r="F6103" t="s">
        <v>57</v>
      </c>
      <c r="G6103">
        <v>-208.9126</v>
      </c>
      <c r="H6103" s="1">
        <v>-9.0141850000000005E-7</v>
      </c>
      <c r="I6103">
        <v>-62.09789</v>
      </c>
      <c r="J6103">
        <v>-238.89940000000001</v>
      </c>
      <c r="K6103">
        <v>1.1204860000000001</v>
      </c>
      <c r="L6103">
        <v>-62.035220000000002</v>
      </c>
      <c r="M6103">
        <v>0.99991319999999995</v>
      </c>
      <c r="N6103">
        <v>-1.175147E-2</v>
      </c>
      <c r="O6103">
        <v>5.9704019999999997E-3</v>
      </c>
      <c r="P6103">
        <v>0.9841453</v>
      </c>
      <c r="Q6103">
        <v>0.17073199999999999</v>
      </c>
      <c r="R6103">
        <v>4.8048880000000002E-2</v>
      </c>
      <c r="S6103">
        <v>3.0681609999999999</v>
      </c>
      <c r="T6103">
        <v>-0.1140366</v>
      </c>
      <c r="U6103">
        <v>-6.3171390000000003E-3</v>
      </c>
      <c r="V6103">
        <v>-4.1868320000000001E-2</v>
      </c>
      <c r="W6103">
        <v>0.18235860000000001</v>
      </c>
      <c r="X6103">
        <v>0.98234030000000006</v>
      </c>
      <c r="Y6103">
        <v>8.0204739999999997E-3</v>
      </c>
      <c r="Z6103">
        <v>-3.4783079999999998E-4</v>
      </c>
      <c r="AA6103">
        <v>0.99996779999999996</v>
      </c>
      <c r="AB6103">
        <v>31</v>
      </c>
      <c r="AC6103">
        <v>29.986799999999999</v>
      </c>
      <c r="AD6103">
        <v>-1.1204869014184999</v>
      </c>
      <c r="AE6103">
        <v>-6.2670000000004195E-2</v>
      </c>
      <c r="AF6103">
        <v>0.24137746921373701</v>
      </c>
      <c r="AG6103">
        <v>-1.1204869014184999</v>
      </c>
      <c r="AH6103">
        <v>29.944082986727601</v>
      </c>
      <c r="AI6103">
        <v>92.142899111680606</v>
      </c>
      <c r="AJ6103">
        <v>89.538152137663999</v>
      </c>
      <c r="AK6103">
        <v>29.966011744890601</v>
      </c>
      <c r="AL6103">
        <v>79.492828601672599</v>
      </c>
      <c r="AM6103">
        <v>92.440526009681903</v>
      </c>
      <c r="AN6103">
        <v>1.00000004010883</v>
      </c>
    </row>
    <row r="6104" spans="1:40" x14ac:dyDescent="0.25">
      <c r="A6104" t="str">
        <f>"20190303162939285"</f>
        <v>20190303162939285</v>
      </c>
      <c r="B6104" t="str">
        <f>"1551601779277663"</f>
        <v>1551601779277663</v>
      </c>
      <c r="C6104" t="s">
        <v>40</v>
      </c>
      <c r="D6104">
        <v>4.9611609999999997</v>
      </c>
      <c r="E6104">
        <v>0.51899669999999998</v>
      </c>
      <c r="F6104" t="s">
        <v>57</v>
      </c>
      <c r="G6104">
        <v>-208.38079999999999</v>
      </c>
      <c r="H6104" s="1">
        <v>-1.2403959999999999E-6</v>
      </c>
      <c r="I6104">
        <v>-62.104419999999998</v>
      </c>
      <c r="J6104">
        <v>-238.7527</v>
      </c>
      <c r="K6104">
        <v>1.1204879999999999</v>
      </c>
      <c r="L6104">
        <v>-62.034700000000001</v>
      </c>
      <c r="M6104">
        <v>0.99991540000000001</v>
      </c>
      <c r="N6104">
        <v>-1.1745169999999999E-2</v>
      </c>
      <c r="O6104">
        <v>5.6055280000000002E-3</v>
      </c>
      <c r="P6104">
        <v>0.98401280000000002</v>
      </c>
      <c r="Q6104">
        <v>0.171492899999999</v>
      </c>
      <c r="R6104">
        <v>4.8054180000000002E-2</v>
      </c>
      <c r="S6104">
        <v>3.068222</v>
      </c>
      <c r="T6104">
        <v>-0.1126494</v>
      </c>
      <c r="U6104">
        <v>-6.9580079999999999E-3</v>
      </c>
      <c r="V6104">
        <v>-4.223329E-2</v>
      </c>
      <c r="W6104">
        <v>0.18311150000000001</v>
      </c>
      <c r="X6104">
        <v>0.98218459999999996</v>
      </c>
      <c r="Y6104">
        <v>7.8648820000000001E-3</v>
      </c>
      <c r="Z6104">
        <v>-3.3045090000000002E-4</v>
      </c>
      <c r="AA6104">
        <v>0.999969</v>
      </c>
      <c r="AB6104">
        <v>31</v>
      </c>
      <c r="AC6104">
        <v>30.3719</v>
      </c>
      <c r="AD6104">
        <v>-1.1204892403959901</v>
      </c>
      <c r="AE6104">
        <v>-6.9719999999996604E-2</v>
      </c>
      <c r="AF6104">
        <v>0.23965499059397399</v>
      </c>
      <c r="AG6104">
        <v>-1.1204892403959901</v>
      </c>
      <c r="AH6104">
        <v>30.329752071724801</v>
      </c>
      <c r="AI6104">
        <v>92.115682313277702</v>
      </c>
      <c r="AJ6104">
        <v>89.5472784049052</v>
      </c>
      <c r="AK6104">
        <v>30.351388623663599</v>
      </c>
      <c r="AL6104">
        <v>79.448951717046995</v>
      </c>
      <c r="AM6104">
        <v>92.462164009888895</v>
      </c>
      <c r="AN6104">
        <v>1.00000003034681</v>
      </c>
    </row>
    <row r="6105" spans="1:40" x14ac:dyDescent="0.25">
      <c r="A6105" t="str">
        <f>"20190303162939296"</f>
        <v>20190303162939296</v>
      </c>
      <c r="B6105" t="str">
        <f>"1551601779288399"</f>
        <v>1551601779288399</v>
      </c>
      <c r="C6105" t="s">
        <v>40</v>
      </c>
      <c r="D6105">
        <v>4.9574179999999997</v>
      </c>
      <c r="E6105">
        <v>0.51900459999999904</v>
      </c>
      <c r="F6105" t="s">
        <v>57</v>
      </c>
      <c r="G6105">
        <v>-208.3407</v>
      </c>
      <c r="H6105" s="1">
        <v>-1.2650280000000001E-6</v>
      </c>
      <c r="I6105">
        <v>-62.098509999999997</v>
      </c>
      <c r="J6105">
        <v>-238.5941</v>
      </c>
      <c r="K6105">
        <v>1.120492</v>
      </c>
      <c r="L6105">
        <v>-62.034179999999999</v>
      </c>
      <c r="M6105">
        <v>0.99991750000000001</v>
      </c>
      <c r="N6105">
        <v>-1.1738749999999999E-2</v>
      </c>
      <c r="O6105">
        <v>5.2134119999999997E-3</v>
      </c>
      <c r="P6105">
        <v>0.98386269999999998</v>
      </c>
      <c r="Q6105">
        <v>0.17234059999999901</v>
      </c>
      <c r="R6105">
        <v>4.8093759999999999E-2</v>
      </c>
      <c r="S6105">
        <v>3.068756</v>
      </c>
      <c r="T6105">
        <v>-0.11306430000000001</v>
      </c>
      <c r="U6105">
        <v>-6.4392090000000004E-3</v>
      </c>
      <c r="V6105">
        <v>-4.2659219999999998E-2</v>
      </c>
      <c r="W6105">
        <v>0.1839519</v>
      </c>
      <c r="X6105">
        <v>0.98200909999999997</v>
      </c>
      <c r="Y6105">
        <v>7.30386199999999E-3</v>
      </c>
      <c r="Z6105">
        <v>-3.0822329999999999E-4</v>
      </c>
      <c r="AA6105">
        <v>0.99997329999999995</v>
      </c>
      <c r="AB6105">
        <v>31</v>
      </c>
      <c r="AC6105">
        <v>30.253399999999999</v>
      </c>
      <c r="AD6105">
        <v>-1.120493265028</v>
      </c>
      <c r="AE6105">
        <v>-6.4329999999991103E-2</v>
      </c>
      <c r="AF6105">
        <v>0.22175924010853801</v>
      </c>
      <c r="AG6105">
        <v>-1.120493265028</v>
      </c>
      <c r="AH6105">
        <v>30.211211820075999</v>
      </c>
      <c r="AI6105">
        <v>92.123992763770005</v>
      </c>
      <c r="AJ6105">
        <v>89.579439566604506</v>
      </c>
      <c r="AK6105">
        <v>30.232796793466601</v>
      </c>
      <c r="AL6105">
        <v>79.399967885058302</v>
      </c>
      <c r="AM6105">
        <v>92.487408236019206</v>
      </c>
      <c r="AN6105">
        <v>0.99999999152371399</v>
      </c>
    </row>
    <row r="6106" spans="1:40" x14ac:dyDescent="0.25">
      <c r="A6106" t="str">
        <f>"20190303162939308"</f>
        <v>20190303162939308</v>
      </c>
      <c r="B6106" t="str">
        <f>"1551601779298159"</f>
        <v>1551601779298159</v>
      </c>
      <c r="C6106" t="s">
        <v>40</v>
      </c>
      <c r="D6106">
        <v>4.9781890000000004</v>
      </c>
      <c r="E6106">
        <v>0.51885550000000003</v>
      </c>
      <c r="F6106" t="s">
        <v>57</v>
      </c>
      <c r="G6106">
        <v>-207.02420000000001</v>
      </c>
      <c r="H6106" s="1">
        <v>-2.1022080000000002E-6</v>
      </c>
      <c r="I6106">
        <v>-62.101370000000003</v>
      </c>
      <c r="J6106">
        <v>-238.4325</v>
      </c>
      <c r="K6106">
        <v>1.120498</v>
      </c>
      <c r="L6106">
        <v>-62.033720000000002</v>
      </c>
      <c r="M6106">
        <v>0.99991960000000002</v>
      </c>
      <c r="N6106">
        <v>-1.173247E-2</v>
      </c>
      <c r="O6106">
        <v>4.8142599999999999E-3</v>
      </c>
      <c r="P6106">
        <v>0.98370469999999999</v>
      </c>
      <c r="Q6106">
        <v>0.1731454</v>
      </c>
      <c r="R6106">
        <v>4.8433419999999998E-2</v>
      </c>
      <c r="S6106">
        <v>3.068619</v>
      </c>
      <c r="T6106">
        <v>-0.10891290000000001</v>
      </c>
      <c r="U6106">
        <v>-6.5307619999999999E-3</v>
      </c>
      <c r="V6106">
        <v>-4.3391520000000003E-2</v>
      </c>
      <c r="W6106">
        <v>0.1847491</v>
      </c>
      <c r="X6106">
        <v>0.98182729999999996</v>
      </c>
      <c r="Y6106">
        <v>6.9356230000000001E-3</v>
      </c>
      <c r="Z6106">
        <v>-2.7808949999999998E-4</v>
      </c>
      <c r="AA6106">
        <v>0.99997590000000003</v>
      </c>
      <c r="AB6106">
        <v>31</v>
      </c>
      <c r="AC6106">
        <v>31.408300000000001</v>
      </c>
      <c r="AD6106">
        <v>-1.1205001022079999</v>
      </c>
      <c r="AE6106">
        <v>-6.7650000000000404E-2</v>
      </c>
      <c r="AF6106">
        <v>0.21858914088061601</v>
      </c>
      <c r="AG6106">
        <v>-1.1205001022079999</v>
      </c>
      <c r="AH6106">
        <v>31.367687975027</v>
      </c>
      <c r="AI6106">
        <v>92.045770286960703</v>
      </c>
      <c r="AJ6106">
        <v>89.6007345997633</v>
      </c>
      <c r="AK6106">
        <v>31.388455689794799</v>
      </c>
      <c r="AL6106">
        <v>79.353494729925004</v>
      </c>
      <c r="AM6106">
        <v>92.5305206258559</v>
      </c>
      <c r="AN6106">
        <v>0.99999995049200396</v>
      </c>
    </row>
    <row r="6107" spans="1:40" x14ac:dyDescent="0.25">
      <c r="A6107" t="str">
        <f>"20190303162939319"</f>
        <v>20190303162939319</v>
      </c>
      <c r="B6107" t="str">
        <f>"1551601779307920"</f>
        <v>1551601779307920</v>
      </c>
      <c r="C6107" t="s">
        <v>40</v>
      </c>
      <c r="D6107">
        <v>4.983663</v>
      </c>
      <c r="E6107">
        <v>0.51882399999999995</v>
      </c>
      <c r="F6107" t="s">
        <v>57</v>
      </c>
      <c r="G6107">
        <v>-206.90110000000001</v>
      </c>
      <c r="H6107" s="1">
        <v>-2.1772110000000002E-6</v>
      </c>
      <c r="I6107">
        <v>-62.077930000000002</v>
      </c>
      <c r="J6107">
        <v>-238.27279999999999</v>
      </c>
      <c r="K6107">
        <v>1.1204959999999999</v>
      </c>
      <c r="L6107">
        <v>-62.033389999999997</v>
      </c>
      <c r="M6107">
        <v>0.99992150000000002</v>
      </c>
      <c r="N6107">
        <v>-1.172664E-2</v>
      </c>
      <c r="O6107">
        <v>4.420762E-3</v>
      </c>
      <c r="P6107">
        <v>0.98357329999999998</v>
      </c>
      <c r="Q6107">
        <v>0.1739213</v>
      </c>
      <c r="R6107">
        <v>4.8323619999999998E-2</v>
      </c>
      <c r="S6107">
        <v>3.0690919999999999</v>
      </c>
      <c r="T6107">
        <v>-0.1090633</v>
      </c>
      <c r="U6107">
        <v>-4.3029790000000002E-3</v>
      </c>
      <c r="V6107">
        <v>-4.3669260000000001E-2</v>
      </c>
      <c r="W6107">
        <v>0.18551809999999999</v>
      </c>
      <c r="X6107">
        <v>0.98167000000000004</v>
      </c>
      <c r="Y6107">
        <v>5.8169469999999899E-3</v>
      </c>
      <c r="Z6107">
        <v>-2.426598E-4</v>
      </c>
      <c r="AA6107">
        <v>0.99998310000000001</v>
      </c>
      <c r="AB6107">
        <v>31</v>
      </c>
      <c r="AC6107">
        <v>31.371699999999901</v>
      </c>
      <c r="AD6107">
        <v>-1.1204981772110001</v>
      </c>
      <c r="AE6107">
        <v>-4.4539999999997797E-2</v>
      </c>
      <c r="AF6107">
        <v>0.183002461725944</v>
      </c>
      <c r="AG6107">
        <v>-1.1204981772110001</v>
      </c>
      <c r="AH6107">
        <v>31.331227541554998</v>
      </c>
      <c r="AI6107">
        <v>92.048160206322507</v>
      </c>
      <c r="AJ6107">
        <v>89.665345079531093</v>
      </c>
      <c r="AK6107">
        <v>31.3517914213339</v>
      </c>
      <c r="AL6107">
        <v>79.308659528253202</v>
      </c>
      <c r="AM6107">
        <v>92.547104237204906</v>
      </c>
      <c r="AN6107">
        <v>0.999999979298278</v>
      </c>
    </row>
    <row r="6108" spans="1:40" x14ac:dyDescent="0.25">
      <c r="A6108" t="str">
        <f>"20190303162939330"</f>
        <v>20190303162939330</v>
      </c>
      <c r="B6108" t="str">
        <f>"1551601779317679"</f>
        <v>1551601779317679</v>
      </c>
      <c r="C6108" t="s">
        <v>40</v>
      </c>
      <c r="D6108">
        <v>4.9648440000000003</v>
      </c>
      <c r="E6108">
        <v>0.51875870000000002</v>
      </c>
      <c r="F6108" t="s">
        <v>57</v>
      </c>
      <c r="G6108">
        <v>-206.49250000000001</v>
      </c>
      <c r="H6108" s="1">
        <v>-2.4367930000000001E-6</v>
      </c>
      <c r="I6108">
        <v>-62.076999999999998</v>
      </c>
      <c r="J6108">
        <v>-238.12049999999999</v>
      </c>
      <c r="K6108">
        <v>1.1205000000000001</v>
      </c>
      <c r="L6108">
        <v>-62.033079999999998</v>
      </c>
      <c r="M6108">
        <v>0.99992320000000001</v>
      </c>
      <c r="N6108">
        <v>-1.1721479999999999E-2</v>
      </c>
      <c r="O6108">
        <v>4.0462090000000003E-3</v>
      </c>
      <c r="P6108">
        <v>0.98337779999999997</v>
      </c>
      <c r="Q6108">
        <v>0.17497939999999901</v>
      </c>
      <c r="R6108">
        <v>4.8483680000000001E-2</v>
      </c>
      <c r="S6108">
        <v>3.069458</v>
      </c>
      <c r="T6108">
        <v>-0.108222</v>
      </c>
      <c r="U6108">
        <v>-4.2114259999999999E-3</v>
      </c>
      <c r="V6108">
        <v>-4.4197210000000001E-2</v>
      </c>
      <c r="W6108">
        <v>0.18656900000000001</v>
      </c>
      <c r="X6108">
        <v>0.98144719999999996</v>
      </c>
      <c r="Y6108">
        <v>5.4129099999999999E-3</v>
      </c>
      <c r="Z6108">
        <v>-2.2232759999999999E-4</v>
      </c>
      <c r="AA6108">
        <v>0.99998529999999997</v>
      </c>
      <c r="AB6108">
        <v>31</v>
      </c>
      <c r="AC6108">
        <v>31.627999999999901</v>
      </c>
      <c r="AD6108">
        <v>-1.1205024367929901</v>
      </c>
      <c r="AE6108">
        <v>-4.3919999999992798E-2</v>
      </c>
      <c r="AF6108">
        <v>0.17168643486390101</v>
      </c>
      <c r="AG6108">
        <v>-1.1205024367929901</v>
      </c>
      <c r="AH6108">
        <v>31.587917070887801</v>
      </c>
      <c r="AI6108">
        <v>92.031542822360805</v>
      </c>
      <c r="AJ6108">
        <v>89.688589430196103</v>
      </c>
      <c r="AK6108">
        <v>31.608250613092402</v>
      </c>
      <c r="AL6108">
        <v>79.247377675809005</v>
      </c>
      <c r="AM6108">
        <v>92.578441186527499</v>
      </c>
      <c r="AN6108">
        <v>0.99999999576031195</v>
      </c>
    </row>
    <row r="6109" spans="1:40" x14ac:dyDescent="0.25">
      <c r="A6109" t="str">
        <f>"20190303162939341"</f>
        <v>20190303162939341</v>
      </c>
      <c r="B6109" t="str">
        <f>"1551601779328415"</f>
        <v>1551601779328415</v>
      </c>
      <c r="C6109" t="s">
        <v>40</v>
      </c>
      <c r="D6109">
        <v>4.9964750000000002</v>
      </c>
      <c r="E6109">
        <v>0.5187001</v>
      </c>
      <c r="F6109" t="s">
        <v>57</v>
      </c>
      <c r="G6109">
        <v>-205.53120000000001</v>
      </c>
      <c r="H6109" s="1">
        <v>-3.0462070000000001E-6</v>
      </c>
      <c r="I6109">
        <v>-62.065159999999999</v>
      </c>
      <c r="J6109">
        <v>-237.95920000000001</v>
      </c>
      <c r="K6109">
        <v>1.1205050000000001</v>
      </c>
      <c r="L6109">
        <v>-62.032809999999998</v>
      </c>
      <c r="M6109">
        <v>0.9999247</v>
      </c>
      <c r="N6109">
        <v>-1.1716259999999999E-2</v>
      </c>
      <c r="O6109">
        <v>3.6496599999999999E-3</v>
      </c>
      <c r="P6109">
        <v>0.98323349999999998</v>
      </c>
      <c r="Q6109">
        <v>0.17571919999999999</v>
      </c>
      <c r="R6109">
        <v>4.8732190000000002E-2</v>
      </c>
      <c r="S6109">
        <v>3.0696720000000002</v>
      </c>
      <c r="T6109">
        <v>-0.105543</v>
      </c>
      <c r="U6109">
        <v>-3.0212400000000001E-3</v>
      </c>
      <c r="V6109">
        <v>-4.483525E-2</v>
      </c>
      <c r="W6109">
        <v>0.187303</v>
      </c>
      <c r="X6109">
        <v>0.9812784</v>
      </c>
      <c r="Y6109">
        <v>4.6295190000000003E-3</v>
      </c>
      <c r="Z6109">
        <v>-1.8938940000000001E-4</v>
      </c>
      <c r="AA6109">
        <v>0.99998929999999997</v>
      </c>
      <c r="AB6109">
        <v>31</v>
      </c>
      <c r="AC6109">
        <v>32.427999999999997</v>
      </c>
      <c r="AD6109">
        <v>-1.1205080462069901</v>
      </c>
      <c r="AE6109">
        <v>-3.2350000000000899E-2</v>
      </c>
      <c r="AF6109">
        <v>0.15052935733108899</v>
      </c>
      <c r="AG6109">
        <v>-1.1205080462069901</v>
      </c>
      <c r="AH6109">
        <v>32.388994811582499</v>
      </c>
      <c r="AI6109">
        <v>91.981354954951001</v>
      </c>
      <c r="AJ6109">
        <v>89.733717121449899</v>
      </c>
      <c r="AK6109">
        <v>32.4087207750283</v>
      </c>
      <c r="AL6109">
        <v>79.204567490448994</v>
      </c>
      <c r="AM6109">
        <v>92.616062080079004</v>
      </c>
      <c r="AN6109">
        <v>0.99999995587905999</v>
      </c>
    </row>
    <row r="6110" spans="1:40" x14ac:dyDescent="0.25">
      <c r="A6110" t="str">
        <f>"20190303162939353"</f>
        <v>20190303162939353</v>
      </c>
      <c r="B6110" t="str">
        <f>"1551601779347935"</f>
        <v>1551601779347935</v>
      </c>
      <c r="C6110" t="s">
        <v>40</v>
      </c>
      <c r="D6110">
        <v>4.9957200000000004</v>
      </c>
      <c r="E6110">
        <v>0.5186904</v>
      </c>
      <c r="F6110" t="s">
        <v>57</v>
      </c>
      <c r="G6110">
        <v>-205.1969</v>
      </c>
      <c r="H6110" s="1">
        <v>-3.2562339999999999E-6</v>
      </c>
      <c r="I6110">
        <v>-62.047789999999999</v>
      </c>
      <c r="J6110">
        <v>-237.79050000000001</v>
      </c>
      <c r="K6110">
        <v>1.120512</v>
      </c>
      <c r="L6110">
        <v>-62.032589999999999</v>
      </c>
      <c r="M6110">
        <v>0.99992619999999999</v>
      </c>
      <c r="N6110">
        <v>-1.1711320000000001E-2</v>
      </c>
      <c r="O6110">
        <v>3.2355230000000001E-3</v>
      </c>
      <c r="P6110">
        <v>0.98306260000000001</v>
      </c>
      <c r="Q6110">
        <v>0.176598</v>
      </c>
      <c r="R6110">
        <v>4.9002259999999999E-2</v>
      </c>
      <c r="S6110">
        <v>3.0699920000000001</v>
      </c>
      <c r="T6110">
        <v>-0.10499749999999999</v>
      </c>
      <c r="U6110">
        <v>-1.403809E-3</v>
      </c>
      <c r="V6110">
        <v>-4.5511589999999998E-2</v>
      </c>
      <c r="W6110">
        <v>0.18817600000000001</v>
      </c>
      <c r="X6110">
        <v>0.98108019999999996</v>
      </c>
      <c r="Y6110">
        <v>3.6892959999999999E-3</v>
      </c>
      <c r="Z6110">
        <v>-1.5742339999999999E-4</v>
      </c>
      <c r="AA6110">
        <v>0.99999320000000003</v>
      </c>
      <c r="AB6110">
        <v>31</v>
      </c>
      <c r="AC6110">
        <v>32.593600000000002</v>
      </c>
      <c r="AD6110">
        <v>-1.1205152562339999</v>
      </c>
      <c r="AE6110">
        <v>-1.5200000000000101E-2</v>
      </c>
      <c r="AF6110">
        <v>0.12052205233998101</v>
      </c>
      <c r="AG6110">
        <v>-1.1205152562339999</v>
      </c>
      <c r="AH6110">
        <v>32.554904427269499</v>
      </c>
      <c r="AI6110">
        <v>91.971285807862202</v>
      </c>
      <c r="AJ6110">
        <v>89.787885312171795</v>
      </c>
      <c r="AK6110">
        <v>32.574405324935803</v>
      </c>
      <c r="AL6110">
        <v>79.153642545290793</v>
      </c>
      <c r="AM6110">
        <v>92.656005018242098</v>
      </c>
      <c r="AN6110">
        <v>0.99999993531618103</v>
      </c>
    </row>
    <row r="6111" spans="1:40" x14ac:dyDescent="0.25">
      <c r="A6111" t="str">
        <f>"20190303162939364"</f>
        <v>20190303162939364</v>
      </c>
      <c r="B6111" t="str">
        <f>"1551601779357695"</f>
        <v>1551601779357695</v>
      </c>
      <c r="C6111" t="s">
        <v>40</v>
      </c>
      <c r="D6111">
        <v>5.0235859999999999</v>
      </c>
      <c r="E6111">
        <v>0.51863300000000001</v>
      </c>
      <c r="F6111" t="s">
        <v>57</v>
      </c>
      <c r="G6111">
        <v>-205.2724</v>
      </c>
      <c r="H6111" s="1">
        <v>-3.2063679999999999E-6</v>
      </c>
      <c r="I6111">
        <v>-62.034199999999998</v>
      </c>
      <c r="J6111">
        <v>-237.64259999999999</v>
      </c>
      <c r="K6111">
        <v>1.120517</v>
      </c>
      <c r="L6111">
        <v>-62.032440000000001</v>
      </c>
      <c r="M6111">
        <v>0.99992749999999997</v>
      </c>
      <c r="N6111">
        <v>-1.17071E-2</v>
      </c>
      <c r="O6111">
        <v>2.8721599999999999E-3</v>
      </c>
      <c r="P6111">
        <v>0.98296890000000003</v>
      </c>
      <c r="Q6111">
        <v>0.17705279999999901</v>
      </c>
      <c r="R6111">
        <v>4.9242180000000003E-2</v>
      </c>
      <c r="S6111">
        <v>3.0707239999999998</v>
      </c>
      <c r="T6111">
        <v>-0.10581169999999999</v>
      </c>
      <c r="U6111">
        <v>-1.5258789999999999E-4</v>
      </c>
      <c r="V6111">
        <v>-4.6109129999999998E-2</v>
      </c>
      <c r="W6111">
        <v>0.18862609999999999</v>
      </c>
      <c r="X6111">
        <v>0.98096589999999995</v>
      </c>
      <c r="Y6111">
        <v>2.918983E-3</v>
      </c>
      <c r="Z6111">
        <v>-1.3269120000000001E-4</v>
      </c>
      <c r="AA6111">
        <v>0.99999570000000004</v>
      </c>
      <c r="AB6111">
        <v>31</v>
      </c>
      <c r="AC6111">
        <v>32.370199999999897</v>
      </c>
      <c r="AD6111">
        <v>-1.120520206368</v>
      </c>
      <c r="AE6111">
        <v>-1.7599999999973099E-3</v>
      </c>
      <c r="AF6111">
        <v>9.4625358654800804E-2</v>
      </c>
      <c r="AG6111">
        <v>-1.120520206368</v>
      </c>
      <c r="AH6111">
        <v>32.331320300438897</v>
      </c>
      <c r="AI6111">
        <v>91.984921036323897</v>
      </c>
      <c r="AJ6111">
        <v>89.832310646292399</v>
      </c>
      <c r="AK6111">
        <v>32.350870032519303</v>
      </c>
      <c r="AL6111">
        <v>79.127383931200399</v>
      </c>
      <c r="AM6111">
        <v>92.691138924985495</v>
      </c>
      <c r="AN6111">
        <v>0.99999997721668799</v>
      </c>
    </row>
    <row r="6112" spans="1:40" x14ac:dyDescent="0.25">
      <c r="A6112" t="str">
        <f>"20190303162939375"</f>
        <v>20190303162939375</v>
      </c>
      <c r="B6112" t="str">
        <f>"1551601779368432"</f>
        <v>1551601779368432</v>
      </c>
      <c r="C6112" t="s">
        <v>40</v>
      </c>
      <c r="D6112">
        <v>5.0091809999999999</v>
      </c>
      <c r="E6112">
        <v>0.51856859999999905</v>
      </c>
      <c r="F6112" t="s">
        <v>57</v>
      </c>
      <c r="G6112">
        <v>-205.20840000000001</v>
      </c>
      <c r="H6112" s="1">
        <v>-3.2452299999999998E-6</v>
      </c>
      <c r="I6112">
        <v>-62.02084</v>
      </c>
      <c r="J6112">
        <v>-237.4828</v>
      </c>
      <c r="K6112">
        <v>1.1205210000000001</v>
      </c>
      <c r="L6112">
        <v>-62.032380000000003</v>
      </c>
      <c r="M6112">
        <v>0.99992859999999995</v>
      </c>
      <c r="N6112">
        <v>-1.170303E-2</v>
      </c>
      <c r="O6112">
        <v>2.480126E-3</v>
      </c>
      <c r="P6112">
        <v>0.98284870000000002</v>
      </c>
      <c r="Q6112">
        <v>0.17763329999999999</v>
      </c>
      <c r="R6112">
        <v>4.9551539999999998E-2</v>
      </c>
      <c r="S6112">
        <v>3.0710299999999999</v>
      </c>
      <c r="T6112">
        <v>-0.1060963</v>
      </c>
      <c r="U6112">
        <v>1.0986329999999999E-3</v>
      </c>
      <c r="V6112">
        <v>-4.6803619999999997E-2</v>
      </c>
      <c r="W6112">
        <v>0.18920200000000001</v>
      </c>
      <c r="X6112">
        <v>0.98082210000000003</v>
      </c>
      <c r="Y6112">
        <v>2.1202149999999999E-3</v>
      </c>
      <c r="Z6112">
        <v>-1.056611E-4</v>
      </c>
      <c r="AA6112">
        <v>0.99999769999999999</v>
      </c>
      <c r="AB6112">
        <v>31</v>
      </c>
      <c r="AC6112">
        <v>32.274399999999901</v>
      </c>
      <c r="AD6112">
        <v>-1.1205242452299999</v>
      </c>
      <c r="AE6112">
        <v>1.1540000000003599E-2</v>
      </c>
      <c r="AF6112">
        <v>6.8427601765870094E-2</v>
      </c>
      <c r="AG6112">
        <v>-1.1205242452299999</v>
      </c>
      <c r="AH6112">
        <v>32.235473163831699</v>
      </c>
      <c r="AI6112">
        <v>91.9908293543604</v>
      </c>
      <c r="AJ6112">
        <v>89.878376009104301</v>
      </c>
      <c r="AK6112">
        <v>32.255014912675897</v>
      </c>
      <c r="AL6112">
        <v>79.093782318079306</v>
      </c>
      <c r="AM6112">
        <v>92.732011466732899</v>
      </c>
      <c r="AN6112">
        <v>0.99999998374875698</v>
      </c>
    </row>
    <row r="6113" spans="1:40" x14ac:dyDescent="0.25">
      <c r="A6113" t="str">
        <f>"20190303162939385"</f>
        <v>20190303162939385</v>
      </c>
      <c r="B6113" t="str">
        <f>"1551601779378192"</f>
        <v>1551601779378192</v>
      </c>
      <c r="C6113" t="s">
        <v>40</v>
      </c>
      <c r="D6113">
        <v>5.0237170000000004</v>
      </c>
      <c r="E6113">
        <v>0.51854239999999996</v>
      </c>
      <c r="F6113" t="s">
        <v>57</v>
      </c>
      <c r="G6113">
        <v>-205.37809999999999</v>
      </c>
      <c r="H6113" s="1">
        <v>-3.1352300000000001E-6</v>
      </c>
      <c r="I6113">
        <v>-62.005580000000002</v>
      </c>
      <c r="J6113">
        <v>-237.3373</v>
      </c>
      <c r="K6113">
        <v>1.120522</v>
      </c>
      <c r="L6113">
        <v>-62.032380000000003</v>
      </c>
      <c r="M6113">
        <v>0.99992939999999997</v>
      </c>
      <c r="N6113">
        <v>-1.169942E-2</v>
      </c>
      <c r="O6113">
        <v>2.1234919999999998E-3</v>
      </c>
      <c r="P6113">
        <v>0.98270299999999999</v>
      </c>
      <c r="Q6113">
        <v>0.17838570000000001</v>
      </c>
      <c r="R6113">
        <v>4.9736759999999998E-2</v>
      </c>
      <c r="S6113">
        <v>3.071609</v>
      </c>
      <c r="T6113">
        <v>-0.10720590000000001</v>
      </c>
      <c r="U6113">
        <v>2.5634770000000002E-3</v>
      </c>
      <c r="V6113">
        <v>-4.7338239999999997E-2</v>
      </c>
      <c r="W6113">
        <v>0.1899497</v>
      </c>
      <c r="X6113">
        <v>0.98065190000000002</v>
      </c>
      <c r="Y6113">
        <v>1.2874500000000001E-3</v>
      </c>
      <c r="Z6113" s="1">
        <v>-7.9247480000000002E-5</v>
      </c>
      <c r="AA6113">
        <v>0.99999919999999998</v>
      </c>
      <c r="AB6113">
        <v>31</v>
      </c>
      <c r="AC6113">
        <v>31.959199999999999</v>
      </c>
      <c r="AD6113">
        <v>-1.1205251352299901</v>
      </c>
      <c r="AE6113">
        <v>2.6800000000001399E-2</v>
      </c>
      <c r="AF6113">
        <v>4.1019380194974503E-2</v>
      </c>
      <c r="AG6113">
        <v>-1.1205251352299901</v>
      </c>
      <c r="AH6113">
        <v>31.919946270693099</v>
      </c>
      <c r="AI6113">
        <v>92.010496983627704</v>
      </c>
      <c r="AJ6113">
        <v>89.926370926512405</v>
      </c>
      <c r="AK6113">
        <v>31.939634141489002</v>
      </c>
      <c r="AL6113">
        <v>79.050150939458405</v>
      </c>
      <c r="AM6113">
        <v>92.763648932564806</v>
      </c>
      <c r="AN6113">
        <v>0.99999997323499801</v>
      </c>
    </row>
    <row r="6114" spans="1:40" x14ac:dyDescent="0.25">
      <c r="A6114" t="str">
        <f>"20190303162939395"</f>
        <v>20190303162939395</v>
      </c>
      <c r="B6114" t="str">
        <f>"1551601779387951"</f>
        <v>1551601779387951</v>
      </c>
      <c r="C6114" t="s">
        <v>40</v>
      </c>
      <c r="D6114">
        <v>5.0547800000000001</v>
      </c>
      <c r="E6114">
        <v>0.51859440000000001</v>
      </c>
      <c r="F6114" t="s">
        <v>57</v>
      </c>
      <c r="G6114">
        <v>-205.47370000000001</v>
      </c>
      <c r="H6114" s="1">
        <v>-3.0735680000000001E-6</v>
      </c>
      <c r="I6114">
        <v>-61.99915</v>
      </c>
      <c r="J6114">
        <v>-237.1833</v>
      </c>
      <c r="K6114">
        <v>1.1205229999999999</v>
      </c>
      <c r="L6114">
        <v>-62.032409999999999</v>
      </c>
      <c r="M6114">
        <v>0.99993010000000004</v>
      </c>
      <c r="N6114">
        <v>-1.169595E-2</v>
      </c>
      <c r="O6114">
        <v>1.7457579999999901E-3</v>
      </c>
      <c r="P6114">
        <v>0.98254660000000005</v>
      </c>
      <c r="Q6114">
        <v>0.1791761</v>
      </c>
      <c r="R6114">
        <v>4.9983960000000001E-2</v>
      </c>
      <c r="S6114">
        <v>3.072235</v>
      </c>
      <c r="T6114">
        <v>-0.1080391</v>
      </c>
      <c r="U6114">
        <v>3.2043459999999998E-3</v>
      </c>
      <c r="V6114">
        <v>-4.7955970000000001E-2</v>
      </c>
      <c r="W6114">
        <v>0.19073570000000001</v>
      </c>
      <c r="X6114">
        <v>0.98046929999999999</v>
      </c>
      <c r="Y6114">
        <v>7.0181780000000004E-4</v>
      </c>
      <c r="Z6114" s="1">
        <v>-5.7400430000000002E-5</v>
      </c>
      <c r="AA6114">
        <v>0.99999979999999999</v>
      </c>
      <c r="AB6114">
        <v>31</v>
      </c>
      <c r="AC6114">
        <v>31.709599999999899</v>
      </c>
      <c r="AD6114">
        <v>-1.1205260735679901</v>
      </c>
      <c r="AE6114">
        <v>3.3259999999998499E-2</v>
      </c>
      <c r="AF6114">
        <v>2.2073560441422502E-2</v>
      </c>
      <c r="AG6114">
        <v>-1.1205260735679901</v>
      </c>
      <c r="AH6114">
        <v>31.6700629858559</v>
      </c>
      <c r="AI6114">
        <v>92.026349919500205</v>
      </c>
      <c r="AJ6114">
        <v>89.960065704703794</v>
      </c>
      <c r="AK6114">
        <v>31.689887274203102</v>
      </c>
      <c r="AL6114">
        <v>79.004277699194404</v>
      </c>
      <c r="AM6114">
        <v>92.800176126984297</v>
      </c>
      <c r="AN6114">
        <v>0.99999996527780899</v>
      </c>
    </row>
    <row r="6115" spans="1:40" x14ac:dyDescent="0.25">
      <c r="A6115" t="str">
        <f>"20190303162939407"</f>
        <v>20190303162939407</v>
      </c>
      <c r="B6115" t="str">
        <f>"1551601779397711"</f>
        <v>1551601779397711</v>
      </c>
      <c r="C6115" t="s">
        <v>40</v>
      </c>
      <c r="D6115">
        <v>5.0332800000000004</v>
      </c>
      <c r="E6115">
        <v>0.51859679999999997</v>
      </c>
      <c r="F6115" t="s">
        <v>57</v>
      </c>
      <c r="G6115">
        <v>-204.94980000000001</v>
      </c>
      <c r="H6115" s="1">
        <v>-3.4041250000000002E-6</v>
      </c>
      <c r="I6115">
        <v>-61.998150000000003</v>
      </c>
      <c r="J6115">
        <v>-237.02510000000001</v>
      </c>
      <c r="K6115">
        <v>1.1205270000000001</v>
      </c>
      <c r="L6115">
        <v>-62.032530000000001</v>
      </c>
      <c r="M6115">
        <v>0.99993089999999996</v>
      </c>
      <c r="N6115">
        <v>-1.1692569999999999E-2</v>
      </c>
      <c r="O6115">
        <v>1.3583689999999999E-3</v>
      </c>
      <c r="P6115">
        <v>0.98241869999999998</v>
      </c>
      <c r="Q6115">
        <v>0.17984229999999901</v>
      </c>
      <c r="R6115">
        <v>5.010817E-2</v>
      </c>
      <c r="S6115">
        <v>3.0726010000000001</v>
      </c>
      <c r="T6115">
        <v>-0.1068124</v>
      </c>
      <c r="U6115">
        <v>3.2653809999999999E-3</v>
      </c>
      <c r="V6115">
        <v>-4.8459670000000003E-2</v>
      </c>
      <c r="W6115">
        <v>0.19139800000000001</v>
      </c>
      <c r="X6115">
        <v>0.98031550000000001</v>
      </c>
      <c r="Y6115">
        <v>2.951214E-4</v>
      </c>
      <c r="Z6115" s="1">
        <v>-3.8180489999999997E-5</v>
      </c>
      <c r="AA6115">
        <v>0.99999990000000005</v>
      </c>
      <c r="AB6115">
        <v>31</v>
      </c>
      <c r="AC6115">
        <v>32.075299999999999</v>
      </c>
      <c r="AD6115">
        <v>-1.1205304041249999</v>
      </c>
      <c r="AE6115">
        <v>3.4379999999998703E-2</v>
      </c>
      <c r="AF6115">
        <v>9.1818899451712403E-3</v>
      </c>
      <c r="AG6115">
        <v>-1.1205304041249999</v>
      </c>
      <c r="AH6115">
        <v>32.0362198225491</v>
      </c>
      <c r="AI6115">
        <v>92.003216942610507</v>
      </c>
      <c r="AJ6115">
        <v>89.983578476789006</v>
      </c>
      <c r="AK6115">
        <v>32.055811535700698</v>
      </c>
      <c r="AL6115">
        <v>78.965618948266894</v>
      </c>
      <c r="AM6115">
        <v>92.829983105069203</v>
      </c>
      <c r="AN6115">
        <v>1.00000000678037</v>
      </c>
    </row>
    <row r="6116" spans="1:40" x14ac:dyDescent="0.25">
      <c r="A6116" t="str">
        <f>"20190303162939419"</f>
        <v>20190303162939419</v>
      </c>
      <c r="B6116" t="str">
        <f>"1551601779408447"</f>
        <v>1551601779408447</v>
      </c>
      <c r="C6116" t="s">
        <v>40</v>
      </c>
      <c r="D6116">
        <v>5.053547</v>
      </c>
      <c r="E6116">
        <v>0.51866820000000002</v>
      </c>
      <c r="F6116" t="s">
        <v>57</v>
      </c>
      <c r="G6116">
        <v>-204.79679999999999</v>
      </c>
      <c r="H6116" s="1">
        <v>-3.4569030000000002E-6</v>
      </c>
      <c r="I6116">
        <v>-61.995719999999999</v>
      </c>
      <c r="J6116">
        <v>-236.8708</v>
      </c>
      <c r="K6116">
        <v>1.1205309999999999</v>
      </c>
      <c r="L6116">
        <v>-62.032649999999997</v>
      </c>
      <c r="M6116">
        <v>0.99993120000000002</v>
      </c>
      <c r="N6116">
        <v>-1.168952E-2</v>
      </c>
      <c r="O6116">
        <v>9.8099439999999993E-4</v>
      </c>
      <c r="P6116">
        <v>0.98237169999999896</v>
      </c>
      <c r="Q6116">
        <v>0.18009919999999999</v>
      </c>
      <c r="R6116">
        <v>5.0103469999999997E-2</v>
      </c>
      <c r="S6116">
        <v>3.0730900000000001</v>
      </c>
      <c r="T6116">
        <v>-0.10684680000000001</v>
      </c>
      <c r="U6116">
        <v>3.5095209999999998E-3</v>
      </c>
      <c r="V6116">
        <v>-4.8826040000000001E-2</v>
      </c>
      <c r="W6116">
        <v>0.19165119999999999</v>
      </c>
      <c r="X6116">
        <v>0.98024789999999995</v>
      </c>
      <c r="Y6116">
        <v>-1.6108639999999901E-4</v>
      </c>
      <c r="Z6116" s="1">
        <v>-1.889052E-5</v>
      </c>
      <c r="AA6116">
        <v>1</v>
      </c>
      <c r="AB6116">
        <v>31</v>
      </c>
      <c r="AC6116">
        <v>32.073999999999998</v>
      </c>
      <c r="AD6116">
        <v>-1.120534456903</v>
      </c>
      <c r="AE6116">
        <v>3.6929999999998103E-2</v>
      </c>
      <c r="AF6116">
        <v>-5.4567580220681502E-3</v>
      </c>
      <c r="AG6116">
        <v>-1.120534456903</v>
      </c>
      <c r="AH6116">
        <v>32.034921649224998</v>
      </c>
      <c r="AI6116">
        <v>92.0033053470939</v>
      </c>
      <c r="AJ6116">
        <v>90.009759636838993</v>
      </c>
      <c r="AK6116">
        <v>32.054513446896998</v>
      </c>
      <c r="AL6116">
        <v>78.950838569867798</v>
      </c>
      <c r="AM6116">
        <v>92.851539781735795</v>
      </c>
      <c r="AN6116">
        <v>1.0000000550489601</v>
      </c>
    </row>
    <row r="6117" spans="1:40" x14ac:dyDescent="0.25">
      <c r="A6117" t="str">
        <f>"20190303162939430"</f>
        <v>20190303162939430</v>
      </c>
      <c r="B6117" t="str">
        <f>"1551601779418209"</f>
        <v>1551601779418209</v>
      </c>
      <c r="C6117" t="s">
        <v>40</v>
      </c>
      <c r="D6117">
        <v>5.0572970000000002</v>
      </c>
      <c r="E6117">
        <v>0.51871650000000002</v>
      </c>
      <c r="F6117" t="s">
        <v>57</v>
      </c>
      <c r="G6117">
        <v>-204.8477</v>
      </c>
      <c r="H6117" s="1">
        <v>-3.4403240000000001E-6</v>
      </c>
      <c r="I6117">
        <v>-62.003720000000001</v>
      </c>
      <c r="J6117">
        <v>-236.70830000000001</v>
      </c>
      <c r="K6117">
        <v>1.1205339999999999</v>
      </c>
      <c r="L6117">
        <v>-62.032899999999998</v>
      </c>
      <c r="M6117">
        <v>0.99993160000000003</v>
      </c>
      <c r="N6117">
        <v>-1.168656E-2</v>
      </c>
      <c r="O6117">
        <v>5.8401349999999896E-4</v>
      </c>
      <c r="P6117">
        <v>0.98229840000000002</v>
      </c>
      <c r="Q6117">
        <v>0.1805409</v>
      </c>
      <c r="R6117">
        <v>4.9950889999999998E-2</v>
      </c>
      <c r="S6117">
        <v>3.0733799999999998</v>
      </c>
      <c r="T6117">
        <v>-0.107542</v>
      </c>
      <c r="U6117">
        <v>2.7770999999999998E-3</v>
      </c>
      <c r="V6117">
        <v>-4.9062939999999999E-2</v>
      </c>
      <c r="W6117">
        <v>0.19208919999999999</v>
      </c>
      <c r="X6117">
        <v>0.98015030000000003</v>
      </c>
      <c r="Y6117">
        <v>-3.194421E-4</v>
      </c>
      <c r="Z6117" s="1">
        <v>-6.1507009999999996E-6</v>
      </c>
      <c r="AA6117">
        <v>0.99999990000000005</v>
      </c>
      <c r="AB6117">
        <v>31</v>
      </c>
      <c r="AC6117">
        <v>31.860600000000002</v>
      </c>
      <c r="AD6117">
        <v>-1.1205374403239901</v>
      </c>
      <c r="AE6117">
        <v>2.91800000000037E-2</v>
      </c>
      <c r="AF6117">
        <v>-1.05586445866353E-2</v>
      </c>
      <c r="AG6117">
        <v>-1.1205374403239901</v>
      </c>
      <c r="AH6117">
        <v>31.821251006852901</v>
      </c>
      <c r="AI6117">
        <v>92.016751184767799</v>
      </c>
      <c r="AJ6117">
        <v>90.019011375443995</v>
      </c>
      <c r="AK6117">
        <v>31.840975664719799</v>
      </c>
      <c r="AL6117">
        <v>78.925267551165604</v>
      </c>
      <c r="AM6117">
        <v>92.865637067589404</v>
      </c>
      <c r="AN6117">
        <v>1.0000000217140801</v>
      </c>
    </row>
    <row r="6118" spans="1:40" x14ac:dyDescent="0.25">
      <c r="A6118" t="str">
        <f>"20190303162939442"</f>
        <v>20190303162939442</v>
      </c>
      <c r="B6118" t="str">
        <f>"1551601779437729"</f>
        <v>1551601779437729</v>
      </c>
      <c r="C6118" t="s">
        <v>40</v>
      </c>
      <c r="D6118">
        <v>5.0831900000000001</v>
      </c>
      <c r="E6118">
        <v>0.51893909999999999</v>
      </c>
      <c r="F6118" t="s">
        <v>57</v>
      </c>
      <c r="G6118">
        <v>-204.9014</v>
      </c>
      <c r="H6118" s="1">
        <v>-3.422966E-6</v>
      </c>
      <c r="I6118">
        <v>-62.012680000000003</v>
      </c>
      <c r="J6118">
        <v>-236.53749999999999</v>
      </c>
      <c r="K6118">
        <v>1.120536</v>
      </c>
      <c r="L6118">
        <v>-62.033200000000001</v>
      </c>
      <c r="M6118">
        <v>0.99993180000000004</v>
      </c>
      <c r="N6118">
        <v>-1.1683600000000001E-2</v>
      </c>
      <c r="O6118">
        <v>1.6688949999999999E-4</v>
      </c>
      <c r="P6118">
        <v>0.9822303</v>
      </c>
      <c r="Q6118">
        <v>0.18098810000000001</v>
      </c>
      <c r="R6118">
        <v>4.9670190000000003E-2</v>
      </c>
      <c r="S6118">
        <v>3.0738829999999999</v>
      </c>
      <c r="T6118">
        <v>-0.1082907</v>
      </c>
      <c r="U6118">
        <v>1.953125E-3</v>
      </c>
      <c r="V6118">
        <v>-4.9191779999999997E-2</v>
      </c>
      <c r="W6118">
        <v>0.1925328</v>
      </c>
      <c r="X6118">
        <v>0.98005679999999995</v>
      </c>
      <c r="Y6118">
        <v>-4.6815179999999999E-4</v>
      </c>
      <c r="Z6118" s="1">
        <v>7.0518010000000002E-6</v>
      </c>
      <c r="AA6118">
        <v>0.99999990000000005</v>
      </c>
      <c r="AB6118">
        <v>32</v>
      </c>
      <c r="AC6118">
        <v>31.636099999999999</v>
      </c>
      <c r="AD6118">
        <v>-1.120539422966</v>
      </c>
      <c r="AE6118">
        <v>2.0519999999997599E-2</v>
      </c>
      <c r="AF6118">
        <v>-1.5220811494641299E-2</v>
      </c>
      <c r="AG6118">
        <v>-1.120539422966</v>
      </c>
      <c r="AH6118">
        <v>31.596463618449299</v>
      </c>
      <c r="AI6118">
        <v>92.0310904926462</v>
      </c>
      <c r="AJ6118">
        <v>90.027600816422904</v>
      </c>
      <c r="AK6118">
        <v>31.616330487004898</v>
      </c>
      <c r="AL6118">
        <v>78.899367687114903</v>
      </c>
      <c r="AM6118">
        <v>92.873423326744899</v>
      </c>
      <c r="AN6118">
        <v>1.00000002076082</v>
      </c>
    </row>
    <row r="6119" spans="1:40" x14ac:dyDescent="0.25">
      <c r="A6119" t="str">
        <f>"20190303162939454"</f>
        <v>20190303162939454</v>
      </c>
      <c r="B6119" t="str">
        <f>"1551601779448463"</f>
        <v>1551601779448463</v>
      </c>
      <c r="C6119" t="s">
        <v>40</v>
      </c>
      <c r="D6119">
        <v>5.1372049999999998</v>
      </c>
      <c r="E6119">
        <v>0.51893909999999999</v>
      </c>
      <c r="F6119" t="s">
        <v>57</v>
      </c>
      <c r="G6119">
        <v>-205.30510000000001</v>
      </c>
      <c r="H6119" s="1">
        <v>-3.1866059999999999E-6</v>
      </c>
      <c r="I6119">
        <v>-62.041269999999997</v>
      </c>
      <c r="J6119">
        <v>-236.37520000000001</v>
      </c>
      <c r="K6119">
        <v>1.1205369999999999</v>
      </c>
      <c r="L6119">
        <v>-62.033569999999997</v>
      </c>
      <c r="M6119">
        <v>0.99993180000000004</v>
      </c>
      <c r="N6119">
        <v>-1.168115E-2</v>
      </c>
      <c r="O6119">
        <v>-2.2836180000000001E-4</v>
      </c>
      <c r="P6119">
        <v>0.98219860000000003</v>
      </c>
      <c r="Q6119">
        <v>0.18122179999999999</v>
      </c>
      <c r="R6119">
        <v>4.9446879999999999E-2</v>
      </c>
      <c r="S6119">
        <v>3.074646</v>
      </c>
      <c r="T6119">
        <v>-0.1103103</v>
      </c>
      <c r="U6119">
        <v>-7.9345700000000002E-4</v>
      </c>
      <c r="V6119">
        <v>-4.9356810000000001E-2</v>
      </c>
      <c r="W6119">
        <v>0.19276299999999999</v>
      </c>
      <c r="X6119">
        <v>0.98000319999999996</v>
      </c>
      <c r="Y6119" s="1">
        <v>2.9728599999999999E-5</v>
      </c>
      <c r="Z6119" s="1">
        <v>4.8165179999999996E-6</v>
      </c>
      <c r="AA6119">
        <v>1</v>
      </c>
      <c r="AB6119">
        <v>32</v>
      </c>
      <c r="AC6119">
        <v>31.0701</v>
      </c>
      <c r="AD6119">
        <v>-1.1205401866060001</v>
      </c>
      <c r="AE6119">
        <v>-7.6999999999998103E-3</v>
      </c>
      <c r="AF6119">
        <v>6.0350712679266196E-4</v>
      </c>
      <c r="AG6119">
        <v>-1.1205401866060001</v>
      </c>
      <c r="AH6119">
        <v>31.029741269699599</v>
      </c>
      <c r="AI6119">
        <v>92.068155734820493</v>
      </c>
      <c r="AJ6119">
        <v>89.998885636494094</v>
      </c>
      <c r="AK6119">
        <v>31.049967052132502</v>
      </c>
      <c r="AL6119">
        <v>78.8859258499117</v>
      </c>
      <c r="AM6119">
        <v>92.883204352012996</v>
      </c>
      <c r="AN6119">
        <v>0.99999997043630695</v>
      </c>
    </row>
    <row r="6120" spans="1:40" x14ac:dyDescent="0.25">
      <c r="A6120" t="str">
        <f>"20190303162939464"</f>
        <v>20190303162939464</v>
      </c>
      <c r="B6120" t="str">
        <f>"1551601779458224"</f>
        <v>1551601779458224</v>
      </c>
      <c r="C6120" t="s">
        <v>40</v>
      </c>
      <c r="D6120">
        <v>5.1904459999999997</v>
      </c>
      <c r="E6120">
        <v>0.53731600000000002</v>
      </c>
      <c r="F6120" t="s">
        <v>57</v>
      </c>
      <c r="G6120">
        <v>-204.92420000000001</v>
      </c>
      <c r="H6120" s="1">
        <v>-3.4203250000000002E-6</v>
      </c>
      <c r="I6120">
        <v>-62.050739999999998</v>
      </c>
      <c r="J6120">
        <v>-236.2319</v>
      </c>
      <c r="K6120">
        <v>1.1205400000000001</v>
      </c>
      <c r="L6120">
        <v>-62.033940000000001</v>
      </c>
      <c r="M6120">
        <v>0.99993169999999998</v>
      </c>
      <c r="N6120">
        <v>-1.167904E-2</v>
      </c>
      <c r="O6120">
        <v>-5.7700730000000003E-4</v>
      </c>
      <c r="P6120">
        <v>0.98219909999999999</v>
      </c>
      <c r="Q6120">
        <v>0.18133250000000001</v>
      </c>
      <c r="R6120">
        <v>4.9029490000000002E-2</v>
      </c>
      <c r="S6120">
        <v>3.0746920000000002</v>
      </c>
      <c r="T6120">
        <v>-0.10954560000000001</v>
      </c>
      <c r="U6120">
        <v>-1.6784669999999999E-3</v>
      </c>
      <c r="V6120">
        <v>-4.9282369999999999E-2</v>
      </c>
      <c r="W6120">
        <v>0.19287109999999999</v>
      </c>
      <c r="X6120">
        <v>0.97998569999999996</v>
      </c>
      <c r="Y6120" s="1">
        <v>-3.0957629999999999E-5</v>
      </c>
      <c r="Z6120" s="1">
        <v>1.454567E-5</v>
      </c>
      <c r="AA6120">
        <v>1</v>
      </c>
      <c r="AB6120">
        <v>32</v>
      </c>
      <c r="AC6120">
        <v>31.307699999999901</v>
      </c>
      <c r="AD6120">
        <v>-1.12054342032499</v>
      </c>
      <c r="AE6120">
        <v>-1.6800000000003399E-2</v>
      </c>
      <c r="AF6120">
        <v>-1.26438544421717E-3</v>
      </c>
      <c r="AG6120">
        <v>-1.12054342032499</v>
      </c>
      <c r="AH6120">
        <v>31.267650087456602</v>
      </c>
      <c r="AI6120">
        <v>92.052439009542894</v>
      </c>
      <c r="AJ6120">
        <v>90.002316897796504</v>
      </c>
      <c r="AK6120">
        <v>31.2877222109109</v>
      </c>
      <c r="AL6120">
        <v>78.879613978041505</v>
      </c>
      <c r="AM6120">
        <v>92.878914542912597</v>
      </c>
      <c r="AN6120">
        <v>0.99999999270625795</v>
      </c>
    </row>
    <row r="6121" spans="1:40" x14ac:dyDescent="0.25">
      <c r="A6121" t="str">
        <f>"20190303162939474"</f>
        <v>20190303162939474</v>
      </c>
      <c r="B6121" t="str">
        <f>"1551601779467984"</f>
        <v>1551601779467984</v>
      </c>
      <c r="C6121" t="s">
        <v>40</v>
      </c>
      <c r="D6121">
        <v>5.1281030000000003</v>
      </c>
      <c r="E6121">
        <v>0.53731600000000002</v>
      </c>
      <c r="F6121" t="s">
        <v>53</v>
      </c>
      <c r="G6121">
        <v>-167.60419999999999</v>
      </c>
      <c r="H6121">
        <v>1.148668</v>
      </c>
      <c r="I6121">
        <v>-65.389949999999999</v>
      </c>
      <c r="J6121">
        <v>-236.07079999999999</v>
      </c>
      <c r="K6121">
        <v>1.1205419999999999</v>
      </c>
      <c r="L6121">
        <v>-62.034419999999997</v>
      </c>
      <c r="M6121">
        <v>0.99993149999999997</v>
      </c>
      <c r="N6121">
        <v>-1.167695E-2</v>
      </c>
      <c r="O6121">
        <v>-9.6724729999999996E-4</v>
      </c>
      <c r="P6121">
        <v>0.98220790000000002</v>
      </c>
      <c r="Q6121">
        <v>0.18138389999999999</v>
      </c>
      <c r="R6121">
        <v>4.8656860000000003E-2</v>
      </c>
      <c r="S6121">
        <v>3.0616300000000001</v>
      </c>
      <c r="T6121">
        <v>1.2539630000000001E-3</v>
      </c>
      <c r="U6121">
        <v>-0.1497192</v>
      </c>
      <c r="V6121">
        <v>-4.9293099999999999E-2</v>
      </c>
      <c r="W6121">
        <v>0.19292019999999999</v>
      </c>
      <c r="X6121">
        <v>0.9799755</v>
      </c>
      <c r="Y6121">
        <v>4.7877429999999999E-2</v>
      </c>
      <c r="Z6121">
        <v>-2.8159259999999998E-4</v>
      </c>
      <c r="AA6121">
        <v>0.9988532</v>
      </c>
      <c r="AB6121">
        <v>32</v>
      </c>
      <c r="AC6121">
        <v>68.4666</v>
      </c>
      <c r="AD6121">
        <v>2.8126000000000002E-2</v>
      </c>
      <c r="AE6121">
        <v>-3.3555299999999999</v>
      </c>
      <c r="AF6121">
        <v>3.2892992366968299</v>
      </c>
      <c r="AG6121">
        <v>2.8126000000000002E-2</v>
      </c>
      <c r="AH6121">
        <v>68.469802289250197</v>
      </c>
      <c r="AI6121">
        <v>89.976491174107593</v>
      </c>
      <c r="AJ6121">
        <v>87.249616967119096</v>
      </c>
      <c r="AK6121">
        <v>68.548771732755498</v>
      </c>
      <c r="AL6121">
        <v>78.876746957296604</v>
      </c>
      <c r="AM6121">
        <v>92.8795702205542</v>
      </c>
      <c r="AN6121">
        <v>0.99999999693794905</v>
      </c>
    </row>
    <row r="6122" spans="1:40" x14ac:dyDescent="0.25">
      <c r="A6122" t="str">
        <f>"20190303162939486"</f>
        <v>20190303162939486</v>
      </c>
      <c r="B6122" t="str">
        <f>"1551601779477743"</f>
        <v>1551601779477743</v>
      </c>
      <c r="C6122" t="s">
        <v>40</v>
      </c>
      <c r="D6122">
        <v>5.2022839999999997</v>
      </c>
      <c r="E6122">
        <v>0.56739810000000002</v>
      </c>
      <c r="F6122" t="s">
        <v>53</v>
      </c>
      <c r="G6122">
        <v>-168.13399999999999</v>
      </c>
      <c r="H6122">
        <v>1.155764</v>
      </c>
      <c r="I6122">
        <v>-65.389949999999999</v>
      </c>
      <c r="J6122">
        <v>-235.91849999999999</v>
      </c>
      <c r="K6122">
        <v>1.120549</v>
      </c>
      <c r="L6122">
        <v>-62.034910000000004</v>
      </c>
      <c r="M6122">
        <v>0.99993100000000001</v>
      </c>
      <c r="N6122">
        <v>-1.1675039999999999E-2</v>
      </c>
      <c r="O6122">
        <v>-1.335197E-3</v>
      </c>
      <c r="P6122">
        <v>0.98221170000000002</v>
      </c>
      <c r="Q6122">
        <v>0.1814791</v>
      </c>
      <c r="R6122">
        <v>4.8224580000000003E-2</v>
      </c>
      <c r="S6122">
        <v>3.0615230000000002</v>
      </c>
      <c r="T6122">
        <v>1.586318E-3</v>
      </c>
      <c r="U6122">
        <v>-0.1512146</v>
      </c>
      <c r="V6122">
        <v>-4.9223030000000001E-2</v>
      </c>
      <c r="W6122">
        <v>0.1930133</v>
      </c>
      <c r="X6122">
        <v>0.97996070000000002</v>
      </c>
      <c r="Y6122">
        <v>4.799834E-2</v>
      </c>
      <c r="Z6122">
        <v>-2.8421469999999999E-4</v>
      </c>
      <c r="AA6122">
        <v>0.99884740000000005</v>
      </c>
      <c r="AB6122">
        <v>32</v>
      </c>
      <c r="AC6122">
        <v>67.784499999999895</v>
      </c>
      <c r="AD6122">
        <v>3.5215000000000003E-2</v>
      </c>
      <c r="AE6122">
        <v>-3.3550399999999998</v>
      </c>
      <c r="AF6122">
        <v>3.2645243043887602</v>
      </c>
      <c r="AG6122">
        <v>3.5215000000000003E-2</v>
      </c>
      <c r="AH6122">
        <v>67.788901263600707</v>
      </c>
      <c r="AI6122">
        <v>89.970270426110702</v>
      </c>
      <c r="AJ6122">
        <v>87.242925165368803</v>
      </c>
      <c r="AK6122">
        <v>67.867470068924504</v>
      </c>
      <c r="AL6122">
        <v>78.871310658991007</v>
      </c>
      <c r="AM6122">
        <v>92.875527148905306</v>
      </c>
      <c r="AN6122">
        <v>1.00000000710188</v>
      </c>
    </row>
    <row r="6123" spans="1:40" x14ac:dyDescent="0.25">
      <c r="A6123" t="str">
        <f>"20190303162939497"</f>
        <v>20190303162939497</v>
      </c>
      <c r="B6123" t="str">
        <f>"1551601779488480"</f>
        <v>1551601779488480</v>
      </c>
      <c r="C6123" t="s">
        <v>40</v>
      </c>
      <c r="D6123">
        <v>5.33012</v>
      </c>
      <c r="E6123">
        <v>0.56781689999999996</v>
      </c>
      <c r="F6123" t="s">
        <v>45</v>
      </c>
      <c r="G6123">
        <v>0</v>
      </c>
      <c r="H6123">
        <v>0</v>
      </c>
      <c r="I6123">
        <v>0</v>
      </c>
      <c r="J6123">
        <v>-235.76679999999999</v>
      </c>
      <c r="K6123">
        <v>1.1205499999999999</v>
      </c>
      <c r="L6123">
        <v>-62.035490000000003</v>
      </c>
      <c r="M6123">
        <v>0.9999304</v>
      </c>
      <c r="N6123">
        <v>-1.1673319999999999E-2</v>
      </c>
      <c r="O6123">
        <v>-1.700165E-3</v>
      </c>
      <c r="P6123">
        <v>0.98218669999999997</v>
      </c>
      <c r="Q6123">
        <v>0.18173729999999999</v>
      </c>
      <c r="R6123">
        <v>4.7765250000000002E-2</v>
      </c>
      <c r="S6123">
        <v>3.034103</v>
      </c>
      <c r="T6123">
        <v>0.2137414</v>
      </c>
      <c r="U6123">
        <v>-0.39230350000000003</v>
      </c>
      <c r="V6123">
        <v>-4.9122859999999997E-2</v>
      </c>
      <c r="W6123">
        <v>0.19326879999999999</v>
      </c>
      <c r="X6123">
        <v>0.97991539999999999</v>
      </c>
      <c r="Y6123">
        <v>0.12629360000000001</v>
      </c>
      <c r="Z6123">
        <v>3.5447859999999999E-3</v>
      </c>
      <c r="AA6123">
        <v>0.99198660000000005</v>
      </c>
      <c r="AB6123">
        <v>32</v>
      </c>
      <c r="AC6123">
        <v>3.034103</v>
      </c>
      <c r="AD6123">
        <v>0.2137414</v>
      </c>
      <c r="AE6123">
        <v>-0.39230350000000003</v>
      </c>
      <c r="AF6123">
        <v>0.38526360214420702</v>
      </c>
      <c r="AG6123">
        <v>0.2137414</v>
      </c>
      <c r="AH6123">
        <v>3.0200246506383501</v>
      </c>
      <c r="AI6123">
        <v>85.984095497395401</v>
      </c>
      <c r="AJ6123">
        <v>82.730062634618804</v>
      </c>
      <c r="AK6123">
        <v>3.05199317162971</v>
      </c>
      <c r="AL6123">
        <v>78.856391005113295</v>
      </c>
      <c r="AM6123">
        <v>92.869817615680205</v>
      </c>
      <c r="AN6123">
        <v>1.00000003779258</v>
      </c>
    </row>
    <row r="6124" spans="1:40" x14ac:dyDescent="0.25">
      <c r="A6124" t="str">
        <f>"20190303162939508"</f>
        <v>20190303162939508</v>
      </c>
      <c r="B6124" t="str">
        <f>"1551601779498239"</f>
        <v>1551601779498239</v>
      </c>
      <c r="C6124" t="s">
        <v>40</v>
      </c>
      <c r="D6124">
        <v>5.1848190000000001</v>
      </c>
      <c r="E6124">
        <v>0.57094630000000002</v>
      </c>
      <c r="F6124" t="s">
        <v>45</v>
      </c>
      <c r="G6124">
        <v>0</v>
      </c>
      <c r="H6124">
        <v>0</v>
      </c>
      <c r="I6124">
        <v>0</v>
      </c>
      <c r="J6124">
        <v>-235.60130000000001</v>
      </c>
      <c r="K6124">
        <v>1.120552</v>
      </c>
      <c r="L6124">
        <v>-62.036160000000002</v>
      </c>
      <c r="M6124">
        <v>0.99992970000000003</v>
      </c>
      <c r="N6124">
        <v>-1.1671610000000001E-2</v>
      </c>
      <c r="O6124">
        <v>-2.0962350000000001E-3</v>
      </c>
      <c r="P6124">
        <v>0.9822689</v>
      </c>
      <c r="Q6124">
        <v>0.181419</v>
      </c>
      <c r="R6124">
        <v>4.7275780000000003E-2</v>
      </c>
      <c r="S6124">
        <v>3.0366819999999999</v>
      </c>
      <c r="T6124">
        <v>0.20019210000000001</v>
      </c>
      <c r="U6124">
        <v>-0.3971558</v>
      </c>
      <c r="V6124">
        <v>-4.9024119999999997E-2</v>
      </c>
      <c r="W6124">
        <v>0.1929497</v>
      </c>
      <c r="X6124">
        <v>0.97998320000000005</v>
      </c>
      <c r="Y6124">
        <v>0.1273859</v>
      </c>
      <c r="Z6124">
        <v>3.2676379999999998E-3</v>
      </c>
      <c r="AA6124">
        <v>0.9918479</v>
      </c>
      <c r="AB6124">
        <v>32</v>
      </c>
      <c r="AC6124">
        <v>3.0366819999999999</v>
      </c>
      <c r="AD6124">
        <v>0.20019210000000001</v>
      </c>
      <c r="AE6124">
        <v>-0.3971558</v>
      </c>
      <c r="AF6124">
        <v>0.389126171704966</v>
      </c>
      <c r="AG6124">
        <v>0.20019210000000001</v>
      </c>
      <c r="AH6124">
        <v>3.0245839709485902</v>
      </c>
      <c r="AI6124">
        <v>86.2440792650535</v>
      </c>
      <c r="AJ6124">
        <v>82.6689142551392</v>
      </c>
      <c r="AK6124">
        <v>3.0560766109060999</v>
      </c>
      <c r="AL6124">
        <v>78.875024533057399</v>
      </c>
      <c r="AM6124">
        <v>92.863860898518496</v>
      </c>
      <c r="AN6124">
        <v>1.00000001167705</v>
      </c>
    </row>
    <row r="6125" spans="1:40" x14ac:dyDescent="0.25">
      <c r="A6125" t="str">
        <f>"20190303162939520"</f>
        <v>20190303162939520</v>
      </c>
      <c r="B6125" t="str">
        <f>"1551601779508000"</f>
        <v>1551601779508000</v>
      </c>
      <c r="C6125" t="s">
        <v>40</v>
      </c>
      <c r="D6125">
        <v>5.321402</v>
      </c>
      <c r="E6125">
        <v>0.57082749999999904</v>
      </c>
      <c r="F6125" t="s">
        <v>45</v>
      </c>
      <c r="G6125">
        <v>0</v>
      </c>
      <c r="H6125">
        <v>0</v>
      </c>
      <c r="I6125">
        <v>0</v>
      </c>
      <c r="J6125">
        <v>-235.4385</v>
      </c>
      <c r="K6125">
        <v>1.1205540000000001</v>
      </c>
      <c r="L6125">
        <v>-62.036869999999901</v>
      </c>
      <c r="M6125">
        <v>0.99992890000000001</v>
      </c>
      <c r="N6125">
        <v>-1.1670079999999999E-2</v>
      </c>
      <c r="O6125">
        <v>-2.4835959999999998E-3</v>
      </c>
      <c r="P6125">
        <v>0.98230269999999997</v>
      </c>
      <c r="Q6125">
        <v>0.18135280000000001</v>
      </c>
      <c r="R6125">
        <v>4.6828040000000001E-2</v>
      </c>
      <c r="S6125">
        <v>3.0346829999999998</v>
      </c>
      <c r="T6125">
        <v>0.21586730000000001</v>
      </c>
      <c r="U6125">
        <v>-0.42373660000000002</v>
      </c>
      <c r="V6125">
        <v>-4.8957970000000003E-2</v>
      </c>
      <c r="W6125">
        <v>0.1928819</v>
      </c>
      <c r="X6125">
        <v>0.97999979999999998</v>
      </c>
      <c r="Y6125">
        <v>0.1355577</v>
      </c>
      <c r="Z6125">
        <v>3.7920610000000002E-3</v>
      </c>
      <c r="AA6125">
        <v>0.99076220000000004</v>
      </c>
      <c r="AB6125">
        <v>32</v>
      </c>
      <c r="AC6125">
        <v>3.0346829999999998</v>
      </c>
      <c r="AD6125">
        <v>0.21586730000000001</v>
      </c>
      <c r="AE6125">
        <v>-0.42373660000000002</v>
      </c>
      <c r="AF6125">
        <v>0.41414238521154201</v>
      </c>
      <c r="AG6125">
        <v>0.21586730000000001</v>
      </c>
      <c r="AH6125">
        <v>3.0207336179639102</v>
      </c>
      <c r="AI6125">
        <v>85.950239970269294</v>
      </c>
      <c r="AJ6125">
        <v>82.1934213638377</v>
      </c>
      <c r="AK6125">
        <v>3.0566230053991501</v>
      </c>
      <c r="AL6125">
        <v>78.878982963547998</v>
      </c>
      <c r="AM6125">
        <v>92.859954644103794</v>
      </c>
      <c r="AN6125">
        <v>0.99999995908708394</v>
      </c>
    </row>
    <row r="6126" spans="1:40" x14ac:dyDescent="0.25">
      <c r="A6126" t="str">
        <f>"20190303162939532"</f>
        <v>20190303162939532</v>
      </c>
      <c r="B6126" t="str">
        <f>"1551601779528495"</f>
        <v>1551601779528495</v>
      </c>
      <c r="C6126" t="s">
        <v>40</v>
      </c>
      <c r="D6126">
        <v>5.3544359999999998</v>
      </c>
      <c r="E6126">
        <v>0.57038869999999997</v>
      </c>
      <c r="F6126" t="s">
        <v>45</v>
      </c>
      <c r="G6126">
        <v>0</v>
      </c>
      <c r="H6126">
        <v>0</v>
      </c>
      <c r="I6126">
        <v>0</v>
      </c>
      <c r="J6126">
        <v>-235.2809</v>
      </c>
      <c r="K6126">
        <v>1.1205560000000001</v>
      </c>
      <c r="L6126">
        <v>-62.03763</v>
      </c>
      <c r="M6126">
        <v>0.99992789999999998</v>
      </c>
      <c r="N6126">
        <v>-1.166875E-2</v>
      </c>
      <c r="O6126">
        <v>-2.855336E-3</v>
      </c>
      <c r="P6126">
        <v>0.98235459999999997</v>
      </c>
      <c r="Q6126">
        <v>0.18111930000000001</v>
      </c>
      <c r="R6126">
        <v>4.6639920000000001E-2</v>
      </c>
      <c r="S6126">
        <v>3.0345309999999999</v>
      </c>
      <c r="T6126">
        <v>0.2153263</v>
      </c>
      <c r="U6126">
        <v>-0.4242554</v>
      </c>
      <c r="V6126">
        <v>-4.9137390000000003E-2</v>
      </c>
      <c r="W6126">
        <v>0.19264700000000001</v>
      </c>
      <c r="X6126">
        <v>0.98003709999999999</v>
      </c>
      <c r="Y6126">
        <v>0.1353655</v>
      </c>
      <c r="Z6126">
        <v>3.7446070000000001E-3</v>
      </c>
      <c r="AA6126">
        <v>0.99078860000000002</v>
      </c>
      <c r="AB6126">
        <v>32</v>
      </c>
      <c r="AC6126">
        <v>3.0345309999999999</v>
      </c>
      <c r="AD6126">
        <v>0.2153263</v>
      </c>
      <c r="AE6126">
        <v>-0.4242554</v>
      </c>
      <c r="AF6126">
        <v>0.41354613602981399</v>
      </c>
      <c r="AG6126">
        <v>0.2153263</v>
      </c>
      <c r="AH6126">
        <v>3.0208115204408301</v>
      </c>
      <c r="AI6126">
        <v>85.960350761338006</v>
      </c>
      <c r="AJ6126">
        <v>82.204720927280306</v>
      </c>
      <c r="AK6126">
        <v>3.0565811070745199</v>
      </c>
      <c r="AL6126">
        <v>78.892699823443806</v>
      </c>
      <c r="AM6126">
        <v>92.870309176332398</v>
      </c>
      <c r="AN6126">
        <v>1.00000003354071</v>
      </c>
    </row>
    <row r="6127" spans="1:40" x14ac:dyDescent="0.25">
      <c r="A6127" t="str">
        <f>"20190303162939544"</f>
        <v>20190303162939544</v>
      </c>
      <c r="B6127" t="str">
        <f>"1551601779538256"</f>
        <v>1551601779538256</v>
      </c>
      <c r="C6127" t="s">
        <v>40</v>
      </c>
      <c r="D6127">
        <v>5.3406190000000002</v>
      </c>
      <c r="E6127">
        <v>0.5698261</v>
      </c>
      <c r="F6127" t="s">
        <v>45</v>
      </c>
      <c r="G6127">
        <v>0</v>
      </c>
      <c r="H6127">
        <v>0</v>
      </c>
      <c r="I6127">
        <v>0</v>
      </c>
      <c r="J6127">
        <v>-235.113</v>
      </c>
      <c r="K6127">
        <v>1.120555</v>
      </c>
      <c r="L6127">
        <v>-62.03848</v>
      </c>
      <c r="M6127">
        <v>0.99992669999999995</v>
      </c>
      <c r="N6127">
        <v>-1.166739E-2</v>
      </c>
      <c r="O6127">
        <v>-3.2501940000000001E-3</v>
      </c>
      <c r="P6127">
        <v>0.98241409999999996</v>
      </c>
      <c r="Q6127">
        <v>0.1809007</v>
      </c>
      <c r="R6127">
        <v>4.623464E-2</v>
      </c>
      <c r="S6127">
        <v>3.0360260000000001</v>
      </c>
      <c r="T6127">
        <v>0.20531540000000001</v>
      </c>
      <c r="U6127">
        <v>-0.42150880000000002</v>
      </c>
      <c r="V6127">
        <v>-4.9122249999999999E-2</v>
      </c>
      <c r="W6127">
        <v>0.19242699999999999</v>
      </c>
      <c r="X6127">
        <v>0.98008099999999998</v>
      </c>
      <c r="Y6127">
        <v>0.1340587</v>
      </c>
      <c r="Z6127">
        <v>3.4635170000000002E-3</v>
      </c>
      <c r="AA6127">
        <v>0.9909673</v>
      </c>
      <c r="AB6127">
        <v>32</v>
      </c>
      <c r="AC6127">
        <v>3.0360260000000001</v>
      </c>
      <c r="AD6127">
        <v>0.20531540000000001</v>
      </c>
      <c r="AE6127">
        <v>-0.42150880000000002</v>
      </c>
      <c r="AF6127">
        <v>0.40979952383976198</v>
      </c>
      <c r="AG6127">
        <v>0.20531540000000001</v>
      </c>
      <c r="AH6127">
        <v>3.0238126775846199</v>
      </c>
      <c r="AI6127">
        <v>86.150688427965306</v>
      </c>
      <c r="AJ6127">
        <v>82.282062443589396</v>
      </c>
      <c r="AK6127">
        <v>3.05835465117078</v>
      </c>
      <c r="AL6127">
        <v>78.905544366556498</v>
      </c>
      <c r="AM6127">
        <v>92.869297954151804</v>
      </c>
      <c r="AN6127">
        <v>0.99999995616753001</v>
      </c>
    </row>
    <row r="6128" spans="1:40" x14ac:dyDescent="0.25">
      <c r="A6128" t="str">
        <f>"20190303162939553"</f>
        <v>20190303162939553</v>
      </c>
      <c r="B6128" t="str">
        <f>"1551601779548016"</f>
        <v>1551601779548016</v>
      </c>
      <c r="C6128" t="s">
        <v>40</v>
      </c>
      <c r="D6128">
        <v>5.3277060000000001</v>
      </c>
      <c r="E6128">
        <v>0.56947289999999995</v>
      </c>
      <c r="F6128" t="s">
        <v>45</v>
      </c>
      <c r="G6128">
        <v>0</v>
      </c>
      <c r="H6128">
        <v>0</v>
      </c>
      <c r="I6128">
        <v>0</v>
      </c>
      <c r="J6128">
        <v>-234.96</v>
      </c>
      <c r="K6128">
        <v>1.1205590000000001</v>
      </c>
      <c r="L6128">
        <v>-62.039369999999998</v>
      </c>
      <c r="M6128">
        <v>0.99992559999999997</v>
      </c>
      <c r="N6128">
        <v>-1.1666370000000001E-2</v>
      </c>
      <c r="O6128">
        <v>-3.6047549999999999E-3</v>
      </c>
      <c r="P6128">
        <v>0.98242839999999998</v>
      </c>
      <c r="Q6128">
        <v>0.1809048</v>
      </c>
      <c r="R6128">
        <v>4.5915280000000003E-2</v>
      </c>
      <c r="S6128">
        <v>3.0365600000000001</v>
      </c>
      <c r="T6128">
        <v>0.20005000000000001</v>
      </c>
      <c r="U6128">
        <v>-0.41848750000000001</v>
      </c>
      <c r="V6128">
        <v>-4.915307E-2</v>
      </c>
      <c r="W6128">
        <v>0.1924294</v>
      </c>
      <c r="X6128">
        <v>0.98007909999999998</v>
      </c>
      <c r="Y6128">
        <v>0.13273279999999901</v>
      </c>
      <c r="Z6128">
        <v>3.2905360000000002E-3</v>
      </c>
      <c r="AA6128">
        <v>0.99114639999999998</v>
      </c>
      <c r="AB6128">
        <v>32</v>
      </c>
      <c r="AC6128">
        <v>3.0365600000000001</v>
      </c>
      <c r="AD6128">
        <v>0.20005000000000001</v>
      </c>
      <c r="AE6128">
        <v>-0.41848750000000001</v>
      </c>
      <c r="AF6128">
        <v>0.40580950294336998</v>
      </c>
      <c r="AG6128">
        <v>0.20005000000000001</v>
      </c>
      <c r="AH6128">
        <v>3.0251637229851198</v>
      </c>
      <c r="AI6128">
        <v>86.250107513109199</v>
      </c>
      <c r="AJ6128">
        <v>82.359688920846494</v>
      </c>
      <c r="AK6128">
        <v>3.0588097204704199</v>
      </c>
      <c r="AL6128">
        <v>78.905405519757693</v>
      </c>
      <c r="AM6128">
        <v>92.871100738077104</v>
      </c>
      <c r="AN6128">
        <v>1.0000000702657901</v>
      </c>
    </row>
    <row r="6129" spans="1:40" x14ac:dyDescent="0.25">
      <c r="A6129" t="str">
        <f>"20190303162939564"</f>
        <v>20190303162939564</v>
      </c>
      <c r="B6129" t="str">
        <f>"1551601779557775"</f>
        <v>1551601779557775</v>
      </c>
      <c r="C6129" t="s">
        <v>40</v>
      </c>
      <c r="D6129">
        <v>5.3341820000000002</v>
      </c>
      <c r="E6129">
        <v>0.56925530000000002</v>
      </c>
      <c r="F6129" t="s">
        <v>45</v>
      </c>
      <c r="G6129">
        <v>0</v>
      </c>
      <c r="H6129">
        <v>0</v>
      </c>
      <c r="I6129">
        <v>0</v>
      </c>
      <c r="J6129">
        <v>-234.80860000000001</v>
      </c>
      <c r="K6129">
        <v>1.1205620000000001</v>
      </c>
      <c r="L6129">
        <v>-62.04025</v>
      </c>
      <c r="M6129">
        <v>0.99992420000000004</v>
      </c>
      <c r="N6129">
        <v>-1.1665389999999999E-2</v>
      </c>
      <c r="O6129">
        <v>-3.9543089999999996E-3</v>
      </c>
      <c r="P6129">
        <v>0.98238689999999995</v>
      </c>
      <c r="Q6129">
        <v>0.1812136</v>
      </c>
      <c r="R6129">
        <v>4.5579849999999998E-2</v>
      </c>
      <c r="S6129">
        <v>3.036743</v>
      </c>
      <c r="T6129">
        <v>0.19768830000000001</v>
      </c>
      <c r="U6129">
        <v>-0.4167786</v>
      </c>
      <c r="V6129">
        <v>-4.9162669999999999E-2</v>
      </c>
      <c r="W6129">
        <v>0.1927363</v>
      </c>
      <c r="X6129">
        <v>0.98001830000000001</v>
      </c>
      <c r="Y6129">
        <v>0.13183909999999999</v>
      </c>
      <c r="Z6129">
        <v>3.1917730000000002E-3</v>
      </c>
      <c r="AA6129">
        <v>0.99126599999999998</v>
      </c>
      <c r="AB6129">
        <v>32</v>
      </c>
      <c r="AC6129">
        <v>3.036743</v>
      </c>
      <c r="AD6129">
        <v>0.19768830000000001</v>
      </c>
      <c r="AE6129">
        <v>-0.4167786</v>
      </c>
      <c r="AF6129">
        <v>0.40308965179822098</v>
      </c>
      <c r="AG6129">
        <v>0.19768830000000001</v>
      </c>
      <c r="AH6129">
        <v>3.02578168941286</v>
      </c>
      <c r="AI6129">
        <v>86.294558195219693</v>
      </c>
      <c r="AJ6129">
        <v>82.411829570534806</v>
      </c>
      <c r="AK6129">
        <v>3.0589077729362599</v>
      </c>
      <c r="AL6129">
        <v>78.887485877834393</v>
      </c>
      <c r="AM6129">
        <v>92.871838407830296</v>
      </c>
      <c r="AN6129">
        <v>1.0000000588970499</v>
      </c>
    </row>
    <row r="6130" spans="1:40" x14ac:dyDescent="0.25">
      <c r="A6130" t="str">
        <f>"20190303162939575"</f>
        <v>20190303162939575</v>
      </c>
      <c r="B6130" t="str">
        <f>"1551601779568511"</f>
        <v>1551601779568511</v>
      </c>
      <c r="C6130" t="s">
        <v>40</v>
      </c>
      <c r="D6130">
        <v>5.3115439999999996</v>
      </c>
      <c r="E6130">
        <v>0.56904009999999905</v>
      </c>
      <c r="F6130" t="s">
        <v>45</v>
      </c>
      <c r="G6130">
        <v>0</v>
      </c>
      <c r="H6130">
        <v>0</v>
      </c>
      <c r="I6130">
        <v>0</v>
      </c>
      <c r="J6130">
        <v>-234.66120000000001</v>
      </c>
      <c r="K6130">
        <v>1.120565</v>
      </c>
      <c r="L6130">
        <v>-62.041139999999999</v>
      </c>
      <c r="M6130">
        <v>0.9999228</v>
      </c>
      <c r="N6130">
        <v>-1.1664580000000001E-2</v>
      </c>
      <c r="O6130">
        <v>-4.2908699999999996E-3</v>
      </c>
      <c r="P6130">
        <v>0.98236230000000002</v>
      </c>
      <c r="Q6130">
        <v>0.1814383</v>
      </c>
      <c r="R6130">
        <v>4.5220589999999998E-2</v>
      </c>
      <c r="S6130">
        <v>3.0368189999999999</v>
      </c>
      <c r="T6130">
        <v>0.19665589999999999</v>
      </c>
      <c r="U6130">
        <v>-0.41619869999999998</v>
      </c>
      <c r="V6130">
        <v>-4.9135249999999998E-2</v>
      </c>
      <c r="W6130">
        <v>0.19295909999999999</v>
      </c>
      <c r="X6130">
        <v>0.97997579999999995</v>
      </c>
      <c r="Y6130">
        <v>0.13132060000000001</v>
      </c>
      <c r="Z6130">
        <v>3.13167E-3</v>
      </c>
      <c r="AA6130">
        <v>0.99133499999999997</v>
      </c>
      <c r="AB6130">
        <v>32</v>
      </c>
      <c r="AC6130">
        <v>3.0368189999999999</v>
      </c>
      <c r="AD6130">
        <v>0.19665589999999999</v>
      </c>
      <c r="AE6130">
        <v>-0.41619869999999998</v>
      </c>
      <c r="AF6130">
        <v>0.40151069566728798</v>
      </c>
      <c r="AG6130">
        <v>0.19665589999999999</v>
      </c>
      <c r="AH6130">
        <v>3.0261209536746598</v>
      </c>
      <c r="AI6130">
        <v>86.314010258986301</v>
      </c>
      <c r="AJ6130">
        <v>82.442046734525903</v>
      </c>
      <c r="AK6130">
        <v>3.05896917408608</v>
      </c>
      <c r="AL6130">
        <v>78.874475819697494</v>
      </c>
      <c r="AM6130">
        <v>92.870363616662402</v>
      </c>
      <c r="AN6130">
        <v>1.0000000278254999</v>
      </c>
    </row>
    <row r="6131" spans="1:40" x14ac:dyDescent="0.25">
      <c r="A6131" t="str">
        <f>"20190303162939587"</f>
        <v>20190303162939587</v>
      </c>
      <c r="B6131" t="str">
        <f>"1551601779578272"</f>
        <v>1551601779578272</v>
      </c>
      <c r="C6131" t="s">
        <v>40</v>
      </c>
      <c r="D6131">
        <v>5.3450980000000001</v>
      </c>
      <c r="E6131">
        <v>0.56889919999999905</v>
      </c>
      <c r="F6131" t="s">
        <v>45</v>
      </c>
      <c r="G6131">
        <v>0</v>
      </c>
      <c r="H6131">
        <v>0</v>
      </c>
      <c r="I6131">
        <v>0</v>
      </c>
      <c r="J6131">
        <v>-234.50569999999999</v>
      </c>
      <c r="K6131">
        <v>1.120571</v>
      </c>
      <c r="L6131">
        <v>-62.042140000000003</v>
      </c>
      <c r="M6131">
        <v>0.99992130000000001</v>
      </c>
      <c r="N6131">
        <v>-1.166377E-2</v>
      </c>
      <c r="O6131">
        <v>-4.6449519999999999E-3</v>
      </c>
      <c r="P6131">
        <v>0.98234779999999999</v>
      </c>
      <c r="Q6131">
        <v>0.18161469999999999</v>
      </c>
      <c r="R6131">
        <v>4.4823399999999999E-2</v>
      </c>
      <c r="S6131">
        <v>3.037277</v>
      </c>
      <c r="T6131">
        <v>0.19353000000000001</v>
      </c>
      <c r="U6131">
        <v>-0.415802</v>
      </c>
      <c r="V6131">
        <v>-4.9087730000000003E-2</v>
      </c>
      <c r="W6131">
        <v>0.19313359999999999</v>
      </c>
      <c r="X6131">
        <v>0.97994380000000003</v>
      </c>
      <c r="Y6131">
        <v>0.13083159999999999</v>
      </c>
      <c r="Z6131">
        <v>3.0293640000000001E-3</v>
      </c>
      <c r="AA6131">
        <v>0.99139999999999995</v>
      </c>
      <c r="AB6131">
        <v>32</v>
      </c>
      <c r="AC6131">
        <v>3.037277</v>
      </c>
      <c r="AD6131">
        <v>0.19353000000000001</v>
      </c>
      <c r="AE6131">
        <v>-0.415802</v>
      </c>
      <c r="AF6131">
        <v>0.40009404476877097</v>
      </c>
      <c r="AG6131">
        <v>0.19353000000000001</v>
      </c>
      <c r="AH6131">
        <v>3.02711171601812</v>
      </c>
      <c r="AI6131">
        <v>86.373385774188606</v>
      </c>
      <c r="AJ6131">
        <v>82.470843589684506</v>
      </c>
      <c r="AK6131">
        <v>3.0595644210922499</v>
      </c>
      <c r="AL6131">
        <v>78.864285966292698</v>
      </c>
      <c r="AM6131">
        <v>92.867685732462107</v>
      </c>
      <c r="AN6131">
        <v>1.00000002192197</v>
      </c>
    </row>
    <row r="6132" spans="1:40" x14ac:dyDescent="0.25">
      <c r="A6132" t="str">
        <f>"20190303162939596"</f>
        <v>20190303162939596</v>
      </c>
      <c r="B6132" t="str">
        <f>"1551601779588031"</f>
        <v>1551601779588031</v>
      </c>
      <c r="C6132" t="s">
        <v>40</v>
      </c>
      <c r="D6132">
        <v>5.3206610000000003</v>
      </c>
      <c r="E6132">
        <v>0.56870849999999995</v>
      </c>
      <c r="F6132" t="s">
        <v>45</v>
      </c>
      <c r="G6132">
        <v>0</v>
      </c>
      <c r="H6132">
        <v>0</v>
      </c>
      <c r="I6132">
        <v>0</v>
      </c>
      <c r="J6132">
        <v>-234.34809999999999</v>
      </c>
      <c r="K6132">
        <v>1.1205750000000001</v>
      </c>
      <c r="L6132">
        <v>-62.0432699999999</v>
      </c>
      <c r="M6132">
        <v>0.99991969999999997</v>
      </c>
      <c r="N6132">
        <v>-1.1663049999999999E-2</v>
      </c>
      <c r="O6132">
        <v>-5.0003490000000003E-3</v>
      </c>
      <c r="P6132">
        <v>0.98227209999999998</v>
      </c>
      <c r="Q6132">
        <v>0.1820417</v>
      </c>
      <c r="R6132">
        <v>4.4751579999999999E-2</v>
      </c>
      <c r="S6132">
        <v>3.0375519999999998</v>
      </c>
      <c r="T6132">
        <v>0.19135630000000001</v>
      </c>
      <c r="U6132">
        <v>-0.41607670000000002</v>
      </c>
      <c r="V6132">
        <v>-4.936575E-2</v>
      </c>
      <c r="W6132">
        <v>0.1935588</v>
      </c>
      <c r="X6132">
        <v>0.97984590000000005</v>
      </c>
      <c r="Y6132">
        <v>0.1305616</v>
      </c>
      <c r="Z6132">
        <v>2.9526449999999998E-3</v>
      </c>
      <c r="AA6132">
        <v>0.99143579999999998</v>
      </c>
      <c r="AB6132">
        <v>32</v>
      </c>
      <c r="AC6132">
        <v>3.0375519999999998</v>
      </c>
      <c r="AD6132">
        <v>0.19135630000000001</v>
      </c>
      <c r="AE6132">
        <v>-0.41607670000000002</v>
      </c>
      <c r="AF6132">
        <v>0.39932606661190001</v>
      </c>
      <c r="AG6132">
        <v>0.19135630000000001</v>
      </c>
      <c r="AH6132">
        <v>3.0277998473404399</v>
      </c>
      <c r="AI6132">
        <v>86.4146936999704</v>
      </c>
      <c r="AJ6132">
        <v>82.486818828857494</v>
      </c>
      <c r="AK6132">
        <v>3.06000824452815</v>
      </c>
      <c r="AL6132">
        <v>78.839454866258095</v>
      </c>
      <c r="AM6132">
        <v>92.884187864069503</v>
      </c>
      <c r="AN6132">
        <v>0.999999987038656</v>
      </c>
    </row>
    <row r="6133" spans="1:40" x14ac:dyDescent="0.25">
      <c r="A6133" t="str">
        <f>"20190303162939609"</f>
        <v>20190303162939609</v>
      </c>
      <c r="B6133" t="str">
        <f>"1551601779597792"</f>
        <v>1551601779597792</v>
      </c>
      <c r="C6133" t="s">
        <v>40</v>
      </c>
      <c r="D6133">
        <v>5.3106839999999904</v>
      </c>
      <c r="E6133">
        <v>0.56857819999999903</v>
      </c>
      <c r="F6133" t="s">
        <v>45</v>
      </c>
      <c r="G6133">
        <v>0</v>
      </c>
      <c r="H6133">
        <v>0</v>
      </c>
      <c r="I6133">
        <v>0</v>
      </c>
      <c r="J6133">
        <v>-234.1902</v>
      </c>
      <c r="K6133">
        <v>1.120579</v>
      </c>
      <c r="L6133">
        <v>-62.044370000000001</v>
      </c>
      <c r="M6133">
        <v>0.99991759999999996</v>
      </c>
      <c r="N6133">
        <v>-1.16624E-2</v>
      </c>
      <c r="O6133">
        <v>-5.3541999999999999E-3</v>
      </c>
      <c r="P6133">
        <v>0.9822322</v>
      </c>
      <c r="Q6133">
        <v>0.18234159999999999</v>
      </c>
      <c r="R6133">
        <v>4.4399830000000001E-2</v>
      </c>
      <c r="S6133">
        <v>3.0377040000000002</v>
      </c>
      <c r="T6133">
        <v>0.19068370000000001</v>
      </c>
      <c r="U6133">
        <v>-0.41479490000000002</v>
      </c>
      <c r="V6133">
        <v>-4.9362789999999997E-2</v>
      </c>
      <c r="W6133">
        <v>0.1938568</v>
      </c>
      <c r="X6133">
        <v>0.97978719999999997</v>
      </c>
      <c r="Y6133">
        <v>0.1297971</v>
      </c>
      <c r="Z6133">
        <v>2.893821E-3</v>
      </c>
      <c r="AA6133">
        <v>0.99153639999999998</v>
      </c>
      <c r="AB6133">
        <v>32</v>
      </c>
      <c r="AC6133">
        <v>3.0377040000000002</v>
      </c>
      <c r="AD6133">
        <v>0.19068370000000001</v>
      </c>
      <c r="AE6133">
        <v>-0.41479490000000002</v>
      </c>
      <c r="AF6133">
        <v>0.39698772889919398</v>
      </c>
      <c r="AG6133">
        <v>0.19068370000000001</v>
      </c>
      <c r="AH6133">
        <v>3.0281678258665701</v>
      </c>
      <c r="AI6133">
        <v>86.427333021248799</v>
      </c>
      <c r="AJ6133">
        <v>82.531213044981996</v>
      </c>
      <c r="AK6133">
        <v>3.0600261292929698</v>
      </c>
      <c r="AL6133">
        <v>78.822051803068206</v>
      </c>
      <c r="AM6133">
        <v>92.884187710820498</v>
      </c>
      <c r="AN6133">
        <v>1.00000005061333</v>
      </c>
    </row>
    <row r="6134" spans="1:40" x14ac:dyDescent="0.25">
      <c r="A6134" t="str">
        <f>"20190303162939620"</f>
        <v>20190303162939620</v>
      </c>
      <c r="B6134" t="str">
        <f>"1551601779607551"</f>
        <v>1551601779607551</v>
      </c>
      <c r="C6134" t="s">
        <v>40</v>
      </c>
      <c r="D6134">
        <v>5.3108190000000004</v>
      </c>
      <c r="E6134">
        <v>0.56842130000000002</v>
      </c>
      <c r="F6134" t="s">
        <v>45</v>
      </c>
      <c r="G6134">
        <v>0</v>
      </c>
      <c r="H6134">
        <v>0</v>
      </c>
      <c r="I6134">
        <v>0</v>
      </c>
      <c r="J6134">
        <v>-234.0316</v>
      </c>
      <c r="K6134">
        <v>1.120582</v>
      </c>
      <c r="L6134">
        <v>-62.045560000000002</v>
      </c>
      <c r="M6134">
        <v>0.99991569999999996</v>
      </c>
      <c r="N6134">
        <v>-1.166184E-2</v>
      </c>
      <c r="O6134">
        <v>-5.7076990000000001E-3</v>
      </c>
      <c r="P6134">
        <v>0.98219069999999997</v>
      </c>
      <c r="Q6134">
        <v>0.18265100000000001</v>
      </c>
      <c r="R6134">
        <v>4.404657E-2</v>
      </c>
      <c r="S6134">
        <v>3.03775</v>
      </c>
      <c r="T6134">
        <v>0.18995049999999999</v>
      </c>
      <c r="U6134">
        <v>-0.41491699999999998</v>
      </c>
      <c r="V6134">
        <v>-4.9357850000000002E-2</v>
      </c>
      <c r="W6134">
        <v>0.19416459999999999</v>
      </c>
      <c r="X6134">
        <v>0.9797264</v>
      </c>
      <c r="Y6134">
        <v>0.12948680000000001</v>
      </c>
      <c r="Z6134">
        <v>2.8456279999999998E-3</v>
      </c>
      <c r="AA6134">
        <v>0.99157709999999999</v>
      </c>
      <c r="AB6134">
        <v>32</v>
      </c>
      <c r="AC6134">
        <v>3.03775</v>
      </c>
      <c r="AD6134">
        <v>0.18995049999999999</v>
      </c>
      <c r="AE6134">
        <v>-0.41491699999999998</v>
      </c>
      <c r="AF6134">
        <v>0.39605030242175698</v>
      </c>
      <c r="AG6134">
        <v>0.18995049999999999</v>
      </c>
      <c r="AH6134">
        <v>3.02844453762301</v>
      </c>
      <c r="AI6134">
        <v>86.441212382238504</v>
      </c>
      <c r="AJ6134">
        <v>82.549324225603399</v>
      </c>
      <c r="AK6134">
        <v>3.0601328977606901</v>
      </c>
      <c r="AL6134">
        <v>78.804073490238807</v>
      </c>
      <c r="AM6134">
        <v>92.884078229212804</v>
      </c>
      <c r="AN6134">
        <v>0.99999995405337005</v>
      </c>
    </row>
    <row r="6135" spans="1:40" x14ac:dyDescent="0.25">
      <c r="A6135" t="str">
        <f>"20190303162939631"</f>
        <v>20190303162939631</v>
      </c>
      <c r="B6135" t="str">
        <f>"1551601779628047"</f>
        <v>1551601779628047</v>
      </c>
      <c r="C6135" t="s">
        <v>40</v>
      </c>
      <c r="D6135">
        <v>5.3194509999999999</v>
      </c>
      <c r="E6135">
        <v>0.56807369999999902</v>
      </c>
      <c r="F6135" t="s">
        <v>45</v>
      </c>
      <c r="G6135">
        <v>0</v>
      </c>
      <c r="H6135">
        <v>0</v>
      </c>
      <c r="I6135">
        <v>0</v>
      </c>
      <c r="J6135">
        <v>-233.86429999999999</v>
      </c>
      <c r="K6135">
        <v>1.120587</v>
      </c>
      <c r="L6135">
        <v>-62.046909999999997</v>
      </c>
      <c r="M6135">
        <v>0.99991350000000001</v>
      </c>
      <c r="N6135">
        <v>-1.1661319999999999E-2</v>
      </c>
      <c r="O6135">
        <v>-6.0776529999999997E-3</v>
      </c>
      <c r="P6135">
        <v>0.98214520000000005</v>
      </c>
      <c r="Q6135">
        <v>0.18290970000000001</v>
      </c>
      <c r="R6135">
        <v>4.3987430000000001E-2</v>
      </c>
      <c r="S6135">
        <v>3.0378270000000001</v>
      </c>
      <c r="T6135">
        <v>0.1891794</v>
      </c>
      <c r="U6135">
        <v>-0.414856</v>
      </c>
      <c r="V6135">
        <v>-4.966313E-2</v>
      </c>
      <c r="W6135">
        <v>0.19442229999999999</v>
      </c>
      <c r="X6135">
        <v>0.97965990000000003</v>
      </c>
      <c r="Y6135">
        <v>0.1291003</v>
      </c>
      <c r="Z6135">
        <v>2.7938149999999998E-3</v>
      </c>
      <c r="AA6135">
        <v>0.99162760000000005</v>
      </c>
      <c r="AB6135">
        <v>32</v>
      </c>
      <c r="AC6135">
        <v>3.0378270000000001</v>
      </c>
      <c r="AD6135">
        <v>0.1891794</v>
      </c>
      <c r="AE6135">
        <v>-0.414856</v>
      </c>
      <c r="AF6135">
        <v>0.39488086278220702</v>
      </c>
      <c r="AG6135">
        <v>0.1891794</v>
      </c>
      <c r="AH6135">
        <v>3.02876154368905</v>
      </c>
      <c r="AI6135">
        <v>86.455810876357802</v>
      </c>
      <c r="AJ6135">
        <v>82.571847015673299</v>
      </c>
      <c r="AK6135">
        <v>3.0602477399232999</v>
      </c>
      <c r="AL6135">
        <v>78.789021919214306</v>
      </c>
      <c r="AM6135">
        <v>92.902082601532697</v>
      </c>
      <c r="AN6135">
        <v>0.99999998844334803</v>
      </c>
    </row>
    <row r="6136" spans="1:40" x14ac:dyDescent="0.25">
      <c r="A6136" t="str">
        <f>"20190303162939643"</f>
        <v>20190303162939643</v>
      </c>
      <c r="B6136" t="str">
        <f>"1551601779637807"</f>
        <v>1551601779637807</v>
      </c>
      <c r="C6136" t="s">
        <v>40</v>
      </c>
      <c r="D6136">
        <v>5.3323199999999904</v>
      </c>
      <c r="E6136">
        <v>0.56791659999999999</v>
      </c>
      <c r="F6136" t="s">
        <v>45</v>
      </c>
      <c r="G6136">
        <v>0</v>
      </c>
      <c r="H6136">
        <v>0</v>
      </c>
      <c r="I6136">
        <v>0</v>
      </c>
      <c r="J6136">
        <v>-233.69880000000001</v>
      </c>
      <c r="K6136">
        <v>1.120593</v>
      </c>
      <c r="L6136">
        <v>-62.048250000000003</v>
      </c>
      <c r="M6136">
        <v>0.99991140000000001</v>
      </c>
      <c r="N6136">
        <v>-1.166085E-2</v>
      </c>
      <c r="O6136">
        <v>-6.4426049999999997E-3</v>
      </c>
      <c r="P6136">
        <v>0.98214049999999997</v>
      </c>
      <c r="Q6136">
        <v>0.1828813</v>
      </c>
      <c r="R6136">
        <v>4.4210329999999999E-2</v>
      </c>
      <c r="S6136">
        <v>3.0385439999999999</v>
      </c>
      <c r="T6136">
        <v>0.18493039999999999</v>
      </c>
      <c r="U6136">
        <v>-0.41241460000000002</v>
      </c>
      <c r="V6136">
        <v>-5.024547E-2</v>
      </c>
      <c r="W6136">
        <v>0.19439329999999999</v>
      </c>
      <c r="X6136">
        <v>0.97963599999999995</v>
      </c>
      <c r="Y6136">
        <v>0.12793660000000001</v>
      </c>
      <c r="Z6136">
        <v>2.65738E-3</v>
      </c>
      <c r="AA6136">
        <v>0.99177879999999996</v>
      </c>
      <c r="AB6136">
        <v>32</v>
      </c>
      <c r="AC6136">
        <v>3.0385439999999999</v>
      </c>
      <c r="AD6136">
        <v>0.18493039999999999</v>
      </c>
      <c r="AE6136">
        <v>-0.41241460000000002</v>
      </c>
      <c r="AF6136">
        <v>0.39140498527446499</v>
      </c>
      <c r="AG6136">
        <v>0.18493039999999999</v>
      </c>
      <c r="AH6136">
        <v>3.0301172309145401</v>
      </c>
      <c r="AI6136">
        <v>86.536232639261598</v>
      </c>
      <c r="AJ6136">
        <v>82.639769785228097</v>
      </c>
      <c r="AK6136">
        <v>3.0608834588117002</v>
      </c>
      <c r="AL6136">
        <v>78.790716257565293</v>
      </c>
      <c r="AM6136">
        <v>92.936124153994598</v>
      </c>
      <c r="AN6136">
        <v>1.0000000274181999</v>
      </c>
    </row>
    <row r="6137" spans="1:40" x14ac:dyDescent="0.25">
      <c r="A6137" t="str">
        <f>"20190303162939654"</f>
        <v>20190303162939654</v>
      </c>
      <c r="B6137" t="str">
        <f>"1551601779647567"</f>
        <v>1551601779647567</v>
      </c>
      <c r="C6137" t="s">
        <v>40</v>
      </c>
      <c r="D6137">
        <v>5.3431550000000003</v>
      </c>
      <c r="E6137">
        <v>0.56786590000000003</v>
      </c>
      <c r="F6137" t="s">
        <v>45</v>
      </c>
      <c r="G6137">
        <v>0</v>
      </c>
      <c r="H6137">
        <v>0</v>
      </c>
      <c r="I6137">
        <v>0</v>
      </c>
      <c r="J6137">
        <v>-233.54480000000001</v>
      </c>
      <c r="K6137">
        <v>1.1205959999999999</v>
      </c>
      <c r="L6137">
        <v>-62.049590000000002</v>
      </c>
      <c r="M6137">
        <v>0.99990900000000005</v>
      </c>
      <c r="N6137">
        <v>-1.1660530000000001E-2</v>
      </c>
      <c r="O6137">
        <v>-6.7785989999999997E-3</v>
      </c>
      <c r="P6137">
        <v>0.98210169999999997</v>
      </c>
      <c r="Q6137">
        <v>0.18301229999999999</v>
      </c>
      <c r="R6137">
        <v>4.453054E-2</v>
      </c>
      <c r="S6137">
        <v>3.0389400000000002</v>
      </c>
      <c r="T6137">
        <v>0.1832039</v>
      </c>
      <c r="U6137">
        <v>-0.41073609999999999</v>
      </c>
      <c r="V6137">
        <v>-5.0897159999999997E-2</v>
      </c>
      <c r="W6137">
        <v>0.1945239</v>
      </c>
      <c r="X6137">
        <v>0.97957640000000001</v>
      </c>
      <c r="Y6137">
        <v>0.1270539</v>
      </c>
      <c r="Z6137">
        <v>2.579343E-3</v>
      </c>
      <c r="AA6137">
        <v>0.99189249999999995</v>
      </c>
      <c r="AB6137">
        <v>32</v>
      </c>
      <c r="AC6137">
        <v>3.0389400000000002</v>
      </c>
      <c r="AD6137">
        <v>0.1832039</v>
      </c>
      <c r="AE6137">
        <v>-0.41073609999999999</v>
      </c>
      <c r="AF6137">
        <v>0.38873804560983399</v>
      </c>
      <c r="AG6137">
        <v>0.1832039</v>
      </c>
      <c r="AH6137">
        <v>3.0308371019863198</v>
      </c>
      <c r="AI6137">
        <v>86.5689109945653</v>
      </c>
      <c r="AJ6137">
        <v>82.691093862591799</v>
      </c>
      <c r="AK6137">
        <v>3.0611524751074701</v>
      </c>
      <c r="AL6137">
        <v>78.783087450430699</v>
      </c>
      <c r="AM6137">
        <v>92.974318744931495</v>
      </c>
      <c r="AN6137">
        <v>0.99999999600211698</v>
      </c>
    </row>
    <row r="6138" spans="1:40" x14ac:dyDescent="0.25">
      <c r="A6138" t="str">
        <f>"20190303162939665"</f>
        <v>20190303162939665</v>
      </c>
      <c r="B6138" t="str">
        <f>"1551601779658304"</f>
        <v>1551601779658304</v>
      </c>
      <c r="C6138" t="s">
        <v>40</v>
      </c>
      <c r="D6138">
        <v>5.2878569999999998</v>
      </c>
      <c r="E6138">
        <v>0.56784109999999999</v>
      </c>
      <c r="F6138" t="s">
        <v>45</v>
      </c>
      <c r="G6138">
        <v>0</v>
      </c>
      <c r="H6138">
        <v>0</v>
      </c>
      <c r="I6138">
        <v>0</v>
      </c>
      <c r="J6138">
        <v>-233.3965</v>
      </c>
      <c r="K6138">
        <v>1.120598</v>
      </c>
      <c r="L6138">
        <v>-62.050870000000003</v>
      </c>
      <c r="M6138">
        <v>0.99990699999999999</v>
      </c>
      <c r="N6138">
        <v>-1.1660240000000001E-2</v>
      </c>
      <c r="O6138">
        <v>-7.1014819999999897E-3</v>
      </c>
      <c r="P6138">
        <v>0.98204009999999997</v>
      </c>
      <c r="Q6138">
        <v>0.18327589999999999</v>
      </c>
      <c r="R6138">
        <v>4.4804789999999997E-2</v>
      </c>
      <c r="S6138">
        <v>3.039291</v>
      </c>
      <c r="T6138">
        <v>0.1822397</v>
      </c>
      <c r="U6138">
        <v>-0.40951539999999997</v>
      </c>
      <c r="V6138">
        <v>-5.1488560000000003E-2</v>
      </c>
      <c r="W6138">
        <v>0.19478719999999999</v>
      </c>
      <c r="X6138">
        <v>0.97949319999999895</v>
      </c>
      <c r="Y6138">
        <v>0.126331</v>
      </c>
      <c r="Z6138">
        <v>2.5208959999999999E-3</v>
      </c>
      <c r="AA6138">
        <v>0.99198500000000001</v>
      </c>
      <c r="AB6138">
        <v>32</v>
      </c>
      <c r="AC6138">
        <v>3.039291</v>
      </c>
      <c r="AD6138">
        <v>0.1822397</v>
      </c>
      <c r="AE6138">
        <v>-0.40951539999999997</v>
      </c>
      <c r="AF6138">
        <v>0.386555119111612</v>
      </c>
      <c r="AG6138">
        <v>0.1822397</v>
      </c>
      <c r="AH6138">
        <v>3.03141804295828</v>
      </c>
      <c r="AI6138">
        <v>86.587259495496497</v>
      </c>
      <c r="AJ6138">
        <v>82.733074311435701</v>
      </c>
      <c r="AK6138">
        <v>3.0613937217451301</v>
      </c>
      <c r="AL6138">
        <v>78.767707626732999</v>
      </c>
      <c r="AM6138">
        <v>93.009070833865906</v>
      </c>
      <c r="AN6138">
        <v>1.0000000269704701</v>
      </c>
    </row>
    <row r="6139" spans="1:40" x14ac:dyDescent="0.25">
      <c r="A6139" t="str">
        <f>"20190303162939674"</f>
        <v>20190303162939674</v>
      </c>
      <c r="B6139" t="str">
        <f>"1551601779668063"</f>
        <v>1551601779668063</v>
      </c>
      <c r="C6139" t="s">
        <v>40</v>
      </c>
      <c r="D6139">
        <v>5.3025330000000004</v>
      </c>
      <c r="E6139">
        <v>0.56772400000000001</v>
      </c>
      <c r="F6139" t="s">
        <v>45</v>
      </c>
      <c r="G6139">
        <v>0</v>
      </c>
      <c r="H6139">
        <v>0</v>
      </c>
      <c r="I6139">
        <v>0</v>
      </c>
      <c r="J6139">
        <v>-233.24039999999999</v>
      </c>
      <c r="K6139">
        <v>1.120601</v>
      </c>
      <c r="L6139">
        <v>-62.052370000000003</v>
      </c>
      <c r="M6139">
        <v>0.99990429999999997</v>
      </c>
      <c r="N6139">
        <v>-1.166E-2</v>
      </c>
      <c r="O6139">
        <v>-7.4396269999999999E-3</v>
      </c>
      <c r="P6139">
        <v>0.98206309999999997</v>
      </c>
      <c r="Q6139">
        <v>0.18308650000000001</v>
      </c>
      <c r="R6139">
        <v>4.506889E-2</v>
      </c>
      <c r="S6139">
        <v>3.0393829999999999</v>
      </c>
      <c r="T6139">
        <v>0.1827781</v>
      </c>
      <c r="U6139">
        <v>-0.40872190000000003</v>
      </c>
      <c r="V6139">
        <v>-5.208604E-2</v>
      </c>
      <c r="W6139">
        <v>0.1945982</v>
      </c>
      <c r="X6139">
        <v>0.97949920000000001</v>
      </c>
      <c r="Y6139">
        <v>0.12573779999999901</v>
      </c>
      <c r="Z6139">
        <v>2.492335E-3</v>
      </c>
      <c r="AA6139">
        <v>0.99206039999999995</v>
      </c>
      <c r="AB6139">
        <v>32</v>
      </c>
      <c r="AC6139">
        <v>3.0393829999999999</v>
      </c>
      <c r="AD6139">
        <v>0.1827781</v>
      </c>
      <c r="AE6139">
        <v>-0.40872190000000003</v>
      </c>
      <c r="AF6139">
        <v>0.38473054409304602</v>
      </c>
      <c r="AG6139">
        <v>0.1827781</v>
      </c>
      <c r="AH6139">
        <v>3.03157115790381</v>
      </c>
      <c r="AI6139">
        <v>86.577113436922403</v>
      </c>
      <c r="AJ6139">
        <v>82.767372197237094</v>
      </c>
      <c r="AK6139">
        <v>3.0613475971917898</v>
      </c>
      <c r="AL6139">
        <v>78.778748039468098</v>
      </c>
      <c r="AM6139">
        <v>93.043904586544798</v>
      </c>
      <c r="AN6139">
        <v>1.00000004890337</v>
      </c>
    </row>
    <row r="6140" spans="1:40" x14ac:dyDescent="0.25">
      <c r="A6140" t="str">
        <f>"20190303162939686"</f>
        <v>20190303162939686</v>
      </c>
      <c r="B6140" t="str">
        <f>"1551601779677824"</f>
        <v>1551601779677824</v>
      </c>
      <c r="C6140" t="s">
        <v>40</v>
      </c>
      <c r="D6140">
        <v>5.1836679999999999</v>
      </c>
      <c r="E6140">
        <v>0.56772400000000001</v>
      </c>
      <c r="F6140" t="s">
        <v>45</v>
      </c>
      <c r="G6140">
        <v>0</v>
      </c>
      <c r="H6140">
        <v>0</v>
      </c>
      <c r="I6140">
        <v>0</v>
      </c>
      <c r="J6140">
        <v>-233.08449999999999</v>
      </c>
      <c r="K6140">
        <v>1.1206020000000001</v>
      </c>
      <c r="L6140">
        <v>-62.053829999999998</v>
      </c>
      <c r="M6140">
        <v>0.99990190000000001</v>
      </c>
      <c r="N6140">
        <v>-1.165977E-2</v>
      </c>
      <c r="O6140">
        <v>-7.7764619999999996E-3</v>
      </c>
      <c r="P6140">
        <v>0.98204639999999999</v>
      </c>
      <c r="Q6140">
        <v>0.1830503</v>
      </c>
      <c r="R6140">
        <v>4.5584100000000002E-2</v>
      </c>
      <c r="S6140">
        <v>3.0393520000000001</v>
      </c>
      <c r="T6140">
        <v>0.1830281</v>
      </c>
      <c r="U6140">
        <v>-0.40716550000000001</v>
      </c>
      <c r="V6140">
        <v>-5.2932729999999997E-2</v>
      </c>
      <c r="W6140">
        <v>0.19456219999999999</v>
      </c>
      <c r="X6140">
        <v>0.97946089999999997</v>
      </c>
      <c r="Y6140">
        <v>0.1249074</v>
      </c>
      <c r="Z6140">
        <v>2.4529619999999999E-3</v>
      </c>
      <c r="AA6140">
        <v>0.99216539999999998</v>
      </c>
      <c r="AB6140">
        <v>32</v>
      </c>
      <c r="AC6140">
        <v>3.0393520000000001</v>
      </c>
      <c r="AD6140">
        <v>0.1830281</v>
      </c>
      <c r="AE6140">
        <v>-0.40716550000000001</v>
      </c>
      <c r="AF6140">
        <v>0.38215477079035698</v>
      </c>
      <c r="AG6140">
        <v>0.1830281</v>
      </c>
      <c r="AH6140">
        <v>3.0316265947645702</v>
      </c>
      <c r="AI6140">
        <v>86.572142693820695</v>
      </c>
      <c r="AJ6140">
        <v>82.815417000025903</v>
      </c>
      <c r="AK6140">
        <v>3.06109479832155</v>
      </c>
      <c r="AL6140">
        <v>78.780850200194195</v>
      </c>
      <c r="AM6140">
        <v>93.093410488733994</v>
      </c>
      <c r="AN6140">
        <v>0.99999998910145105</v>
      </c>
    </row>
    <row r="6141" spans="1:40" x14ac:dyDescent="0.25">
      <c r="A6141" t="str">
        <f>"20190303162939697"</f>
        <v>20190303162939697</v>
      </c>
      <c r="B6141" t="str">
        <f>"1551601779687584"</f>
        <v>1551601779687584</v>
      </c>
      <c r="C6141" t="s">
        <v>40</v>
      </c>
      <c r="D6141">
        <v>5.0568629999999999</v>
      </c>
      <c r="E6141">
        <v>0.56695289999999998</v>
      </c>
      <c r="F6141" t="s">
        <v>45</v>
      </c>
      <c r="G6141">
        <v>0</v>
      </c>
      <c r="H6141">
        <v>0</v>
      </c>
      <c r="I6141">
        <v>0</v>
      </c>
      <c r="J6141">
        <v>-232.92789999999999</v>
      </c>
      <c r="K6141">
        <v>1.1206039999999999</v>
      </c>
      <c r="L6141">
        <v>-62.055390000000003</v>
      </c>
      <c r="M6141">
        <v>0.99989930000000005</v>
      </c>
      <c r="N6141">
        <v>-1.1659569999999999E-2</v>
      </c>
      <c r="O6141">
        <v>-8.1138979999999996E-3</v>
      </c>
      <c r="P6141">
        <v>0.98197020000000002</v>
      </c>
      <c r="Q6141">
        <v>0.1834104</v>
      </c>
      <c r="R6141">
        <v>4.577693E-2</v>
      </c>
      <c r="S6141">
        <v>3.0395660000000002</v>
      </c>
      <c r="T6141">
        <v>0.1830407</v>
      </c>
      <c r="U6141">
        <v>-0.40563959999999999</v>
      </c>
      <c r="V6141">
        <v>-5.3457049999999999E-2</v>
      </c>
      <c r="W6141">
        <v>0.19492190000000001</v>
      </c>
      <c r="X6141">
        <v>0.97936089999999998</v>
      </c>
      <c r="Y6141">
        <v>0.12407609999999999</v>
      </c>
      <c r="Z6141">
        <v>2.4089559999999999E-3</v>
      </c>
      <c r="AA6141">
        <v>0.99226979999999998</v>
      </c>
      <c r="AB6141">
        <v>32</v>
      </c>
      <c r="AC6141">
        <v>3.0395660000000002</v>
      </c>
      <c r="AD6141">
        <v>0.1830407</v>
      </c>
      <c r="AE6141">
        <v>-0.40563959999999999</v>
      </c>
      <c r="AF6141">
        <v>0.37960932889329002</v>
      </c>
      <c r="AG6141">
        <v>0.1830407</v>
      </c>
      <c r="AH6141">
        <v>3.0319548704039501</v>
      </c>
      <c r="AI6141">
        <v>86.571916708136499</v>
      </c>
      <c r="AJ6141">
        <v>82.863541447648004</v>
      </c>
      <c r="AK6141">
        <v>3.0611039637042001</v>
      </c>
      <c r="AL6141">
        <v>78.759838616760305</v>
      </c>
      <c r="AM6141">
        <v>93.124309919972802</v>
      </c>
      <c r="AN6141">
        <v>0.99999998787156097</v>
      </c>
    </row>
    <row r="6142" spans="1:40" x14ac:dyDescent="0.25">
      <c r="A6142" t="str">
        <f>"20190303162939710"</f>
        <v>20190303162939710</v>
      </c>
      <c r="B6142" t="str">
        <f>"1551601779698320"</f>
        <v>1551601779698320</v>
      </c>
      <c r="C6142" t="s">
        <v>40</v>
      </c>
      <c r="D6142">
        <v>4.9686899999999996</v>
      </c>
      <c r="E6142">
        <v>0.56491969999999903</v>
      </c>
      <c r="F6142" t="s">
        <v>45</v>
      </c>
      <c r="G6142">
        <v>0</v>
      </c>
      <c r="H6142">
        <v>0</v>
      </c>
      <c r="I6142">
        <v>0</v>
      </c>
      <c r="J6142">
        <v>-232.7621</v>
      </c>
      <c r="K6142">
        <v>1.120609</v>
      </c>
      <c r="L6142">
        <v>-62.057070000000003</v>
      </c>
      <c r="M6142">
        <v>0.99989629999999996</v>
      </c>
      <c r="N6142">
        <v>-1.165945E-2</v>
      </c>
      <c r="O6142">
        <v>-8.4706490000000002E-3</v>
      </c>
      <c r="P6142">
        <v>0.9818981</v>
      </c>
      <c r="Q6142">
        <v>0.18370159999999999</v>
      </c>
      <c r="R6142">
        <v>4.6151089999999999E-2</v>
      </c>
      <c r="S6142">
        <v>3.0354920000000001</v>
      </c>
      <c r="T6142">
        <v>0.20437620000000001</v>
      </c>
      <c r="U6142">
        <v>-0.39877319999999999</v>
      </c>
      <c r="V6142">
        <v>-5.418096E-2</v>
      </c>
      <c r="W6142">
        <v>0.19521230000000001</v>
      </c>
      <c r="X6142">
        <v>0.97926329999999995</v>
      </c>
      <c r="Y6142">
        <v>0.1216501</v>
      </c>
      <c r="Z6142">
        <v>2.6949270000000002E-3</v>
      </c>
      <c r="AA6142">
        <v>0.99256940000000005</v>
      </c>
      <c r="AB6142">
        <v>32</v>
      </c>
      <c r="AC6142">
        <v>3.0354920000000001</v>
      </c>
      <c r="AD6142">
        <v>0.20437620000000001</v>
      </c>
      <c r="AE6142">
        <v>-0.39877319999999999</v>
      </c>
      <c r="AF6142">
        <v>0.371389548890668</v>
      </c>
      <c r="AG6142">
        <v>0.20437620000000001</v>
      </c>
      <c r="AH6142">
        <v>3.0252797223230599</v>
      </c>
      <c r="AI6142">
        <v>86.163901946845101</v>
      </c>
      <c r="AJ6142">
        <v>83.001270471320595</v>
      </c>
      <c r="AK6142">
        <v>3.0548350571595</v>
      </c>
      <c r="AL6142">
        <v>78.742874335663402</v>
      </c>
      <c r="AM6142">
        <v>93.166848440740907</v>
      </c>
      <c r="AN6142">
        <v>1.00000001461235</v>
      </c>
    </row>
    <row r="6143" spans="1:40" x14ac:dyDescent="0.25">
      <c r="A6143" t="str">
        <f>"20190303162939721"</f>
        <v>20190303162939721</v>
      </c>
      <c r="B6143" t="str">
        <f>"1551601779708080"</f>
        <v>1551601779708080</v>
      </c>
      <c r="C6143" t="s">
        <v>40</v>
      </c>
      <c r="D6143">
        <v>5.2297070000000003</v>
      </c>
      <c r="E6143">
        <v>0.56491969999999903</v>
      </c>
      <c r="F6143" t="s">
        <v>45</v>
      </c>
      <c r="G6143">
        <v>0</v>
      </c>
      <c r="H6143">
        <v>0</v>
      </c>
      <c r="I6143">
        <v>0</v>
      </c>
      <c r="J6143">
        <v>-232.59719999999999</v>
      </c>
      <c r="K6143">
        <v>1.1206119999999999</v>
      </c>
      <c r="L6143">
        <v>-62.058810000000001</v>
      </c>
      <c r="M6143">
        <v>0.99989320000000004</v>
      </c>
      <c r="N6143">
        <v>-1.165941E-2</v>
      </c>
      <c r="O6143">
        <v>-8.8247819999999998E-3</v>
      </c>
      <c r="P6143">
        <v>0.98181499999999999</v>
      </c>
      <c r="Q6143">
        <v>0.18402679999999999</v>
      </c>
      <c r="R6143">
        <v>4.6622219999999999E-2</v>
      </c>
      <c r="S6143">
        <v>3.0349430000000002</v>
      </c>
      <c r="T6143">
        <v>0.20469760000000001</v>
      </c>
      <c r="U6143">
        <v>-0.3813782</v>
      </c>
      <c r="V6143">
        <v>-5.4999609999999997E-2</v>
      </c>
      <c r="W6143">
        <v>0.19553690000000001</v>
      </c>
      <c r="X6143">
        <v>0.97915289999999999</v>
      </c>
      <c r="Y6143">
        <v>0.115734199999999</v>
      </c>
      <c r="Z6143">
        <v>2.510834E-3</v>
      </c>
      <c r="AA6143">
        <v>0.99327710000000002</v>
      </c>
      <c r="AB6143">
        <v>32</v>
      </c>
      <c r="AC6143">
        <v>3.0349430000000002</v>
      </c>
      <c r="AD6143">
        <v>0.20469760000000001</v>
      </c>
      <c r="AE6143">
        <v>-0.3813782</v>
      </c>
      <c r="AF6143">
        <v>0.35299796376946802</v>
      </c>
      <c r="AG6143">
        <v>0.20469760000000001</v>
      </c>
      <c r="AH6143">
        <v>3.0246451313712202</v>
      </c>
      <c r="AI6143">
        <v>86.154344360366196</v>
      </c>
      <c r="AJ6143">
        <v>83.343281902197205</v>
      </c>
      <c r="AK6143">
        <v>3.0520463365746502</v>
      </c>
      <c r="AL6143">
        <v>78.723910720968902</v>
      </c>
      <c r="AM6143">
        <v>93.214960180649499</v>
      </c>
      <c r="AN6143">
        <v>1.00000001897008</v>
      </c>
    </row>
    <row r="6144" spans="1:40" x14ac:dyDescent="0.25">
      <c r="A6144" t="str">
        <f>"20190303162939733"</f>
        <v>20190303162939733</v>
      </c>
      <c r="B6144" t="str">
        <f>"1551601779727599"</f>
        <v>1551601779727599</v>
      </c>
      <c r="C6144" t="s">
        <v>40</v>
      </c>
      <c r="D6144">
        <v>5.1571740000000004</v>
      </c>
      <c r="E6144">
        <v>0.49284119999999998</v>
      </c>
      <c r="F6144" t="s">
        <v>45</v>
      </c>
      <c r="G6144">
        <v>0</v>
      </c>
      <c r="H6144">
        <v>0</v>
      </c>
      <c r="I6144">
        <v>0</v>
      </c>
      <c r="J6144">
        <v>-232.43790000000001</v>
      </c>
      <c r="K6144">
        <v>1.1206160000000001</v>
      </c>
      <c r="L6144">
        <v>-62.060580000000002</v>
      </c>
      <c r="M6144">
        <v>0.99988999999999995</v>
      </c>
      <c r="N6144">
        <v>-1.16594E-2</v>
      </c>
      <c r="O6144">
        <v>-9.1664050000000007E-3</v>
      </c>
      <c r="P6144">
        <v>0.98179910000000004</v>
      </c>
      <c r="Q6144">
        <v>0.18411040000000001</v>
      </c>
      <c r="R6144">
        <v>4.6628929999999999E-2</v>
      </c>
      <c r="S6144">
        <v>3.0350649999999999</v>
      </c>
      <c r="T6144">
        <v>0.20564560000000001</v>
      </c>
      <c r="U6144">
        <v>-0.37988280000000002</v>
      </c>
      <c r="V6144">
        <v>-5.5341830000000002E-2</v>
      </c>
      <c r="W6144">
        <v>0.1956205</v>
      </c>
      <c r="X6144">
        <v>0.97911689999999996</v>
      </c>
      <c r="Y6144">
        <v>0.1149086</v>
      </c>
      <c r="Z6144">
        <v>2.4760429999999998E-3</v>
      </c>
      <c r="AA6144">
        <v>0.99337299999999995</v>
      </c>
      <c r="AB6144">
        <v>32</v>
      </c>
      <c r="AC6144">
        <v>3.0350649999999999</v>
      </c>
      <c r="AD6144">
        <v>0.20564560000000001</v>
      </c>
      <c r="AE6144">
        <v>-0.37988280000000002</v>
      </c>
      <c r="AF6144">
        <v>0.350460182570417</v>
      </c>
      <c r="AG6144">
        <v>0.20564560000000001</v>
      </c>
      <c r="AH6144">
        <v>3.0247475870956402</v>
      </c>
      <c r="AI6144">
        <v>86.136346026374198</v>
      </c>
      <c r="AJ6144">
        <v>83.390935508621197</v>
      </c>
      <c r="AK6144">
        <v>3.0519191368723302</v>
      </c>
      <c r="AL6144">
        <v>78.719026264083595</v>
      </c>
      <c r="AM6144">
        <v>93.235040723626696</v>
      </c>
      <c r="AN6144">
        <v>1.0000000010168</v>
      </c>
    </row>
    <row r="6145" spans="1:40" x14ac:dyDescent="0.25">
      <c r="A6145" t="str">
        <f>"20190303162939744"</f>
        <v>20190303162939744</v>
      </c>
      <c r="B6145" t="str">
        <f>"1551601779738335"</f>
        <v>1551601779738335</v>
      </c>
      <c r="C6145" t="s">
        <v>40</v>
      </c>
      <c r="D6145">
        <v>4.9514129999999996</v>
      </c>
      <c r="E6145">
        <v>0.49164140000000001</v>
      </c>
      <c r="F6145" t="s">
        <v>57</v>
      </c>
      <c r="G6145">
        <v>-179.95769999999999</v>
      </c>
      <c r="H6145">
        <v>3.8393690000000001E-2</v>
      </c>
      <c r="I6145">
        <v>-58.761940000000003</v>
      </c>
      <c r="J6145">
        <v>-232.2773</v>
      </c>
      <c r="K6145">
        <v>1.120617</v>
      </c>
      <c r="L6145">
        <v>-62.062350000000002</v>
      </c>
      <c r="M6145">
        <v>0.99988690000000002</v>
      </c>
      <c r="N6145">
        <v>-1.16594E-2</v>
      </c>
      <c r="O6145">
        <v>-9.5108910000000005E-3</v>
      </c>
      <c r="P6145">
        <v>0.98178860000000001</v>
      </c>
      <c r="Q6145">
        <v>0.18410190000000001</v>
      </c>
      <c r="R6145">
        <v>4.688084E-2</v>
      </c>
      <c r="S6145">
        <v>3.058319</v>
      </c>
      <c r="T6145">
        <v>-6.3067200000000004E-2</v>
      </c>
      <c r="U6145">
        <v>0.19223019999999999</v>
      </c>
      <c r="V6145">
        <v>-5.5932519999999999E-2</v>
      </c>
      <c r="W6145">
        <v>0.1956126</v>
      </c>
      <c r="X6145">
        <v>0.97908490000000004</v>
      </c>
      <c r="Y6145">
        <v>-7.2196700000000003E-2</v>
      </c>
      <c r="Z6145">
        <v>1.2501280000000001E-3</v>
      </c>
      <c r="AA6145">
        <v>0.99738959999999999</v>
      </c>
      <c r="AB6145">
        <v>32</v>
      </c>
      <c r="AC6145">
        <v>52.319600000000001</v>
      </c>
      <c r="AD6145">
        <v>-1.08222331</v>
      </c>
      <c r="AE6145">
        <v>3.3004099999999901</v>
      </c>
      <c r="AF6145">
        <v>-3.7962826382338801</v>
      </c>
      <c r="AG6145">
        <v>-1.08222331</v>
      </c>
      <c r="AH6145">
        <v>52.263568290099201</v>
      </c>
      <c r="AI6145">
        <v>91.183139704651694</v>
      </c>
      <c r="AJ6145">
        <v>94.154512307490606</v>
      </c>
      <c r="AK6145">
        <v>52.4124368788166</v>
      </c>
      <c r="AL6145">
        <v>78.719487677441094</v>
      </c>
      <c r="AM6145">
        <v>93.269601984230604</v>
      </c>
      <c r="AN6145">
        <v>0.99999998874016005</v>
      </c>
    </row>
    <row r="6146" spans="1:40" x14ac:dyDescent="0.25">
      <c r="A6146" t="str">
        <f>"20190303162939754"</f>
        <v>20190303162939754</v>
      </c>
      <c r="B6146" t="str">
        <f>"1551601779748096"</f>
        <v>1551601779748096</v>
      </c>
      <c r="C6146" t="s">
        <v>40</v>
      </c>
      <c r="D6146">
        <v>4.9113089999999904</v>
      </c>
      <c r="E6146">
        <v>0.49275799999999997</v>
      </c>
      <c r="F6146" t="s">
        <v>57</v>
      </c>
      <c r="G6146">
        <v>-189.0582</v>
      </c>
      <c r="H6146" s="1">
        <v>-1.271125E-5</v>
      </c>
      <c r="I6146">
        <v>-59.207610000000003</v>
      </c>
      <c r="J6146">
        <v>-232.1138</v>
      </c>
      <c r="K6146">
        <v>1.120619</v>
      </c>
      <c r="L6146">
        <v>-62.064269999999901</v>
      </c>
      <c r="M6146">
        <v>0.99988350000000004</v>
      </c>
      <c r="N6146">
        <v>-1.165945E-2</v>
      </c>
      <c r="O6146">
        <v>-9.8609869999999999E-3</v>
      </c>
      <c r="P6146">
        <v>0.98178750000000004</v>
      </c>
      <c r="Q6146">
        <v>0.18399170000000001</v>
      </c>
      <c r="R6146">
        <v>4.7334759999999997E-2</v>
      </c>
      <c r="S6146">
        <v>3.060867</v>
      </c>
      <c r="T6146">
        <v>-7.9365489999999997E-2</v>
      </c>
      <c r="U6146">
        <v>0.202179</v>
      </c>
      <c r="V6146">
        <v>-5.6729759999999997E-2</v>
      </c>
      <c r="W6146">
        <v>0.19550319999999999</v>
      </c>
      <c r="X6146">
        <v>0.97906090000000001</v>
      </c>
      <c r="Y6146">
        <v>-7.5708460000000005E-2</v>
      </c>
      <c r="Z6146">
        <v>1.5628040000000001E-3</v>
      </c>
      <c r="AA6146">
        <v>0.99712880000000004</v>
      </c>
      <c r="AB6146">
        <v>32</v>
      </c>
      <c r="AC6146">
        <v>43.055599999999998</v>
      </c>
      <c r="AD6146">
        <v>-1.1206317112499999</v>
      </c>
      <c r="AE6146">
        <v>2.85665999999999</v>
      </c>
      <c r="AF6146">
        <v>-3.2789091133744801</v>
      </c>
      <c r="AG6146">
        <v>-1.1206317112499999</v>
      </c>
      <c r="AH6146">
        <v>42.996335432242397</v>
      </c>
      <c r="AI6146">
        <v>91.488665653965199</v>
      </c>
      <c r="AJ6146">
        <v>94.360946774100995</v>
      </c>
      <c r="AK6146">
        <v>43.135738326913199</v>
      </c>
      <c r="AL6146">
        <v>78.725879444785605</v>
      </c>
      <c r="AM6146">
        <v>93.316183428565793</v>
      </c>
      <c r="AN6146">
        <v>1.0000000063943499</v>
      </c>
    </row>
    <row r="6147" spans="1:40" x14ac:dyDescent="0.25">
      <c r="A6147" t="str">
        <f>"20190303162939765"</f>
        <v>20190303162939765</v>
      </c>
      <c r="B6147" t="str">
        <f>"1551601779757855"</f>
        <v>1551601779757855</v>
      </c>
      <c r="C6147" t="s">
        <v>40</v>
      </c>
      <c r="D6147">
        <v>4.8957990000000002</v>
      </c>
      <c r="E6147">
        <v>0.49279390000000001</v>
      </c>
      <c r="F6147" t="s">
        <v>57</v>
      </c>
      <c r="G6147">
        <v>-191.34309999999999</v>
      </c>
      <c r="H6147" s="1">
        <v>-6.6369930000000002E-6</v>
      </c>
      <c r="I6147">
        <v>-59.474670000000003</v>
      </c>
      <c r="J6147">
        <v>-231.9709</v>
      </c>
      <c r="K6147">
        <v>1.1206199999999999</v>
      </c>
      <c r="L6147">
        <v>-62.065980000000003</v>
      </c>
      <c r="M6147">
        <v>0.9998804</v>
      </c>
      <c r="N6147">
        <v>-1.16595E-2</v>
      </c>
      <c r="O6147">
        <v>-1.016734E-2</v>
      </c>
      <c r="P6147">
        <v>0.98184579999999999</v>
      </c>
      <c r="Q6147">
        <v>0.18366209999999999</v>
      </c>
      <c r="R6147">
        <v>4.7405540000000003E-2</v>
      </c>
      <c r="S6147">
        <v>3.0620419999999999</v>
      </c>
      <c r="T6147">
        <v>-8.4163429999999997E-2</v>
      </c>
      <c r="U6147">
        <v>0.19448850000000001</v>
      </c>
      <c r="V6147">
        <v>-5.7102859999999998E-2</v>
      </c>
      <c r="W6147">
        <v>0.1951744</v>
      </c>
      <c r="X6147">
        <v>0.9791048</v>
      </c>
      <c r="Y6147">
        <v>-7.3491829999999994E-2</v>
      </c>
      <c r="Z6147">
        <v>1.5985280000000001E-3</v>
      </c>
      <c r="AA6147">
        <v>0.99729449999999997</v>
      </c>
      <c r="AB6147">
        <v>32</v>
      </c>
      <c r="AC6147">
        <v>40.627800000000001</v>
      </c>
      <c r="AD6147">
        <v>-1.120626636993</v>
      </c>
      <c r="AE6147">
        <v>2.59131</v>
      </c>
      <c r="AF6147">
        <v>-3.0020060517635501</v>
      </c>
      <c r="AG6147">
        <v>-1.120626636993</v>
      </c>
      <c r="AH6147">
        <v>40.568611310795703</v>
      </c>
      <c r="AI6147">
        <v>91.5779666179006</v>
      </c>
      <c r="AJ6147">
        <v>94.232073815890502</v>
      </c>
      <c r="AK6147">
        <v>40.694963669731699</v>
      </c>
      <c r="AL6147">
        <v>78.745088224515996</v>
      </c>
      <c r="AM6147">
        <v>93.337794807906107</v>
      </c>
      <c r="AN6147">
        <v>0.99999999620928903</v>
      </c>
    </row>
    <row r="6148" spans="1:40" x14ac:dyDescent="0.25">
      <c r="A6148" t="str">
        <f>"20190303162939777"</f>
        <v>20190303162939777</v>
      </c>
      <c r="B6148" t="str">
        <f>"1551601779767616"</f>
        <v>1551601779767616</v>
      </c>
      <c r="C6148" t="s">
        <v>40</v>
      </c>
      <c r="D6148">
        <v>5.0820879999999997</v>
      </c>
      <c r="E6148">
        <v>0.4934886</v>
      </c>
      <c r="F6148" t="s">
        <v>57</v>
      </c>
      <c r="G6148">
        <v>-192.26859999999999</v>
      </c>
      <c r="H6148" s="1">
        <v>-6.7152219999999999E-6</v>
      </c>
      <c r="I6148">
        <v>-59.548389999999998</v>
      </c>
      <c r="J6148">
        <v>-231.80529999999999</v>
      </c>
      <c r="K6148">
        <v>1.1206119999999999</v>
      </c>
      <c r="L6148">
        <v>-62.067990000000002</v>
      </c>
      <c r="M6148">
        <v>0.99987680000000001</v>
      </c>
      <c r="N6148">
        <v>-1.1659559999999999E-2</v>
      </c>
      <c r="O6148">
        <v>-1.0522200000000001E-2</v>
      </c>
      <c r="P6148">
        <v>0.98189870000000001</v>
      </c>
      <c r="Q6148">
        <v>0.18335180000000001</v>
      </c>
      <c r="R6148">
        <v>4.7510530000000002E-2</v>
      </c>
      <c r="S6148">
        <v>3.062271</v>
      </c>
      <c r="T6148">
        <v>-8.6434839999999999E-2</v>
      </c>
      <c r="U6148">
        <v>0.1941833</v>
      </c>
      <c r="V6148">
        <v>-5.7556980000000001E-2</v>
      </c>
      <c r="W6148">
        <v>0.19486529999999999</v>
      </c>
      <c r="X6148">
        <v>0.9791398</v>
      </c>
      <c r="Y6148">
        <v>-7.3739949999999999E-2</v>
      </c>
      <c r="Z6148">
        <v>1.6440039999999999E-3</v>
      </c>
      <c r="AA6148">
        <v>0.9972761</v>
      </c>
      <c r="AB6148">
        <v>32</v>
      </c>
      <c r="AC6148">
        <v>39.536700000000003</v>
      </c>
      <c r="AD6148">
        <v>-1.120618715222</v>
      </c>
      <c r="AE6148">
        <v>2.5195999999999898</v>
      </c>
      <c r="AF6148">
        <v>-2.9331549102391001</v>
      </c>
      <c r="AG6148">
        <v>-1.120618715222</v>
      </c>
      <c r="AH6148">
        <v>39.4764115876349</v>
      </c>
      <c r="AI6148">
        <v>91.621553760961007</v>
      </c>
      <c r="AJ6148">
        <v>94.2493515867355</v>
      </c>
      <c r="AK6148">
        <v>39.601089074275798</v>
      </c>
      <c r="AL6148">
        <v>78.763145319281705</v>
      </c>
      <c r="AM6148">
        <v>93.364158463684007</v>
      </c>
      <c r="AN6148">
        <v>1.0000000195174199</v>
      </c>
    </row>
    <row r="6149" spans="1:40" x14ac:dyDescent="0.25">
      <c r="A6149" t="str">
        <f>"20190303162939789"</f>
        <v>20190303162939789</v>
      </c>
      <c r="B6149" t="str">
        <f>"1551601779778353"</f>
        <v>1551601779778353</v>
      </c>
      <c r="C6149" t="s">
        <v>40</v>
      </c>
      <c r="D6149">
        <v>4.7931920000000003</v>
      </c>
      <c r="E6149">
        <v>0.49438300000000002</v>
      </c>
      <c r="F6149" t="s">
        <v>57</v>
      </c>
      <c r="G6149">
        <v>-191.691</v>
      </c>
      <c r="H6149" s="1">
        <v>-6.6333490000000004E-6</v>
      </c>
      <c r="I6149">
        <v>-59.596539999999997</v>
      </c>
      <c r="J6149">
        <v>-231.64169999999999</v>
      </c>
      <c r="K6149">
        <v>1.120611</v>
      </c>
      <c r="L6149">
        <v>-62.070070000000001</v>
      </c>
      <c r="M6149">
        <v>0.99987300000000001</v>
      </c>
      <c r="N6149">
        <v>-1.1659610000000001E-2</v>
      </c>
      <c r="O6149">
        <v>-1.0872430000000001E-2</v>
      </c>
      <c r="P6149">
        <v>0.9819312</v>
      </c>
      <c r="Q6149">
        <v>0.18315480000000001</v>
      </c>
      <c r="R6149">
        <v>4.7599460000000003E-2</v>
      </c>
      <c r="S6149">
        <v>3.0621489999999998</v>
      </c>
      <c r="T6149">
        <v>-8.5543159999999993E-2</v>
      </c>
      <c r="U6149">
        <v>0.18865970000000001</v>
      </c>
      <c r="V6149">
        <v>-5.7990689999999998E-2</v>
      </c>
      <c r="W6149">
        <v>0.19466929999999999</v>
      </c>
      <c r="X6149">
        <v>0.97915319999999995</v>
      </c>
      <c r="Y6149">
        <v>-7.2301260000000006E-2</v>
      </c>
      <c r="Z6149">
        <v>1.607544E-3</v>
      </c>
      <c r="AA6149">
        <v>0.99738159999999998</v>
      </c>
      <c r="AB6149">
        <v>32</v>
      </c>
      <c r="AC6149">
        <v>39.950699999999998</v>
      </c>
      <c r="AD6149">
        <v>-1.1206176333490001</v>
      </c>
      <c r="AE6149">
        <v>2.4735299999999798</v>
      </c>
      <c r="AF6149">
        <v>-2.90549713335876</v>
      </c>
      <c r="AG6149">
        <v>-1.1206176333490001</v>
      </c>
      <c r="AH6149">
        <v>39.890177356845101</v>
      </c>
      <c r="AI6149">
        <v>91.604913121828005</v>
      </c>
      <c r="AJ6149">
        <v>94.1659193431896</v>
      </c>
      <c r="AK6149">
        <v>40.011547671049698</v>
      </c>
      <c r="AL6149">
        <v>78.774594587709998</v>
      </c>
      <c r="AM6149">
        <v>93.389403300484801</v>
      </c>
      <c r="AN6149">
        <v>1.0000000227796999</v>
      </c>
    </row>
    <row r="6150" spans="1:40" x14ac:dyDescent="0.25">
      <c r="A6150" t="str">
        <f>"20190303162939798"</f>
        <v>20190303162939798</v>
      </c>
      <c r="B6150" t="str">
        <f>"1551601779788112"</f>
        <v>1551601779788112</v>
      </c>
      <c r="C6150" t="s">
        <v>40</v>
      </c>
      <c r="D6150">
        <v>4.7229539999999997</v>
      </c>
      <c r="E6150">
        <v>0.49516969999999999</v>
      </c>
      <c r="F6150" t="s">
        <v>57</v>
      </c>
      <c r="G6150">
        <v>-191.51949999999999</v>
      </c>
      <c r="H6150" s="1">
        <v>-6.5810229999999998E-6</v>
      </c>
      <c r="I6150">
        <v>-59.690649999999998</v>
      </c>
      <c r="J6150">
        <v>-231.49379999999999</v>
      </c>
      <c r="K6150">
        <v>1.1206100000000001</v>
      </c>
      <c r="L6150">
        <v>-62.071959999999997</v>
      </c>
      <c r="M6150">
        <v>0.99986960000000003</v>
      </c>
      <c r="N6150">
        <v>-1.1659640000000001E-2</v>
      </c>
      <c r="O6150">
        <v>-1.118939E-2</v>
      </c>
      <c r="P6150">
        <v>0.98191879999999998</v>
      </c>
      <c r="Q6150">
        <v>0.18318209999999999</v>
      </c>
      <c r="R6150">
        <v>4.7750260000000003E-2</v>
      </c>
      <c r="S6150">
        <v>3.0623469999999999</v>
      </c>
      <c r="T6150">
        <v>-8.5531709999999997E-2</v>
      </c>
      <c r="U6150">
        <v>0.1816101</v>
      </c>
      <c r="V6150">
        <v>-5.8452579999999997E-2</v>
      </c>
      <c r="W6150">
        <v>0.19469639999999999</v>
      </c>
      <c r="X6150">
        <v>0.97912030000000005</v>
      </c>
      <c r="Y6150">
        <v>-7.0326760000000002E-2</v>
      </c>
      <c r="Z6150">
        <v>1.5734200000000001E-3</v>
      </c>
      <c r="AA6150">
        <v>0.99752280000000004</v>
      </c>
      <c r="AB6150">
        <v>32</v>
      </c>
      <c r="AC6150">
        <v>39.974299999999999</v>
      </c>
      <c r="AD6150">
        <v>-1.120616581023</v>
      </c>
      <c r="AE6150">
        <v>2.3813099999999898</v>
      </c>
      <c r="AF6150">
        <v>-2.8262660277604201</v>
      </c>
      <c r="AG6150">
        <v>-1.120616581023</v>
      </c>
      <c r="AH6150">
        <v>39.913893598729203</v>
      </c>
      <c r="AI6150">
        <v>91.604190861754503</v>
      </c>
      <c r="AJ6150">
        <v>94.050301077535593</v>
      </c>
      <c r="AK6150">
        <v>40.029519899594298</v>
      </c>
      <c r="AL6150">
        <v>78.773011063526397</v>
      </c>
      <c r="AM6150">
        <v>93.416450389210596</v>
      </c>
      <c r="AN6150">
        <v>0.99999997707685295</v>
      </c>
    </row>
    <row r="6151" spans="1:40" x14ac:dyDescent="0.25">
      <c r="A6151" t="str">
        <f>"20190303162939810"</f>
        <v>20190303162939810</v>
      </c>
      <c r="B6151" t="str">
        <f>"1551601779797871"</f>
        <v>1551601779797871</v>
      </c>
      <c r="C6151" t="s">
        <v>40</v>
      </c>
      <c r="D6151">
        <v>4.7399339999999999</v>
      </c>
      <c r="E6151">
        <v>0.49593120000000002</v>
      </c>
      <c r="F6151" t="s">
        <v>57</v>
      </c>
      <c r="G6151">
        <v>-191.19329999999999</v>
      </c>
      <c r="H6151" s="1">
        <v>-6.5198330000000001E-6</v>
      </c>
      <c r="I6151">
        <v>-59.760460000000002</v>
      </c>
      <c r="J6151">
        <v>-231.33930000000001</v>
      </c>
      <c r="K6151">
        <v>1.1206149999999999</v>
      </c>
      <c r="L6151">
        <v>-62.074039999999997</v>
      </c>
      <c r="M6151">
        <v>0.99986569999999997</v>
      </c>
      <c r="N6151">
        <v>-1.165974E-2</v>
      </c>
      <c r="O6151">
        <v>-1.152042E-2</v>
      </c>
      <c r="P6151">
        <v>0.98192230000000003</v>
      </c>
      <c r="Q6151">
        <v>0.1830958</v>
      </c>
      <c r="R6151">
        <v>4.8006689999999998E-2</v>
      </c>
      <c r="S6151">
        <v>3.0625610000000001</v>
      </c>
      <c r="T6151">
        <v>-8.5159180000000001E-2</v>
      </c>
      <c r="U6151">
        <v>0.17565919999999999</v>
      </c>
      <c r="V6151">
        <v>-5.9033929999999998E-2</v>
      </c>
      <c r="W6151">
        <v>0.19461129999999999</v>
      </c>
      <c r="X6151">
        <v>0.97910240000000004</v>
      </c>
      <c r="Y6151">
        <v>-6.8722229999999995E-2</v>
      </c>
      <c r="Z6151">
        <v>1.5414319999999999E-3</v>
      </c>
      <c r="AA6151">
        <v>0.99763460000000004</v>
      </c>
      <c r="AB6151">
        <v>32</v>
      </c>
      <c r="AC6151">
        <v>40.146000000000001</v>
      </c>
      <c r="AD6151">
        <v>-1.1206215198329901</v>
      </c>
      <c r="AE6151">
        <v>2.31358</v>
      </c>
      <c r="AF6151">
        <v>-2.77380253200133</v>
      </c>
      <c r="AG6151">
        <v>-1.1206215198329901</v>
      </c>
      <c r="AH6151">
        <v>40.085550082799799</v>
      </c>
      <c r="AI6151">
        <v>91.597511202614498</v>
      </c>
      <c r="AJ6151">
        <v>93.958390094237501</v>
      </c>
      <c r="AK6151">
        <v>40.197028478706002</v>
      </c>
      <c r="AL6151">
        <v>78.777982692521803</v>
      </c>
      <c r="AM6151">
        <v>93.450410514182707</v>
      </c>
      <c r="AN6151">
        <v>1.00000003633234</v>
      </c>
    </row>
    <row r="6152" spans="1:40" x14ac:dyDescent="0.25">
      <c r="A6152" t="str">
        <f>"20190303162939822"</f>
        <v>20190303162939822</v>
      </c>
      <c r="B6152" t="str">
        <f>"1551601779807631"</f>
        <v>1551601779807631</v>
      </c>
      <c r="C6152" t="s">
        <v>40</v>
      </c>
      <c r="D6152">
        <v>4.8286490000000004</v>
      </c>
      <c r="E6152">
        <v>0.49638130000000003</v>
      </c>
      <c r="F6152" t="s">
        <v>57</v>
      </c>
      <c r="G6152">
        <v>-190.9316</v>
      </c>
      <c r="H6152" s="1">
        <v>-6.4666330000000003E-6</v>
      </c>
      <c r="I6152">
        <v>-59.828150000000001</v>
      </c>
      <c r="J6152">
        <v>-231.17160000000001</v>
      </c>
      <c r="K6152">
        <v>1.1206160000000001</v>
      </c>
      <c r="L6152">
        <v>-62.076320000000003</v>
      </c>
      <c r="M6152">
        <v>0.99986149999999996</v>
      </c>
      <c r="N6152">
        <v>-1.1659889999999999E-2</v>
      </c>
      <c r="O6152">
        <v>-1.1879829999999999E-2</v>
      </c>
      <c r="P6152">
        <v>0.98192259999999998</v>
      </c>
      <c r="Q6152">
        <v>0.18307570000000001</v>
      </c>
      <c r="R6152">
        <v>4.80784E-2</v>
      </c>
      <c r="S6152">
        <v>3.0627140000000002</v>
      </c>
      <c r="T6152">
        <v>-8.4937689999999996E-2</v>
      </c>
      <c r="U6152">
        <v>0.17022709999999999</v>
      </c>
      <c r="V6152">
        <v>-5.9458539999999997E-2</v>
      </c>
      <c r="W6152">
        <v>0.19459170000000001</v>
      </c>
      <c r="X6152">
        <v>0.97908059999999997</v>
      </c>
      <c r="Y6152">
        <v>-6.7315009999999995E-2</v>
      </c>
      <c r="Z6152">
        <v>1.516159E-3</v>
      </c>
      <c r="AA6152">
        <v>0.99773060000000002</v>
      </c>
      <c r="AB6152">
        <v>32</v>
      </c>
      <c r="AC6152">
        <v>40.24</v>
      </c>
      <c r="AD6152">
        <v>-1.120622466633</v>
      </c>
      <c r="AE6152">
        <v>2.2481699999999898</v>
      </c>
      <c r="AF6152">
        <v>-2.72398218772538</v>
      </c>
      <c r="AG6152">
        <v>-1.120622466633</v>
      </c>
      <c r="AH6152">
        <v>40.179386625737102</v>
      </c>
      <c r="AI6152">
        <v>91.593935802888296</v>
      </c>
      <c r="AJ6152">
        <v>93.878462011611305</v>
      </c>
      <c r="AK6152">
        <v>40.287206198646103</v>
      </c>
      <c r="AL6152">
        <v>78.779127556303607</v>
      </c>
      <c r="AM6152">
        <v>93.475244669052302</v>
      </c>
      <c r="AN6152">
        <v>1.0000000344920901</v>
      </c>
    </row>
    <row r="6153" spans="1:40" x14ac:dyDescent="0.25">
      <c r="A6153" t="str">
        <f>"20190303162939833"</f>
        <v>20190303162939833</v>
      </c>
      <c r="B6153" t="str">
        <f>"1551601779828127"</f>
        <v>1551601779828127</v>
      </c>
      <c r="C6153" t="s">
        <v>40</v>
      </c>
      <c r="D6153">
        <v>4.8416889999999997</v>
      </c>
      <c r="E6153">
        <v>0.49700119999999998</v>
      </c>
      <c r="F6153" t="s">
        <v>57</v>
      </c>
      <c r="G6153">
        <v>-189.92320000000001</v>
      </c>
      <c r="H6153" s="1">
        <v>-1.2709479999999999E-5</v>
      </c>
      <c r="I6153">
        <v>-59.823880000000003</v>
      </c>
      <c r="J6153">
        <v>-231.0155</v>
      </c>
      <c r="K6153">
        <v>1.1206179999999999</v>
      </c>
      <c r="L6153">
        <v>-62.078490000000002</v>
      </c>
      <c r="M6153">
        <v>0.99985749999999995</v>
      </c>
      <c r="N6153">
        <v>-1.1659910000000001E-2</v>
      </c>
      <c r="O6153">
        <v>-1.221443E-2</v>
      </c>
      <c r="P6153">
        <v>0.98183580000000004</v>
      </c>
      <c r="Q6153">
        <v>0.18347260000000001</v>
      </c>
      <c r="R6153">
        <v>4.8337600000000001E-2</v>
      </c>
      <c r="S6153">
        <v>3.0625460000000002</v>
      </c>
      <c r="T6153">
        <v>-8.3202600000000002E-2</v>
      </c>
      <c r="U6153">
        <v>0.16723629999999901</v>
      </c>
      <c r="V6153">
        <v>-6.0044769999999997E-2</v>
      </c>
      <c r="W6153">
        <v>0.19498779999999999</v>
      </c>
      <c r="X6153">
        <v>0.978966</v>
      </c>
      <c r="Y6153">
        <v>-6.6682199999999997E-2</v>
      </c>
      <c r="Z6153">
        <v>1.483381E-3</v>
      </c>
      <c r="AA6153">
        <v>0.99777320000000003</v>
      </c>
      <c r="AB6153">
        <v>32</v>
      </c>
      <c r="AC6153">
        <v>41.092300000000002</v>
      </c>
      <c r="AD6153">
        <v>-1.1206307094800001</v>
      </c>
      <c r="AE6153">
        <v>2.25461</v>
      </c>
      <c r="AF6153">
        <v>-2.75435259423503</v>
      </c>
      <c r="AG6153">
        <v>-1.1206307094800001</v>
      </c>
      <c r="AH6153">
        <v>41.031269681449899</v>
      </c>
      <c r="AI6153">
        <v>91.560940767379407</v>
      </c>
      <c r="AJ6153">
        <v>93.840397199653907</v>
      </c>
      <c r="AK6153">
        <v>41.138878971992703</v>
      </c>
      <c r="AL6153">
        <v>78.755989356914498</v>
      </c>
      <c r="AM6153">
        <v>93.509833333834493</v>
      </c>
      <c r="AN6153">
        <v>1.00000002285459</v>
      </c>
    </row>
    <row r="6154" spans="1:40" x14ac:dyDescent="0.25">
      <c r="A6154" t="str">
        <f>"20190303162939844"</f>
        <v>20190303162939844</v>
      </c>
      <c r="B6154" t="str">
        <f>"1551601779837887"</f>
        <v>1551601779837887</v>
      </c>
      <c r="C6154" t="s">
        <v>40</v>
      </c>
      <c r="D6154">
        <v>4.8107139999999999</v>
      </c>
      <c r="E6154">
        <v>0.49725150000000001</v>
      </c>
      <c r="F6154" t="s">
        <v>57</v>
      </c>
      <c r="G6154">
        <v>-187.7364</v>
      </c>
      <c r="H6154" s="1">
        <v>-1.3176729999999899E-5</v>
      </c>
      <c r="I6154">
        <v>-59.771030000000003</v>
      </c>
      <c r="J6154">
        <v>-230.85249999999999</v>
      </c>
      <c r="K6154">
        <v>1.1206160000000001</v>
      </c>
      <c r="L6154">
        <v>-62.08081</v>
      </c>
      <c r="M6154">
        <v>0.99985310000000005</v>
      </c>
      <c r="N6154">
        <v>-1.1659930000000001E-2</v>
      </c>
      <c r="O6154">
        <v>-1.256406E-2</v>
      </c>
      <c r="P6154">
        <v>0.98181180000000001</v>
      </c>
      <c r="Q6154">
        <v>0.18361369999999999</v>
      </c>
      <c r="R6154">
        <v>4.8282970000000001E-2</v>
      </c>
      <c r="S6154">
        <v>3.0623019999999999</v>
      </c>
      <c r="T6154">
        <v>-7.9292420000000002E-2</v>
      </c>
      <c r="U6154">
        <v>0.163269</v>
      </c>
      <c r="V6154">
        <v>-6.0332459999999997E-2</v>
      </c>
      <c r="W6154">
        <v>0.1951291</v>
      </c>
      <c r="X6154">
        <v>0.97892020000000002</v>
      </c>
      <c r="Y6154">
        <v>-6.5749920000000003E-2</v>
      </c>
      <c r="Z6154">
        <v>1.412869E-3</v>
      </c>
      <c r="AA6154">
        <v>0.99783520000000003</v>
      </c>
      <c r="AB6154">
        <v>32</v>
      </c>
      <c r="AC6154">
        <v>43.116099999999904</v>
      </c>
      <c r="AD6154">
        <v>-1.1206291767299901</v>
      </c>
      <c r="AE6154">
        <v>2.3097799999999902</v>
      </c>
      <c r="AF6154">
        <v>-2.8494283816640902</v>
      </c>
      <c r="AG6154">
        <v>-1.1206291767299901</v>
      </c>
      <c r="AH6154">
        <v>43.054672646595499</v>
      </c>
      <c r="AI6154">
        <v>91.487707733389499</v>
      </c>
      <c r="AJ6154">
        <v>93.786406314867506</v>
      </c>
      <c r="AK6154">
        <v>43.163409139680702</v>
      </c>
      <c r="AL6154">
        <v>78.747735385677402</v>
      </c>
      <c r="AM6154">
        <v>93.526772091919796</v>
      </c>
      <c r="AN6154">
        <v>1.00000006468224</v>
      </c>
    </row>
    <row r="6155" spans="1:40" x14ac:dyDescent="0.25">
      <c r="A6155" t="str">
        <f>"20190303162939855"</f>
        <v>20190303162939855</v>
      </c>
      <c r="B6155" t="str">
        <f>"1551601779847648"</f>
        <v>1551601779847648</v>
      </c>
      <c r="C6155" t="s">
        <v>40</v>
      </c>
      <c r="D6155">
        <v>4.7970009999999998</v>
      </c>
      <c r="E6155">
        <v>0.49753259999999999</v>
      </c>
      <c r="F6155" t="s">
        <v>57</v>
      </c>
      <c r="G6155">
        <v>-186.76849999999999</v>
      </c>
      <c r="H6155" s="1">
        <v>-1.338767E-5</v>
      </c>
      <c r="I6155">
        <v>-59.761139999999997</v>
      </c>
      <c r="J6155">
        <v>-230.69200000000001</v>
      </c>
      <c r="K6155">
        <v>1.1206160000000001</v>
      </c>
      <c r="L6155">
        <v>-62.083190000000002</v>
      </c>
      <c r="M6155">
        <v>0.99984879999999998</v>
      </c>
      <c r="N6155">
        <v>-1.166005E-2</v>
      </c>
      <c r="O6155">
        <v>-1.290845E-2</v>
      </c>
      <c r="P6155">
        <v>0.98175380000000001</v>
      </c>
      <c r="Q6155">
        <v>0.18388460000000001</v>
      </c>
      <c r="R6155">
        <v>4.8438790000000002E-2</v>
      </c>
      <c r="S6155">
        <v>3.0622250000000002</v>
      </c>
      <c r="T6155">
        <v>-7.7842830000000002E-2</v>
      </c>
      <c r="U6155">
        <v>0.16113279999999999</v>
      </c>
      <c r="V6155">
        <v>-6.0824820000000002E-2</v>
      </c>
      <c r="W6155">
        <v>0.19539980000000001</v>
      </c>
      <c r="X6155">
        <v>0.97883560000000003</v>
      </c>
      <c r="Y6155">
        <v>-6.5401959999999995E-2</v>
      </c>
      <c r="Z6155">
        <v>1.3897099999999999E-3</v>
      </c>
      <c r="AA6155">
        <v>0.99785800000000002</v>
      </c>
      <c r="AB6155">
        <v>32</v>
      </c>
      <c r="AC6155">
        <v>43.923499999999997</v>
      </c>
      <c r="AD6155">
        <v>-1.12062938767</v>
      </c>
      <c r="AE6155">
        <v>2.3220499999999902</v>
      </c>
      <c r="AF6155">
        <v>-2.8870053145740702</v>
      </c>
      <c r="AG6155">
        <v>-1.12062938767</v>
      </c>
      <c r="AH6155">
        <v>43.861392951865099</v>
      </c>
      <c r="AI6155">
        <v>91.460391900137196</v>
      </c>
      <c r="AJ6155">
        <v>93.765839344305803</v>
      </c>
      <c r="AK6155">
        <v>43.970585640730398</v>
      </c>
      <c r="AL6155">
        <v>78.731919535469999</v>
      </c>
      <c r="AM6155">
        <v>93.555786283274998</v>
      </c>
      <c r="AN6155">
        <v>0.99999993619771399</v>
      </c>
    </row>
    <row r="6156" spans="1:40" x14ac:dyDescent="0.25">
      <c r="A6156" t="str">
        <f>"20190303162939867"</f>
        <v>20190303162939867</v>
      </c>
      <c r="B6156" t="str">
        <f>"1551601779858384"</f>
        <v>1551601779858384</v>
      </c>
      <c r="C6156" t="s">
        <v>40</v>
      </c>
      <c r="D6156">
        <v>4.7975029999999999</v>
      </c>
      <c r="E6156">
        <v>0.49778559999999999</v>
      </c>
      <c r="F6156" t="s">
        <v>57</v>
      </c>
      <c r="G6156">
        <v>-185.148</v>
      </c>
      <c r="H6156" s="1">
        <v>-1.3731529999999899E-5</v>
      </c>
      <c r="I6156">
        <v>-59.714199999999998</v>
      </c>
      <c r="J6156">
        <v>-230.53649999999999</v>
      </c>
      <c r="K6156">
        <v>1.120617</v>
      </c>
      <c r="L6156">
        <v>-62.085509999999999</v>
      </c>
      <c r="M6156">
        <v>0.99984439999999997</v>
      </c>
      <c r="N6156">
        <v>-1.1660210000000001E-2</v>
      </c>
      <c r="O6156">
        <v>-1.324199E-2</v>
      </c>
      <c r="P6156">
        <v>0.98172000000000004</v>
      </c>
      <c r="Q6156">
        <v>0.1840251</v>
      </c>
      <c r="R6156">
        <v>4.858647E-2</v>
      </c>
      <c r="S6156">
        <v>3.0619960000000002</v>
      </c>
      <c r="T6156">
        <v>-7.5341820000000004E-2</v>
      </c>
      <c r="U6156">
        <v>0.1592712</v>
      </c>
      <c r="V6156">
        <v>-6.1299149999999997E-2</v>
      </c>
      <c r="W6156">
        <v>0.19554060000000001</v>
      </c>
      <c r="X6156">
        <v>0.97877789999999998</v>
      </c>
      <c r="Y6156">
        <v>-6.5135620000000005E-2</v>
      </c>
      <c r="Z6156">
        <v>1.352079E-3</v>
      </c>
      <c r="AA6156">
        <v>0.99787550000000003</v>
      </c>
      <c r="AB6156">
        <v>32</v>
      </c>
      <c r="AC6156">
        <v>45.388499999999901</v>
      </c>
      <c r="AD6156">
        <v>-1.1206307315299999</v>
      </c>
      <c r="AE6156">
        <v>2.3713099999999998</v>
      </c>
      <c r="AF6156">
        <v>-2.9703711816114802</v>
      </c>
      <c r="AG6156">
        <v>-1.1206307315299999</v>
      </c>
      <c r="AH6156">
        <v>45.3255623285608</v>
      </c>
      <c r="AI6156">
        <v>91.413263945859597</v>
      </c>
      <c r="AJ6156">
        <v>93.749467414684602</v>
      </c>
      <c r="AK6156">
        <v>45.4366098932705</v>
      </c>
      <c r="AL6156">
        <v>78.723693706171801</v>
      </c>
      <c r="AM6156">
        <v>93.583654082097297</v>
      </c>
      <c r="AN6156">
        <v>0.99999994478374399</v>
      </c>
    </row>
    <row r="6157" spans="1:40" x14ac:dyDescent="0.25">
      <c r="A6157" t="str">
        <f>"20190303162939876"</f>
        <v>20190303162939876</v>
      </c>
      <c r="B6157" t="str">
        <f>"1551601779868144"</f>
        <v>1551601779868144</v>
      </c>
      <c r="C6157" t="s">
        <v>40</v>
      </c>
      <c r="D6157">
        <v>4.9030009999999997</v>
      </c>
      <c r="E6157">
        <v>0.49796259999999998</v>
      </c>
      <c r="F6157" t="s">
        <v>57</v>
      </c>
      <c r="G6157">
        <v>-183.899</v>
      </c>
      <c r="H6157" s="1">
        <v>-1.4000019999999999E-5</v>
      </c>
      <c r="I6157">
        <v>-59.689259999999997</v>
      </c>
      <c r="J6157">
        <v>-230.3922</v>
      </c>
      <c r="K6157">
        <v>1.1206179999999999</v>
      </c>
      <c r="L6157">
        <v>-62.087739999999997</v>
      </c>
      <c r="M6157">
        <v>0.99984030000000002</v>
      </c>
      <c r="N6157">
        <v>-1.1660469999999999E-2</v>
      </c>
      <c r="O6157">
        <v>-1.3551560000000001E-2</v>
      </c>
      <c r="P6157">
        <v>0.98175190000000001</v>
      </c>
      <c r="Q6157">
        <v>0.18380360000000001</v>
      </c>
      <c r="R6157">
        <v>4.8783939999999998E-2</v>
      </c>
      <c r="S6157">
        <v>3.0618439999999998</v>
      </c>
      <c r="T6157">
        <v>-7.3571559999999994E-2</v>
      </c>
      <c r="U6157">
        <v>0.15731809999999999</v>
      </c>
      <c r="V6157">
        <v>-6.1801300000000003E-2</v>
      </c>
      <c r="W6157">
        <v>0.1953203</v>
      </c>
      <c r="X6157">
        <v>0.9787903</v>
      </c>
      <c r="Y6157">
        <v>-6.481365E-2</v>
      </c>
      <c r="Z6157">
        <v>1.3237699999999999E-3</v>
      </c>
      <c r="AA6157">
        <v>0.99789649999999996</v>
      </c>
      <c r="AB6157">
        <v>32</v>
      </c>
      <c r="AC6157">
        <v>46.493200000000002</v>
      </c>
      <c r="AD6157">
        <v>-1.1206320000200001</v>
      </c>
      <c r="AE6157">
        <v>2.3984800000000002</v>
      </c>
      <c r="AF6157">
        <v>-3.02660420548552</v>
      </c>
      <c r="AG6157">
        <v>-1.1206320000200001</v>
      </c>
      <c r="AH6157">
        <v>46.429522597390203</v>
      </c>
      <c r="AI6157">
        <v>91.379706460882204</v>
      </c>
      <c r="AJ6157">
        <v>93.729666660296502</v>
      </c>
      <c r="AK6157">
        <v>46.541559038322902</v>
      </c>
      <c r="AL6157">
        <v>78.736564038247494</v>
      </c>
      <c r="AM6157">
        <v>93.612887544572899</v>
      </c>
      <c r="AN6157">
        <v>0.99999993582393198</v>
      </c>
    </row>
    <row r="6158" spans="1:40" x14ac:dyDescent="0.25">
      <c r="A6158" t="str">
        <f>"20190303162939888"</f>
        <v>20190303162939888</v>
      </c>
      <c r="B6158" t="str">
        <f>"1551601779877903"</f>
        <v>1551601779877903</v>
      </c>
      <c r="C6158" t="s">
        <v>40</v>
      </c>
      <c r="D6158">
        <v>4.8181330000000004</v>
      </c>
      <c r="E6158">
        <v>0.49814659999999999</v>
      </c>
      <c r="F6158" t="s">
        <v>57</v>
      </c>
      <c r="G6158">
        <v>-183.45310000000001</v>
      </c>
      <c r="H6158" s="1">
        <v>-1.4098939999999999E-5</v>
      </c>
      <c r="I6158">
        <v>-59.690359999999998</v>
      </c>
      <c r="J6158">
        <v>-230.23670000000001</v>
      </c>
      <c r="K6158">
        <v>1.120619</v>
      </c>
      <c r="L6158">
        <v>-62.090150000000001</v>
      </c>
      <c r="M6158">
        <v>0.99983569999999999</v>
      </c>
      <c r="N6158">
        <v>-1.1660749999999999E-2</v>
      </c>
      <c r="O6158">
        <v>-1.388522E-2</v>
      </c>
      <c r="P6158">
        <v>0.98174170000000005</v>
      </c>
      <c r="Q6158">
        <v>0.18381839999999999</v>
      </c>
      <c r="R6158">
        <v>4.8932400000000001E-2</v>
      </c>
      <c r="S6158">
        <v>3.061661</v>
      </c>
      <c r="T6158">
        <v>-7.3094610000000004E-2</v>
      </c>
      <c r="U6158">
        <v>0.15637210000000001</v>
      </c>
      <c r="V6158">
        <v>-6.2277150000000003E-2</v>
      </c>
      <c r="W6158">
        <v>0.19533529999999999</v>
      </c>
      <c r="X6158">
        <v>0.97875719999999999</v>
      </c>
      <c r="Y6158">
        <v>-6.4842460000000005E-2</v>
      </c>
      <c r="Z6158">
        <v>1.321277E-3</v>
      </c>
      <c r="AA6158">
        <v>0.99789459999999996</v>
      </c>
      <c r="AB6158">
        <v>32</v>
      </c>
      <c r="AC6158">
        <v>46.7836</v>
      </c>
      <c r="AD6158">
        <v>-1.12063309894</v>
      </c>
      <c r="AE6158">
        <v>2.3997899999999999</v>
      </c>
      <c r="AF6158">
        <v>-3.0474593415389202</v>
      </c>
      <c r="AG6158">
        <v>-1.12063309894</v>
      </c>
      <c r="AH6158">
        <v>46.719029632751898</v>
      </c>
      <c r="AI6158">
        <v>91.371157579220593</v>
      </c>
      <c r="AJ6158">
        <v>93.732088323592095</v>
      </c>
      <c r="AK6158">
        <v>46.831725964422098</v>
      </c>
      <c r="AL6158">
        <v>78.735688336665305</v>
      </c>
      <c r="AM6158">
        <v>93.640753866909293</v>
      </c>
      <c r="AN6158">
        <v>0.99999998969502601</v>
      </c>
    </row>
    <row r="6159" spans="1:40" x14ac:dyDescent="0.25">
      <c r="A6159" t="str">
        <f>"20190303162939899"</f>
        <v>20190303162939899</v>
      </c>
      <c r="B6159" t="str">
        <f>"1551601779887664"</f>
        <v>1551601779887664</v>
      </c>
      <c r="C6159" t="s">
        <v>40</v>
      </c>
      <c r="D6159">
        <v>4.9040609999999996</v>
      </c>
      <c r="E6159">
        <v>0.4983165</v>
      </c>
      <c r="F6159" t="s">
        <v>57</v>
      </c>
      <c r="G6159">
        <v>-182.58250000000001</v>
      </c>
      <c r="H6159" s="1">
        <v>-1.428617E-5</v>
      </c>
      <c r="I6159">
        <v>-59.673259999999999</v>
      </c>
      <c r="J6159">
        <v>-230.07390000000001</v>
      </c>
      <c r="K6159">
        <v>1.1206179999999999</v>
      </c>
      <c r="L6159">
        <v>-62.092770000000002</v>
      </c>
      <c r="M6159">
        <v>0.99983080000000002</v>
      </c>
      <c r="N6159">
        <v>-1.1661059999999999E-2</v>
      </c>
      <c r="O6159">
        <v>-1.423462E-2</v>
      </c>
      <c r="P6159">
        <v>0.98174050000000002</v>
      </c>
      <c r="Q6159">
        <v>0.18386089999999999</v>
      </c>
      <c r="R6159">
        <v>4.8798679999999997E-2</v>
      </c>
      <c r="S6159">
        <v>3.0615540000000001</v>
      </c>
      <c r="T6159">
        <v>-7.1995260000000005E-2</v>
      </c>
      <c r="U6159">
        <v>0.15527340000000001</v>
      </c>
      <c r="V6159">
        <v>-6.2485680000000002E-2</v>
      </c>
      <c r="W6159">
        <v>0.1953783</v>
      </c>
      <c r="X6159">
        <v>0.97873529999999997</v>
      </c>
      <c r="Y6159">
        <v>-6.483651E-2</v>
      </c>
      <c r="Z6159">
        <v>1.308748E-3</v>
      </c>
      <c r="AA6159">
        <v>0.99789510000000003</v>
      </c>
      <c r="AB6159">
        <v>32</v>
      </c>
      <c r="AC6159">
        <v>47.491399999999999</v>
      </c>
      <c r="AD6159">
        <v>-1.12063228617</v>
      </c>
      <c r="AE6159">
        <v>2.4195099999999901</v>
      </c>
      <c r="AF6159">
        <v>-3.0936146954472101</v>
      </c>
      <c r="AG6159">
        <v>-1.12063228617</v>
      </c>
      <c r="AH6159">
        <v>47.425806350530898</v>
      </c>
      <c r="AI6159">
        <v>91.350730059851699</v>
      </c>
      <c r="AJ6159">
        <v>93.732151668479204</v>
      </c>
      <c r="AK6159">
        <v>47.539808335780499</v>
      </c>
      <c r="AL6159">
        <v>78.733175920622401</v>
      </c>
      <c r="AM6159">
        <v>93.652993199124793</v>
      </c>
      <c r="AN6159">
        <v>0.99999996389101997</v>
      </c>
    </row>
    <row r="6160" spans="1:40" x14ac:dyDescent="0.25">
      <c r="A6160" t="str">
        <f>"20190303162939911"</f>
        <v>20190303162939911</v>
      </c>
      <c r="B6160" t="str">
        <f>"1551601779898400"</f>
        <v>1551601779898400</v>
      </c>
      <c r="C6160" t="s">
        <v>40</v>
      </c>
      <c r="D6160">
        <v>4.7287889999999999</v>
      </c>
      <c r="E6160">
        <v>0.49854680000000001</v>
      </c>
      <c r="F6160" t="s">
        <v>57</v>
      </c>
      <c r="G6160">
        <v>-181.8219</v>
      </c>
      <c r="H6160" s="1">
        <v>-1.4453780000000001E-5</v>
      </c>
      <c r="I6160">
        <v>-59.6714699999999</v>
      </c>
      <c r="J6160">
        <v>-229.9178</v>
      </c>
      <c r="K6160">
        <v>1.120609</v>
      </c>
      <c r="L6160">
        <v>-62.09534</v>
      </c>
      <c r="M6160">
        <v>0.99982579999999999</v>
      </c>
      <c r="N6160">
        <v>-1.1661370000000001E-2</v>
      </c>
      <c r="O6160">
        <v>-1.456971E-2</v>
      </c>
      <c r="P6160">
        <v>0.98176240000000004</v>
      </c>
      <c r="Q6160">
        <v>0.18380669999999999</v>
      </c>
      <c r="R6160">
        <v>4.8554989999999999E-2</v>
      </c>
      <c r="S6160">
        <v>3.0614620000000001</v>
      </c>
      <c r="T6160">
        <v>-7.1101189999999995E-2</v>
      </c>
      <c r="U6160">
        <v>0.1536255</v>
      </c>
      <c r="V6160">
        <v>-6.2571310000000005E-2</v>
      </c>
      <c r="W6160">
        <v>0.19532450000000001</v>
      </c>
      <c r="X6160">
        <v>0.97874059999999896</v>
      </c>
      <c r="Y6160">
        <v>-6.4637319999999998E-2</v>
      </c>
      <c r="Z6160">
        <v>1.29558E-3</v>
      </c>
      <c r="AA6160">
        <v>0.99790800000000002</v>
      </c>
      <c r="AB6160">
        <v>32</v>
      </c>
      <c r="AC6160">
        <v>48.0959</v>
      </c>
      <c r="AD6160">
        <v>-1.1206234537799999</v>
      </c>
      <c r="AE6160">
        <v>2.42387</v>
      </c>
      <c r="AF6160">
        <v>-3.1227127278759901</v>
      </c>
      <c r="AG6160">
        <v>-1.1206234537799999</v>
      </c>
      <c r="AH6160">
        <v>48.029468584828102</v>
      </c>
      <c r="AI6160">
        <v>91.333767467884002</v>
      </c>
      <c r="AJ6160">
        <v>93.719941057601204</v>
      </c>
      <c r="AK6160">
        <v>48.143919494023201</v>
      </c>
      <c r="AL6160">
        <v>78.736319352184097</v>
      </c>
      <c r="AM6160">
        <v>93.657965901497306</v>
      </c>
      <c r="AN6160">
        <v>0.99999999561186204</v>
      </c>
    </row>
    <row r="6161" spans="1:40" x14ac:dyDescent="0.25">
      <c r="A6161" t="str">
        <f>"20190303162939923"</f>
        <v>20190303162939923</v>
      </c>
      <c r="B6161" t="str">
        <f>"1551601779917919"</f>
        <v>1551601779917919</v>
      </c>
      <c r="C6161" t="s">
        <v>40</v>
      </c>
      <c r="D6161">
        <v>4.7667840000000004</v>
      </c>
      <c r="E6161">
        <v>0.49886740000000002</v>
      </c>
      <c r="F6161" t="s">
        <v>57</v>
      </c>
      <c r="G6161">
        <v>-181.58240000000001</v>
      </c>
      <c r="H6161" s="1">
        <v>-1.4518850000000001E-5</v>
      </c>
      <c r="I6161">
        <v>-59.710880000000003</v>
      </c>
      <c r="J6161">
        <v>-229.7458</v>
      </c>
      <c r="K6161">
        <v>1.120608</v>
      </c>
      <c r="L6161">
        <v>-62.098179999999999</v>
      </c>
      <c r="M6161">
        <v>0.99982040000000005</v>
      </c>
      <c r="N6161">
        <v>-1.166172E-2</v>
      </c>
      <c r="O6161">
        <v>-1.4938770000000001E-2</v>
      </c>
      <c r="P6161">
        <v>0.98181890000000005</v>
      </c>
      <c r="Q6161">
        <v>0.1835569</v>
      </c>
      <c r="R6161">
        <v>4.835888E-2</v>
      </c>
      <c r="S6161">
        <v>3.0615540000000001</v>
      </c>
      <c r="T6161">
        <v>-7.0980189999999999E-2</v>
      </c>
      <c r="U6161">
        <v>0.15103150000000001</v>
      </c>
      <c r="V6161">
        <v>-6.2738760000000005E-2</v>
      </c>
      <c r="W6161">
        <v>0.19507569999999999</v>
      </c>
      <c r="X6161">
        <v>0.97877950000000002</v>
      </c>
      <c r="Y6161">
        <v>-6.4161010000000004E-2</v>
      </c>
      <c r="Z6161">
        <v>1.2896660000000001E-3</v>
      </c>
      <c r="AA6161">
        <v>0.99793880000000001</v>
      </c>
      <c r="AB6161">
        <v>32</v>
      </c>
      <c r="AC6161">
        <v>48.163400000000003</v>
      </c>
      <c r="AD6161">
        <v>-1.1206225188500001</v>
      </c>
      <c r="AE6161">
        <v>2.3873000000000002</v>
      </c>
      <c r="AF6161">
        <v>-3.1049077057074399</v>
      </c>
      <c r="AG6161">
        <v>-1.1206225188500001</v>
      </c>
      <c r="AH6161">
        <v>48.096385439762102</v>
      </c>
      <c r="AI6161">
        <v>91.331950915211394</v>
      </c>
      <c r="AJ6161">
        <v>93.693657921241297</v>
      </c>
      <c r="AK6161">
        <v>48.209527471868803</v>
      </c>
      <c r="AL6161">
        <v>78.750854136677304</v>
      </c>
      <c r="AM6161">
        <v>93.667583099137502</v>
      </c>
      <c r="AN6161">
        <v>0.99999999517853799</v>
      </c>
    </row>
    <row r="6162" spans="1:40" x14ac:dyDescent="0.25">
      <c r="A6162" t="str">
        <f>"20190303162939935"</f>
        <v>20190303162939935</v>
      </c>
      <c r="B6162" t="str">
        <f>"1551601779927679"</f>
        <v>1551601779927679</v>
      </c>
      <c r="C6162" t="s">
        <v>40</v>
      </c>
      <c r="D6162">
        <v>4.7977759999999998</v>
      </c>
      <c r="E6162">
        <v>0.49906980000000001</v>
      </c>
      <c r="F6162" t="s">
        <v>57</v>
      </c>
      <c r="G6162">
        <v>-181.0162</v>
      </c>
      <c r="H6162" s="1">
        <v>-1.465293E-5</v>
      </c>
      <c r="I6162">
        <v>-59.739829999999998</v>
      </c>
      <c r="J6162">
        <v>-229.5823</v>
      </c>
      <c r="K6162">
        <v>1.1206069999999999</v>
      </c>
      <c r="L6162">
        <v>-62.10098</v>
      </c>
      <c r="M6162">
        <v>0.99981520000000002</v>
      </c>
      <c r="N6162">
        <v>-1.166208E-2</v>
      </c>
      <c r="O6162">
        <v>-1.5289479999999999E-2</v>
      </c>
      <c r="P6162">
        <v>0.98190650000000002</v>
      </c>
      <c r="Q6162">
        <v>0.1831537</v>
      </c>
      <c r="R6162">
        <v>4.811112E-2</v>
      </c>
      <c r="S6162">
        <v>3.0614319999999999</v>
      </c>
      <c r="T6162">
        <v>-7.0403099999999996E-2</v>
      </c>
      <c r="U6162">
        <v>0.14816279999999901</v>
      </c>
      <c r="V6162">
        <v>-6.2836749999999997E-2</v>
      </c>
      <c r="W6162">
        <v>0.19467400000000001</v>
      </c>
      <c r="X6162">
        <v>0.97885319999999998</v>
      </c>
      <c r="Y6162">
        <v>-6.3580709999999999E-2</v>
      </c>
      <c r="Z6162">
        <v>1.27479E-3</v>
      </c>
      <c r="AA6162">
        <v>0.99797590000000003</v>
      </c>
      <c r="AB6162">
        <v>32</v>
      </c>
      <c r="AC6162">
        <v>48.566099999999999</v>
      </c>
      <c r="AD6162">
        <v>-1.1206216529299999</v>
      </c>
      <c r="AE6162">
        <v>2.3611499999999999</v>
      </c>
      <c r="AF6162">
        <v>-3.1018272336077701</v>
      </c>
      <c r="AG6162">
        <v>-1.1206216529299999</v>
      </c>
      <c r="AH6162">
        <v>48.498558537713599</v>
      </c>
      <c r="AI6162">
        <v>91.320959256658497</v>
      </c>
      <c r="AJ6162">
        <v>93.659487695400699</v>
      </c>
      <c r="AK6162">
        <v>48.610567835730897</v>
      </c>
      <c r="AL6162">
        <v>78.774319846228806</v>
      </c>
      <c r="AM6162">
        <v>93.673019914899299</v>
      </c>
      <c r="AN6162">
        <v>1.0000000052883999</v>
      </c>
    </row>
    <row r="6163" spans="1:40" x14ac:dyDescent="0.25">
      <c r="A6163" t="str">
        <f>"20190303162939948"</f>
        <v>20190303162939948</v>
      </c>
      <c r="B6163" t="str">
        <f>"1551601779938415"</f>
        <v>1551601779938415</v>
      </c>
      <c r="C6163" t="s">
        <v>40</v>
      </c>
      <c r="D6163">
        <v>4.785838</v>
      </c>
      <c r="E6163">
        <v>0.49918289999999998</v>
      </c>
      <c r="F6163" t="s">
        <v>57</v>
      </c>
      <c r="G6163">
        <v>-181.5205</v>
      </c>
      <c r="H6163" s="1">
        <v>-1.456299E-5</v>
      </c>
      <c r="I6163">
        <v>-59.809939999999997</v>
      </c>
      <c r="J6163">
        <v>-229.39959999999999</v>
      </c>
      <c r="K6163">
        <v>1.1206020000000001</v>
      </c>
      <c r="L6163">
        <v>-62.10416</v>
      </c>
      <c r="M6163">
        <v>0.99980910000000001</v>
      </c>
      <c r="N6163">
        <v>-1.1662489999999999E-2</v>
      </c>
      <c r="O6163">
        <v>-1.568131E-2</v>
      </c>
      <c r="P6163">
        <v>0.9820238</v>
      </c>
      <c r="Q6163">
        <v>0.18258150000000001</v>
      </c>
      <c r="R6163">
        <v>4.7890830000000002E-2</v>
      </c>
      <c r="S6163">
        <v>3.0614469999999998</v>
      </c>
      <c r="T6163">
        <v>-7.1381570000000005E-2</v>
      </c>
      <c r="U6163">
        <v>0.14593510000000001</v>
      </c>
      <c r="V6163">
        <v>-6.3003169999999997E-2</v>
      </c>
      <c r="W6163">
        <v>0.19410340000000001</v>
      </c>
      <c r="X6163">
        <v>0.97895580000000004</v>
      </c>
      <c r="Y6163">
        <v>-6.3246510000000006E-2</v>
      </c>
      <c r="Z6163">
        <v>1.288555E-3</v>
      </c>
      <c r="AA6163">
        <v>0.99799709999999997</v>
      </c>
      <c r="AB6163">
        <v>32</v>
      </c>
      <c r="AC6163">
        <v>47.879100000000001</v>
      </c>
      <c r="AD6163">
        <v>-1.12061656299</v>
      </c>
      <c r="AE6163">
        <v>2.2942199999999899</v>
      </c>
      <c r="AF6163">
        <v>-3.0431326735061401</v>
      </c>
      <c r="AG6163">
        <v>-1.12061656299</v>
      </c>
      <c r="AH6163">
        <v>47.811102270414402</v>
      </c>
      <c r="AI6163">
        <v>91.339966046972506</v>
      </c>
      <c r="AJ6163">
        <v>93.641910912927898</v>
      </c>
      <c r="AK6163">
        <v>47.920955105901598</v>
      </c>
      <c r="AL6163">
        <v>78.807648448064</v>
      </c>
      <c r="AM6163">
        <v>93.682336082106303</v>
      </c>
      <c r="AN6163">
        <v>0.99999999383762395</v>
      </c>
    </row>
    <row r="6164" spans="1:40" x14ac:dyDescent="0.25">
      <c r="A6164" t="str">
        <f>"20190303162939959"</f>
        <v>20190303162939959</v>
      </c>
      <c r="B6164" t="str">
        <f>"1551601779948177"</f>
        <v>1551601779948177</v>
      </c>
      <c r="C6164" t="s">
        <v>40</v>
      </c>
      <c r="D6164">
        <v>4.7195070000000001</v>
      </c>
      <c r="E6164">
        <v>0.49922929999999999</v>
      </c>
      <c r="F6164" t="s">
        <v>57</v>
      </c>
      <c r="G6164">
        <v>-182.23820000000001</v>
      </c>
      <c r="H6164" s="1">
        <v>-1.4426419999999999E-5</v>
      </c>
      <c r="I6164">
        <v>-59.88185</v>
      </c>
      <c r="J6164">
        <v>-229.22319999999999</v>
      </c>
      <c r="K6164">
        <v>1.1205989999999999</v>
      </c>
      <c r="L6164">
        <v>-62.107300000000002</v>
      </c>
      <c r="M6164">
        <v>0.99980309999999994</v>
      </c>
      <c r="N6164">
        <v>-1.166291E-2</v>
      </c>
      <c r="O6164">
        <v>-1.6059670000000002E-2</v>
      </c>
      <c r="P6164">
        <v>0.98215249999999998</v>
      </c>
      <c r="Q6164">
        <v>0.18190129999999999</v>
      </c>
      <c r="R6164">
        <v>4.7840229999999997E-2</v>
      </c>
      <c r="S6164">
        <v>3.0613860000000002</v>
      </c>
      <c r="T6164">
        <v>-7.2742459999999995E-2</v>
      </c>
      <c r="U6164">
        <v>0.14425660000000001</v>
      </c>
      <c r="V6164">
        <v>-6.3326900000000005E-2</v>
      </c>
      <c r="W6164">
        <v>0.19342599999999999</v>
      </c>
      <c r="X6164">
        <v>0.97906899999999997</v>
      </c>
      <c r="Y6164">
        <v>-6.3078339999999997E-2</v>
      </c>
      <c r="Z6164">
        <v>1.3111990000000001E-3</v>
      </c>
      <c r="AA6164">
        <v>0.99800770000000005</v>
      </c>
      <c r="AB6164">
        <v>32</v>
      </c>
      <c r="AC6164">
        <v>46.9849999999999</v>
      </c>
      <c r="AD6164">
        <v>-1.1206134264199901</v>
      </c>
      <c r="AE6164">
        <v>2.2254499999999999</v>
      </c>
      <c r="AF6164">
        <v>-2.97808753432277</v>
      </c>
      <c r="AG6164">
        <v>-1.1206134264199901</v>
      </c>
      <c r="AH6164">
        <v>46.916568875427799</v>
      </c>
      <c r="AI6164">
        <v>91.365516002820797</v>
      </c>
      <c r="AJ6164">
        <v>93.6320479399145</v>
      </c>
      <c r="AK6164">
        <v>47.024347043380899</v>
      </c>
      <c r="AL6164">
        <v>78.847210572208894</v>
      </c>
      <c r="AM6164">
        <v>93.700777873330395</v>
      </c>
      <c r="AN6164">
        <v>1.0000000102502999</v>
      </c>
    </row>
    <row r="6165" spans="1:40" x14ac:dyDescent="0.25">
      <c r="A6165" t="str">
        <f>"20190303162939969"</f>
        <v>20190303162939969</v>
      </c>
      <c r="B6165" t="str">
        <f>"1551601779957935"</f>
        <v>1551601779957935</v>
      </c>
      <c r="C6165" t="s">
        <v>40</v>
      </c>
      <c r="D6165">
        <v>4.7676119999999997</v>
      </c>
      <c r="E6165">
        <v>0.49921409999999999</v>
      </c>
      <c r="F6165" t="s">
        <v>57</v>
      </c>
      <c r="G6165">
        <v>-183.37979999999999</v>
      </c>
      <c r="H6165" s="1">
        <v>-1.41975799999999E-5</v>
      </c>
      <c r="I6165">
        <v>-59.958509999999997</v>
      </c>
      <c r="J6165">
        <v>-229.08959999999999</v>
      </c>
      <c r="K6165">
        <v>1.1205940000000001</v>
      </c>
      <c r="L6165">
        <v>-62.10971</v>
      </c>
      <c r="M6165">
        <v>0.99979839999999998</v>
      </c>
      <c r="N6165">
        <v>-1.166325E-2</v>
      </c>
      <c r="O6165">
        <v>-1.634613E-2</v>
      </c>
      <c r="P6165">
        <v>0.98224310000000004</v>
      </c>
      <c r="Q6165">
        <v>0.18140300000000001</v>
      </c>
      <c r="R6165">
        <v>4.78723E-2</v>
      </c>
      <c r="S6165">
        <v>3.0613709999999998</v>
      </c>
      <c r="T6165">
        <v>-7.4833269999999993E-2</v>
      </c>
      <c r="U6165">
        <v>0.1434937</v>
      </c>
      <c r="V6165">
        <v>-6.3642299999999999E-2</v>
      </c>
      <c r="W6165">
        <v>0.19292860000000001</v>
      </c>
      <c r="X6165">
        <v>0.97914670000000004</v>
      </c>
      <c r="Y6165">
        <v>-6.3114840000000005E-2</v>
      </c>
      <c r="Z6165">
        <v>1.348014E-3</v>
      </c>
      <c r="AA6165">
        <v>0.99800529999999998</v>
      </c>
      <c r="AB6165">
        <v>32</v>
      </c>
      <c r="AC6165">
        <v>45.709800000000001</v>
      </c>
      <c r="AD6165">
        <v>-1.12060819758</v>
      </c>
      <c r="AE6165">
        <v>2.1511999999999998</v>
      </c>
      <c r="AF6165">
        <v>-2.89640472824314</v>
      </c>
      <c r="AG6165">
        <v>-1.12060819758</v>
      </c>
      <c r="AH6165">
        <v>45.6411552118483</v>
      </c>
      <c r="AI6165">
        <v>91.403654299295596</v>
      </c>
      <c r="AJ6165">
        <v>93.631142287616598</v>
      </c>
      <c r="AK6165">
        <v>45.746693565265502</v>
      </c>
      <c r="AL6165">
        <v>78.876256758229502</v>
      </c>
      <c r="AM6165">
        <v>93.718863710907399</v>
      </c>
      <c r="AN6165">
        <v>1.00000002358406</v>
      </c>
    </row>
    <row r="6166" spans="1:40" x14ac:dyDescent="0.25">
      <c r="A6166" t="str">
        <f>"20190303162939978"</f>
        <v>20190303162939978</v>
      </c>
      <c r="B6166" t="str">
        <f>"1551601779967696"</f>
        <v>1551601779967696</v>
      </c>
      <c r="C6166" t="s">
        <v>40</v>
      </c>
      <c r="D6166">
        <v>4.7506940000000002</v>
      </c>
      <c r="E6166">
        <v>0.49923380000000001</v>
      </c>
      <c r="F6166" t="s">
        <v>57</v>
      </c>
      <c r="G6166">
        <v>-184.1412</v>
      </c>
      <c r="H6166" s="1">
        <v>-1.404274E-5</v>
      </c>
      <c r="I6166">
        <v>-60.002409999999998</v>
      </c>
      <c r="J6166">
        <v>-228.94659999999999</v>
      </c>
      <c r="K6166">
        <v>1.120592</v>
      </c>
      <c r="L6166">
        <v>-62.112369999999999</v>
      </c>
      <c r="M6166">
        <v>0.99979340000000005</v>
      </c>
      <c r="N6166">
        <v>-1.1663639999999999E-2</v>
      </c>
      <c r="O6166">
        <v>-1.6653089999999999E-2</v>
      </c>
      <c r="P6166">
        <v>0.98231449999999998</v>
      </c>
      <c r="Q6166">
        <v>0.18099119999999999</v>
      </c>
      <c r="R6166">
        <v>4.7963619999999998E-2</v>
      </c>
      <c r="S6166">
        <v>3.061356</v>
      </c>
      <c r="T6166">
        <v>-7.6322559999999998E-2</v>
      </c>
      <c r="U6166">
        <v>0.14352419999999999</v>
      </c>
      <c r="V6166">
        <v>-6.4036949999999995E-2</v>
      </c>
      <c r="W6166">
        <v>0.1925183</v>
      </c>
      <c r="X6166">
        <v>0.97920169999999995</v>
      </c>
      <c r="Y6166">
        <v>-6.3430200000000006E-2</v>
      </c>
      <c r="Z6166">
        <v>1.3811489999999999E-3</v>
      </c>
      <c r="AA6166">
        <v>0.99798529999999996</v>
      </c>
      <c r="AB6166">
        <v>32</v>
      </c>
      <c r="AC6166">
        <v>44.805399999999899</v>
      </c>
      <c r="AD6166">
        <v>-1.12060604274</v>
      </c>
      <c r="AE6166">
        <v>2.1099600000000001</v>
      </c>
      <c r="AF6166">
        <v>-2.8540850530665698</v>
      </c>
      <c r="AG6166">
        <v>-1.12060604274</v>
      </c>
      <c r="AH6166">
        <v>44.736124468069796</v>
      </c>
      <c r="AI6166">
        <v>91.432005713189895</v>
      </c>
      <c r="AJ6166">
        <v>93.650421372872401</v>
      </c>
      <c r="AK6166">
        <v>44.841079289149597</v>
      </c>
      <c r="AL6166">
        <v>78.900214059258701</v>
      </c>
      <c r="AM6166">
        <v>93.741649733173205</v>
      </c>
      <c r="AN6166">
        <v>0.99999999804154105</v>
      </c>
    </row>
    <row r="6167" spans="1:40" x14ac:dyDescent="0.25">
      <c r="A6167" t="str">
        <f>"20190303162939989"</f>
        <v>20190303162939989</v>
      </c>
      <c r="B6167" t="str">
        <f>"1551601779978431"</f>
        <v>1551601779978431</v>
      </c>
      <c r="C6167" t="s">
        <v>40</v>
      </c>
      <c r="D6167">
        <v>4.742966</v>
      </c>
      <c r="E6167">
        <v>0.49922349999999999</v>
      </c>
      <c r="F6167" t="s">
        <v>57</v>
      </c>
      <c r="G6167">
        <v>-184.67609999999999</v>
      </c>
      <c r="H6167" s="1">
        <v>-1.3934630000000001E-5</v>
      </c>
      <c r="I6167">
        <v>-60.035490000000003</v>
      </c>
      <c r="J6167">
        <v>-228.80840000000001</v>
      </c>
      <c r="K6167">
        <v>1.1205889999999901</v>
      </c>
      <c r="L6167">
        <v>-62.114960000000004</v>
      </c>
      <c r="M6167">
        <v>0.99978840000000002</v>
      </c>
      <c r="N6167">
        <v>-1.1663969999999999E-2</v>
      </c>
      <c r="O6167">
        <v>-1.6949550000000001E-2</v>
      </c>
      <c r="P6167">
        <v>0.98236939999999995</v>
      </c>
      <c r="Q6167">
        <v>0.18072369999999999</v>
      </c>
      <c r="R6167">
        <v>4.7848179999999997E-2</v>
      </c>
      <c r="S6167">
        <v>3.0612949999999999</v>
      </c>
      <c r="T6167">
        <v>-7.7489730000000007E-2</v>
      </c>
      <c r="U6167">
        <v>0.14361570000000001</v>
      </c>
      <c r="V6167">
        <v>-6.4213580000000006E-2</v>
      </c>
      <c r="W6167">
        <v>0.19225249999999999</v>
      </c>
      <c r="X6167">
        <v>0.97924230000000001</v>
      </c>
      <c r="Y6167">
        <v>-6.3755839999999994E-2</v>
      </c>
      <c r="Z6167">
        <v>1.409666E-3</v>
      </c>
      <c r="AA6167">
        <v>0.99796459999999998</v>
      </c>
      <c r="AB6167">
        <v>32</v>
      </c>
      <c r="AC6167">
        <v>44.132300000000001</v>
      </c>
      <c r="AD6167">
        <v>-1.1206029346299999</v>
      </c>
      <c r="AE6167">
        <v>2.0794699999999899</v>
      </c>
      <c r="AF6167">
        <v>-2.8254270276718501</v>
      </c>
      <c r="AG6167">
        <v>-1.1206029346299999</v>
      </c>
      <c r="AH6167">
        <v>44.062364671916299</v>
      </c>
      <c r="AI6167">
        <v>91.453859125450705</v>
      </c>
      <c r="AJ6167">
        <v>93.668974896234104</v>
      </c>
      <c r="AK6167">
        <v>44.1670778896084</v>
      </c>
      <c r="AL6167">
        <v>78.915732586416794</v>
      </c>
      <c r="AM6167">
        <v>93.751785592085596</v>
      </c>
      <c r="AN6167">
        <v>0.99999994486097599</v>
      </c>
    </row>
    <row r="6168" spans="1:40" x14ac:dyDescent="0.25">
      <c r="A6168" t="str">
        <f>"20190303162939999"</f>
        <v>20190303162939999</v>
      </c>
      <c r="B6168" t="str">
        <f>"1551601779988191"</f>
        <v>1551601779988191</v>
      </c>
      <c r="C6168" t="s">
        <v>40</v>
      </c>
      <c r="D6168">
        <v>4.7678690000000001</v>
      </c>
      <c r="E6168">
        <v>0.49925779999999997</v>
      </c>
      <c r="F6168" t="s">
        <v>57</v>
      </c>
      <c r="G6168">
        <v>-184.8828</v>
      </c>
      <c r="H6168" s="1">
        <v>-1.389699E-5</v>
      </c>
      <c r="I6168">
        <v>-60.061660000000003</v>
      </c>
      <c r="J6168">
        <v>-228.64709999999999</v>
      </c>
      <c r="K6168">
        <v>1.1205849999999999</v>
      </c>
      <c r="L6168">
        <v>-62.118009999999998</v>
      </c>
      <c r="M6168">
        <v>0.99978239999999996</v>
      </c>
      <c r="N6168">
        <v>-1.1664310000000001E-2</v>
      </c>
      <c r="O6168">
        <v>-1.7295370000000001E-2</v>
      </c>
      <c r="P6168">
        <v>0.98242370000000001</v>
      </c>
      <c r="Q6168">
        <v>0.18052869999999999</v>
      </c>
      <c r="R6168">
        <v>4.7469310000000001E-2</v>
      </c>
      <c r="S6168">
        <v>3.0612339999999998</v>
      </c>
      <c r="T6168">
        <v>-7.8096269999999995E-2</v>
      </c>
      <c r="U6168">
        <v>0.1430969</v>
      </c>
      <c r="V6168">
        <v>-6.4175930000000006E-2</v>
      </c>
      <c r="W6168">
        <v>0.1920578</v>
      </c>
      <c r="X6168">
        <v>0.97928300000000001</v>
      </c>
      <c r="Y6168">
        <v>-6.3932649999999994E-2</v>
      </c>
      <c r="Z6168">
        <v>1.427436E-3</v>
      </c>
      <c r="AA6168">
        <v>0.99795319999999998</v>
      </c>
      <c r="AB6168">
        <v>32</v>
      </c>
      <c r="AC6168">
        <v>43.764299999999899</v>
      </c>
      <c r="AD6168">
        <v>-1.12059889699</v>
      </c>
      <c r="AE6168">
        <v>2.0563500000000001</v>
      </c>
      <c r="AF6168">
        <v>-2.8111745860975201</v>
      </c>
      <c r="AG6168">
        <v>-1.12059889699</v>
      </c>
      <c r="AH6168">
        <v>43.693601428692403</v>
      </c>
      <c r="AI6168">
        <v>91.466098571340197</v>
      </c>
      <c r="AJ6168">
        <v>93.681242580326995</v>
      </c>
      <c r="AK6168">
        <v>43.798279078645201</v>
      </c>
      <c r="AL6168">
        <v>78.927100207014902</v>
      </c>
      <c r="AM6168">
        <v>93.749436712802407</v>
      </c>
      <c r="AN6168">
        <v>0.99999997131060103</v>
      </c>
    </row>
    <row r="6169" spans="1:40" x14ac:dyDescent="0.25">
      <c r="A6169" t="str">
        <f>"20190303162940011"</f>
        <v>20190303162940011</v>
      </c>
      <c r="B6169" t="str">
        <f>"1551601779997952"</f>
        <v>1551601779997952</v>
      </c>
      <c r="C6169" t="s">
        <v>40</v>
      </c>
      <c r="D6169">
        <v>4.9019180000000002</v>
      </c>
      <c r="E6169">
        <v>0.4992683</v>
      </c>
      <c r="F6169" t="s">
        <v>57</v>
      </c>
      <c r="G6169">
        <v>-185.1233</v>
      </c>
      <c r="H6169" s="1">
        <v>-1.3856679999999999E-5</v>
      </c>
      <c r="I6169">
        <v>-60.10351</v>
      </c>
      <c r="J6169">
        <v>-228.48910000000001</v>
      </c>
      <c r="K6169">
        <v>1.120592</v>
      </c>
      <c r="L6169">
        <v>-62.121090000000002</v>
      </c>
      <c r="M6169">
        <v>0.99977649999999996</v>
      </c>
      <c r="N6169">
        <v>-1.166463E-2</v>
      </c>
      <c r="O6169">
        <v>-1.7634279999999999E-2</v>
      </c>
      <c r="P6169">
        <v>0.98246310000000003</v>
      </c>
      <c r="Q6169">
        <v>0.1803507</v>
      </c>
      <c r="R6169">
        <v>4.7328589999999997E-2</v>
      </c>
      <c r="S6169">
        <v>3.0613100000000002</v>
      </c>
      <c r="T6169">
        <v>-7.8818920000000001E-2</v>
      </c>
      <c r="U6169">
        <v>0.14169309999999999</v>
      </c>
      <c r="V6169">
        <v>-6.4368239999999993E-2</v>
      </c>
      <c r="W6169">
        <v>0.191881</v>
      </c>
      <c r="X6169">
        <v>0.97930510000000004</v>
      </c>
      <c r="Y6169">
        <v>-6.3812629999999995E-2</v>
      </c>
      <c r="Z6169">
        <v>1.4415610000000001E-3</v>
      </c>
      <c r="AA6169">
        <v>0.99796090000000004</v>
      </c>
      <c r="AB6169">
        <v>32</v>
      </c>
      <c r="AC6169">
        <v>43.3658</v>
      </c>
      <c r="AD6169">
        <v>-1.1206058566799999</v>
      </c>
      <c r="AE6169">
        <v>2.0175800000000002</v>
      </c>
      <c r="AF6169">
        <v>-2.7801904408167402</v>
      </c>
      <c r="AG6169">
        <v>-1.1206058566799999</v>
      </c>
      <c r="AH6169">
        <v>43.294627527619902</v>
      </c>
      <c r="AI6169">
        <v>91.479623969411804</v>
      </c>
      <c r="AJ6169">
        <v>93.674237928764796</v>
      </c>
      <c r="AK6169">
        <v>43.398271729742603</v>
      </c>
      <c r="AL6169">
        <v>78.937422777263095</v>
      </c>
      <c r="AM6169">
        <v>93.760555482712107</v>
      </c>
      <c r="AN6169">
        <v>1.0000000336838499</v>
      </c>
    </row>
    <row r="6170" spans="1:40" x14ac:dyDescent="0.25">
      <c r="A6170" t="str">
        <f>"20190303162940023"</f>
        <v>20190303162940023</v>
      </c>
      <c r="B6170" t="str">
        <f>"1551601780007712"</f>
        <v>1551601780007712</v>
      </c>
      <c r="C6170" t="s">
        <v>40</v>
      </c>
      <c r="D6170">
        <v>4.7379930000000003</v>
      </c>
      <c r="E6170">
        <v>0.49927199999999999</v>
      </c>
      <c r="F6170" t="s">
        <v>57</v>
      </c>
      <c r="G6170">
        <v>-185.26230000000001</v>
      </c>
      <c r="H6170" s="1">
        <v>-1.383351E-5</v>
      </c>
      <c r="I6170">
        <v>-60.12809</v>
      </c>
      <c r="J6170">
        <v>-228.3177</v>
      </c>
      <c r="K6170">
        <v>1.1205889999999901</v>
      </c>
      <c r="L6170">
        <v>-62.124479999999998</v>
      </c>
      <c r="M6170">
        <v>0.99977000000000005</v>
      </c>
      <c r="N6170">
        <v>-1.166496E-2</v>
      </c>
      <c r="O6170">
        <v>-1.8001909999999999E-2</v>
      </c>
      <c r="P6170">
        <v>0.98251900000000003</v>
      </c>
      <c r="Q6170">
        <v>0.1801546</v>
      </c>
      <c r="R6170">
        <v>4.6913410000000003E-2</v>
      </c>
      <c r="S6170">
        <v>3.0613250000000001</v>
      </c>
      <c r="T6170">
        <v>-7.9361199999999896E-2</v>
      </c>
      <c r="U6170">
        <v>0.14114380000000001</v>
      </c>
      <c r="V6170">
        <v>-6.431518E-2</v>
      </c>
      <c r="W6170">
        <v>0.19168579999999999</v>
      </c>
      <c r="X6170">
        <v>0.97934679999999996</v>
      </c>
      <c r="Y6170">
        <v>-6.4000139999999997E-2</v>
      </c>
      <c r="Z6170">
        <v>1.4590919999999999E-3</v>
      </c>
      <c r="AA6170">
        <v>0.99794879999999997</v>
      </c>
      <c r="AB6170">
        <v>32</v>
      </c>
      <c r="AC6170">
        <v>43.055399999999899</v>
      </c>
      <c r="AD6170">
        <v>-1.12060283350999</v>
      </c>
      <c r="AE6170">
        <v>1.9963900000000001</v>
      </c>
      <c r="AF6170">
        <v>-2.7693266153196601</v>
      </c>
      <c r="AG6170">
        <v>-1.12060283350999</v>
      </c>
      <c r="AH6170">
        <v>42.983426050687797</v>
      </c>
      <c r="AI6170">
        <v>91.490307418448197</v>
      </c>
      <c r="AJ6170">
        <v>93.686344778375499</v>
      </c>
      <c r="AK6170">
        <v>43.087119138644397</v>
      </c>
      <c r="AL6170">
        <v>78.948818311227797</v>
      </c>
      <c r="AM6170">
        <v>93.757304934878604</v>
      </c>
      <c r="AN6170">
        <v>1.0000000214851501</v>
      </c>
    </row>
    <row r="6171" spans="1:40" x14ac:dyDescent="0.25">
      <c r="A6171" t="str">
        <f>"20190303162940033"</f>
        <v>20190303162940033</v>
      </c>
      <c r="B6171" t="str">
        <f>"1551601780028207"</f>
        <v>1551601780028207</v>
      </c>
      <c r="C6171" t="s">
        <v>40</v>
      </c>
      <c r="D6171">
        <v>4.7234939999999996</v>
      </c>
      <c r="E6171">
        <v>0.4902532</v>
      </c>
      <c r="F6171" t="s">
        <v>57</v>
      </c>
      <c r="G6171">
        <v>-185.6053</v>
      </c>
      <c r="H6171" s="1">
        <v>-1.3771389999999999E-5</v>
      </c>
      <c r="I6171">
        <v>-60.172730000000001</v>
      </c>
      <c r="J6171">
        <v>-228.167</v>
      </c>
      <c r="K6171">
        <v>1.1205889999999901</v>
      </c>
      <c r="L6171">
        <v>-62.12753</v>
      </c>
      <c r="M6171">
        <v>0.99976419999999999</v>
      </c>
      <c r="N6171">
        <v>-1.166532E-2</v>
      </c>
      <c r="O6171">
        <v>-1.83252E-2</v>
      </c>
      <c r="P6171">
        <v>0.98260689999999995</v>
      </c>
      <c r="Q6171">
        <v>0.17977379999999901</v>
      </c>
      <c r="R6171">
        <v>4.6535479999999997E-2</v>
      </c>
      <c r="S6171">
        <v>3.0614319999999999</v>
      </c>
      <c r="T6171">
        <v>-8.0319760000000004E-2</v>
      </c>
      <c r="U6171">
        <v>0.13989260000000001</v>
      </c>
      <c r="V6171">
        <v>-6.425699E-2</v>
      </c>
      <c r="W6171">
        <v>0.1913058</v>
      </c>
      <c r="X6171">
        <v>0.97942490000000004</v>
      </c>
      <c r="Y6171">
        <v>-6.3913520000000001E-2</v>
      </c>
      <c r="Z6171">
        <v>1.477768E-3</v>
      </c>
      <c r="AA6171">
        <v>0.99795440000000002</v>
      </c>
      <c r="AB6171">
        <v>32</v>
      </c>
      <c r="AC6171">
        <v>42.561700000000002</v>
      </c>
      <c r="AD6171">
        <v>-1.12060277138999</v>
      </c>
      <c r="AE6171">
        <v>1.9548000000000001</v>
      </c>
      <c r="AF6171">
        <v>-2.7325860351894602</v>
      </c>
      <c r="AG6171">
        <v>-1.12060277138999</v>
      </c>
      <c r="AH6171">
        <v>42.489335437841603</v>
      </c>
      <c r="AI6171">
        <v>91.507640698057102</v>
      </c>
      <c r="AJ6171">
        <v>93.679754554925793</v>
      </c>
      <c r="AK6171">
        <v>42.591858411677499</v>
      </c>
      <c r="AL6171">
        <v>78.971001022766103</v>
      </c>
      <c r="AM6171">
        <v>93.753616704675693</v>
      </c>
      <c r="AN6171">
        <v>1.0000000023087501</v>
      </c>
    </row>
    <row r="6172" spans="1:40" x14ac:dyDescent="0.25">
      <c r="A6172" t="str">
        <f>"20190303162940044"</f>
        <v>20190303162940044</v>
      </c>
      <c r="B6172" t="str">
        <f>"1551601780037968"</f>
        <v>1551601780037968</v>
      </c>
      <c r="C6172" t="s">
        <v>40</v>
      </c>
      <c r="D6172">
        <v>4.7842060000000002</v>
      </c>
      <c r="E6172">
        <v>0.48811969999999999</v>
      </c>
      <c r="F6172" t="s">
        <v>57</v>
      </c>
      <c r="G6172">
        <v>-207.8442</v>
      </c>
      <c r="H6172" s="1">
        <v>-1.3918120000000001E-6</v>
      </c>
      <c r="I6172">
        <v>-60.742550000000001</v>
      </c>
      <c r="J6172">
        <v>-228.011</v>
      </c>
      <c r="K6172">
        <v>1.120584</v>
      </c>
      <c r="L6172">
        <v>-62.130679999999998</v>
      </c>
      <c r="M6172">
        <v>0.99975780000000003</v>
      </c>
      <c r="N6172">
        <v>-1.1665699999999999E-2</v>
      </c>
      <c r="O6172">
        <v>-1.8659700000000001E-2</v>
      </c>
      <c r="P6172">
        <v>0.98267689999999996</v>
      </c>
      <c r="Q6172">
        <v>0.1794299</v>
      </c>
      <c r="R6172">
        <v>4.6377729999999999E-2</v>
      </c>
      <c r="S6172">
        <v>3.0741879999999999</v>
      </c>
      <c r="T6172">
        <v>-0.16950989999999999</v>
      </c>
      <c r="U6172">
        <v>0.2095032</v>
      </c>
      <c r="V6172">
        <v>-6.4429009999999995E-2</v>
      </c>
      <c r="W6172">
        <v>0.1909631</v>
      </c>
      <c r="X6172">
        <v>0.97948040000000003</v>
      </c>
      <c r="Y6172">
        <v>-8.6421300000000006E-2</v>
      </c>
      <c r="Z6172">
        <v>3.6929699999999998E-3</v>
      </c>
      <c r="AA6172">
        <v>0.99625180000000002</v>
      </c>
      <c r="AB6172">
        <v>32</v>
      </c>
      <c r="AC6172">
        <v>20.166799999999899</v>
      </c>
      <c r="AD6172">
        <v>-1.1205853918119999</v>
      </c>
      <c r="AE6172">
        <v>1.3881300000000001</v>
      </c>
      <c r="AF6172">
        <v>-1.7588154950985699</v>
      </c>
      <c r="AG6172">
        <v>-1.1205853918119999</v>
      </c>
      <c r="AH6172">
        <v>20.0756917968077</v>
      </c>
      <c r="AI6172">
        <v>93.182656322411006</v>
      </c>
      <c r="AJ6172">
        <v>95.006854257794799</v>
      </c>
      <c r="AK6172">
        <v>20.183719793104402</v>
      </c>
      <c r="AL6172">
        <v>78.991004260629097</v>
      </c>
      <c r="AM6172">
        <v>93.763423884905293</v>
      </c>
      <c r="AN6172">
        <v>0.99999992843767205</v>
      </c>
    </row>
    <row r="6173" spans="1:40" x14ac:dyDescent="0.25">
      <c r="A6173" t="str">
        <f>"20190303162940055"</f>
        <v>20190303162940055</v>
      </c>
      <c r="B6173" t="str">
        <f>"1551601780047728"</f>
        <v>1551601780047728</v>
      </c>
      <c r="C6173" t="s">
        <v>40</v>
      </c>
      <c r="D6173">
        <v>4.7781440000000002</v>
      </c>
      <c r="E6173">
        <v>0.48680899999999999</v>
      </c>
      <c r="F6173" t="s">
        <v>68</v>
      </c>
      <c r="G6173">
        <v>-210.0625</v>
      </c>
      <c r="H6173" s="1">
        <v>8.8972460000000001E-7</v>
      </c>
      <c r="I6173">
        <v>-60.813639999999999</v>
      </c>
      <c r="J6173">
        <v>-227.8569</v>
      </c>
      <c r="K6173">
        <v>1.120584</v>
      </c>
      <c r="L6173">
        <v>-62.13391</v>
      </c>
      <c r="M6173">
        <v>0.99975170000000002</v>
      </c>
      <c r="N6173">
        <v>-1.1666080000000001E-2</v>
      </c>
      <c r="O6173">
        <v>-1.8990489999999999E-2</v>
      </c>
      <c r="P6173">
        <v>0.98278370000000004</v>
      </c>
      <c r="Q6173">
        <v>0.17894070000000001</v>
      </c>
      <c r="R6173">
        <v>4.600605E-2</v>
      </c>
      <c r="S6173">
        <v>3.0773320000000002</v>
      </c>
      <c r="T6173">
        <v>-0.19212789999999999</v>
      </c>
      <c r="U6173">
        <v>0.22579959999999999</v>
      </c>
      <c r="V6173">
        <v>-6.4385250000000005E-2</v>
      </c>
      <c r="W6173">
        <v>0.19047539999999999</v>
      </c>
      <c r="X6173">
        <v>0.97957830000000001</v>
      </c>
      <c r="Y6173">
        <v>-9.1870300000000002E-2</v>
      </c>
      <c r="Z6173">
        <v>4.3604969999999996E-3</v>
      </c>
      <c r="AA6173">
        <v>0.99576149999999997</v>
      </c>
      <c r="AB6173">
        <v>32</v>
      </c>
      <c r="AC6173">
        <v>17.7943999999999</v>
      </c>
      <c r="AD6173">
        <v>-1.12058311027539</v>
      </c>
      <c r="AE6173">
        <v>1.3202700000000001</v>
      </c>
      <c r="AF6173">
        <v>-1.65146582972558</v>
      </c>
      <c r="AG6173">
        <v>-1.12058311027539</v>
      </c>
      <c r="AH6173">
        <v>17.696321979840601</v>
      </c>
      <c r="AI6173">
        <v>93.6076653710725</v>
      </c>
      <c r="AJ6173">
        <v>95.331546174759495</v>
      </c>
      <c r="AK6173">
        <v>17.808505201391199</v>
      </c>
      <c r="AL6173">
        <v>79.019470620466905</v>
      </c>
      <c r="AM6173">
        <v>93.760500329433697</v>
      </c>
      <c r="AN6173">
        <v>0.99999999212680601</v>
      </c>
    </row>
    <row r="6174" spans="1:40" x14ac:dyDescent="0.25">
      <c r="A6174" t="str">
        <f>"20190303162940066"</f>
        <v>20190303162940066</v>
      </c>
      <c r="B6174" t="str">
        <f>"1551601780058464"</f>
        <v>1551601780058464</v>
      </c>
      <c r="C6174" t="s">
        <v>40</v>
      </c>
      <c r="D6174">
        <v>4.7350479999999999</v>
      </c>
      <c r="E6174">
        <v>0.48634060000000001</v>
      </c>
      <c r="F6174" t="s">
        <v>68</v>
      </c>
      <c r="G6174">
        <v>-210.92590000000001</v>
      </c>
      <c r="H6174" s="1">
        <v>5.1163579999999995E-7</v>
      </c>
      <c r="I6174">
        <v>-60.842559999999999</v>
      </c>
      <c r="J6174">
        <v>-227.7003</v>
      </c>
      <c r="K6174">
        <v>1.1205830000000001</v>
      </c>
      <c r="L6174">
        <v>-62.137210000000003</v>
      </c>
      <c r="M6174">
        <v>0.9997452</v>
      </c>
      <c r="N6174">
        <v>-1.166644E-2</v>
      </c>
      <c r="O6174">
        <v>-1.9326300000000001E-2</v>
      </c>
      <c r="P6174">
        <v>0.98273980000000005</v>
      </c>
      <c r="Q6174">
        <v>0.1792194</v>
      </c>
      <c r="R6174">
        <v>4.5861180000000001E-2</v>
      </c>
      <c r="S6174">
        <v>3.0786440000000002</v>
      </c>
      <c r="T6174">
        <v>-0.20376179999999999</v>
      </c>
      <c r="U6174">
        <v>0.23480219999999999</v>
      </c>
      <c r="V6174">
        <v>-6.4569000000000001E-2</v>
      </c>
      <c r="W6174">
        <v>0.1907539</v>
      </c>
      <c r="X6174">
        <v>0.97951200000000005</v>
      </c>
      <c r="Y6174">
        <v>-9.5032649999999996E-2</v>
      </c>
      <c r="Z6174">
        <v>4.7439329999999997E-3</v>
      </c>
      <c r="AA6174">
        <v>0.99546279999999998</v>
      </c>
      <c r="AB6174">
        <v>32</v>
      </c>
      <c r="AC6174">
        <v>16.774399999999901</v>
      </c>
      <c r="AD6174">
        <v>-1.1205824883641999</v>
      </c>
      <c r="AE6174">
        <v>1.2946499999999901</v>
      </c>
      <c r="AF6174">
        <v>-1.6114684536025701</v>
      </c>
      <c r="AG6174">
        <v>-1.1205824883641999</v>
      </c>
      <c r="AH6174">
        <v>16.6722819876606</v>
      </c>
      <c r="AI6174">
        <v>93.827414632260002</v>
      </c>
      <c r="AJ6174">
        <v>95.520804924317702</v>
      </c>
      <c r="AK6174">
        <v>16.787421552050699</v>
      </c>
      <c r="AL6174">
        <v>79.003215599701804</v>
      </c>
      <c r="AM6174">
        <v>93.771456074132502</v>
      </c>
      <c r="AN6174">
        <v>0.99999998213510399</v>
      </c>
    </row>
    <row r="6175" spans="1:40" x14ac:dyDescent="0.25">
      <c r="A6175" t="str">
        <f>"20190303162940077"</f>
        <v>20190303162940077</v>
      </c>
      <c r="B6175" t="str">
        <f>"1551601780067716"</f>
        <v>1551601780067716</v>
      </c>
      <c r="C6175" t="s">
        <v>40</v>
      </c>
      <c r="D6175">
        <v>4.6907639999999997</v>
      </c>
      <c r="E6175">
        <v>0.48612929999999999</v>
      </c>
      <c r="F6175" t="s">
        <v>68</v>
      </c>
      <c r="G6175">
        <v>-210.76439999999999</v>
      </c>
      <c r="H6175" s="1">
        <v>5.842433E-7</v>
      </c>
      <c r="I6175">
        <v>-60.830080000000002</v>
      </c>
      <c r="J6175">
        <v>-227.54339999999999</v>
      </c>
      <c r="K6175">
        <v>1.1205849999999999</v>
      </c>
      <c r="L6175">
        <v>-62.140590000000003</v>
      </c>
      <c r="M6175">
        <v>0.99973860000000003</v>
      </c>
      <c r="N6175">
        <v>-1.166677E-2</v>
      </c>
      <c r="O6175">
        <v>-1.9662820000000001E-2</v>
      </c>
      <c r="P6175">
        <v>0.98274309999999998</v>
      </c>
      <c r="Q6175">
        <v>0.1792714</v>
      </c>
      <c r="R6175">
        <v>4.5582820000000003E-2</v>
      </c>
      <c r="S6175">
        <v>3.078751</v>
      </c>
      <c r="T6175">
        <v>-0.20370859999999999</v>
      </c>
      <c r="U6175">
        <v>0.23760990000000001</v>
      </c>
      <c r="V6175">
        <v>-6.4621109999999995E-2</v>
      </c>
      <c r="W6175">
        <v>0.19080639999999999</v>
      </c>
      <c r="X6175">
        <v>0.97949839999999999</v>
      </c>
      <c r="Y6175">
        <v>-9.6264059999999999E-2</v>
      </c>
      <c r="Z6175">
        <v>4.8086530000000004E-3</v>
      </c>
      <c r="AA6175">
        <v>0.99534420000000001</v>
      </c>
      <c r="AB6175">
        <v>32</v>
      </c>
      <c r="AC6175">
        <v>16.7789999999999</v>
      </c>
      <c r="AD6175">
        <v>-1.1205844157567</v>
      </c>
      <c r="AE6175">
        <v>1.3105100000000001</v>
      </c>
      <c r="AF6175">
        <v>-1.6329622911055399</v>
      </c>
      <c r="AG6175">
        <v>-1.1205844157567</v>
      </c>
      <c r="AH6175">
        <v>16.6760575362533</v>
      </c>
      <c r="AI6175">
        <v>93.826091372122406</v>
      </c>
      <c r="AJ6175">
        <v>95.592719172892402</v>
      </c>
      <c r="AK6175">
        <v>16.7932477570433</v>
      </c>
      <c r="AL6175">
        <v>79.0001519647832</v>
      </c>
      <c r="AM6175">
        <v>93.774543264758705</v>
      </c>
      <c r="AN6175">
        <v>1.00000004287057</v>
      </c>
    </row>
    <row r="6176" spans="1:40" x14ac:dyDescent="0.25">
      <c r="A6176" t="str">
        <f>"20190303162940090"</f>
        <v>20190303162940090</v>
      </c>
      <c r="B6176" t="str">
        <f>"1551601780078451"</f>
        <v>1551601780078451</v>
      </c>
      <c r="C6176" t="s">
        <v>40</v>
      </c>
      <c r="D6176">
        <v>4.7013099999999897</v>
      </c>
      <c r="E6176">
        <v>0.48585279999999997</v>
      </c>
      <c r="F6176" t="s">
        <v>68</v>
      </c>
      <c r="G6176">
        <v>-210.53030000000001</v>
      </c>
      <c r="H6176" s="1">
        <v>6.8610509999999995E-7</v>
      </c>
      <c r="I6176">
        <v>-60.824759999999998</v>
      </c>
      <c r="J6176">
        <v>-227.38159999999999</v>
      </c>
      <c r="K6176">
        <v>1.1205889999999901</v>
      </c>
      <c r="L6176">
        <v>-62.1440699999999</v>
      </c>
      <c r="M6176">
        <v>0.99973179999999995</v>
      </c>
      <c r="N6176">
        <v>-1.166713E-2</v>
      </c>
      <c r="O6176">
        <v>-2.0009949999999999E-2</v>
      </c>
      <c r="P6176">
        <v>0.9826956</v>
      </c>
      <c r="Q6176">
        <v>0.1795938</v>
      </c>
      <c r="R6176">
        <v>4.5335729999999998E-2</v>
      </c>
      <c r="S6176">
        <v>3.0786440000000002</v>
      </c>
      <c r="T6176">
        <v>-0.20277770000000001</v>
      </c>
      <c r="U6176">
        <v>0.23809810000000001</v>
      </c>
      <c r="V6176">
        <v>-6.4712749999999999E-2</v>
      </c>
      <c r="W6176">
        <v>0.1911284</v>
      </c>
      <c r="X6176">
        <v>0.97942949999999995</v>
      </c>
      <c r="Y6176">
        <v>-9.6769789999999994E-2</v>
      </c>
      <c r="Z6176">
        <v>4.8267259999999999E-3</v>
      </c>
      <c r="AA6176">
        <v>0.99529509999999999</v>
      </c>
      <c r="AB6176">
        <v>32</v>
      </c>
      <c r="AC6176">
        <v>16.851299999999899</v>
      </c>
      <c r="AD6176">
        <v>-1.12058831389489</v>
      </c>
      <c r="AE6176">
        <v>1.31930999999999</v>
      </c>
      <c r="AF6176">
        <v>-1.6490147732349101</v>
      </c>
      <c r="AG6176">
        <v>-1.12058831389489</v>
      </c>
      <c r="AH6176">
        <v>16.747915247331399</v>
      </c>
      <c r="AI6176">
        <v>93.809538141976404</v>
      </c>
      <c r="AJ6176">
        <v>95.623268953071602</v>
      </c>
      <c r="AK6176">
        <v>16.866168297019399</v>
      </c>
      <c r="AL6176">
        <v>78.981356072996803</v>
      </c>
      <c r="AM6176">
        <v>93.780145617748204</v>
      </c>
      <c r="AN6176">
        <v>0.99999997538468499</v>
      </c>
    </row>
    <row r="6177" spans="1:40" x14ac:dyDescent="0.25">
      <c r="A6177" t="str">
        <f>"20190303162940100"</f>
        <v>20190303162940100</v>
      </c>
      <c r="B6177" t="str">
        <f>"1551601780088213"</f>
        <v>1551601780088213</v>
      </c>
      <c r="C6177" t="s">
        <v>40</v>
      </c>
      <c r="D6177">
        <v>4.7332970000000003</v>
      </c>
      <c r="E6177">
        <v>0.48581990000000003</v>
      </c>
      <c r="F6177" t="s">
        <v>68</v>
      </c>
      <c r="G6177">
        <v>-210.19929999999999</v>
      </c>
      <c r="H6177" s="1">
        <v>8.3227719999999899E-7</v>
      </c>
      <c r="I6177">
        <v>-60.809119999999901</v>
      </c>
      <c r="J6177">
        <v>-227.21809999999999</v>
      </c>
      <c r="K6177">
        <v>1.1205889999999901</v>
      </c>
      <c r="L6177">
        <v>-62.147709999999996</v>
      </c>
      <c r="M6177">
        <v>0.99972459999999996</v>
      </c>
      <c r="N6177">
        <v>-1.1667520000000001E-2</v>
      </c>
      <c r="O6177">
        <v>-2.0360300000000001E-2</v>
      </c>
      <c r="P6177">
        <v>0.98257399999999995</v>
      </c>
      <c r="Q6177">
        <v>0.18034720000000001</v>
      </c>
      <c r="R6177">
        <v>4.4982439999999999E-2</v>
      </c>
      <c r="S6177">
        <v>3.0784910000000001</v>
      </c>
      <c r="T6177">
        <v>-0.2007709</v>
      </c>
      <c r="U6177">
        <v>0.2391663</v>
      </c>
      <c r="V6177">
        <v>-6.4700729999999998E-2</v>
      </c>
      <c r="W6177">
        <v>0.191881</v>
      </c>
      <c r="X6177">
        <v>0.97928320000000002</v>
      </c>
      <c r="Y6177">
        <v>-9.7468529999999998E-2</v>
      </c>
      <c r="Z6177">
        <v>4.8280470000000002E-3</v>
      </c>
      <c r="AA6177">
        <v>0.99522690000000003</v>
      </c>
      <c r="AB6177">
        <v>32</v>
      </c>
      <c r="AC6177">
        <v>17.018799999999999</v>
      </c>
      <c r="AD6177">
        <v>-1.12058816772279</v>
      </c>
      <c r="AE6177">
        <v>1.3385899999999999</v>
      </c>
      <c r="AF6177">
        <v>-1.67761545302722</v>
      </c>
      <c r="AG6177">
        <v>-1.12058816772279</v>
      </c>
      <c r="AH6177">
        <v>16.9151318786631</v>
      </c>
      <c r="AI6177">
        <v>93.771723168702195</v>
      </c>
      <c r="AJ6177">
        <v>95.663980344477096</v>
      </c>
      <c r="AK6177">
        <v>17.035016816030499</v>
      </c>
      <c r="AL6177">
        <v>78.937422895210702</v>
      </c>
      <c r="AM6177">
        <v>93.780008507247601</v>
      </c>
      <c r="AN6177">
        <v>1.00000004421288</v>
      </c>
    </row>
    <row r="6178" spans="1:40" x14ac:dyDescent="0.25">
      <c r="A6178" t="str">
        <f>"20190303162940112"</f>
        <v>20190303162940112</v>
      </c>
      <c r="B6178" t="str">
        <f>"1551601780097973"</f>
        <v>1551601780097973</v>
      </c>
      <c r="C6178" t="s">
        <v>40</v>
      </c>
      <c r="D6178">
        <v>4.6976370000000003</v>
      </c>
      <c r="E6178">
        <v>0.48573690000000003</v>
      </c>
      <c r="F6178" t="s">
        <v>68</v>
      </c>
      <c r="G6178">
        <v>-210.06120000000001</v>
      </c>
      <c r="H6178" s="1">
        <v>8.8837459999999896E-7</v>
      </c>
      <c r="I6178">
        <v>-60.820830000000001</v>
      </c>
      <c r="J6178">
        <v>-227.06139999999999</v>
      </c>
      <c r="K6178">
        <v>1.120595</v>
      </c>
      <c r="L6178">
        <v>-62.151249999999997</v>
      </c>
      <c r="M6178">
        <v>0.99971779999999999</v>
      </c>
      <c r="N6178">
        <v>-1.166789E-2</v>
      </c>
      <c r="O6178">
        <v>-2.0695990000000001E-2</v>
      </c>
      <c r="P6178">
        <v>0.98252740000000005</v>
      </c>
      <c r="Q6178">
        <v>0.18064769999999999</v>
      </c>
      <c r="R6178">
        <v>4.4794470000000003E-2</v>
      </c>
      <c r="S6178">
        <v>3.0792079999999999</v>
      </c>
      <c r="T6178">
        <v>-0.20111609999999999</v>
      </c>
      <c r="U6178">
        <v>0.2381287</v>
      </c>
      <c r="V6178">
        <v>-6.484065E-2</v>
      </c>
      <c r="W6178">
        <v>0.19218089999999999</v>
      </c>
      <c r="X6178">
        <v>0.9792151</v>
      </c>
      <c r="Y6178">
        <v>-9.7450229999999999E-2</v>
      </c>
      <c r="Z6178">
        <v>4.8520409999999996E-3</v>
      </c>
      <c r="AA6178">
        <v>0.99522860000000002</v>
      </c>
      <c r="AB6178">
        <v>32</v>
      </c>
      <c r="AC6178">
        <v>17.0001999999999</v>
      </c>
      <c r="AD6178">
        <v>-1.1205941116253999</v>
      </c>
      <c r="AE6178">
        <v>1.33041999999998</v>
      </c>
      <c r="AF6178">
        <v>-1.6747623737416899</v>
      </c>
      <c r="AG6178">
        <v>-1.1205941116253999</v>
      </c>
      <c r="AH6178">
        <v>16.896055802531901</v>
      </c>
      <c r="AI6178">
        <v>93.776010227491795</v>
      </c>
      <c r="AJ6178">
        <v>95.660752760310899</v>
      </c>
      <c r="AK6178">
        <v>17.0157944820035</v>
      </c>
      <c r="AL6178">
        <v>78.919913649639994</v>
      </c>
      <c r="AM6178">
        <v>93.788421954921503</v>
      </c>
      <c r="AN6178">
        <v>1.0000000101426201</v>
      </c>
    </row>
    <row r="6179" spans="1:40" x14ac:dyDescent="0.25">
      <c r="A6179" t="str">
        <f>"20190303162940124"</f>
        <v>20190303162940124</v>
      </c>
      <c r="B6179" t="str">
        <f>"1551601780118469"</f>
        <v>1551601780118469</v>
      </c>
      <c r="C6179" t="s">
        <v>40</v>
      </c>
      <c r="D6179">
        <v>4.7012049999999999</v>
      </c>
      <c r="E6179">
        <v>0.4856279</v>
      </c>
      <c r="F6179" t="s">
        <v>57</v>
      </c>
      <c r="G6179">
        <v>-209.74529999999999</v>
      </c>
      <c r="H6179" s="1">
        <v>-1.934511E-7</v>
      </c>
      <c r="I6179">
        <v>-60.81174</v>
      </c>
      <c r="J6179">
        <v>-226.89320000000001</v>
      </c>
      <c r="K6179">
        <v>1.1205959999999999</v>
      </c>
      <c r="L6179">
        <v>-62.155029999999996</v>
      </c>
      <c r="M6179">
        <v>0.99971019999999999</v>
      </c>
      <c r="N6179">
        <v>-1.166828E-2</v>
      </c>
      <c r="O6179">
        <v>-2.1056229999999999E-2</v>
      </c>
      <c r="P6179">
        <v>0.98246619999999996</v>
      </c>
      <c r="Q6179">
        <v>0.1809973</v>
      </c>
      <c r="R6179">
        <v>4.472454E-2</v>
      </c>
      <c r="S6179">
        <v>3.0791170000000001</v>
      </c>
      <c r="T6179">
        <v>-0.1992623</v>
      </c>
      <c r="U6179">
        <v>0.2381897</v>
      </c>
      <c r="V6179">
        <v>-6.5122340000000001E-2</v>
      </c>
      <c r="W6179">
        <v>0.19253049999999999</v>
      </c>
      <c r="X6179">
        <v>0.97912770000000005</v>
      </c>
      <c r="Y6179">
        <v>-9.7834039999999997E-2</v>
      </c>
      <c r="Z6179">
        <v>4.8442609999999999E-3</v>
      </c>
      <c r="AA6179">
        <v>0.99519100000000005</v>
      </c>
      <c r="AB6179">
        <v>32</v>
      </c>
      <c r="AC6179">
        <v>17.1479</v>
      </c>
      <c r="AD6179">
        <v>-1.1205961934511</v>
      </c>
      <c r="AE6179">
        <v>1.3432900000000001</v>
      </c>
      <c r="AF6179">
        <v>-1.6968845416742899</v>
      </c>
      <c r="AG6179">
        <v>-1.1205961934511</v>
      </c>
      <c r="AH6179">
        <v>17.043471279957799</v>
      </c>
      <c r="AI6179">
        <v>93.743288478071193</v>
      </c>
      <c r="AJ6179">
        <v>95.685753149938407</v>
      </c>
      <c r="AK6179">
        <v>17.1643545246332</v>
      </c>
      <c r="AL6179">
        <v>78.899501552647905</v>
      </c>
      <c r="AM6179">
        <v>93.805170552422396</v>
      </c>
      <c r="AN6179">
        <v>0.99999998275230695</v>
      </c>
    </row>
    <row r="6180" spans="1:40" x14ac:dyDescent="0.25">
      <c r="A6180" t="str">
        <f>"20190303162940135"</f>
        <v>20190303162940135</v>
      </c>
      <c r="B6180" t="str">
        <f>"1551601780128230"</f>
        <v>1551601780128230</v>
      </c>
      <c r="C6180" t="s">
        <v>40</v>
      </c>
      <c r="D6180">
        <v>4.6863729999999997</v>
      </c>
      <c r="E6180">
        <v>0.48552269999999997</v>
      </c>
      <c r="F6180" t="s">
        <v>57</v>
      </c>
      <c r="G6180">
        <v>-209.62280000000001</v>
      </c>
      <c r="H6180" s="1">
        <v>-2.7165189999999998E-7</v>
      </c>
      <c r="I6180">
        <v>-60.816650000000003</v>
      </c>
      <c r="J6180">
        <v>-226.7302</v>
      </c>
      <c r="K6180">
        <v>1.120601</v>
      </c>
      <c r="L6180">
        <v>-62.158839999999998</v>
      </c>
      <c r="M6180">
        <v>0.99970289999999995</v>
      </c>
      <c r="N6180">
        <v>-1.1668649999999999E-2</v>
      </c>
      <c r="O6180">
        <v>-2.1403459999999999E-2</v>
      </c>
      <c r="P6180">
        <v>0.98239259999999995</v>
      </c>
      <c r="Q6180">
        <v>0.1814182</v>
      </c>
      <c r="R6180">
        <v>4.4634489999999999E-2</v>
      </c>
      <c r="S6180">
        <v>3.0794980000000001</v>
      </c>
      <c r="T6180">
        <v>-0.1998142</v>
      </c>
      <c r="U6180">
        <v>0.23864750000000001</v>
      </c>
      <c r="V6180">
        <v>-6.5371280000000004E-2</v>
      </c>
      <c r="W6180">
        <v>0.1929506</v>
      </c>
      <c r="X6180">
        <v>0.97902840000000002</v>
      </c>
      <c r="Y6180">
        <v>-9.8314230000000002E-2</v>
      </c>
      <c r="Z6180">
        <v>4.8929689999999996E-3</v>
      </c>
      <c r="AA6180">
        <v>0.99514340000000001</v>
      </c>
      <c r="AB6180">
        <v>32</v>
      </c>
      <c r="AC6180">
        <v>17.107399999999899</v>
      </c>
      <c r="AD6180">
        <v>-1.1206012716519</v>
      </c>
      <c r="AE6180">
        <v>1.34219</v>
      </c>
      <c r="AF6180">
        <v>-1.70081181377298</v>
      </c>
      <c r="AG6180">
        <v>-1.1206012716519</v>
      </c>
      <c r="AH6180">
        <v>17.002244795473199</v>
      </c>
      <c r="AI6180">
        <v>93.752181482080502</v>
      </c>
      <c r="AJ6180">
        <v>95.712552788878597</v>
      </c>
      <c r="AK6180">
        <v>17.123809042415001</v>
      </c>
      <c r="AL6180">
        <v>78.874971545188302</v>
      </c>
      <c r="AM6180">
        <v>93.820059686164896</v>
      </c>
      <c r="AN6180">
        <v>0.99999997314787803</v>
      </c>
    </row>
    <row r="6181" spans="1:40" x14ac:dyDescent="0.25">
      <c r="A6181" t="str">
        <f>"20190303162940146"</f>
        <v>20190303162940146</v>
      </c>
      <c r="B6181" t="str">
        <f>"1551601780137988"</f>
        <v>1551601780137988</v>
      </c>
      <c r="C6181" t="s">
        <v>40</v>
      </c>
      <c r="D6181">
        <v>4.7030139999999996</v>
      </c>
      <c r="E6181">
        <v>0.48542659999999999</v>
      </c>
      <c r="F6181" t="s">
        <v>57</v>
      </c>
      <c r="G6181">
        <v>-209.3974</v>
      </c>
      <c r="H6181" s="1">
        <v>-4.14559E-7</v>
      </c>
      <c r="I6181">
        <v>-60.814149999999998</v>
      </c>
      <c r="J6181">
        <v>-226.5702</v>
      </c>
      <c r="K6181">
        <v>1.1206020000000001</v>
      </c>
      <c r="L6181">
        <v>-62.162599999999998</v>
      </c>
      <c r="M6181">
        <v>0.99969549999999996</v>
      </c>
      <c r="N6181">
        <v>-1.166902E-2</v>
      </c>
      <c r="O6181">
        <v>-2.1743660000000001E-2</v>
      </c>
      <c r="P6181">
        <v>0.98228919999999997</v>
      </c>
      <c r="Q6181">
        <v>0.18196809999999999</v>
      </c>
      <c r="R6181">
        <v>4.4671990000000002E-2</v>
      </c>
      <c r="S6181">
        <v>3.079666</v>
      </c>
      <c r="T6181">
        <v>-0.19910620000000001</v>
      </c>
      <c r="U6181">
        <v>0.2389221</v>
      </c>
      <c r="V6181">
        <v>-6.5740300000000002E-2</v>
      </c>
      <c r="W6181">
        <v>0.1934999</v>
      </c>
      <c r="X6181">
        <v>0.97889530000000002</v>
      </c>
      <c r="Y6181">
        <v>-9.8737279999999997E-2</v>
      </c>
      <c r="Z6181">
        <v>4.9106660000000002E-3</v>
      </c>
      <c r="AA6181">
        <v>0.99510140000000002</v>
      </c>
      <c r="AB6181">
        <v>32</v>
      </c>
      <c r="AC6181">
        <v>17.172799999999899</v>
      </c>
      <c r="AD6181">
        <v>-1.1206024145589999</v>
      </c>
      <c r="AE6181">
        <v>1.3484499999999899</v>
      </c>
      <c r="AF6181">
        <v>-1.71430107783735</v>
      </c>
      <c r="AG6181">
        <v>-1.1206024145589999</v>
      </c>
      <c r="AH6181">
        <v>17.0671879122463</v>
      </c>
      <c r="AI6181">
        <v>93.737796689871303</v>
      </c>
      <c r="AJ6181">
        <v>95.735794287234896</v>
      </c>
      <c r="AK6181">
        <v>17.189632956782901</v>
      </c>
      <c r="AL6181">
        <v>78.842894802349605</v>
      </c>
      <c r="AM6181">
        <v>93.842080254688298</v>
      </c>
      <c r="AN6181">
        <v>1.00000000335309</v>
      </c>
    </row>
    <row r="6182" spans="1:40" x14ac:dyDescent="0.25">
      <c r="A6182" t="str">
        <f>"20190303162940157"</f>
        <v>20190303162940157</v>
      </c>
      <c r="B6182" t="str">
        <f>"1551601780147748"</f>
        <v>1551601780147748</v>
      </c>
      <c r="C6182" t="s">
        <v>40</v>
      </c>
      <c r="D6182">
        <v>4.7117990000000001</v>
      </c>
      <c r="E6182">
        <v>0.48532540000000002</v>
      </c>
      <c r="F6182" t="s">
        <v>57</v>
      </c>
      <c r="G6182">
        <v>-209.2088</v>
      </c>
      <c r="H6182" s="1">
        <v>-5.3440929999999998E-7</v>
      </c>
      <c r="I6182">
        <v>-60.813960000000002</v>
      </c>
      <c r="J6182">
        <v>-226.4051</v>
      </c>
      <c r="K6182">
        <v>1.1206100000000001</v>
      </c>
      <c r="L6182">
        <v>-62.166559999999997</v>
      </c>
      <c r="M6182">
        <v>0.99968789999999996</v>
      </c>
      <c r="N6182">
        <v>-1.16694E-2</v>
      </c>
      <c r="O6182">
        <v>-2.209231E-2</v>
      </c>
      <c r="P6182">
        <v>0.98209729999999995</v>
      </c>
      <c r="Q6182">
        <v>0.18302189999999999</v>
      </c>
      <c r="R6182">
        <v>4.4586140000000003E-2</v>
      </c>
      <c r="S6182">
        <v>3.0800320000000001</v>
      </c>
      <c r="T6182">
        <v>-0.1988029</v>
      </c>
      <c r="U6182">
        <v>0.23925779999999999</v>
      </c>
      <c r="V6182">
        <v>-6.5991430000000004E-2</v>
      </c>
      <c r="W6182">
        <v>0.1945519</v>
      </c>
      <c r="X6182">
        <v>0.97866989999999998</v>
      </c>
      <c r="Y6182">
        <v>-9.9182259999999994E-2</v>
      </c>
      <c r="Z6182">
        <v>4.9384670000000002E-3</v>
      </c>
      <c r="AA6182">
        <v>0.99505699999999997</v>
      </c>
      <c r="AB6182">
        <v>32</v>
      </c>
      <c r="AC6182">
        <v>17.196300000000001</v>
      </c>
      <c r="AD6182">
        <v>-1.1206105344093</v>
      </c>
      <c r="AE6182">
        <v>1.3526</v>
      </c>
      <c r="AF6182">
        <v>-1.72492168681291</v>
      </c>
      <c r="AG6182">
        <v>-1.1206105344093</v>
      </c>
      <c r="AH6182">
        <v>17.090090124747601</v>
      </c>
      <c r="AI6182">
        <v>93.732648230999004</v>
      </c>
      <c r="AJ6182">
        <v>95.763408458325202</v>
      </c>
      <c r="AK6182">
        <v>17.2134338023377</v>
      </c>
      <c r="AL6182">
        <v>78.7814524433782</v>
      </c>
      <c r="AM6182">
        <v>93.857598479865899</v>
      </c>
      <c r="AN6182">
        <v>1.00000004189653</v>
      </c>
    </row>
    <row r="6183" spans="1:40" x14ac:dyDescent="0.25">
      <c r="A6183" t="str">
        <f>"20190303162940169"</f>
        <v>20190303162940169</v>
      </c>
      <c r="B6183" t="str">
        <f>"1551601780158484"</f>
        <v>1551601780158484</v>
      </c>
      <c r="C6183" t="s">
        <v>40</v>
      </c>
      <c r="D6183">
        <v>4.7275400000000003</v>
      </c>
      <c r="E6183">
        <v>0.48521750000000002</v>
      </c>
      <c r="F6183" t="s">
        <v>57</v>
      </c>
      <c r="G6183">
        <v>-208.7961</v>
      </c>
      <c r="H6183" s="1">
        <v>-7.9448980000000003E-7</v>
      </c>
      <c r="I6183">
        <v>-60.79795</v>
      </c>
      <c r="J6183">
        <v>-226.25040000000001</v>
      </c>
      <c r="K6183">
        <v>1.120617</v>
      </c>
      <c r="L6183">
        <v>-62.170290000000001</v>
      </c>
      <c r="M6183">
        <v>0.99968060000000003</v>
      </c>
      <c r="N6183">
        <v>-1.166973E-2</v>
      </c>
      <c r="O6183">
        <v>-2.2416499999999999E-2</v>
      </c>
      <c r="P6183">
        <v>0.98186359999999995</v>
      </c>
      <c r="Q6183">
        <v>0.18424840000000001</v>
      </c>
      <c r="R6183">
        <v>4.4680940000000002E-2</v>
      </c>
      <c r="S6183">
        <v>3.0803530000000001</v>
      </c>
      <c r="T6183">
        <v>-0.19602919999999999</v>
      </c>
      <c r="U6183">
        <v>0.2394104</v>
      </c>
      <c r="V6183">
        <v>-6.6398689999999996E-2</v>
      </c>
      <c r="W6183">
        <v>0.19577530000000001</v>
      </c>
      <c r="X6183">
        <v>0.97839830000000005</v>
      </c>
      <c r="Y6183">
        <v>-9.9551920000000002E-2</v>
      </c>
      <c r="Z6183">
        <v>4.9044149999999996E-3</v>
      </c>
      <c r="AA6183">
        <v>0.99502029999999997</v>
      </c>
      <c r="AB6183">
        <v>32</v>
      </c>
      <c r="AC6183">
        <v>17.4543</v>
      </c>
      <c r="AD6183">
        <v>-1.1206177944897999</v>
      </c>
      <c r="AE6183">
        <v>1.3723399999999999</v>
      </c>
      <c r="AF6183">
        <v>-1.75609189946509</v>
      </c>
      <c r="AG6183">
        <v>-1.1206177944897999</v>
      </c>
      <c r="AH6183">
        <v>17.348078514549002</v>
      </c>
      <c r="AI6183">
        <v>93.677207603747505</v>
      </c>
      <c r="AJ6183">
        <v>95.780183827703098</v>
      </c>
      <c r="AK6183">
        <v>17.472706463157099</v>
      </c>
      <c r="AL6183">
        <v>78.709981916856293</v>
      </c>
      <c r="AM6183">
        <v>93.882406897899997</v>
      </c>
      <c r="AN6183">
        <v>0.99999999378334803</v>
      </c>
    </row>
    <row r="6184" spans="1:40" x14ac:dyDescent="0.25">
      <c r="A6184" t="str">
        <f>"20190303162940178"</f>
        <v>20190303162940178</v>
      </c>
      <c r="B6184" t="str">
        <f>"1551601780168244"</f>
        <v>1551601780168244</v>
      </c>
      <c r="C6184" t="s">
        <v>40</v>
      </c>
      <c r="D6184">
        <v>4.6930930000000002</v>
      </c>
      <c r="E6184">
        <v>0.48512880000000003</v>
      </c>
      <c r="F6184" t="s">
        <v>57</v>
      </c>
      <c r="G6184">
        <v>-208.29580000000001</v>
      </c>
      <c r="H6184" s="1">
        <v>-1.108192E-6</v>
      </c>
      <c r="I6184">
        <v>-60.767090000000003</v>
      </c>
      <c r="J6184">
        <v>-226.1086</v>
      </c>
      <c r="K6184">
        <v>1.1206259999999999</v>
      </c>
      <c r="L6184">
        <v>-62.173740000000002</v>
      </c>
      <c r="M6184">
        <v>0.99967399999999995</v>
      </c>
      <c r="N6184">
        <v>-1.167003E-2</v>
      </c>
      <c r="O6184">
        <v>-2.271113E-2</v>
      </c>
      <c r="P6184">
        <v>0.98162459999999996</v>
      </c>
      <c r="Q6184">
        <v>0.1855668</v>
      </c>
      <c r="R6184">
        <v>4.4474489999999998E-2</v>
      </c>
      <c r="S6184">
        <v>3.0805509999999998</v>
      </c>
      <c r="T6184">
        <v>-0.19226969999999999</v>
      </c>
      <c r="U6184">
        <v>0.2407532</v>
      </c>
      <c r="V6184">
        <v>-6.6475519999999996E-2</v>
      </c>
      <c r="W6184">
        <v>0.1970905</v>
      </c>
      <c r="X6184">
        <v>0.97812900000000003</v>
      </c>
      <c r="Y6184">
        <v>-0.10027899999999999</v>
      </c>
      <c r="Z6184">
        <v>4.8581259999999999E-3</v>
      </c>
      <c r="AA6184">
        <v>0.99494749999999998</v>
      </c>
      <c r="AB6184">
        <v>32</v>
      </c>
      <c r="AC6184">
        <v>17.8127999999999</v>
      </c>
      <c r="AD6184">
        <v>-1.1206271081919901</v>
      </c>
      <c r="AE6184">
        <v>1.40664999999999</v>
      </c>
      <c r="AF6184">
        <v>-1.8037687018264399</v>
      </c>
      <c r="AG6184">
        <v>-1.1206271081919901</v>
      </c>
      <c r="AH6184">
        <v>17.706610555795798</v>
      </c>
      <c r="AI6184">
        <v>93.602745532117794</v>
      </c>
      <c r="AJ6184">
        <v>95.816643764590694</v>
      </c>
      <c r="AK6184">
        <v>17.833492199227901</v>
      </c>
      <c r="AL6184">
        <v>78.633129275061606</v>
      </c>
      <c r="AM6184">
        <v>93.887952334839795</v>
      </c>
      <c r="AN6184">
        <v>1.00000000029526</v>
      </c>
    </row>
    <row r="6185" spans="1:40" x14ac:dyDescent="0.25">
      <c r="A6185" t="str">
        <f>"20190303162940190"</f>
        <v>20190303162940190</v>
      </c>
      <c r="B6185" t="str">
        <f>"1551601780178005"</f>
        <v>1551601780178005</v>
      </c>
      <c r="C6185" t="s">
        <v>40</v>
      </c>
      <c r="D6185">
        <v>4.6873110000000002</v>
      </c>
      <c r="E6185">
        <v>0.48511729999999997</v>
      </c>
      <c r="F6185" t="s">
        <v>57</v>
      </c>
      <c r="G6185">
        <v>-207.8288</v>
      </c>
      <c r="H6185" s="1">
        <v>-1.4017230000000001E-6</v>
      </c>
      <c r="I6185">
        <v>-60.743130000000001</v>
      </c>
      <c r="J6185">
        <v>-225.94810000000001</v>
      </c>
      <c r="K6185">
        <v>1.1206370000000001</v>
      </c>
      <c r="L6185">
        <v>-62.177700000000002</v>
      </c>
      <c r="M6185">
        <v>0.99966650000000001</v>
      </c>
      <c r="N6185">
        <v>-1.1670359999999999E-2</v>
      </c>
      <c r="O6185">
        <v>-2.3039819999999999E-2</v>
      </c>
      <c r="P6185">
        <v>0.98148619999999998</v>
      </c>
      <c r="Q6185">
        <v>0.18632789999999999</v>
      </c>
      <c r="R6185">
        <v>4.434834E-2</v>
      </c>
      <c r="S6185">
        <v>3.0809630000000001</v>
      </c>
      <c r="T6185">
        <v>-0.1888754</v>
      </c>
      <c r="U6185">
        <v>0.24111940000000001</v>
      </c>
      <c r="V6185">
        <v>-6.6669880000000001E-2</v>
      </c>
      <c r="W6185">
        <v>0.1978492</v>
      </c>
      <c r="X6185">
        <v>0.97796260000000002</v>
      </c>
      <c r="Y6185">
        <v>-0.1007207</v>
      </c>
      <c r="Z6185">
        <v>4.8099429999999997E-3</v>
      </c>
      <c r="AA6185">
        <v>0.99490310000000004</v>
      </c>
      <c r="AB6185">
        <v>32</v>
      </c>
      <c r="AC6185">
        <v>18.119299999999999</v>
      </c>
      <c r="AD6185">
        <v>-1.120638401723</v>
      </c>
      <c r="AE6185">
        <v>1.4345699999999899</v>
      </c>
      <c r="AF6185">
        <v>-1.8446707695607401</v>
      </c>
      <c r="AG6185">
        <v>-1.120638401723</v>
      </c>
      <c r="AH6185">
        <v>18.012962045821801</v>
      </c>
      <c r="AI6185">
        <v>93.541473357907407</v>
      </c>
      <c r="AJ6185">
        <v>95.847160494809202</v>
      </c>
      <c r="AK6185">
        <v>18.141814747695602</v>
      </c>
      <c r="AL6185">
        <v>78.588785942756701</v>
      </c>
      <c r="AM6185">
        <v>93.899946262823804</v>
      </c>
      <c r="AN6185">
        <v>1.0000000129193001</v>
      </c>
    </row>
    <row r="6186" spans="1:40" x14ac:dyDescent="0.25">
      <c r="A6186" t="str">
        <f>"20190303162940200"</f>
        <v>20190303162940200</v>
      </c>
      <c r="B6186" t="str">
        <f>"1551601780187765"</f>
        <v>1551601780187765</v>
      </c>
      <c r="C6186" t="s">
        <v>40</v>
      </c>
      <c r="D6186">
        <v>4.7613200000000004</v>
      </c>
      <c r="E6186">
        <v>0.48485519999999999</v>
      </c>
      <c r="F6186" t="s">
        <v>57</v>
      </c>
      <c r="G6186">
        <v>-207.49029999999999</v>
      </c>
      <c r="H6186" s="1">
        <v>-1.615944E-6</v>
      </c>
      <c r="I6186">
        <v>-60.736400000000003</v>
      </c>
      <c r="J6186">
        <v>-225.7912</v>
      </c>
      <c r="K6186">
        <v>1.1206469999999999</v>
      </c>
      <c r="L6186">
        <v>-62.181640000000002</v>
      </c>
      <c r="M6186">
        <v>0.99965910000000002</v>
      </c>
      <c r="N6186">
        <v>-1.1670679999999999E-2</v>
      </c>
      <c r="O6186">
        <v>-2.3358130000000001E-2</v>
      </c>
      <c r="P6186">
        <v>0.98133090000000001</v>
      </c>
      <c r="Q6186">
        <v>0.1872093</v>
      </c>
      <c r="R6186">
        <v>4.4074090000000003E-2</v>
      </c>
      <c r="S6186">
        <v>3.081223</v>
      </c>
      <c r="T6186">
        <v>-0.18707180000000001</v>
      </c>
      <c r="U6186">
        <v>0.2406006</v>
      </c>
      <c r="V6186">
        <v>-6.6706260000000003E-2</v>
      </c>
      <c r="W6186">
        <v>0.19872880000000001</v>
      </c>
      <c r="X6186">
        <v>0.97778180000000003</v>
      </c>
      <c r="Y6186">
        <v>-0.1008684</v>
      </c>
      <c r="Z6186">
        <v>4.7877110000000001E-3</v>
      </c>
      <c r="AA6186">
        <v>0.9948882</v>
      </c>
      <c r="AB6186">
        <v>32</v>
      </c>
      <c r="AC6186">
        <v>18.300899999999999</v>
      </c>
      <c r="AD6186">
        <v>-1.1206486159439999</v>
      </c>
      <c r="AE6186">
        <v>1.4452399999999901</v>
      </c>
      <c r="AF6186">
        <v>-1.8653982271359999</v>
      </c>
      <c r="AG6186">
        <v>-1.1206486159439999</v>
      </c>
      <c r="AH6186">
        <v>18.194345616953999</v>
      </c>
      <c r="AI6186">
        <v>93.506246048322296</v>
      </c>
      <c r="AJ6186">
        <v>95.853867984629204</v>
      </c>
      <c r="AK6186">
        <v>18.324021837342201</v>
      </c>
      <c r="AL6186">
        <v>78.537368076292793</v>
      </c>
      <c r="AM6186">
        <v>93.902787083792006</v>
      </c>
      <c r="AN6186">
        <v>1.0000000547419301</v>
      </c>
    </row>
    <row r="6187" spans="1:40" x14ac:dyDescent="0.25">
      <c r="A6187" t="str">
        <f>"20190303162940213"</f>
        <v>20190303162940213</v>
      </c>
      <c r="B6187" t="str">
        <f>"1551601780208261"</f>
        <v>1551601780208261</v>
      </c>
      <c r="C6187" t="s">
        <v>40</v>
      </c>
      <c r="D6187">
        <v>5.2880289999999999</v>
      </c>
      <c r="E6187">
        <v>0.50699320000000003</v>
      </c>
      <c r="F6187" t="s">
        <v>57</v>
      </c>
      <c r="G6187">
        <v>-207.0061</v>
      </c>
      <c r="H6187" s="1">
        <v>-1.920068E-6</v>
      </c>
      <c r="I6187">
        <v>-60.710160000000002</v>
      </c>
      <c r="J6187">
        <v>-225.62440000000001</v>
      </c>
      <c r="K6187">
        <v>1.120662</v>
      </c>
      <c r="L6187">
        <v>-62.185879999999997</v>
      </c>
      <c r="M6187">
        <v>0.99965139999999997</v>
      </c>
      <c r="N6187">
        <v>-1.1670959999999999E-2</v>
      </c>
      <c r="O6187">
        <v>-2.3687840000000002E-2</v>
      </c>
      <c r="P6187">
        <v>0.98127390000000003</v>
      </c>
      <c r="Q6187">
        <v>0.1875781</v>
      </c>
      <c r="R6187">
        <v>4.3777530000000002E-2</v>
      </c>
      <c r="S6187">
        <v>3.081299</v>
      </c>
      <c r="T6187">
        <v>-0.1838187</v>
      </c>
      <c r="U6187">
        <v>0.24136350000000001</v>
      </c>
      <c r="V6187">
        <v>-6.6734760000000004E-2</v>
      </c>
      <c r="W6187">
        <v>0.19909569999999999</v>
      </c>
      <c r="X6187">
        <v>0.97770520000000005</v>
      </c>
      <c r="Y6187">
        <v>-0.10144599999999999</v>
      </c>
      <c r="Z6187">
        <v>4.7463219999999999E-3</v>
      </c>
      <c r="AA6187">
        <v>0.99482969999999904</v>
      </c>
      <c r="AB6187">
        <v>32</v>
      </c>
      <c r="AC6187">
        <v>18.618300000000001</v>
      </c>
      <c r="AD6187">
        <v>-1.120663920068</v>
      </c>
      <c r="AE6187">
        <v>1.4757199999999999</v>
      </c>
      <c r="AF6187">
        <v>-1.90948823595621</v>
      </c>
      <c r="AG6187">
        <v>-1.120663920068</v>
      </c>
      <c r="AH6187">
        <v>18.5114673678206</v>
      </c>
      <c r="AI6187">
        <v>93.446154394468707</v>
      </c>
      <c r="AJ6187">
        <v>95.889324633808101</v>
      </c>
      <c r="AK6187">
        <v>18.6434025074525</v>
      </c>
      <c r="AL6187">
        <v>78.515917469882496</v>
      </c>
      <c r="AM6187">
        <v>93.904754333201495</v>
      </c>
      <c r="AN6187">
        <v>1.0000000420288899</v>
      </c>
    </row>
    <row r="6188" spans="1:40" x14ac:dyDescent="0.25">
      <c r="A6188" t="str">
        <f>"20190303162940224"</f>
        <v>20190303162940224</v>
      </c>
      <c r="B6188" t="str">
        <f>"1551601780218022"</f>
        <v>1551601780218022</v>
      </c>
      <c r="C6188" t="s">
        <v>40</v>
      </c>
      <c r="D6188">
        <v>5.045496</v>
      </c>
      <c r="E6188">
        <v>0.5163508</v>
      </c>
      <c r="F6188" t="s">
        <v>53</v>
      </c>
      <c r="G6188">
        <v>-157.3501</v>
      </c>
      <c r="H6188">
        <v>5.9617899999999997</v>
      </c>
      <c r="I6188">
        <v>-60.601750000000003</v>
      </c>
      <c r="J6188">
        <v>-225.4606</v>
      </c>
      <c r="K6188">
        <v>1.1206739999999999</v>
      </c>
      <c r="L6188">
        <v>-62.190060000000003</v>
      </c>
      <c r="M6188">
        <v>0.99964370000000002</v>
      </c>
      <c r="N6188">
        <v>-1.167149E-2</v>
      </c>
      <c r="O6188">
        <v>-2.4008129999999999E-2</v>
      </c>
      <c r="P6188">
        <v>0.9811685</v>
      </c>
      <c r="Q6188">
        <v>0.18816359999999999</v>
      </c>
      <c r="R6188">
        <v>4.3623719999999998E-2</v>
      </c>
      <c r="S6188">
        <v>3.013306</v>
      </c>
      <c r="T6188">
        <v>0.2136633</v>
      </c>
      <c r="U6188">
        <v>6.9915770000000002E-2</v>
      </c>
      <c r="V6188">
        <v>-6.6895899999999994E-2</v>
      </c>
      <c r="W6188">
        <v>0.1996783</v>
      </c>
      <c r="X6188">
        <v>0.97757530000000004</v>
      </c>
      <c r="Y6188">
        <v>-4.7012499999999999E-2</v>
      </c>
      <c r="Z6188">
        <v>-3.369492E-3</v>
      </c>
      <c r="AA6188">
        <v>0.99888860000000002</v>
      </c>
      <c r="AB6188">
        <v>32</v>
      </c>
      <c r="AC6188">
        <v>68.110500000000002</v>
      </c>
      <c r="AD6188">
        <v>4.8411160000000004</v>
      </c>
      <c r="AE6188">
        <v>1.5883099999999899</v>
      </c>
      <c r="AF6188">
        <v>-3.2069763198535401</v>
      </c>
      <c r="AG6188">
        <v>4.8411160000000004</v>
      </c>
      <c r="AH6188">
        <v>67.710841577796202</v>
      </c>
      <c r="AI6188">
        <v>85.915051216611303</v>
      </c>
      <c r="AJ6188">
        <v>92.711663200033698</v>
      </c>
      <c r="AK6188">
        <v>67.959393525950304</v>
      </c>
      <c r="AL6188">
        <v>78.481852192084304</v>
      </c>
      <c r="AM6188">
        <v>93.914672107081103</v>
      </c>
      <c r="AN6188">
        <v>0.99999997604889401</v>
      </c>
    </row>
    <row r="6189" spans="1:40" x14ac:dyDescent="0.25">
      <c r="A6189" t="str">
        <f>"20190303162940234"</f>
        <v>20190303162940234</v>
      </c>
      <c r="B6189" t="str">
        <f>"1551601780227780"</f>
        <v>1551601780227780</v>
      </c>
      <c r="C6189" t="s">
        <v>40</v>
      </c>
      <c r="D6189">
        <v>5.0305949999999999</v>
      </c>
      <c r="E6189">
        <v>0.5163508</v>
      </c>
      <c r="F6189" t="s">
        <v>53</v>
      </c>
      <c r="G6189">
        <v>-167.5515</v>
      </c>
      <c r="H6189">
        <v>6.6740880000000002</v>
      </c>
      <c r="I6189">
        <v>-62.271279999999997</v>
      </c>
      <c r="J6189">
        <v>-225.30869999999999</v>
      </c>
      <c r="K6189">
        <v>1.1206879999999999</v>
      </c>
      <c r="L6189">
        <v>-62.194029999999998</v>
      </c>
      <c r="M6189">
        <v>0.99963679999999999</v>
      </c>
      <c r="N6189">
        <v>-1.1674240000000001E-2</v>
      </c>
      <c r="O6189">
        <v>-2.4293479999999999E-2</v>
      </c>
      <c r="P6189">
        <v>0.98108790000000001</v>
      </c>
      <c r="Q6189">
        <v>0.18864300000000001</v>
      </c>
      <c r="R6189">
        <v>4.3363970000000002E-2</v>
      </c>
      <c r="S6189">
        <v>3.002548</v>
      </c>
      <c r="T6189">
        <v>0.28793950000000001</v>
      </c>
      <c r="U6189">
        <v>-4.2114259999999999E-3</v>
      </c>
      <c r="V6189">
        <v>-6.6918130000000006E-2</v>
      </c>
      <c r="W6189">
        <v>0.20015810000000001</v>
      </c>
      <c r="X6189">
        <v>0.97747569999999995</v>
      </c>
      <c r="Y6189">
        <v>-2.2661440000000001E-2</v>
      </c>
      <c r="Z6189">
        <v>-3.5586649999999999E-3</v>
      </c>
      <c r="AA6189">
        <v>0.99973679999999998</v>
      </c>
      <c r="AB6189">
        <v>32</v>
      </c>
      <c r="AC6189">
        <v>57.757199999999898</v>
      </c>
      <c r="AD6189">
        <v>5.5533999999999999</v>
      </c>
      <c r="AE6189">
        <v>-7.7249999999999305E-2</v>
      </c>
      <c r="AF6189">
        <v>-1.3138452316474001</v>
      </c>
      <c r="AG6189">
        <v>5.5533999999999999</v>
      </c>
      <c r="AH6189">
        <v>57.213096003285401</v>
      </c>
      <c r="AI6189">
        <v>84.457394317957394</v>
      </c>
      <c r="AJ6189">
        <v>91.315512769158801</v>
      </c>
      <c r="AK6189">
        <v>57.496998140197498</v>
      </c>
      <c r="AL6189">
        <v>78.453795824647301</v>
      </c>
      <c r="AM6189">
        <v>93.916366711221897</v>
      </c>
      <c r="AN6189">
        <v>1.0000000226043899</v>
      </c>
    </row>
    <row r="6190" spans="1:40" x14ac:dyDescent="0.25">
      <c r="A6190" t="str">
        <f>"20190303162940245"</f>
        <v>20190303162940245</v>
      </c>
      <c r="B6190" t="str">
        <f>"1551601780238516"</f>
        <v>1551601780238516</v>
      </c>
      <c r="C6190" t="s">
        <v>40</v>
      </c>
      <c r="D6190">
        <v>5.0034260000000002</v>
      </c>
      <c r="E6190">
        <v>0.58259519999999998</v>
      </c>
      <c r="F6190" t="s">
        <v>53</v>
      </c>
      <c r="G6190">
        <v>-167.7242</v>
      </c>
      <c r="H6190">
        <v>6.6740880000000002</v>
      </c>
      <c r="I6190">
        <v>-62.295879999999997</v>
      </c>
      <c r="J6190">
        <v>-225.15610000000001</v>
      </c>
      <c r="K6190">
        <v>1.1207020000000001</v>
      </c>
      <c r="L6190">
        <v>-62.197969999999998</v>
      </c>
      <c r="M6190">
        <v>0.99962969999999896</v>
      </c>
      <c r="N6190">
        <v>-1.1677409999999999E-2</v>
      </c>
      <c r="O6190">
        <v>-2.4576569999999999E-2</v>
      </c>
      <c r="P6190">
        <v>0.98104040000000003</v>
      </c>
      <c r="Q6190">
        <v>0.1889882</v>
      </c>
      <c r="R6190">
        <v>4.2932730000000002E-2</v>
      </c>
      <c r="S6190">
        <v>3.0024109999999999</v>
      </c>
      <c r="T6190">
        <v>0.28954839999999998</v>
      </c>
      <c r="U6190">
        <v>-5.3100589999999998E-3</v>
      </c>
      <c r="V6190">
        <v>-6.6767880000000002E-2</v>
      </c>
      <c r="W6190">
        <v>0.2005033</v>
      </c>
      <c r="X6190">
        <v>0.97741520000000004</v>
      </c>
      <c r="Y6190">
        <v>-2.2574859999999999E-2</v>
      </c>
      <c r="Z6190">
        <v>-3.604674E-3</v>
      </c>
      <c r="AA6190">
        <v>0.99973860000000003</v>
      </c>
      <c r="AB6190">
        <v>32</v>
      </c>
      <c r="AC6190">
        <v>57.431899999999999</v>
      </c>
      <c r="AD6190">
        <v>5.5533859999999997</v>
      </c>
      <c r="AE6190">
        <v>-9.7910000000005895E-2</v>
      </c>
      <c r="AF6190">
        <v>-1.3015258319757399</v>
      </c>
      <c r="AG6190">
        <v>5.5533859999999997</v>
      </c>
      <c r="AH6190">
        <v>56.885085570690798</v>
      </c>
      <c r="AI6190">
        <v>84.425638588989003</v>
      </c>
      <c r="AJ6190">
        <v>91.310693793843797</v>
      </c>
      <c r="AK6190">
        <v>57.170333442626699</v>
      </c>
      <c r="AL6190">
        <v>78.433607796026493</v>
      </c>
      <c r="AM6190">
        <v>93.907841763067296</v>
      </c>
      <c r="AN6190">
        <v>0.99999999815081198</v>
      </c>
    </row>
    <row r="6191" spans="1:40" x14ac:dyDescent="0.25">
      <c r="A6191" t="str">
        <f>"20190303162940256"</f>
        <v>20190303162940256</v>
      </c>
      <c r="B6191" t="str">
        <f>"1551601780248276"</f>
        <v>1551601780248276</v>
      </c>
      <c r="C6191" t="s">
        <v>40</v>
      </c>
      <c r="D6191">
        <v>4.9673109999999996</v>
      </c>
      <c r="E6191">
        <v>0.58826730000000005</v>
      </c>
      <c r="F6191" t="s">
        <v>45</v>
      </c>
      <c r="G6191">
        <v>0</v>
      </c>
      <c r="H6191">
        <v>0</v>
      </c>
      <c r="I6191">
        <v>0</v>
      </c>
      <c r="J6191">
        <v>-224.9974</v>
      </c>
      <c r="K6191">
        <v>1.120717</v>
      </c>
      <c r="L6191">
        <v>-62.202179999999998</v>
      </c>
      <c r="M6191">
        <v>0.99962289999999998</v>
      </c>
      <c r="N6191">
        <v>-1.1682059999999999E-2</v>
      </c>
      <c r="O6191">
        <v>-2.4859269999999999E-2</v>
      </c>
      <c r="P6191">
        <v>0.9810044</v>
      </c>
      <c r="Q6191">
        <v>0.18931829999999999</v>
      </c>
      <c r="R6191">
        <v>4.2295310000000003E-2</v>
      </c>
      <c r="S6191">
        <v>2.9446560000000002</v>
      </c>
      <c r="T6191">
        <v>0.7079415</v>
      </c>
      <c r="U6191">
        <v>-0.52685550000000003</v>
      </c>
      <c r="V6191">
        <v>-6.6412310000000002E-2</v>
      </c>
      <c r="W6191">
        <v>0.2008355</v>
      </c>
      <c r="X6191">
        <v>0.9773712</v>
      </c>
      <c r="Y6191">
        <v>0.14846280000000001</v>
      </c>
      <c r="Z6191">
        <v>1.0448900000000001E-2</v>
      </c>
      <c r="AA6191">
        <v>0.98886280000000004</v>
      </c>
      <c r="AB6191">
        <v>32</v>
      </c>
      <c r="AC6191">
        <v>2.9446560000000002</v>
      </c>
      <c r="AD6191">
        <v>0.7079415</v>
      </c>
      <c r="AE6191">
        <v>-0.52685550000000003</v>
      </c>
      <c r="AF6191">
        <v>0.42943442730982401</v>
      </c>
      <c r="AG6191">
        <v>0.7079415</v>
      </c>
      <c r="AH6191">
        <v>2.8000236086720398</v>
      </c>
      <c r="AI6191">
        <v>75.968501372796993</v>
      </c>
      <c r="AJ6191">
        <v>81.280594291305107</v>
      </c>
      <c r="AK6191">
        <v>2.9198848100399402</v>
      </c>
      <c r="AL6191">
        <v>78.414178696612396</v>
      </c>
      <c r="AM6191">
        <v>93.887269112683498</v>
      </c>
      <c r="AN6191">
        <v>0.99999997778461203</v>
      </c>
    </row>
    <row r="6192" spans="1:40" x14ac:dyDescent="0.25">
      <c r="A6192" t="str">
        <f>"20190303162940267"</f>
        <v>20190303162940267</v>
      </c>
      <c r="B6192" t="str">
        <f>"1551601780258036"</f>
        <v>1551601780258036</v>
      </c>
      <c r="C6192" t="s">
        <v>40</v>
      </c>
      <c r="D6192">
        <v>4.994694</v>
      </c>
      <c r="E6192">
        <v>0.59089139999999996</v>
      </c>
      <c r="F6192" t="s">
        <v>45</v>
      </c>
      <c r="G6192">
        <v>0</v>
      </c>
      <c r="H6192">
        <v>0</v>
      </c>
      <c r="I6192">
        <v>0</v>
      </c>
      <c r="J6192">
        <v>-224.84229999999999</v>
      </c>
      <c r="K6192">
        <v>1.1207339999999999</v>
      </c>
      <c r="L6192">
        <v>-62.206299999999999</v>
      </c>
      <c r="M6192">
        <v>0.99961599999999995</v>
      </c>
      <c r="N6192">
        <v>-1.1687799999999899E-2</v>
      </c>
      <c r="O6192">
        <v>-2.512851E-2</v>
      </c>
      <c r="P6192">
        <v>0.98094610000000004</v>
      </c>
      <c r="Q6192">
        <v>0.18974669999999999</v>
      </c>
      <c r="R6192">
        <v>4.1729080000000002E-2</v>
      </c>
      <c r="S6192">
        <v>2.934326</v>
      </c>
      <c r="T6192">
        <v>0.76927259999999997</v>
      </c>
      <c r="U6192">
        <v>-0.57266240000000002</v>
      </c>
      <c r="V6192">
        <v>-6.6114129999999993E-2</v>
      </c>
      <c r="W6192">
        <v>0.20126659999999999</v>
      </c>
      <c r="X6192">
        <v>0.97730269999999997</v>
      </c>
      <c r="Y6192">
        <v>0.16267100000000001</v>
      </c>
      <c r="Z6192">
        <v>1.310567E-2</v>
      </c>
      <c r="AA6192">
        <v>0.98659330000000001</v>
      </c>
      <c r="AB6192">
        <v>32</v>
      </c>
      <c r="AC6192">
        <v>2.934326</v>
      </c>
      <c r="AD6192">
        <v>0.76927259999999997</v>
      </c>
      <c r="AE6192">
        <v>-0.57266240000000002</v>
      </c>
      <c r="AF6192">
        <v>0.46777112453429298</v>
      </c>
      <c r="AG6192">
        <v>0.76927259999999997</v>
      </c>
      <c r="AH6192">
        <v>2.7647425911226802</v>
      </c>
      <c r="AI6192">
        <v>74.658651217383195</v>
      </c>
      <c r="AJ6192">
        <v>80.396979582777902</v>
      </c>
      <c r="AK6192">
        <v>2.9076436771424699</v>
      </c>
      <c r="AL6192">
        <v>78.388963225924897</v>
      </c>
      <c r="AM6192">
        <v>93.870139502938002</v>
      </c>
      <c r="AN6192">
        <v>0.99999994494425104</v>
      </c>
    </row>
    <row r="6193" spans="1:40" x14ac:dyDescent="0.25">
      <c r="A6193" t="str">
        <f>"20190303162940278"</f>
        <v>20190303162940278</v>
      </c>
      <c r="B6193" t="str">
        <f>"1551601780267797"</f>
        <v>1551601780267797</v>
      </c>
      <c r="C6193" t="s">
        <v>40</v>
      </c>
      <c r="D6193">
        <v>5.0285250000000001</v>
      </c>
      <c r="E6193">
        <v>0.59212229999999999</v>
      </c>
      <c r="F6193" t="s">
        <v>45</v>
      </c>
      <c r="G6193">
        <v>0</v>
      </c>
      <c r="H6193">
        <v>0</v>
      </c>
      <c r="I6193">
        <v>0</v>
      </c>
      <c r="J6193">
        <v>-224.6815</v>
      </c>
      <c r="K6193">
        <v>1.120744</v>
      </c>
      <c r="L6193">
        <v>-62.210630000000002</v>
      </c>
      <c r="M6193">
        <v>0.99960919999999998</v>
      </c>
      <c r="N6193">
        <v>-1.169546E-2</v>
      </c>
      <c r="O6193">
        <v>-2.5397619999999999E-2</v>
      </c>
      <c r="P6193">
        <v>0.98092299999999999</v>
      </c>
      <c r="Q6193">
        <v>0.18998860000000001</v>
      </c>
      <c r="R6193">
        <v>4.1167309999999999E-2</v>
      </c>
      <c r="S6193">
        <v>2.926758</v>
      </c>
      <c r="T6193">
        <v>0.8105386</v>
      </c>
      <c r="U6193">
        <v>-0.59442139999999999</v>
      </c>
      <c r="V6193">
        <v>-6.5822729999999996E-2</v>
      </c>
      <c r="W6193">
        <v>0.20151279999999999</v>
      </c>
      <c r="X6193">
        <v>0.97727169999999997</v>
      </c>
      <c r="Y6193">
        <v>0.16923820000000001</v>
      </c>
      <c r="Z6193">
        <v>1.4643440000000001E-2</v>
      </c>
      <c r="AA6193">
        <v>0.98546639999999996</v>
      </c>
      <c r="AB6193">
        <v>32</v>
      </c>
      <c r="AC6193">
        <v>2.926758</v>
      </c>
      <c r="AD6193">
        <v>0.8105386</v>
      </c>
      <c r="AE6193">
        <v>-0.59442139999999999</v>
      </c>
      <c r="AF6193">
        <v>0.48422490178462102</v>
      </c>
      <c r="AG6193">
        <v>0.8105386</v>
      </c>
      <c r="AH6193">
        <v>2.7391516479889999</v>
      </c>
      <c r="AI6193">
        <v>73.754376438443899</v>
      </c>
      <c r="AJ6193">
        <v>79.974875720651198</v>
      </c>
      <c r="AK6193">
        <v>2.8973088078903801</v>
      </c>
      <c r="AL6193">
        <v>78.374562682153396</v>
      </c>
      <c r="AM6193">
        <v>93.853255100864899</v>
      </c>
      <c r="AN6193">
        <v>1.00000000798469</v>
      </c>
    </row>
    <row r="6194" spans="1:40" x14ac:dyDescent="0.25">
      <c r="A6194" t="str">
        <f>"20190303162940291"</f>
        <v>20190303162940291</v>
      </c>
      <c r="B6194" t="str">
        <f>"1551601780288293"</f>
        <v>1551601780288293</v>
      </c>
      <c r="C6194" t="s">
        <v>40</v>
      </c>
      <c r="D6194">
        <v>5.0746830000000003</v>
      </c>
      <c r="E6194">
        <v>0.59282230000000002</v>
      </c>
      <c r="F6194" t="s">
        <v>45</v>
      </c>
      <c r="G6194">
        <v>0</v>
      </c>
      <c r="H6194">
        <v>0</v>
      </c>
      <c r="I6194">
        <v>0</v>
      </c>
      <c r="J6194">
        <v>-224.52170000000001</v>
      </c>
      <c r="K6194">
        <v>1.1207590000000001</v>
      </c>
      <c r="L6194">
        <v>-62.214970000000001</v>
      </c>
      <c r="M6194">
        <v>0.99960260000000001</v>
      </c>
      <c r="N6194">
        <v>-1.170415E-2</v>
      </c>
      <c r="O6194">
        <v>-2.565195E-2</v>
      </c>
      <c r="P6194">
        <v>0.98092469999999998</v>
      </c>
      <c r="Q6194">
        <v>0.19006919999999999</v>
      </c>
      <c r="R6194">
        <v>4.074962E-2</v>
      </c>
      <c r="S6194">
        <v>2.9219970000000002</v>
      </c>
      <c r="T6194">
        <v>0.83515859999999997</v>
      </c>
      <c r="U6194">
        <v>-0.60534670000000002</v>
      </c>
      <c r="V6194">
        <v>-6.5661699999999906E-2</v>
      </c>
      <c r="W6194">
        <v>0.20159920000000001</v>
      </c>
      <c r="X6194">
        <v>0.97726469999999999</v>
      </c>
      <c r="Y6194">
        <v>0.1724146</v>
      </c>
      <c r="Z6194">
        <v>1.547578E-2</v>
      </c>
      <c r="AA6194">
        <v>0.98490290000000003</v>
      </c>
      <c r="AB6194">
        <v>32</v>
      </c>
      <c r="AC6194">
        <v>2.9219970000000002</v>
      </c>
      <c r="AD6194">
        <v>0.83515859999999997</v>
      </c>
      <c r="AE6194">
        <v>-0.60534670000000002</v>
      </c>
      <c r="AF6194">
        <v>0.49167458781339501</v>
      </c>
      <c r="AG6194">
        <v>0.83515859999999997</v>
      </c>
      <c r="AH6194">
        <v>2.7232524991231402</v>
      </c>
      <c r="AI6194">
        <v>73.206319046836498</v>
      </c>
      <c r="AJ6194">
        <v>79.765681761939703</v>
      </c>
      <c r="AK6194">
        <v>2.89056014665598</v>
      </c>
      <c r="AL6194">
        <v>78.369508449694706</v>
      </c>
      <c r="AM6194">
        <v>93.843884167530604</v>
      </c>
      <c r="AN6194">
        <v>0.99999999507680903</v>
      </c>
    </row>
    <row r="6195" spans="1:40" x14ac:dyDescent="0.25">
      <c r="A6195" t="str">
        <f>"20190303162940301"</f>
        <v>20190303162940301</v>
      </c>
      <c r="B6195" t="str">
        <f>"1551601780298052"</f>
        <v>1551601780298052</v>
      </c>
      <c r="C6195" t="s">
        <v>40</v>
      </c>
      <c r="D6195">
        <v>5.089143</v>
      </c>
      <c r="E6195">
        <v>0.59295620000000004</v>
      </c>
      <c r="F6195" t="s">
        <v>45</v>
      </c>
      <c r="G6195">
        <v>0</v>
      </c>
      <c r="H6195">
        <v>0</v>
      </c>
      <c r="I6195">
        <v>0</v>
      </c>
      <c r="J6195">
        <v>-224.3536</v>
      </c>
      <c r="K6195">
        <v>1.1207750000000001</v>
      </c>
      <c r="L6195">
        <v>-62.21951</v>
      </c>
      <c r="M6195">
        <v>0.99959560000000003</v>
      </c>
      <c r="N6195">
        <v>-1.1713950000000001E-2</v>
      </c>
      <c r="O6195">
        <v>-2.591162E-2</v>
      </c>
      <c r="P6195">
        <v>0.98101389999999999</v>
      </c>
      <c r="Q6195">
        <v>0.18973000000000001</v>
      </c>
      <c r="R6195">
        <v>4.0179649999999997E-2</v>
      </c>
      <c r="S6195">
        <v>2.9173740000000001</v>
      </c>
      <c r="T6195">
        <v>0.85852320000000004</v>
      </c>
      <c r="U6195">
        <v>-0.61141969999999901</v>
      </c>
      <c r="V6195">
        <v>-6.5357299999999993E-2</v>
      </c>
      <c r="W6195">
        <v>0.20126759999999999</v>
      </c>
      <c r="X6195">
        <v>0.97735349999999999</v>
      </c>
      <c r="Y6195">
        <v>0.1740642</v>
      </c>
      <c r="Z6195">
        <v>1.60964E-2</v>
      </c>
      <c r="AA6195">
        <v>0.98460270000000005</v>
      </c>
      <c r="AB6195">
        <v>32</v>
      </c>
      <c r="AC6195">
        <v>2.9173740000000001</v>
      </c>
      <c r="AD6195">
        <v>0.85852320000000004</v>
      </c>
      <c r="AE6195">
        <v>-0.61141969999999901</v>
      </c>
      <c r="AF6195">
        <v>0.49458609410996002</v>
      </c>
      <c r="AG6195">
        <v>0.85852320000000004</v>
      </c>
      <c r="AH6195">
        <v>2.7076229191557202</v>
      </c>
      <c r="AI6195">
        <v>72.676499335958198</v>
      </c>
      <c r="AJ6195">
        <v>79.648231854504303</v>
      </c>
      <c r="AK6195">
        <v>2.8832099059490202</v>
      </c>
      <c r="AL6195">
        <v>78.388905895998903</v>
      </c>
      <c r="AM6195">
        <v>93.825770820287801</v>
      </c>
      <c r="AN6195">
        <v>1.00000004371764</v>
      </c>
    </row>
    <row r="6196" spans="1:40" x14ac:dyDescent="0.25">
      <c r="A6196" t="str">
        <f>"20190303162940313"</f>
        <v>20190303162940313</v>
      </c>
      <c r="B6196" t="str">
        <f>"1551601780307812"</f>
        <v>1551601780307812</v>
      </c>
      <c r="C6196" t="s">
        <v>40</v>
      </c>
      <c r="D6196">
        <v>5.0871040000000001</v>
      </c>
      <c r="E6196">
        <v>0.59319169999999999</v>
      </c>
      <c r="F6196" t="s">
        <v>45</v>
      </c>
      <c r="G6196">
        <v>0</v>
      </c>
      <c r="H6196">
        <v>0</v>
      </c>
      <c r="I6196">
        <v>0</v>
      </c>
      <c r="J6196">
        <v>-224.19380000000001</v>
      </c>
      <c r="K6196">
        <v>1.120784</v>
      </c>
      <c r="L6196">
        <v>-62.223909999999997</v>
      </c>
      <c r="M6196">
        <v>0.99958970000000003</v>
      </c>
      <c r="N6196">
        <v>-1.172573E-2</v>
      </c>
      <c r="O6196">
        <v>-2.613766E-2</v>
      </c>
      <c r="P6196">
        <v>0.98109539999999995</v>
      </c>
      <c r="Q6196">
        <v>0.18937499999999999</v>
      </c>
      <c r="R6196">
        <v>3.9867189999999997E-2</v>
      </c>
      <c r="S6196">
        <v>2.9161830000000002</v>
      </c>
      <c r="T6196">
        <v>0.86361350000000003</v>
      </c>
      <c r="U6196">
        <v>-0.61380000000000001</v>
      </c>
      <c r="V6196">
        <v>-6.5277669999999996E-2</v>
      </c>
      <c r="W6196">
        <v>0.20092189999999999</v>
      </c>
      <c r="X6196">
        <v>0.97742989999999996</v>
      </c>
      <c r="Y6196">
        <v>0.17460999999999999</v>
      </c>
      <c r="Z6196">
        <v>1.6207180000000002E-2</v>
      </c>
      <c r="AA6196">
        <v>0.9845043</v>
      </c>
      <c r="AB6196">
        <v>32</v>
      </c>
      <c r="AC6196">
        <v>2.9161830000000002</v>
      </c>
      <c r="AD6196">
        <v>0.86361350000000003</v>
      </c>
      <c r="AE6196">
        <v>-0.61380000000000001</v>
      </c>
      <c r="AF6196">
        <v>0.49573067698444301</v>
      </c>
      <c r="AG6196">
        <v>0.86361350000000003</v>
      </c>
      <c r="AH6196">
        <v>2.7041339768941701</v>
      </c>
      <c r="AI6196">
        <v>72.560781022000498</v>
      </c>
      <c r="AJ6196">
        <v>79.611700149174894</v>
      </c>
      <c r="AK6196">
        <v>2.8816519127887701</v>
      </c>
      <c r="AL6196">
        <v>78.409125556980996</v>
      </c>
      <c r="AM6196">
        <v>93.820825606336598</v>
      </c>
      <c r="AN6196">
        <v>0.99999999675712403</v>
      </c>
    </row>
    <row r="6197" spans="1:40" x14ac:dyDescent="0.25">
      <c r="A6197" t="str">
        <f>"20190303162940324"</f>
        <v>20190303162940324</v>
      </c>
      <c r="B6197" t="str">
        <f>"1551601780317572"</f>
        <v>1551601780317572</v>
      </c>
      <c r="C6197" t="s">
        <v>40</v>
      </c>
      <c r="D6197">
        <v>5.0781090000000004</v>
      </c>
      <c r="E6197">
        <v>0.59334390000000004</v>
      </c>
      <c r="F6197" t="s">
        <v>45</v>
      </c>
      <c r="G6197">
        <v>0</v>
      </c>
      <c r="H6197">
        <v>0</v>
      </c>
      <c r="I6197">
        <v>0</v>
      </c>
      <c r="J6197">
        <v>-224.036</v>
      </c>
      <c r="K6197">
        <v>1.1208020000000001</v>
      </c>
      <c r="L6197">
        <v>-62.22824</v>
      </c>
      <c r="M6197">
        <v>0.99958369999999996</v>
      </c>
      <c r="N6197">
        <v>-1.173781E-2</v>
      </c>
      <c r="O6197">
        <v>-2.635608E-2</v>
      </c>
      <c r="P6197">
        <v>0.98114409999999996</v>
      </c>
      <c r="Q6197">
        <v>0.189191</v>
      </c>
      <c r="R6197">
        <v>3.953661E-2</v>
      </c>
      <c r="S6197">
        <v>2.9159999999999999</v>
      </c>
      <c r="T6197">
        <v>0.86440649999999997</v>
      </c>
      <c r="U6197">
        <v>-0.616394</v>
      </c>
      <c r="V6197">
        <v>-6.5171460000000001E-2</v>
      </c>
      <c r="W6197">
        <v>0.20074719999999999</v>
      </c>
      <c r="X6197">
        <v>0.97747289999999998</v>
      </c>
      <c r="Y6197">
        <v>0.17522209999999999</v>
      </c>
      <c r="Z6197">
        <v>1.623981E-2</v>
      </c>
      <c r="AA6197">
        <v>0.98439500000000002</v>
      </c>
      <c r="AB6197">
        <v>32</v>
      </c>
      <c r="AC6197">
        <v>2.9159999999999999</v>
      </c>
      <c r="AD6197">
        <v>0.86440649999999997</v>
      </c>
      <c r="AE6197">
        <v>-0.616394</v>
      </c>
      <c r="AF6197">
        <v>0.497474832039906</v>
      </c>
      <c r="AG6197">
        <v>0.86440649999999997</v>
      </c>
      <c r="AH6197">
        <v>2.7038018510223401</v>
      </c>
      <c r="AI6197">
        <v>72.545670598575697</v>
      </c>
      <c r="AJ6197">
        <v>79.574697923040105</v>
      </c>
      <c r="AK6197">
        <v>2.8818785983013302</v>
      </c>
      <c r="AL6197">
        <v>78.419343515663201</v>
      </c>
      <c r="AM6197">
        <v>93.814459989455699</v>
      </c>
      <c r="AN6197">
        <v>1.0000000138703899</v>
      </c>
    </row>
    <row r="6198" spans="1:40" x14ac:dyDescent="0.25">
      <c r="A6198" t="str">
        <f>"20190303162940336"</f>
        <v>20190303162940336</v>
      </c>
      <c r="B6198" t="str">
        <f>"1551601780328308"</f>
        <v>1551601780328308</v>
      </c>
      <c r="C6198" t="s">
        <v>40</v>
      </c>
      <c r="D6198">
        <v>5.0644119999999999</v>
      </c>
      <c r="E6198">
        <v>0.59330139999999998</v>
      </c>
      <c r="F6198" t="s">
        <v>45</v>
      </c>
      <c r="G6198">
        <v>0</v>
      </c>
      <c r="H6198">
        <v>0</v>
      </c>
      <c r="I6198">
        <v>0</v>
      </c>
      <c r="J6198">
        <v>-223.87299999999999</v>
      </c>
      <c r="K6198">
        <v>1.1208260000000001</v>
      </c>
      <c r="L6198">
        <v>-62.232790000000001</v>
      </c>
      <c r="M6198">
        <v>0.99957819999999997</v>
      </c>
      <c r="N6198">
        <v>-1.1751609999999999E-2</v>
      </c>
      <c r="O6198">
        <v>-2.6558970000000001E-2</v>
      </c>
      <c r="P6198">
        <v>0.981182</v>
      </c>
      <c r="Q6198">
        <v>0.18903700000000001</v>
      </c>
      <c r="R6198">
        <v>3.9329919999999997E-2</v>
      </c>
      <c r="S6198">
        <v>2.915009</v>
      </c>
      <c r="T6198">
        <v>0.86897340000000001</v>
      </c>
      <c r="U6198">
        <v>-0.61816409999999999</v>
      </c>
      <c r="V6198">
        <v>-6.517481E-2</v>
      </c>
      <c r="W6198">
        <v>0.2006038</v>
      </c>
      <c r="X6198">
        <v>0.97750210000000004</v>
      </c>
      <c r="Y6198">
        <v>0.17559279999999999</v>
      </c>
      <c r="Z6198">
        <v>1.6322360000000001E-2</v>
      </c>
      <c r="AA6198">
        <v>0.98432759999999997</v>
      </c>
      <c r="AB6198">
        <v>32</v>
      </c>
      <c r="AC6198">
        <v>2.915009</v>
      </c>
      <c r="AD6198">
        <v>0.86897340000000001</v>
      </c>
      <c r="AE6198">
        <v>-0.61816409999999999</v>
      </c>
      <c r="AF6198">
        <v>0.49815717116651498</v>
      </c>
      <c r="AG6198">
        <v>0.86897340000000001</v>
      </c>
      <c r="AH6198">
        <v>2.7007266169775699</v>
      </c>
      <c r="AI6198">
        <v>72.441706562469093</v>
      </c>
      <c r="AJ6198">
        <v>79.549087554738804</v>
      </c>
      <c r="AK6198">
        <v>2.8804860000949999</v>
      </c>
      <c r="AL6198">
        <v>78.427730150432097</v>
      </c>
      <c r="AM6198">
        <v>93.814541869562802</v>
      </c>
      <c r="AN6198">
        <v>0.99999999796869299</v>
      </c>
    </row>
    <row r="6199" spans="1:40" x14ac:dyDescent="0.25">
      <c r="A6199" t="str">
        <f>"20190303162940346"</f>
        <v>20190303162940346</v>
      </c>
      <c r="B6199" t="str">
        <f>"1551601780338068"</f>
        <v>1551601780338068</v>
      </c>
      <c r="C6199" t="s">
        <v>40</v>
      </c>
      <c r="D6199">
        <v>5.0328569999999999</v>
      </c>
      <c r="E6199">
        <v>0.59326409999999996</v>
      </c>
      <c r="F6199" t="s">
        <v>45</v>
      </c>
      <c r="G6199">
        <v>0</v>
      </c>
      <c r="H6199">
        <v>0</v>
      </c>
      <c r="I6199">
        <v>0</v>
      </c>
      <c r="J6199">
        <v>-223.72219999999999</v>
      </c>
      <c r="K6199">
        <v>1.120851</v>
      </c>
      <c r="L6199">
        <v>-62.2369699999999</v>
      </c>
      <c r="M6199">
        <v>0.99957320000000005</v>
      </c>
      <c r="N6199">
        <v>-1.176437E-2</v>
      </c>
      <c r="O6199">
        <v>-2.674029E-2</v>
      </c>
      <c r="P6199">
        <v>0.98112759999999999</v>
      </c>
      <c r="Q6199">
        <v>0.18934770000000001</v>
      </c>
      <c r="R6199">
        <v>3.9193209999999999E-2</v>
      </c>
      <c r="S6199">
        <v>2.9149780000000001</v>
      </c>
      <c r="T6199">
        <v>0.86850859999999996</v>
      </c>
      <c r="U6199">
        <v>-0.61834719999999999</v>
      </c>
      <c r="V6199">
        <v>-6.5223589999999998E-2</v>
      </c>
      <c r="W6199">
        <v>0.2009233</v>
      </c>
      <c r="X6199">
        <v>0.9774332</v>
      </c>
      <c r="Y6199">
        <v>0.1754945</v>
      </c>
      <c r="Z6199">
        <v>1.6243980000000002E-2</v>
      </c>
      <c r="AA6199">
        <v>0.98434639999999995</v>
      </c>
      <c r="AB6199">
        <v>32</v>
      </c>
      <c r="AC6199">
        <v>2.9149780000000001</v>
      </c>
      <c r="AD6199">
        <v>0.86850859999999996</v>
      </c>
      <c r="AE6199">
        <v>-0.61834719999999999</v>
      </c>
      <c r="AF6199">
        <v>0.497878634000328</v>
      </c>
      <c r="AG6199">
        <v>0.86850859999999996</v>
      </c>
      <c r="AH6199">
        <v>2.7010203834055</v>
      </c>
      <c r="AI6199">
        <v>72.451951338544802</v>
      </c>
      <c r="AJ6199">
        <v>79.5559134139165</v>
      </c>
      <c r="AK6199">
        <v>2.88057310860877</v>
      </c>
      <c r="AL6199">
        <v>78.409043415227302</v>
      </c>
      <c r="AM6199">
        <v>93.817656714956499</v>
      </c>
      <c r="AN6199">
        <v>0.99999997481880798</v>
      </c>
    </row>
    <row r="6200" spans="1:40" x14ac:dyDescent="0.25">
      <c r="A6200" t="str">
        <f>"20190303162940357"</f>
        <v>20190303162940357</v>
      </c>
      <c r="B6200" t="str">
        <f>"1551601780348804"</f>
        <v>1551601780348804</v>
      </c>
      <c r="C6200" t="s">
        <v>40</v>
      </c>
      <c r="D6200">
        <v>5.0641730000000003</v>
      </c>
      <c r="E6200">
        <v>0.59321659999999998</v>
      </c>
      <c r="F6200" t="s">
        <v>45</v>
      </c>
      <c r="G6200">
        <v>0</v>
      </c>
      <c r="H6200">
        <v>0</v>
      </c>
      <c r="I6200">
        <v>0</v>
      </c>
      <c r="J6200">
        <v>-223.5652</v>
      </c>
      <c r="K6200">
        <v>1.1208769999999999</v>
      </c>
      <c r="L6200">
        <v>-62.241329999999998</v>
      </c>
      <c r="M6200">
        <v>0.99956849999999997</v>
      </c>
      <c r="N6200">
        <v>-1.1777589999999999E-2</v>
      </c>
      <c r="O6200">
        <v>-2.691373E-2</v>
      </c>
      <c r="P6200">
        <v>0.98093699999999995</v>
      </c>
      <c r="Q6200">
        <v>0.19032170000000001</v>
      </c>
      <c r="R6200">
        <v>3.9247730000000002E-2</v>
      </c>
      <c r="S6200">
        <v>2.9145810000000001</v>
      </c>
      <c r="T6200">
        <v>0.86960949999999904</v>
      </c>
      <c r="U6200">
        <v>-0.61834719999999999</v>
      </c>
      <c r="V6200">
        <v>-6.5452449999999995E-2</v>
      </c>
      <c r="W6200">
        <v>0.20190459999999999</v>
      </c>
      <c r="X6200">
        <v>0.97721570000000002</v>
      </c>
      <c r="Y6200">
        <v>0.1753487</v>
      </c>
      <c r="Z6200">
        <v>1.6193880000000001E-2</v>
      </c>
      <c r="AA6200">
        <v>0.98437319999999995</v>
      </c>
      <c r="AB6200">
        <v>32</v>
      </c>
      <c r="AC6200">
        <v>2.9145810000000001</v>
      </c>
      <c r="AD6200">
        <v>0.86960949999999904</v>
      </c>
      <c r="AE6200">
        <v>-0.61834719999999999</v>
      </c>
      <c r="AF6200">
        <v>0.497310850823041</v>
      </c>
      <c r="AG6200">
        <v>0.86960949999999904</v>
      </c>
      <c r="AH6200">
        <v>2.70014937750596</v>
      </c>
      <c r="AI6200">
        <v>72.425313587962407</v>
      </c>
      <c r="AJ6200">
        <v>79.564270907587002</v>
      </c>
      <c r="AK6200">
        <v>2.8799905252764999</v>
      </c>
      <c r="AL6200">
        <v>78.351643090958007</v>
      </c>
      <c r="AM6200">
        <v>93.831862623967595</v>
      </c>
      <c r="AN6200">
        <v>1.0000000075193201</v>
      </c>
    </row>
    <row r="6201" spans="1:40" x14ac:dyDescent="0.25">
      <c r="A6201" t="str">
        <f>"20190303162940368"</f>
        <v>20190303162940368</v>
      </c>
      <c r="B6201" t="str">
        <f>"1551601780357589"</f>
        <v>1551601780357589</v>
      </c>
      <c r="C6201" t="s">
        <v>40</v>
      </c>
      <c r="D6201">
        <v>5.047383</v>
      </c>
      <c r="E6201">
        <v>0.59321309999999905</v>
      </c>
      <c r="F6201" t="s">
        <v>45</v>
      </c>
      <c r="G6201">
        <v>0</v>
      </c>
      <c r="H6201">
        <v>0</v>
      </c>
      <c r="I6201">
        <v>0</v>
      </c>
      <c r="J6201">
        <v>-223.40960000000001</v>
      </c>
      <c r="K6201">
        <v>1.12090499999999</v>
      </c>
      <c r="L6201">
        <v>-62.245699999999999</v>
      </c>
      <c r="M6201">
        <v>0.99956400000000001</v>
      </c>
      <c r="N6201">
        <v>-1.179036E-2</v>
      </c>
      <c r="O6201">
        <v>-2.707478E-2</v>
      </c>
      <c r="P6201">
        <v>0.98072250000000005</v>
      </c>
      <c r="Q6201">
        <v>0.19138740000000001</v>
      </c>
      <c r="R6201">
        <v>3.942756E-2</v>
      </c>
      <c r="S6201">
        <v>2.9138790000000001</v>
      </c>
      <c r="T6201">
        <v>0.87168630000000003</v>
      </c>
      <c r="U6201">
        <v>-0.61770630000000004</v>
      </c>
      <c r="V6201">
        <v>-6.5793569999999996E-2</v>
      </c>
      <c r="W6201">
        <v>0.20297680000000001</v>
      </c>
      <c r="X6201">
        <v>0.97697060000000002</v>
      </c>
      <c r="Y6201">
        <v>0.17502100000000001</v>
      </c>
      <c r="Z6201">
        <v>1.6143029999999999E-2</v>
      </c>
      <c r="AA6201">
        <v>0.98443230000000004</v>
      </c>
      <c r="AB6201">
        <v>32</v>
      </c>
      <c r="AC6201">
        <v>2.9138790000000001</v>
      </c>
      <c r="AD6201">
        <v>0.87168630000000003</v>
      </c>
      <c r="AE6201">
        <v>-0.61770630000000004</v>
      </c>
      <c r="AF6201">
        <v>0.496095157372961</v>
      </c>
      <c r="AG6201">
        <v>0.87168630000000003</v>
      </c>
      <c r="AH6201">
        <v>2.6984366829639299</v>
      </c>
      <c r="AI6201">
        <v>72.374464295346002</v>
      </c>
      <c r="AJ6201">
        <v>79.582759851197494</v>
      </c>
      <c r="AK6201">
        <v>2.8788032136188102</v>
      </c>
      <c r="AL6201">
        <v>78.288911155010496</v>
      </c>
      <c r="AM6201">
        <v>93.8527366818263</v>
      </c>
      <c r="AN6201">
        <v>0.99999996422797099</v>
      </c>
    </row>
    <row r="6202" spans="1:40" x14ac:dyDescent="0.25">
      <c r="A6202" t="str">
        <f>"20190303162940379"</f>
        <v>20190303162940379</v>
      </c>
      <c r="B6202" t="str">
        <f>"1551601780368325"</f>
        <v>1551601780368325</v>
      </c>
      <c r="C6202" t="s">
        <v>40</v>
      </c>
      <c r="D6202">
        <v>5.0674630000000001</v>
      </c>
      <c r="E6202">
        <v>0.59326909999999999</v>
      </c>
      <c r="F6202" t="s">
        <v>45</v>
      </c>
      <c r="G6202">
        <v>0</v>
      </c>
      <c r="H6202">
        <v>0</v>
      </c>
      <c r="I6202">
        <v>0</v>
      </c>
      <c r="J6202">
        <v>-223.25309999999999</v>
      </c>
      <c r="K6202">
        <v>1.120941</v>
      </c>
      <c r="L6202">
        <v>-62.25009</v>
      </c>
      <c r="M6202">
        <v>0.99955959999999999</v>
      </c>
      <c r="N6202">
        <v>-1.180284E-2</v>
      </c>
      <c r="O6202">
        <v>-2.7225079999999999E-2</v>
      </c>
      <c r="P6202">
        <v>0.98048939999999996</v>
      </c>
      <c r="Q6202">
        <v>0.19246750000000001</v>
      </c>
      <c r="R6202">
        <v>3.9960019999999999E-2</v>
      </c>
      <c r="S6202">
        <v>2.9131619999999998</v>
      </c>
      <c r="T6202">
        <v>0.8742896</v>
      </c>
      <c r="U6202">
        <v>-0.61703490000000005</v>
      </c>
      <c r="V6202">
        <v>-6.6476519999999997E-2</v>
      </c>
      <c r="W6202">
        <v>0.2040631</v>
      </c>
      <c r="X6202">
        <v>0.97669799999999996</v>
      </c>
      <c r="Y6202">
        <v>0.1746877</v>
      </c>
      <c r="Z6202">
        <v>1.6104380000000001E-2</v>
      </c>
      <c r="AA6202">
        <v>0.98449219999999904</v>
      </c>
      <c r="AB6202">
        <v>32</v>
      </c>
      <c r="AC6202">
        <v>2.9131619999999998</v>
      </c>
      <c r="AD6202">
        <v>0.8742896</v>
      </c>
      <c r="AE6202">
        <v>-0.61703490000000005</v>
      </c>
      <c r="AF6202">
        <v>0.49483346946180701</v>
      </c>
      <c r="AG6202">
        <v>0.8742896</v>
      </c>
      <c r="AH6202">
        <v>2.6964409649208601</v>
      </c>
      <c r="AI6202">
        <v>72.311853062935995</v>
      </c>
      <c r="AJ6202">
        <v>79.601152299463706</v>
      </c>
      <c r="AK6202">
        <v>2.8775052292691199</v>
      </c>
      <c r="AL6202">
        <v>78.225339845079006</v>
      </c>
      <c r="AM6202">
        <v>93.893689615534996</v>
      </c>
      <c r="AN6202">
        <v>0.99999992984845698</v>
      </c>
    </row>
    <row r="6203" spans="1:40" x14ac:dyDescent="0.25">
      <c r="A6203" t="str">
        <f>"20190303162940390"</f>
        <v>20190303162940390</v>
      </c>
      <c r="B6203" t="str">
        <f>"1551601780387845"</f>
        <v>1551601780387845</v>
      </c>
      <c r="C6203" t="s">
        <v>40</v>
      </c>
      <c r="D6203">
        <v>5.0442519999999904</v>
      </c>
      <c r="E6203">
        <v>0.59329860000000001</v>
      </c>
      <c r="F6203" t="s">
        <v>45</v>
      </c>
      <c r="G6203">
        <v>0</v>
      </c>
      <c r="H6203">
        <v>0</v>
      </c>
      <c r="I6203">
        <v>0</v>
      </c>
      <c r="J6203">
        <v>-223.09139999999999</v>
      </c>
      <c r="K6203">
        <v>1.1209709999999999</v>
      </c>
      <c r="L6203">
        <v>-62.254669999999997</v>
      </c>
      <c r="M6203">
        <v>0.99955579999999999</v>
      </c>
      <c r="N6203">
        <v>-1.181518E-2</v>
      </c>
      <c r="O6203">
        <v>-2.7364289999999999E-2</v>
      </c>
      <c r="P6203">
        <v>0.98027319999999996</v>
      </c>
      <c r="Q6203">
        <v>0.1934893</v>
      </c>
      <c r="R6203">
        <v>4.0331970000000002E-2</v>
      </c>
      <c r="S6203">
        <v>2.9126590000000001</v>
      </c>
      <c r="T6203">
        <v>0.87690879999999904</v>
      </c>
      <c r="U6203">
        <v>-0.61584469999999902</v>
      </c>
      <c r="V6203">
        <v>-6.6988549999999994E-2</v>
      </c>
      <c r="W6203">
        <v>0.20509140000000001</v>
      </c>
      <c r="X6203">
        <v>0.97644759999999997</v>
      </c>
      <c r="Y6203">
        <v>0.17418929999999999</v>
      </c>
      <c r="Z6203">
        <v>1.60448999999999E-2</v>
      </c>
      <c r="AA6203">
        <v>0.9845815</v>
      </c>
      <c r="AB6203">
        <v>32</v>
      </c>
      <c r="AC6203">
        <v>2.9126590000000001</v>
      </c>
      <c r="AD6203">
        <v>0.87690879999999904</v>
      </c>
      <c r="AE6203">
        <v>-0.61584469999999902</v>
      </c>
      <c r="AF6203">
        <v>0.49312089896359601</v>
      </c>
      <c r="AG6203">
        <v>0.87690879999999904</v>
      </c>
      <c r="AH6203">
        <v>2.6946269858701699</v>
      </c>
      <c r="AI6203">
        <v>72.249477987705504</v>
      </c>
      <c r="AJ6203">
        <v>79.629535219860003</v>
      </c>
      <c r="AK6203">
        <v>2.8763087208246398</v>
      </c>
      <c r="AL6203">
        <v>78.165149613334293</v>
      </c>
      <c r="AM6203">
        <v>93.924590147665398</v>
      </c>
      <c r="AN6203">
        <v>0.99999993186540803</v>
      </c>
    </row>
    <row r="6204" spans="1:40" x14ac:dyDescent="0.25">
      <c r="A6204" t="str">
        <f>"20190303162940402"</f>
        <v>20190303162940402</v>
      </c>
      <c r="B6204" t="str">
        <f>"1551601780397604"</f>
        <v>1551601780397604</v>
      </c>
      <c r="C6204" t="s">
        <v>40</v>
      </c>
      <c r="D6204">
        <v>5.0773510000000002</v>
      </c>
      <c r="E6204">
        <v>0.59339359999999997</v>
      </c>
      <c r="F6204" t="s">
        <v>45</v>
      </c>
      <c r="G6204">
        <v>0</v>
      </c>
      <c r="H6204">
        <v>0</v>
      </c>
      <c r="I6204">
        <v>0</v>
      </c>
      <c r="J6204">
        <v>-222.9178</v>
      </c>
      <c r="K6204">
        <v>1.1210020000000001</v>
      </c>
      <c r="L6204">
        <v>-62.259549999999997</v>
      </c>
      <c r="M6204">
        <v>0.99955179999999999</v>
      </c>
      <c r="N6204">
        <v>-1.1828150000000001E-2</v>
      </c>
      <c r="O6204">
        <v>-2.750478E-2</v>
      </c>
      <c r="P6204">
        <v>0.98003689999999999</v>
      </c>
      <c r="Q6204">
        <v>0.19454360000000001</v>
      </c>
      <c r="R6204">
        <v>4.0997579999999999E-2</v>
      </c>
      <c r="S6204">
        <v>2.9120029999999999</v>
      </c>
      <c r="T6204">
        <v>0.87983269999999902</v>
      </c>
      <c r="U6204">
        <v>-0.61486819999999998</v>
      </c>
      <c r="V6204">
        <v>-6.779628E-2</v>
      </c>
      <c r="W6204">
        <v>0.20615159999999999</v>
      </c>
      <c r="X6204">
        <v>0.97616860000000005</v>
      </c>
      <c r="Y6204">
        <v>0.17376179999999999</v>
      </c>
      <c r="Z6204">
        <v>1.600068E-2</v>
      </c>
      <c r="AA6204">
        <v>0.98465769999999997</v>
      </c>
      <c r="AB6204">
        <v>32</v>
      </c>
      <c r="AC6204">
        <v>2.9120029999999999</v>
      </c>
      <c r="AD6204">
        <v>0.87983269999999902</v>
      </c>
      <c r="AE6204">
        <v>-0.61486819999999998</v>
      </c>
      <c r="AF6204">
        <v>0.49157599586197398</v>
      </c>
      <c r="AG6204">
        <v>0.87983269999999902</v>
      </c>
      <c r="AH6204">
        <v>2.6925095656687201</v>
      </c>
      <c r="AI6204">
        <v>72.179637498552793</v>
      </c>
      <c r="AJ6204">
        <v>79.653368305375906</v>
      </c>
      <c r="AK6204">
        <v>2.8749539650078799</v>
      </c>
      <c r="AL6204">
        <v>78.103078795405494</v>
      </c>
      <c r="AM6204">
        <v>93.972892791006799</v>
      </c>
      <c r="AN6204">
        <v>0.99999997669517904</v>
      </c>
    </row>
    <row r="6205" spans="1:40" x14ac:dyDescent="0.25">
      <c r="A6205" t="str">
        <f>"20190303162940414"</f>
        <v>20190303162940414</v>
      </c>
      <c r="B6205" t="str">
        <f>"1551601780408341"</f>
        <v>1551601780408341</v>
      </c>
      <c r="C6205" t="s">
        <v>40</v>
      </c>
      <c r="D6205">
        <v>5.04819</v>
      </c>
      <c r="E6205">
        <v>0.5933735</v>
      </c>
      <c r="F6205" t="s">
        <v>45</v>
      </c>
      <c r="G6205">
        <v>0</v>
      </c>
      <c r="H6205">
        <v>0</v>
      </c>
      <c r="I6205">
        <v>0</v>
      </c>
      <c r="J6205">
        <v>-222.75290000000001</v>
      </c>
      <c r="K6205">
        <v>1.12103</v>
      </c>
      <c r="L6205">
        <v>-62.264249999999997</v>
      </c>
      <c r="M6205">
        <v>0.99954869999999996</v>
      </c>
      <c r="N6205">
        <v>-1.1839580000000001E-2</v>
      </c>
      <c r="O6205">
        <v>-2.761309E-2</v>
      </c>
      <c r="P6205">
        <v>0.97985739999999999</v>
      </c>
      <c r="Q6205">
        <v>0.1953529</v>
      </c>
      <c r="R6205">
        <v>4.143413E-2</v>
      </c>
      <c r="S6205">
        <v>2.9118040000000001</v>
      </c>
      <c r="T6205">
        <v>0.88142679999999995</v>
      </c>
      <c r="U6205">
        <v>-0.61355590000000004</v>
      </c>
      <c r="V6205">
        <v>-6.8345139999999999E-2</v>
      </c>
      <c r="W6205">
        <v>0.20696619999999999</v>
      </c>
      <c r="X6205">
        <v>0.97595790000000004</v>
      </c>
      <c r="Y6205">
        <v>0.1732475</v>
      </c>
      <c r="Z6205">
        <v>1.592621E-2</v>
      </c>
      <c r="AA6205">
        <v>0.9847496</v>
      </c>
      <c r="AB6205">
        <v>32</v>
      </c>
      <c r="AC6205">
        <v>2.9118040000000001</v>
      </c>
      <c r="AD6205">
        <v>0.88142679999999995</v>
      </c>
      <c r="AE6205">
        <v>-0.61355590000000004</v>
      </c>
      <c r="AF6205">
        <v>0.48992773354226898</v>
      </c>
      <c r="AG6205">
        <v>0.88142679999999995</v>
      </c>
      <c r="AH6205">
        <v>2.6914940716688802</v>
      </c>
      <c r="AI6205">
        <v>72.141486591866197</v>
      </c>
      <c r="AJ6205">
        <v>79.683507673167995</v>
      </c>
      <c r="AK6205">
        <v>2.8742099306906699</v>
      </c>
      <c r="AL6205">
        <v>78.055376527924594</v>
      </c>
      <c r="AM6205">
        <v>94.005813806972498</v>
      </c>
      <c r="AN6205">
        <v>0.99999994433823303</v>
      </c>
    </row>
    <row r="6206" spans="1:40" x14ac:dyDescent="0.25">
      <c r="A6206" t="str">
        <f>"20190303162940424"</f>
        <v>20190303162940424</v>
      </c>
      <c r="B6206" t="str">
        <f>"1551601780418101"</f>
        <v>1551601780418101</v>
      </c>
      <c r="C6206" t="s">
        <v>40</v>
      </c>
      <c r="D6206">
        <v>4.9781219999999999</v>
      </c>
      <c r="E6206">
        <v>0.59355089999999999</v>
      </c>
      <c r="F6206" t="s">
        <v>45</v>
      </c>
      <c r="G6206">
        <v>0</v>
      </c>
      <c r="H6206">
        <v>0</v>
      </c>
      <c r="I6206">
        <v>0</v>
      </c>
      <c r="J6206">
        <v>-222.60429999999999</v>
      </c>
      <c r="K6206">
        <v>1.1210599999999999</v>
      </c>
      <c r="L6206">
        <v>-62.268430000000002</v>
      </c>
      <c r="M6206">
        <v>0.99954589999999999</v>
      </c>
      <c r="N6206">
        <v>-1.1849699999999999E-2</v>
      </c>
      <c r="O6206">
        <v>-2.7706049999999999E-2</v>
      </c>
      <c r="P6206">
        <v>0.97966229999999999</v>
      </c>
      <c r="Q6206">
        <v>0.1961869</v>
      </c>
      <c r="R6206">
        <v>4.2101439999999997E-2</v>
      </c>
      <c r="S6206">
        <v>2.9109799999999999</v>
      </c>
      <c r="T6206">
        <v>0.88567669999999998</v>
      </c>
      <c r="U6206">
        <v>-0.61193850000000005</v>
      </c>
      <c r="V6206">
        <v>-6.9107909999999995E-2</v>
      </c>
      <c r="W6206">
        <v>0.20780399999999999</v>
      </c>
      <c r="X6206">
        <v>0.97572619999999999</v>
      </c>
      <c r="Y6206">
        <v>0.17265620000000001</v>
      </c>
      <c r="Z6206">
        <v>1.5898519999999999E-2</v>
      </c>
      <c r="AA6206">
        <v>0.9848538</v>
      </c>
      <c r="AB6206">
        <v>32</v>
      </c>
      <c r="AC6206">
        <v>2.9109799999999999</v>
      </c>
      <c r="AD6206">
        <v>0.88567669999999998</v>
      </c>
      <c r="AE6206">
        <v>-0.61193850000000005</v>
      </c>
      <c r="AF6206">
        <v>0.48780124206686898</v>
      </c>
      <c r="AG6206">
        <v>0.88567669999999998</v>
      </c>
      <c r="AH6206">
        <v>2.68847721318985</v>
      </c>
      <c r="AI6206">
        <v>72.040313028457803</v>
      </c>
      <c r="AJ6206">
        <v>79.716048545967396</v>
      </c>
      <c r="AK6206">
        <v>2.8723305858702801</v>
      </c>
      <c r="AL6206">
        <v>78.006308142169104</v>
      </c>
      <c r="AM6206">
        <v>94.051331565459193</v>
      </c>
      <c r="AN6206">
        <v>1.0000000115034999</v>
      </c>
    </row>
    <row r="6207" spans="1:40" x14ac:dyDescent="0.25">
      <c r="A6207" t="str">
        <f>"20190303162940435"</f>
        <v>20190303162940435</v>
      </c>
      <c r="B6207" t="str">
        <f>"1551601780427860"</f>
        <v>1551601780427860</v>
      </c>
      <c r="C6207" t="s">
        <v>40</v>
      </c>
      <c r="D6207">
        <v>5.0025279999999999</v>
      </c>
      <c r="E6207">
        <v>0.59372709999999995</v>
      </c>
      <c r="F6207" t="s">
        <v>45</v>
      </c>
      <c r="G6207">
        <v>0</v>
      </c>
      <c r="H6207">
        <v>0</v>
      </c>
      <c r="I6207">
        <v>0</v>
      </c>
      <c r="J6207">
        <v>-222.4504</v>
      </c>
      <c r="K6207">
        <v>1.1210869999999999</v>
      </c>
      <c r="L6207">
        <v>-62.272799999999997</v>
      </c>
      <c r="M6207">
        <v>0.99954370000000003</v>
      </c>
      <c r="N6207">
        <v>-1.1859450000000001E-2</v>
      </c>
      <c r="O6207">
        <v>-2.7782649999999999E-2</v>
      </c>
      <c r="P6207">
        <v>0.97934500000000002</v>
      </c>
      <c r="Q6207">
        <v>0.19759109999999999</v>
      </c>
      <c r="R6207">
        <v>4.2913739999999999E-2</v>
      </c>
      <c r="S6207">
        <v>2.9105989999999999</v>
      </c>
      <c r="T6207">
        <v>0.88863649999999905</v>
      </c>
      <c r="U6207">
        <v>-0.61132810000000004</v>
      </c>
      <c r="V6207">
        <v>-6.9996920000000004E-2</v>
      </c>
      <c r="W6207">
        <v>0.2092106</v>
      </c>
      <c r="X6207">
        <v>0.97536219999999996</v>
      </c>
      <c r="Y6207">
        <v>0.1723828</v>
      </c>
      <c r="Z6207">
        <v>1.589285E-2</v>
      </c>
      <c r="AA6207">
        <v>0.98490180000000005</v>
      </c>
      <c r="AB6207">
        <v>32</v>
      </c>
      <c r="AC6207">
        <v>2.9105989999999999</v>
      </c>
      <c r="AD6207">
        <v>0.88863649999999905</v>
      </c>
      <c r="AE6207">
        <v>-0.61132810000000004</v>
      </c>
      <c r="AF6207">
        <v>0.48676569855112301</v>
      </c>
      <c r="AG6207">
        <v>0.88863649999999905</v>
      </c>
      <c r="AH6207">
        <v>2.6866106488206598</v>
      </c>
      <c r="AI6207">
        <v>71.971692248465999</v>
      </c>
      <c r="AJ6207">
        <v>79.730437299608298</v>
      </c>
      <c r="AK6207">
        <v>2.8713224222951301</v>
      </c>
      <c r="AL6207">
        <v>77.923904989910994</v>
      </c>
      <c r="AM6207">
        <v>94.104797433050607</v>
      </c>
      <c r="AN6207">
        <v>1.00000003257534</v>
      </c>
    </row>
    <row r="6208" spans="1:40" x14ac:dyDescent="0.25">
      <c r="A6208" t="str">
        <f>"20190303162940446"</f>
        <v>20190303162940446</v>
      </c>
      <c r="B6208" t="str">
        <f>"1551601780437620"</f>
        <v>1551601780437620</v>
      </c>
      <c r="C6208" t="s">
        <v>40</v>
      </c>
      <c r="D6208">
        <v>4.9779220000000004</v>
      </c>
      <c r="E6208">
        <v>0.59387009999999996</v>
      </c>
      <c r="F6208" t="s">
        <v>45</v>
      </c>
      <c r="G6208">
        <v>0</v>
      </c>
      <c r="H6208">
        <v>0</v>
      </c>
      <c r="I6208">
        <v>0</v>
      </c>
      <c r="J6208">
        <v>-222.2979</v>
      </c>
      <c r="K6208">
        <v>1.1211180000000001</v>
      </c>
      <c r="L6208">
        <v>-62.277099999999997</v>
      </c>
      <c r="M6208">
        <v>0.99954169999999998</v>
      </c>
      <c r="N6208">
        <v>-1.186883E-2</v>
      </c>
      <c r="O6208">
        <v>-2.7851750000000002E-2</v>
      </c>
      <c r="P6208">
        <v>0.97909029999999997</v>
      </c>
      <c r="Q6208">
        <v>0.19873589999999999</v>
      </c>
      <c r="R6208">
        <v>4.3435790000000002E-2</v>
      </c>
      <c r="S6208">
        <v>2.9092250000000002</v>
      </c>
      <c r="T6208">
        <v>0.89614830000000001</v>
      </c>
      <c r="U6208">
        <v>-0.61001590000000006</v>
      </c>
      <c r="V6208">
        <v>-7.0590269999999997E-2</v>
      </c>
      <c r="W6208">
        <v>0.2103575</v>
      </c>
      <c r="X6208">
        <v>0.97507270000000001</v>
      </c>
      <c r="Y6208">
        <v>0.17189939999999901</v>
      </c>
      <c r="Z6208">
        <v>1.594926E-2</v>
      </c>
      <c r="AA6208">
        <v>0.98498540000000001</v>
      </c>
      <c r="AB6208">
        <v>32</v>
      </c>
      <c r="AC6208">
        <v>2.9092250000000002</v>
      </c>
      <c r="AD6208">
        <v>0.89614830000000001</v>
      </c>
      <c r="AE6208">
        <v>-0.61001590000000006</v>
      </c>
      <c r="AF6208">
        <v>0.484692577570769</v>
      </c>
      <c r="AG6208">
        <v>0.89614830000000001</v>
      </c>
      <c r="AH6208">
        <v>2.6813759404026398</v>
      </c>
      <c r="AI6208">
        <v>71.794886880346894</v>
      </c>
      <c r="AJ6208">
        <v>79.753707517260395</v>
      </c>
      <c r="AK6208">
        <v>2.8684116866508602</v>
      </c>
      <c r="AL6208">
        <v>77.856696737269004</v>
      </c>
      <c r="AM6208">
        <v>94.140697275973395</v>
      </c>
      <c r="AN6208">
        <v>1.0000000171551</v>
      </c>
    </row>
    <row r="6209" spans="1:40" x14ac:dyDescent="0.25">
      <c r="A6209" t="str">
        <f>"20190303162940457"</f>
        <v>20190303162940457</v>
      </c>
      <c r="B6209" t="str">
        <f>"1551601780448357"</f>
        <v>1551601780448357</v>
      </c>
      <c r="C6209" t="s">
        <v>40</v>
      </c>
      <c r="D6209">
        <v>5.0121789999999997</v>
      </c>
      <c r="E6209">
        <v>0.59395419999999999</v>
      </c>
      <c r="F6209" t="s">
        <v>45</v>
      </c>
      <c r="G6209">
        <v>0</v>
      </c>
      <c r="H6209">
        <v>0</v>
      </c>
      <c r="I6209">
        <v>0</v>
      </c>
      <c r="J6209">
        <v>-222.14099999999999</v>
      </c>
      <c r="K6209">
        <v>1.121149</v>
      </c>
      <c r="L6209">
        <v>-62.281559999999999</v>
      </c>
      <c r="M6209">
        <v>0.99954010000000004</v>
      </c>
      <c r="N6209">
        <v>-1.1877860000000001E-2</v>
      </c>
      <c r="O6209">
        <v>-2.790774E-2</v>
      </c>
      <c r="P6209">
        <v>0.97880610000000001</v>
      </c>
      <c r="Q6209">
        <v>0.1999078</v>
      </c>
      <c r="R6209">
        <v>4.4449309999999999E-2</v>
      </c>
      <c r="S6209">
        <v>2.9076390000000001</v>
      </c>
      <c r="T6209">
        <v>0.90394200000000002</v>
      </c>
      <c r="U6209">
        <v>-0.60931400000000002</v>
      </c>
      <c r="V6209">
        <v>-7.1661030000000001E-2</v>
      </c>
      <c r="W6209">
        <v>0.21153069999999999</v>
      </c>
      <c r="X6209">
        <v>0.97474070000000002</v>
      </c>
      <c r="Y6209">
        <v>0.171626799999999</v>
      </c>
      <c r="Z6209">
        <v>1.6044619999999999E-2</v>
      </c>
      <c r="AA6209">
        <v>0.9850314</v>
      </c>
      <c r="AB6209">
        <v>32</v>
      </c>
      <c r="AC6209">
        <v>2.9076390000000001</v>
      </c>
      <c r="AD6209">
        <v>0.90394200000000002</v>
      </c>
      <c r="AE6209">
        <v>-0.60931400000000002</v>
      </c>
      <c r="AF6209">
        <v>0.48318970524774502</v>
      </c>
      <c r="AG6209">
        <v>0.90394200000000002</v>
      </c>
      <c r="AH6209">
        <v>2.6757781043642201</v>
      </c>
      <c r="AI6209">
        <v>71.610762817016294</v>
      </c>
      <c r="AJ6209">
        <v>79.763888690590207</v>
      </c>
      <c r="AK6209">
        <v>2.8653746516670999</v>
      </c>
      <c r="AL6209">
        <v>77.787929560400698</v>
      </c>
      <c r="AM6209">
        <v>94.204709197953704</v>
      </c>
      <c r="AN6209">
        <v>0.99999998624982001</v>
      </c>
    </row>
    <row r="6210" spans="1:40" x14ac:dyDescent="0.25">
      <c r="A6210" t="str">
        <f>"20190303162940468"</f>
        <v>20190303162940468</v>
      </c>
      <c r="B6210" t="str">
        <f>"1551601780458116"</f>
        <v>1551601780458116</v>
      </c>
      <c r="C6210" t="s">
        <v>40</v>
      </c>
      <c r="D6210">
        <v>4.9854580000000004</v>
      </c>
      <c r="E6210">
        <v>0.59401759999999904</v>
      </c>
      <c r="F6210" t="s">
        <v>45</v>
      </c>
      <c r="G6210">
        <v>0</v>
      </c>
      <c r="H6210">
        <v>0</v>
      </c>
      <c r="I6210">
        <v>0</v>
      </c>
      <c r="J6210">
        <v>-221.98169999999999</v>
      </c>
      <c r="K6210">
        <v>1.1211770000000001</v>
      </c>
      <c r="L6210">
        <v>-62.286070000000002</v>
      </c>
      <c r="M6210">
        <v>0.99953860000000005</v>
      </c>
      <c r="N6210">
        <v>-1.1886580000000001E-2</v>
      </c>
      <c r="O6210">
        <v>-2.7953579999999999E-2</v>
      </c>
      <c r="P6210">
        <v>0.97847209999999996</v>
      </c>
      <c r="Q6210">
        <v>0.2013673</v>
      </c>
      <c r="R6210">
        <v>4.52083E-2</v>
      </c>
      <c r="S6210">
        <v>2.9061279999999998</v>
      </c>
      <c r="T6210">
        <v>0.91244009999999998</v>
      </c>
      <c r="U6210">
        <v>-0.60656739999999998</v>
      </c>
      <c r="V6210">
        <v>-7.2466210000000003E-2</v>
      </c>
      <c r="W6210">
        <v>0.2129906</v>
      </c>
      <c r="X6210">
        <v>0.97436319999999998</v>
      </c>
      <c r="Y6210">
        <v>0.17071159999999999</v>
      </c>
      <c r="Z6210">
        <v>1.6062259999999998E-2</v>
      </c>
      <c r="AA6210">
        <v>0.98519009999999996</v>
      </c>
      <c r="AB6210">
        <v>32</v>
      </c>
      <c r="AC6210">
        <v>2.9061279999999998</v>
      </c>
      <c r="AD6210">
        <v>0.91244009999999998</v>
      </c>
      <c r="AE6210">
        <v>-0.60656739999999998</v>
      </c>
      <c r="AF6210">
        <v>0.47976778095032002</v>
      </c>
      <c r="AG6210">
        <v>0.91244009999999998</v>
      </c>
      <c r="AH6210">
        <v>2.6697568147415001</v>
      </c>
      <c r="AI6210">
        <v>71.408056507630903</v>
      </c>
      <c r="AJ6210">
        <v>79.812416962141199</v>
      </c>
      <c r="AK6210">
        <v>2.86187447481274</v>
      </c>
      <c r="AL6210">
        <v>77.702333086206806</v>
      </c>
      <c r="AM6210">
        <v>94.253422055949599</v>
      </c>
      <c r="AN6210">
        <v>0.99999999639718196</v>
      </c>
    </row>
    <row r="6211" spans="1:40" x14ac:dyDescent="0.25">
      <c r="A6211" t="str">
        <f>"20190303162940480"</f>
        <v>20190303162940480</v>
      </c>
      <c r="B6211" t="str">
        <f>"1551601780467876"</f>
        <v>1551601780467876</v>
      </c>
      <c r="C6211" t="s">
        <v>40</v>
      </c>
      <c r="D6211">
        <v>4.934755</v>
      </c>
      <c r="E6211">
        <v>0.59419609999999901</v>
      </c>
      <c r="F6211" t="s">
        <v>45</v>
      </c>
      <c r="G6211">
        <v>0</v>
      </c>
      <c r="H6211">
        <v>0</v>
      </c>
      <c r="I6211">
        <v>0</v>
      </c>
      <c r="J6211">
        <v>-221.81700000000001</v>
      </c>
      <c r="K6211">
        <v>1.12121</v>
      </c>
      <c r="L6211">
        <v>-62.290709999999997</v>
      </c>
      <c r="M6211">
        <v>0.99953749999999997</v>
      </c>
      <c r="N6211">
        <v>-1.189513E-2</v>
      </c>
      <c r="O6211">
        <v>-2.7989529999999999E-2</v>
      </c>
      <c r="P6211">
        <v>0.97823329999999997</v>
      </c>
      <c r="Q6211">
        <v>0.20233770000000001</v>
      </c>
      <c r="R6211">
        <v>4.6032099999999999E-2</v>
      </c>
      <c r="S6211">
        <v>2.9042819999999998</v>
      </c>
      <c r="T6211">
        <v>0.92152639999999997</v>
      </c>
      <c r="U6211">
        <v>-0.60446169999999899</v>
      </c>
      <c r="V6211">
        <v>-7.3329279999999997E-2</v>
      </c>
      <c r="W6211">
        <v>0.21396270000000001</v>
      </c>
      <c r="X6211">
        <v>0.9740856</v>
      </c>
      <c r="Y6211">
        <v>0.1700169</v>
      </c>
      <c r="Z6211">
        <v>1.612471E-2</v>
      </c>
      <c r="AA6211">
        <v>0.9853092</v>
      </c>
      <c r="AB6211">
        <v>32</v>
      </c>
      <c r="AC6211">
        <v>2.9042819999999998</v>
      </c>
      <c r="AD6211">
        <v>0.92152639999999997</v>
      </c>
      <c r="AE6211">
        <v>-0.60446169999999899</v>
      </c>
      <c r="AF6211">
        <v>0.47690854008000999</v>
      </c>
      <c r="AG6211">
        <v>0.92152639999999997</v>
      </c>
      <c r="AH6211">
        <v>2.6630799254334701</v>
      </c>
      <c r="AI6211">
        <v>71.190178118567999</v>
      </c>
      <c r="AJ6211">
        <v>79.847005014707307</v>
      </c>
      <c r="AK6211">
        <v>2.8580845597611302</v>
      </c>
      <c r="AL6211">
        <v>77.645321534959905</v>
      </c>
      <c r="AM6211">
        <v>94.305112863999298</v>
      </c>
      <c r="AN6211">
        <v>0.99999998821198399</v>
      </c>
    </row>
    <row r="6212" spans="1:40" x14ac:dyDescent="0.25">
      <c r="A6212" t="str">
        <f>"20190303162940492"</f>
        <v>20190303162940492</v>
      </c>
      <c r="B6212" t="str">
        <f>"1551601780488373"</f>
        <v>1551601780488373</v>
      </c>
      <c r="C6212" t="s">
        <v>40</v>
      </c>
      <c r="D6212">
        <v>4.9008129999999896</v>
      </c>
      <c r="E6212">
        <v>0.59459980000000001</v>
      </c>
      <c r="F6212" t="s">
        <v>45</v>
      </c>
      <c r="G6212">
        <v>0</v>
      </c>
      <c r="H6212">
        <v>0</v>
      </c>
      <c r="I6212">
        <v>0</v>
      </c>
      <c r="J6212">
        <v>-221.65610000000001</v>
      </c>
      <c r="K6212">
        <v>1.12124</v>
      </c>
      <c r="L6212">
        <v>-62.295259999999999</v>
      </c>
      <c r="M6212">
        <v>0.9995368</v>
      </c>
      <c r="N6212">
        <v>-1.190284E-2</v>
      </c>
      <c r="O6212">
        <v>-2.8012160000000001E-2</v>
      </c>
      <c r="P6212">
        <v>0.97789250000000005</v>
      </c>
      <c r="Q6212">
        <v>0.20375470000000001</v>
      </c>
      <c r="R6212">
        <v>4.7017759999999999E-2</v>
      </c>
      <c r="S6212">
        <v>2.9033359999999999</v>
      </c>
      <c r="T6212">
        <v>0.92722340000000003</v>
      </c>
      <c r="U6212">
        <v>-0.60308839999999997</v>
      </c>
      <c r="V6212">
        <v>-7.4337619999999993E-2</v>
      </c>
      <c r="W6212">
        <v>0.21537899999999999</v>
      </c>
      <c r="X6212">
        <v>0.97369689999999998</v>
      </c>
      <c r="Y6212">
        <v>0.16955149999999999</v>
      </c>
      <c r="Z6212">
        <v>1.6156799999999999E-2</v>
      </c>
      <c r="AA6212">
        <v>0.98538890000000001</v>
      </c>
      <c r="AB6212">
        <v>32</v>
      </c>
      <c r="AC6212">
        <v>2.9033359999999999</v>
      </c>
      <c r="AD6212">
        <v>0.92722340000000003</v>
      </c>
      <c r="AE6212">
        <v>-0.60308839999999997</v>
      </c>
      <c r="AF6212">
        <v>0.47506749741882598</v>
      </c>
      <c r="AG6212">
        <v>0.92722340000000003</v>
      </c>
      <c r="AH6212">
        <v>2.6590981218024998</v>
      </c>
      <c r="AI6212">
        <v>71.054536665455004</v>
      </c>
      <c r="AJ6212">
        <v>79.870556074029395</v>
      </c>
      <c r="AK6212">
        <v>2.8559123204301899</v>
      </c>
      <c r="AL6212">
        <v>77.562235697974202</v>
      </c>
      <c r="AM6212">
        <v>94.365820083443296</v>
      </c>
      <c r="AN6212">
        <v>0.99999992422893402</v>
      </c>
    </row>
    <row r="6213" spans="1:40" x14ac:dyDescent="0.25">
      <c r="A6213" t="str">
        <f>"20190303162940503"</f>
        <v>20190303162940503</v>
      </c>
      <c r="B6213" t="str">
        <f>"1551601780498132"</f>
        <v>1551601780498132</v>
      </c>
      <c r="C6213" t="s">
        <v>40</v>
      </c>
      <c r="D6213">
        <v>4.8884569999999998</v>
      </c>
      <c r="E6213">
        <v>0.59476329999999999</v>
      </c>
      <c r="F6213" t="s">
        <v>45</v>
      </c>
      <c r="G6213">
        <v>0</v>
      </c>
      <c r="H6213">
        <v>0</v>
      </c>
      <c r="I6213">
        <v>0</v>
      </c>
      <c r="J6213">
        <v>-221.48820000000001</v>
      </c>
      <c r="K6213">
        <v>1.121273</v>
      </c>
      <c r="L6213">
        <v>-62.300020000000004</v>
      </c>
      <c r="M6213">
        <v>0.99953619999999999</v>
      </c>
      <c r="N6213">
        <v>-1.191064E-2</v>
      </c>
      <c r="O6213">
        <v>-2.8031219999999999E-2</v>
      </c>
      <c r="P6213">
        <v>0.97748670000000004</v>
      </c>
      <c r="Q6213">
        <v>0.2055275</v>
      </c>
      <c r="R6213">
        <v>4.7734060000000002E-2</v>
      </c>
      <c r="S6213">
        <v>2.9019620000000002</v>
      </c>
      <c r="T6213">
        <v>0.9351777</v>
      </c>
      <c r="U6213">
        <v>-0.60296629999999996</v>
      </c>
      <c r="V6213">
        <v>-7.5071180000000001E-2</v>
      </c>
      <c r="W6213">
        <v>0.21715090000000001</v>
      </c>
      <c r="X6213">
        <v>0.97324710000000003</v>
      </c>
      <c r="Y6213">
        <v>0.16947479999999901</v>
      </c>
      <c r="Z6213">
        <v>1.6289209999999998E-2</v>
      </c>
      <c r="AA6213">
        <v>0.9853999</v>
      </c>
      <c r="AB6213">
        <v>32</v>
      </c>
      <c r="AC6213">
        <v>2.9019620000000002</v>
      </c>
      <c r="AD6213">
        <v>0.9351777</v>
      </c>
      <c r="AE6213">
        <v>-0.60296629999999996</v>
      </c>
      <c r="AF6213">
        <v>0.47417325550255601</v>
      </c>
      <c r="AG6213">
        <v>0.9351777</v>
      </c>
      <c r="AH6213">
        <v>2.6535582193858702</v>
      </c>
      <c r="AI6213">
        <v>70.866876306726795</v>
      </c>
      <c r="AJ6213">
        <v>79.868557773675704</v>
      </c>
      <c r="AK6213">
        <v>2.85320325782821</v>
      </c>
      <c r="AL6213">
        <v>77.458254176247493</v>
      </c>
      <c r="AM6213">
        <v>94.410762275586507</v>
      </c>
      <c r="AN6213">
        <v>1.0000000565478999</v>
      </c>
    </row>
    <row r="6214" spans="1:40" x14ac:dyDescent="0.25">
      <c r="A6214" t="str">
        <f>"20190303162940513"</f>
        <v>20190303162940513</v>
      </c>
      <c r="B6214" t="str">
        <f>"1551601780507894"</f>
        <v>1551601780507894</v>
      </c>
      <c r="C6214" t="s">
        <v>40</v>
      </c>
      <c r="D6214">
        <v>4.8714950000000004</v>
      </c>
      <c r="E6214">
        <v>0.59495869999999995</v>
      </c>
      <c r="F6214" t="s">
        <v>45</v>
      </c>
      <c r="G6214">
        <v>0</v>
      </c>
      <c r="H6214">
        <v>0</v>
      </c>
      <c r="I6214">
        <v>0</v>
      </c>
      <c r="J6214">
        <v>-221.3331</v>
      </c>
      <c r="K6214">
        <v>1.1213010000000001</v>
      </c>
      <c r="L6214">
        <v>-62.304380000000002</v>
      </c>
      <c r="M6214">
        <v>0.99953599999999998</v>
      </c>
      <c r="N6214">
        <v>-1.191707E-2</v>
      </c>
      <c r="O6214">
        <v>-2.803748E-2</v>
      </c>
      <c r="P6214">
        <v>0.97699000000000003</v>
      </c>
      <c r="Q6214">
        <v>0.20769499999999999</v>
      </c>
      <c r="R6214">
        <v>4.8514000000000002E-2</v>
      </c>
      <c r="S6214">
        <v>2.9001769999999998</v>
      </c>
      <c r="T6214">
        <v>0.94305539999999999</v>
      </c>
      <c r="U6214">
        <v>-0.60168459999999901</v>
      </c>
      <c r="V6214">
        <v>-7.5850290000000001E-2</v>
      </c>
      <c r="W6214">
        <v>0.2193157</v>
      </c>
      <c r="X6214">
        <v>0.97270109999999999</v>
      </c>
      <c r="Y6214">
        <v>0.16907320000000001</v>
      </c>
      <c r="Z6214">
        <v>1.637825E-2</v>
      </c>
      <c r="AA6214">
        <v>0.98546739999999999</v>
      </c>
      <c r="AB6214">
        <v>32</v>
      </c>
      <c r="AC6214">
        <v>2.9001769999999998</v>
      </c>
      <c r="AD6214">
        <v>0.94305539999999999</v>
      </c>
      <c r="AE6214">
        <v>-0.60168459999999901</v>
      </c>
      <c r="AF6214">
        <v>0.47225458691077399</v>
      </c>
      <c r="AG6214">
        <v>0.94305539999999999</v>
      </c>
      <c r="AH6214">
        <v>2.64751969794718</v>
      </c>
      <c r="AI6214">
        <v>70.675851669684207</v>
      </c>
      <c r="AJ6214">
        <v>79.886167060338295</v>
      </c>
      <c r="AK6214">
        <v>2.8498663886831199</v>
      </c>
      <c r="AL6214">
        <v>77.331156514681695</v>
      </c>
      <c r="AM6214">
        <v>94.458846341148302</v>
      </c>
      <c r="AN6214">
        <v>1.00000003635039</v>
      </c>
    </row>
    <row r="6215" spans="1:40" x14ac:dyDescent="0.25">
      <c r="A6215" t="str">
        <f>"20190303162940524"</f>
        <v>20190303162940524</v>
      </c>
      <c r="B6215" t="str">
        <f>"1551601780517653"</f>
        <v>1551601780517653</v>
      </c>
      <c r="C6215" t="s">
        <v>40</v>
      </c>
      <c r="D6215">
        <v>4.8040580000000004</v>
      </c>
      <c r="E6215">
        <v>0.59506729999999997</v>
      </c>
      <c r="F6215" t="s">
        <v>45</v>
      </c>
      <c r="G6215">
        <v>0</v>
      </c>
      <c r="H6215">
        <v>0</v>
      </c>
      <c r="I6215">
        <v>0</v>
      </c>
      <c r="J6215">
        <v>-221.18219999999999</v>
      </c>
      <c r="K6215">
        <v>1.121327</v>
      </c>
      <c r="L6215">
        <v>-62.308590000000002</v>
      </c>
      <c r="M6215">
        <v>0.99953570000000003</v>
      </c>
      <c r="N6215">
        <v>-1.192321E-2</v>
      </c>
      <c r="O6215">
        <v>-2.8041969999999999E-2</v>
      </c>
      <c r="P6215">
        <v>0.97655360000000002</v>
      </c>
      <c r="Q6215">
        <v>0.20952380000000001</v>
      </c>
      <c r="R6215">
        <v>4.9423229999999999E-2</v>
      </c>
      <c r="S6215">
        <v>2.8981780000000001</v>
      </c>
      <c r="T6215">
        <v>0.95153010000000005</v>
      </c>
      <c r="U6215">
        <v>-0.60052490000000003</v>
      </c>
      <c r="V6215">
        <v>-7.675796E-2</v>
      </c>
      <c r="W6215">
        <v>0.2211427</v>
      </c>
      <c r="X6215">
        <v>0.97221610000000003</v>
      </c>
      <c r="Y6215">
        <v>0.16871520000000001</v>
      </c>
      <c r="Z6215">
        <v>1.6485219999999998E-2</v>
      </c>
      <c r="AA6215">
        <v>0.98552700000000004</v>
      </c>
      <c r="AB6215">
        <v>32</v>
      </c>
      <c r="AC6215">
        <v>2.8981780000000001</v>
      </c>
      <c r="AD6215">
        <v>0.95153010000000005</v>
      </c>
      <c r="AE6215">
        <v>-0.60052490000000003</v>
      </c>
      <c r="AF6215">
        <v>0.47039404490765702</v>
      </c>
      <c r="AG6215">
        <v>0.95153010000000005</v>
      </c>
      <c r="AH6215">
        <v>2.6409227503787398</v>
      </c>
      <c r="AI6215">
        <v>70.469427082855006</v>
      </c>
      <c r="AJ6215">
        <v>79.900545589410598</v>
      </c>
      <c r="AK6215">
        <v>2.8462524593153402</v>
      </c>
      <c r="AL6215">
        <v>77.223842029951598</v>
      </c>
      <c r="AM6215">
        <v>94.514226090429005</v>
      </c>
      <c r="AN6215">
        <v>1.00000001164293</v>
      </c>
    </row>
    <row r="6216" spans="1:40" x14ac:dyDescent="0.25">
      <c r="A6216" t="str">
        <f>"20190303162940536"</f>
        <v>20190303162940536</v>
      </c>
      <c r="B6216" t="str">
        <f>"1551601780528389"</f>
        <v>1551601780528389</v>
      </c>
      <c r="C6216" t="s">
        <v>40</v>
      </c>
      <c r="D6216">
        <v>4.8295870000000001</v>
      </c>
      <c r="E6216">
        <v>0.59530260000000002</v>
      </c>
      <c r="F6216" t="s">
        <v>45</v>
      </c>
      <c r="G6216">
        <v>0</v>
      </c>
      <c r="H6216">
        <v>0</v>
      </c>
      <c r="I6216">
        <v>0</v>
      </c>
      <c r="J6216">
        <v>-221.0187</v>
      </c>
      <c r="K6216">
        <v>1.1213500000000001</v>
      </c>
      <c r="L6216">
        <v>-62.313200000000002</v>
      </c>
      <c r="M6216">
        <v>0.99953570000000003</v>
      </c>
      <c r="N6216">
        <v>-1.192911E-2</v>
      </c>
      <c r="O6216">
        <v>-2.803897E-2</v>
      </c>
      <c r="P6216">
        <v>0.97607290000000002</v>
      </c>
      <c r="Q6216">
        <v>0.2115735</v>
      </c>
      <c r="R6216">
        <v>5.0186910000000001E-2</v>
      </c>
      <c r="S6216">
        <v>2.896576</v>
      </c>
      <c r="T6216">
        <v>0.95896879999999995</v>
      </c>
      <c r="U6216">
        <v>-0.59829709999999903</v>
      </c>
      <c r="V6216">
        <v>-7.7510800000000005E-2</v>
      </c>
      <c r="W6216">
        <v>0.22318979999999999</v>
      </c>
      <c r="X6216">
        <v>0.97168840000000001</v>
      </c>
      <c r="Y6216">
        <v>0.16802020000000001</v>
      </c>
      <c r="Z6216">
        <v>1.6521859999999999E-2</v>
      </c>
      <c r="AA6216">
        <v>0.98564510000000005</v>
      </c>
      <c r="AB6216">
        <v>32</v>
      </c>
      <c r="AC6216">
        <v>2.896576</v>
      </c>
      <c r="AD6216">
        <v>0.95896879999999995</v>
      </c>
      <c r="AE6216">
        <v>-0.59829709999999903</v>
      </c>
      <c r="AF6216">
        <v>0.46767591056284202</v>
      </c>
      <c r="AG6216">
        <v>0.95896879999999995</v>
      </c>
      <c r="AH6216">
        <v>2.6351960937365901</v>
      </c>
      <c r="AI6216">
        <v>70.286944586576098</v>
      </c>
      <c r="AJ6216">
        <v>79.936335569946195</v>
      </c>
      <c r="AK6216">
        <v>2.8429914472503799</v>
      </c>
      <c r="AL6216">
        <v>77.103545029825497</v>
      </c>
      <c r="AM6216">
        <v>94.560780877537795</v>
      </c>
      <c r="AN6216">
        <v>0.99999997881761904</v>
      </c>
    </row>
    <row r="6217" spans="1:40" x14ac:dyDescent="0.25">
      <c r="A6217" t="str">
        <f>"20190303162940547"</f>
        <v>20190303162940547</v>
      </c>
      <c r="B6217" t="str">
        <f>"1551601780538148"</f>
        <v>1551601780538148</v>
      </c>
      <c r="C6217" t="s">
        <v>40</v>
      </c>
      <c r="D6217">
        <v>4.8011629999999998</v>
      </c>
      <c r="E6217">
        <v>0.59544069999999905</v>
      </c>
      <c r="F6217" t="s">
        <v>45</v>
      </c>
      <c r="G6217">
        <v>0</v>
      </c>
      <c r="H6217">
        <v>0</v>
      </c>
      <c r="I6217">
        <v>0</v>
      </c>
      <c r="J6217">
        <v>-220.86240000000001</v>
      </c>
      <c r="K6217">
        <v>1.121362</v>
      </c>
      <c r="L6217">
        <v>-62.317570000000003</v>
      </c>
      <c r="M6217">
        <v>0.99953590000000003</v>
      </c>
      <c r="N6217">
        <v>-1.193455E-2</v>
      </c>
      <c r="O6217">
        <v>-2.8031339999999998E-2</v>
      </c>
      <c r="P6217">
        <v>0.97572610000000004</v>
      </c>
      <c r="Q6217">
        <v>0.21296100000000001</v>
      </c>
      <c r="R6217">
        <v>5.1055099999999999E-2</v>
      </c>
      <c r="S6217">
        <v>2.8949129999999998</v>
      </c>
      <c r="T6217">
        <v>0.96585659999999895</v>
      </c>
      <c r="U6217">
        <v>-0.59768679999999996</v>
      </c>
      <c r="V6217">
        <v>-7.8367790000000007E-2</v>
      </c>
      <c r="W6217">
        <v>0.22457650000000001</v>
      </c>
      <c r="X6217">
        <v>0.9713001</v>
      </c>
      <c r="Y6217">
        <v>0.16784360000000001</v>
      </c>
      <c r="Z6217">
        <v>1.6628250000000001E-2</v>
      </c>
      <c r="AA6217">
        <v>0.98567340000000003</v>
      </c>
      <c r="AB6217">
        <v>32</v>
      </c>
      <c r="AC6217">
        <v>2.8949129999999998</v>
      </c>
      <c r="AD6217">
        <v>0.96585659999999895</v>
      </c>
      <c r="AE6217">
        <v>-0.59768679999999996</v>
      </c>
      <c r="AF6217">
        <v>0.46649308000436401</v>
      </c>
      <c r="AG6217">
        <v>0.96585659999999895</v>
      </c>
      <c r="AH6217">
        <v>2.6297656002510599</v>
      </c>
      <c r="AI6217">
        <v>70.118342801282495</v>
      </c>
      <c r="AJ6217">
        <v>79.940962758370802</v>
      </c>
      <c r="AK6217">
        <v>2.8400989204109299</v>
      </c>
      <c r="AL6217">
        <v>77.022023896838704</v>
      </c>
      <c r="AM6217">
        <v>94.612825808753001</v>
      </c>
      <c r="AN6217">
        <v>0.99999999956087204</v>
      </c>
    </row>
    <row r="6218" spans="1:40" x14ac:dyDescent="0.25">
      <c r="A6218" t="str">
        <f>"20190303162940558"</f>
        <v>20190303162940558</v>
      </c>
      <c r="B6218" t="str">
        <f>"1551601780547908"</f>
        <v>1551601780547908</v>
      </c>
      <c r="C6218" t="s">
        <v>40</v>
      </c>
      <c r="D6218">
        <v>4.7836379999999998</v>
      </c>
      <c r="E6218">
        <v>0.59565679999999999</v>
      </c>
      <c r="F6218" t="s">
        <v>45</v>
      </c>
      <c r="G6218">
        <v>0</v>
      </c>
      <c r="H6218">
        <v>0</v>
      </c>
      <c r="I6218">
        <v>0</v>
      </c>
      <c r="J6218">
        <v>-220.7054</v>
      </c>
      <c r="K6218">
        <v>1.1213799999999901</v>
      </c>
      <c r="L6218">
        <v>-62.321959999999997</v>
      </c>
      <c r="M6218">
        <v>0.99953630000000004</v>
      </c>
      <c r="N6218">
        <v>-1.1939669999999999E-2</v>
      </c>
      <c r="O6218">
        <v>-2.8015829999999999E-2</v>
      </c>
      <c r="P6218">
        <v>0.9754062</v>
      </c>
      <c r="Q6218">
        <v>0.21415029999999999</v>
      </c>
      <c r="R6218">
        <v>5.2178420000000003E-2</v>
      </c>
      <c r="S6218">
        <v>2.8937529999999998</v>
      </c>
      <c r="T6218">
        <v>0.97156299999999995</v>
      </c>
      <c r="U6218">
        <v>-0.59576419999999997</v>
      </c>
      <c r="V6218">
        <v>-7.9472189999999998E-2</v>
      </c>
      <c r="W6218">
        <v>0.22576450000000001</v>
      </c>
      <c r="X6218">
        <v>0.97093490000000005</v>
      </c>
      <c r="Y6218">
        <v>0.16725039999999999</v>
      </c>
      <c r="Z6218">
        <v>1.664912E-2</v>
      </c>
      <c r="AA6218">
        <v>0.98577389999999998</v>
      </c>
      <c r="AB6218">
        <v>32</v>
      </c>
      <c r="AC6218">
        <v>2.8937529999999998</v>
      </c>
      <c r="AD6218">
        <v>0.97156299999999995</v>
      </c>
      <c r="AE6218">
        <v>-0.59576419999999997</v>
      </c>
      <c r="AF6218">
        <v>0.46424928312518898</v>
      </c>
      <c r="AG6218">
        <v>0.97156299999999995</v>
      </c>
      <c r="AH6218">
        <v>2.6253960877007398</v>
      </c>
      <c r="AI6218">
        <v>69.977758821060405</v>
      </c>
      <c r="AJ6218">
        <v>79.972040148473994</v>
      </c>
      <c r="AK6218">
        <v>2.8376339928126102</v>
      </c>
      <c r="AL6218">
        <v>76.952162548035403</v>
      </c>
      <c r="AM6218">
        <v>94.679297270593196</v>
      </c>
      <c r="AN6218">
        <v>1.0000000092408201</v>
      </c>
    </row>
    <row r="6219" spans="1:40" x14ac:dyDescent="0.25">
      <c r="A6219" t="str">
        <f>"20190303162940570"</f>
        <v>20190303162940570</v>
      </c>
      <c r="B6219" t="str">
        <f>"1551601780568341"</f>
        <v>1551601780568341</v>
      </c>
      <c r="C6219" t="s">
        <v>40</v>
      </c>
      <c r="D6219">
        <v>4.754448</v>
      </c>
      <c r="E6219">
        <v>0.59601119999999996</v>
      </c>
      <c r="F6219" t="s">
        <v>45</v>
      </c>
      <c r="G6219">
        <v>0</v>
      </c>
      <c r="H6219">
        <v>0</v>
      </c>
      <c r="I6219">
        <v>0</v>
      </c>
      <c r="J6219">
        <v>-220.54429999999999</v>
      </c>
      <c r="K6219">
        <v>1.1214</v>
      </c>
      <c r="L6219">
        <v>-62.326450000000001</v>
      </c>
      <c r="M6219">
        <v>0.99953689999999995</v>
      </c>
      <c r="N6219">
        <v>-1.1944649999999999E-2</v>
      </c>
      <c r="O6219">
        <v>-2.7990649999999999E-2</v>
      </c>
      <c r="P6219">
        <v>0.97507820000000001</v>
      </c>
      <c r="Q6219">
        <v>0.21542819999999999</v>
      </c>
      <c r="R6219">
        <v>5.3040240000000002E-2</v>
      </c>
      <c r="S6219">
        <v>2.8931119999999999</v>
      </c>
      <c r="T6219">
        <v>0.97615890000000005</v>
      </c>
      <c r="U6219">
        <v>-0.59381099999999998</v>
      </c>
      <c r="V6219">
        <v>-8.0306539999999996E-2</v>
      </c>
      <c r="W6219">
        <v>0.2270404</v>
      </c>
      <c r="X6219">
        <v>0.97056869999999995</v>
      </c>
      <c r="Y6219">
        <v>0.16663989999999901</v>
      </c>
      <c r="Z6219">
        <v>1.664709E-2</v>
      </c>
      <c r="AA6219">
        <v>0.98587729999999996</v>
      </c>
      <c r="AB6219">
        <v>32</v>
      </c>
      <c r="AC6219">
        <v>2.8931119999999999</v>
      </c>
      <c r="AD6219">
        <v>0.97615890000000005</v>
      </c>
      <c r="AE6219">
        <v>-0.59381099999999998</v>
      </c>
      <c r="AF6219">
        <v>0.46211056090928099</v>
      </c>
      <c r="AG6219">
        <v>0.97615890000000005</v>
      </c>
      <c r="AH6219">
        <v>2.6221515167579201</v>
      </c>
      <c r="AI6219">
        <v>69.865840658995097</v>
      </c>
      <c r="AJ6219">
        <v>80.0052026480584</v>
      </c>
      <c r="AK6219">
        <v>2.8358615878404501</v>
      </c>
      <c r="AL6219">
        <v>76.877110476691001</v>
      </c>
      <c r="AM6219">
        <v>94.729977831892398</v>
      </c>
      <c r="AN6219">
        <v>1.0000000425093001</v>
      </c>
    </row>
    <row r="6220" spans="1:40" x14ac:dyDescent="0.25">
      <c r="A6220" t="str">
        <f>"20190303162940581"</f>
        <v>20190303162940581</v>
      </c>
      <c r="B6220" t="str">
        <f>"1551601780578101"</f>
        <v>1551601780578101</v>
      </c>
      <c r="C6220" t="s">
        <v>40</v>
      </c>
      <c r="D6220">
        <v>4.7343859999999998</v>
      </c>
      <c r="E6220">
        <v>0.59614769999999995</v>
      </c>
      <c r="F6220" t="s">
        <v>45</v>
      </c>
      <c r="G6220">
        <v>0</v>
      </c>
      <c r="H6220">
        <v>0</v>
      </c>
      <c r="I6220">
        <v>0</v>
      </c>
      <c r="J6220">
        <v>-220.38560000000001</v>
      </c>
      <c r="K6220">
        <v>1.121424</v>
      </c>
      <c r="L6220">
        <v>-62.330869999999997</v>
      </c>
      <c r="M6220">
        <v>0.99953780000000003</v>
      </c>
      <c r="N6220">
        <v>-1.1949359999999999E-2</v>
      </c>
      <c r="O6220">
        <v>-2.7959370000000001E-2</v>
      </c>
      <c r="P6220">
        <v>0.97472110000000001</v>
      </c>
      <c r="Q6220">
        <v>0.2167946</v>
      </c>
      <c r="R6220">
        <v>5.4027749999999999E-2</v>
      </c>
      <c r="S6220">
        <v>2.8921049999999999</v>
      </c>
      <c r="T6220">
        <v>0.98164019999999996</v>
      </c>
      <c r="U6220">
        <v>-0.59368900000000002</v>
      </c>
      <c r="V6220">
        <v>-8.1260559999999996E-2</v>
      </c>
      <c r="W6220">
        <v>0.228404</v>
      </c>
      <c r="X6220">
        <v>0.97016919999999995</v>
      </c>
      <c r="Y6220">
        <v>0.16661489999999901</v>
      </c>
      <c r="Z6220">
        <v>1.6754809999999998E-2</v>
      </c>
      <c r="AA6220">
        <v>0.98587970000000003</v>
      </c>
      <c r="AB6220">
        <v>32</v>
      </c>
      <c r="AC6220">
        <v>2.8921049999999999</v>
      </c>
      <c r="AD6220">
        <v>0.98164019999999996</v>
      </c>
      <c r="AE6220">
        <v>-0.59368900000000002</v>
      </c>
      <c r="AF6220">
        <v>0.461564651770136</v>
      </c>
      <c r="AG6220">
        <v>0.98164019999999996</v>
      </c>
      <c r="AH6220">
        <v>2.6181440993813401</v>
      </c>
      <c r="AI6220">
        <v>69.733669434279193</v>
      </c>
      <c r="AJ6220">
        <v>80.001799662207603</v>
      </c>
      <c r="AK6220">
        <v>2.83396152675809</v>
      </c>
      <c r="AL6220">
        <v>76.796872863174002</v>
      </c>
      <c r="AM6220">
        <v>94.787870804964598</v>
      </c>
      <c r="AN6220">
        <v>0.99999997122807605</v>
      </c>
    </row>
    <row r="6221" spans="1:40" x14ac:dyDescent="0.25">
      <c r="A6221" t="str">
        <f>"20190303162940592"</f>
        <v>20190303162940592</v>
      </c>
      <c r="B6221" t="str">
        <f>"1551601780587861"</f>
        <v>1551601780587861</v>
      </c>
      <c r="C6221" t="s">
        <v>40</v>
      </c>
      <c r="D6221">
        <v>4.6974210000000003</v>
      </c>
      <c r="E6221">
        <v>0.59634759999999998</v>
      </c>
      <c r="F6221" t="s">
        <v>45</v>
      </c>
      <c r="G6221">
        <v>0</v>
      </c>
      <c r="H6221">
        <v>0</v>
      </c>
      <c r="I6221">
        <v>0</v>
      </c>
      <c r="J6221">
        <v>-220.21940000000001</v>
      </c>
      <c r="K6221">
        <v>1.121448</v>
      </c>
      <c r="L6221">
        <v>-62.335479999999997</v>
      </c>
      <c r="M6221">
        <v>0.99953899999999996</v>
      </c>
      <c r="N6221">
        <v>-1.195387E-2</v>
      </c>
      <c r="O6221">
        <v>-2.791182E-2</v>
      </c>
      <c r="P6221">
        <v>0.97445420000000005</v>
      </c>
      <c r="Q6221">
        <v>0.21770049999999999</v>
      </c>
      <c r="R6221">
        <v>5.5188880000000003E-2</v>
      </c>
      <c r="S6221">
        <v>2.8909760000000002</v>
      </c>
      <c r="T6221">
        <v>0.98727989999999999</v>
      </c>
      <c r="U6221">
        <v>-0.59143069999999998</v>
      </c>
      <c r="V6221">
        <v>-8.2377320000000004E-2</v>
      </c>
      <c r="W6221">
        <v>0.22930729999999999</v>
      </c>
      <c r="X6221">
        <v>0.96986190000000005</v>
      </c>
      <c r="Y6221">
        <v>0.16594320000000001</v>
      </c>
      <c r="Z6221">
        <v>1.6770500000000001E-2</v>
      </c>
      <c r="AA6221">
        <v>0.98599270000000006</v>
      </c>
      <c r="AB6221">
        <v>32</v>
      </c>
      <c r="AC6221">
        <v>2.8909760000000002</v>
      </c>
      <c r="AD6221">
        <v>0.98727989999999999</v>
      </c>
      <c r="AE6221">
        <v>-0.59143069999999998</v>
      </c>
      <c r="AF6221">
        <v>0.45910935584261597</v>
      </c>
      <c r="AG6221">
        <v>0.98727989999999999</v>
      </c>
      <c r="AH6221">
        <v>2.6137727264739801</v>
      </c>
      <c r="AI6221">
        <v>69.593454914723793</v>
      </c>
      <c r="AJ6221">
        <v>80.037619130285194</v>
      </c>
      <c r="AK6221">
        <v>2.8314856289985801</v>
      </c>
      <c r="AL6221">
        <v>76.743706725233395</v>
      </c>
      <c r="AM6221">
        <v>94.854888531154202</v>
      </c>
      <c r="AN6221">
        <v>0.99999998287764102</v>
      </c>
    </row>
    <row r="6222" spans="1:40" x14ac:dyDescent="0.25">
      <c r="A6222" t="str">
        <f>"20190303162940604"</f>
        <v>20190303162940604</v>
      </c>
      <c r="B6222" t="str">
        <f>"1551601780597621"</f>
        <v>1551601780597621</v>
      </c>
      <c r="C6222" t="s">
        <v>40</v>
      </c>
      <c r="D6222">
        <v>4.6714510000000002</v>
      </c>
      <c r="E6222">
        <v>0.59651639999999995</v>
      </c>
      <c r="F6222" t="s">
        <v>45</v>
      </c>
      <c r="G6222">
        <v>0</v>
      </c>
      <c r="H6222">
        <v>0</v>
      </c>
      <c r="I6222">
        <v>0</v>
      </c>
      <c r="J6222">
        <v>-220.05439999999999</v>
      </c>
      <c r="K6222">
        <v>1.121469</v>
      </c>
      <c r="L6222">
        <v>-62.340060000000001</v>
      </c>
      <c r="M6222">
        <v>0.9995404</v>
      </c>
      <c r="N6222">
        <v>-1.195821E-2</v>
      </c>
      <c r="O6222">
        <v>-2.7859490000000001E-2</v>
      </c>
      <c r="P6222">
        <v>0.97413749999999999</v>
      </c>
      <c r="Q6222">
        <v>0.21883030000000001</v>
      </c>
      <c r="R6222">
        <v>5.6300299999999998E-2</v>
      </c>
      <c r="S6222">
        <v>2.890701</v>
      </c>
      <c r="T6222">
        <v>0.99066980000000004</v>
      </c>
      <c r="U6222">
        <v>-0.58926389999999995</v>
      </c>
      <c r="V6222">
        <v>-8.3438960000000006E-2</v>
      </c>
      <c r="W6222">
        <v>0.2304332</v>
      </c>
      <c r="X6222">
        <v>0.96950420000000004</v>
      </c>
      <c r="Y6222">
        <v>0.16528409999999999</v>
      </c>
      <c r="Z6222">
        <v>1.674486E-2</v>
      </c>
      <c r="AA6222">
        <v>0.98610379999999997</v>
      </c>
      <c r="AB6222">
        <v>32</v>
      </c>
      <c r="AC6222">
        <v>2.890701</v>
      </c>
      <c r="AD6222">
        <v>0.99066980000000004</v>
      </c>
      <c r="AE6222">
        <v>-0.58926389999999995</v>
      </c>
      <c r="AF6222">
        <v>0.45696664238141899</v>
      </c>
      <c r="AG6222">
        <v>0.99066980000000004</v>
      </c>
      <c r="AH6222">
        <v>2.6115125087918498</v>
      </c>
      <c r="AI6222">
        <v>69.510809652660498</v>
      </c>
      <c r="AJ6222">
        <v>80.074777301975899</v>
      </c>
      <c r="AK6222">
        <v>2.8302372247671599</v>
      </c>
      <c r="AL6222">
        <v>76.677422038083293</v>
      </c>
      <c r="AM6222">
        <v>94.918956508238594</v>
      </c>
      <c r="AN6222">
        <v>0.99999995676288</v>
      </c>
    </row>
    <row r="6223" spans="1:40" x14ac:dyDescent="0.25">
      <c r="A6223" t="str">
        <f>"20190303162940614"</f>
        <v>20190303162940614</v>
      </c>
      <c r="B6223" t="str">
        <f>"1551601780608357"</f>
        <v>1551601780608357</v>
      </c>
      <c r="C6223" t="s">
        <v>40</v>
      </c>
      <c r="D6223">
        <v>4.6844359999999998</v>
      </c>
      <c r="E6223">
        <v>0.59669090000000002</v>
      </c>
      <c r="F6223" t="s">
        <v>45</v>
      </c>
      <c r="G6223">
        <v>0</v>
      </c>
      <c r="H6223">
        <v>0</v>
      </c>
      <c r="I6223">
        <v>0</v>
      </c>
      <c r="J6223">
        <v>-219.90459999999999</v>
      </c>
      <c r="K6223">
        <v>1.121489</v>
      </c>
      <c r="L6223">
        <v>-62.344180000000001</v>
      </c>
      <c r="M6223">
        <v>0.99954209999999999</v>
      </c>
      <c r="N6223">
        <v>-1.196175E-2</v>
      </c>
      <c r="O6223">
        <v>-2.779415E-2</v>
      </c>
      <c r="P6223">
        <v>0.97395750000000003</v>
      </c>
      <c r="Q6223">
        <v>0.2194131</v>
      </c>
      <c r="R6223">
        <v>5.7136859999999998E-2</v>
      </c>
      <c r="S6223">
        <v>2.8901210000000002</v>
      </c>
      <c r="T6223">
        <v>0.99479629999999997</v>
      </c>
      <c r="U6223">
        <v>-0.58691409999999999</v>
      </c>
      <c r="V6223">
        <v>-8.4217089999999994E-2</v>
      </c>
      <c r="W6223">
        <v>0.2310131</v>
      </c>
      <c r="X6223">
        <v>0.96929900000000002</v>
      </c>
      <c r="Y6223">
        <v>0.16458699999999901</v>
      </c>
      <c r="Z6223">
        <v>1.6731610000000001E-2</v>
      </c>
      <c r="AA6223">
        <v>0.98622069999999995</v>
      </c>
      <c r="AB6223">
        <v>32</v>
      </c>
      <c r="AC6223">
        <v>2.8901210000000002</v>
      </c>
      <c r="AD6223">
        <v>0.99479629999999997</v>
      </c>
      <c r="AE6223">
        <v>-0.58691409999999999</v>
      </c>
      <c r="AF6223">
        <v>0.45462370489171899</v>
      </c>
      <c r="AG6223">
        <v>0.99479629999999997</v>
      </c>
      <c r="AH6223">
        <v>2.6085087451732898</v>
      </c>
      <c r="AI6223">
        <v>69.408671770633006</v>
      </c>
      <c r="AJ6223">
        <v>80.113513631296499</v>
      </c>
      <c r="AK6223">
        <v>2.8285367710511902</v>
      </c>
      <c r="AL6223">
        <v>76.643276322811801</v>
      </c>
      <c r="AM6223">
        <v>94.965646950113893</v>
      </c>
      <c r="AN6223">
        <v>1.0000000610103299</v>
      </c>
    </row>
    <row r="6224" spans="1:40" x14ac:dyDescent="0.25">
      <c r="A6224" t="str">
        <f>"20190303162940625"</f>
        <v>20190303162940625</v>
      </c>
      <c r="B6224" t="str">
        <f>"1551601780618117"</f>
        <v>1551601780618117</v>
      </c>
      <c r="C6224" t="s">
        <v>40</v>
      </c>
      <c r="D6224">
        <v>4.7017600000000002</v>
      </c>
      <c r="E6224">
        <v>0.59668730000000003</v>
      </c>
      <c r="F6224" t="s">
        <v>45</v>
      </c>
      <c r="G6224">
        <v>0</v>
      </c>
      <c r="H6224">
        <v>0</v>
      </c>
      <c r="I6224">
        <v>0</v>
      </c>
      <c r="J6224">
        <v>-219.75</v>
      </c>
      <c r="K6224">
        <v>1.1215040000000001</v>
      </c>
      <c r="L6224">
        <v>-62.348419999999997</v>
      </c>
      <c r="M6224">
        <v>0.99954410000000005</v>
      </c>
      <c r="N6224">
        <v>-1.196531E-2</v>
      </c>
      <c r="O6224">
        <v>-2.7722960000000001E-2</v>
      </c>
      <c r="P6224">
        <v>0.97388819999999998</v>
      </c>
      <c r="Q6224">
        <v>0.21944730000000001</v>
      </c>
      <c r="R6224">
        <v>5.8179250000000002E-2</v>
      </c>
      <c r="S6224">
        <v>2.8899379999999999</v>
      </c>
      <c r="T6224">
        <v>0.99714959999999997</v>
      </c>
      <c r="U6224">
        <v>-0.58563229999999999</v>
      </c>
      <c r="V6224">
        <v>-8.5199449999999996E-2</v>
      </c>
      <c r="W6224">
        <v>0.23104559999999999</v>
      </c>
      <c r="X6224">
        <v>0.96920530000000005</v>
      </c>
      <c r="Y6224">
        <v>0.16422879999999901</v>
      </c>
      <c r="Z6224">
        <v>1.674055E-2</v>
      </c>
      <c r="AA6224">
        <v>0.98628020000000005</v>
      </c>
      <c r="AB6224">
        <v>32</v>
      </c>
      <c r="AC6224">
        <v>2.8899379999999999</v>
      </c>
      <c r="AD6224">
        <v>0.99714959999999997</v>
      </c>
      <c r="AE6224">
        <v>-0.58563229999999999</v>
      </c>
      <c r="AF6224">
        <v>0.453430507445443</v>
      </c>
      <c r="AG6224">
        <v>0.99714959999999997</v>
      </c>
      <c r="AH6224">
        <v>2.60693985965854</v>
      </c>
      <c r="AI6224">
        <v>69.351562243053806</v>
      </c>
      <c r="AJ6224">
        <v>80.133133617534597</v>
      </c>
      <c r="AK6224">
        <v>2.8277273527939202</v>
      </c>
      <c r="AL6224">
        <v>76.641361120829998</v>
      </c>
      <c r="AM6224">
        <v>95.023757802015496</v>
      </c>
      <c r="AN6224">
        <v>0.99999996455387496</v>
      </c>
    </row>
    <row r="6225" spans="1:40" x14ac:dyDescent="0.25">
      <c r="A6225" t="str">
        <f>"20190303162940635"</f>
        <v>20190303162940635</v>
      </c>
      <c r="B6225" t="str">
        <f>"1551601780627877"</f>
        <v>1551601780627877</v>
      </c>
      <c r="C6225" t="s">
        <v>40</v>
      </c>
      <c r="D6225">
        <v>4.6780759999999999</v>
      </c>
      <c r="E6225">
        <v>0.59668929999999998</v>
      </c>
      <c r="F6225" t="s">
        <v>45</v>
      </c>
      <c r="G6225">
        <v>0</v>
      </c>
      <c r="H6225">
        <v>0</v>
      </c>
      <c r="I6225">
        <v>0</v>
      </c>
      <c r="J6225">
        <v>-219.59630000000001</v>
      </c>
      <c r="K6225">
        <v>1.1215200000000001</v>
      </c>
      <c r="L6225">
        <v>-62.352569999999901</v>
      </c>
      <c r="M6225">
        <v>0.9995465</v>
      </c>
      <c r="N6225">
        <v>-1.19685E-2</v>
      </c>
      <c r="O6225">
        <v>-2.7636379999999999E-2</v>
      </c>
      <c r="P6225">
        <v>0.97395940000000003</v>
      </c>
      <c r="Q6225">
        <v>0.21886520000000001</v>
      </c>
      <c r="R6225">
        <v>5.9169340000000001E-2</v>
      </c>
      <c r="S6225">
        <v>2.8897550000000001</v>
      </c>
      <c r="T6225">
        <v>1.0005919999999999</v>
      </c>
      <c r="U6225">
        <v>-0.58224489999999995</v>
      </c>
      <c r="V6225">
        <v>-8.6118399999999998E-2</v>
      </c>
      <c r="W6225">
        <v>0.2304629</v>
      </c>
      <c r="X6225">
        <v>0.96926279999999998</v>
      </c>
      <c r="Y6225">
        <v>0.16321250000000001</v>
      </c>
      <c r="Z6225">
        <v>1.66689E-2</v>
      </c>
      <c r="AA6225">
        <v>0.9864501</v>
      </c>
      <c r="AB6225">
        <v>32</v>
      </c>
      <c r="AC6225">
        <v>2.8897550000000001</v>
      </c>
      <c r="AD6225">
        <v>1.0005919999999999</v>
      </c>
      <c r="AE6225">
        <v>-0.58224489999999995</v>
      </c>
      <c r="AF6225">
        <v>0.45027579941454399</v>
      </c>
      <c r="AG6225">
        <v>1.0005919999999999</v>
      </c>
      <c r="AH6225">
        <v>2.6046483968322902</v>
      </c>
      <c r="AI6225">
        <v>69.266267132379198</v>
      </c>
      <c r="AJ6225">
        <v>80.191992234104006</v>
      </c>
      <c r="AK6225">
        <v>2.8263272841487099</v>
      </c>
      <c r="AL6225">
        <v>76.675673210607499</v>
      </c>
      <c r="AM6225">
        <v>95.077361973562006</v>
      </c>
      <c r="AN6225">
        <v>0.999999951279403</v>
      </c>
    </row>
    <row r="6226" spans="1:40" x14ac:dyDescent="0.25">
      <c r="A6226" t="str">
        <f>"20190303162940647"</f>
        <v>20190303162940647</v>
      </c>
      <c r="B6226" t="str">
        <f>"1551601780637637"</f>
        <v>1551601780637637</v>
      </c>
      <c r="C6226" t="s">
        <v>40</v>
      </c>
      <c r="D6226">
        <v>4.6800430000000004</v>
      </c>
      <c r="E6226">
        <v>0.59671770000000002</v>
      </c>
      <c r="F6226" t="s">
        <v>45</v>
      </c>
      <c r="G6226">
        <v>0</v>
      </c>
      <c r="H6226">
        <v>0</v>
      </c>
      <c r="I6226">
        <v>0</v>
      </c>
      <c r="J6226">
        <v>-219.4384</v>
      </c>
      <c r="K6226">
        <v>1.12154</v>
      </c>
      <c r="L6226">
        <v>-62.356839999999998</v>
      </c>
      <c r="M6226">
        <v>0.99954920000000003</v>
      </c>
      <c r="N6226">
        <v>-1.197166E-2</v>
      </c>
      <c r="O6226">
        <v>-2.7538699999999999E-2</v>
      </c>
      <c r="P6226">
        <v>0.97404900000000005</v>
      </c>
      <c r="Q6226">
        <v>0.21817249999999999</v>
      </c>
      <c r="R6226">
        <v>6.0243980000000003E-2</v>
      </c>
      <c r="S6226">
        <v>2.8901979999999998</v>
      </c>
      <c r="T6226">
        <v>1.0021450000000001</v>
      </c>
      <c r="U6226">
        <v>-0.5789185</v>
      </c>
      <c r="V6226">
        <v>-8.7111939999999999E-2</v>
      </c>
      <c r="W6226">
        <v>0.2297691</v>
      </c>
      <c r="X6226">
        <v>0.96933879999999994</v>
      </c>
      <c r="Y6226">
        <v>0.1622142</v>
      </c>
      <c r="Z6226">
        <v>1.6567499999999999E-2</v>
      </c>
      <c r="AA6226">
        <v>0.98661650000000001</v>
      </c>
      <c r="AB6226">
        <v>32</v>
      </c>
      <c r="AC6226">
        <v>2.8901979999999998</v>
      </c>
      <c r="AD6226">
        <v>1.0021450000000001</v>
      </c>
      <c r="AE6226">
        <v>-0.5789185</v>
      </c>
      <c r="AF6226">
        <v>0.44738724821527198</v>
      </c>
      <c r="AG6226">
        <v>1.0021450000000001</v>
      </c>
      <c r="AH6226">
        <v>2.6040431192083902</v>
      </c>
      <c r="AI6226">
        <v>69.229015552078806</v>
      </c>
      <c r="AJ6226">
        <v>80.251478846468899</v>
      </c>
      <c r="AK6226">
        <v>2.82586102234119</v>
      </c>
      <c r="AL6226">
        <v>76.716522176052607</v>
      </c>
      <c r="AM6226">
        <v>95.135227056617097</v>
      </c>
      <c r="AN6226">
        <v>1.0000000192953999</v>
      </c>
    </row>
    <row r="6227" spans="1:40" x14ac:dyDescent="0.25">
      <c r="A6227" t="str">
        <f>"20190303162940658"</f>
        <v>20190303162940658</v>
      </c>
      <c r="B6227" t="str">
        <f>"1551601780648374"</f>
        <v>1551601780648374</v>
      </c>
      <c r="C6227" t="s">
        <v>40</v>
      </c>
      <c r="D6227">
        <v>4.6339620000000004</v>
      </c>
      <c r="E6227">
        <v>0.59675210000000001</v>
      </c>
      <c r="F6227" t="s">
        <v>45</v>
      </c>
      <c r="G6227">
        <v>0</v>
      </c>
      <c r="H6227">
        <v>0</v>
      </c>
      <c r="I6227">
        <v>0</v>
      </c>
      <c r="J6227">
        <v>-219.27600000000001</v>
      </c>
      <c r="K6227">
        <v>1.1215580000000001</v>
      </c>
      <c r="L6227">
        <v>-62.36121</v>
      </c>
      <c r="M6227">
        <v>0.99955210000000005</v>
      </c>
      <c r="N6227">
        <v>-1.197471E-2</v>
      </c>
      <c r="O6227">
        <v>-2.742313E-2</v>
      </c>
      <c r="P6227">
        <v>0.97414350000000005</v>
      </c>
      <c r="Q6227">
        <v>0.21743999999999999</v>
      </c>
      <c r="R6227">
        <v>6.1355079999999999E-2</v>
      </c>
      <c r="S6227">
        <v>2.89093</v>
      </c>
      <c r="T6227">
        <v>1.002837</v>
      </c>
      <c r="U6227">
        <v>-0.57565310000000003</v>
      </c>
      <c r="V6227">
        <v>-8.8124999999999995E-2</v>
      </c>
      <c r="W6227">
        <v>0.22903580000000001</v>
      </c>
      <c r="X6227">
        <v>0.96942070000000002</v>
      </c>
      <c r="Y6227">
        <v>0.16124539999999901</v>
      </c>
      <c r="Z6227">
        <v>1.6460539999999999E-2</v>
      </c>
      <c r="AA6227">
        <v>0.98677709999999996</v>
      </c>
      <c r="AB6227">
        <v>32</v>
      </c>
      <c r="AC6227">
        <v>2.89093</v>
      </c>
      <c r="AD6227">
        <v>1.002837</v>
      </c>
      <c r="AE6227">
        <v>-0.57565310000000003</v>
      </c>
      <c r="AF6227">
        <v>0.44468315361322303</v>
      </c>
      <c r="AG6227">
        <v>1.002837</v>
      </c>
      <c r="AH6227">
        <v>2.6042085905222399</v>
      </c>
      <c r="AI6227">
        <v>69.213786904189703</v>
      </c>
      <c r="AJ6227">
        <v>80.3098842689365</v>
      </c>
      <c r="AK6227">
        <v>2.8258321851493999</v>
      </c>
      <c r="AL6227">
        <v>76.759687453845103</v>
      </c>
      <c r="AM6227">
        <v>95.194185373755104</v>
      </c>
      <c r="AN6227">
        <v>0.99999995344756398</v>
      </c>
    </row>
    <row r="6228" spans="1:40" x14ac:dyDescent="0.25">
      <c r="A6228" t="str">
        <f>"20190303162940670"</f>
        <v>20190303162940670</v>
      </c>
      <c r="B6228" t="str">
        <f>"1551601780658134"</f>
        <v>1551601780658134</v>
      </c>
      <c r="C6228" t="s">
        <v>40</v>
      </c>
      <c r="D6228">
        <v>4.63673</v>
      </c>
      <c r="E6228">
        <v>0.5967865</v>
      </c>
      <c r="F6228" t="s">
        <v>45</v>
      </c>
      <c r="G6228">
        <v>0</v>
      </c>
      <c r="H6228">
        <v>0</v>
      </c>
      <c r="I6228">
        <v>0</v>
      </c>
      <c r="J6228">
        <v>-219.11619999999999</v>
      </c>
      <c r="K6228">
        <v>1.1215740000000001</v>
      </c>
      <c r="L6228">
        <v>-62.365479999999998</v>
      </c>
      <c r="M6228">
        <v>0.99955570000000005</v>
      </c>
      <c r="N6228">
        <v>-1.197751E-2</v>
      </c>
      <c r="O6228">
        <v>-2.729409E-2</v>
      </c>
      <c r="P6228">
        <v>0.9741126</v>
      </c>
      <c r="Q6228">
        <v>0.21718709999999999</v>
      </c>
      <c r="R6228">
        <v>6.2725390000000006E-2</v>
      </c>
      <c r="S6228">
        <v>2.8916469999999999</v>
      </c>
      <c r="T6228">
        <v>1.0036080000000001</v>
      </c>
      <c r="U6228">
        <v>-0.57214359999999997</v>
      </c>
      <c r="V6228">
        <v>-8.9380409999999993E-2</v>
      </c>
      <c r="W6228">
        <v>0.2287796</v>
      </c>
      <c r="X6228">
        <v>0.96936630000000001</v>
      </c>
      <c r="Y6228">
        <v>0.1602121</v>
      </c>
      <c r="Z6228">
        <v>1.6349289999999999E-2</v>
      </c>
      <c r="AA6228">
        <v>0.98694720000000002</v>
      </c>
      <c r="AB6228">
        <v>32</v>
      </c>
      <c r="AC6228">
        <v>2.8916469999999999</v>
      </c>
      <c r="AD6228">
        <v>1.0036080000000001</v>
      </c>
      <c r="AE6228">
        <v>-0.57214359999999997</v>
      </c>
      <c r="AF6228">
        <v>0.44178767413630099</v>
      </c>
      <c r="AG6228">
        <v>1.0036080000000001</v>
      </c>
      <c r="AH6228">
        <v>2.6042957848144699</v>
      </c>
      <c r="AI6228">
        <v>69.196294045903798</v>
      </c>
      <c r="AJ6228">
        <v>80.372111262848506</v>
      </c>
      <c r="AK6228">
        <v>2.82573210009109</v>
      </c>
      <c r="AL6228">
        <v>76.774767561007593</v>
      </c>
      <c r="AM6228">
        <v>95.268061209602095</v>
      </c>
      <c r="AN6228">
        <v>0.999999993321809</v>
      </c>
    </row>
    <row r="6229" spans="1:40" x14ac:dyDescent="0.25">
      <c r="A6229" t="str">
        <f>"20190303162940681"</f>
        <v>20190303162940681</v>
      </c>
      <c r="B6229" t="str">
        <f>"1551601780678294"</f>
        <v>1551601780678294</v>
      </c>
      <c r="C6229" t="s">
        <v>40</v>
      </c>
      <c r="D6229">
        <v>4.6379279999999996</v>
      </c>
      <c r="E6229">
        <v>0.59696839999999995</v>
      </c>
      <c r="F6229" t="s">
        <v>45</v>
      </c>
      <c r="G6229">
        <v>0</v>
      </c>
      <c r="H6229">
        <v>0</v>
      </c>
      <c r="I6229">
        <v>0</v>
      </c>
      <c r="J6229">
        <v>-218.95429999999999</v>
      </c>
      <c r="K6229">
        <v>1.121597</v>
      </c>
      <c r="L6229">
        <v>-62.369750000000003</v>
      </c>
      <c r="M6229">
        <v>0.99955950000000005</v>
      </c>
      <c r="N6229">
        <v>-1.19802E-2</v>
      </c>
      <c r="O6229">
        <v>-2.715277E-2</v>
      </c>
      <c r="P6229">
        <v>0.97408399999999995</v>
      </c>
      <c r="Q6229">
        <v>0.2168794</v>
      </c>
      <c r="R6229">
        <v>6.4216549999999997E-2</v>
      </c>
      <c r="S6229">
        <v>2.89209</v>
      </c>
      <c r="T6229">
        <v>1.005582</v>
      </c>
      <c r="U6229">
        <v>-0.56781009999999998</v>
      </c>
      <c r="V6229">
        <v>-9.0745160000000005E-2</v>
      </c>
      <c r="W6229">
        <v>0.22846810000000001</v>
      </c>
      <c r="X6229">
        <v>0.96931299999999998</v>
      </c>
      <c r="Y6229">
        <v>0.15893189999999999</v>
      </c>
      <c r="Z6229">
        <v>1.622415E-2</v>
      </c>
      <c r="AA6229">
        <v>0.98715620000000004</v>
      </c>
      <c r="AB6229">
        <v>32</v>
      </c>
      <c r="AC6229">
        <v>2.89209</v>
      </c>
      <c r="AD6229">
        <v>1.005582</v>
      </c>
      <c r="AE6229">
        <v>-0.56781009999999998</v>
      </c>
      <c r="AF6229">
        <v>0.43807148417123998</v>
      </c>
      <c r="AG6229">
        <v>1.005582</v>
      </c>
      <c r="AH6229">
        <v>2.6033854733216799</v>
      </c>
      <c r="AI6229">
        <v>69.147943243737004</v>
      </c>
      <c r="AJ6229">
        <v>80.448323735610998</v>
      </c>
      <c r="AK6229">
        <v>2.8250164082125901</v>
      </c>
      <c r="AL6229">
        <v>76.793101171712493</v>
      </c>
      <c r="AM6229">
        <v>95.348328713059104</v>
      </c>
      <c r="AN6229">
        <v>1.00000002437501</v>
      </c>
    </row>
    <row r="6230" spans="1:40" x14ac:dyDescent="0.25">
      <c r="A6230" t="str">
        <f>"20190303162940692"</f>
        <v>20190303162940692</v>
      </c>
      <c r="B6230" t="str">
        <f>"1551601780688053"</f>
        <v>1551601780688053</v>
      </c>
      <c r="C6230" t="s">
        <v>40</v>
      </c>
      <c r="D6230">
        <v>4.621238</v>
      </c>
      <c r="E6230">
        <v>0.59701979999999999</v>
      </c>
      <c r="F6230" t="s">
        <v>45</v>
      </c>
      <c r="G6230">
        <v>0</v>
      </c>
      <c r="H6230">
        <v>0</v>
      </c>
      <c r="I6230">
        <v>0</v>
      </c>
      <c r="J6230">
        <v>-218.7878</v>
      </c>
      <c r="K6230">
        <v>1.1216200000000001</v>
      </c>
      <c r="L6230">
        <v>-62.374079999999999</v>
      </c>
      <c r="M6230">
        <v>0.99956409999999996</v>
      </c>
      <c r="N6230">
        <v>-1.1982720000000001E-2</v>
      </c>
      <c r="O6230">
        <v>-2.698354E-2</v>
      </c>
      <c r="P6230">
        <v>0.97390750000000004</v>
      </c>
      <c r="Q6230">
        <v>0.21724260000000001</v>
      </c>
      <c r="R6230">
        <v>6.5649369999999999E-2</v>
      </c>
      <c r="S6230">
        <v>2.8926090000000002</v>
      </c>
      <c r="T6230">
        <v>1.007946</v>
      </c>
      <c r="U6230">
        <v>-0.56457519999999894</v>
      </c>
      <c r="V6230">
        <v>-9.2021610000000004E-2</v>
      </c>
      <c r="W6230">
        <v>0.22882549999999999</v>
      </c>
      <c r="X6230">
        <v>0.96910830000000003</v>
      </c>
      <c r="Y6230">
        <v>0.15800980000000001</v>
      </c>
      <c r="Z6230">
        <v>1.6171250000000002E-2</v>
      </c>
      <c r="AA6230">
        <v>0.98730510000000005</v>
      </c>
      <c r="AB6230">
        <v>32</v>
      </c>
      <c r="AC6230">
        <v>2.8926090000000002</v>
      </c>
      <c r="AD6230">
        <v>1.007946</v>
      </c>
      <c r="AE6230">
        <v>-0.56457519999999894</v>
      </c>
      <c r="AF6230">
        <v>0.43538598691797398</v>
      </c>
      <c r="AG6230">
        <v>1.007946</v>
      </c>
      <c r="AH6230">
        <v>2.6023997059067798</v>
      </c>
      <c r="AI6230">
        <v>69.092901928495806</v>
      </c>
      <c r="AJ6230">
        <v>80.502278111672297</v>
      </c>
      <c r="AK6230">
        <v>2.82453541769691</v>
      </c>
      <c r="AL6230">
        <v>76.7720659979354</v>
      </c>
      <c r="AM6230">
        <v>95.424253217700993</v>
      </c>
      <c r="AN6230">
        <v>0.99999999164306597</v>
      </c>
    </row>
    <row r="6231" spans="1:40" x14ac:dyDescent="0.25">
      <c r="A6231" t="str">
        <f>"20190303162940704"</f>
        <v>20190303162940704</v>
      </c>
      <c r="B6231" t="str">
        <f>"1551601780697813"</f>
        <v>1551601780697813</v>
      </c>
      <c r="C6231" t="s">
        <v>40</v>
      </c>
      <c r="D6231">
        <v>4.6303199999999904</v>
      </c>
      <c r="E6231">
        <v>0.59708879999999998</v>
      </c>
      <c r="F6231" t="s">
        <v>45</v>
      </c>
      <c r="G6231">
        <v>0</v>
      </c>
      <c r="H6231">
        <v>0</v>
      </c>
      <c r="I6231">
        <v>0</v>
      </c>
      <c r="J6231">
        <v>-218.62799999999999</v>
      </c>
      <c r="K6231">
        <v>1.1216410000000001</v>
      </c>
      <c r="L6231">
        <v>-62.378230000000002</v>
      </c>
      <c r="M6231">
        <v>0.99956860000000003</v>
      </c>
      <c r="N6231">
        <v>-1.198507E-2</v>
      </c>
      <c r="O6231">
        <v>-2.6813839999999999E-2</v>
      </c>
      <c r="P6231">
        <v>0.97375460000000003</v>
      </c>
      <c r="Q6231">
        <v>0.21742539999999999</v>
      </c>
      <c r="R6231">
        <v>6.7293740000000005E-2</v>
      </c>
      <c r="S6231">
        <v>2.8926090000000002</v>
      </c>
      <c r="T6231">
        <v>1.0110840000000001</v>
      </c>
      <c r="U6231">
        <v>-0.56045529999999999</v>
      </c>
      <c r="V6231">
        <v>-9.3509200000000001E-2</v>
      </c>
      <c r="W6231">
        <v>0.22900239999999999</v>
      </c>
      <c r="X6231">
        <v>0.96892409999999995</v>
      </c>
      <c r="Y6231">
        <v>0.15683050000000001</v>
      </c>
      <c r="Z6231">
        <v>1.6092329999999998E-2</v>
      </c>
      <c r="AA6231">
        <v>0.98749439999999999</v>
      </c>
      <c r="AB6231">
        <v>32</v>
      </c>
      <c r="AC6231">
        <v>2.8926090000000002</v>
      </c>
      <c r="AD6231">
        <v>1.0110840000000001</v>
      </c>
      <c r="AE6231">
        <v>-0.56045529999999999</v>
      </c>
      <c r="AF6231">
        <v>0.43183434681323601</v>
      </c>
      <c r="AG6231">
        <v>1.0110840000000001</v>
      </c>
      <c r="AH6231">
        <v>2.6003823978262699</v>
      </c>
      <c r="AI6231">
        <v>69.014771829670593</v>
      </c>
      <c r="AJ6231">
        <v>80.571182782243298</v>
      </c>
      <c r="AK6231">
        <v>2.8232535084664798</v>
      </c>
      <c r="AL6231">
        <v>76.761653884720701</v>
      </c>
      <c r="AM6231">
        <v>95.512445502682695</v>
      </c>
      <c r="AN6231">
        <v>0.99999999062560496</v>
      </c>
    </row>
    <row r="6232" spans="1:40" x14ac:dyDescent="0.25">
      <c r="A6232" t="str">
        <f>"20190303162940714"</f>
        <v>20190303162940714</v>
      </c>
      <c r="B6232" t="str">
        <f>"1551601780707573"</f>
        <v>1551601780707573</v>
      </c>
      <c r="C6232" t="s">
        <v>40</v>
      </c>
      <c r="D6232">
        <v>4.6302779999999997</v>
      </c>
      <c r="E6232">
        <v>0.59717849999999995</v>
      </c>
      <c r="F6232" t="s">
        <v>45</v>
      </c>
      <c r="G6232">
        <v>0</v>
      </c>
      <c r="H6232">
        <v>0</v>
      </c>
      <c r="I6232">
        <v>0</v>
      </c>
      <c r="J6232">
        <v>-218.4776</v>
      </c>
      <c r="K6232">
        <v>1.121661</v>
      </c>
      <c r="L6232">
        <v>-62.382080000000002</v>
      </c>
      <c r="M6232">
        <v>0.99957359999999995</v>
      </c>
      <c r="N6232">
        <v>-1.1987070000000001E-2</v>
      </c>
      <c r="O6232">
        <v>-2.6629949999999999E-2</v>
      </c>
      <c r="P6232">
        <v>0.97376030000000002</v>
      </c>
      <c r="Q6232">
        <v>0.2167936</v>
      </c>
      <c r="R6232">
        <v>6.9221290000000005E-2</v>
      </c>
      <c r="S6232">
        <v>2.8929140000000002</v>
      </c>
      <c r="T6232">
        <v>1.0137259999999999</v>
      </c>
      <c r="U6232">
        <v>-0.55569460000000004</v>
      </c>
      <c r="V6232">
        <v>-9.5270110000000005E-2</v>
      </c>
      <c r="W6232">
        <v>0.2283655</v>
      </c>
      <c r="X6232">
        <v>0.96890290000000001</v>
      </c>
      <c r="Y6232">
        <v>0.15545249999999999</v>
      </c>
      <c r="Z6232">
        <v>1.5975909999999999E-2</v>
      </c>
      <c r="AA6232">
        <v>0.98771419999999999</v>
      </c>
      <c r="AB6232">
        <v>32</v>
      </c>
      <c r="AC6232">
        <v>2.8929140000000002</v>
      </c>
      <c r="AD6232">
        <v>1.0137259999999999</v>
      </c>
      <c r="AE6232">
        <v>-0.55569460000000004</v>
      </c>
      <c r="AF6232">
        <v>0.42779345735328</v>
      </c>
      <c r="AG6232">
        <v>1.0137259999999999</v>
      </c>
      <c r="AH6232">
        <v>2.59891691193685</v>
      </c>
      <c r="AI6232">
        <v>68.949388123662303</v>
      </c>
      <c r="AJ6232">
        <v>80.652675377089395</v>
      </c>
      <c r="AK6232">
        <v>2.8222361276799002</v>
      </c>
      <c r="AL6232">
        <v>76.799139188079295</v>
      </c>
      <c r="AM6232">
        <v>95.615717265286406</v>
      </c>
      <c r="AN6232">
        <v>1.00000001253903</v>
      </c>
    </row>
    <row r="6233" spans="1:40" x14ac:dyDescent="0.25">
      <c r="A6233" t="str">
        <f>"20190303162940726"</f>
        <v>20190303162940726</v>
      </c>
      <c r="B6233" t="str">
        <f>"1551601780718309"</f>
        <v>1551601780718309</v>
      </c>
      <c r="C6233" t="s">
        <v>40</v>
      </c>
      <c r="D6233">
        <v>4.6358160000000002</v>
      </c>
      <c r="E6233">
        <v>0.59724960000000005</v>
      </c>
      <c r="F6233" t="s">
        <v>45</v>
      </c>
      <c r="G6233">
        <v>0</v>
      </c>
      <c r="H6233">
        <v>0</v>
      </c>
      <c r="I6233">
        <v>0</v>
      </c>
      <c r="J6233">
        <v>-218.32259999999999</v>
      </c>
      <c r="K6233">
        <v>1.121685</v>
      </c>
      <c r="L6233">
        <v>-62.38608</v>
      </c>
      <c r="M6233">
        <v>0.99957879999999999</v>
      </c>
      <c r="N6233">
        <v>-1.1989059999999999E-2</v>
      </c>
      <c r="O6233">
        <v>-2.6434010000000001E-2</v>
      </c>
      <c r="P6233">
        <v>0.97376119999999999</v>
      </c>
      <c r="Q6233">
        <v>0.2161632</v>
      </c>
      <c r="R6233">
        <v>7.1153149999999998E-2</v>
      </c>
      <c r="S6233">
        <v>2.8942869999999998</v>
      </c>
      <c r="T6233">
        <v>1.0136320000000001</v>
      </c>
      <c r="U6233">
        <v>-0.55032349999999997</v>
      </c>
      <c r="V6233">
        <v>-9.7024250000000006E-2</v>
      </c>
      <c r="W6233">
        <v>0.22772990000000001</v>
      </c>
      <c r="X6233">
        <v>0.96887840000000003</v>
      </c>
      <c r="Y6233">
        <v>0.1538706</v>
      </c>
      <c r="Z6233">
        <v>1.578067E-2</v>
      </c>
      <c r="AA6233">
        <v>0.98796499999999998</v>
      </c>
      <c r="AB6233">
        <v>32</v>
      </c>
      <c r="AC6233">
        <v>2.8942869999999998</v>
      </c>
      <c r="AD6233">
        <v>1.0136320000000001</v>
      </c>
      <c r="AE6233">
        <v>-0.55032349999999997</v>
      </c>
      <c r="AF6233">
        <v>0.42348840574744401</v>
      </c>
      <c r="AG6233">
        <v>1.0136320000000001</v>
      </c>
      <c r="AH6233">
        <v>2.6000478872536799</v>
      </c>
      <c r="AI6233">
        <v>68.954234590512002</v>
      </c>
      <c r="AJ6233">
        <v>80.749061502563606</v>
      </c>
      <c r="AK6233">
        <v>2.8225947773704401</v>
      </c>
      <c r="AL6233">
        <v>76.836541557093398</v>
      </c>
      <c r="AM6233">
        <v>95.718579925134406</v>
      </c>
      <c r="AN6233">
        <v>0.99999998321431605</v>
      </c>
    </row>
    <row r="6234" spans="1:40" x14ac:dyDescent="0.25">
      <c r="A6234" t="str">
        <f>"20190303162940737"</f>
        <v>20190303162940737</v>
      </c>
      <c r="B6234" t="str">
        <f>"1551601780728069"</f>
        <v>1551601780728069</v>
      </c>
      <c r="C6234" t="s">
        <v>40</v>
      </c>
      <c r="D6234">
        <v>4.6230129999999896</v>
      </c>
      <c r="E6234">
        <v>0.59730539999999999</v>
      </c>
      <c r="F6234" t="s">
        <v>45</v>
      </c>
      <c r="G6234">
        <v>0</v>
      </c>
      <c r="H6234">
        <v>0</v>
      </c>
      <c r="I6234">
        <v>0</v>
      </c>
      <c r="J6234">
        <v>-218.15299999999999</v>
      </c>
      <c r="K6234">
        <v>1.121712</v>
      </c>
      <c r="L6234">
        <v>-62.39029</v>
      </c>
      <c r="M6234">
        <v>0.9995849</v>
      </c>
      <c r="N6234">
        <v>-1.199103E-2</v>
      </c>
      <c r="O6234">
        <v>-2.6198220000000001E-2</v>
      </c>
      <c r="P6234">
        <v>0.97376969999999996</v>
      </c>
      <c r="Q6234">
        <v>0.21543109999999999</v>
      </c>
      <c r="R6234">
        <v>7.3226879999999994E-2</v>
      </c>
      <c r="S6234">
        <v>2.895645</v>
      </c>
      <c r="T6234">
        <v>1.0135909999999999</v>
      </c>
      <c r="U6234">
        <v>-0.54476930000000001</v>
      </c>
      <c r="V6234">
        <v>-9.8882629999999999E-2</v>
      </c>
      <c r="W6234">
        <v>0.22699159999999999</v>
      </c>
      <c r="X6234">
        <v>0.96886380000000005</v>
      </c>
      <c r="Y6234">
        <v>0.1522665</v>
      </c>
      <c r="Z6234">
        <v>1.5596840000000001E-2</v>
      </c>
      <c r="AA6234">
        <v>0.98821639999999999</v>
      </c>
      <c r="AB6234">
        <v>32</v>
      </c>
      <c r="AC6234">
        <v>2.895645</v>
      </c>
      <c r="AD6234">
        <v>1.0135909999999999</v>
      </c>
      <c r="AE6234">
        <v>-0.54476930000000001</v>
      </c>
      <c r="AF6234">
        <v>0.419117963695947</v>
      </c>
      <c r="AG6234">
        <v>1.0135909999999999</v>
      </c>
      <c r="AH6234">
        <v>2.6011103753446201</v>
      </c>
      <c r="AI6234">
        <v>68.957561599099705</v>
      </c>
      <c r="AJ6234">
        <v>80.846583560970601</v>
      </c>
      <c r="AK6234">
        <v>2.8229066168577099</v>
      </c>
      <c r="AL6234">
        <v>76.879981061417695</v>
      </c>
      <c r="AM6234">
        <v>95.827452703448998</v>
      </c>
      <c r="AN6234">
        <v>1.0000000119683501</v>
      </c>
    </row>
    <row r="6235" spans="1:40" x14ac:dyDescent="0.25">
      <c r="A6235" t="str">
        <f>"20190303162940748"</f>
        <v>20190303162940748</v>
      </c>
      <c r="B6235" t="str">
        <f>"1551601780737829"</f>
        <v>1551601780737829</v>
      </c>
      <c r="C6235" t="s">
        <v>40</v>
      </c>
      <c r="D6235">
        <v>4.6290459999999998</v>
      </c>
      <c r="E6235">
        <v>0.59738059999999904</v>
      </c>
      <c r="F6235" t="s">
        <v>45</v>
      </c>
      <c r="G6235">
        <v>0</v>
      </c>
      <c r="H6235">
        <v>0</v>
      </c>
      <c r="I6235">
        <v>0</v>
      </c>
      <c r="J6235">
        <v>-218.00110000000001</v>
      </c>
      <c r="K6235">
        <v>1.121726</v>
      </c>
      <c r="L6235">
        <v>-62.3940699999999</v>
      </c>
      <c r="M6235">
        <v>0.9995908</v>
      </c>
      <c r="N6235">
        <v>-1.199274E-2</v>
      </c>
      <c r="O6235">
        <v>-2.5974379999999998E-2</v>
      </c>
      <c r="P6235">
        <v>0.97375630000000002</v>
      </c>
      <c r="Q6235">
        <v>0.21473400000000001</v>
      </c>
      <c r="R6235">
        <v>7.5419479999999997E-2</v>
      </c>
      <c r="S6235">
        <v>2.897141</v>
      </c>
      <c r="T6235">
        <v>1.0132969999999999</v>
      </c>
      <c r="U6235">
        <v>-0.53866579999999997</v>
      </c>
      <c r="V6235">
        <v>-0.1008698</v>
      </c>
      <c r="W6235">
        <v>0.2262885</v>
      </c>
      <c r="X6235">
        <v>0.9688234</v>
      </c>
      <c r="Y6235">
        <v>0.15047579999999999</v>
      </c>
      <c r="Z6235">
        <v>1.5374270000000001E-2</v>
      </c>
      <c r="AA6235">
        <v>0.98849419999999999</v>
      </c>
      <c r="AB6235">
        <v>32</v>
      </c>
      <c r="AC6235">
        <v>2.897141</v>
      </c>
      <c r="AD6235">
        <v>1.0132969999999999</v>
      </c>
      <c r="AE6235">
        <v>-0.53866579999999997</v>
      </c>
      <c r="AF6235">
        <v>0.41424566105756799</v>
      </c>
      <c r="AG6235">
        <v>1.0132969999999999</v>
      </c>
      <c r="AH6235">
        <v>2.6024367401317199</v>
      </c>
      <c r="AI6235">
        <v>68.967058970817007</v>
      </c>
      <c r="AJ6235">
        <v>80.955758167489094</v>
      </c>
      <c r="AK6235">
        <v>2.8233043166299701</v>
      </c>
      <c r="AL6235">
        <v>76.921341716467197</v>
      </c>
      <c r="AM6235">
        <v>95.943978511761003</v>
      </c>
      <c r="AN6235">
        <v>0.99999999108592497</v>
      </c>
    </row>
    <row r="6236" spans="1:40" x14ac:dyDescent="0.25">
      <c r="A6236" t="str">
        <f>"20190303162940759"</f>
        <v>20190303162940759</v>
      </c>
      <c r="B6236" t="str">
        <f>"1551601780747589"</f>
        <v>1551601780747589</v>
      </c>
      <c r="C6236" t="s">
        <v>40</v>
      </c>
      <c r="D6236">
        <v>4.6287900000000004</v>
      </c>
      <c r="E6236">
        <v>0.59748109999999999</v>
      </c>
      <c r="F6236" t="s">
        <v>45</v>
      </c>
      <c r="G6236">
        <v>0</v>
      </c>
      <c r="H6236">
        <v>0</v>
      </c>
      <c r="I6236">
        <v>0</v>
      </c>
      <c r="J6236">
        <v>-217.84289999999999</v>
      </c>
      <c r="K6236">
        <v>1.12175</v>
      </c>
      <c r="L6236">
        <v>-62.3979199999999</v>
      </c>
      <c r="M6236">
        <v>0.99959699999999996</v>
      </c>
      <c r="N6236">
        <v>-1.199446E-2</v>
      </c>
      <c r="O6236">
        <v>-2.5726800000000001E-2</v>
      </c>
      <c r="P6236">
        <v>0.97376779999999996</v>
      </c>
      <c r="Q6236">
        <v>0.21384349999999999</v>
      </c>
      <c r="R6236">
        <v>7.7763680000000002E-2</v>
      </c>
      <c r="S6236">
        <v>2.8987880000000001</v>
      </c>
      <c r="T6236">
        <v>1.0126980000000001</v>
      </c>
      <c r="U6236">
        <v>-0.53250120000000001</v>
      </c>
      <c r="V6236">
        <v>-0.1029866</v>
      </c>
      <c r="W6236">
        <v>0.22539100000000001</v>
      </c>
      <c r="X6236">
        <v>0.9688099</v>
      </c>
      <c r="Y6236">
        <v>0.14868219999999999</v>
      </c>
      <c r="Z6236">
        <v>1.5154330000000001E-2</v>
      </c>
      <c r="AA6236">
        <v>0.98876889999999995</v>
      </c>
      <c r="AB6236">
        <v>32</v>
      </c>
      <c r="AC6236">
        <v>2.8987880000000001</v>
      </c>
      <c r="AD6236">
        <v>1.0126980000000001</v>
      </c>
      <c r="AE6236">
        <v>-0.53250120000000001</v>
      </c>
      <c r="AF6236">
        <v>0.40940719551257398</v>
      </c>
      <c r="AG6236">
        <v>1.0126980000000001</v>
      </c>
      <c r="AH6236">
        <v>2.6040832023889702</v>
      </c>
      <c r="AI6236">
        <v>68.984739602179502</v>
      </c>
      <c r="AJ6236">
        <v>81.065241773408601</v>
      </c>
      <c r="AK6236">
        <v>2.8239017008220899</v>
      </c>
      <c r="AL6236">
        <v>76.974128340916593</v>
      </c>
      <c r="AM6236">
        <v>96.0678784930533</v>
      </c>
      <c r="AN6236">
        <v>0.99999998249928401</v>
      </c>
    </row>
    <row r="6237" spans="1:40" x14ac:dyDescent="0.25">
      <c r="A6237" t="str">
        <f>"20190303162940771"</f>
        <v>20190303162940771</v>
      </c>
      <c r="B6237" t="str">
        <f>"1551601780768085"</f>
        <v>1551601780768085</v>
      </c>
      <c r="C6237" t="s">
        <v>40</v>
      </c>
      <c r="D6237">
        <v>4.6178889999999999</v>
      </c>
      <c r="E6237">
        <v>0.59770760000000001</v>
      </c>
      <c r="F6237" t="s">
        <v>45</v>
      </c>
      <c r="G6237">
        <v>0</v>
      </c>
      <c r="H6237">
        <v>0</v>
      </c>
      <c r="I6237">
        <v>0</v>
      </c>
      <c r="J6237">
        <v>-217.67019999999999</v>
      </c>
      <c r="K6237">
        <v>1.121775</v>
      </c>
      <c r="L6237">
        <v>-62.402099999999997</v>
      </c>
      <c r="M6237">
        <v>0.99960470000000001</v>
      </c>
      <c r="N6237">
        <v>-1.199624E-2</v>
      </c>
      <c r="O6237">
        <v>-2.543341E-2</v>
      </c>
      <c r="P6237">
        <v>0.97375149999999999</v>
      </c>
      <c r="Q6237">
        <v>0.21298929999999999</v>
      </c>
      <c r="R6237">
        <v>8.0274559999999995E-2</v>
      </c>
      <c r="S6237">
        <v>2.9008639999999999</v>
      </c>
      <c r="T6237">
        <v>1.010845</v>
      </c>
      <c r="U6237">
        <v>-0.52630619999999995</v>
      </c>
      <c r="V6237">
        <v>-0.1052266</v>
      </c>
      <c r="W6237">
        <v>0.2245287</v>
      </c>
      <c r="X6237">
        <v>0.9687694</v>
      </c>
      <c r="Y6237">
        <v>0.1469123</v>
      </c>
      <c r="Z6237">
        <v>1.4933429999999999E-2</v>
      </c>
      <c r="AA6237">
        <v>0.98903680000000005</v>
      </c>
      <c r="AB6237">
        <v>32</v>
      </c>
      <c r="AC6237">
        <v>2.9008639999999999</v>
      </c>
      <c r="AD6237">
        <v>1.010845</v>
      </c>
      <c r="AE6237">
        <v>-0.52630619999999995</v>
      </c>
      <c r="AF6237">
        <v>0.404768364381065</v>
      </c>
      <c r="AG6237">
        <v>1.010845</v>
      </c>
      <c r="AH6237">
        <v>2.6068575646372301</v>
      </c>
      <c r="AI6237">
        <v>69.034548129000797</v>
      </c>
      <c r="AJ6237">
        <v>81.174126584357893</v>
      </c>
      <c r="AK6237">
        <v>2.8251285643550998</v>
      </c>
      <c r="AL6237">
        <v>77.024833919804607</v>
      </c>
      <c r="AM6237">
        <v>96.199097747870795</v>
      </c>
      <c r="AN6237">
        <v>0.99999996242380396</v>
      </c>
    </row>
    <row r="6238" spans="1:40" x14ac:dyDescent="0.25">
      <c r="A6238" t="str">
        <f>"20190303162940782"</f>
        <v>20190303162940782</v>
      </c>
      <c r="B6238" t="str">
        <f>"1551601780777846"</f>
        <v>1551601780777846</v>
      </c>
      <c r="C6238" t="s">
        <v>40</v>
      </c>
      <c r="D6238">
        <v>4.6414929999999996</v>
      </c>
      <c r="E6238">
        <v>0.59781799999999996</v>
      </c>
      <c r="F6238" t="s">
        <v>45</v>
      </c>
      <c r="G6238">
        <v>0</v>
      </c>
      <c r="H6238">
        <v>0</v>
      </c>
      <c r="I6238">
        <v>0</v>
      </c>
      <c r="J6238">
        <v>-217.5112</v>
      </c>
      <c r="K6238">
        <v>1.1217980000000001</v>
      </c>
      <c r="L6238">
        <v>-62.405880000000003</v>
      </c>
      <c r="M6238">
        <v>0.99961169999999999</v>
      </c>
      <c r="N6238">
        <v>-1.1997819999999999E-2</v>
      </c>
      <c r="O6238">
        <v>-2.515363E-2</v>
      </c>
      <c r="P6238">
        <v>0.97376180000000001</v>
      </c>
      <c r="Q6238">
        <v>0.2118323</v>
      </c>
      <c r="R6238">
        <v>8.3158430000000005E-2</v>
      </c>
      <c r="S6238">
        <v>2.9028930000000002</v>
      </c>
      <c r="T6238">
        <v>1.0099119999999999</v>
      </c>
      <c r="U6238">
        <v>-0.52050779999999996</v>
      </c>
      <c r="V6238">
        <v>-0.107852</v>
      </c>
      <c r="W6238">
        <v>0.22336310000000001</v>
      </c>
      <c r="X6238">
        <v>0.96875020000000001</v>
      </c>
      <c r="Y6238">
        <v>0.14524609999999999</v>
      </c>
      <c r="Z6238">
        <v>1.4739210000000001E-2</v>
      </c>
      <c r="AA6238">
        <v>0.98928579999999999</v>
      </c>
      <c r="AB6238">
        <v>32</v>
      </c>
      <c r="AC6238">
        <v>2.9028930000000002</v>
      </c>
      <c r="AD6238">
        <v>1.0099119999999999</v>
      </c>
      <c r="AE6238">
        <v>-0.52050779999999996</v>
      </c>
      <c r="AF6238">
        <v>0.400370773108429</v>
      </c>
      <c r="AG6238">
        <v>1.0099119999999999</v>
      </c>
      <c r="AH6238">
        <v>2.6091147731094999</v>
      </c>
      <c r="AI6238">
        <v>69.063525513198698</v>
      </c>
      <c r="AJ6238">
        <v>81.275966897494797</v>
      </c>
      <c r="AK6238">
        <v>2.8262517409037802</v>
      </c>
      <c r="AL6238">
        <v>77.093359306496794</v>
      </c>
      <c r="AM6238">
        <v>96.352640683996498</v>
      </c>
      <c r="AN6238">
        <v>1.0000000391728201</v>
      </c>
    </row>
    <row r="6239" spans="1:40" x14ac:dyDescent="0.25">
      <c r="A6239" t="str">
        <f>"20190303162940793"</f>
        <v>20190303162940793</v>
      </c>
      <c r="B6239" t="str">
        <f>"1551601780787605"</f>
        <v>1551601780787605</v>
      </c>
      <c r="C6239" t="s">
        <v>40</v>
      </c>
      <c r="D6239">
        <v>4.7635870000000002</v>
      </c>
      <c r="E6239">
        <v>0.59788999999999903</v>
      </c>
      <c r="F6239" t="s">
        <v>45</v>
      </c>
      <c r="G6239">
        <v>0</v>
      </c>
      <c r="H6239">
        <v>0</v>
      </c>
      <c r="I6239">
        <v>0</v>
      </c>
      <c r="J6239">
        <v>-217.35650000000001</v>
      </c>
      <c r="K6239">
        <v>1.1218189999999999</v>
      </c>
      <c r="L6239">
        <v>-62.409419999999997</v>
      </c>
      <c r="M6239">
        <v>0.99961920000000004</v>
      </c>
      <c r="N6239">
        <v>-1.199924E-2</v>
      </c>
      <c r="O6239">
        <v>-2.4849639999999999E-2</v>
      </c>
      <c r="P6239">
        <v>0.97372499999999995</v>
      </c>
      <c r="Q6239">
        <v>0.21073600000000001</v>
      </c>
      <c r="R6239">
        <v>8.6312130000000001E-2</v>
      </c>
      <c r="S6239">
        <v>2.9055939999999998</v>
      </c>
      <c r="T6239">
        <v>1.006766</v>
      </c>
      <c r="U6239">
        <v>-0.51269529999999996</v>
      </c>
      <c r="V6239">
        <v>-0.1107225</v>
      </c>
      <c r="W6239">
        <v>0.2222568</v>
      </c>
      <c r="X6239">
        <v>0.96868080000000001</v>
      </c>
      <c r="Y6239">
        <v>0.1429619</v>
      </c>
      <c r="Z6239">
        <v>1.4419309999999999E-2</v>
      </c>
      <c r="AA6239">
        <v>0.98962309999999998</v>
      </c>
      <c r="AB6239">
        <v>32</v>
      </c>
      <c r="AC6239">
        <v>2.9055939999999998</v>
      </c>
      <c r="AD6239">
        <v>1.006766</v>
      </c>
      <c r="AE6239">
        <v>-0.51269529999999996</v>
      </c>
      <c r="AF6239">
        <v>0.394407240930301</v>
      </c>
      <c r="AG6239">
        <v>1.006766</v>
      </c>
      <c r="AH6239">
        <v>2.6131804705342399</v>
      </c>
      <c r="AI6239">
        <v>69.145657758706193</v>
      </c>
      <c r="AJ6239">
        <v>81.417130845939894</v>
      </c>
      <c r="AK6239">
        <v>2.8280465028064499</v>
      </c>
      <c r="AL6239">
        <v>77.158379939788404</v>
      </c>
      <c r="AM6239">
        <v>96.520743093661594</v>
      </c>
      <c r="AN6239">
        <v>1.00000002472056</v>
      </c>
    </row>
    <row r="6240" spans="1:40" x14ac:dyDescent="0.25">
      <c r="A6240" t="str">
        <f>"20190303162940805"</f>
        <v>20190303162940805</v>
      </c>
      <c r="B6240" t="str">
        <f>"1551601780798342"</f>
        <v>1551601780798342</v>
      </c>
      <c r="C6240" t="s">
        <v>40</v>
      </c>
      <c r="D6240">
        <v>4.7291800000000004</v>
      </c>
      <c r="E6240">
        <v>0.59788999999999903</v>
      </c>
      <c r="F6240" t="s">
        <v>45</v>
      </c>
      <c r="G6240">
        <v>0</v>
      </c>
      <c r="H6240">
        <v>0</v>
      </c>
      <c r="I6240">
        <v>0</v>
      </c>
      <c r="J6240">
        <v>-217.19829999999999</v>
      </c>
      <c r="K6240">
        <v>1.1218399999999999</v>
      </c>
      <c r="L6240">
        <v>-62.413060000000002</v>
      </c>
      <c r="M6240">
        <v>0.99962689999999998</v>
      </c>
      <c r="N6240">
        <v>-1.200067E-2</v>
      </c>
      <c r="O6240">
        <v>-2.453253E-2</v>
      </c>
      <c r="P6240">
        <v>0.97368549999999998</v>
      </c>
      <c r="Q6240">
        <v>0.20964469999999999</v>
      </c>
      <c r="R6240">
        <v>8.9361910000000003E-2</v>
      </c>
      <c r="S6240">
        <v>2.908493</v>
      </c>
      <c r="T6240">
        <v>1.0033449999999999</v>
      </c>
      <c r="U6240">
        <v>-0.50390630000000003</v>
      </c>
      <c r="V6240">
        <v>-0.11347740000000001</v>
      </c>
      <c r="W6240">
        <v>0.22115480000000001</v>
      </c>
      <c r="X6240">
        <v>0.96861419999999998</v>
      </c>
      <c r="Y6240">
        <v>0.14037569999999999</v>
      </c>
      <c r="Z6240">
        <v>1.4053059999999999E-2</v>
      </c>
      <c r="AA6240">
        <v>0.98999859999999995</v>
      </c>
      <c r="AB6240">
        <v>32</v>
      </c>
      <c r="AC6240">
        <v>2.908493</v>
      </c>
      <c r="AD6240">
        <v>1.0033449999999999</v>
      </c>
      <c r="AE6240">
        <v>-0.50390630000000003</v>
      </c>
      <c r="AF6240">
        <v>0.38761320075030498</v>
      </c>
      <c r="AG6240">
        <v>1.0033449999999999</v>
      </c>
      <c r="AH6240">
        <v>2.6175564590537999</v>
      </c>
      <c r="AI6240">
        <v>69.234335815169302</v>
      </c>
      <c r="AJ6240">
        <v>81.576735232771199</v>
      </c>
      <c r="AK6240">
        <v>2.8299376316016498</v>
      </c>
      <c r="AL6240">
        <v>77.223131221349206</v>
      </c>
      <c r="AM6240">
        <v>96.681992401578796</v>
      </c>
      <c r="AN6240">
        <v>1.0000000171577199</v>
      </c>
    </row>
    <row r="6241" spans="1:40" x14ac:dyDescent="0.25">
      <c r="A6241" t="str">
        <f>"20190303162940815"</f>
        <v>20190303162940815</v>
      </c>
      <c r="B6241" t="str">
        <f>"1551601780808102"</f>
        <v>1551601780808102</v>
      </c>
      <c r="C6241" t="s">
        <v>40</v>
      </c>
      <c r="D6241">
        <v>4.5137239999999998</v>
      </c>
      <c r="E6241">
        <v>0.57297849999999995</v>
      </c>
      <c r="F6241" t="s">
        <v>45</v>
      </c>
      <c r="G6241">
        <v>0</v>
      </c>
      <c r="H6241">
        <v>0</v>
      </c>
      <c r="I6241">
        <v>0</v>
      </c>
      <c r="J6241">
        <v>-217.0369</v>
      </c>
      <c r="K6241">
        <v>1.121869</v>
      </c>
      <c r="L6241">
        <v>-62.41666</v>
      </c>
      <c r="M6241">
        <v>0.99963559999999996</v>
      </c>
      <c r="N6241">
        <v>-1.200209E-2</v>
      </c>
      <c r="O6241">
        <v>-2.41782E-2</v>
      </c>
      <c r="P6241">
        <v>0.97365460000000004</v>
      </c>
      <c r="Q6241">
        <v>0.208338</v>
      </c>
      <c r="R6241">
        <v>9.2693780000000003E-2</v>
      </c>
      <c r="S6241">
        <v>2.9111180000000001</v>
      </c>
      <c r="T6241">
        <v>1.0002660000000001</v>
      </c>
      <c r="U6241">
        <v>-0.49472050000000001</v>
      </c>
      <c r="V6241">
        <v>-0.1164786</v>
      </c>
      <c r="W6241">
        <v>0.21983630000000001</v>
      </c>
      <c r="X6241">
        <v>0.96855809999999998</v>
      </c>
      <c r="Y6241">
        <v>0.1377072</v>
      </c>
      <c r="Z6241">
        <v>1.369518E-2</v>
      </c>
      <c r="AA6241">
        <v>0.99037830000000004</v>
      </c>
      <c r="AB6241">
        <v>32</v>
      </c>
      <c r="AC6241">
        <v>2.9111180000000001</v>
      </c>
      <c r="AD6241">
        <v>1.0002660000000001</v>
      </c>
      <c r="AE6241">
        <v>-0.49472050000000001</v>
      </c>
      <c r="AF6241">
        <v>0.38052101783314302</v>
      </c>
      <c r="AG6241">
        <v>1.0002660000000001</v>
      </c>
      <c r="AH6241">
        <v>2.62142489240478</v>
      </c>
      <c r="AI6241">
        <v>69.312671823130998</v>
      </c>
      <c r="AJ6241">
        <v>81.740741871372506</v>
      </c>
      <c r="AK6241">
        <v>2.8314654831532402</v>
      </c>
      <c r="AL6241">
        <v>77.300582071107499</v>
      </c>
      <c r="AM6241">
        <v>96.8574468993625</v>
      </c>
      <c r="AN6241">
        <v>1.0000000280656201</v>
      </c>
    </row>
    <row r="6242" spans="1:40" x14ac:dyDescent="0.25">
      <c r="A6242" t="str">
        <f>"20190303162940829"</f>
        <v>20190303162940829</v>
      </c>
      <c r="B6242" t="str">
        <f>"1551601780818839"</f>
        <v>1551601780818839</v>
      </c>
      <c r="C6242" t="s">
        <v>40</v>
      </c>
      <c r="D6242">
        <v>4.5288240000000002</v>
      </c>
      <c r="E6242">
        <v>0.57297849999999995</v>
      </c>
      <c r="F6242" t="s">
        <v>53</v>
      </c>
      <c r="G6242">
        <v>-157.9383</v>
      </c>
      <c r="H6242">
        <v>21.157029999999999</v>
      </c>
      <c r="I6242">
        <v>-68.271730000000005</v>
      </c>
      <c r="J6242">
        <v>-216.8553</v>
      </c>
      <c r="K6242">
        <v>1.121896</v>
      </c>
      <c r="L6242">
        <v>-62.420650000000002</v>
      </c>
      <c r="M6242">
        <v>0.99964560000000002</v>
      </c>
      <c r="N6242">
        <v>-1.200359E-2</v>
      </c>
      <c r="O6242">
        <v>-2.3762419999999999E-2</v>
      </c>
      <c r="P6242">
        <v>0.97362320000000002</v>
      </c>
      <c r="Q6242">
        <v>0.20678859999999999</v>
      </c>
      <c r="R6242">
        <v>9.6417439999999993E-2</v>
      </c>
      <c r="S6242">
        <v>2.8982700000000001</v>
      </c>
      <c r="T6242">
        <v>0.9825469</v>
      </c>
      <c r="U6242">
        <v>-0.2871399</v>
      </c>
      <c r="V6242">
        <v>-0.1198139</v>
      </c>
      <c r="W6242">
        <v>0.21827299999999999</v>
      </c>
      <c r="X6242">
        <v>0.96850480000000005</v>
      </c>
      <c r="Y6242">
        <v>7.2464299999999995E-2</v>
      </c>
      <c r="Z6242">
        <v>3.3820220000000002E-3</v>
      </c>
      <c r="AA6242">
        <v>0.99736530000000001</v>
      </c>
      <c r="AB6242">
        <v>32</v>
      </c>
      <c r="AC6242">
        <v>58.917000000000002</v>
      </c>
      <c r="AD6242">
        <v>20.035133999999999</v>
      </c>
      <c r="AE6242">
        <v>-5.8510799999999996</v>
      </c>
      <c r="AF6242">
        <v>3.9921749124329899</v>
      </c>
      <c r="AG6242">
        <v>20.035133999999999</v>
      </c>
      <c r="AH6242">
        <v>52.9734514791907</v>
      </c>
      <c r="AI6242">
        <v>69.336464183607205</v>
      </c>
      <c r="AJ6242">
        <v>85.690233290965097</v>
      </c>
      <c r="AK6242">
        <v>56.776144784122103</v>
      </c>
      <c r="AL6242">
        <v>77.392381931376804</v>
      </c>
      <c r="AM6242">
        <v>97.052240352050603</v>
      </c>
      <c r="AN6242">
        <v>1.0000000103926201</v>
      </c>
    </row>
    <row r="6243" spans="1:40" x14ac:dyDescent="0.25">
      <c r="A6243" t="str">
        <f>"20190303162940841"</f>
        <v>20190303162940841</v>
      </c>
      <c r="B6243" t="str">
        <f>"1551601780828598"</f>
        <v>1551601780828598</v>
      </c>
      <c r="C6243" t="s">
        <v>40</v>
      </c>
      <c r="D6243">
        <v>4.4715230000000004</v>
      </c>
      <c r="E6243">
        <v>0.53194449999999904</v>
      </c>
      <c r="F6243" t="s">
        <v>53</v>
      </c>
      <c r="G6243">
        <v>-157.3501</v>
      </c>
      <c r="H6243">
        <v>21.180109999999999</v>
      </c>
      <c r="I6243">
        <v>-68.08278</v>
      </c>
      <c r="J6243">
        <v>-216.67859999999999</v>
      </c>
      <c r="K6243">
        <v>1.1219250000000001</v>
      </c>
      <c r="L6243">
        <v>-62.4244699999999</v>
      </c>
      <c r="M6243">
        <v>0.99965559999999998</v>
      </c>
      <c r="N6243">
        <v>-1.200495E-2</v>
      </c>
      <c r="O6243">
        <v>-2.3336880000000001E-2</v>
      </c>
      <c r="P6243">
        <v>0.97365679999999999</v>
      </c>
      <c r="Q6243">
        <v>0.2052754</v>
      </c>
      <c r="R6243">
        <v>9.9269830000000003E-2</v>
      </c>
      <c r="S6243">
        <v>2.900909</v>
      </c>
      <c r="T6243">
        <v>0.97784599999999999</v>
      </c>
      <c r="U6243">
        <v>-0.27603149999999999</v>
      </c>
      <c r="V6243">
        <v>-0.12227010000000001</v>
      </c>
      <c r="W6243">
        <v>0.2167473</v>
      </c>
      <c r="X6243">
        <v>0.96854050000000003</v>
      </c>
      <c r="Y6243">
        <v>6.9190479999999999E-2</v>
      </c>
      <c r="Z6243">
        <v>2.9890210000000001E-3</v>
      </c>
      <c r="AA6243">
        <v>0.99759900000000001</v>
      </c>
      <c r="AB6243">
        <v>32</v>
      </c>
      <c r="AC6243">
        <v>59.328499999999899</v>
      </c>
      <c r="AD6243">
        <v>20.058185000000002</v>
      </c>
      <c r="AE6243">
        <v>-5.6583100000000002</v>
      </c>
      <c r="AF6243">
        <v>3.8374498232865002</v>
      </c>
      <c r="AG6243">
        <v>20.058185000000002</v>
      </c>
      <c r="AH6243">
        <v>53.396093522363202</v>
      </c>
      <c r="AI6243">
        <v>69.459902080277303</v>
      </c>
      <c r="AJ6243">
        <v>85.889356424023006</v>
      </c>
      <c r="AK6243">
        <v>57.168169553427497</v>
      </c>
      <c r="AL6243">
        <v>77.481942672173403</v>
      </c>
      <c r="AM6243">
        <v>97.195049475517195</v>
      </c>
      <c r="AN6243">
        <v>1.00000003477577</v>
      </c>
    </row>
    <row r="6244" spans="1:40" x14ac:dyDescent="0.25">
      <c r="A6244" t="str">
        <f>"20190303162940852"</f>
        <v>20190303162940852</v>
      </c>
      <c r="B6244" t="str">
        <f>"1551601780838360"</f>
        <v>1551601780838360</v>
      </c>
      <c r="C6244" t="s">
        <v>40</v>
      </c>
      <c r="D6244">
        <v>4.5487599999999997</v>
      </c>
      <c r="E6244">
        <v>0.53194449999999904</v>
      </c>
      <c r="F6244" t="s">
        <v>53</v>
      </c>
      <c r="G6244">
        <v>-167.99870000000001</v>
      </c>
      <c r="H6244">
        <v>12.62327</v>
      </c>
      <c r="I6244">
        <v>-61.643250000000002</v>
      </c>
      <c r="J6244">
        <v>-216.5284</v>
      </c>
      <c r="K6244">
        <v>1.1219479999999999</v>
      </c>
      <c r="L6244">
        <v>-62.427579999999999</v>
      </c>
      <c r="M6244">
        <v>0.99966480000000002</v>
      </c>
      <c r="N6244">
        <v>-1.200614E-2</v>
      </c>
      <c r="O6244">
        <v>-2.294597E-2</v>
      </c>
      <c r="P6244">
        <v>0.97362090000000001</v>
      </c>
      <c r="Q6244">
        <v>0.20330960000000001</v>
      </c>
      <c r="R6244">
        <v>0.10357520000000001</v>
      </c>
      <c r="S6244">
        <v>2.9304199999999998</v>
      </c>
      <c r="T6244">
        <v>0.6923513</v>
      </c>
      <c r="U6244">
        <v>4.7027590000000001E-2</v>
      </c>
      <c r="V6244">
        <v>-0.1262074</v>
      </c>
      <c r="W6244">
        <v>0.2147667</v>
      </c>
      <c r="X6244">
        <v>0.96847669999999997</v>
      </c>
      <c r="Y6244">
        <v>-3.7315519999999998E-2</v>
      </c>
      <c r="Z6244">
        <v>-9.7399070000000008E-3</v>
      </c>
      <c r="AA6244">
        <v>0.99925609999999998</v>
      </c>
      <c r="AB6244">
        <v>32</v>
      </c>
      <c r="AC6244">
        <v>48.529699999999899</v>
      </c>
      <c r="AD6244">
        <v>11.501322</v>
      </c>
      <c r="AE6244">
        <v>0.78433000000000397</v>
      </c>
      <c r="AF6244">
        <v>-1.7968665246463</v>
      </c>
      <c r="AG6244">
        <v>11.501322</v>
      </c>
      <c r="AH6244">
        <v>45.920390499412903</v>
      </c>
      <c r="AI6244">
        <v>75.949161438078406</v>
      </c>
      <c r="AJ6244">
        <v>92.2408426747091</v>
      </c>
      <c r="AK6244">
        <v>47.372897321925002</v>
      </c>
      <c r="AL6244">
        <v>77.598160547294299</v>
      </c>
      <c r="AM6244">
        <v>97.424680513488397</v>
      </c>
      <c r="AN6244">
        <v>1.0000000808432601</v>
      </c>
    </row>
    <row r="6245" spans="1:40" x14ac:dyDescent="0.25">
      <c r="A6245" t="str">
        <f>"20190303162940861"</f>
        <v>20190303162940861</v>
      </c>
      <c r="B6245" t="str">
        <f>"1551601780848118"</f>
        <v>1551601780848118</v>
      </c>
      <c r="C6245" t="s">
        <v>40</v>
      </c>
      <c r="D6245">
        <v>4.5926960000000001</v>
      </c>
      <c r="E6245">
        <v>0.49635319999999999</v>
      </c>
      <c r="F6245" t="s">
        <v>53</v>
      </c>
      <c r="G6245">
        <v>-167.99870000000001</v>
      </c>
      <c r="H6245">
        <v>12.48616</v>
      </c>
      <c r="I6245">
        <v>-61.434359999999998</v>
      </c>
      <c r="J6245">
        <v>-216.387</v>
      </c>
      <c r="K6245">
        <v>1.1219699999999999</v>
      </c>
      <c r="L6245">
        <v>-62.430480000000003</v>
      </c>
      <c r="M6245">
        <v>0.99967320000000004</v>
      </c>
      <c r="N6245">
        <v>-1.2007240000000001E-2</v>
      </c>
      <c r="O6245">
        <v>-2.2572120000000001E-2</v>
      </c>
      <c r="P6245">
        <v>0.97359220000000002</v>
      </c>
      <c r="Q6245">
        <v>0.2016232</v>
      </c>
      <c r="R6245">
        <v>0.10708230000000001</v>
      </c>
      <c r="S6245">
        <v>2.9315639999999998</v>
      </c>
      <c r="T6245">
        <v>0.68648339999999997</v>
      </c>
      <c r="U6245">
        <v>5.9997559999999998E-2</v>
      </c>
      <c r="V6245">
        <v>-0.12936300000000001</v>
      </c>
      <c r="W6245">
        <v>0.21306649999999999</v>
      </c>
      <c r="X6245">
        <v>0.96843579999999996</v>
      </c>
      <c r="Y6245">
        <v>-4.1293099999999999E-2</v>
      </c>
      <c r="Z6245">
        <v>-1.0000530000000001E-2</v>
      </c>
      <c r="AA6245">
        <v>0.99909700000000001</v>
      </c>
      <c r="AB6245">
        <v>32</v>
      </c>
      <c r="AC6245">
        <v>48.388300000000001</v>
      </c>
      <c r="AD6245">
        <v>11.364189999999899</v>
      </c>
      <c r="AE6245">
        <v>0.996120000000004</v>
      </c>
      <c r="AF6245">
        <v>-1.9790596774396201</v>
      </c>
      <c r="AG6245">
        <v>11.364189999999899</v>
      </c>
      <c r="AH6245">
        <v>45.826905238170703</v>
      </c>
      <c r="AI6245">
        <v>76.085162315707194</v>
      </c>
      <c r="AJ6245">
        <v>92.472812719276504</v>
      </c>
      <c r="AK6245">
        <v>47.256393591462697</v>
      </c>
      <c r="AL6245">
        <v>77.697882327007704</v>
      </c>
      <c r="AM6245">
        <v>97.608490990681403</v>
      </c>
      <c r="AN6245">
        <v>1.00000000895644</v>
      </c>
    </row>
    <row r="6246" spans="1:40" x14ac:dyDescent="0.25">
      <c r="A6246" t="str">
        <f>"20190303162940874"</f>
        <v>20190303162940874</v>
      </c>
      <c r="B6246" t="str">
        <f>"1551601780868146"</f>
        <v>1551601780868146</v>
      </c>
      <c r="C6246" t="s">
        <v>40</v>
      </c>
      <c r="D6246">
        <v>4.654388</v>
      </c>
      <c r="E6246">
        <v>0.48830430000000002</v>
      </c>
      <c r="F6246" t="s">
        <v>53</v>
      </c>
      <c r="G6246">
        <v>-166.75839999999999</v>
      </c>
      <c r="H6246">
        <v>6.6740880000000002</v>
      </c>
      <c r="I6246">
        <v>-56.767539999999997</v>
      </c>
      <c r="J6246">
        <v>-216.2157</v>
      </c>
      <c r="K6246">
        <v>1.1220019999999999</v>
      </c>
      <c r="L6246">
        <v>-62.433839999999996</v>
      </c>
      <c r="M6246">
        <v>0.99968429999999997</v>
      </c>
      <c r="N6246">
        <v>-1.20085E-2</v>
      </c>
      <c r="O6246">
        <v>-2.2078850000000001E-2</v>
      </c>
      <c r="P6246">
        <v>0.97344059999999999</v>
      </c>
      <c r="Q6246">
        <v>0.2004155</v>
      </c>
      <c r="R6246">
        <v>0.11066819999999999</v>
      </c>
      <c r="S6246">
        <v>2.975098</v>
      </c>
      <c r="T6246">
        <v>0.33283309999999999</v>
      </c>
      <c r="U6246">
        <v>0.33947749999999999</v>
      </c>
      <c r="V6246">
        <v>-0.13248370000000001</v>
      </c>
      <c r="W6246">
        <v>0.2118411</v>
      </c>
      <c r="X6246">
        <v>0.9682828</v>
      </c>
      <c r="Y6246">
        <v>-0.13437650000000001</v>
      </c>
      <c r="Z6246">
        <v>-9.3758820000000003E-3</v>
      </c>
      <c r="AA6246">
        <v>0.99088600000000004</v>
      </c>
      <c r="AB6246">
        <v>32</v>
      </c>
      <c r="AC6246">
        <v>49.457299999999996</v>
      </c>
      <c r="AD6246">
        <v>5.5520860000000001</v>
      </c>
      <c r="AE6246">
        <v>5.6662999999999997</v>
      </c>
      <c r="AF6246">
        <v>-6.67393975799527</v>
      </c>
      <c r="AG6246">
        <v>5.5520860000000001</v>
      </c>
      <c r="AH6246">
        <v>48.714168685038302</v>
      </c>
      <c r="AI6246">
        <v>83.557567990561495</v>
      </c>
      <c r="AJ6246">
        <v>97.801072188039797</v>
      </c>
      <c r="AK6246">
        <v>49.481687132909201</v>
      </c>
      <c r="AL6246">
        <v>77.769733749406996</v>
      </c>
      <c r="AM6246">
        <v>97.791023437494999</v>
      </c>
      <c r="AN6246">
        <v>1.00000008159536</v>
      </c>
    </row>
    <row r="6247" spans="1:40" x14ac:dyDescent="0.25">
      <c r="A6247" t="str">
        <f>"20190303162940883"</f>
        <v>20190303162940883</v>
      </c>
      <c r="B6247" t="str">
        <f>"1551601780877905"</f>
        <v>1551601780877905</v>
      </c>
      <c r="C6247" t="s">
        <v>40</v>
      </c>
      <c r="D6247">
        <v>4.7002759999999997</v>
      </c>
      <c r="E6247">
        <v>0.46127849999999998</v>
      </c>
      <c r="F6247" t="s">
        <v>53</v>
      </c>
      <c r="G6247">
        <v>-157.9383</v>
      </c>
      <c r="H6247">
        <v>5.5361979999999997</v>
      </c>
      <c r="I6247">
        <v>-54.430459999999997</v>
      </c>
      <c r="J6247">
        <v>-216.08160000000001</v>
      </c>
      <c r="K6247">
        <v>1.1220270000000001</v>
      </c>
      <c r="L6247">
        <v>-62.436489999999999</v>
      </c>
      <c r="M6247">
        <v>0.99969260000000004</v>
      </c>
      <c r="N6247">
        <v>-1.200946E-2</v>
      </c>
      <c r="O6247">
        <v>-2.168807E-2</v>
      </c>
      <c r="P6247">
        <v>0.97332510000000005</v>
      </c>
      <c r="Q6247">
        <v>0.19927510000000001</v>
      </c>
      <c r="R6247">
        <v>0.1137006</v>
      </c>
      <c r="S6247">
        <v>2.9886020000000002</v>
      </c>
      <c r="T6247">
        <v>0.22636880000000001</v>
      </c>
      <c r="U6247">
        <v>0.41043089999999999</v>
      </c>
      <c r="V6247">
        <v>-0.1351472</v>
      </c>
      <c r="W6247">
        <v>0.2106856</v>
      </c>
      <c r="X6247">
        <v>0.96816670000000005</v>
      </c>
      <c r="Y6247">
        <v>-0.15705839999999999</v>
      </c>
      <c r="Z6247">
        <v>-6.8553650000000004E-3</v>
      </c>
      <c r="AA6247">
        <v>0.98756549999999999</v>
      </c>
      <c r="AB6247">
        <v>32</v>
      </c>
      <c r="AC6247">
        <v>58.143300000000004</v>
      </c>
      <c r="AD6247">
        <v>4.4141709999999996</v>
      </c>
      <c r="AE6247">
        <v>8.0060300000000009</v>
      </c>
      <c r="AF6247">
        <v>-9.2131401548485794</v>
      </c>
      <c r="AG6247">
        <v>4.4141709999999996</v>
      </c>
      <c r="AH6247">
        <v>57.629994420715903</v>
      </c>
      <c r="AI6247">
        <v>85.674691311709495</v>
      </c>
      <c r="AJ6247">
        <v>99.082852297610799</v>
      </c>
      <c r="AK6247">
        <v>58.5284812212129</v>
      </c>
      <c r="AL6247">
        <v>77.837466498760193</v>
      </c>
      <c r="AM6247">
        <v>97.946616446266006</v>
      </c>
      <c r="AN6247">
        <v>0.99999997335204405</v>
      </c>
    </row>
    <row r="6248" spans="1:40" x14ac:dyDescent="0.25">
      <c r="A6248" t="str">
        <f>"20190303162940894"</f>
        <v>20190303162940894</v>
      </c>
      <c r="B6248" t="str">
        <f>"1551601780887665"</f>
        <v>1551601780887665</v>
      </c>
      <c r="C6248" t="s">
        <v>40</v>
      </c>
      <c r="D6248">
        <v>4.6905919999999997</v>
      </c>
      <c r="E6248">
        <v>0.46041310000000002</v>
      </c>
      <c r="F6248" t="s">
        <v>57</v>
      </c>
      <c r="G6248">
        <v>-198.2047</v>
      </c>
      <c r="H6248" s="1">
        <v>-7.6419860000000007E-6</v>
      </c>
      <c r="I6248">
        <v>-58.810299999999998</v>
      </c>
      <c r="J6248">
        <v>-215.91390000000001</v>
      </c>
      <c r="K6248">
        <v>1.122066</v>
      </c>
      <c r="L6248">
        <v>-62.439540000000001</v>
      </c>
      <c r="M6248">
        <v>0.99970429999999999</v>
      </c>
      <c r="N6248">
        <v>-1.2010689999999999E-2</v>
      </c>
      <c r="O6248">
        <v>-2.11509E-2</v>
      </c>
      <c r="P6248">
        <v>0.97309650000000003</v>
      </c>
      <c r="Q6248">
        <v>0.1988384</v>
      </c>
      <c r="R6248">
        <v>0.1163911</v>
      </c>
      <c r="S6248">
        <v>3.0491790000000001</v>
      </c>
      <c r="T6248">
        <v>-0.19137970000000001</v>
      </c>
      <c r="U6248">
        <v>0.61849980000000004</v>
      </c>
      <c r="V6248">
        <v>-0.13733129999999999</v>
      </c>
      <c r="W6248">
        <v>0.21023020000000001</v>
      </c>
      <c r="X6248">
        <v>0.96795830000000005</v>
      </c>
      <c r="Y6248">
        <v>-0.2189564</v>
      </c>
      <c r="Z6248">
        <v>9.1876170000000004E-3</v>
      </c>
      <c r="AA6248">
        <v>0.97569139999999999</v>
      </c>
      <c r="AB6248">
        <v>32</v>
      </c>
      <c r="AC6248">
        <v>17.709199999999999</v>
      </c>
      <c r="AD6248">
        <v>-1.122073641986</v>
      </c>
      <c r="AE6248">
        <v>3.6292399999999998</v>
      </c>
      <c r="AF6248">
        <v>-3.9876567940838501</v>
      </c>
      <c r="AG6248">
        <v>-1.122073641986</v>
      </c>
      <c r="AH6248">
        <v>17.560812072125898</v>
      </c>
      <c r="AI6248">
        <v>93.565499949700893</v>
      </c>
      <c r="AJ6248">
        <v>102.793602911956</v>
      </c>
      <c r="AK6248">
        <v>18.0427984691391</v>
      </c>
      <c r="AL6248">
        <v>77.864156454303298</v>
      </c>
      <c r="AM6248">
        <v>98.075076192668902</v>
      </c>
      <c r="AN6248">
        <v>0.99999994674530801</v>
      </c>
    </row>
    <row r="6249" spans="1:40" x14ac:dyDescent="0.25">
      <c r="A6249" t="str">
        <f>"20190303162940906"</f>
        <v>20190303162940906</v>
      </c>
      <c r="B6249" t="str">
        <f>"1551601780898401"</f>
        <v>1551601780898401</v>
      </c>
      <c r="C6249" t="s">
        <v>40</v>
      </c>
      <c r="D6249">
        <v>4.6798869999999999</v>
      </c>
      <c r="E6249">
        <v>0.46189780000000003</v>
      </c>
      <c r="F6249" t="s">
        <v>57</v>
      </c>
      <c r="G6249">
        <v>-200.04499999999999</v>
      </c>
      <c r="H6249" s="1">
        <v>-5.8841599999999899E-6</v>
      </c>
      <c r="I6249">
        <v>-59.148330000000001</v>
      </c>
      <c r="J6249">
        <v>-215.75919999999999</v>
      </c>
      <c r="K6249">
        <v>1.1221019999999999</v>
      </c>
      <c r="L6249">
        <v>-62.442349999999998</v>
      </c>
      <c r="M6249">
        <v>0.99971480000000001</v>
      </c>
      <c r="N6249">
        <v>-1.2011829999999999E-2</v>
      </c>
      <c r="O6249">
        <v>-2.0644989999999998E-2</v>
      </c>
      <c r="P6249">
        <v>0.97286300000000003</v>
      </c>
      <c r="Q6249">
        <v>0.1984062</v>
      </c>
      <c r="R6249">
        <v>0.11904960000000001</v>
      </c>
      <c r="S6249">
        <v>3.0513150000000002</v>
      </c>
      <c r="T6249">
        <v>-0.21575510000000001</v>
      </c>
      <c r="U6249">
        <v>0.63284300000000004</v>
      </c>
      <c r="V6249">
        <v>-0.13951229999999901</v>
      </c>
      <c r="W6249">
        <v>0.20977889999999999</v>
      </c>
      <c r="X6249">
        <v>0.96774439999999995</v>
      </c>
      <c r="Y6249">
        <v>-0.22259000000000001</v>
      </c>
      <c r="Z6249">
        <v>1.0328489999999999E-2</v>
      </c>
      <c r="AA6249">
        <v>0.97485739999999999</v>
      </c>
      <c r="AB6249">
        <v>32</v>
      </c>
      <c r="AC6249">
        <v>15.7142</v>
      </c>
      <c r="AD6249">
        <v>-1.1221078841599901</v>
      </c>
      <c r="AE6249">
        <v>3.29401999999999</v>
      </c>
      <c r="AF6249">
        <v>-3.6001761195348401</v>
      </c>
      <c r="AG6249">
        <v>-1.1221078841599901</v>
      </c>
      <c r="AH6249">
        <v>15.566806345498501</v>
      </c>
      <c r="AI6249">
        <v>94.017266467342907</v>
      </c>
      <c r="AJ6249">
        <v>103.021997649197</v>
      </c>
      <c r="AK6249">
        <v>16.017048854068399</v>
      </c>
      <c r="AL6249">
        <v>77.890605029457205</v>
      </c>
      <c r="AM6249">
        <v>98.203375728026799</v>
      </c>
      <c r="AN6249">
        <v>1.00000004623392</v>
      </c>
    </row>
    <row r="6250" spans="1:40" x14ac:dyDescent="0.25">
      <c r="A6250" t="str">
        <f>"20190303162940915"</f>
        <v>20190303162940915</v>
      </c>
      <c r="B6250" t="str">
        <f>"1551601780908161"</f>
        <v>1551601780908161</v>
      </c>
      <c r="C6250" t="s">
        <v>40</v>
      </c>
      <c r="D6250">
        <v>4.6766819999999996</v>
      </c>
      <c r="E6250">
        <v>0.46300019999999997</v>
      </c>
      <c r="F6250" t="s">
        <v>57</v>
      </c>
      <c r="G6250">
        <v>-200.29400000000001</v>
      </c>
      <c r="H6250" s="1">
        <v>-5.7734740000000004E-6</v>
      </c>
      <c r="I6250">
        <v>-59.2536699999999</v>
      </c>
      <c r="J6250">
        <v>-215.60599999999999</v>
      </c>
      <c r="K6250">
        <v>1.1221460000000001</v>
      </c>
      <c r="L6250">
        <v>-62.445010000000003</v>
      </c>
      <c r="M6250">
        <v>0.99972559999999999</v>
      </c>
      <c r="N6250">
        <v>-1.2013070000000001E-2</v>
      </c>
      <c r="O6250">
        <v>-2.011191E-2</v>
      </c>
      <c r="P6250">
        <v>0.97264830000000002</v>
      </c>
      <c r="Q6250">
        <v>0.198183</v>
      </c>
      <c r="R6250">
        <v>0.1211578</v>
      </c>
      <c r="S6250">
        <v>3.0518489999999998</v>
      </c>
      <c r="T6250">
        <v>-0.2214322</v>
      </c>
      <c r="U6250">
        <v>0.62924190000000002</v>
      </c>
      <c r="V6250">
        <v>-0.14111850000000001</v>
      </c>
      <c r="W6250">
        <v>0.2095379</v>
      </c>
      <c r="X6250">
        <v>0.96756370000000003</v>
      </c>
      <c r="Y6250">
        <v>-0.22090580000000001</v>
      </c>
      <c r="Z6250">
        <v>1.046746E-2</v>
      </c>
      <c r="AA6250">
        <v>0.97523899999999997</v>
      </c>
      <c r="AB6250">
        <v>32</v>
      </c>
      <c r="AC6250">
        <v>15.3119999999999</v>
      </c>
      <c r="AD6250">
        <v>-1.1221517734740001</v>
      </c>
      <c r="AE6250">
        <v>3.1913399999999998</v>
      </c>
      <c r="AF6250">
        <v>-3.4807540037050599</v>
      </c>
      <c r="AG6250">
        <v>-1.1221517734740001</v>
      </c>
      <c r="AH6250">
        <v>15.166647924197401</v>
      </c>
      <c r="AI6250">
        <v>94.124651556127105</v>
      </c>
      <c r="AJ6250">
        <v>102.92558279099001</v>
      </c>
      <c r="AK6250">
        <v>15.601348733157</v>
      </c>
      <c r="AL6250">
        <v>77.904727080543907</v>
      </c>
      <c r="AM6250">
        <v>98.298041415182297</v>
      </c>
      <c r="AN6250">
        <v>1.0000000380681699</v>
      </c>
    </row>
    <row r="6251" spans="1:40" x14ac:dyDescent="0.25">
      <c r="A6251" t="str">
        <f>"20190303162940926"</f>
        <v>20190303162940926</v>
      </c>
      <c r="B6251" t="str">
        <f>"1551601780917921"</f>
        <v>1551601780917921</v>
      </c>
      <c r="C6251" t="s">
        <v>40</v>
      </c>
      <c r="D6251">
        <v>4.6498679999999997</v>
      </c>
      <c r="E6251">
        <v>0.4642577</v>
      </c>
      <c r="F6251" t="s">
        <v>57</v>
      </c>
      <c r="G6251">
        <v>-199.80629999999999</v>
      </c>
      <c r="H6251" s="1">
        <v>-7.6871889999999998E-6</v>
      </c>
      <c r="I6251">
        <v>-59.194760000000002</v>
      </c>
      <c r="J6251">
        <v>-215.4597</v>
      </c>
      <c r="K6251">
        <v>1.1221859999999999</v>
      </c>
      <c r="L6251">
        <v>-62.447479999999999</v>
      </c>
      <c r="M6251">
        <v>0.99973610000000002</v>
      </c>
      <c r="N6251">
        <v>-1.2014210000000001E-2</v>
      </c>
      <c r="O6251">
        <v>-1.958814E-2</v>
      </c>
      <c r="P6251">
        <v>0.97247989999999995</v>
      </c>
      <c r="Q6251">
        <v>0.19769680000000001</v>
      </c>
      <c r="R6251">
        <v>0.1232856</v>
      </c>
      <c r="S6251">
        <v>3.0503390000000001</v>
      </c>
      <c r="T6251">
        <v>-0.21664659999999999</v>
      </c>
      <c r="U6251">
        <v>0.62750240000000002</v>
      </c>
      <c r="V6251">
        <v>-0.1427525</v>
      </c>
      <c r="W6251">
        <v>0.20903479999999999</v>
      </c>
      <c r="X6251">
        <v>0.96743279999999998</v>
      </c>
      <c r="Y6251">
        <v>-0.2199873</v>
      </c>
      <c r="Z6251">
        <v>1.0202080000000001E-2</v>
      </c>
      <c r="AA6251">
        <v>0.97544940000000002</v>
      </c>
      <c r="AB6251">
        <v>32</v>
      </c>
      <c r="AC6251">
        <v>15.6534</v>
      </c>
      <c r="AD6251">
        <v>-1.1221936871889999</v>
      </c>
      <c r="AE6251">
        <v>3.2527200000000098</v>
      </c>
      <c r="AF6251">
        <v>-3.5412918882493698</v>
      </c>
      <c r="AG6251">
        <v>-1.1221936871889999</v>
      </c>
      <c r="AH6251">
        <v>15.510261920737699</v>
      </c>
      <c r="AI6251">
        <v>94.0347624269032</v>
      </c>
      <c r="AJ6251">
        <v>102.861271256967</v>
      </c>
      <c r="AK6251">
        <v>15.9489276053041</v>
      </c>
      <c r="AL6251">
        <v>77.934205219396901</v>
      </c>
      <c r="AM6251">
        <v>98.393882331457306</v>
      </c>
      <c r="AN6251">
        <v>1.00000002319156</v>
      </c>
    </row>
    <row r="6252" spans="1:40" x14ac:dyDescent="0.25">
      <c r="A6252" t="str">
        <f>"20190303162940938"</f>
        <v>20190303162940938</v>
      </c>
      <c r="B6252" t="str">
        <f>"1551601780927681"</f>
        <v>1551601780927681</v>
      </c>
      <c r="C6252" t="s">
        <v>40</v>
      </c>
      <c r="D6252">
        <v>4.6951989999999997</v>
      </c>
      <c r="E6252">
        <v>0.46542289999999997</v>
      </c>
      <c r="F6252" t="s">
        <v>57</v>
      </c>
      <c r="G6252">
        <v>-199.27850000000001</v>
      </c>
      <c r="H6252" s="1">
        <v>-7.6494360000000001E-6</v>
      </c>
      <c r="I6252">
        <v>-59.1331699999999</v>
      </c>
      <c r="J6252">
        <v>-215.29040000000001</v>
      </c>
      <c r="K6252">
        <v>1.122231</v>
      </c>
      <c r="L6252">
        <v>-62.450159999999997</v>
      </c>
      <c r="M6252">
        <v>0.99974830000000003</v>
      </c>
      <c r="N6252">
        <v>-1.201547E-2</v>
      </c>
      <c r="O6252">
        <v>-1.895082E-2</v>
      </c>
      <c r="P6252">
        <v>0.97221440000000003</v>
      </c>
      <c r="Q6252">
        <v>0.19765679999999999</v>
      </c>
      <c r="R6252">
        <v>0.12542410000000001</v>
      </c>
      <c r="S6252">
        <v>3.048721</v>
      </c>
      <c r="T6252">
        <v>-0.21143319999999999</v>
      </c>
      <c r="U6252">
        <v>0.62445069999999903</v>
      </c>
      <c r="V6252">
        <v>-0.1442899</v>
      </c>
      <c r="W6252">
        <v>0.20897460000000001</v>
      </c>
      <c r="X6252">
        <v>0.96721769999999996</v>
      </c>
      <c r="Y6252">
        <v>-0.21856400000000001</v>
      </c>
      <c r="Z6252">
        <v>9.8954349999999993E-3</v>
      </c>
      <c r="AA6252">
        <v>0.97577239999999998</v>
      </c>
      <c r="AB6252">
        <v>32</v>
      </c>
      <c r="AC6252">
        <v>16.011899999999901</v>
      </c>
      <c r="AD6252">
        <v>-1.1222386494359999</v>
      </c>
      <c r="AE6252">
        <v>3.3169900000000001</v>
      </c>
      <c r="AF6252">
        <v>-3.6028845764295201</v>
      </c>
      <c r="AG6252">
        <v>-1.1222386494359999</v>
      </c>
      <c r="AH6252">
        <v>15.871402992057201</v>
      </c>
      <c r="AI6252">
        <v>93.944523679612502</v>
      </c>
      <c r="AJ6252">
        <v>102.78966780827101</v>
      </c>
      <c r="AK6252">
        <v>16.3138477924015</v>
      </c>
      <c r="AL6252">
        <v>77.937732270546505</v>
      </c>
      <c r="AM6252">
        <v>98.484832463166597</v>
      </c>
      <c r="AN6252">
        <v>1.0000000189402201</v>
      </c>
    </row>
    <row r="6253" spans="1:40" x14ac:dyDescent="0.25">
      <c r="A6253" t="str">
        <f>"20190303162940952"</f>
        <v>20190303162940952</v>
      </c>
      <c r="B6253" t="str">
        <f>"1551601780938417"</f>
        <v>1551601780938417</v>
      </c>
      <c r="C6253" t="s">
        <v>40</v>
      </c>
      <c r="D6253">
        <v>4.6969940000000001</v>
      </c>
      <c r="E6253">
        <v>0.46612369999999997</v>
      </c>
      <c r="F6253" t="s">
        <v>57</v>
      </c>
      <c r="G6253">
        <v>-198.7397</v>
      </c>
      <c r="H6253" s="1">
        <v>-7.6104510000000004E-6</v>
      </c>
      <c r="I6253">
        <v>-59.071579999999997</v>
      </c>
      <c r="J6253">
        <v>-215.11429999999999</v>
      </c>
      <c r="K6253">
        <v>1.1222749999999999</v>
      </c>
      <c r="L6253">
        <v>-62.452849999999998</v>
      </c>
      <c r="M6253">
        <v>0.99976120000000002</v>
      </c>
      <c r="N6253">
        <v>-1.2016809999999999E-2</v>
      </c>
      <c r="O6253">
        <v>-1.8253749999999999E-2</v>
      </c>
      <c r="P6253">
        <v>0.97193030000000002</v>
      </c>
      <c r="Q6253">
        <v>0.19760459999999999</v>
      </c>
      <c r="R6253">
        <v>0.12768759999999901</v>
      </c>
      <c r="S6253">
        <v>3.047501</v>
      </c>
      <c r="T6253">
        <v>-0.20663860000000001</v>
      </c>
      <c r="U6253">
        <v>0.62210080000000001</v>
      </c>
      <c r="V6253">
        <v>-0.14589569999999999</v>
      </c>
      <c r="W6253">
        <v>0.2089009</v>
      </c>
      <c r="X6253">
        <v>0.96699270000000004</v>
      </c>
      <c r="Y6253">
        <v>-0.2172683</v>
      </c>
      <c r="Z6253">
        <v>9.61066E-3</v>
      </c>
      <c r="AA6253">
        <v>0.97606459999999995</v>
      </c>
      <c r="AB6253">
        <v>32</v>
      </c>
      <c r="AC6253">
        <v>16.374599999999901</v>
      </c>
      <c r="AD6253">
        <v>-1.122282610451</v>
      </c>
      <c r="AE6253">
        <v>3.38126999999999</v>
      </c>
      <c r="AF6253">
        <v>-3.6631223300740099</v>
      </c>
      <c r="AG6253">
        <v>-1.122282610451</v>
      </c>
      <c r="AH6253">
        <v>16.236992710391501</v>
      </c>
      <c r="AI6253">
        <v>93.857290906404302</v>
      </c>
      <c r="AJ6253">
        <v>102.713290891837</v>
      </c>
      <c r="AK6253">
        <v>16.6828629359625</v>
      </c>
      <c r="AL6253">
        <v>77.942050182149998</v>
      </c>
      <c r="AM6253">
        <v>98.579829108295399</v>
      </c>
      <c r="AN6253">
        <v>1.0000000115762899</v>
      </c>
    </row>
    <row r="6254" spans="1:40" x14ac:dyDescent="0.25">
      <c r="A6254" t="str">
        <f>"20190303162940974"</f>
        <v>20190303162940974</v>
      </c>
      <c r="B6254" t="str">
        <f>"1551601780968203"</f>
        <v>1551601780968203</v>
      </c>
      <c r="C6254" t="s">
        <v>40</v>
      </c>
      <c r="D6254">
        <v>4.7451109999999996</v>
      </c>
      <c r="E6254">
        <v>0.46815289999999998</v>
      </c>
      <c r="F6254" t="s">
        <v>57</v>
      </c>
      <c r="G6254">
        <v>-198.02520000000001</v>
      </c>
      <c r="H6254" s="1">
        <v>-7.5724999999999999E-6</v>
      </c>
      <c r="I6254">
        <v>-58.95073</v>
      </c>
      <c r="J6254">
        <v>-214.80719999999999</v>
      </c>
      <c r="K6254">
        <v>1.122358</v>
      </c>
      <c r="L6254">
        <v>-62.457120000000003</v>
      </c>
      <c r="M6254">
        <v>0.99978389999999995</v>
      </c>
      <c r="N6254">
        <v>-1.2019230000000001E-2</v>
      </c>
      <c r="O6254">
        <v>-1.6963949999999998E-2</v>
      </c>
      <c r="P6254">
        <v>0.97135199999999999</v>
      </c>
      <c r="Q6254">
        <v>0.19779730000000001</v>
      </c>
      <c r="R6254">
        <v>0.1317246</v>
      </c>
      <c r="S6254">
        <v>3.0453190000000001</v>
      </c>
      <c r="T6254">
        <v>-0.199993</v>
      </c>
      <c r="U6254">
        <v>0.62408450000000004</v>
      </c>
      <c r="V6254">
        <v>-0.14871479999999901</v>
      </c>
      <c r="W6254">
        <v>0.2090534</v>
      </c>
      <c r="X6254">
        <v>0.96653020000000001</v>
      </c>
      <c r="Y6254">
        <v>-0.21679399999999999</v>
      </c>
      <c r="Z6254">
        <v>9.2563520000000007E-3</v>
      </c>
      <c r="AA6254">
        <v>0.97617350000000003</v>
      </c>
      <c r="AB6254">
        <v>32</v>
      </c>
      <c r="AC6254">
        <v>16.781999999999901</v>
      </c>
      <c r="AD6254">
        <v>-1.1223655724999999</v>
      </c>
      <c r="AE6254">
        <v>3.5063899999999801</v>
      </c>
      <c r="AF6254">
        <v>-3.7744188047162202</v>
      </c>
      <c r="AG6254">
        <v>-1.1223655724999999</v>
      </c>
      <c r="AH6254">
        <v>16.6487462815337</v>
      </c>
      <c r="AI6254">
        <v>93.761555734338501</v>
      </c>
      <c r="AJ6254">
        <v>102.773543592761</v>
      </c>
      <c r="AK6254">
        <v>17.1080885705742</v>
      </c>
      <c r="AL6254">
        <v>77.933115421718696</v>
      </c>
      <c r="AM6254">
        <v>98.747195716750994</v>
      </c>
      <c r="AN6254">
        <v>1.0000000216513101</v>
      </c>
    </row>
    <row r="6255" spans="1:40" x14ac:dyDescent="0.25">
      <c r="A6255" t="str">
        <f>"20190303162940984"</f>
        <v>20190303162940984</v>
      </c>
      <c r="B6255" t="str">
        <f>"1551601780977963"</f>
        <v>1551601780977963</v>
      </c>
      <c r="C6255" t="s">
        <v>40</v>
      </c>
      <c r="D6255">
        <v>4.854679</v>
      </c>
      <c r="E6255">
        <v>0.46872390000000003</v>
      </c>
      <c r="F6255" t="s">
        <v>57</v>
      </c>
      <c r="G6255">
        <v>-196.14709999999999</v>
      </c>
      <c r="H6255" s="1">
        <v>-7.4678549999999902E-6</v>
      </c>
      <c r="I6255">
        <v>-58.647030000000001</v>
      </c>
      <c r="J6255">
        <v>-214.63409999999999</v>
      </c>
      <c r="K6255">
        <v>1.1223989999999999</v>
      </c>
      <c r="L6255">
        <v>-62.459350000000001</v>
      </c>
      <c r="M6255">
        <v>0.99979660000000004</v>
      </c>
      <c r="N6255">
        <v>-1.2020619999999999E-2</v>
      </c>
      <c r="O6255">
        <v>-1.6201090000000001E-2</v>
      </c>
      <c r="P6255">
        <v>0.97117299999999995</v>
      </c>
      <c r="Q6255">
        <v>0.19723779999999999</v>
      </c>
      <c r="R6255">
        <v>0.13386770000000001</v>
      </c>
      <c r="S6255">
        <v>3.041534</v>
      </c>
      <c r="T6255">
        <v>-0.18294199999999999</v>
      </c>
      <c r="U6255">
        <v>0.62103269999999899</v>
      </c>
      <c r="V6255">
        <v>-0.15013789999999999</v>
      </c>
      <c r="W6255">
        <v>0.2084733</v>
      </c>
      <c r="X6255">
        <v>0.96643539999999994</v>
      </c>
      <c r="Y6255">
        <v>-0.2154353</v>
      </c>
      <c r="Z6255">
        <v>8.4881550000000007E-3</v>
      </c>
      <c r="AA6255">
        <v>0.97648120000000005</v>
      </c>
      <c r="AB6255">
        <v>32</v>
      </c>
      <c r="AC6255">
        <v>18.486999999999899</v>
      </c>
      <c r="AD6255">
        <v>-1.1224064678550001</v>
      </c>
      <c r="AE6255">
        <v>3.8123199999999899</v>
      </c>
      <c r="AF6255">
        <v>-4.0968652656155804</v>
      </c>
      <c r="AG6255">
        <v>-1.1224064678550001</v>
      </c>
      <c r="AH6255">
        <v>18.357896269824199</v>
      </c>
      <c r="AI6255">
        <v>93.414925587452402</v>
      </c>
      <c r="AJ6255">
        <v>102.580347971734</v>
      </c>
      <c r="AK6255">
        <v>18.842941828104099</v>
      </c>
      <c r="AL6255">
        <v>77.967100600016096</v>
      </c>
      <c r="AM6255">
        <v>98.830440062792604</v>
      </c>
      <c r="AN6255">
        <v>0.99999994410122806</v>
      </c>
    </row>
    <row r="6256" spans="1:40" x14ac:dyDescent="0.25">
      <c r="A6256" t="str">
        <f>"20190303162940995"</f>
        <v>20190303162940995</v>
      </c>
      <c r="B6256" t="str">
        <f>"1551601780987723"</f>
        <v>1551601780987723</v>
      </c>
      <c r="C6256" t="s">
        <v>40</v>
      </c>
      <c r="D6256">
        <v>4.7424949999999999</v>
      </c>
      <c r="E6256">
        <v>0.46913149999999998</v>
      </c>
      <c r="F6256" t="s">
        <v>57</v>
      </c>
      <c r="G6256">
        <v>-195.38849999999999</v>
      </c>
      <c r="H6256" s="1">
        <v>-7.4292729999999996E-6</v>
      </c>
      <c r="I6256">
        <v>-58.513869999999997</v>
      </c>
      <c r="J6256">
        <v>-214.47970000000001</v>
      </c>
      <c r="K6256">
        <v>1.122436</v>
      </c>
      <c r="L6256">
        <v>-62.461150000000004</v>
      </c>
      <c r="M6256">
        <v>0.99980789999999997</v>
      </c>
      <c r="N6256">
        <v>-1.2021830000000001E-2</v>
      </c>
      <c r="O6256">
        <v>-1.548445E-2</v>
      </c>
      <c r="P6256">
        <v>0.97115390000000001</v>
      </c>
      <c r="Q6256">
        <v>0.1960199</v>
      </c>
      <c r="R6256">
        <v>0.13578109999999999</v>
      </c>
      <c r="S6256">
        <v>3.039139</v>
      </c>
      <c r="T6256">
        <v>-0.1772435</v>
      </c>
      <c r="U6256">
        <v>0.62304689999999996</v>
      </c>
      <c r="V6256">
        <v>-0.151373799999999</v>
      </c>
      <c r="W6256">
        <v>0.20723920000000001</v>
      </c>
      <c r="X6256">
        <v>0.96650809999999998</v>
      </c>
      <c r="Y6256">
        <v>-0.21553420000000001</v>
      </c>
      <c r="Z6256">
        <v>8.2347229999999993E-3</v>
      </c>
      <c r="AA6256">
        <v>0.97646160000000004</v>
      </c>
      <c r="AB6256">
        <v>32</v>
      </c>
      <c r="AC6256">
        <v>19.091200000000001</v>
      </c>
      <c r="AD6256">
        <v>-1.1224434292729999</v>
      </c>
      <c r="AE6256">
        <v>3.9472800000000001</v>
      </c>
      <c r="AF6256">
        <v>-4.2284275586198596</v>
      </c>
      <c r="AG6256">
        <v>-1.1224434292729999</v>
      </c>
      <c r="AH6256">
        <v>18.964916373007899</v>
      </c>
      <c r="AI6256">
        <v>93.306121599928204</v>
      </c>
      <c r="AJ6256">
        <v>102.569111930221</v>
      </c>
      <c r="AK6256">
        <v>19.462978495225201</v>
      </c>
      <c r="AL6256">
        <v>78.039388939455193</v>
      </c>
      <c r="AM6256">
        <v>98.901311766944104</v>
      </c>
      <c r="AN6256">
        <v>1.0000000103543401</v>
      </c>
    </row>
    <row r="6257" spans="1:40" x14ac:dyDescent="0.25">
      <c r="A6257" t="str">
        <f>"20190303162941007"</f>
        <v>20190303162941007</v>
      </c>
      <c r="B6257" t="str">
        <f>"1551601780998459"</f>
        <v>1551601780998459</v>
      </c>
      <c r="C6257" t="s">
        <v>40</v>
      </c>
      <c r="D6257">
        <v>4.762016</v>
      </c>
      <c r="E6257">
        <v>0.46960770000000002</v>
      </c>
      <c r="F6257" t="s">
        <v>57</v>
      </c>
      <c r="G6257">
        <v>-195.0111</v>
      </c>
      <c r="H6257" s="1">
        <v>-7.4085009999999997E-6</v>
      </c>
      <c r="I6257">
        <v>-58.452100000000002</v>
      </c>
      <c r="J6257">
        <v>-214.31979999999999</v>
      </c>
      <c r="K6257">
        <v>1.1224719999999999</v>
      </c>
      <c r="L6257">
        <v>-62.462949999999999</v>
      </c>
      <c r="M6257">
        <v>0.99981929999999997</v>
      </c>
      <c r="N6257">
        <v>-1.202305E-2</v>
      </c>
      <c r="O6257">
        <v>-1.472847E-2</v>
      </c>
      <c r="P6257">
        <v>0.97112989999999999</v>
      </c>
      <c r="Q6257">
        <v>0.19511500000000001</v>
      </c>
      <c r="R6257">
        <v>0.137248799999999</v>
      </c>
      <c r="S6257">
        <v>3.0370330000000001</v>
      </c>
      <c r="T6257">
        <v>-0.1750968</v>
      </c>
      <c r="U6257">
        <v>0.62539669999999903</v>
      </c>
      <c r="V6257">
        <v>-0.15212619999999999</v>
      </c>
      <c r="W6257">
        <v>0.20631869999999999</v>
      </c>
      <c r="X6257">
        <v>0.96658690000000003</v>
      </c>
      <c r="Y6257">
        <v>-0.21566389999999999</v>
      </c>
      <c r="Z6257">
        <v>8.1235500000000002E-3</v>
      </c>
      <c r="AA6257">
        <v>0.97643389999999997</v>
      </c>
      <c r="AB6257">
        <v>32</v>
      </c>
      <c r="AC6257">
        <v>19.308699999999899</v>
      </c>
      <c r="AD6257">
        <v>-1.1224794085009999</v>
      </c>
      <c r="AE6257">
        <v>4.0108499999999898</v>
      </c>
      <c r="AF6257">
        <v>-4.2809540326181299</v>
      </c>
      <c r="AG6257">
        <v>-1.1224794085009999</v>
      </c>
      <c r="AH6257">
        <v>19.185372525041199</v>
      </c>
      <c r="AI6257">
        <v>93.268196988988905</v>
      </c>
      <c r="AJ6257">
        <v>102.578709059833</v>
      </c>
      <c r="AK6257">
        <v>19.68921142089</v>
      </c>
      <c r="AL6257">
        <v>78.093294742550597</v>
      </c>
      <c r="AM6257">
        <v>98.944124435833203</v>
      </c>
      <c r="AN6257">
        <v>1.00000001097387</v>
      </c>
    </row>
    <row r="6258" spans="1:40" x14ac:dyDescent="0.25">
      <c r="A6258" t="str">
        <f>"20190303162941017"</f>
        <v>20190303162941017</v>
      </c>
      <c r="B6258" t="str">
        <f>"1551601781008220"</f>
        <v>1551601781008220</v>
      </c>
      <c r="C6258" t="s">
        <v>40</v>
      </c>
      <c r="D6258">
        <v>4.8096050000000004</v>
      </c>
      <c r="E6258">
        <v>0.46996270000000001</v>
      </c>
      <c r="F6258" t="s">
        <v>57</v>
      </c>
      <c r="G6258">
        <v>-194.43690000000001</v>
      </c>
      <c r="H6258" s="1">
        <v>-7.3752379999999999E-6</v>
      </c>
      <c r="I6258">
        <v>-58.362859999999998</v>
      </c>
      <c r="J6258">
        <v>-214.1651</v>
      </c>
      <c r="K6258">
        <v>1.1225099999999999</v>
      </c>
      <c r="L6258">
        <v>-62.464509999999997</v>
      </c>
      <c r="M6258">
        <v>0.9998302</v>
      </c>
      <c r="N6258">
        <v>-1.2024200000000001E-2</v>
      </c>
      <c r="O6258">
        <v>-1.397266E-2</v>
      </c>
      <c r="P6258">
        <v>0.97107790000000005</v>
      </c>
      <c r="Q6258">
        <v>0.1938761</v>
      </c>
      <c r="R6258">
        <v>0.1393557</v>
      </c>
      <c r="S6258">
        <v>3.0351560000000002</v>
      </c>
      <c r="T6258">
        <v>-0.17134820000000001</v>
      </c>
      <c r="U6258">
        <v>0.62588500000000002</v>
      </c>
      <c r="V6258">
        <v>-0.15351509999999999</v>
      </c>
      <c r="W6258">
        <v>0.20506340000000001</v>
      </c>
      <c r="X6258">
        <v>0.96663449999999995</v>
      </c>
      <c r="Y6258">
        <v>-0.21521380000000001</v>
      </c>
      <c r="Z6258">
        <v>7.9297789999999996E-3</v>
      </c>
      <c r="AA6258">
        <v>0.97653480000000004</v>
      </c>
      <c r="AB6258">
        <v>32</v>
      </c>
      <c r="AC6258">
        <v>19.728199999999902</v>
      </c>
      <c r="AD6258">
        <v>-1.122517375238</v>
      </c>
      <c r="AE6258">
        <v>4.1016499999999896</v>
      </c>
      <c r="AF6258">
        <v>-4.3633836814871696</v>
      </c>
      <c r="AG6258">
        <v>-1.122517375238</v>
      </c>
      <c r="AH6258">
        <v>19.6081075854995</v>
      </c>
      <c r="AI6258">
        <v>93.198404191587201</v>
      </c>
      <c r="AJ6258">
        <v>102.545587464449</v>
      </c>
      <c r="AK6258">
        <v>20.119071685694198</v>
      </c>
      <c r="AL6258">
        <v>78.166790394978804</v>
      </c>
      <c r="AM6258">
        <v>99.0240085565855</v>
      </c>
      <c r="AN6258">
        <v>1.0000000702689</v>
      </c>
    </row>
    <row r="6259" spans="1:40" x14ac:dyDescent="0.25">
      <c r="A6259" t="str">
        <f>"20190303162941027"</f>
        <v>20190303162941027</v>
      </c>
      <c r="B6259" t="str">
        <f>"1551601781017979"</f>
        <v>1551601781017979</v>
      </c>
      <c r="C6259" t="s">
        <v>40</v>
      </c>
      <c r="D6259">
        <v>4.8064859999999996</v>
      </c>
      <c r="E6259">
        <v>0.47028619999999999</v>
      </c>
      <c r="F6259" t="s">
        <v>57</v>
      </c>
      <c r="G6259">
        <v>-194.14400000000001</v>
      </c>
      <c r="H6259" s="1">
        <v>-7.36121499999999E-6</v>
      </c>
      <c r="I6259">
        <v>-58.308959999999999</v>
      </c>
      <c r="J6259">
        <v>-214.02930000000001</v>
      </c>
      <c r="K6259">
        <v>1.122539</v>
      </c>
      <c r="L6259">
        <v>-62.465760000000003</v>
      </c>
      <c r="M6259">
        <v>0.99983940000000004</v>
      </c>
      <c r="N6259">
        <v>-1.202517E-2</v>
      </c>
      <c r="O6259">
        <v>-1.329666E-2</v>
      </c>
      <c r="P6259">
        <v>0.97099199999999997</v>
      </c>
      <c r="Q6259">
        <v>0.19317999999999999</v>
      </c>
      <c r="R6259">
        <v>0.1409117</v>
      </c>
      <c r="S6259">
        <v>3.032959</v>
      </c>
      <c r="T6259">
        <v>-0.17004820000000001</v>
      </c>
      <c r="U6259">
        <v>0.62951659999999998</v>
      </c>
      <c r="V6259">
        <v>-0.1544276</v>
      </c>
      <c r="W6259">
        <v>0.20435400000000001</v>
      </c>
      <c r="X6259">
        <v>0.96663929999999998</v>
      </c>
      <c r="Y6259">
        <v>-0.2158196</v>
      </c>
      <c r="Z6259">
        <v>7.8736150000000005E-3</v>
      </c>
      <c r="AA6259">
        <v>0.97640150000000003</v>
      </c>
      <c r="AB6259">
        <v>32</v>
      </c>
      <c r="AC6259">
        <v>19.885300000000001</v>
      </c>
      <c r="AD6259">
        <v>-1.122546361215</v>
      </c>
      <c r="AE6259">
        <v>4.1567999999999898</v>
      </c>
      <c r="AF6259">
        <v>-4.4074024986813196</v>
      </c>
      <c r="AG6259">
        <v>-1.122546361215</v>
      </c>
      <c r="AH6259">
        <v>19.767908856492902</v>
      </c>
      <c r="AI6259">
        <v>93.172395999990499</v>
      </c>
      <c r="AJ6259">
        <v>102.56894438505</v>
      </c>
      <c r="AK6259">
        <v>20.284366583087301</v>
      </c>
      <c r="AL6259">
        <v>78.208314419959805</v>
      </c>
      <c r="AM6259">
        <v>99.076712929667494</v>
      </c>
      <c r="AN6259">
        <v>0.99999998863112405</v>
      </c>
    </row>
    <row r="6260" spans="1:40" x14ac:dyDescent="0.25">
      <c r="A6260" t="str">
        <f>"20190303162941038"</f>
        <v>20190303162941038</v>
      </c>
      <c r="B6260" t="str">
        <f>"1551601781027739"</f>
        <v>1551601781027739</v>
      </c>
      <c r="C6260" t="s">
        <v>40</v>
      </c>
      <c r="D6260">
        <v>4.8363319999999996</v>
      </c>
      <c r="E6260">
        <v>0.4706111</v>
      </c>
      <c r="F6260" t="s">
        <v>57</v>
      </c>
      <c r="G6260">
        <v>-193.5838</v>
      </c>
      <c r="H6260" s="1">
        <v>-7.3352660000000002E-6</v>
      </c>
      <c r="I6260">
        <v>-58.203380000000003</v>
      </c>
      <c r="J6260">
        <v>-213.8639</v>
      </c>
      <c r="K6260">
        <v>1.122574</v>
      </c>
      <c r="L6260">
        <v>-62.46716</v>
      </c>
      <c r="M6260">
        <v>0.99985029999999997</v>
      </c>
      <c r="N6260">
        <v>-1.20262999999999E-2</v>
      </c>
      <c r="O6260">
        <v>-1.245458E-2</v>
      </c>
      <c r="P6260">
        <v>0.97074530000000003</v>
      </c>
      <c r="Q6260">
        <v>0.19310340000000001</v>
      </c>
      <c r="R6260">
        <v>0.1427059</v>
      </c>
      <c r="S6260">
        <v>3.0310359999999998</v>
      </c>
      <c r="T6260">
        <v>-0.16641710000000001</v>
      </c>
      <c r="U6260">
        <v>0.63189700000000004</v>
      </c>
      <c r="V6260">
        <v>-0.15542020000000001</v>
      </c>
      <c r="W6260">
        <v>0.20426059999999999</v>
      </c>
      <c r="X6260">
        <v>0.96649989999999997</v>
      </c>
      <c r="Y6260">
        <v>-0.2158717</v>
      </c>
      <c r="Z6260">
        <v>7.7001029999999998E-3</v>
      </c>
      <c r="AA6260">
        <v>0.97639140000000002</v>
      </c>
      <c r="AB6260">
        <v>32</v>
      </c>
      <c r="AC6260">
        <v>20.280100000000001</v>
      </c>
      <c r="AD6260">
        <v>-1.1225813352659999</v>
      </c>
      <c r="AE6260">
        <v>4.2637799999999899</v>
      </c>
      <c r="AF6260">
        <v>-4.5028347430248399</v>
      </c>
      <c r="AG6260">
        <v>-1.1225813352659999</v>
      </c>
      <c r="AH6260">
        <v>20.1662447593751</v>
      </c>
      <c r="AI6260">
        <v>93.109737283134294</v>
      </c>
      <c r="AJ6260">
        <v>102.58686177960401</v>
      </c>
      <c r="AK6260">
        <v>20.693311413891699</v>
      </c>
      <c r="AL6260">
        <v>78.213780623097094</v>
      </c>
      <c r="AM6260">
        <v>99.135369271815307</v>
      </c>
      <c r="AN6260">
        <v>0.99999994399020298</v>
      </c>
    </row>
    <row r="6261" spans="1:40" x14ac:dyDescent="0.25">
      <c r="A6261" t="str">
        <f>"20190303162941050"</f>
        <v>20190303162941050</v>
      </c>
      <c r="B6261" t="str">
        <f>"1551601781038475"</f>
        <v>1551601781038475</v>
      </c>
      <c r="C6261" t="s">
        <v>40</v>
      </c>
      <c r="D6261">
        <v>4.9152120000000004</v>
      </c>
      <c r="E6261">
        <v>0.47088229999999998</v>
      </c>
      <c r="F6261" t="s">
        <v>57</v>
      </c>
      <c r="G6261">
        <v>-192.8973</v>
      </c>
      <c r="H6261" s="1">
        <v>-7.3048869999999903E-6</v>
      </c>
      <c r="I6261">
        <v>-58.069929999999999</v>
      </c>
      <c r="J6261">
        <v>-213.71080000000001</v>
      </c>
      <c r="K6261">
        <v>1.1226050000000001</v>
      </c>
      <c r="L6261">
        <v>-62.468319999999999</v>
      </c>
      <c r="M6261">
        <v>0.99985970000000002</v>
      </c>
      <c r="N6261">
        <v>-1.202724E-2</v>
      </c>
      <c r="O6261">
        <v>-1.1659879999999999E-2</v>
      </c>
      <c r="P6261">
        <v>0.97049079999999999</v>
      </c>
      <c r="Q6261">
        <v>0.19299160000000001</v>
      </c>
      <c r="R6261">
        <v>0.14457590000000001</v>
      </c>
      <c r="S6261">
        <v>3.0292659999999998</v>
      </c>
      <c r="T6261">
        <v>-0.16219120000000001</v>
      </c>
      <c r="U6261">
        <v>0.63531490000000002</v>
      </c>
      <c r="V6261">
        <v>-0.15653129999999901</v>
      </c>
      <c r="W6261">
        <v>0.2041337</v>
      </c>
      <c r="X6261">
        <v>0.96634750000000003</v>
      </c>
      <c r="Y6261">
        <v>-0.2162829</v>
      </c>
      <c r="Z6261">
        <v>7.5182579999999999E-3</v>
      </c>
      <c r="AA6261">
        <v>0.9763018</v>
      </c>
      <c r="AB6261">
        <v>32</v>
      </c>
      <c r="AC6261">
        <v>20.813500000000001</v>
      </c>
      <c r="AD6261">
        <v>-1.12261230488699</v>
      </c>
      <c r="AE6261">
        <v>4.3983899999999903</v>
      </c>
      <c r="AF6261">
        <v>-4.6279035988264203</v>
      </c>
      <c r="AG6261">
        <v>-1.12261230488699</v>
      </c>
      <c r="AH6261">
        <v>20.703142228265801</v>
      </c>
      <c r="AI6261">
        <v>93.029166434229097</v>
      </c>
      <c r="AJ6261">
        <v>102.600535148977</v>
      </c>
      <c r="AK6261">
        <v>21.243771986888699</v>
      </c>
      <c r="AL6261">
        <v>78.221209256464405</v>
      </c>
      <c r="AM6261">
        <v>99.2009912820007</v>
      </c>
      <c r="AN6261">
        <v>1.00000005305581</v>
      </c>
    </row>
    <row r="6262" spans="1:40" x14ac:dyDescent="0.25">
      <c r="A6262" t="str">
        <f>"20190303162941060"</f>
        <v>20190303162941060</v>
      </c>
      <c r="B6262" t="str">
        <f>"1551601781048236"</f>
        <v>1551601781048236</v>
      </c>
      <c r="C6262" t="s">
        <v>40</v>
      </c>
      <c r="D6262">
        <v>4.8412280000000001</v>
      </c>
      <c r="E6262">
        <v>0.47111199999999998</v>
      </c>
      <c r="F6262" t="s">
        <v>57</v>
      </c>
      <c r="G6262">
        <v>-192.32990000000001</v>
      </c>
      <c r="H6262" s="1">
        <v>-7.2818600000000003E-6</v>
      </c>
      <c r="I6262">
        <v>-57.955710000000003</v>
      </c>
      <c r="J6262">
        <v>-213.5515</v>
      </c>
      <c r="K6262">
        <v>1.1226320000000001</v>
      </c>
      <c r="L6262">
        <v>-62.469389999999997</v>
      </c>
      <c r="M6262">
        <v>0.99986900000000001</v>
      </c>
      <c r="N6262">
        <v>-1.202814E-2</v>
      </c>
      <c r="O6262">
        <v>-1.0823360000000001E-2</v>
      </c>
      <c r="P6262">
        <v>0.97019480000000002</v>
      </c>
      <c r="Q6262">
        <v>0.1929128</v>
      </c>
      <c r="R6262">
        <v>0.1466519</v>
      </c>
      <c r="S6262">
        <v>3.0276339999999999</v>
      </c>
      <c r="T6262">
        <v>-0.15896729999999901</v>
      </c>
      <c r="U6262">
        <v>0.63900760000000001</v>
      </c>
      <c r="V6262">
        <v>-0.15780659999999999</v>
      </c>
      <c r="W6262">
        <v>0.20403840000000001</v>
      </c>
      <c r="X6262">
        <v>0.96616009999999997</v>
      </c>
      <c r="Y6262">
        <v>-0.21672530000000001</v>
      </c>
      <c r="Z6262">
        <v>7.3758080000000002E-3</v>
      </c>
      <c r="AA6262">
        <v>0.97620479999999998</v>
      </c>
      <c r="AB6262">
        <v>32</v>
      </c>
      <c r="AC6262">
        <v>21.221599999999899</v>
      </c>
      <c r="AD6262">
        <v>-1.1226392818599999</v>
      </c>
      <c r="AE6262">
        <v>4.5136799999999999</v>
      </c>
      <c r="AF6262">
        <v>-4.73045603110371</v>
      </c>
      <c r="AG6262">
        <v>-1.1226392818599999</v>
      </c>
      <c r="AH6262">
        <v>21.114967405665499</v>
      </c>
      <c r="AI6262">
        <v>92.969949789854994</v>
      </c>
      <c r="AJ6262">
        <v>102.62765418283099</v>
      </c>
      <c r="AK6262">
        <v>21.667472897449301</v>
      </c>
      <c r="AL6262">
        <v>78.226785889175204</v>
      </c>
      <c r="AM6262">
        <v>99.276424223016093</v>
      </c>
      <c r="AN6262">
        <v>0.99999996525506396</v>
      </c>
    </row>
    <row r="6263" spans="1:40" x14ac:dyDescent="0.25">
      <c r="A6263" t="str">
        <f>"20190303162941073"</f>
        <v>20190303162941073</v>
      </c>
      <c r="B6263" t="str">
        <f>"1551601781057995"</f>
        <v>1551601781057995</v>
      </c>
      <c r="C6263" t="s">
        <v>40</v>
      </c>
      <c r="D6263">
        <v>4.9723059999999997</v>
      </c>
      <c r="E6263">
        <v>0.47140989999999999</v>
      </c>
      <c r="F6263" t="s">
        <v>57</v>
      </c>
      <c r="G6263">
        <v>-191.67070000000001</v>
      </c>
      <c r="H6263" s="1">
        <v>-7.2668889999999997E-6</v>
      </c>
      <c r="I6263">
        <v>-57.815750000000001</v>
      </c>
      <c r="J6263">
        <v>-213.3801</v>
      </c>
      <c r="K6263">
        <v>1.122655</v>
      </c>
      <c r="L6263">
        <v>-62.470370000000003</v>
      </c>
      <c r="M6263">
        <v>0.99987859999999995</v>
      </c>
      <c r="N6263">
        <v>-1.202898E-2</v>
      </c>
      <c r="O6263">
        <v>-9.9065330000000004E-3</v>
      </c>
      <c r="P6263">
        <v>0.96984320000000002</v>
      </c>
      <c r="Q6263">
        <v>0.1927111</v>
      </c>
      <c r="R6263">
        <v>0.14921980000000001</v>
      </c>
      <c r="S6263">
        <v>3.0257719999999999</v>
      </c>
      <c r="T6263">
        <v>-0.1552432</v>
      </c>
      <c r="U6263">
        <v>0.64352419999999899</v>
      </c>
      <c r="V6263">
        <v>-0.15949449999999901</v>
      </c>
      <c r="W6263">
        <v>0.20381949999999999</v>
      </c>
      <c r="X6263">
        <v>0.96592920000000004</v>
      </c>
      <c r="Y6263">
        <v>-0.2173609</v>
      </c>
      <c r="Z6263">
        <v>7.2184279999999998E-3</v>
      </c>
      <c r="AA6263">
        <v>0.97606459999999995</v>
      </c>
      <c r="AB6263">
        <v>32</v>
      </c>
      <c r="AC6263">
        <v>21.709399999999899</v>
      </c>
      <c r="AD6263">
        <v>-1.1226622668889901</v>
      </c>
      <c r="AE6263">
        <v>4.6546199999999898</v>
      </c>
      <c r="AF6263">
        <v>-4.8570538688859504</v>
      </c>
      <c r="AG6263">
        <v>-1.1226622668889901</v>
      </c>
      <c r="AH6263">
        <v>21.606977037247699</v>
      </c>
      <c r="AI6263">
        <v>92.902028738226605</v>
      </c>
      <c r="AJ6263">
        <v>102.6689849094</v>
      </c>
      <c r="AK6263">
        <v>22.174598069388001</v>
      </c>
      <c r="AL6263">
        <v>78.239598187590801</v>
      </c>
      <c r="AM6263">
        <v>99.376093855824394</v>
      </c>
      <c r="AN6263">
        <v>1.0000000517615599</v>
      </c>
    </row>
    <row r="6264" spans="1:40" x14ac:dyDescent="0.25">
      <c r="A6264" t="str">
        <f>"20190303162941084"</f>
        <v>20190303162941084</v>
      </c>
      <c r="B6264" t="str">
        <f>"1551601781067755"</f>
        <v>1551601781067755</v>
      </c>
      <c r="C6264" t="s">
        <v>40</v>
      </c>
      <c r="D6264">
        <v>4.9792529999999999</v>
      </c>
      <c r="E6264">
        <v>0.47165030000000002</v>
      </c>
      <c r="F6264" t="s">
        <v>57</v>
      </c>
      <c r="G6264">
        <v>-191.12790000000001</v>
      </c>
      <c r="H6264" s="1">
        <v>-7.2558909999999998E-6</v>
      </c>
      <c r="I6264">
        <v>-57.696869999999997</v>
      </c>
      <c r="J6264">
        <v>-213.22540000000001</v>
      </c>
      <c r="K6264">
        <v>1.122673</v>
      </c>
      <c r="L6264">
        <v>-62.471159999999998</v>
      </c>
      <c r="M6264">
        <v>0.99988650000000001</v>
      </c>
      <c r="N6264">
        <v>-1.2029679999999999E-2</v>
      </c>
      <c r="O6264">
        <v>-9.0753350000000003E-3</v>
      </c>
      <c r="P6264">
        <v>0.96949269999999999</v>
      </c>
      <c r="Q6264">
        <v>0.19228600000000001</v>
      </c>
      <c r="R6264">
        <v>0.15201999999999999</v>
      </c>
      <c r="S6264">
        <v>3.0237579999999999</v>
      </c>
      <c r="T6264">
        <v>-0.152554</v>
      </c>
      <c r="U6264">
        <v>0.64865109999999904</v>
      </c>
      <c r="V6264">
        <v>-0.16149530000000001</v>
      </c>
      <c r="W6264">
        <v>0.2033778</v>
      </c>
      <c r="X6264">
        <v>0.96568980000000004</v>
      </c>
      <c r="Y6264">
        <v>-0.2182743</v>
      </c>
      <c r="Z6264">
        <v>7.1142559999999898E-3</v>
      </c>
      <c r="AA6264">
        <v>0.97586150000000005</v>
      </c>
      <c r="AB6264">
        <v>32</v>
      </c>
      <c r="AC6264">
        <v>22.0975</v>
      </c>
      <c r="AD6264">
        <v>-1.1226802558910001</v>
      </c>
      <c r="AE6264">
        <v>4.7742899999999997</v>
      </c>
      <c r="AF6264">
        <v>-4.9624122364723897</v>
      </c>
      <c r="AG6264">
        <v>-1.1226802558910001</v>
      </c>
      <c r="AH6264">
        <v>21.999006534236099</v>
      </c>
      <c r="AI6264">
        <v>92.849967556493894</v>
      </c>
      <c r="AJ6264">
        <v>102.711703362138</v>
      </c>
      <c r="AK6264">
        <v>22.5796863276491</v>
      </c>
      <c r="AL6264">
        <v>78.265446842541905</v>
      </c>
      <c r="AM6264">
        <v>99.493896466311</v>
      </c>
      <c r="AN6264">
        <v>1.0000000256394801</v>
      </c>
    </row>
    <row r="6265" spans="1:40" x14ac:dyDescent="0.25">
      <c r="A6265" t="str">
        <f>"20190303162941095"</f>
        <v>20190303162941095</v>
      </c>
      <c r="B6265" t="str">
        <f>"1551601781088251"</f>
        <v>1551601781088251</v>
      </c>
      <c r="C6265" t="s">
        <v>40</v>
      </c>
      <c r="D6265">
        <v>4.8482320000000003</v>
      </c>
      <c r="E6265">
        <v>0.4721339</v>
      </c>
      <c r="F6265" t="s">
        <v>57</v>
      </c>
      <c r="G6265">
        <v>-190.60050000000001</v>
      </c>
      <c r="H6265" s="1">
        <v>-7.2520929999999996E-6</v>
      </c>
      <c r="I6265">
        <v>-57.562399999999997</v>
      </c>
      <c r="J6265">
        <v>-213.06389999999999</v>
      </c>
      <c r="K6265">
        <v>1.1226849999999999</v>
      </c>
      <c r="L6265">
        <v>-62.471739999999997</v>
      </c>
      <c r="M6265">
        <v>0.99989410000000001</v>
      </c>
      <c r="N6265">
        <v>-1.203042E-2</v>
      </c>
      <c r="O6265">
        <v>-8.1944689999999994E-3</v>
      </c>
      <c r="P6265">
        <v>0.96915130000000005</v>
      </c>
      <c r="Q6265">
        <v>0.1916225</v>
      </c>
      <c r="R6265">
        <v>0.155006</v>
      </c>
      <c r="S6265">
        <v>3.021347</v>
      </c>
      <c r="T6265">
        <v>-0.14992329999999901</v>
      </c>
      <c r="U6265">
        <v>0.65551759999999903</v>
      </c>
      <c r="V6265">
        <v>-0.1636321</v>
      </c>
      <c r="W6265">
        <v>0.2026985</v>
      </c>
      <c r="X6265">
        <v>0.96547289999999997</v>
      </c>
      <c r="Y6265">
        <v>-0.2197018</v>
      </c>
      <c r="Z6265">
        <v>7.0272420000000004E-3</v>
      </c>
      <c r="AA6265">
        <v>0.97554180000000001</v>
      </c>
      <c r="AB6265">
        <v>32</v>
      </c>
      <c r="AC6265">
        <v>22.463399999999901</v>
      </c>
      <c r="AD6265">
        <v>-1.1226922520929901</v>
      </c>
      <c r="AE6265">
        <v>4.9093400000000003</v>
      </c>
      <c r="AF6265">
        <v>-5.0811506018586297</v>
      </c>
      <c r="AG6265">
        <v>-1.1226922520929901</v>
      </c>
      <c r="AH6265">
        <v>22.369085311516699</v>
      </c>
      <c r="AI6265">
        <v>92.801973188789304</v>
      </c>
      <c r="AJ6265">
        <v>102.797610859969</v>
      </c>
      <c r="AK6265">
        <v>22.966377751086199</v>
      </c>
      <c r="AL6265">
        <v>78.305195894732506</v>
      </c>
      <c r="AM6265">
        <v>99.619302377777302</v>
      </c>
      <c r="AN6265">
        <v>1.0000000333435299</v>
      </c>
    </row>
    <row r="6266" spans="1:40" x14ac:dyDescent="0.25">
      <c r="A6266" t="str">
        <f>"20190303162941107"</f>
        <v>20190303162941107</v>
      </c>
      <c r="B6266" t="str">
        <f>"1551601781098011"</f>
        <v>1551601781098011</v>
      </c>
      <c r="C6266" t="s">
        <v>40</v>
      </c>
      <c r="D6266">
        <v>4.8225689999999997</v>
      </c>
      <c r="E6266">
        <v>0.47235470000000002</v>
      </c>
      <c r="F6266" t="s">
        <v>57</v>
      </c>
      <c r="G6266">
        <v>-189.81039999999999</v>
      </c>
      <c r="H6266" s="1">
        <v>-1.1982839999999999E-5</v>
      </c>
      <c r="I6266">
        <v>-57.379190000000001</v>
      </c>
      <c r="J6266">
        <v>-212.89680000000001</v>
      </c>
      <c r="K6266">
        <v>1.1226989999999999</v>
      </c>
      <c r="L6266">
        <v>-62.472259999999999</v>
      </c>
      <c r="M6266">
        <v>0.99990120000000005</v>
      </c>
      <c r="N6266">
        <v>-1.2031109999999999E-2</v>
      </c>
      <c r="O6266">
        <v>-7.2796359999999999E-3</v>
      </c>
      <c r="P6266">
        <v>0.9688099</v>
      </c>
      <c r="Q6266">
        <v>0.1908321</v>
      </c>
      <c r="R6266">
        <v>0.15808469999999999</v>
      </c>
      <c r="S6266">
        <v>3.01857</v>
      </c>
      <c r="T6266">
        <v>-0.14573900000000001</v>
      </c>
      <c r="U6266">
        <v>0.66107179999999999</v>
      </c>
      <c r="V6266">
        <v>-0.165827799999999</v>
      </c>
      <c r="W6266">
        <v>0.20189199999999999</v>
      </c>
      <c r="X6266">
        <v>0.96526719999999999</v>
      </c>
      <c r="Y6266">
        <v>-0.2207238</v>
      </c>
      <c r="Z6266">
        <v>6.8680199999999999E-3</v>
      </c>
      <c r="AA6266">
        <v>0.97531219999999996</v>
      </c>
      <c r="AB6266">
        <v>32</v>
      </c>
      <c r="AC6266">
        <v>23.086400000000001</v>
      </c>
      <c r="AD6266">
        <v>-1.1227109828399999</v>
      </c>
      <c r="AE6266">
        <v>5.0930699999999902</v>
      </c>
      <c r="AF6266">
        <v>-5.2491698349950804</v>
      </c>
      <c r="AG6266">
        <v>-1.1227109828399999</v>
      </c>
      <c r="AH6266">
        <v>22.996847294011602</v>
      </c>
      <c r="AI6266">
        <v>92.724996782928002</v>
      </c>
      <c r="AJ6266">
        <v>102.857828439461</v>
      </c>
      <c r="AK6266">
        <v>23.615021688994901</v>
      </c>
      <c r="AL6266">
        <v>78.352380145851001</v>
      </c>
      <c r="AM6266">
        <v>99.747956676333004</v>
      </c>
      <c r="AN6266">
        <v>1.0000000031563401</v>
      </c>
    </row>
    <row r="6267" spans="1:40" x14ac:dyDescent="0.25">
      <c r="A6267" t="str">
        <f>"20190303162941118"</f>
        <v>20190303162941118</v>
      </c>
      <c r="B6267" t="str">
        <f>"1551601781107771"</f>
        <v>1551601781107771</v>
      </c>
      <c r="C6267" t="s">
        <v>40</v>
      </c>
      <c r="D6267">
        <v>4.778429</v>
      </c>
      <c r="E6267">
        <v>0.47254790000000002</v>
      </c>
      <c r="F6267" t="s">
        <v>57</v>
      </c>
      <c r="G6267">
        <v>-189.6157</v>
      </c>
      <c r="H6267" s="1">
        <v>-1.200367E-5</v>
      </c>
      <c r="I6267">
        <v>-57.306939999999997</v>
      </c>
      <c r="J6267">
        <v>-212.73230000000001</v>
      </c>
      <c r="K6267">
        <v>1.1227119999999999</v>
      </c>
      <c r="L6267">
        <v>-62.4726</v>
      </c>
      <c r="M6267">
        <v>0.9999074</v>
      </c>
      <c r="N6267">
        <v>-1.2031729999999999E-2</v>
      </c>
      <c r="O6267">
        <v>-6.3729399999999997E-3</v>
      </c>
      <c r="P6267">
        <v>0.96842150000000005</v>
      </c>
      <c r="Q6267">
        <v>0.19018280000000001</v>
      </c>
      <c r="R6267">
        <v>0.1612161</v>
      </c>
      <c r="S6267">
        <v>3.016022</v>
      </c>
      <c r="T6267">
        <v>-0.1454453</v>
      </c>
      <c r="U6267">
        <v>0.6691589</v>
      </c>
      <c r="V6267">
        <v>-0.1680836</v>
      </c>
      <c r="W6267">
        <v>0.20122689999999999</v>
      </c>
      <c r="X6267">
        <v>0.96501590000000004</v>
      </c>
      <c r="Y6267">
        <v>-0.22250410000000001</v>
      </c>
      <c r="Z6267">
        <v>6.8810529999999998E-3</v>
      </c>
      <c r="AA6267">
        <v>0.97490750000000004</v>
      </c>
      <c r="AB6267">
        <v>32</v>
      </c>
      <c r="AC6267">
        <v>23.116599999999998</v>
      </c>
      <c r="AD6267">
        <v>-1.1227240036699999</v>
      </c>
      <c r="AE6267">
        <v>5.1656599999999901</v>
      </c>
      <c r="AF6267">
        <v>-5.3009769903336403</v>
      </c>
      <c r="AG6267">
        <v>-1.1227240036699999</v>
      </c>
      <c r="AH6267">
        <v>23.031463995238099</v>
      </c>
      <c r="AI6267">
        <v>92.7198110950103</v>
      </c>
      <c r="AJ6267">
        <v>102.961601448607</v>
      </c>
      <c r="AK6267">
        <v>23.6602874032504</v>
      </c>
      <c r="AL6267">
        <v>78.391286315523899</v>
      </c>
      <c r="AM6267">
        <v>99.880487362300499</v>
      </c>
      <c r="AN6267">
        <v>1.0000000245626799</v>
      </c>
    </row>
    <row r="6268" spans="1:40" x14ac:dyDescent="0.25">
      <c r="A6268" t="str">
        <f>"20190303162941128"</f>
        <v>20190303162941128</v>
      </c>
      <c r="B6268" t="str">
        <f>"1551601781118509"</f>
        <v>1551601781118509</v>
      </c>
      <c r="C6268" t="s">
        <v>40</v>
      </c>
      <c r="D6268">
        <v>4.7919450000000001</v>
      </c>
      <c r="E6268">
        <v>0.47287449999999998</v>
      </c>
      <c r="F6268" t="s">
        <v>57</v>
      </c>
      <c r="G6268">
        <v>-189.32130000000001</v>
      </c>
      <c r="H6268" s="1">
        <v>-1.203867E-5</v>
      </c>
      <c r="I6268">
        <v>-57.209009999999999</v>
      </c>
      <c r="J6268">
        <v>-212.59700000000001</v>
      </c>
      <c r="K6268">
        <v>1.122722</v>
      </c>
      <c r="L6268">
        <v>-62.472720000000002</v>
      </c>
      <c r="M6268">
        <v>0.99991180000000002</v>
      </c>
      <c r="N6268">
        <v>-1.203224E-2</v>
      </c>
      <c r="O6268">
        <v>-5.6231500000000004E-3</v>
      </c>
      <c r="P6268">
        <v>0.96796409999999999</v>
      </c>
      <c r="Q6268">
        <v>0.1896748</v>
      </c>
      <c r="R6268">
        <v>0.16452620000000001</v>
      </c>
      <c r="S6268">
        <v>3.0134280000000002</v>
      </c>
      <c r="T6268">
        <v>-0.14451530000000001</v>
      </c>
      <c r="U6268">
        <v>0.67752080000000003</v>
      </c>
      <c r="V6268">
        <v>-0.17066899999999999</v>
      </c>
      <c r="W6268">
        <v>0.20070189999999999</v>
      </c>
      <c r="X6268">
        <v>0.96467139999999996</v>
      </c>
      <c r="Y6268">
        <v>-0.2245277</v>
      </c>
      <c r="Z6268">
        <v>6.8824069999999897E-3</v>
      </c>
      <c r="AA6268">
        <v>0.97444339999999996</v>
      </c>
      <c r="AB6268">
        <v>32</v>
      </c>
      <c r="AC6268">
        <v>23.275700000000001</v>
      </c>
      <c r="AD6268">
        <v>-1.12273403867</v>
      </c>
      <c r="AE6268">
        <v>5.2637099999999899</v>
      </c>
      <c r="AF6268">
        <v>-5.3826044002406803</v>
      </c>
      <c r="AG6268">
        <v>-1.12273403867</v>
      </c>
      <c r="AH6268">
        <v>23.194389535976001</v>
      </c>
      <c r="AI6268">
        <v>92.699633267054793</v>
      </c>
      <c r="AJ6268">
        <v>103.06508127599101</v>
      </c>
      <c r="AK6268">
        <v>23.837211829357699</v>
      </c>
      <c r="AL6268">
        <v>78.421993185399401</v>
      </c>
      <c r="AM6268">
        <v>100.03291136459301</v>
      </c>
      <c r="AN6268">
        <v>1.0000000351012801</v>
      </c>
    </row>
    <row r="6269" spans="1:40" x14ac:dyDescent="0.25">
      <c r="A6269" t="str">
        <f>"20190303162941139"</f>
        <v>20190303162941139</v>
      </c>
      <c r="B6269" t="str">
        <f>"1551601781128267"</f>
        <v>1551601781128267</v>
      </c>
      <c r="C6269" t="s">
        <v>40</v>
      </c>
      <c r="D6269">
        <v>4.7889520000000001</v>
      </c>
      <c r="E6269">
        <v>0.47317949999999998</v>
      </c>
      <c r="F6269" t="s">
        <v>57</v>
      </c>
      <c r="G6269">
        <v>-188.9966</v>
      </c>
      <c r="H6269" s="1">
        <v>-1.20762E-5</v>
      </c>
      <c r="I6269">
        <v>-57.097589999999997</v>
      </c>
      <c r="J6269">
        <v>-212.4391</v>
      </c>
      <c r="K6269">
        <v>1.1227290000000001</v>
      </c>
      <c r="L6269">
        <v>-62.472810000000003</v>
      </c>
      <c r="M6269">
        <v>0.99991640000000004</v>
      </c>
      <c r="N6269">
        <v>-1.203284E-2</v>
      </c>
      <c r="O6269">
        <v>-4.7449650000000003E-3</v>
      </c>
      <c r="P6269">
        <v>0.96749779999999996</v>
      </c>
      <c r="Q6269">
        <v>0.18908230000000001</v>
      </c>
      <c r="R6269">
        <v>0.16791729999999899</v>
      </c>
      <c r="S6269">
        <v>3.0108030000000001</v>
      </c>
      <c r="T6269">
        <v>-0.14323229999999901</v>
      </c>
      <c r="U6269">
        <v>0.68572999999999995</v>
      </c>
      <c r="V6269">
        <v>-0.17321210000000001</v>
      </c>
      <c r="W6269">
        <v>0.20009179999999999</v>
      </c>
      <c r="X6269">
        <v>0.96434470000000005</v>
      </c>
      <c r="Y6269">
        <v>-0.22638340000000001</v>
      </c>
      <c r="Z6269">
        <v>6.8605300000000001E-3</v>
      </c>
      <c r="AA6269">
        <v>0.97401409999999999</v>
      </c>
      <c r="AB6269">
        <v>32</v>
      </c>
      <c r="AC6269">
        <v>23.4424999999999</v>
      </c>
      <c r="AD6269">
        <v>-1.1227410762000001</v>
      </c>
      <c r="AE6269">
        <v>5.3752199999999899</v>
      </c>
      <c r="AF6269">
        <v>-5.4744713750867602</v>
      </c>
      <c r="AG6269">
        <v>-1.1227410762000001</v>
      </c>
      <c r="AH6269">
        <v>23.3658100973887</v>
      </c>
      <c r="AI6269">
        <v>92.678554570882</v>
      </c>
      <c r="AJ6269">
        <v>103.186216598545</v>
      </c>
      <c r="AK6269">
        <v>24.0248093825541</v>
      </c>
      <c r="AL6269">
        <v>78.457671886818304</v>
      </c>
      <c r="AM6269">
        <v>100.18268205286</v>
      </c>
      <c r="AN6269">
        <v>0.99999993021586697</v>
      </c>
    </row>
    <row r="6270" spans="1:40" x14ac:dyDescent="0.25">
      <c r="A6270" t="str">
        <f>"20190303162941153"</f>
        <v>20190303162941153</v>
      </c>
      <c r="B6270" t="str">
        <f>"1551601781147788"</f>
        <v>1551601781147788</v>
      </c>
      <c r="C6270" t="s">
        <v>40</v>
      </c>
      <c r="D6270">
        <v>4.7943930000000003</v>
      </c>
      <c r="E6270">
        <v>0.47350049999999999</v>
      </c>
      <c r="F6270" t="s">
        <v>57</v>
      </c>
      <c r="G6270">
        <v>-188.65960000000001</v>
      </c>
      <c r="H6270" s="1">
        <v>-1.2115350000000001E-5</v>
      </c>
      <c r="I6270">
        <v>-56.982559999999999</v>
      </c>
      <c r="J6270">
        <v>-212.2526</v>
      </c>
      <c r="K6270">
        <v>1.1227400000000001</v>
      </c>
      <c r="L6270">
        <v>-62.472659999999998</v>
      </c>
      <c r="M6270">
        <v>0.99992080000000005</v>
      </c>
      <c r="N6270">
        <v>-1.2033540000000001E-2</v>
      </c>
      <c r="O6270">
        <v>-3.6980709999999998E-3</v>
      </c>
      <c r="P6270">
        <v>0.96704109999999999</v>
      </c>
      <c r="Q6270">
        <v>0.18821740000000001</v>
      </c>
      <c r="R6270">
        <v>0.171481299999999</v>
      </c>
      <c r="S6270">
        <v>3.0079799999999999</v>
      </c>
      <c r="T6270">
        <v>-0.14202089999999901</v>
      </c>
      <c r="U6270">
        <v>0.69448849999999995</v>
      </c>
      <c r="V6270">
        <v>-0.17576639999999999</v>
      </c>
      <c r="W6270">
        <v>0.1992092</v>
      </c>
      <c r="X6270">
        <v>0.96406530000000001</v>
      </c>
      <c r="Y6270">
        <v>-0.22825790000000001</v>
      </c>
      <c r="Z6270">
        <v>6.8362980000000002E-3</v>
      </c>
      <c r="AA6270">
        <v>0.97357669999999996</v>
      </c>
      <c r="AB6270">
        <v>32</v>
      </c>
      <c r="AC6270">
        <v>23.5929999999999</v>
      </c>
      <c r="AD6270">
        <v>-1.12275211535</v>
      </c>
      <c r="AE6270">
        <v>5.4900999999999902</v>
      </c>
      <c r="AF6270">
        <v>-5.5653611729019197</v>
      </c>
      <c r="AG6270">
        <v>-1.12275211535</v>
      </c>
      <c r="AH6270">
        <v>23.522001584344601</v>
      </c>
      <c r="AI6270">
        <v>92.659452305622295</v>
      </c>
      <c r="AJ6270">
        <v>103.311523974746</v>
      </c>
      <c r="AK6270">
        <v>24.1974869734706</v>
      </c>
      <c r="AL6270">
        <v>78.5092811869211</v>
      </c>
      <c r="AM6270">
        <v>100.332561801849</v>
      </c>
      <c r="AN6270">
        <v>1.0000000176988399</v>
      </c>
    </row>
    <row r="6271" spans="1:40" x14ac:dyDescent="0.25">
      <c r="A6271" t="str">
        <f>"20190303162941167"</f>
        <v>20190303162941167</v>
      </c>
      <c r="B6271" t="str">
        <f>"1551601781158522"</f>
        <v>1551601781158522</v>
      </c>
      <c r="C6271" t="s">
        <v>40</v>
      </c>
      <c r="D6271">
        <v>4.888827</v>
      </c>
      <c r="E6271">
        <v>0.47339189999999998</v>
      </c>
      <c r="F6271" t="s">
        <v>57</v>
      </c>
      <c r="G6271">
        <v>-188.39009999999999</v>
      </c>
      <c r="H6271" s="1">
        <v>-1.21445699999999E-5</v>
      </c>
      <c r="I6271">
        <v>-56.883800000000001</v>
      </c>
      <c r="J6271">
        <v>-212.05510000000001</v>
      </c>
      <c r="K6271">
        <v>1.1227510000000001</v>
      </c>
      <c r="L6271">
        <v>-62.472320000000003</v>
      </c>
      <c r="M6271">
        <v>0.99992429999999999</v>
      </c>
      <c r="N6271">
        <v>-1.203429E-2</v>
      </c>
      <c r="O6271">
        <v>-2.5811800000000002E-3</v>
      </c>
      <c r="P6271">
        <v>0.96649870000000004</v>
      </c>
      <c r="Q6271">
        <v>0.18756709999999999</v>
      </c>
      <c r="R6271">
        <v>0.17521149999999999</v>
      </c>
      <c r="S6271">
        <v>3.0049589999999999</v>
      </c>
      <c r="T6271">
        <v>-0.1413864</v>
      </c>
      <c r="U6271">
        <v>0.70379639999999999</v>
      </c>
      <c r="V6271">
        <v>-0.17842149999999901</v>
      </c>
      <c r="W6271">
        <v>0.1985382</v>
      </c>
      <c r="X6271">
        <v>0.96371589999999996</v>
      </c>
      <c r="Y6271">
        <v>-0.23024559999999999</v>
      </c>
      <c r="Z6271">
        <v>6.835519E-3</v>
      </c>
      <c r="AA6271">
        <v>0.97310850000000004</v>
      </c>
      <c r="AB6271">
        <v>32</v>
      </c>
      <c r="AC6271">
        <v>23.664999999999999</v>
      </c>
      <c r="AD6271">
        <v>-1.1227631445699999</v>
      </c>
      <c r="AE6271">
        <v>5.5885199999999902</v>
      </c>
      <c r="AF6271">
        <v>-5.6375699106236397</v>
      </c>
      <c r="AG6271">
        <v>-1.1227631445699999</v>
      </c>
      <c r="AH6271">
        <v>23.600178647629502</v>
      </c>
      <c r="AI6271">
        <v>92.649326081511006</v>
      </c>
      <c r="AJ6271">
        <v>103.434947936085</v>
      </c>
      <c r="AK6271">
        <v>24.2901466396562</v>
      </c>
      <c r="AL6271">
        <v>78.548509954885304</v>
      </c>
      <c r="AM6271">
        <v>100.488924376905</v>
      </c>
      <c r="AN6271">
        <v>0.99999999221714997</v>
      </c>
    </row>
    <row r="6272" spans="1:40" x14ac:dyDescent="0.25">
      <c r="A6272" t="str">
        <f>"20190303162941179"</f>
        <v>20190303162941179</v>
      </c>
      <c r="B6272" t="str">
        <f>"1551601781168284"</f>
        <v>1551601781168284</v>
      </c>
      <c r="C6272" t="s">
        <v>40</v>
      </c>
      <c r="D6272">
        <v>4.6565000000000003</v>
      </c>
      <c r="E6272">
        <v>0.47339189999999998</v>
      </c>
      <c r="F6272" t="s">
        <v>57</v>
      </c>
      <c r="G6272">
        <v>-188.583</v>
      </c>
      <c r="H6272" s="1">
        <v>-1.209643E-5</v>
      </c>
      <c r="I6272">
        <v>-56.86591</v>
      </c>
      <c r="J6272">
        <v>-211.86940000000001</v>
      </c>
      <c r="K6272">
        <v>1.1227670000000001</v>
      </c>
      <c r="L6272">
        <v>-62.4717699999999</v>
      </c>
      <c r="M6272">
        <v>0.9999266</v>
      </c>
      <c r="N6272">
        <v>-1.203504E-2</v>
      </c>
      <c r="O6272">
        <v>-1.5151639999999901E-3</v>
      </c>
      <c r="P6272">
        <v>0.96600229999999998</v>
      </c>
      <c r="Q6272">
        <v>0.18646080000000001</v>
      </c>
      <c r="R6272">
        <v>0.17908729999999901</v>
      </c>
      <c r="S6272">
        <v>3.0018769999999999</v>
      </c>
      <c r="T6272">
        <v>-0.14359140000000001</v>
      </c>
      <c r="U6272">
        <v>0.7170105</v>
      </c>
      <c r="V6272">
        <v>-0.1812724</v>
      </c>
      <c r="W6272">
        <v>0.1974099</v>
      </c>
      <c r="X6272">
        <v>0.96341560000000004</v>
      </c>
      <c r="Y6272">
        <v>-0.2334725</v>
      </c>
      <c r="Z6272">
        <v>6.9823639999999996E-3</v>
      </c>
      <c r="AA6272">
        <v>0.97233829999999999</v>
      </c>
      <c r="AB6272">
        <v>32</v>
      </c>
      <c r="AC6272">
        <v>23.2864</v>
      </c>
      <c r="AD6272">
        <v>-1.12277909643</v>
      </c>
      <c r="AE6272">
        <v>5.6058599999999901</v>
      </c>
      <c r="AF6272">
        <v>-5.6287699354413796</v>
      </c>
      <c r="AG6272">
        <v>-1.12277909643</v>
      </c>
      <c r="AH6272">
        <v>23.2268392325315</v>
      </c>
      <c r="AI6272">
        <v>92.689771499923097</v>
      </c>
      <c r="AJ6272">
        <v>103.622384034833</v>
      </c>
      <c r="AK6272">
        <v>23.925504061970599</v>
      </c>
      <c r="AL6272">
        <v>78.614462078633807</v>
      </c>
      <c r="AM6272">
        <v>100.655959009706</v>
      </c>
      <c r="AN6272">
        <v>0.99999998497156395</v>
      </c>
    </row>
    <row r="6273" spans="1:40" x14ac:dyDescent="0.25">
      <c r="A6273" t="str">
        <f>"20190303162941192"</f>
        <v>20190303162941192</v>
      </c>
      <c r="B6273" t="str">
        <f>"1551601781178043"</f>
        <v>1551601781178043</v>
      </c>
      <c r="C6273" t="s">
        <v>40</v>
      </c>
      <c r="D6273">
        <v>4.7537089999999997</v>
      </c>
      <c r="E6273">
        <v>0.42387469999999999</v>
      </c>
      <c r="F6273" t="s">
        <v>57</v>
      </c>
      <c r="G6273">
        <v>-188.9462</v>
      </c>
      <c r="H6273" s="1">
        <v>-1.202469E-5</v>
      </c>
      <c r="I6273">
        <v>-56.89378</v>
      </c>
      <c r="J6273">
        <v>-211.6884</v>
      </c>
      <c r="K6273">
        <v>1.1227819999999999</v>
      </c>
      <c r="L6273">
        <v>-62.471040000000002</v>
      </c>
      <c r="M6273">
        <v>0.99992749999999997</v>
      </c>
      <c r="N6273">
        <v>-1.203592E-2</v>
      </c>
      <c r="O6273">
        <v>-4.572159E-4</v>
      </c>
      <c r="P6273">
        <v>0.96545510000000001</v>
      </c>
      <c r="Q6273">
        <v>0.1856082</v>
      </c>
      <c r="R6273">
        <v>0.18288280000000001</v>
      </c>
      <c r="S6273">
        <v>2.9986570000000001</v>
      </c>
      <c r="T6273">
        <v>-0.14687430000000001</v>
      </c>
      <c r="U6273">
        <v>0.72967530000000003</v>
      </c>
      <c r="V6273">
        <v>-0.1840542</v>
      </c>
      <c r="W6273">
        <v>0.19653280000000001</v>
      </c>
      <c r="X6273">
        <v>0.96306749999999997</v>
      </c>
      <c r="Y6273">
        <v>-0.23654210000000001</v>
      </c>
      <c r="Z6273">
        <v>7.1680169999999996E-3</v>
      </c>
      <c r="AA6273">
        <v>0.97159479999999998</v>
      </c>
      <c r="AB6273">
        <v>32</v>
      </c>
      <c r="AC6273">
        <v>22.7422</v>
      </c>
      <c r="AD6273">
        <v>-1.1227940246899999</v>
      </c>
      <c r="AE6273">
        <v>5.5772599999999901</v>
      </c>
      <c r="AF6273">
        <v>-5.5748407535828202</v>
      </c>
      <c r="AG6273">
        <v>-1.1227940246899999</v>
      </c>
      <c r="AH6273">
        <v>22.687485020570801</v>
      </c>
      <c r="AI6273">
        <v>92.751513156191095</v>
      </c>
      <c r="AJ6273">
        <v>103.805382495741</v>
      </c>
      <c r="AK6273">
        <v>23.389345702868901</v>
      </c>
      <c r="AL6273">
        <v>78.665721143056999</v>
      </c>
      <c r="AM6273">
        <v>100.81947301764301</v>
      </c>
      <c r="AN6273">
        <v>1.00000004978486</v>
      </c>
    </row>
    <row r="6274" spans="1:40" x14ac:dyDescent="0.25">
      <c r="A6274" t="str">
        <f>"20190303162941203"</f>
        <v>20190303162941203</v>
      </c>
      <c r="B6274" t="str">
        <f>"1551601781187803"</f>
        <v>1551601781187803</v>
      </c>
      <c r="C6274" t="s">
        <v>40</v>
      </c>
      <c r="D6274">
        <v>4.7374299999999998</v>
      </c>
      <c r="E6274">
        <v>0.42387469999999999</v>
      </c>
      <c r="F6274" t="s">
        <v>57</v>
      </c>
      <c r="G6274">
        <v>-188.7329</v>
      </c>
      <c r="H6274" s="1">
        <v>-1.105248E-5</v>
      </c>
      <c r="I6274">
        <v>-53.577950000000001</v>
      </c>
      <c r="J6274">
        <v>-211.5275</v>
      </c>
      <c r="K6274">
        <v>1.1228049999999901</v>
      </c>
      <c r="L6274">
        <v>-62.470280000000002</v>
      </c>
      <c r="M6274">
        <v>0.99992740000000002</v>
      </c>
      <c r="N6274">
        <v>-1.2036740000000001E-2</v>
      </c>
      <c r="O6274">
        <v>4.9081560000000001E-4</v>
      </c>
      <c r="P6274">
        <v>0.96491309999999997</v>
      </c>
      <c r="Q6274">
        <v>0.18460550000000001</v>
      </c>
      <c r="R6274">
        <v>0.18671740000000001</v>
      </c>
      <c r="S6274">
        <v>2.9204859999999999</v>
      </c>
      <c r="T6274">
        <v>-0.14284559999999999</v>
      </c>
      <c r="U6274">
        <v>1.1314090000000001</v>
      </c>
      <c r="V6274">
        <v>-0.18698010000000001</v>
      </c>
      <c r="W6274">
        <v>0.1955055</v>
      </c>
      <c r="X6274">
        <v>0.96271289999999998</v>
      </c>
      <c r="Y6274">
        <v>-0.36030810000000002</v>
      </c>
      <c r="Z6274">
        <v>1.0727449999999999E-2</v>
      </c>
      <c r="AA6274">
        <v>0.93277169999999998</v>
      </c>
      <c r="AB6274">
        <v>32</v>
      </c>
      <c r="AC6274">
        <v>22.794599999999999</v>
      </c>
      <c r="AD6274">
        <v>-1.1228160524799999</v>
      </c>
      <c r="AE6274">
        <v>8.8923299999999994</v>
      </c>
      <c r="AF6274">
        <v>-8.8624769432619193</v>
      </c>
      <c r="AG6274">
        <v>-1.1228160524799999</v>
      </c>
      <c r="AH6274">
        <v>22.751051295538598</v>
      </c>
      <c r="AI6274">
        <v>92.632971838589896</v>
      </c>
      <c r="AJ6274">
        <v>111.28297441151101</v>
      </c>
      <c r="AK6274">
        <v>24.442065144127699</v>
      </c>
      <c r="AL6274">
        <v>78.725745490452994</v>
      </c>
      <c r="AM6274">
        <v>100.991263842058</v>
      </c>
      <c r="AN6274">
        <v>1.0000000430763301</v>
      </c>
    </row>
    <row r="6275" spans="1:40" x14ac:dyDescent="0.25">
      <c r="A6275" t="str">
        <f>"20190303162941214"</f>
        <v>20190303162941214</v>
      </c>
      <c r="B6275" t="str">
        <f>"1551601781198539"</f>
        <v>1551601781198539</v>
      </c>
      <c r="C6275" t="s">
        <v>40</v>
      </c>
      <c r="D6275">
        <v>4.6407689999999997</v>
      </c>
      <c r="E6275">
        <v>0.36779590000000001</v>
      </c>
      <c r="F6275" t="s">
        <v>57</v>
      </c>
      <c r="G6275">
        <v>-188.9701</v>
      </c>
      <c r="H6275" s="1">
        <v>-1.101293E-5</v>
      </c>
      <c r="I6275">
        <v>-53.619929999999997</v>
      </c>
      <c r="J6275">
        <v>-211.3708</v>
      </c>
      <c r="K6275">
        <v>1.1228340000000001</v>
      </c>
      <c r="L6275">
        <v>-62.469209999999997</v>
      </c>
      <c r="M6275">
        <v>0.9999266</v>
      </c>
      <c r="N6275">
        <v>-1.2037880000000001E-2</v>
      </c>
      <c r="O6275">
        <v>1.4555739999999901E-3</v>
      </c>
      <c r="P6275">
        <v>0.96425519999999998</v>
      </c>
      <c r="Q6275">
        <v>0.18383759999999999</v>
      </c>
      <c r="R6275">
        <v>0.19082959999999999</v>
      </c>
      <c r="S6275">
        <v>2.9154969999999998</v>
      </c>
      <c r="T6275">
        <v>-0.14512169999999999</v>
      </c>
      <c r="U6275">
        <v>1.1438900000000001</v>
      </c>
      <c r="V6275">
        <v>-0.1901757</v>
      </c>
      <c r="W6275">
        <v>0.19470580000000001</v>
      </c>
      <c r="X6275">
        <v>0.96224889999999996</v>
      </c>
      <c r="Y6275">
        <v>-0.36339159999999998</v>
      </c>
      <c r="Z6275">
        <v>1.0929799999999899E-2</v>
      </c>
      <c r="AA6275">
        <v>0.93157239999999997</v>
      </c>
      <c r="AB6275">
        <v>32</v>
      </c>
      <c r="AC6275">
        <v>22.400700000000001</v>
      </c>
      <c r="AD6275">
        <v>-1.1228450129300001</v>
      </c>
      <c r="AE6275">
        <v>8.8492799999999896</v>
      </c>
      <c r="AF6275">
        <v>-8.7975419755078903</v>
      </c>
      <c r="AG6275">
        <v>-1.1228450129300001</v>
      </c>
      <c r="AH6275">
        <v>22.3649504150453</v>
      </c>
      <c r="AI6275">
        <v>92.674962878266797</v>
      </c>
      <c r="AJ6275">
        <v>111.472835874173</v>
      </c>
      <c r="AK6275">
        <v>24.0592712441861</v>
      </c>
      <c r="AL6275">
        <v>78.772462753142193</v>
      </c>
      <c r="AM6275">
        <v>101.179674510693</v>
      </c>
      <c r="AN6275">
        <v>1.0000000454876601</v>
      </c>
    </row>
    <row r="6276" spans="1:40" x14ac:dyDescent="0.25">
      <c r="A6276" t="str">
        <f>"20190303162941225"</f>
        <v>20190303162941225</v>
      </c>
      <c r="B6276" t="str">
        <f>"1551601781218059"</f>
        <v>1551601781218059</v>
      </c>
      <c r="C6276" t="s">
        <v>40</v>
      </c>
      <c r="D6276">
        <v>4.6618339999999998</v>
      </c>
      <c r="E6276">
        <v>0.35921239999999999</v>
      </c>
      <c r="F6276" t="s">
        <v>44</v>
      </c>
      <c r="G6276">
        <v>-210.52379999999999</v>
      </c>
      <c r="H6276">
        <v>1.043703</v>
      </c>
      <c r="I6276">
        <v>-61.994900000000001</v>
      </c>
      <c r="J6276">
        <v>-211.21209999999999</v>
      </c>
      <c r="K6276">
        <v>1.122868</v>
      </c>
      <c r="L6276">
        <v>-62.46808</v>
      </c>
      <c r="M6276">
        <v>0.9999247</v>
      </c>
      <c r="N6276">
        <v>-1.2039060000000001E-2</v>
      </c>
      <c r="O6276">
        <v>2.4427049999999999E-3</v>
      </c>
      <c r="P6276">
        <v>0.96350849999999999</v>
      </c>
      <c r="Q6276">
        <v>0.18337290000000001</v>
      </c>
      <c r="R6276">
        <v>0.19500210000000001</v>
      </c>
      <c r="S6276">
        <v>2.8463440000000002</v>
      </c>
      <c r="T6276">
        <v>-0.26595869999999999</v>
      </c>
      <c r="U6276">
        <v>1.594635</v>
      </c>
      <c r="V6276">
        <v>-0.19341240000000001</v>
      </c>
      <c r="W6276">
        <v>0.19420670000000001</v>
      </c>
      <c r="X6276">
        <v>0.96170440000000001</v>
      </c>
      <c r="Y6276">
        <v>-0.48477160000000002</v>
      </c>
      <c r="Z6276">
        <v>2.4005450000000001E-2</v>
      </c>
      <c r="AA6276">
        <v>0.87431130000000001</v>
      </c>
      <c r="AB6276">
        <v>32</v>
      </c>
      <c r="AC6276">
        <v>0.68829999999999802</v>
      </c>
      <c r="AD6276">
        <v>-7.9164999999999902E-2</v>
      </c>
      <c r="AE6276">
        <v>0.47318000000000598</v>
      </c>
      <c r="AF6276">
        <v>-0.467299367903177</v>
      </c>
      <c r="AG6276">
        <v>-7.9164999999999902E-2</v>
      </c>
      <c r="AH6276">
        <v>0.68331559448280299</v>
      </c>
      <c r="AI6276">
        <v>95.462611503942597</v>
      </c>
      <c r="AJ6276">
        <v>124.367072221868</v>
      </c>
      <c r="AK6276">
        <v>0.831598459673354</v>
      </c>
      <c r="AL6276">
        <v>78.801614778704305</v>
      </c>
      <c r="AM6276">
        <v>101.37130228145401</v>
      </c>
      <c r="AN6276">
        <v>0.99999997588900402</v>
      </c>
    </row>
    <row r="6277" spans="1:40" x14ac:dyDescent="0.25">
      <c r="A6277" t="str">
        <f>"20190303162941236"</f>
        <v>20190303162941236</v>
      </c>
      <c r="B6277" t="str">
        <f>"1551601781227821"</f>
        <v>1551601781227821</v>
      </c>
      <c r="C6277" t="s">
        <v>40</v>
      </c>
      <c r="D6277">
        <v>4.5829269999999998</v>
      </c>
      <c r="E6277">
        <v>0.35838449999999999</v>
      </c>
      <c r="F6277" t="s">
        <v>44</v>
      </c>
      <c r="G6277">
        <v>-210.25909999999999</v>
      </c>
      <c r="H6277">
        <v>1.0128429999999999</v>
      </c>
      <c r="I6277">
        <v>-61.905450000000002</v>
      </c>
      <c r="J6277">
        <v>-211.04490000000001</v>
      </c>
      <c r="K6277">
        <v>1.1229129999999901</v>
      </c>
      <c r="L6277">
        <v>-62.466610000000003</v>
      </c>
      <c r="M6277">
        <v>0.99992130000000001</v>
      </c>
      <c r="N6277">
        <v>-1.204064E-2</v>
      </c>
      <c r="O6277">
        <v>3.5264910000000001E-3</v>
      </c>
      <c r="P6277">
        <v>0.96278229999999998</v>
      </c>
      <c r="Q6277">
        <v>0.18293229999999999</v>
      </c>
      <c r="R6277">
        <v>0.198963</v>
      </c>
      <c r="S6277">
        <v>2.8369599999999999</v>
      </c>
      <c r="T6277">
        <v>-0.32753349999999998</v>
      </c>
      <c r="U6277">
        <v>1.674957</v>
      </c>
      <c r="V6277">
        <v>-0.19635059999999999</v>
      </c>
      <c r="W6277">
        <v>0.1937277</v>
      </c>
      <c r="X6277">
        <v>0.96120550000000005</v>
      </c>
      <c r="Y6277">
        <v>-0.50257870000000004</v>
      </c>
      <c r="Z6277">
        <v>2.96996E-2</v>
      </c>
      <c r="AA6277">
        <v>0.86402119999999905</v>
      </c>
      <c r="AB6277">
        <v>32</v>
      </c>
      <c r="AC6277">
        <v>0.78580000000002304</v>
      </c>
      <c r="AD6277">
        <v>-0.110069999999999</v>
      </c>
      <c r="AE6277">
        <v>0.561159999999993</v>
      </c>
      <c r="AF6277">
        <v>-0.55122258814686298</v>
      </c>
      <c r="AG6277">
        <v>-0.110069999999999</v>
      </c>
      <c r="AH6277">
        <v>0.77766912398302002</v>
      </c>
      <c r="AI6277">
        <v>96.586918398499904</v>
      </c>
      <c r="AJ6277">
        <v>125.329539623429</v>
      </c>
      <c r="AK6277">
        <v>0.95954729585354104</v>
      </c>
      <c r="AL6277">
        <v>78.829591011590793</v>
      </c>
      <c r="AM6277">
        <v>101.545276221544</v>
      </c>
      <c r="AN6277">
        <v>0.99999999654895</v>
      </c>
    </row>
    <row r="6278" spans="1:40" x14ac:dyDescent="0.25">
      <c r="A6278" t="str">
        <f>"20190303162941253"</f>
        <v>20190303162941253</v>
      </c>
      <c r="B6278" t="str">
        <f>"1551601781248316"</f>
        <v>1551601781248316</v>
      </c>
      <c r="C6278" t="s">
        <v>40</v>
      </c>
      <c r="D6278">
        <v>4.583564</v>
      </c>
      <c r="E6278">
        <v>0.35856880000000002</v>
      </c>
      <c r="F6278" t="s">
        <v>44</v>
      </c>
      <c r="G6278">
        <v>-210.2415</v>
      </c>
      <c r="H6278">
        <v>1.026732</v>
      </c>
      <c r="I6278">
        <v>-61.985719999999901</v>
      </c>
      <c r="J6278">
        <v>-210.84520000000001</v>
      </c>
      <c r="K6278">
        <v>1.1229709999999999</v>
      </c>
      <c r="L6278">
        <v>-62.46463</v>
      </c>
      <c r="M6278">
        <v>0.99991569999999996</v>
      </c>
      <c r="N6278">
        <v>-1.2042870000000001E-2</v>
      </c>
      <c r="O6278">
        <v>4.8697109999999997E-3</v>
      </c>
      <c r="P6278">
        <v>0.96138820000000003</v>
      </c>
      <c r="Q6278">
        <v>0.182924</v>
      </c>
      <c r="R6278">
        <v>0.20560049999999999</v>
      </c>
      <c r="S6278">
        <v>2.8302459999999998</v>
      </c>
      <c r="T6278">
        <v>-0.33881800000000001</v>
      </c>
      <c r="U6278">
        <v>1.6940919999999999</v>
      </c>
      <c r="V6278">
        <v>-0.2017304</v>
      </c>
      <c r="W6278">
        <v>0.19365569999999999</v>
      </c>
      <c r="X6278">
        <v>0.9601054</v>
      </c>
      <c r="Y6278">
        <v>-0.50642379999999998</v>
      </c>
      <c r="Z6278">
        <v>3.0726570000000002E-2</v>
      </c>
      <c r="AA6278">
        <v>0.86173709999999903</v>
      </c>
      <c r="AB6278">
        <v>32</v>
      </c>
      <c r="AC6278">
        <v>0.60370000000000301</v>
      </c>
      <c r="AD6278">
        <v>-9.6238999999999894E-2</v>
      </c>
      <c r="AE6278">
        <v>0.47891000000001299</v>
      </c>
      <c r="AF6278">
        <v>-0.46865441225770499</v>
      </c>
      <c r="AG6278">
        <v>-9.6238999999999894E-2</v>
      </c>
      <c r="AH6278">
        <v>0.59671783911232401</v>
      </c>
      <c r="AI6278">
        <v>97.228684831740495</v>
      </c>
      <c r="AJ6278">
        <v>128.14562912959701</v>
      </c>
      <c r="AK6278">
        <v>0.76483402301708403</v>
      </c>
      <c r="AL6278">
        <v>78.833796337079505</v>
      </c>
      <c r="AM6278">
        <v>101.865967029179</v>
      </c>
      <c r="AN6278">
        <v>1.0000000317679001</v>
      </c>
    </row>
    <row r="6279" spans="1:40" x14ac:dyDescent="0.25">
      <c r="A6279" t="str">
        <f>"20190303162941261"</f>
        <v>20190303162941261</v>
      </c>
      <c r="B6279" t="str">
        <f>"1551601781258076"</f>
        <v>1551601781258076</v>
      </c>
      <c r="C6279" t="s">
        <v>40</v>
      </c>
      <c r="D6279">
        <v>4.5851300000000004</v>
      </c>
      <c r="E6279">
        <v>0.35870930000000001</v>
      </c>
      <c r="F6279" t="s">
        <v>44</v>
      </c>
      <c r="G6279">
        <v>-209.96879999999999</v>
      </c>
      <c r="H6279">
        <v>1.0173209999999999</v>
      </c>
      <c r="I6279">
        <v>-61.931660000000001</v>
      </c>
      <c r="J6279">
        <v>-210.685</v>
      </c>
      <c r="K6279">
        <v>1.1230260000000001</v>
      </c>
      <c r="L6279">
        <v>-62.462859999999999</v>
      </c>
      <c r="M6279">
        <v>0.99990959999999995</v>
      </c>
      <c r="N6279">
        <v>-1.204481E-2</v>
      </c>
      <c r="O6279">
        <v>5.9771809999999998E-3</v>
      </c>
      <c r="P6279">
        <v>0.96063750000000003</v>
      </c>
      <c r="Q6279">
        <v>0.1829626</v>
      </c>
      <c r="R6279">
        <v>0.2090468</v>
      </c>
      <c r="S6279">
        <v>2.818451</v>
      </c>
      <c r="T6279">
        <v>-0.3397963</v>
      </c>
      <c r="U6279">
        <v>1.714661</v>
      </c>
      <c r="V6279">
        <v>-0.2041422</v>
      </c>
      <c r="W6279">
        <v>0.19365199999999999</v>
      </c>
      <c r="X6279">
        <v>0.95959620000000001</v>
      </c>
      <c r="Y6279">
        <v>-0.51160320000000004</v>
      </c>
      <c r="Z6279">
        <v>3.107296E-2</v>
      </c>
      <c r="AA6279">
        <v>0.85865979999999997</v>
      </c>
      <c r="AB6279">
        <v>32</v>
      </c>
      <c r="AC6279">
        <v>0.71620000000001405</v>
      </c>
      <c r="AD6279">
        <v>-0.10570499999999999</v>
      </c>
      <c r="AE6279">
        <v>0.53119999999999801</v>
      </c>
      <c r="AF6279">
        <v>-0.51960744004751602</v>
      </c>
      <c r="AG6279">
        <v>-0.10570499999999999</v>
      </c>
      <c r="AH6279">
        <v>0.70939359803885405</v>
      </c>
      <c r="AI6279">
        <v>96.854638452818193</v>
      </c>
      <c r="AJ6279">
        <v>126.221547920432</v>
      </c>
      <c r="AK6279">
        <v>0.88566625526563003</v>
      </c>
      <c r="AL6279">
        <v>78.834012073873296</v>
      </c>
      <c r="AM6279">
        <v>102.009924407013</v>
      </c>
      <c r="AN6279">
        <v>1.0000000009896399</v>
      </c>
    </row>
    <row r="6280" spans="1:40" x14ac:dyDescent="0.25">
      <c r="A6280" t="str">
        <f>"20190303162941273"</f>
        <v>20190303162941273</v>
      </c>
      <c r="B6280" t="str">
        <f>"1551601781267834"</f>
        <v>1551601781267834</v>
      </c>
      <c r="C6280" t="s">
        <v>40</v>
      </c>
      <c r="D6280">
        <v>4.56975</v>
      </c>
      <c r="E6280">
        <v>0.35927559999999997</v>
      </c>
      <c r="F6280" t="s">
        <v>44</v>
      </c>
      <c r="G6280">
        <v>-209.95079999999999</v>
      </c>
      <c r="H6280">
        <v>1.0338830000000001</v>
      </c>
      <c r="I6280">
        <v>-62.0128699999999</v>
      </c>
      <c r="J6280">
        <v>-210.52549999999999</v>
      </c>
      <c r="K6280">
        <v>1.1230929999999999</v>
      </c>
      <c r="L6280">
        <v>-62.460749999999997</v>
      </c>
      <c r="M6280">
        <v>0.99990190000000001</v>
      </c>
      <c r="N6280">
        <v>-1.204739E-2</v>
      </c>
      <c r="O6280">
        <v>7.158719E-3</v>
      </c>
      <c r="P6280">
        <v>0.95991210000000005</v>
      </c>
      <c r="Q6280">
        <v>0.18272430000000001</v>
      </c>
      <c r="R6280">
        <v>0.21255760000000001</v>
      </c>
      <c r="S6280">
        <v>2.8126370000000001</v>
      </c>
      <c r="T6280">
        <v>-0.34155289999999999</v>
      </c>
      <c r="U6280">
        <v>1.72470099999999</v>
      </c>
      <c r="V6280">
        <v>-0.2065524</v>
      </c>
      <c r="W6280">
        <v>0.1933656</v>
      </c>
      <c r="X6280">
        <v>0.95913800000000005</v>
      </c>
      <c r="Y6280">
        <v>-0.51356740000000001</v>
      </c>
      <c r="Z6280">
        <v>3.124818E-2</v>
      </c>
      <c r="AA6280">
        <v>0.85748009999999997</v>
      </c>
      <c r="AB6280">
        <v>32</v>
      </c>
      <c r="AC6280">
        <v>0.57470000000000698</v>
      </c>
      <c r="AD6280">
        <v>-8.9210000000000206E-2</v>
      </c>
      <c r="AE6280">
        <v>0.447880000000004</v>
      </c>
      <c r="AF6280">
        <v>-0.43719999886560701</v>
      </c>
      <c r="AG6280">
        <v>-8.9210000000000206E-2</v>
      </c>
      <c r="AH6280">
        <v>0.56935647128760603</v>
      </c>
      <c r="AI6280">
        <v>97.084035103583702</v>
      </c>
      <c r="AJ6280">
        <v>127.520099210477</v>
      </c>
      <c r="AK6280">
        <v>0.72337338526183104</v>
      </c>
      <c r="AL6280">
        <v>78.850736879030293</v>
      </c>
      <c r="AM6280">
        <v>102.153162284372</v>
      </c>
      <c r="AN6280">
        <v>0.99999992612655697</v>
      </c>
    </row>
    <row r="6281" spans="1:40" x14ac:dyDescent="0.25">
      <c r="A6281" t="str">
        <f>"20190303162941285"</f>
        <v>20190303162941285</v>
      </c>
      <c r="B6281" t="str">
        <f>"1551601781278570"</f>
        <v>1551601781278570</v>
      </c>
      <c r="C6281" t="s">
        <v>40</v>
      </c>
      <c r="D6281">
        <v>4.5833629999999896</v>
      </c>
      <c r="E6281">
        <v>0.35975580000000001</v>
      </c>
      <c r="F6281" t="s">
        <v>44</v>
      </c>
      <c r="G6281">
        <v>-209.6823</v>
      </c>
      <c r="H6281">
        <v>1.0215050000000001</v>
      </c>
      <c r="I6281">
        <v>-61.940379999999998</v>
      </c>
      <c r="J6281">
        <v>-210.36109999999999</v>
      </c>
      <c r="K6281">
        <v>1.12317</v>
      </c>
      <c r="L6281">
        <v>-62.458440000000003</v>
      </c>
      <c r="M6281">
        <v>0.99989220000000001</v>
      </c>
      <c r="N6281">
        <v>-1.2050119999999999E-2</v>
      </c>
      <c r="O6281">
        <v>8.4021619999999995E-3</v>
      </c>
      <c r="P6281">
        <v>0.95920430000000001</v>
      </c>
      <c r="Q6281">
        <v>0.18219679999999999</v>
      </c>
      <c r="R6281">
        <v>0.2161748</v>
      </c>
      <c r="S6281">
        <v>2.8061829999999999</v>
      </c>
      <c r="T6281">
        <v>-0.33808179999999999</v>
      </c>
      <c r="U6281">
        <v>1.7318119999999999</v>
      </c>
      <c r="V6281">
        <v>-0.2090119</v>
      </c>
      <c r="W6281">
        <v>0.19278729999999999</v>
      </c>
      <c r="X6281">
        <v>0.95872159999999995</v>
      </c>
      <c r="Y6281">
        <v>-0.51500389999999996</v>
      </c>
      <c r="Z6281">
        <v>3.097256E-2</v>
      </c>
      <c r="AA6281">
        <v>0.856628099999999</v>
      </c>
      <c r="AB6281">
        <v>32</v>
      </c>
      <c r="AC6281">
        <v>0.67879999999999496</v>
      </c>
      <c r="AD6281">
        <v>-0.10166500000000001</v>
      </c>
      <c r="AE6281">
        <v>0.51805999999999797</v>
      </c>
      <c r="AF6281">
        <v>-0.50517703082210497</v>
      </c>
      <c r="AG6281">
        <v>-0.10166500000000001</v>
      </c>
      <c r="AH6281">
        <v>0.673581170077442</v>
      </c>
      <c r="AI6281">
        <v>96.884929121590204</v>
      </c>
      <c r="AJ6281">
        <v>126.86941603254201</v>
      </c>
      <c r="AK6281">
        <v>0.84808678646594504</v>
      </c>
      <c r="AL6281">
        <v>78.884507414161405</v>
      </c>
      <c r="AM6281">
        <v>102.298675637088</v>
      </c>
      <c r="AN6281">
        <v>1.0000000118447301</v>
      </c>
    </row>
    <row r="6282" spans="1:40" x14ac:dyDescent="0.25">
      <c r="A6282" t="str">
        <f>"20190303162941296"</f>
        <v>20190303162941296</v>
      </c>
      <c r="B6282" t="str">
        <f>"1551601781288331"</f>
        <v>1551601781288331</v>
      </c>
      <c r="C6282" t="s">
        <v>40</v>
      </c>
      <c r="D6282">
        <v>4.5894649999999997</v>
      </c>
      <c r="E6282">
        <v>0.36023810000000001</v>
      </c>
      <c r="F6282" t="s">
        <v>44</v>
      </c>
      <c r="G6282">
        <v>-209.4136</v>
      </c>
      <c r="H6282">
        <v>1.008319</v>
      </c>
      <c r="I6282">
        <v>-61.869889999999998</v>
      </c>
      <c r="J6282">
        <v>-210.2047</v>
      </c>
      <c r="K6282">
        <v>1.1232530000000001</v>
      </c>
      <c r="L6282">
        <v>-62.4559</v>
      </c>
      <c r="M6282">
        <v>0.99988069999999896</v>
      </c>
      <c r="N6282">
        <v>-1.205348E-2</v>
      </c>
      <c r="O6282">
        <v>9.6719500000000003E-3</v>
      </c>
      <c r="P6282">
        <v>0.95848599999999995</v>
      </c>
      <c r="Q6282">
        <v>0.18139040000000001</v>
      </c>
      <c r="R6282">
        <v>0.22000539999999999</v>
      </c>
      <c r="S6282">
        <v>2.800049</v>
      </c>
      <c r="T6282">
        <v>-0.33941270000000001</v>
      </c>
      <c r="U6282">
        <v>1.739441</v>
      </c>
      <c r="V6282">
        <v>-0.21166389999999999</v>
      </c>
      <c r="W6282">
        <v>0.19192400000000001</v>
      </c>
      <c r="X6282">
        <v>0.95831290000000002</v>
      </c>
      <c r="Y6282">
        <v>-0.51641059999999905</v>
      </c>
      <c r="Z6282">
        <v>3.107766E-2</v>
      </c>
      <c r="AA6282">
        <v>0.85577700000000001</v>
      </c>
      <c r="AB6282">
        <v>32</v>
      </c>
      <c r="AC6282">
        <v>0.79110000000000003</v>
      </c>
      <c r="AD6282">
        <v>-0.11493399999999999</v>
      </c>
      <c r="AE6282">
        <v>0.58600999999999404</v>
      </c>
      <c r="AF6282">
        <v>-0.57055448879662496</v>
      </c>
      <c r="AG6282">
        <v>-0.11493399999999999</v>
      </c>
      <c r="AH6282">
        <v>0.78601864785022701</v>
      </c>
      <c r="AI6282">
        <v>96.748667040948902</v>
      </c>
      <c r="AJ6282">
        <v>125.975112269492</v>
      </c>
      <c r="AK6282">
        <v>0.97804272085133204</v>
      </c>
      <c r="AL6282">
        <v>78.934912262462504</v>
      </c>
      <c r="AM6282">
        <v>102.455031741745</v>
      </c>
      <c r="AN6282">
        <v>1.0000000213228</v>
      </c>
    </row>
    <row r="6283" spans="1:40" x14ac:dyDescent="0.25">
      <c r="A6283" t="str">
        <f>"20190303162941306"</f>
        <v>20190303162941306</v>
      </c>
      <c r="B6283" t="str">
        <f>"1551601781298091"</f>
        <v>1551601781298091</v>
      </c>
      <c r="C6283" t="s">
        <v>40</v>
      </c>
      <c r="D6283">
        <v>4.5750520000000003</v>
      </c>
      <c r="E6283">
        <v>0.36086079999999998</v>
      </c>
      <c r="F6283" t="s">
        <v>44</v>
      </c>
      <c r="G6283">
        <v>-209.3956</v>
      </c>
      <c r="H6283">
        <v>1.024241</v>
      </c>
      <c r="I6283">
        <v>-61.949770000000001</v>
      </c>
      <c r="J6283">
        <v>-210.053</v>
      </c>
      <c r="K6283">
        <v>1.1233310000000001</v>
      </c>
      <c r="L6283">
        <v>-62.453310000000002</v>
      </c>
      <c r="M6283">
        <v>0.99986739999999996</v>
      </c>
      <c r="N6283">
        <v>-1.205692E-2</v>
      </c>
      <c r="O6283">
        <v>1.09382E-2</v>
      </c>
      <c r="P6283">
        <v>0.95767910000000001</v>
      </c>
      <c r="Q6283">
        <v>0.18088319999999999</v>
      </c>
      <c r="R6283">
        <v>0.22390160000000001</v>
      </c>
      <c r="S6283">
        <v>2.7935029999999998</v>
      </c>
      <c r="T6283">
        <v>-0.34182170000000001</v>
      </c>
      <c r="U6283">
        <v>1.747528</v>
      </c>
      <c r="V6283">
        <v>-0.2143883</v>
      </c>
      <c r="W6283">
        <v>0.19135820000000001</v>
      </c>
      <c r="X6283">
        <v>0.95782029999999996</v>
      </c>
      <c r="Y6283">
        <v>-0.51795820000000004</v>
      </c>
      <c r="Z6283">
        <v>3.1281209999999997E-2</v>
      </c>
      <c r="AA6283">
        <v>0.85483379999999998</v>
      </c>
      <c r="AB6283">
        <v>32</v>
      </c>
      <c r="AC6283">
        <v>0.65739999999999499</v>
      </c>
      <c r="AD6283">
        <v>-9.90899999999999E-2</v>
      </c>
      <c r="AE6283">
        <v>0.50354000000000099</v>
      </c>
      <c r="AF6283">
        <v>-0.48931218674573401</v>
      </c>
      <c r="AG6283">
        <v>-9.90899999999999E-2</v>
      </c>
      <c r="AH6283">
        <v>0.65351135526283199</v>
      </c>
      <c r="AI6283">
        <v>96.920414072229406</v>
      </c>
      <c r="AJ6283">
        <v>126.823784051484</v>
      </c>
      <c r="AK6283">
        <v>0.82238819036715005</v>
      </c>
      <c r="AL6283">
        <v>78.967942360799299</v>
      </c>
      <c r="AM6283">
        <v>102.616526447705</v>
      </c>
      <c r="AN6283">
        <v>1.0000000154881099</v>
      </c>
    </row>
    <row r="6284" spans="1:40" x14ac:dyDescent="0.25">
      <c r="A6284" t="str">
        <f>"20190303162941317"</f>
        <v>20190303162941317</v>
      </c>
      <c r="B6284" t="str">
        <f>"1551601781307851"</f>
        <v>1551601781307851</v>
      </c>
      <c r="C6284" t="s">
        <v>40</v>
      </c>
      <c r="D6284">
        <v>4.6005200000000004</v>
      </c>
      <c r="E6284">
        <v>0.36158600000000002</v>
      </c>
      <c r="F6284" t="s">
        <v>44</v>
      </c>
      <c r="G6284">
        <v>-209.12880000000001</v>
      </c>
      <c r="H6284">
        <v>1.0094780000000001</v>
      </c>
      <c r="I6284">
        <v>-61.871380000000002</v>
      </c>
      <c r="J6284">
        <v>-209.8982</v>
      </c>
      <c r="K6284">
        <v>1.123416</v>
      </c>
      <c r="L6284">
        <v>-62.45035</v>
      </c>
      <c r="M6284">
        <v>0.99985170000000001</v>
      </c>
      <c r="N6284">
        <v>-1.2060950000000001E-2</v>
      </c>
      <c r="O6284">
        <v>1.2296990000000001E-2</v>
      </c>
      <c r="P6284">
        <v>0.95679709999999996</v>
      </c>
      <c r="Q6284">
        <v>0.18046409999999999</v>
      </c>
      <c r="R6284">
        <v>0.2279737</v>
      </c>
      <c r="S6284">
        <v>2.7871549999999998</v>
      </c>
      <c r="T6284">
        <v>-0.34332309999999999</v>
      </c>
      <c r="U6284">
        <v>1.754761</v>
      </c>
      <c r="V6284">
        <v>-0.2172047</v>
      </c>
      <c r="W6284">
        <v>0.19087470000000001</v>
      </c>
      <c r="X6284">
        <v>0.95728210000000002</v>
      </c>
      <c r="Y6284">
        <v>-0.51922950000000001</v>
      </c>
      <c r="Z6284">
        <v>3.1384620000000002E-2</v>
      </c>
      <c r="AA6284">
        <v>0.8540584</v>
      </c>
      <c r="AB6284">
        <v>32</v>
      </c>
      <c r="AC6284">
        <v>0.76939999999998998</v>
      </c>
      <c r="AD6284">
        <v>-0.113937999999999</v>
      </c>
      <c r="AE6284">
        <v>0.57896999999999799</v>
      </c>
      <c r="AF6284">
        <v>-0.56160101697783205</v>
      </c>
      <c r="AG6284">
        <v>-0.113937999999999</v>
      </c>
      <c r="AH6284">
        <v>0.76574047290455005</v>
      </c>
      <c r="AI6284">
        <v>96.841888026513203</v>
      </c>
      <c r="AJ6284">
        <v>126.256659926285</v>
      </c>
      <c r="AK6284">
        <v>0.95641834045495999</v>
      </c>
      <c r="AL6284">
        <v>78.996165205063406</v>
      </c>
      <c r="AM6284">
        <v>102.783809154784</v>
      </c>
      <c r="AN6284">
        <v>1.00000002589129</v>
      </c>
    </row>
    <row r="6285" spans="1:40" x14ac:dyDescent="0.25">
      <c r="A6285" t="str">
        <f>"20190303162941329"</f>
        <v>20190303162941329</v>
      </c>
      <c r="B6285" t="str">
        <f>"1551601781318587"</f>
        <v>1551601781318587</v>
      </c>
      <c r="C6285" t="s">
        <v>40</v>
      </c>
      <c r="D6285">
        <v>4.5998769999999896</v>
      </c>
      <c r="E6285">
        <v>0.36222339999999997</v>
      </c>
      <c r="F6285" t="s">
        <v>44</v>
      </c>
      <c r="G6285">
        <v>-209.1105</v>
      </c>
      <c r="H6285">
        <v>1.0256019999999999</v>
      </c>
      <c r="I6285">
        <v>-61.951340000000002</v>
      </c>
      <c r="J6285">
        <v>-209.73660000000001</v>
      </c>
      <c r="K6285">
        <v>1.123508</v>
      </c>
      <c r="L6285">
        <v>-62.446959999999997</v>
      </c>
      <c r="M6285">
        <v>0.99983230000000001</v>
      </c>
      <c r="N6285">
        <v>-1.2065370000000001E-2</v>
      </c>
      <c r="O6285">
        <v>1.377388E-2</v>
      </c>
      <c r="P6285">
        <v>0.95581850000000002</v>
      </c>
      <c r="Q6285">
        <v>0.17996889999999999</v>
      </c>
      <c r="R6285">
        <v>0.23242660000000001</v>
      </c>
      <c r="S6285">
        <v>2.780853</v>
      </c>
      <c r="T6285">
        <v>-0.34529149999999997</v>
      </c>
      <c r="U6285">
        <v>1.7615050000000001</v>
      </c>
      <c r="V6285">
        <v>-0.22029480000000001</v>
      </c>
      <c r="W6285">
        <v>0.19030920000000001</v>
      </c>
      <c r="X6285">
        <v>0.95668830000000005</v>
      </c>
      <c r="Y6285">
        <v>-0.5202814</v>
      </c>
      <c r="Z6285">
        <v>3.1499920000000001E-2</v>
      </c>
      <c r="AA6285">
        <v>0.8534138</v>
      </c>
      <c r="AB6285">
        <v>32</v>
      </c>
      <c r="AC6285">
        <v>0.62610000000000798</v>
      </c>
      <c r="AD6285">
        <v>-9.7905999999999799E-2</v>
      </c>
      <c r="AE6285">
        <v>0.49561999999999501</v>
      </c>
      <c r="AF6285">
        <v>-0.47973668801652197</v>
      </c>
      <c r="AG6285">
        <v>-9.7905999999999799E-2</v>
      </c>
      <c r="AH6285">
        <v>0.62349476931467296</v>
      </c>
      <c r="AI6285">
        <v>97.094093340921006</v>
      </c>
      <c r="AJ6285">
        <v>127.57582683193699</v>
      </c>
      <c r="AK6285">
        <v>0.79276642337312697</v>
      </c>
      <c r="AL6285">
        <v>79.029170108516794</v>
      </c>
      <c r="AM6285">
        <v>102.967353050048</v>
      </c>
      <c r="AN6285">
        <v>0.99999994693428296</v>
      </c>
    </row>
    <row r="6286" spans="1:40" x14ac:dyDescent="0.25">
      <c r="A6286" t="str">
        <f>"20190303162941340"</f>
        <v>20190303162941340</v>
      </c>
      <c r="B6286" t="str">
        <f>"1551601781328348"</f>
        <v>1551601781328348</v>
      </c>
      <c r="C6286" t="s">
        <v>40</v>
      </c>
      <c r="D6286">
        <v>4.6093440000000001</v>
      </c>
      <c r="E6286">
        <v>0.3628883</v>
      </c>
      <c r="F6286" t="s">
        <v>44</v>
      </c>
      <c r="G6286">
        <v>-208.84299999999999</v>
      </c>
      <c r="H6286">
        <v>1.0121819999999999</v>
      </c>
      <c r="I6286">
        <v>-61.876849999999997</v>
      </c>
      <c r="J6286">
        <v>-209.5839</v>
      </c>
      <c r="K6286">
        <v>1.123597</v>
      </c>
      <c r="L6286">
        <v>-62.443539999999999</v>
      </c>
      <c r="M6286">
        <v>0.99981129999999996</v>
      </c>
      <c r="N6286">
        <v>-1.2069659999999999E-2</v>
      </c>
      <c r="O6286">
        <v>1.5220559999999999E-2</v>
      </c>
      <c r="P6286">
        <v>0.95480759999999998</v>
      </c>
      <c r="Q6286">
        <v>0.1796112</v>
      </c>
      <c r="R6286">
        <v>0.2368169</v>
      </c>
      <c r="S6286">
        <v>2.7733150000000002</v>
      </c>
      <c r="T6286">
        <v>-0.3455067</v>
      </c>
      <c r="U6286">
        <v>1.7699579999999999</v>
      </c>
      <c r="V6286">
        <v>-0.223353</v>
      </c>
      <c r="W6286">
        <v>0.18988140000000001</v>
      </c>
      <c r="X6286">
        <v>0.95606409999999997</v>
      </c>
      <c r="Y6286">
        <v>-0.52193120000000004</v>
      </c>
      <c r="Z6286">
        <v>3.1521220000000003E-2</v>
      </c>
      <c r="AA6286">
        <v>0.85240499999999997</v>
      </c>
      <c r="AB6286">
        <v>32</v>
      </c>
      <c r="AC6286">
        <v>0.74090000000001</v>
      </c>
      <c r="AD6286">
        <v>-0.111415</v>
      </c>
      <c r="AE6286">
        <v>0.56669000000000802</v>
      </c>
      <c r="AF6286">
        <v>-0.54753492487078703</v>
      </c>
      <c r="AG6286">
        <v>-0.111415</v>
      </c>
      <c r="AH6286">
        <v>0.73889826107405199</v>
      </c>
      <c r="AI6286">
        <v>96.907646214650796</v>
      </c>
      <c r="AJ6286">
        <v>126.539012075402</v>
      </c>
      <c r="AK6286">
        <v>0.92637920766633997</v>
      </c>
      <c r="AL6286">
        <v>79.054137477337704</v>
      </c>
      <c r="AM6286">
        <v>103.149444890029</v>
      </c>
      <c r="AN6286">
        <v>1.0000000359918799</v>
      </c>
    </row>
    <row r="6287" spans="1:40" x14ac:dyDescent="0.25">
      <c r="A6287" t="str">
        <f>"20190303162941355"</f>
        <v>20190303162941355</v>
      </c>
      <c r="B6287" t="str">
        <f>"1551601781338108"</f>
        <v>1551601781338108</v>
      </c>
      <c r="C6287" t="s">
        <v>40</v>
      </c>
      <c r="D6287">
        <v>4.6223190000000001</v>
      </c>
      <c r="E6287">
        <v>0.3636453</v>
      </c>
      <c r="F6287" t="s">
        <v>44</v>
      </c>
      <c r="G6287">
        <v>-208.82470000000001</v>
      </c>
      <c r="H6287">
        <v>1.0287770000000001</v>
      </c>
      <c r="I6287">
        <v>-61.955750000000002</v>
      </c>
      <c r="J6287">
        <v>-209.3828</v>
      </c>
      <c r="K6287">
        <v>1.1237170000000001</v>
      </c>
      <c r="L6287">
        <v>-62.438510000000001</v>
      </c>
      <c r="M6287">
        <v>0.99977850000000001</v>
      </c>
      <c r="N6287">
        <v>-1.207567E-2</v>
      </c>
      <c r="O6287">
        <v>1.7237679999999998E-2</v>
      </c>
      <c r="P6287">
        <v>0.95359210000000005</v>
      </c>
      <c r="Q6287">
        <v>0.17923810000000001</v>
      </c>
      <c r="R6287">
        <v>0.24194180000000001</v>
      </c>
      <c r="S6287">
        <v>2.766022</v>
      </c>
      <c r="T6287">
        <v>-0.34546070000000001</v>
      </c>
      <c r="U6287">
        <v>1.7778929999999999</v>
      </c>
      <c r="V6287">
        <v>-0.22661870000000001</v>
      </c>
      <c r="W6287">
        <v>0.18941930000000001</v>
      </c>
      <c r="X6287">
        <v>0.95538699999999999</v>
      </c>
      <c r="Y6287">
        <v>-0.52296109999999996</v>
      </c>
      <c r="Z6287">
        <v>3.1423119999999999E-2</v>
      </c>
      <c r="AA6287">
        <v>0.85177709999999995</v>
      </c>
      <c r="AB6287">
        <v>32</v>
      </c>
      <c r="AC6287">
        <v>0.55809999999999504</v>
      </c>
      <c r="AD6287">
        <v>-9.4939999999999997E-2</v>
      </c>
      <c r="AE6287">
        <v>0.48275999999999902</v>
      </c>
      <c r="AF6287">
        <v>-0.465364080116561</v>
      </c>
      <c r="AG6287">
        <v>-9.4939999999999997E-2</v>
      </c>
      <c r="AH6287">
        <v>0.55711741943063597</v>
      </c>
      <c r="AI6287">
        <v>97.451294234656302</v>
      </c>
      <c r="AJ6287">
        <v>129.87224370909399</v>
      </c>
      <c r="AK6287">
        <v>0.73209094359634397</v>
      </c>
      <c r="AL6287">
        <v>79.081102986108107</v>
      </c>
      <c r="AM6287">
        <v>103.34399770067699</v>
      </c>
      <c r="AN6287">
        <v>1.0000000130855899</v>
      </c>
    </row>
    <row r="6288" spans="1:40" x14ac:dyDescent="0.25">
      <c r="A6288" t="str">
        <f>"20190303162941366"</f>
        <v>20190303162941366</v>
      </c>
      <c r="B6288" t="str">
        <f>"1551601781358603"</f>
        <v>1551601781358603</v>
      </c>
      <c r="C6288" t="s">
        <v>40</v>
      </c>
      <c r="D6288">
        <v>4.6867020000000004</v>
      </c>
      <c r="E6288">
        <v>0.36509989999999998</v>
      </c>
      <c r="F6288" t="s">
        <v>44</v>
      </c>
      <c r="G6288">
        <v>-208.55269999999999</v>
      </c>
      <c r="H6288">
        <v>1.0198940000000001</v>
      </c>
      <c r="I6288">
        <v>-61.900590000000001</v>
      </c>
      <c r="J6288">
        <v>-209.209</v>
      </c>
      <c r="K6288">
        <v>1.123823</v>
      </c>
      <c r="L6288">
        <v>-62.433900000000001</v>
      </c>
      <c r="M6288">
        <v>0.99974569999999996</v>
      </c>
      <c r="N6288">
        <v>-1.2080850000000001E-2</v>
      </c>
      <c r="O6288">
        <v>1.9039710000000001E-2</v>
      </c>
      <c r="P6288">
        <v>0.95233710000000005</v>
      </c>
      <c r="Q6288">
        <v>0.17926139999999999</v>
      </c>
      <c r="R6288">
        <v>0.24681800000000001</v>
      </c>
      <c r="S6288">
        <v>2.757339</v>
      </c>
      <c r="T6288">
        <v>-0.34490999999999999</v>
      </c>
      <c r="U6288">
        <v>1.7873540000000001</v>
      </c>
      <c r="V6288">
        <v>-0.2298414</v>
      </c>
      <c r="W6288">
        <v>0.1893589</v>
      </c>
      <c r="X6288">
        <v>0.95462880000000006</v>
      </c>
      <c r="Y6288">
        <v>-0.52470469999999902</v>
      </c>
      <c r="Z6288">
        <v>3.1359959999999999E-2</v>
      </c>
      <c r="AA6288">
        <v>0.85070650000000003</v>
      </c>
      <c r="AB6288">
        <v>32</v>
      </c>
      <c r="AC6288">
        <v>0.65630000000001498</v>
      </c>
      <c r="AD6288">
        <v>-0.10392899999999899</v>
      </c>
      <c r="AE6288">
        <v>0.53330999999999995</v>
      </c>
      <c r="AF6288">
        <v>-0.51296902414770196</v>
      </c>
      <c r="AG6288">
        <v>-0.10392899999999899</v>
      </c>
      <c r="AH6288">
        <v>0.65642157788209898</v>
      </c>
      <c r="AI6288">
        <v>97.111044663131807</v>
      </c>
      <c r="AJ6288">
        <v>128.00630192656899</v>
      </c>
      <c r="AK6288">
        <v>0.83954019837365201</v>
      </c>
      <c r="AL6288">
        <v>79.084627335575803</v>
      </c>
      <c r="AM6288">
        <v>103.537181345817</v>
      </c>
      <c r="AN6288">
        <v>1.0000000039763</v>
      </c>
    </row>
    <row r="6289" spans="1:40" x14ac:dyDescent="0.25">
      <c r="A6289" t="str">
        <f>"20190303162941379"</f>
        <v>20190303162941379</v>
      </c>
      <c r="B6289" t="str">
        <f>"1551601781368364"</f>
        <v>1551601781368364</v>
      </c>
      <c r="C6289" t="s">
        <v>40</v>
      </c>
      <c r="D6289">
        <v>4.7064560000000002</v>
      </c>
      <c r="E6289">
        <v>0.36568529999999999</v>
      </c>
      <c r="F6289" t="s">
        <v>44</v>
      </c>
      <c r="G6289">
        <v>-208.2842</v>
      </c>
      <c r="H6289">
        <v>1.0092399999999999</v>
      </c>
      <c r="I6289">
        <v>-61.831949999999999</v>
      </c>
      <c r="J6289">
        <v>-209.0265</v>
      </c>
      <c r="K6289">
        <v>1.1239349999999999</v>
      </c>
      <c r="L6289">
        <v>-62.428530000000002</v>
      </c>
      <c r="M6289">
        <v>0.99970579999999998</v>
      </c>
      <c r="N6289">
        <v>-1.2086660000000001E-2</v>
      </c>
      <c r="O6289">
        <v>2.1032769999999999E-2</v>
      </c>
      <c r="P6289">
        <v>0.95101970000000002</v>
      </c>
      <c r="Q6289">
        <v>0.17868699999999901</v>
      </c>
      <c r="R6289">
        <v>0.25225500000000001</v>
      </c>
      <c r="S6289">
        <v>2.7502900000000001</v>
      </c>
      <c r="T6289">
        <v>-0.34075070000000002</v>
      </c>
      <c r="U6289">
        <v>1.7902530000000001</v>
      </c>
      <c r="V6289">
        <v>-0.23344490000000001</v>
      </c>
      <c r="W6289">
        <v>0.18869440000000001</v>
      </c>
      <c r="X6289">
        <v>0.95388569999999995</v>
      </c>
      <c r="Y6289">
        <v>-0.52470620000000001</v>
      </c>
      <c r="Z6289">
        <v>3.0880979999999999E-2</v>
      </c>
      <c r="AA6289">
        <v>0.85072309999999995</v>
      </c>
      <c r="AB6289">
        <v>32</v>
      </c>
      <c r="AC6289">
        <v>0.74229999999999996</v>
      </c>
      <c r="AD6289">
        <v>-0.11469500000000001</v>
      </c>
      <c r="AE6289">
        <v>0.596580000000002</v>
      </c>
      <c r="AF6289">
        <v>-0.57252963176191496</v>
      </c>
      <c r="AG6289">
        <v>-0.11469500000000001</v>
      </c>
      <c r="AH6289">
        <v>0.74389413863950005</v>
      </c>
      <c r="AI6289">
        <v>96.966108896579001</v>
      </c>
      <c r="AJ6289">
        <v>127.583268943714</v>
      </c>
      <c r="AK6289">
        <v>0.94568684656848101</v>
      </c>
      <c r="AL6289">
        <v>79.123399468111799</v>
      </c>
      <c r="AM6289">
        <v>103.75173156292</v>
      </c>
      <c r="AN6289">
        <v>1.0000000132959299</v>
      </c>
    </row>
    <row r="6290" spans="1:40" x14ac:dyDescent="0.25">
      <c r="A6290" t="str">
        <f>"20190303162941389"</f>
        <v>20190303162941389</v>
      </c>
      <c r="B6290" t="str">
        <f>"1551601781378123"</f>
        <v>1551601781378123</v>
      </c>
      <c r="C6290" t="s">
        <v>40</v>
      </c>
      <c r="D6290">
        <v>4.6904839999999997</v>
      </c>
      <c r="E6290">
        <v>0.3662724</v>
      </c>
      <c r="F6290" t="s">
        <v>44</v>
      </c>
      <c r="G6290">
        <v>-208.26179999999999</v>
      </c>
      <c r="H6290">
        <v>1.028675</v>
      </c>
      <c r="I6290">
        <v>-61.926099999999998</v>
      </c>
      <c r="J6290">
        <v>-208.87880000000001</v>
      </c>
      <c r="K6290">
        <v>1.124023</v>
      </c>
      <c r="L6290">
        <v>-62.423859999999998</v>
      </c>
      <c r="M6290">
        <v>0.99966920000000004</v>
      </c>
      <c r="N6290">
        <v>-1.209151E-2</v>
      </c>
      <c r="O6290">
        <v>2.27026E-2</v>
      </c>
      <c r="P6290">
        <v>0.94974820000000004</v>
      </c>
      <c r="Q6290">
        <v>0.1780825</v>
      </c>
      <c r="R6290">
        <v>0.25741989999999998</v>
      </c>
      <c r="S6290">
        <v>2.7409210000000002</v>
      </c>
      <c r="T6290">
        <v>-0.34144809999999998</v>
      </c>
      <c r="U6290">
        <v>1.801086</v>
      </c>
      <c r="V6290">
        <v>-0.2370768</v>
      </c>
      <c r="W6290">
        <v>0.18801019999999999</v>
      </c>
      <c r="X6290">
        <v>0.95312470000000005</v>
      </c>
      <c r="Y6290">
        <v>-0.52693939999999995</v>
      </c>
      <c r="Z6290">
        <v>3.096405E-2</v>
      </c>
      <c r="AA6290">
        <v>0.849338699999999</v>
      </c>
      <c r="AB6290">
        <v>32</v>
      </c>
      <c r="AC6290">
        <v>0.61700000000001798</v>
      </c>
      <c r="AD6290">
        <v>-9.5348000000000002E-2</v>
      </c>
      <c r="AE6290">
        <v>0.49775999999999898</v>
      </c>
      <c r="AF6290">
        <v>-0.47672681326694999</v>
      </c>
      <c r="AG6290">
        <v>-9.5348000000000002E-2</v>
      </c>
      <c r="AH6290">
        <v>0.61918506844017895</v>
      </c>
      <c r="AI6290">
        <v>96.956544338991307</v>
      </c>
      <c r="AJ6290">
        <v>127.59361687845301</v>
      </c>
      <c r="AK6290">
        <v>0.78724192251869496</v>
      </c>
      <c r="AL6290">
        <v>79.1633151950073</v>
      </c>
      <c r="AM6290">
        <v>103.96808267409</v>
      </c>
      <c r="AN6290">
        <v>0.99999996907618405</v>
      </c>
    </row>
    <row r="6291" spans="1:40" x14ac:dyDescent="0.25">
      <c r="A6291" t="str">
        <f>"20190303162941398"</f>
        <v>20190303162941398</v>
      </c>
      <c r="B6291" t="str">
        <f>"1551601781387883"</f>
        <v>1551601781387883</v>
      </c>
      <c r="C6291" t="s">
        <v>40</v>
      </c>
      <c r="D6291">
        <v>4.7195320000000001</v>
      </c>
      <c r="E6291">
        <v>0.36691970000000002</v>
      </c>
      <c r="F6291" t="s">
        <v>44</v>
      </c>
      <c r="G6291">
        <v>-207.9975</v>
      </c>
      <c r="H6291">
        <v>1.0138180000000001</v>
      </c>
      <c r="I6291">
        <v>-61.839779999999998</v>
      </c>
      <c r="J6291">
        <v>-208.73990000000001</v>
      </c>
      <c r="K6291">
        <v>1.124106</v>
      </c>
      <c r="L6291">
        <v>-62.419249999999998</v>
      </c>
      <c r="M6291">
        <v>0.9996313</v>
      </c>
      <c r="N6291">
        <v>-1.209608E-2</v>
      </c>
      <c r="O6291">
        <v>2.4308059999999999E-2</v>
      </c>
      <c r="P6291">
        <v>0.94834430000000003</v>
      </c>
      <c r="Q6291">
        <v>0.17772060000000001</v>
      </c>
      <c r="R6291">
        <v>0.26279010000000003</v>
      </c>
      <c r="S6291">
        <v>2.7319640000000001</v>
      </c>
      <c r="T6291">
        <v>-0.34165620000000002</v>
      </c>
      <c r="U6291">
        <v>1.810883</v>
      </c>
      <c r="V6291">
        <v>-0.24097959999999999</v>
      </c>
      <c r="W6291">
        <v>0.1875677</v>
      </c>
      <c r="X6291">
        <v>0.95223270000000004</v>
      </c>
      <c r="Y6291">
        <v>-0.52895439999999905</v>
      </c>
      <c r="Z6291">
        <v>3.0999599999999999E-2</v>
      </c>
      <c r="AA6291">
        <v>0.8480839</v>
      </c>
      <c r="AB6291">
        <v>32</v>
      </c>
      <c r="AC6291">
        <v>0.74240000000000295</v>
      </c>
      <c r="AD6291">
        <v>-0.110287999999999</v>
      </c>
      <c r="AE6291">
        <v>0.57946999999999305</v>
      </c>
      <c r="AF6291">
        <v>-0.55365831597399295</v>
      </c>
      <c r="AG6291">
        <v>-0.110287999999999</v>
      </c>
      <c r="AH6291">
        <v>0.74603636139366103</v>
      </c>
      <c r="AI6291">
        <v>96.770030333086297</v>
      </c>
      <c r="AJ6291">
        <v>126.580334866523</v>
      </c>
      <c r="AK6291">
        <v>0.93555931202284104</v>
      </c>
      <c r="AL6291">
        <v>79.189127726290707</v>
      </c>
      <c r="AM6291">
        <v>104.201565503826</v>
      </c>
      <c r="AN6291">
        <v>0.99999996232436905</v>
      </c>
    </row>
    <row r="6292" spans="1:40" x14ac:dyDescent="0.25">
      <c r="A6292" t="str">
        <f>"20190303162941408"</f>
        <v>20190303162941408</v>
      </c>
      <c r="B6292" t="str">
        <f>"1551601781398619"</f>
        <v>1551601781398619</v>
      </c>
      <c r="C6292" t="s">
        <v>40</v>
      </c>
      <c r="D6292">
        <v>4.722842</v>
      </c>
      <c r="E6292">
        <v>0.36756470000000002</v>
      </c>
      <c r="F6292" t="s">
        <v>44</v>
      </c>
      <c r="G6292">
        <v>-207.9802</v>
      </c>
      <c r="H6292">
        <v>1.028632</v>
      </c>
      <c r="I6292">
        <v>-61.911320000000003</v>
      </c>
      <c r="J6292">
        <v>-208.60990000000001</v>
      </c>
      <c r="K6292">
        <v>1.12418</v>
      </c>
      <c r="L6292">
        <v>-62.414639999999999</v>
      </c>
      <c r="M6292">
        <v>0.99959240000000005</v>
      </c>
      <c r="N6292">
        <v>-1.2100349999999999E-2</v>
      </c>
      <c r="O6292">
        <v>2.5857370000000001E-2</v>
      </c>
      <c r="P6292">
        <v>0.94668269999999999</v>
      </c>
      <c r="Q6292">
        <v>0.1774828</v>
      </c>
      <c r="R6292">
        <v>0.26887119999999998</v>
      </c>
      <c r="S6292">
        <v>2.7229920000000001</v>
      </c>
      <c r="T6292">
        <v>-0.342225</v>
      </c>
      <c r="U6292">
        <v>1.8208009999999999</v>
      </c>
      <c r="V6292">
        <v>-0.24565490000000001</v>
      </c>
      <c r="W6292">
        <v>0.18724260000000001</v>
      </c>
      <c r="X6292">
        <v>0.95110139999999999</v>
      </c>
      <c r="Y6292">
        <v>-0.53103979999999995</v>
      </c>
      <c r="Z6292">
        <v>3.1073460000000001E-2</v>
      </c>
      <c r="AA6292">
        <v>0.846777</v>
      </c>
      <c r="AB6292">
        <v>32</v>
      </c>
      <c r="AC6292">
        <v>0.62970000000001303</v>
      </c>
      <c r="AD6292">
        <v>-9.5547999999999897E-2</v>
      </c>
      <c r="AE6292">
        <v>0.50332000000000898</v>
      </c>
      <c r="AF6292">
        <v>-0.48012312892286801</v>
      </c>
      <c r="AG6292">
        <v>-9.5547999999999897E-2</v>
      </c>
      <c r="AH6292">
        <v>0.63360376616484004</v>
      </c>
      <c r="AI6292">
        <v>96.853573044806794</v>
      </c>
      <c r="AJ6292">
        <v>127.153596417247</v>
      </c>
      <c r="AK6292">
        <v>0.80068806143775795</v>
      </c>
      <c r="AL6292">
        <v>79.208090935056205</v>
      </c>
      <c r="AM6292">
        <v>104.482119124281</v>
      </c>
      <c r="AN6292">
        <v>0.99999999711536403</v>
      </c>
    </row>
    <row r="6293" spans="1:40" x14ac:dyDescent="0.25">
      <c r="A6293" t="str">
        <f>"20190303162941418"</f>
        <v>20190303162941418</v>
      </c>
      <c r="B6293" t="str">
        <f>"1551601781408380"</f>
        <v>1551601781408380</v>
      </c>
      <c r="C6293" t="s">
        <v>40</v>
      </c>
      <c r="D6293">
        <v>4.7275919999999996</v>
      </c>
      <c r="E6293">
        <v>0.36756470000000002</v>
      </c>
      <c r="F6293" t="s">
        <v>44</v>
      </c>
      <c r="G6293">
        <v>-207.7192</v>
      </c>
      <c r="H6293">
        <v>1.01203</v>
      </c>
      <c r="I6293">
        <v>-61.812820000000002</v>
      </c>
      <c r="J6293">
        <v>-208.47</v>
      </c>
      <c r="K6293">
        <v>1.1242509999999999</v>
      </c>
      <c r="L6293">
        <v>-62.409480000000002</v>
      </c>
      <c r="M6293">
        <v>0.99954679999999996</v>
      </c>
      <c r="N6293">
        <v>-1.210487E-2</v>
      </c>
      <c r="O6293">
        <v>2.7560939999999999E-2</v>
      </c>
      <c r="P6293">
        <v>0.94502459999999999</v>
      </c>
      <c r="Q6293">
        <v>0.177096799999999</v>
      </c>
      <c r="R6293">
        <v>0.27489130000000001</v>
      </c>
      <c r="S6293">
        <v>2.7124630000000001</v>
      </c>
      <c r="T6293">
        <v>-0.34152840000000001</v>
      </c>
      <c r="U6293">
        <v>1.8326720000000001</v>
      </c>
      <c r="V6293">
        <v>-0.25012659999999998</v>
      </c>
      <c r="W6293">
        <v>0.18676760000000001</v>
      </c>
      <c r="X6293">
        <v>0.95002869999999995</v>
      </c>
      <c r="Y6293">
        <v>-0.53365620000000002</v>
      </c>
      <c r="Z6293">
        <v>3.1073610000000002E-2</v>
      </c>
      <c r="AA6293">
        <v>0.84513039999999995</v>
      </c>
      <c r="AB6293">
        <v>32</v>
      </c>
      <c r="AC6293">
        <v>0.75079999999999802</v>
      </c>
      <c r="AD6293">
        <v>-0.112221</v>
      </c>
      <c r="AE6293">
        <v>0.59666000000000696</v>
      </c>
      <c r="AF6293">
        <v>-0.56796190752779696</v>
      </c>
      <c r="AG6293">
        <v>-0.112221</v>
      </c>
      <c r="AH6293">
        <v>0.75660029604661005</v>
      </c>
      <c r="AI6293">
        <v>96.764794845965994</v>
      </c>
      <c r="AJ6293">
        <v>126.89468888402899</v>
      </c>
      <c r="AK6293">
        <v>0.95269002787970403</v>
      </c>
      <c r="AL6293">
        <v>79.235795102816496</v>
      </c>
      <c r="AM6293">
        <v>104.750277313746</v>
      </c>
      <c r="AN6293">
        <v>0.99999999163050401</v>
      </c>
    </row>
    <row r="6294" spans="1:40" x14ac:dyDescent="0.25">
      <c r="A6294" t="str">
        <f>"20190303162941429"</f>
        <v>20190303162941429</v>
      </c>
      <c r="B6294" t="str">
        <f>"1551601781418140"</f>
        <v>1551601781418140</v>
      </c>
      <c r="C6294" t="s">
        <v>40</v>
      </c>
      <c r="D6294">
        <v>4.7227829999999997</v>
      </c>
      <c r="E6294">
        <v>0.38412210000000002</v>
      </c>
      <c r="F6294" t="s">
        <v>44</v>
      </c>
      <c r="G6294">
        <v>-207.70179999999999</v>
      </c>
      <c r="H6294">
        <v>1.026513</v>
      </c>
      <c r="I6294">
        <v>-61.883589999999998</v>
      </c>
      <c r="J6294">
        <v>-208.3091</v>
      </c>
      <c r="K6294">
        <v>1.1243379999999901</v>
      </c>
      <c r="L6294">
        <v>-62.403170000000003</v>
      </c>
      <c r="M6294">
        <v>0.99948930000000002</v>
      </c>
      <c r="N6294">
        <v>-1.21101E-2</v>
      </c>
      <c r="O6294">
        <v>2.9575440000000001E-2</v>
      </c>
      <c r="P6294">
        <v>0.94312580000000001</v>
      </c>
      <c r="Q6294">
        <v>0.17683579999999999</v>
      </c>
      <c r="R6294">
        <v>0.281501</v>
      </c>
      <c r="S6294">
        <v>2.70105</v>
      </c>
      <c r="T6294">
        <v>-0.34367389999999998</v>
      </c>
      <c r="U6294">
        <v>1.849121</v>
      </c>
      <c r="V6294">
        <v>-0.25490780000000002</v>
      </c>
      <c r="W6294">
        <v>0.1864064</v>
      </c>
      <c r="X6294">
        <v>0.948828</v>
      </c>
      <c r="Y6294">
        <v>-0.53706229999999999</v>
      </c>
      <c r="Z6294">
        <v>3.1314660000000001E-2</v>
      </c>
      <c r="AA6294">
        <v>0.84296109999999902</v>
      </c>
      <c r="AB6294">
        <v>32</v>
      </c>
      <c r="AC6294">
        <v>0.60730000000000905</v>
      </c>
      <c r="AD6294">
        <v>-9.7824999999999801E-2</v>
      </c>
      <c r="AE6294">
        <v>0.51957999999999005</v>
      </c>
      <c r="AF6294">
        <v>-0.49398957116658598</v>
      </c>
      <c r="AG6294">
        <v>-9.7824999999999801E-2</v>
      </c>
      <c r="AH6294">
        <v>0.61321544142676798</v>
      </c>
      <c r="AI6294">
        <v>97.081684718079799</v>
      </c>
      <c r="AJ6294">
        <v>128.85396736045001</v>
      </c>
      <c r="AK6294">
        <v>0.79349140174961796</v>
      </c>
      <c r="AL6294">
        <v>79.256859856257705</v>
      </c>
      <c r="AM6294">
        <v>105.03774747798001</v>
      </c>
      <c r="AN6294">
        <v>0.99999995302289801</v>
      </c>
    </row>
    <row r="6295" spans="1:40" x14ac:dyDescent="0.25">
      <c r="A6295" t="str">
        <f>"20190303162941442"</f>
        <v>20190303162941442</v>
      </c>
      <c r="B6295" t="str">
        <f>"1551601781427900"</f>
        <v>1551601781427900</v>
      </c>
      <c r="C6295" t="s">
        <v>40</v>
      </c>
      <c r="D6295">
        <v>4.7277100000000001</v>
      </c>
      <c r="E6295">
        <v>0.38472119999999999</v>
      </c>
      <c r="F6295" t="s">
        <v>44</v>
      </c>
      <c r="G6295">
        <v>-207.42769999999999</v>
      </c>
      <c r="H6295">
        <v>1.0350109999999999</v>
      </c>
      <c r="I6295">
        <v>-61.837969999999999</v>
      </c>
      <c r="J6295">
        <v>-208.14410000000001</v>
      </c>
      <c r="K6295">
        <v>1.1244270000000001</v>
      </c>
      <c r="L6295">
        <v>-62.396389999999997</v>
      </c>
      <c r="M6295">
        <v>0.99942470000000005</v>
      </c>
      <c r="N6295">
        <v>-1.211535E-2</v>
      </c>
      <c r="O6295">
        <v>3.1682259999999997E-2</v>
      </c>
      <c r="P6295">
        <v>0.94105950000000005</v>
      </c>
      <c r="Q6295">
        <v>0.17603099999999999</v>
      </c>
      <c r="R6295">
        <v>0.28882590000000002</v>
      </c>
      <c r="S6295">
        <v>2.713165</v>
      </c>
      <c r="T6295">
        <v>-0.27498070000000002</v>
      </c>
      <c r="U6295">
        <v>1.7398070000000001</v>
      </c>
      <c r="V6295">
        <v>-0.2603239</v>
      </c>
      <c r="W6295">
        <v>0.18549280000000001</v>
      </c>
      <c r="X6295">
        <v>0.94753569999999998</v>
      </c>
      <c r="Y6295">
        <v>-0.51080689999999995</v>
      </c>
      <c r="Z6295">
        <v>2.4410959999999999E-2</v>
      </c>
      <c r="AA6295">
        <v>0.85934880000000002</v>
      </c>
      <c r="AB6295">
        <v>32</v>
      </c>
      <c r="AC6295">
        <v>0.71640000000002102</v>
      </c>
      <c r="AD6295">
        <v>-8.9415999999999898E-2</v>
      </c>
      <c r="AE6295">
        <v>0.55842000000000502</v>
      </c>
      <c r="AF6295">
        <v>-0.53030192872767701</v>
      </c>
      <c r="AG6295">
        <v>-8.9415999999999898E-2</v>
      </c>
      <c r="AH6295">
        <v>0.726691642553003</v>
      </c>
      <c r="AI6295">
        <v>95.676214432282904</v>
      </c>
      <c r="AJ6295">
        <v>126.12003193771601</v>
      </c>
      <c r="AK6295">
        <v>0.90404430202544594</v>
      </c>
      <c r="AL6295">
        <v>79.310135018511502</v>
      </c>
      <c r="AM6295">
        <v>105.362285074703</v>
      </c>
      <c r="AN6295">
        <v>1.00000000726877</v>
      </c>
    </row>
    <row r="6296" spans="1:40" x14ac:dyDescent="0.25">
      <c r="A6296" t="str">
        <f>"20190303162941453"</f>
        <v>20190303162941453</v>
      </c>
      <c r="B6296" t="str">
        <f>"1551601781448396"</f>
        <v>1551601781448396</v>
      </c>
      <c r="C6296" t="s">
        <v>40</v>
      </c>
      <c r="D6296">
        <v>4.6790229999999999</v>
      </c>
      <c r="E6296">
        <v>0.36659340000000001</v>
      </c>
      <c r="F6296" t="s">
        <v>44</v>
      </c>
      <c r="G6296">
        <v>-207.40780000000001</v>
      </c>
      <c r="H6296">
        <v>1.049606</v>
      </c>
      <c r="I6296">
        <v>-61.917760000000001</v>
      </c>
      <c r="J6296">
        <v>-207.9829</v>
      </c>
      <c r="K6296">
        <v>1.1245130000000001</v>
      </c>
      <c r="L6296">
        <v>-62.389220000000002</v>
      </c>
      <c r="M6296">
        <v>0.99935439999999998</v>
      </c>
      <c r="N6296">
        <v>-1.2120840000000001E-2</v>
      </c>
      <c r="O6296">
        <v>3.3818719999999997E-2</v>
      </c>
      <c r="P6296">
        <v>0.93884630000000002</v>
      </c>
      <c r="Q6296">
        <v>0.17545920000000001</v>
      </c>
      <c r="R6296">
        <v>0.29627969999999998</v>
      </c>
      <c r="S6296">
        <v>2.7004549999999998</v>
      </c>
      <c r="T6296">
        <v>-0.2744297</v>
      </c>
      <c r="U6296">
        <v>1.755463</v>
      </c>
      <c r="V6296">
        <v>-0.26585160000000002</v>
      </c>
      <c r="W6296">
        <v>0.18480959999999999</v>
      </c>
      <c r="X6296">
        <v>0.94613340000000001</v>
      </c>
      <c r="Y6296">
        <v>-0.51430529999999997</v>
      </c>
      <c r="Z6296">
        <v>2.4440699999999999E-2</v>
      </c>
      <c r="AA6296">
        <v>0.85725890000000005</v>
      </c>
      <c r="AB6296">
        <v>32</v>
      </c>
      <c r="AC6296">
        <v>0.57509999999999195</v>
      </c>
      <c r="AD6296">
        <v>-7.4906999999999793E-2</v>
      </c>
      <c r="AE6296">
        <v>0.47145999999999999</v>
      </c>
      <c r="AF6296">
        <v>-0.44720224713206802</v>
      </c>
      <c r="AG6296">
        <v>-7.4906999999999793E-2</v>
      </c>
      <c r="AH6296">
        <v>0.58478294050448598</v>
      </c>
      <c r="AI6296">
        <v>95.809903764887693</v>
      </c>
      <c r="AJ6296">
        <v>127.406302077921</v>
      </c>
      <c r="AK6296">
        <v>0.73998107813243796</v>
      </c>
      <c r="AL6296">
        <v>79.3499685196645</v>
      </c>
      <c r="AM6296">
        <v>105.694695927151</v>
      </c>
      <c r="AN6296">
        <v>1.00000003603513</v>
      </c>
    </row>
    <row r="6297" spans="1:40" x14ac:dyDescent="0.25">
      <c r="A6297" t="str">
        <f>"20190303162941464"</f>
        <v>20190303162941464</v>
      </c>
      <c r="B6297" t="str">
        <f>"1551601781458156"</f>
        <v>1551601781458156</v>
      </c>
      <c r="C6297" t="s">
        <v>40</v>
      </c>
      <c r="D6297">
        <v>4.6768580000000002</v>
      </c>
      <c r="E6297">
        <v>0.35710380000000003</v>
      </c>
      <c r="F6297" t="s">
        <v>44</v>
      </c>
      <c r="G6297">
        <v>-207.1541</v>
      </c>
      <c r="H6297">
        <v>1.0138100000000001</v>
      </c>
      <c r="I6297">
        <v>-61.791960000000003</v>
      </c>
      <c r="J6297">
        <v>-207.82499999999999</v>
      </c>
      <c r="K6297">
        <v>1.124592</v>
      </c>
      <c r="L6297">
        <v>-62.38205</v>
      </c>
      <c r="M6297">
        <v>0.99928070000000002</v>
      </c>
      <c r="N6297">
        <v>-1.212601E-2</v>
      </c>
      <c r="O6297">
        <v>3.593143E-2</v>
      </c>
      <c r="P6297">
        <v>0.93658149999999996</v>
      </c>
      <c r="Q6297">
        <v>0.1743584</v>
      </c>
      <c r="R6297">
        <v>0.30399710000000002</v>
      </c>
      <c r="S6297">
        <v>2.6572269999999998</v>
      </c>
      <c r="T6297">
        <v>-0.35496739999999999</v>
      </c>
      <c r="U6297">
        <v>1.915619</v>
      </c>
      <c r="V6297">
        <v>-0.27166859999999998</v>
      </c>
      <c r="W6297">
        <v>0.18359339999999999</v>
      </c>
      <c r="X6297">
        <v>0.94471669999999996</v>
      </c>
      <c r="Y6297">
        <v>-0.55182109999999995</v>
      </c>
      <c r="Z6297">
        <v>3.2732509999999999E-2</v>
      </c>
      <c r="AA6297">
        <v>0.83331999999999995</v>
      </c>
      <c r="AB6297">
        <v>32</v>
      </c>
      <c r="AC6297">
        <v>0.67089999999998895</v>
      </c>
      <c r="AD6297">
        <v>-0.11078199999999901</v>
      </c>
      <c r="AE6297">
        <v>0.590090000000003</v>
      </c>
      <c r="AF6297">
        <v>-0.55703726596111403</v>
      </c>
      <c r="AG6297">
        <v>-0.11078199999999901</v>
      </c>
      <c r="AH6297">
        <v>0.68119881633053903</v>
      </c>
      <c r="AI6297">
        <v>97.175498696698995</v>
      </c>
      <c r="AJ6297">
        <v>129.27392481456701</v>
      </c>
      <c r="AK6297">
        <v>0.88690190808429303</v>
      </c>
      <c r="AL6297">
        <v>79.420864447653301</v>
      </c>
      <c r="AM6297">
        <v>106.04344712333901</v>
      </c>
      <c r="AN6297">
        <v>1.0000000040042001</v>
      </c>
    </row>
    <row r="6298" spans="1:40" x14ac:dyDescent="0.25">
      <c r="A6298" t="str">
        <f>"20190303162941474"</f>
        <v>20190303162941474</v>
      </c>
      <c r="B6298" t="str">
        <f>"1551601781467915"</f>
        <v>1551601781467915</v>
      </c>
      <c r="C6298" t="s">
        <v>40</v>
      </c>
      <c r="D6298">
        <v>4.5894769999999996</v>
      </c>
      <c r="E6298">
        <v>0.35710380000000003</v>
      </c>
      <c r="F6298" t="s">
        <v>57</v>
      </c>
      <c r="G6298">
        <v>-200.0658</v>
      </c>
      <c r="H6298" s="1">
        <v>-6.3002500000000004E-6</v>
      </c>
      <c r="I6298">
        <v>-56.433900000000001</v>
      </c>
      <c r="J6298">
        <v>-207.6669</v>
      </c>
      <c r="K6298">
        <v>1.124674</v>
      </c>
      <c r="L6298">
        <v>-62.37424</v>
      </c>
      <c r="M6298">
        <v>0.9991989</v>
      </c>
      <c r="N6298">
        <v>-1.213177E-2</v>
      </c>
      <c r="O6298">
        <v>3.8134559999999998E-2</v>
      </c>
      <c r="P6298">
        <v>0.93436540000000001</v>
      </c>
      <c r="Q6298">
        <v>0.17271900000000001</v>
      </c>
      <c r="R6298">
        <v>0.31165609999999999</v>
      </c>
      <c r="S6298">
        <v>2.6215519999999999</v>
      </c>
      <c r="T6298">
        <v>-0.3799632</v>
      </c>
      <c r="U6298">
        <v>2.009674</v>
      </c>
      <c r="V6298">
        <v>-0.27734350000000002</v>
      </c>
      <c r="W6298">
        <v>0.18183859999999999</v>
      </c>
      <c r="X6298">
        <v>0.94340619999999997</v>
      </c>
      <c r="Y6298">
        <v>-0.57368889999999995</v>
      </c>
      <c r="Z6298">
        <v>3.6102849999999999E-2</v>
      </c>
      <c r="AA6298">
        <v>0.81827720000000004</v>
      </c>
      <c r="AB6298">
        <v>32</v>
      </c>
      <c r="AC6298">
        <v>7.6010999999999997</v>
      </c>
      <c r="AD6298">
        <v>-1.1246803002500001</v>
      </c>
      <c r="AE6298">
        <v>5.9403399999999902</v>
      </c>
      <c r="AF6298">
        <v>-5.5704208181572401</v>
      </c>
      <c r="AG6298">
        <v>-1.1246803002500001</v>
      </c>
      <c r="AH6298">
        <v>7.7172286859805697</v>
      </c>
      <c r="AI6298">
        <v>96.739283938755307</v>
      </c>
      <c r="AJ6298">
        <v>125.822361960503</v>
      </c>
      <c r="AK6298">
        <v>9.5838464334969107</v>
      </c>
      <c r="AL6298">
        <v>79.523128339680497</v>
      </c>
      <c r="AM6298">
        <v>106.382334226857</v>
      </c>
      <c r="AN6298">
        <v>0.99999997582032396</v>
      </c>
    </row>
    <row r="6299" spans="1:40" x14ac:dyDescent="0.25">
      <c r="A6299" t="str">
        <f>"20190303162941486"</f>
        <v>20190303162941486</v>
      </c>
      <c r="B6299" t="str">
        <f>"1551601781477675"</f>
        <v>1551601781477675</v>
      </c>
      <c r="C6299" t="s">
        <v>40</v>
      </c>
      <c r="D6299">
        <v>4.6034189999999997</v>
      </c>
      <c r="E6299">
        <v>0.30412159999999999</v>
      </c>
      <c r="F6299" t="s">
        <v>44</v>
      </c>
      <c r="G6299">
        <v>-206.87729999999999</v>
      </c>
      <c r="H6299">
        <v>1.0079260000000001</v>
      </c>
      <c r="I6299">
        <v>-61.758609999999997</v>
      </c>
      <c r="J6299">
        <v>-207.5104</v>
      </c>
      <c r="K6299">
        <v>1.1247499999999999</v>
      </c>
      <c r="L6299">
        <v>-62.366300000000003</v>
      </c>
      <c r="M6299">
        <v>0.99911249999999996</v>
      </c>
      <c r="N6299">
        <v>-1.213734E-2</v>
      </c>
      <c r="O6299">
        <v>4.0336999999999998E-2</v>
      </c>
      <c r="P6299">
        <v>0.93191559999999996</v>
      </c>
      <c r="Q6299">
        <v>0.1710739</v>
      </c>
      <c r="R6299">
        <v>0.31979239999999998</v>
      </c>
      <c r="S6299">
        <v>2.6045379999999998</v>
      </c>
      <c r="T6299">
        <v>-0.38511820000000002</v>
      </c>
      <c r="U6299">
        <v>2.0307919999999999</v>
      </c>
      <c r="V6299">
        <v>-0.28350999999999998</v>
      </c>
      <c r="W6299">
        <v>0.18006920000000001</v>
      </c>
      <c r="X6299">
        <v>0.94191150000000001</v>
      </c>
      <c r="Y6299">
        <v>-0.57845369999999996</v>
      </c>
      <c r="Z6299">
        <v>3.6720040000000002E-2</v>
      </c>
      <c r="AA6299">
        <v>0.81488830000000001</v>
      </c>
      <c r="AB6299">
        <v>32</v>
      </c>
      <c r="AC6299">
        <v>0.63310000000001299</v>
      </c>
      <c r="AD6299">
        <v>-0.116823999999999</v>
      </c>
      <c r="AE6299">
        <v>0.60769000000000495</v>
      </c>
      <c r="AF6299">
        <v>-0.57152744087031704</v>
      </c>
      <c r="AG6299">
        <v>-0.116823999999999</v>
      </c>
      <c r="AH6299">
        <v>0.64565646338034699</v>
      </c>
      <c r="AI6299">
        <v>97.715662155730101</v>
      </c>
      <c r="AJ6299">
        <v>131.514872873977</v>
      </c>
      <c r="AK6299">
        <v>0.87015155653977405</v>
      </c>
      <c r="AL6299">
        <v>79.6262100462462</v>
      </c>
      <c r="AM6299">
        <v>106.751495648163</v>
      </c>
      <c r="AN6299">
        <v>1.00000005536044</v>
      </c>
    </row>
    <row r="6300" spans="1:40" x14ac:dyDescent="0.25">
      <c r="A6300" t="str">
        <f>"20190303162941496"</f>
        <v>20190303162941496</v>
      </c>
      <c r="B6300" t="str">
        <f>"1551601781488411"</f>
        <v>1551601781488411</v>
      </c>
      <c r="C6300" t="s">
        <v>40</v>
      </c>
      <c r="D6300">
        <v>4.6092620000000002</v>
      </c>
      <c r="E6300">
        <v>0.30354799999999998</v>
      </c>
      <c r="F6300" t="s">
        <v>57</v>
      </c>
      <c r="G6300">
        <v>-202.08539999999999</v>
      </c>
      <c r="H6300" s="1">
        <v>-5.3957239999999997E-6</v>
      </c>
      <c r="I6300">
        <v>-56.976010000000002</v>
      </c>
      <c r="J6300">
        <v>-207.36320000000001</v>
      </c>
      <c r="K6300">
        <v>1.1248279999999999</v>
      </c>
      <c r="L6300">
        <v>-62.358339999999998</v>
      </c>
      <c r="M6300">
        <v>0.99902400000000002</v>
      </c>
      <c r="N6300">
        <v>-1.2143080000000001E-2</v>
      </c>
      <c r="O6300">
        <v>4.2470389999999997E-2</v>
      </c>
      <c r="P6300">
        <v>0.92967639999999996</v>
      </c>
      <c r="Q6300">
        <v>0.1698094</v>
      </c>
      <c r="R6300">
        <v>0.32690469999999999</v>
      </c>
      <c r="S6300">
        <v>2.470764</v>
      </c>
      <c r="T6300">
        <v>-0.51225880000000001</v>
      </c>
      <c r="U6300">
        <v>2.4549560000000001</v>
      </c>
      <c r="V6300">
        <v>-0.2887189</v>
      </c>
      <c r="W6300">
        <v>0.1786914</v>
      </c>
      <c r="X6300">
        <v>0.9405907</v>
      </c>
      <c r="Y6300">
        <v>-0.66666440000000005</v>
      </c>
      <c r="Z6300">
        <v>5.495879E-2</v>
      </c>
      <c r="AA6300">
        <v>0.74332909999999996</v>
      </c>
      <c r="AB6300">
        <v>32</v>
      </c>
      <c r="AC6300">
        <v>5.2778000000000098</v>
      </c>
      <c r="AD6300">
        <v>-1.124833395724</v>
      </c>
      <c r="AE6300">
        <v>5.3823299999999996</v>
      </c>
      <c r="AF6300">
        <v>-5.04106257430968</v>
      </c>
      <c r="AG6300">
        <v>-1.124833395724</v>
      </c>
      <c r="AH6300">
        <v>5.3818130276676897</v>
      </c>
      <c r="AI6300">
        <v>98.6730399922251</v>
      </c>
      <c r="AJ6300">
        <v>133.12752138363501</v>
      </c>
      <c r="AK6300">
        <v>7.4593212500210297</v>
      </c>
      <c r="AL6300">
        <v>79.706453606080998</v>
      </c>
      <c r="AM6300">
        <v>107.064123358476</v>
      </c>
      <c r="AN6300">
        <v>1.00000004228882</v>
      </c>
    </row>
    <row r="6301" spans="1:40" x14ac:dyDescent="0.25">
      <c r="A6301" t="str">
        <f>"20190303162941507"</f>
        <v>20190303162941507</v>
      </c>
      <c r="B6301" t="str">
        <f>"1551601781498173"</f>
        <v>1551601781498173</v>
      </c>
      <c r="C6301" t="s">
        <v>40</v>
      </c>
      <c r="D6301">
        <v>4.5819729999999996</v>
      </c>
      <c r="E6301">
        <v>0.30571969999999998</v>
      </c>
      <c r="F6301" t="s">
        <v>57</v>
      </c>
      <c r="G6301">
        <v>-202.02520000000001</v>
      </c>
      <c r="H6301" s="1">
        <v>-5.4297419999999998E-6</v>
      </c>
      <c r="I6301">
        <v>-56.96078</v>
      </c>
      <c r="J6301">
        <v>-207.19900000000001</v>
      </c>
      <c r="K6301">
        <v>1.124914</v>
      </c>
      <c r="L6301">
        <v>-62.349150000000002</v>
      </c>
      <c r="M6301">
        <v>0.99891790000000003</v>
      </c>
      <c r="N6301">
        <v>-1.214954E-2</v>
      </c>
      <c r="O6301">
        <v>4.4894549999999998E-2</v>
      </c>
      <c r="P6301">
        <v>0.9269636</v>
      </c>
      <c r="Q6301">
        <v>0.16964199999999999</v>
      </c>
      <c r="R6301">
        <v>0.33460440000000002</v>
      </c>
      <c r="S6301">
        <v>2.4500730000000002</v>
      </c>
      <c r="T6301">
        <v>-0.5162852</v>
      </c>
      <c r="U6301">
        <v>2.477417</v>
      </c>
      <c r="V6301">
        <v>-0.2942825</v>
      </c>
      <c r="W6301">
        <v>0.17839449999999901</v>
      </c>
      <c r="X6301">
        <v>0.93892129999999996</v>
      </c>
      <c r="Y6301">
        <v>-0.67119479999999998</v>
      </c>
      <c r="Z6301">
        <v>5.5560230000000002E-2</v>
      </c>
      <c r="AA6301">
        <v>0.73919590000000002</v>
      </c>
      <c r="AB6301">
        <v>32</v>
      </c>
      <c r="AC6301">
        <v>5.1738</v>
      </c>
      <c r="AD6301">
        <v>-1.124919429742</v>
      </c>
      <c r="AE6301">
        <v>5.3883699999999903</v>
      </c>
      <c r="AF6301">
        <v>-5.0364320922558399</v>
      </c>
      <c r="AG6301">
        <v>-1.124919429742</v>
      </c>
      <c r="AH6301">
        <v>5.2905349999001796</v>
      </c>
      <c r="AI6301">
        <v>98.755000655509093</v>
      </c>
      <c r="AJ6301">
        <v>133.59047802859999</v>
      </c>
      <c r="AK6301">
        <v>7.3905921635877299</v>
      </c>
      <c r="AL6301">
        <v>79.723742053427998</v>
      </c>
      <c r="AM6301">
        <v>107.40235598280999</v>
      </c>
      <c r="AN6301">
        <v>0.99999999751509405</v>
      </c>
    </row>
    <row r="6302" spans="1:40" x14ac:dyDescent="0.25">
      <c r="A6302" t="str">
        <f>"20190303162941518"</f>
        <v>20190303162941518</v>
      </c>
      <c r="B6302" t="str">
        <f>"1551601781507931"</f>
        <v>1551601781507931</v>
      </c>
      <c r="C6302" t="s">
        <v>40</v>
      </c>
      <c r="D6302">
        <v>4.5854100000000004</v>
      </c>
      <c r="E6302">
        <v>0.30740959999999901</v>
      </c>
      <c r="F6302" t="s">
        <v>57</v>
      </c>
      <c r="G6302">
        <v>-201.83260000000001</v>
      </c>
      <c r="H6302" s="1">
        <v>-5.5456439999999901E-6</v>
      </c>
      <c r="I6302">
        <v>-56.880719999999997</v>
      </c>
      <c r="J6302">
        <v>-207.04570000000001</v>
      </c>
      <c r="K6302">
        <v>1.125006</v>
      </c>
      <c r="L6302">
        <v>-62.340150000000001</v>
      </c>
      <c r="M6302">
        <v>0.99881070000000005</v>
      </c>
      <c r="N6302">
        <v>-1.2155819999999999E-2</v>
      </c>
      <c r="O6302">
        <v>4.7215399999999998E-2</v>
      </c>
      <c r="P6302">
        <v>0.92425170000000001</v>
      </c>
      <c r="Q6302">
        <v>0.16961699999999999</v>
      </c>
      <c r="R6302">
        <v>0.34203600000000001</v>
      </c>
      <c r="S6302">
        <v>2.434326</v>
      </c>
      <c r="T6302">
        <v>-0.51029290000000005</v>
      </c>
      <c r="U6302">
        <v>2.4806210000000002</v>
      </c>
      <c r="V6302">
        <v>-0.2996856</v>
      </c>
      <c r="W6302">
        <v>0.17824010000000001</v>
      </c>
      <c r="X6302">
        <v>0.93724010000000002</v>
      </c>
      <c r="Y6302">
        <v>-0.67246870000000003</v>
      </c>
      <c r="Z6302">
        <v>5.4944939999999998E-2</v>
      </c>
      <c r="AA6302">
        <v>0.73808319999999905</v>
      </c>
      <c r="AB6302">
        <v>32</v>
      </c>
      <c r="AC6302">
        <v>5.2130999999999901</v>
      </c>
      <c r="AD6302">
        <v>-1.125011545644</v>
      </c>
      <c r="AE6302">
        <v>5.4594300000000002</v>
      </c>
      <c r="AF6302">
        <v>-5.09403735069756</v>
      </c>
      <c r="AG6302">
        <v>-1.125011545644</v>
      </c>
      <c r="AH6302">
        <v>5.3463235006598397</v>
      </c>
      <c r="AI6302">
        <v>98.662151759144294</v>
      </c>
      <c r="AJ6302">
        <v>133.615745251551</v>
      </c>
      <c r="AK6302">
        <v>7.4698087312756503</v>
      </c>
      <c r="AL6302">
        <v>79.732732624138293</v>
      </c>
      <c r="AM6302">
        <v>107.73184797677899</v>
      </c>
      <c r="AN6302">
        <v>0.99999999857168997</v>
      </c>
    </row>
    <row r="6303" spans="1:40" x14ac:dyDescent="0.25">
      <c r="A6303" t="str">
        <f>"20190303162941530"</f>
        <v>20190303162941530</v>
      </c>
      <c r="B6303" t="str">
        <f>"1551601781517692"</f>
        <v>1551601781517692</v>
      </c>
      <c r="C6303" t="s">
        <v>40</v>
      </c>
      <c r="D6303">
        <v>4.6028739999999999</v>
      </c>
      <c r="E6303">
        <v>0.30942709999999901</v>
      </c>
      <c r="F6303" t="s">
        <v>57</v>
      </c>
      <c r="G6303">
        <v>-201.70849999999999</v>
      </c>
      <c r="H6303" s="1">
        <v>-5.6128760000000003E-6</v>
      </c>
      <c r="I6303">
        <v>-56.854489999999998</v>
      </c>
      <c r="J6303">
        <v>-206.88640000000001</v>
      </c>
      <c r="K6303">
        <v>1.1251059999999999</v>
      </c>
      <c r="L6303">
        <v>-62.330289999999998</v>
      </c>
      <c r="M6303">
        <v>0.99869019999999997</v>
      </c>
      <c r="N6303">
        <v>-1.216306E-2</v>
      </c>
      <c r="O6303">
        <v>4.9700109999999999E-2</v>
      </c>
      <c r="P6303">
        <v>0.92131870000000005</v>
      </c>
      <c r="Q6303">
        <v>0.17057050000000001</v>
      </c>
      <c r="R6303">
        <v>0.34939599999999998</v>
      </c>
      <c r="S6303">
        <v>2.4192499999999999</v>
      </c>
      <c r="T6303">
        <v>-0.50995190000000001</v>
      </c>
      <c r="U6303">
        <v>2.4865719999999998</v>
      </c>
      <c r="V6303">
        <v>-0.30489650000000001</v>
      </c>
      <c r="W6303">
        <v>0.17905499999999999</v>
      </c>
      <c r="X6303">
        <v>0.93540230000000002</v>
      </c>
      <c r="Y6303">
        <v>-0.673794</v>
      </c>
      <c r="Z6303">
        <v>5.4827050000000002E-2</v>
      </c>
      <c r="AA6303">
        <v>0.73688229999999999</v>
      </c>
      <c r="AB6303">
        <v>32</v>
      </c>
      <c r="AC6303">
        <v>5.1779000000000197</v>
      </c>
      <c r="AD6303">
        <v>-1.1251116128759999</v>
      </c>
      <c r="AE6303">
        <v>5.4757999999999996</v>
      </c>
      <c r="AF6303">
        <v>-5.0980429781010601</v>
      </c>
      <c r="AG6303">
        <v>-1.1251116128759999</v>
      </c>
      <c r="AH6303">
        <v>5.3249822369823097</v>
      </c>
      <c r="AI6303">
        <v>98.677568799411503</v>
      </c>
      <c r="AJ6303">
        <v>133.75270304131899</v>
      </c>
      <c r="AK6303">
        <v>7.4573020705997299</v>
      </c>
      <c r="AL6303">
        <v>79.685279089843505</v>
      </c>
      <c r="AM6303">
        <v>108.053496220592</v>
      </c>
      <c r="AN6303">
        <v>1.0000000157912601</v>
      </c>
    </row>
    <row r="6304" spans="1:40" x14ac:dyDescent="0.25">
      <c r="A6304" t="str">
        <f>"20190303162941542"</f>
        <v>20190303162941542</v>
      </c>
      <c r="B6304" t="str">
        <f>"1551601781538187"</f>
        <v>1551601781538187</v>
      </c>
      <c r="C6304" t="s">
        <v>40</v>
      </c>
      <c r="D6304">
        <v>4.5988920000000002</v>
      </c>
      <c r="E6304">
        <v>0.3135888</v>
      </c>
      <c r="F6304" t="s">
        <v>57</v>
      </c>
      <c r="G6304">
        <v>-201.51419999999999</v>
      </c>
      <c r="H6304" s="1">
        <v>-5.6998759999999996E-6</v>
      </c>
      <c r="I6304">
        <v>-56.768250000000002</v>
      </c>
      <c r="J6304">
        <v>-206.71690000000001</v>
      </c>
      <c r="K6304">
        <v>1.1252180000000001</v>
      </c>
      <c r="L6304">
        <v>-62.319490000000002</v>
      </c>
      <c r="M6304">
        <v>0.99855240000000001</v>
      </c>
      <c r="N6304">
        <v>-1.217095E-2</v>
      </c>
      <c r="O6304">
        <v>5.2393460000000003E-2</v>
      </c>
      <c r="P6304">
        <v>0.91824969999999995</v>
      </c>
      <c r="Q6304">
        <v>0.17151820000000001</v>
      </c>
      <c r="R6304">
        <v>0.35693019999999998</v>
      </c>
      <c r="S6304">
        <v>2.4051209999999998</v>
      </c>
      <c r="T6304">
        <v>-0.5037161</v>
      </c>
      <c r="U6304">
        <v>2.4901430000000002</v>
      </c>
      <c r="V6304">
        <v>-0.31010979999999999</v>
      </c>
      <c r="W6304">
        <v>0.17985300000000001</v>
      </c>
      <c r="X6304">
        <v>0.93353350000000002</v>
      </c>
      <c r="Y6304">
        <v>-0.674647</v>
      </c>
      <c r="Z6304">
        <v>5.4067530000000003E-2</v>
      </c>
      <c r="AA6304">
        <v>0.73615769999999903</v>
      </c>
      <c r="AB6304">
        <v>32</v>
      </c>
      <c r="AC6304">
        <v>5.2027000000000196</v>
      </c>
      <c r="AD6304">
        <v>-1.1252236998759999</v>
      </c>
      <c r="AE6304">
        <v>5.55124</v>
      </c>
      <c r="AF6304">
        <v>-5.1581797210460802</v>
      </c>
      <c r="AG6304">
        <v>-1.1252236998759999</v>
      </c>
      <c r="AH6304">
        <v>5.3689852998546499</v>
      </c>
      <c r="AI6304">
        <v>98.594166199864105</v>
      </c>
      <c r="AJ6304">
        <v>133.85281024120999</v>
      </c>
      <c r="AK6304">
        <v>7.5298704875601299</v>
      </c>
      <c r="AL6304">
        <v>79.638802331908593</v>
      </c>
      <c r="AM6304">
        <v>108.37593293120899</v>
      </c>
      <c r="AN6304">
        <v>0.99999999264364503</v>
      </c>
    </row>
    <row r="6305" spans="1:40" x14ac:dyDescent="0.25">
      <c r="A6305" t="str">
        <f>"20190303162941553"</f>
        <v>20190303162941553</v>
      </c>
      <c r="B6305" t="str">
        <f>"1551601781547947"</f>
        <v>1551601781547947</v>
      </c>
      <c r="C6305" t="s">
        <v>40</v>
      </c>
      <c r="D6305">
        <v>4.6322460000000003</v>
      </c>
      <c r="E6305">
        <v>0.3135888</v>
      </c>
      <c r="F6305" t="s">
        <v>57</v>
      </c>
      <c r="G6305">
        <v>-201.20429999999999</v>
      </c>
      <c r="H6305" s="1">
        <v>-5.8412470000000003E-6</v>
      </c>
      <c r="I6305">
        <v>-56.614170000000001</v>
      </c>
      <c r="J6305">
        <v>-206.54990000000001</v>
      </c>
      <c r="K6305">
        <v>1.1253379999999999</v>
      </c>
      <c r="L6305">
        <v>-62.308070000000001</v>
      </c>
      <c r="M6305">
        <v>0.99840209999999996</v>
      </c>
      <c r="N6305">
        <v>-1.21808E-2</v>
      </c>
      <c r="O6305">
        <v>5.5180989999999999E-2</v>
      </c>
      <c r="P6305">
        <v>0.91505610000000004</v>
      </c>
      <c r="Q6305">
        <v>0.17225099999999999</v>
      </c>
      <c r="R6305">
        <v>0.36469430000000003</v>
      </c>
      <c r="S6305">
        <v>2.394943</v>
      </c>
      <c r="T6305">
        <v>-0.48884569999999999</v>
      </c>
      <c r="U6305">
        <v>2.4786380000000001</v>
      </c>
      <c r="V6305">
        <v>-0.31548670000000001</v>
      </c>
      <c r="W6305">
        <v>0.1804229</v>
      </c>
      <c r="X6305">
        <v>0.93161989999999995</v>
      </c>
      <c r="Y6305">
        <v>-0.67284659999999996</v>
      </c>
      <c r="Z6305">
        <v>5.2261889999999998E-2</v>
      </c>
      <c r="AA6305">
        <v>0.73793369999999903</v>
      </c>
      <c r="AB6305">
        <v>32</v>
      </c>
      <c r="AC6305">
        <v>5.3456000000000099</v>
      </c>
      <c r="AD6305">
        <v>-1.125343841247</v>
      </c>
      <c r="AE6305">
        <v>5.6938999999999904</v>
      </c>
      <c r="AF6305">
        <v>-5.2805902191437104</v>
      </c>
      <c r="AG6305">
        <v>-1.125343841247</v>
      </c>
      <c r="AH6305">
        <v>5.5367189451182099</v>
      </c>
      <c r="AI6305">
        <v>98.367181397973695</v>
      </c>
      <c r="AJ6305">
        <v>133.64362261762301</v>
      </c>
      <c r="AK6305">
        <v>7.7334525601945598</v>
      </c>
      <c r="AL6305">
        <v>79.605606077039496</v>
      </c>
      <c r="AM6305">
        <v>108.708318494894</v>
      </c>
      <c r="AN6305">
        <v>0.99999995939865405</v>
      </c>
    </row>
    <row r="6306" spans="1:40" x14ac:dyDescent="0.25">
      <c r="A6306" t="str">
        <f>"20190303162941566"</f>
        <v>20190303162941566</v>
      </c>
      <c r="B6306" t="str">
        <f>"1551601781557707"</f>
        <v>1551601781557707</v>
      </c>
      <c r="C6306" t="s">
        <v>40</v>
      </c>
      <c r="D6306">
        <v>4.5963010000000004</v>
      </c>
      <c r="E6306">
        <v>0.33256999999999998</v>
      </c>
      <c r="F6306" t="s">
        <v>57</v>
      </c>
      <c r="G6306">
        <v>-201.0592</v>
      </c>
      <c r="H6306" s="1">
        <v>-5.9095349999999998E-6</v>
      </c>
      <c r="I6306">
        <v>-56.528379999999999</v>
      </c>
      <c r="J6306">
        <v>-206.3843</v>
      </c>
      <c r="K6306">
        <v>1.1254690000000001</v>
      </c>
      <c r="L6306">
        <v>-62.296419999999998</v>
      </c>
      <c r="M6306">
        <v>0.99824259999999998</v>
      </c>
      <c r="N6306">
        <v>-1.219083E-2</v>
      </c>
      <c r="O6306">
        <v>5.7994370000000003E-2</v>
      </c>
      <c r="P6306">
        <v>0.91195029999999999</v>
      </c>
      <c r="Q6306">
        <v>0.17270099999999999</v>
      </c>
      <c r="R6306">
        <v>0.37218420000000002</v>
      </c>
      <c r="S6306">
        <v>2.3740839999999999</v>
      </c>
      <c r="T6306">
        <v>-0.48658170000000001</v>
      </c>
      <c r="U6306">
        <v>2.4990540000000001</v>
      </c>
      <c r="V6306">
        <v>-0.3205731</v>
      </c>
      <c r="W6306">
        <v>0.18070749999999999</v>
      </c>
      <c r="X6306">
        <v>0.92982670000000001</v>
      </c>
      <c r="Y6306">
        <v>-0.67702249999999997</v>
      </c>
      <c r="Z6306">
        <v>5.2174909999999998E-2</v>
      </c>
      <c r="AA6306">
        <v>0.7341105</v>
      </c>
      <c r="AB6306">
        <v>32</v>
      </c>
      <c r="AC6306">
        <v>5.3250999999999902</v>
      </c>
      <c r="AD6306">
        <v>-1.1254749095350001</v>
      </c>
      <c r="AE6306">
        <v>5.7680399999999903</v>
      </c>
      <c r="AF6306">
        <v>-5.3397278120902198</v>
      </c>
      <c r="AG6306">
        <v>-1.1254749095350001</v>
      </c>
      <c r="AH6306">
        <v>5.5368687498216804</v>
      </c>
      <c r="AI6306">
        <v>98.324120848276905</v>
      </c>
      <c r="AJ6306">
        <v>133.96161386985</v>
      </c>
      <c r="AK6306">
        <v>7.7740788799673597</v>
      </c>
      <c r="AL6306">
        <v>79.589027644473106</v>
      </c>
      <c r="AM6306">
        <v>109.022478106769</v>
      </c>
      <c r="AN6306">
        <v>1.00000000251637</v>
      </c>
    </row>
    <row r="6307" spans="1:40" x14ac:dyDescent="0.25">
      <c r="A6307" t="str">
        <f>"20190303162941578"</f>
        <v>20190303162941578</v>
      </c>
      <c r="B6307" t="str">
        <f>"1551601781568443"</f>
        <v>1551601781568443</v>
      </c>
      <c r="C6307" t="s">
        <v>40</v>
      </c>
      <c r="D6307">
        <v>4.6381040000000002</v>
      </c>
      <c r="E6307">
        <v>0.33264129999999997</v>
      </c>
      <c r="F6307" t="s">
        <v>57</v>
      </c>
      <c r="G6307">
        <v>-199.60079999999999</v>
      </c>
      <c r="H6307" s="1">
        <v>-8.9378120000000005E-6</v>
      </c>
      <c r="I6307">
        <v>-55.565930000000002</v>
      </c>
      <c r="J6307">
        <v>-206.21080000000001</v>
      </c>
      <c r="K6307">
        <v>1.125623</v>
      </c>
      <c r="L6307">
        <v>-62.2834199999999</v>
      </c>
      <c r="M6307">
        <v>0.998058</v>
      </c>
      <c r="N6307">
        <v>-1.220368E-2</v>
      </c>
      <c r="O6307">
        <v>6.1084689999999997E-2</v>
      </c>
      <c r="P6307">
        <v>0.90877039999999998</v>
      </c>
      <c r="Q6307">
        <v>0.17260599999999901</v>
      </c>
      <c r="R6307">
        <v>0.37992550000000003</v>
      </c>
      <c r="S6307">
        <v>2.3950960000000001</v>
      </c>
      <c r="T6307">
        <v>-0.39737939999999999</v>
      </c>
      <c r="U6307">
        <v>2.3763730000000001</v>
      </c>
      <c r="V6307">
        <v>-0.32567380000000001</v>
      </c>
      <c r="W6307">
        <v>0.18042849999999999</v>
      </c>
      <c r="X6307">
        <v>0.92810669999999995</v>
      </c>
      <c r="Y6307">
        <v>-0.65498259999999997</v>
      </c>
      <c r="Z6307">
        <v>4.1921600000000003E-2</v>
      </c>
      <c r="AA6307">
        <v>0.75448019999999905</v>
      </c>
      <c r="AB6307">
        <v>32</v>
      </c>
      <c r="AC6307">
        <v>6.6100000000000101</v>
      </c>
      <c r="AD6307">
        <v>-1.1256319378120001</v>
      </c>
      <c r="AE6307">
        <v>6.71748999999999</v>
      </c>
      <c r="AF6307">
        <v>-6.2125170648615304</v>
      </c>
      <c r="AG6307">
        <v>-1.1256319378120001</v>
      </c>
      <c r="AH6307">
        <v>6.9094516622712403</v>
      </c>
      <c r="AI6307">
        <v>96.907361817161799</v>
      </c>
      <c r="AJ6307">
        <v>131.959760542331</v>
      </c>
      <c r="AK6307">
        <v>9.3596441072233603</v>
      </c>
      <c r="AL6307">
        <v>79.605279842963796</v>
      </c>
      <c r="AM6307">
        <v>109.33603573507099</v>
      </c>
      <c r="AN6307">
        <v>0.99999995710178902</v>
      </c>
    </row>
    <row r="6308" spans="1:40" x14ac:dyDescent="0.25">
      <c r="A6308" t="str">
        <f>"20190303162941588"</f>
        <v>20190303162941588</v>
      </c>
      <c r="B6308" t="str">
        <f>"1551601781578203"</f>
        <v>1551601781578203</v>
      </c>
      <c r="C6308" t="s">
        <v>40</v>
      </c>
      <c r="D6308">
        <v>4.575177</v>
      </c>
      <c r="E6308">
        <v>0.3320997</v>
      </c>
      <c r="F6308" t="s">
        <v>57</v>
      </c>
      <c r="G6308">
        <v>-199.3331</v>
      </c>
      <c r="H6308" s="1">
        <v>-8.9868169999999999E-6</v>
      </c>
      <c r="I6308">
        <v>-55.340539999999997</v>
      </c>
      <c r="J6308">
        <v>-206.0642</v>
      </c>
      <c r="K6308">
        <v>1.1257629999999901</v>
      </c>
      <c r="L6308">
        <v>-62.272060000000003</v>
      </c>
      <c r="M6308">
        <v>0.9978899</v>
      </c>
      <c r="N6308">
        <v>-1.2215470000000001E-2</v>
      </c>
      <c r="O6308">
        <v>6.3769610000000004E-2</v>
      </c>
      <c r="P6308">
        <v>0.90568490000000001</v>
      </c>
      <c r="Q6308">
        <v>0.17230390000000001</v>
      </c>
      <c r="R6308">
        <v>0.38735809999999998</v>
      </c>
      <c r="S6308">
        <v>2.3733219999999999</v>
      </c>
      <c r="T6308">
        <v>-0.38842729999999998</v>
      </c>
      <c r="U6308">
        <v>2.395813</v>
      </c>
      <c r="V6308">
        <v>-0.33083990000000002</v>
      </c>
      <c r="W6308">
        <v>0.17995149999999999</v>
      </c>
      <c r="X6308">
        <v>0.92637060000000004</v>
      </c>
      <c r="Y6308">
        <v>-0.65961409999999998</v>
      </c>
      <c r="Z6308">
        <v>4.1283750000000001E-2</v>
      </c>
      <c r="AA6308">
        <v>0.75046979999999996</v>
      </c>
      <c r="AB6308">
        <v>32</v>
      </c>
      <c r="AC6308">
        <v>6.7310999999999899</v>
      </c>
      <c r="AD6308">
        <v>-1.12577198681699</v>
      </c>
      <c r="AE6308">
        <v>6.9315199999999901</v>
      </c>
      <c r="AF6308">
        <v>-6.4012354638862403</v>
      </c>
      <c r="AG6308">
        <v>-1.12577198681699</v>
      </c>
      <c r="AH6308">
        <v>7.0635567708917701</v>
      </c>
      <c r="AI6308">
        <v>96.735296231526206</v>
      </c>
      <c r="AJ6308">
        <v>132.183940669142</v>
      </c>
      <c r="AK6308">
        <v>9.5988026485613194</v>
      </c>
      <c r="AL6308">
        <v>79.633065537275897</v>
      </c>
      <c r="AM6308">
        <v>109.653454190166</v>
      </c>
      <c r="AN6308">
        <v>1.0000000351642999</v>
      </c>
    </row>
    <row r="6309" spans="1:40" x14ac:dyDescent="0.25">
      <c r="A6309" t="str">
        <f>"20190303162941598"</f>
        <v>20190303162941598</v>
      </c>
      <c r="B6309" t="str">
        <f>"1551601781587965"</f>
        <v>1551601781587965</v>
      </c>
      <c r="C6309" t="s">
        <v>40</v>
      </c>
      <c r="D6309">
        <v>4.6903899999999998</v>
      </c>
      <c r="E6309">
        <v>0.33402510000000002</v>
      </c>
      <c r="F6309" t="s">
        <v>57</v>
      </c>
      <c r="G6309">
        <v>-199.30260000000001</v>
      </c>
      <c r="H6309" s="1">
        <v>-8.990954E-6</v>
      </c>
      <c r="I6309">
        <v>-55.319000000000003</v>
      </c>
      <c r="J6309">
        <v>-205.91040000000001</v>
      </c>
      <c r="K6309">
        <v>1.12591</v>
      </c>
      <c r="L6309">
        <v>-62.259610000000002</v>
      </c>
      <c r="M6309">
        <v>0.99770009999999998</v>
      </c>
      <c r="N6309">
        <v>-1.2228899999999999E-2</v>
      </c>
      <c r="O6309">
        <v>6.6670869999999993E-2</v>
      </c>
      <c r="P6309">
        <v>0.90239130000000001</v>
      </c>
      <c r="Q6309">
        <v>0.1719339</v>
      </c>
      <c r="R6309">
        <v>0.39513110000000001</v>
      </c>
      <c r="S6309">
        <v>2.3523559999999999</v>
      </c>
      <c r="T6309">
        <v>-0.39165689999999997</v>
      </c>
      <c r="U6309">
        <v>2.4189759999999998</v>
      </c>
      <c r="V6309">
        <v>-0.33617360000000002</v>
      </c>
      <c r="W6309">
        <v>0.17939229999999901</v>
      </c>
      <c r="X6309">
        <v>0.92455699999999996</v>
      </c>
      <c r="Y6309">
        <v>-0.66425749999999995</v>
      </c>
      <c r="Z6309">
        <v>4.1712300000000001E-2</v>
      </c>
      <c r="AA6309">
        <v>0.74633899999999997</v>
      </c>
      <c r="AB6309">
        <v>32</v>
      </c>
      <c r="AC6309">
        <v>6.6077999999999903</v>
      </c>
      <c r="AD6309">
        <v>-1.1259189909539999</v>
      </c>
      <c r="AE6309">
        <v>6.9406100000000004</v>
      </c>
      <c r="AF6309">
        <v>-6.3962897507140104</v>
      </c>
      <c r="AG6309">
        <v>-1.1259189909539999</v>
      </c>
      <c r="AH6309">
        <v>6.9597935499579302</v>
      </c>
      <c r="AI6309">
        <v>96.792632117663203</v>
      </c>
      <c r="AJ6309">
        <v>132.58407821576699</v>
      </c>
      <c r="AK6309">
        <v>9.5193982166582405</v>
      </c>
      <c r="AL6309">
        <v>79.665634640471595</v>
      </c>
      <c r="AM6309">
        <v>109.98152221802199</v>
      </c>
      <c r="AN6309">
        <v>0.99999996644262401</v>
      </c>
    </row>
    <row r="6310" spans="1:40" x14ac:dyDescent="0.25">
      <c r="A6310" t="str">
        <f>"20190303162941609"</f>
        <v>20190303162941609</v>
      </c>
      <c r="B6310" t="str">
        <f>"1551601781597723"</f>
        <v>1551601781597723</v>
      </c>
      <c r="C6310" t="s">
        <v>40</v>
      </c>
      <c r="D6310">
        <v>4.5610999999999997</v>
      </c>
      <c r="E6310">
        <v>0.33371800000000001</v>
      </c>
      <c r="F6310" t="s">
        <v>57</v>
      </c>
      <c r="G6310">
        <v>-199.3235</v>
      </c>
      <c r="H6310" s="1">
        <v>-8.954141E-6</v>
      </c>
      <c r="I6310">
        <v>-55.43056</v>
      </c>
      <c r="J6310">
        <v>-205.77090000000001</v>
      </c>
      <c r="K6310">
        <v>1.1260520000000001</v>
      </c>
      <c r="L6310">
        <v>-62.247799999999998</v>
      </c>
      <c r="M6310">
        <v>0.99751389999999995</v>
      </c>
      <c r="N6310">
        <v>-1.2242100000000001E-2</v>
      </c>
      <c r="O6310">
        <v>6.9400240000000002E-2</v>
      </c>
      <c r="P6310">
        <v>0.89902850000000001</v>
      </c>
      <c r="Q6310">
        <v>0.17114509999999999</v>
      </c>
      <c r="R6310">
        <v>0.40306009999999998</v>
      </c>
      <c r="S6310">
        <v>2.3388819999999999</v>
      </c>
      <c r="T6310">
        <v>-0.39979229999999999</v>
      </c>
      <c r="U6310">
        <v>2.4248660000000002</v>
      </c>
      <c r="V6310">
        <v>-0.34183229999999998</v>
      </c>
      <c r="W6310">
        <v>0.17841000000000001</v>
      </c>
      <c r="X6310">
        <v>0.92267030000000005</v>
      </c>
      <c r="Y6310">
        <v>-0.66508059999999902</v>
      </c>
      <c r="Z6310">
        <v>4.2308789999999999E-2</v>
      </c>
      <c r="AA6310">
        <v>0.74557209999999996</v>
      </c>
      <c r="AB6310">
        <v>32</v>
      </c>
      <c r="AC6310">
        <v>6.4474000000000098</v>
      </c>
      <c r="AD6310">
        <v>-1.126060954141</v>
      </c>
      <c r="AE6310">
        <v>6.8172399999999902</v>
      </c>
      <c r="AF6310">
        <v>-6.2631139794404396</v>
      </c>
      <c r="AG6310">
        <v>-1.126060954141</v>
      </c>
      <c r="AH6310">
        <v>6.8069712347669604</v>
      </c>
      <c r="AI6310">
        <v>96.940866726324302</v>
      </c>
      <c r="AJ6310">
        <v>132.61724893153701</v>
      </c>
      <c r="AK6310">
        <v>9.3182330612004005</v>
      </c>
      <c r="AL6310">
        <v>79.722839161797097</v>
      </c>
      <c r="AM6310">
        <v>110.328737090315</v>
      </c>
      <c r="AN6310">
        <v>0.99999996596268903</v>
      </c>
    </row>
    <row r="6311" spans="1:40" x14ac:dyDescent="0.25">
      <c r="A6311" t="str">
        <f>"20190303162941619"</f>
        <v>20190303162941619</v>
      </c>
      <c r="B6311" t="str">
        <f>"1551601781608459"</f>
        <v>1551601781608459</v>
      </c>
      <c r="C6311" t="s">
        <v>40</v>
      </c>
      <c r="D6311">
        <v>4.4738689999999997</v>
      </c>
      <c r="E6311">
        <v>0.33211740000000001</v>
      </c>
      <c r="F6311" t="s">
        <v>57</v>
      </c>
      <c r="G6311">
        <v>-199.31979999999999</v>
      </c>
      <c r="H6311" s="1">
        <v>-8.951791E-6</v>
      </c>
      <c r="I6311">
        <v>-55.436059999999998</v>
      </c>
      <c r="J6311">
        <v>-205.6258</v>
      </c>
      <c r="K6311">
        <v>1.126207</v>
      </c>
      <c r="L6311">
        <v>-62.235109999999999</v>
      </c>
      <c r="M6311">
        <v>0.9973069</v>
      </c>
      <c r="N6311">
        <v>-1.225618E-2</v>
      </c>
      <c r="O6311">
        <v>7.2311070000000005E-2</v>
      </c>
      <c r="P6311">
        <v>0.89542509999999997</v>
      </c>
      <c r="Q6311">
        <v>0.17072789999999999</v>
      </c>
      <c r="R6311">
        <v>0.4111765</v>
      </c>
      <c r="S6311">
        <v>2.317062</v>
      </c>
      <c r="T6311">
        <v>-0.40445110000000001</v>
      </c>
      <c r="U6311">
        <v>2.4465940000000002</v>
      </c>
      <c r="V6311">
        <v>-0.3475473</v>
      </c>
      <c r="W6311">
        <v>0.17778640000000001</v>
      </c>
      <c r="X6311">
        <v>0.92065350000000001</v>
      </c>
      <c r="Y6311">
        <v>-0.66956759999999904</v>
      </c>
      <c r="Z6311">
        <v>4.2869240000000003E-2</v>
      </c>
      <c r="AA6311">
        <v>0.74151290000000003</v>
      </c>
      <c r="AB6311">
        <v>32</v>
      </c>
      <c r="AC6311">
        <v>6.3060000000000098</v>
      </c>
      <c r="AD6311">
        <v>-1.126215951791</v>
      </c>
      <c r="AE6311">
        <v>6.7990500000000003</v>
      </c>
      <c r="AF6311">
        <v>-6.2332817423236202</v>
      </c>
      <c r="AG6311">
        <v>-1.126215951791</v>
      </c>
      <c r="AH6311">
        <v>6.6826065900511598</v>
      </c>
      <c r="AI6311">
        <v>97.025674674344799</v>
      </c>
      <c r="AJ6311">
        <v>133.007567221286</v>
      </c>
      <c r="AK6311">
        <v>9.2075726707231897</v>
      </c>
      <c r="AL6311">
        <v>79.759149648290503</v>
      </c>
      <c r="AM6311">
        <v>110.68155456524801</v>
      </c>
      <c r="AN6311">
        <v>0.99999999841224996</v>
      </c>
    </row>
    <row r="6312" spans="1:40" x14ac:dyDescent="0.25">
      <c r="A6312" t="str">
        <f>"20190303162941777"</f>
        <v>20190303162941777</v>
      </c>
      <c r="B6312" t="str">
        <f>"1551601781768523"</f>
        <v>1551601781768523</v>
      </c>
      <c r="C6312" t="s">
        <v>40</v>
      </c>
      <c r="D6312">
        <v>4.4893919999999996</v>
      </c>
      <c r="E6312">
        <v>0.33116659999999998</v>
      </c>
      <c r="F6312" t="s">
        <v>57</v>
      </c>
      <c r="G6312">
        <v>-199.23840000000001</v>
      </c>
      <c r="H6312" s="1">
        <v>-8.9823119999999999E-6</v>
      </c>
      <c r="I6312">
        <v>-55.323059999999998</v>
      </c>
      <c r="J6312">
        <v>-203.40719999999999</v>
      </c>
      <c r="K6312">
        <v>1.1290530000000001</v>
      </c>
      <c r="L6312">
        <v>-61.966000000000001</v>
      </c>
      <c r="M6312">
        <v>0.9913672</v>
      </c>
      <c r="N6312">
        <v>-1.261749E-2</v>
      </c>
      <c r="O6312">
        <v>0.1305065</v>
      </c>
      <c r="P6312">
        <v>0.8468099</v>
      </c>
      <c r="Q6312">
        <v>0.169324799999999</v>
      </c>
      <c r="R6312">
        <v>0.50422449999999996</v>
      </c>
      <c r="S6312">
        <v>2.2895810000000001</v>
      </c>
      <c r="T6312">
        <v>-0.4036978</v>
      </c>
      <c r="U6312">
        <v>2.4776609999999999</v>
      </c>
      <c r="V6312">
        <v>-0.39278299999999999</v>
      </c>
      <c r="W6312">
        <v>0.17323469999999999</v>
      </c>
      <c r="X6312">
        <v>0.90316739999999995</v>
      </c>
      <c r="Y6312">
        <v>-0.63538030000000001</v>
      </c>
      <c r="Z6312">
        <v>3.3019350000000003E-2</v>
      </c>
      <c r="AA6312">
        <v>0.77149309999999904</v>
      </c>
      <c r="AB6312">
        <v>32</v>
      </c>
      <c r="AC6312">
        <v>4.1687999999999699</v>
      </c>
      <c r="AD6312">
        <v>-1.1290619823120001</v>
      </c>
      <c r="AE6312">
        <v>6.6429400000000003</v>
      </c>
      <c r="AF6312">
        <v>-5.9193362643478098</v>
      </c>
      <c r="AG6312">
        <v>-1.1290619823120001</v>
      </c>
      <c r="AH6312">
        <v>4.8986292368892101</v>
      </c>
      <c r="AI6312">
        <v>98.359650135370501</v>
      </c>
      <c r="AJ6312">
        <v>140.39006898877</v>
      </c>
      <c r="AK6312">
        <v>7.7659443193233901</v>
      </c>
      <c r="AL6312">
        <v>80.024055597924303</v>
      </c>
      <c r="AM6312">
        <v>113.503981949661</v>
      </c>
      <c r="AN6312">
        <v>1.00000004939792</v>
      </c>
    </row>
    <row r="6313" spans="1:40" x14ac:dyDescent="0.25">
      <c r="A6313" t="str">
        <f>"20190303162941789"</f>
        <v>20190303162941789</v>
      </c>
      <c r="B6313" t="str">
        <f>"1551601781778284"</f>
        <v>1551601781778284</v>
      </c>
      <c r="C6313" t="s">
        <v>40</v>
      </c>
      <c r="D6313">
        <v>4.5631180000000002</v>
      </c>
      <c r="E6313">
        <v>0.270063</v>
      </c>
      <c r="F6313" t="s">
        <v>57</v>
      </c>
      <c r="G6313">
        <v>-197.87819999999999</v>
      </c>
      <c r="H6313" s="1">
        <v>-9.1280589999999994E-6</v>
      </c>
      <c r="I6313">
        <v>-54.47193</v>
      </c>
      <c r="J6313">
        <v>-203.25020000000001</v>
      </c>
      <c r="K6313">
        <v>1.1292629999999999</v>
      </c>
      <c r="L6313">
        <v>-61.940669999999997</v>
      </c>
      <c r="M6313">
        <v>0.99067380000000005</v>
      </c>
      <c r="N6313">
        <v>-1.2653940000000001E-2</v>
      </c>
      <c r="O6313">
        <v>0.13566629999999999</v>
      </c>
      <c r="P6313">
        <v>0.84295620000000004</v>
      </c>
      <c r="Q6313">
        <v>0.16687170000000001</v>
      </c>
      <c r="R6313">
        <v>0.51144769999999995</v>
      </c>
      <c r="S6313">
        <v>2.005798</v>
      </c>
      <c r="T6313">
        <v>-0.40959970000000001</v>
      </c>
      <c r="U6313">
        <v>2.7186889999999999</v>
      </c>
      <c r="V6313">
        <v>-0.39578829999999998</v>
      </c>
      <c r="W6313">
        <v>0.1705332</v>
      </c>
      <c r="X6313">
        <v>0.90236910000000004</v>
      </c>
      <c r="Y6313">
        <v>-0.71184749999999997</v>
      </c>
      <c r="Z6313">
        <v>4.0729040000000001E-2</v>
      </c>
      <c r="AA6313">
        <v>0.70115209999999994</v>
      </c>
      <c r="AB6313">
        <v>32</v>
      </c>
      <c r="AC6313">
        <v>5.3720000000000097</v>
      </c>
      <c r="AD6313">
        <v>-1.1292721280589999</v>
      </c>
      <c r="AE6313">
        <v>7.4687399999999897</v>
      </c>
      <c r="AF6313">
        <v>-6.5718039774162804</v>
      </c>
      <c r="AG6313">
        <v>-1.1292721280589999</v>
      </c>
      <c r="AH6313">
        <v>6.2416222142354902</v>
      </c>
      <c r="AI6313">
        <v>97.102225375768001</v>
      </c>
      <c r="AJ6313">
        <v>136.47609512284299</v>
      </c>
      <c r="AK6313">
        <v>9.1335486489115194</v>
      </c>
      <c r="AL6313">
        <v>80.181177850374695</v>
      </c>
      <c r="AM6313">
        <v>113.682746913668</v>
      </c>
      <c r="AN6313">
        <v>0.99999997167696897</v>
      </c>
    </row>
    <row r="6314" spans="1:40" x14ac:dyDescent="0.25">
      <c r="A6314" t="str">
        <f>"20190303162941801"</f>
        <v>20190303162941801</v>
      </c>
      <c r="B6314" t="str">
        <f>"1551601781797803"</f>
        <v>1551601781797803</v>
      </c>
      <c r="C6314" t="s">
        <v>40</v>
      </c>
      <c r="D6314">
        <v>4.708075</v>
      </c>
      <c r="E6314">
        <v>0.2758756</v>
      </c>
      <c r="F6314" t="s">
        <v>57</v>
      </c>
      <c r="G6314">
        <v>-199.6276</v>
      </c>
      <c r="H6314" s="1">
        <v>-9.0003469999999994E-6</v>
      </c>
      <c r="I6314">
        <v>-55.396380000000001</v>
      </c>
      <c r="J6314">
        <v>-203.0812</v>
      </c>
      <c r="K6314">
        <v>1.129497</v>
      </c>
      <c r="L6314">
        <v>-61.912599999999998</v>
      </c>
      <c r="M6314">
        <v>0.98987939999999996</v>
      </c>
      <c r="N6314">
        <v>-1.269381E-2</v>
      </c>
      <c r="O6314">
        <v>0.141342299999999</v>
      </c>
      <c r="P6314">
        <v>0.83850259999999999</v>
      </c>
      <c r="Q6314">
        <v>0.1660644</v>
      </c>
      <c r="R6314">
        <v>0.51897599999999999</v>
      </c>
      <c r="S6314">
        <v>1.74939</v>
      </c>
      <c r="T6314">
        <v>-0.54534269999999996</v>
      </c>
      <c r="U6314">
        <v>3.160339</v>
      </c>
      <c r="V6314">
        <v>-0.39876220000000001</v>
      </c>
      <c r="W6314">
        <v>0.16945859999999999</v>
      </c>
      <c r="X6314">
        <v>0.9012616</v>
      </c>
      <c r="Y6314">
        <v>-0.789556699999999</v>
      </c>
      <c r="Z6314">
        <v>5.9801729999999997E-2</v>
      </c>
      <c r="AA6314">
        <v>0.61075690000000005</v>
      </c>
      <c r="AB6314">
        <v>32</v>
      </c>
      <c r="AC6314">
        <v>3.45359999999999</v>
      </c>
      <c r="AD6314">
        <v>-1.1295060003470001</v>
      </c>
      <c r="AE6314">
        <v>6.5162199999999899</v>
      </c>
      <c r="AF6314">
        <v>-5.8259538820267398</v>
      </c>
      <c r="AG6314">
        <v>-1.1295060003470001</v>
      </c>
      <c r="AH6314">
        <v>4.2405447429155902</v>
      </c>
      <c r="AI6314">
        <v>98.908563557816194</v>
      </c>
      <c r="AJ6314">
        <v>143.95020101268</v>
      </c>
      <c r="AK6314">
        <v>7.2938153360906597</v>
      </c>
      <c r="AL6314">
        <v>80.243657487918696</v>
      </c>
      <c r="AM6314">
        <v>113.86694142871001</v>
      </c>
      <c r="AN6314">
        <v>0.99999999044867904</v>
      </c>
    </row>
    <row r="6315" spans="1:40" x14ac:dyDescent="0.25">
      <c r="A6315" t="str">
        <f>"20190303162941827"</f>
        <v>20190303162941827</v>
      </c>
      <c r="B6315" t="str">
        <f>"1551601781818300"</f>
        <v>1551601781818300</v>
      </c>
      <c r="C6315" t="s">
        <v>40</v>
      </c>
      <c r="D6315">
        <v>4.7028780000000001</v>
      </c>
      <c r="E6315">
        <v>0.27632309999999999</v>
      </c>
      <c r="F6315" t="s">
        <v>57</v>
      </c>
      <c r="G6315">
        <v>-199.4153</v>
      </c>
      <c r="H6315" s="1">
        <v>-9.0070330000000006E-6</v>
      </c>
      <c r="I6315">
        <v>-55.309280000000001</v>
      </c>
      <c r="J6315">
        <v>-202.74010000000001</v>
      </c>
      <c r="K6315">
        <v>1.129974</v>
      </c>
      <c r="L6315">
        <v>-61.851930000000003</v>
      </c>
      <c r="M6315">
        <v>0.98808870000000004</v>
      </c>
      <c r="N6315">
        <v>-1.277814E-2</v>
      </c>
      <c r="O6315">
        <v>0.15335489999999999</v>
      </c>
      <c r="P6315">
        <v>0.82957789999999998</v>
      </c>
      <c r="Q6315">
        <v>0.1670507</v>
      </c>
      <c r="R6315">
        <v>0.53281769999999995</v>
      </c>
      <c r="S6315">
        <v>1.7420040000000001</v>
      </c>
      <c r="T6315">
        <v>-0.53672249999999999</v>
      </c>
      <c r="U6315">
        <v>3.1377869999999999</v>
      </c>
      <c r="V6315">
        <v>-0.40302529999999998</v>
      </c>
      <c r="W6315">
        <v>0.1699435</v>
      </c>
      <c r="X6315">
        <v>0.89927179999999995</v>
      </c>
      <c r="Y6315">
        <v>-0.78177980000000002</v>
      </c>
      <c r="Z6315">
        <v>5.631419E-2</v>
      </c>
      <c r="AA6315">
        <v>0.62100659999999996</v>
      </c>
      <c r="AB6315">
        <v>32</v>
      </c>
      <c r="AC6315">
        <v>3.32480000000001</v>
      </c>
      <c r="AD6315">
        <v>-1.1299830070329999</v>
      </c>
      <c r="AE6315">
        <v>6.5426500000000001</v>
      </c>
      <c r="AF6315">
        <v>-5.8174171843823999</v>
      </c>
      <c r="AG6315">
        <v>-1.1299830070329999</v>
      </c>
      <c r="AH6315">
        <v>4.1895729302120897</v>
      </c>
      <c r="AI6315">
        <v>98.957282382846898</v>
      </c>
      <c r="AJ6315">
        <v>144.23941568999399</v>
      </c>
      <c r="AK6315">
        <v>7.2575288928737303</v>
      </c>
      <c r="AL6315">
        <v>80.215465737416807</v>
      </c>
      <c r="AM6315">
        <v>114.14041998864001</v>
      </c>
      <c r="AN6315">
        <v>0.99999997795378903</v>
      </c>
    </row>
    <row r="6316" spans="1:40" x14ac:dyDescent="0.25">
      <c r="A6316" t="str">
        <f>"20190303162941838"</f>
        <v>20190303162941838</v>
      </c>
      <c r="B6316" t="str">
        <f>"1551601781828060"</f>
        <v>1551601781828060</v>
      </c>
      <c r="C6316" t="s">
        <v>40</v>
      </c>
      <c r="D6316">
        <v>4.6386079999999996</v>
      </c>
      <c r="E6316">
        <v>0.27748790000000001</v>
      </c>
      <c r="F6316" t="s">
        <v>57</v>
      </c>
      <c r="G6316">
        <v>-199.04660000000001</v>
      </c>
      <c r="H6316" s="1">
        <v>-9.1018539999999992E-6</v>
      </c>
      <c r="I6316">
        <v>-54.920999999999999</v>
      </c>
      <c r="J6316">
        <v>-202.5643</v>
      </c>
      <c r="K6316">
        <v>1.130217</v>
      </c>
      <c r="L6316">
        <v>-61.8187</v>
      </c>
      <c r="M6316">
        <v>0.98706450000000001</v>
      </c>
      <c r="N6316">
        <v>-1.282318E-2</v>
      </c>
      <c r="O6316">
        <v>0.1598106</v>
      </c>
      <c r="P6316">
        <v>0.82476779999999905</v>
      </c>
      <c r="Q6316">
        <v>0.167383</v>
      </c>
      <c r="R6316">
        <v>0.54013059999999902</v>
      </c>
      <c r="S6316">
        <v>1.6869959999999999</v>
      </c>
      <c r="T6316">
        <v>-0.51611629999999997</v>
      </c>
      <c r="U6316">
        <v>3.16568</v>
      </c>
      <c r="V6316">
        <v>-0.40522039999999998</v>
      </c>
      <c r="W6316">
        <v>0.1700168</v>
      </c>
      <c r="X6316">
        <v>0.89827099999999904</v>
      </c>
      <c r="Y6316">
        <v>-0.78879670000000002</v>
      </c>
      <c r="Z6316">
        <v>5.468166E-2</v>
      </c>
      <c r="AA6316">
        <v>0.61221709999999996</v>
      </c>
      <c r="AB6316">
        <v>32</v>
      </c>
      <c r="AC6316">
        <v>3.5176999999999898</v>
      </c>
      <c r="AD6316">
        <v>-1.1302261018539901</v>
      </c>
      <c r="AE6316">
        <v>6.8976999999999897</v>
      </c>
      <c r="AF6316">
        <v>-6.1164975021019004</v>
      </c>
      <c r="AG6316">
        <v>-1.1302261018539901</v>
      </c>
      <c r="AH6316">
        <v>4.4794540889173504</v>
      </c>
      <c r="AI6316">
        <v>98.479181679620297</v>
      </c>
      <c r="AJ6316">
        <v>143.782590811337</v>
      </c>
      <c r="AK6316">
        <v>7.6651459000627797</v>
      </c>
      <c r="AL6316">
        <v>80.211204521931705</v>
      </c>
      <c r="AM6316">
        <v>114.280684320791</v>
      </c>
      <c r="AN6316">
        <v>1.00000003714969</v>
      </c>
    </row>
    <row r="6317" spans="1:40" x14ac:dyDescent="0.25">
      <c r="A6317" t="str">
        <f>"20190303162941850"</f>
        <v>20190303162941850</v>
      </c>
      <c r="B6317" t="str">
        <f>"1551601781837819"</f>
        <v>1551601781837819</v>
      </c>
      <c r="C6317" t="s">
        <v>40</v>
      </c>
      <c r="D6317">
        <v>4.7128730000000001</v>
      </c>
      <c r="E6317">
        <v>0.27920460000000002</v>
      </c>
      <c r="F6317" t="s">
        <v>57</v>
      </c>
      <c r="G6317">
        <v>-198.83590000000001</v>
      </c>
      <c r="H6317" s="1">
        <v>-9.1564189999999996E-6</v>
      </c>
      <c r="I6317">
        <v>-54.698030000000003</v>
      </c>
      <c r="J6317">
        <v>-202.40729999999999</v>
      </c>
      <c r="K6317">
        <v>1.130431</v>
      </c>
      <c r="L6317">
        <v>-61.7879</v>
      </c>
      <c r="M6317">
        <v>0.98609020000000003</v>
      </c>
      <c r="N6317">
        <v>-1.28644E-2</v>
      </c>
      <c r="O6317">
        <v>0.16571240000000001</v>
      </c>
      <c r="P6317">
        <v>0.8202488</v>
      </c>
      <c r="Q6317">
        <v>0.16823360000000001</v>
      </c>
      <c r="R6317">
        <v>0.54670779999999997</v>
      </c>
      <c r="S6317">
        <v>1.6614990000000001</v>
      </c>
      <c r="T6317">
        <v>-0.50366829999999996</v>
      </c>
      <c r="U6317">
        <v>3.1732179999999999</v>
      </c>
      <c r="V6317">
        <v>-0.40716930000000001</v>
      </c>
      <c r="W6317">
        <v>0.17063800000000001</v>
      </c>
      <c r="X6317">
        <v>0.89727129999999999</v>
      </c>
      <c r="Y6317">
        <v>-0.78992359999999995</v>
      </c>
      <c r="Z6317">
        <v>5.2998770000000001E-2</v>
      </c>
      <c r="AA6317">
        <v>0.61091070000000003</v>
      </c>
      <c r="AB6317">
        <v>32</v>
      </c>
      <c r="AC6317">
        <v>3.5713999999999801</v>
      </c>
      <c r="AD6317">
        <v>-1.1304401564190001</v>
      </c>
      <c r="AE6317">
        <v>7.0898699999999897</v>
      </c>
      <c r="AF6317">
        <v>-6.2727614598838999</v>
      </c>
      <c r="AG6317">
        <v>-1.1304401564190001</v>
      </c>
      <c r="AH6317">
        <v>4.6036415134806203</v>
      </c>
      <c r="AI6317">
        <v>98.266413766319701</v>
      </c>
      <c r="AJ6317">
        <v>143.72468729656799</v>
      </c>
      <c r="AK6317">
        <v>7.8625025573599396</v>
      </c>
      <c r="AL6317">
        <v>80.175083974565894</v>
      </c>
      <c r="AM6317">
        <v>114.407889596782</v>
      </c>
      <c r="AN6317">
        <v>0.99999997585508904</v>
      </c>
    </row>
    <row r="6318" spans="1:40" x14ac:dyDescent="0.25">
      <c r="A6318" t="str">
        <f>"20190303162941862"</f>
        <v>20190303162941862</v>
      </c>
      <c r="B6318" t="str">
        <f>"1551601781858316"</f>
        <v>1551601781858316</v>
      </c>
      <c r="C6318" t="s">
        <v>40</v>
      </c>
      <c r="D6318">
        <v>4.7411409999999998</v>
      </c>
      <c r="E6318">
        <v>0.28165059999999997</v>
      </c>
      <c r="F6318" t="s">
        <v>57</v>
      </c>
      <c r="G6318">
        <v>-198.61670000000001</v>
      </c>
      <c r="H6318" s="1">
        <v>-9.2166439999999995E-6</v>
      </c>
      <c r="I6318">
        <v>-54.456220000000002</v>
      </c>
      <c r="J6318">
        <v>-202.24529999999999</v>
      </c>
      <c r="K6318">
        <v>1.1306449999999999</v>
      </c>
      <c r="L6318">
        <v>-61.7553699999999</v>
      </c>
      <c r="M6318">
        <v>0.98503030000000003</v>
      </c>
      <c r="N6318">
        <v>-1.2906580000000001E-2</v>
      </c>
      <c r="O6318">
        <v>0.1718973</v>
      </c>
      <c r="P6318">
        <v>0.81569579999999997</v>
      </c>
      <c r="Q6318">
        <v>0.16822139999999999</v>
      </c>
      <c r="R6318">
        <v>0.55348169999999897</v>
      </c>
      <c r="S6318">
        <v>1.641586</v>
      </c>
      <c r="T6318">
        <v>-0.4895564</v>
      </c>
      <c r="U6318">
        <v>3.1751100000000001</v>
      </c>
      <c r="V6318">
        <v>-0.40906290000000001</v>
      </c>
      <c r="W6318">
        <v>0.17039509999999999</v>
      </c>
      <c r="X6318">
        <v>0.89645580000000002</v>
      </c>
      <c r="Y6318">
        <v>-0.78964690000000004</v>
      </c>
      <c r="Z6318">
        <v>5.0977080000000001E-2</v>
      </c>
      <c r="AA6318">
        <v>0.61144019999999899</v>
      </c>
      <c r="AB6318">
        <v>32</v>
      </c>
      <c r="AC6318">
        <v>3.6285999999999698</v>
      </c>
      <c r="AD6318">
        <v>-1.1306542166439999</v>
      </c>
      <c r="AE6318">
        <v>7.2991499999999903</v>
      </c>
      <c r="AF6318">
        <v>-6.4427273733669903</v>
      </c>
      <c r="AG6318">
        <v>-1.1306542166439999</v>
      </c>
      <c r="AH6318">
        <v>4.7382247557561801</v>
      </c>
      <c r="AI6318">
        <v>98.046947600205897</v>
      </c>
      <c r="AJ6318">
        <v>143.66783381245199</v>
      </c>
      <c r="AK6318">
        <v>8.0769975115266597</v>
      </c>
      <c r="AL6318">
        <v>80.189207948041798</v>
      </c>
      <c r="AM6318">
        <v>114.527749292262</v>
      </c>
      <c r="AN6318">
        <v>0.99999997380702899</v>
      </c>
    </row>
    <row r="6319" spans="1:40" x14ac:dyDescent="0.25">
      <c r="A6319" t="str">
        <f>"20190303162941873"</f>
        <v>20190303162941873</v>
      </c>
      <c r="B6319" t="str">
        <f>"1551601781868076"</f>
        <v>1551601781868076</v>
      </c>
      <c r="C6319" t="s">
        <v>40</v>
      </c>
      <c r="D6319">
        <v>4.7282919999999997</v>
      </c>
      <c r="E6319">
        <v>0.28295609999999999</v>
      </c>
      <c r="F6319" t="s">
        <v>57</v>
      </c>
      <c r="G6319">
        <v>-198.40219999999999</v>
      </c>
      <c r="H6319" s="1">
        <v>-9.2651119999999999E-6</v>
      </c>
      <c r="I6319">
        <v>-54.249400000000001</v>
      </c>
      <c r="J6319">
        <v>-202.08959999999999</v>
      </c>
      <c r="K6319">
        <v>1.1308469999999999</v>
      </c>
      <c r="L6319">
        <v>-61.722380000000001</v>
      </c>
      <c r="M6319">
        <v>0.98393790000000003</v>
      </c>
      <c r="N6319">
        <v>-1.294945E-2</v>
      </c>
      <c r="O6319">
        <v>0.1780408</v>
      </c>
      <c r="P6319">
        <v>0.81119609999999998</v>
      </c>
      <c r="Q6319">
        <v>0.1684061</v>
      </c>
      <c r="R6319">
        <v>0.56000019999999995</v>
      </c>
      <c r="S6319">
        <v>1.6240540000000001</v>
      </c>
      <c r="T6319">
        <v>-0.47781099999999999</v>
      </c>
      <c r="U6319">
        <v>3.1719970000000002</v>
      </c>
      <c r="V6319">
        <v>-0.41075230000000001</v>
      </c>
      <c r="W6319">
        <v>0.17036599999999999</v>
      </c>
      <c r="X6319">
        <v>0.8956885</v>
      </c>
      <c r="Y6319">
        <v>-0.78858300000000003</v>
      </c>
      <c r="Z6319">
        <v>4.9128699999999997E-2</v>
      </c>
      <c r="AA6319">
        <v>0.61296269999999997</v>
      </c>
      <c r="AB6319">
        <v>32</v>
      </c>
      <c r="AC6319">
        <v>3.68739999999999</v>
      </c>
      <c r="AD6319">
        <v>-1.130856265112</v>
      </c>
      <c r="AE6319">
        <v>7.4729799999999997</v>
      </c>
      <c r="AF6319">
        <v>-6.5759016693660302</v>
      </c>
      <c r="AG6319">
        <v>-1.130856265112</v>
      </c>
      <c r="AH6319">
        <v>4.8694097041165696</v>
      </c>
      <c r="AI6319">
        <v>97.868655502140896</v>
      </c>
      <c r="AJ6319">
        <v>143.480308075229</v>
      </c>
      <c r="AK6319">
        <v>8.2602947601195709</v>
      </c>
      <c r="AL6319">
        <v>80.190899834003801</v>
      </c>
      <c r="AM6319">
        <v>114.635637847588</v>
      </c>
      <c r="AN6319">
        <v>0.99999995747176895</v>
      </c>
    </row>
    <row r="6320" spans="1:40" x14ac:dyDescent="0.25">
      <c r="A6320" t="str">
        <f>"20190303162941885"</f>
        <v>20190303162941885</v>
      </c>
      <c r="B6320" t="str">
        <f>"1551601781877835"</f>
        <v>1551601781877835</v>
      </c>
      <c r="C6320" t="s">
        <v>40</v>
      </c>
      <c r="D6320">
        <v>4.7386470000000003</v>
      </c>
      <c r="E6320">
        <v>0.2843695</v>
      </c>
      <c r="F6320" t="s">
        <v>57</v>
      </c>
      <c r="G6320">
        <v>-198.24170000000001</v>
      </c>
      <c r="H6320" s="1">
        <v>-9.3004259999999994E-6</v>
      </c>
      <c r="I6320">
        <v>-54.097340000000003</v>
      </c>
      <c r="J6320">
        <v>-201.92679999999999</v>
      </c>
      <c r="K6320">
        <v>1.1310579999999999</v>
      </c>
      <c r="L6320">
        <v>-61.6873199999999</v>
      </c>
      <c r="M6320">
        <v>0.98274130000000004</v>
      </c>
      <c r="N6320">
        <v>-1.299283E-2</v>
      </c>
      <c r="O6320">
        <v>0.18452879999999999</v>
      </c>
      <c r="P6320">
        <v>0.80674480000000004</v>
      </c>
      <c r="Q6320">
        <v>0.16853879999999999</v>
      </c>
      <c r="R6320">
        <v>0.56635459999999904</v>
      </c>
      <c r="S6320">
        <v>1.6030879999999901</v>
      </c>
      <c r="T6320">
        <v>-0.47112140000000002</v>
      </c>
      <c r="U6320">
        <v>3.1766359999999998</v>
      </c>
      <c r="V6320">
        <v>-0.4119777</v>
      </c>
      <c r="W6320">
        <v>0.17028889999999999</v>
      </c>
      <c r="X6320">
        <v>0.8951403</v>
      </c>
      <c r="Y6320">
        <v>-0.78832239999999998</v>
      </c>
      <c r="Z6320">
        <v>4.7749699999999999E-2</v>
      </c>
      <c r="AA6320">
        <v>0.61340669999999897</v>
      </c>
      <c r="AB6320">
        <v>32</v>
      </c>
      <c r="AC6320">
        <v>3.6850999999999701</v>
      </c>
      <c r="AD6320">
        <v>-1.1310673004259999</v>
      </c>
      <c r="AE6320">
        <v>7.58997999999999</v>
      </c>
      <c r="AF6320">
        <v>-6.6598671834067797</v>
      </c>
      <c r="AG6320">
        <v>-1.1310673004259999</v>
      </c>
      <c r="AH6320">
        <v>4.93382774686724</v>
      </c>
      <c r="AI6320">
        <v>97.770865905792107</v>
      </c>
      <c r="AJ6320">
        <v>143.467851740394</v>
      </c>
      <c r="AK6320">
        <v>8.3651539360892002</v>
      </c>
      <c r="AL6320">
        <v>80.1953837205524</v>
      </c>
      <c r="AM6320">
        <v>114.713690341469</v>
      </c>
      <c r="AN6320">
        <v>1.00000004572229</v>
      </c>
    </row>
    <row r="6321" spans="1:40" x14ac:dyDescent="0.25">
      <c r="A6321" t="str">
        <f>"20190303162941899"</f>
        <v>20190303162941899</v>
      </c>
      <c r="B6321" t="str">
        <f>"1551601781888573"</f>
        <v>1551601781888573</v>
      </c>
      <c r="C6321" t="s">
        <v>40</v>
      </c>
      <c r="D6321">
        <v>4.7427919999999997</v>
      </c>
      <c r="E6321">
        <v>0.28573080000000001</v>
      </c>
      <c r="F6321" t="s">
        <v>57</v>
      </c>
      <c r="G6321">
        <v>-198.06970000000001</v>
      </c>
      <c r="H6321" s="1">
        <v>-9.3368539999999995E-6</v>
      </c>
      <c r="I6321">
        <v>-53.938450000000003</v>
      </c>
      <c r="J6321">
        <v>-201.72880000000001</v>
      </c>
      <c r="K6321">
        <v>1.1313200000000001</v>
      </c>
      <c r="L6321">
        <v>-61.642519999999998</v>
      </c>
      <c r="M6321">
        <v>0.98117929999999998</v>
      </c>
      <c r="N6321">
        <v>-1.3047799999999899E-2</v>
      </c>
      <c r="O6321">
        <v>0.1926581</v>
      </c>
      <c r="P6321">
        <v>0.80055779999999999</v>
      </c>
      <c r="Q6321">
        <v>0.16937929999999901</v>
      </c>
      <c r="R6321">
        <v>0.57482</v>
      </c>
      <c r="S6321">
        <v>1.5830229999999901</v>
      </c>
      <c r="T6321">
        <v>-0.46420980000000001</v>
      </c>
      <c r="U6321">
        <v>3.1802670000000002</v>
      </c>
      <c r="V6321">
        <v>-0.41416019999999998</v>
      </c>
      <c r="W6321">
        <v>0.17085739999999999</v>
      </c>
      <c r="X6321">
        <v>0.89402409999999999</v>
      </c>
      <c r="Y6321">
        <v>-0.78685699999999903</v>
      </c>
      <c r="Z6321">
        <v>4.5997330000000003E-2</v>
      </c>
      <c r="AA6321">
        <v>0.61541869999999999</v>
      </c>
      <c r="AB6321">
        <v>32</v>
      </c>
      <c r="AC6321">
        <v>3.6590999999999898</v>
      </c>
      <c r="AD6321">
        <v>-1.1313293368539901</v>
      </c>
      <c r="AE6321">
        <v>7.70406999999999</v>
      </c>
      <c r="AF6321">
        <v>-6.7361770679423003</v>
      </c>
      <c r="AG6321">
        <v>-1.1313293368539901</v>
      </c>
      <c r="AH6321">
        <v>4.9871658851145204</v>
      </c>
      <c r="AI6321">
        <v>97.687373722183494</v>
      </c>
      <c r="AJ6321">
        <v>143.48539888277</v>
      </c>
      <c r="AK6321">
        <v>8.4574116090414009</v>
      </c>
      <c r="AL6321">
        <v>80.162326233834804</v>
      </c>
      <c r="AM6321">
        <v>114.85611740750601</v>
      </c>
      <c r="AN6321">
        <v>1.0000000068898001</v>
      </c>
    </row>
    <row r="6322" spans="1:40" x14ac:dyDescent="0.25">
      <c r="A6322" t="str">
        <f>"20190303162941911"</f>
        <v>20190303162941911</v>
      </c>
      <c r="B6322" t="str">
        <f>"1551601781898332"</f>
        <v>1551601781898332</v>
      </c>
      <c r="C6322" t="s">
        <v>40</v>
      </c>
      <c r="D6322">
        <v>4.7816919999999996</v>
      </c>
      <c r="E6322">
        <v>0.28694599999999998</v>
      </c>
      <c r="F6322" t="s">
        <v>57</v>
      </c>
      <c r="G6322">
        <v>-197.8578</v>
      </c>
      <c r="H6322" s="1">
        <v>-9.3978210000000008E-6</v>
      </c>
      <c r="I6322">
        <v>-53.696840000000002</v>
      </c>
      <c r="J6322">
        <v>-201.56880000000001</v>
      </c>
      <c r="K6322">
        <v>1.1315170000000001</v>
      </c>
      <c r="L6322">
        <v>-61.604889999999997</v>
      </c>
      <c r="M6322">
        <v>0.97983620000000005</v>
      </c>
      <c r="N6322">
        <v>-1.309307E-2</v>
      </c>
      <c r="O6322">
        <v>0.1993732</v>
      </c>
      <c r="P6322">
        <v>0.79591009999999995</v>
      </c>
      <c r="Q6322">
        <v>0.170090299999999</v>
      </c>
      <c r="R6322">
        <v>0.58103070000000001</v>
      </c>
      <c r="S6322">
        <v>1.55365</v>
      </c>
      <c r="T6322">
        <v>-0.45406340000000001</v>
      </c>
      <c r="U6322">
        <v>3.1890260000000001</v>
      </c>
      <c r="V6322">
        <v>-0.4151261</v>
      </c>
      <c r="W6322">
        <v>0.1713789</v>
      </c>
      <c r="X6322">
        <v>0.8934761</v>
      </c>
      <c r="Y6322">
        <v>-0.78812680000000002</v>
      </c>
      <c r="Z6322">
        <v>4.457825E-2</v>
      </c>
      <c r="AA6322">
        <v>0.61389640000000001</v>
      </c>
      <c r="AB6322">
        <v>32</v>
      </c>
      <c r="AC6322">
        <v>3.7110000000000101</v>
      </c>
      <c r="AD6322">
        <v>-1.131526397821</v>
      </c>
      <c r="AE6322">
        <v>7.9080500000000002</v>
      </c>
      <c r="AF6322">
        <v>-6.8936546064125297</v>
      </c>
      <c r="AG6322">
        <v>-1.131526397821</v>
      </c>
      <c r="AH6322">
        <v>5.1272442181088298</v>
      </c>
      <c r="AI6322">
        <v>97.502983674100705</v>
      </c>
      <c r="AJ6322">
        <v>143.359499714072</v>
      </c>
      <c r="AK6322">
        <v>8.6655328222567398</v>
      </c>
      <c r="AL6322">
        <v>80.131998846082197</v>
      </c>
      <c r="AM6322">
        <v>114.920483058199</v>
      </c>
      <c r="AN6322">
        <v>0.999999973768814</v>
      </c>
    </row>
    <row r="6323" spans="1:40" x14ac:dyDescent="0.25">
      <c r="A6323" t="str">
        <f>"20190303162941923"</f>
        <v>20190303162941923</v>
      </c>
      <c r="B6323" t="str">
        <f>"1551601781908092"</f>
        <v>1551601781908092</v>
      </c>
      <c r="C6323" t="s">
        <v>40</v>
      </c>
      <c r="D6323">
        <v>4.82111</v>
      </c>
      <c r="E6323">
        <v>0.2881707</v>
      </c>
      <c r="F6323" t="s">
        <v>57</v>
      </c>
      <c r="G6323">
        <v>-197.69470000000001</v>
      </c>
      <c r="H6323" s="1">
        <v>-9.4359129999999995E-6</v>
      </c>
      <c r="I6323">
        <v>-53.536079999999998</v>
      </c>
      <c r="J6323">
        <v>-201.40870000000001</v>
      </c>
      <c r="K6323">
        <v>1.1317120000000001</v>
      </c>
      <c r="L6323">
        <v>-61.566589999999998</v>
      </c>
      <c r="M6323">
        <v>0.97843239999999998</v>
      </c>
      <c r="N6323">
        <v>-1.3137019999999999E-2</v>
      </c>
      <c r="O6323">
        <v>0.20614930000000001</v>
      </c>
      <c r="P6323">
        <v>0.79080379999999995</v>
      </c>
      <c r="Q6323">
        <v>0.17100789999999999</v>
      </c>
      <c r="R6323">
        <v>0.58769510000000003</v>
      </c>
      <c r="S6323">
        <v>1.5334319999999999</v>
      </c>
      <c r="T6323">
        <v>-0.44788359999999999</v>
      </c>
      <c r="U6323">
        <v>3.1938170000000001</v>
      </c>
      <c r="V6323">
        <v>-0.41659649999999998</v>
      </c>
      <c r="W6323">
        <v>0.1720911</v>
      </c>
      <c r="X6323">
        <v>0.89265450000000002</v>
      </c>
      <c r="Y6323">
        <v>-0.78757819999999901</v>
      </c>
      <c r="Z6323">
        <v>4.3226029999999999E-2</v>
      </c>
      <c r="AA6323">
        <v>0.61469680000000004</v>
      </c>
      <c r="AB6323">
        <v>32</v>
      </c>
      <c r="AC6323">
        <v>3.7139999999999902</v>
      </c>
      <c r="AD6323">
        <v>-1.1317214359129999</v>
      </c>
      <c r="AE6323">
        <v>8.0305099999999996</v>
      </c>
      <c r="AF6323">
        <v>-6.9781148553116399</v>
      </c>
      <c r="AG6323">
        <v>-1.1317214359129999</v>
      </c>
      <c r="AH6323">
        <v>5.2046839240036498</v>
      </c>
      <c r="AI6323">
        <v>97.407094343669499</v>
      </c>
      <c r="AJ6323">
        <v>143.282282819871</v>
      </c>
      <c r="AK6323">
        <v>8.7785884452574798</v>
      </c>
      <c r="AL6323">
        <v>80.090577896143103</v>
      </c>
      <c r="AM6323">
        <v>115.01817952399099</v>
      </c>
      <c r="AN6323">
        <v>1.0000000234408499</v>
      </c>
    </row>
    <row r="6324" spans="1:40" x14ac:dyDescent="0.25">
      <c r="A6324" t="str">
        <f>"20190303162941934"</f>
        <v>20190303162941934</v>
      </c>
      <c r="B6324" t="str">
        <f>"1551601781917852"</f>
        <v>1551601781917852</v>
      </c>
      <c r="C6324" t="s">
        <v>40</v>
      </c>
      <c r="D6324">
        <v>4.8159999999999998</v>
      </c>
      <c r="E6324">
        <v>0.28926780000000002</v>
      </c>
      <c r="F6324" t="s">
        <v>57</v>
      </c>
      <c r="G6324">
        <v>-197.54400000000001</v>
      </c>
      <c r="H6324" s="1">
        <v>-9.4700349999999999E-6</v>
      </c>
      <c r="I6324">
        <v>-53.39058</v>
      </c>
      <c r="J6324">
        <v>-201.2552</v>
      </c>
      <c r="K6324">
        <v>1.1318889999999999</v>
      </c>
      <c r="L6324">
        <v>-61.527799999999999</v>
      </c>
      <c r="M6324">
        <v>0.97699720000000001</v>
      </c>
      <c r="N6324">
        <v>-1.318108E-2</v>
      </c>
      <c r="O6324">
        <v>0.21284449999999999</v>
      </c>
      <c r="P6324">
        <v>0.78591230000000001</v>
      </c>
      <c r="Q6324">
        <v>0.17155219999999999</v>
      </c>
      <c r="R6324">
        <v>0.59406380000000003</v>
      </c>
      <c r="S6324">
        <v>1.512054</v>
      </c>
      <c r="T6324">
        <v>-0.44279299999999999</v>
      </c>
      <c r="U6324">
        <v>3.1989139999999998</v>
      </c>
      <c r="V6324">
        <v>-0.41781210000000002</v>
      </c>
      <c r="W6324">
        <v>0.17245369999999999</v>
      </c>
      <c r="X6324">
        <v>0.89201609999999998</v>
      </c>
      <c r="Y6324">
        <v>-0.78725489999999998</v>
      </c>
      <c r="Z6324">
        <v>4.2018760000000002E-2</v>
      </c>
      <c r="AA6324">
        <v>0.61519429999999997</v>
      </c>
      <c r="AB6324">
        <v>32</v>
      </c>
      <c r="AC6324">
        <v>3.7111999999999901</v>
      </c>
      <c r="AD6324">
        <v>-1.1318984700350001</v>
      </c>
      <c r="AE6324">
        <v>8.1372199999999903</v>
      </c>
      <c r="AF6324">
        <v>-7.0478656535775901</v>
      </c>
      <c r="AG6324">
        <v>-1.1318984700350001</v>
      </c>
      <c r="AH6324">
        <v>5.27378722058502</v>
      </c>
      <c r="AI6324">
        <v>97.327299548905103</v>
      </c>
      <c r="AJ6324">
        <v>143.19317191040199</v>
      </c>
      <c r="AK6324">
        <v>8.8750456937050295</v>
      </c>
      <c r="AL6324">
        <v>80.069486651289196</v>
      </c>
      <c r="AM6324">
        <v>115.09795756758299</v>
      </c>
      <c r="AN6324">
        <v>0.99999997610465396</v>
      </c>
    </row>
    <row r="6325" spans="1:40" x14ac:dyDescent="0.25">
      <c r="A6325" t="str">
        <f>"20190303162941946"</f>
        <v>20190303162941946</v>
      </c>
      <c r="B6325" t="str">
        <f>"1551601781938348"</f>
        <v>1551601781938348</v>
      </c>
      <c r="C6325" t="s">
        <v>40</v>
      </c>
      <c r="D6325">
        <v>4.8104889999999996</v>
      </c>
      <c r="E6325">
        <v>0.29111799999999999</v>
      </c>
      <c r="F6325" t="s">
        <v>57</v>
      </c>
      <c r="G6325">
        <v>-197.42140000000001</v>
      </c>
      <c r="H6325" s="1">
        <v>-9.4892179999999998E-6</v>
      </c>
      <c r="I6325">
        <v>-53.29663</v>
      </c>
      <c r="J6325">
        <v>-201.10550000000001</v>
      </c>
      <c r="K6325">
        <v>1.132058</v>
      </c>
      <c r="L6325">
        <v>-61.4895</v>
      </c>
      <c r="M6325">
        <v>0.97554399999999997</v>
      </c>
      <c r="N6325">
        <v>-1.322214E-2</v>
      </c>
      <c r="O6325">
        <v>0.2194063</v>
      </c>
      <c r="P6325">
        <v>0.78083279999999999</v>
      </c>
      <c r="Q6325">
        <v>0.171073</v>
      </c>
      <c r="R6325">
        <v>0.60086110000000004</v>
      </c>
      <c r="S6325">
        <v>1.491989</v>
      </c>
      <c r="T6325">
        <v>-0.44050260000000002</v>
      </c>
      <c r="U6325">
        <v>3.2033390000000002</v>
      </c>
      <c r="V6325">
        <v>-0.41959819999999998</v>
      </c>
      <c r="W6325">
        <v>0.1717796</v>
      </c>
      <c r="X6325">
        <v>0.89130750000000003</v>
      </c>
      <c r="Y6325">
        <v>-0.78670410000000002</v>
      </c>
      <c r="Z6325">
        <v>4.1013529999999999E-2</v>
      </c>
      <c r="AA6325">
        <v>0.61596640000000003</v>
      </c>
      <c r="AB6325">
        <v>32</v>
      </c>
      <c r="AC6325">
        <v>3.6840999999999999</v>
      </c>
      <c r="AD6325">
        <v>-1.132067489218</v>
      </c>
      <c r="AE6325">
        <v>8.1928699999999903</v>
      </c>
      <c r="AF6325">
        <v>-7.0724957981512002</v>
      </c>
      <c r="AG6325">
        <v>-1.132067489218</v>
      </c>
      <c r="AH6325">
        <v>5.30774470904346</v>
      </c>
      <c r="AI6325">
        <v>97.295529153459199</v>
      </c>
      <c r="AJ6325">
        <v>143.11261883467901</v>
      </c>
      <c r="AK6325">
        <v>8.9148150576099798</v>
      </c>
      <c r="AL6325">
        <v>80.108694797661101</v>
      </c>
      <c r="AM6325">
        <v>115.209510758448</v>
      </c>
      <c r="AN6325">
        <v>0.99999996998782403</v>
      </c>
    </row>
    <row r="6326" spans="1:40" x14ac:dyDescent="0.25">
      <c r="A6326" t="str">
        <f>"20190303162941957"</f>
        <v>20190303162941957</v>
      </c>
      <c r="B6326" t="str">
        <f>"1551601781948108"</f>
        <v>1551601781948108</v>
      </c>
      <c r="C6326" t="s">
        <v>40</v>
      </c>
      <c r="D6326">
        <v>4.8424889999999996</v>
      </c>
      <c r="E6326">
        <v>0.29208440000000002</v>
      </c>
      <c r="F6326" t="s">
        <v>57</v>
      </c>
      <c r="G6326">
        <v>-197.35</v>
      </c>
      <c r="H6326" s="1">
        <v>-9.4693930000000004E-6</v>
      </c>
      <c r="I6326">
        <v>-53.330240000000003</v>
      </c>
      <c r="J6326">
        <v>-200.93790000000001</v>
      </c>
      <c r="K6326">
        <v>1.1322399999999999</v>
      </c>
      <c r="L6326">
        <v>-61.444789999999998</v>
      </c>
      <c r="M6326">
        <v>0.97382650000000004</v>
      </c>
      <c r="N6326">
        <v>-1.3268729999999999E-2</v>
      </c>
      <c r="O6326">
        <v>0.22690560000000001</v>
      </c>
      <c r="P6326">
        <v>0.77520789999999995</v>
      </c>
      <c r="Q6326">
        <v>0.17057739999999999</v>
      </c>
      <c r="R6326">
        <v>0.60824029999999996</v>
      </c>
      <c r="S6326">
        <v>1.47439599999999</v>
      </c>
      <c r="T6326">
        <v>-0.4444555</v>
      </c>
      <c r="U6326">
        <v>3.2033689999999999</v>
      </c>
      <c r="V6326">
        <v>-0.42123739999999998</v>
      </c>
      <c r="W6326">
        <v>0.17108579999999901</v>
      </c>
      <c r="X6326">
        <v>0.890667599999999</v>
      </c>
      <c r="Y6326">
        <v>-0.78473970000000004</v>
      </c>
      <c r="Z6326">
        <v>4.0166769999999997E-2</v>
      </c>
      <c r="AA6326">
        <v>0.61852269999999998</v>
      </c>
      <c r="AB6326">
        <v>32</v>
      </c>
      <c r="AC6326">
        <v>3.5879000000000101</v>
      </c>
      <c r="AD6326">
        <v>-1.1322494693930001</v>
      </c>
      <c r="AE6326">
        <v>8.1145499999999995</v>
      </c>
      <c r="AF6326">
        <v>-6.9750786762276196</v>
      </c>
      <c r="AG6326">
        <v>-1.1322494693930001</v>
      </c>
      <c r="AH6326">
        <v>5.2501951398118498</v>
      </c>
      <c r="AI6326">
        <v>97.389643248989103</v>
      </c>
      <c r="AJ6326">
        <v>143.03094338073399</v>
      </c>
      <c r="AK6326">
        <v>8.8033096280097904</v>
      </c>
      <c r="AL6326">
        <v>80.149044602982698</v>
      </c>
      <c r="AM6326">
        <v>115.31160621643301</v>
      </c>
      <c r="AN6326">
        <v>1.00000003590507</v>
      </c>
    </row>
    <row r="6327" spans="1:40" x14ac:dyDescent="0.25">
      <c r="A6327" t="str">
        <f>"20190303162941971"</f>
        <v>20190303162941971</v>
      </c>
      <c r="B6327" t="str">
        <f>"1551601781957870"</f>
        <v>1551601781957870</v>
      </c>
      <c r="C6327" t="s">
        <v>40</v>
      </c>
      <c r="D6327">
        <v>4.7331659999999998</v>
      </c>
      <c r="E6327">
        <v>0.29257270000000002</v>
      </c>
      <c r="F6327" t="s">
        <v>57</v>
      </c>
      <c r="G6327">
        <v>-197.28229999999999</v>
      </c>
      <c r="H6327" s="1">
        <v>-9.4532199999999993E-6</v>
      </c>
      <c r="I6327">
        <v>-53.354599999999998</v>
      </c>
      <c r="J6327">
        <v>-200.7672</v>
      </c>
      <c r="K6327">
        <v>1.132414</v>
      </c>
      <c r="L6327">
        <v>-61.397860000000001</v>
      </c>
      <c r="M6327">
        <v>0.97198839999999997</v>
      </c>
      <c r="N6327">
        <v>-1.3315219999999999E-2</v>
      </c>
      <c r="O6327">
        <v>0.23465150000000001</v>
      </c>
      <c r="P6327">
        <v>0.76943109999999904</v>
      </c>
      <c r="Q6327">
        <v>0.16965740000000001</v>
      </c>
      <c r="R6327">
        <v>0.61578580000000005</v>
      </c>
      <c r="S6327">
        <v>1.450348</v>
      </c>
      <c r="T6327">
        <v>-0.44921929999999999</v>
      </c>
      <c r="U6327">
        <v>3.209778</v>
      </c>
      <c r="V6327">
        <v>-0.42285519999999999</v>
      </c>
      <c r="W6327">
        <v>0.16997129999999999</v>
      </c>
      <c r="X6327">
        <v>0.89011419999999997</v>
      </c>
      <c r="Y6327">
        <v>-0.78408679999999997</v>
      </c>
      <c r="Z6327">
        <v>3.9465529999999999E-2</v>
      </c>
      <c r="AA6327">
        <v>0.61939529999999998</v>
      </c>
      <c r="AB6327">
        <v>32</v>
      </c>
      <c r="AC6327">
        <v>3.4849000000000099</v>
      </c>
      <c r="AD6327">
        <v>-1.1324234532199999</v>
      </c>
      <c r="AE6327">
        <v>8.0432599999999894</v>
      </c>
      <c r="AF6327">
        <v>-6.8859175480224302</v>
      </c>
      <c r="AG6327">
        <v>-1.1324234532199999</v>
      </c>
      <c r="AH6327">
        <v>5.18852001569614</v>
      </c>
      <c r="AI6327">
        <v>97.482578317484496</v>
      </c>
      <c r="AJ6327">
        <v>143.002075355584</v>
      </c>
      <c r="AK6327">
        <v>8.6959176231634991</v>
      </c>
      <c r="AL6327">
        <v>80.213849874243294</v>
      </c>
      <c r="AM6327">
        <v>115.41039417274401</v>
      </c>
      <c r="AN6327">
        <v>1.0000000260161801</v>
      </c>
    </row>
    <row r="6328" spans="1:40" x14ac:dyDescent="0.25">
      <c r="A6328" t="str">
        <f>"20190303162941989"</f>
        <v>20190303162941989</v>
      </c>
      <c r="B6328" t="str">
        <f>"1551601781978363"</f>
        <v>1551601781978363</v>
      </c>
      <c r="C6328" t="s">
        <v>40</v>
      </c>
      <c r="D6328">
        <v>4.7096539999999996</v>
      </c>
      <c r="E6328">
        <v>0.29404419999999998</v>
      </c>
      <c r="F6328" t="s">
        <v>57</v>
      </c>
      <c r="G6328">
        <v>-197.23150000000001</v>
      </c>
      <c r="H6328" s="1">
        <v>-9.4321709999999999E-6</v>
      </c>
      <c r="I6328">
        <v>-53.398310000000002</v>
      </c>
      <c r="J6328">
        <v>-200.52600000000001</v>
      </c>
      <c r="K6328">
        <v>1.132649</v>
      </c>
      <c r="L6328">
        <v>-61.329070000000002</v>
      </c>
      <c r="M6328">
        <v>0.9692345</v>
      </c>
      <c r="N6328">
        <v>-1.33793E-2</v>
      </c>
      <c r="O6328">
        <v>0.2457753</v>
      </c>
      <c r="P6328">
        <v>0.76133079999999997</v>
      </c>
      <c r="Q6328">
        <v>0.16930819999999999</v>
      </c>
      <c r="R6328">
        <v>0.62586750000000002</v>
      </c>
      <c r="S6328">
        <v>1.422928</v>
      </c>
      <c r="T6328">
        <v>-0.45574429999999999</v>
      </c>
      <c r="U6328">
        <v>3.2194210000000001</v>
      </c>
      <c r="V6328">
        <v>-0.42445559999999899</v>
      </c>
      <c r="W6328">
        <v>0.1693759</v>
      </c>
      <c r="X6328">
        <v>0.88946569999999903</v>
      </c>
      <c r="Y6328">
        <v>-0.78206690000000001</v>
      </c>
      <c r="Z6328">
        <v>3.8204780000000001E-2</v>
      </c>
      <c r="AA6328">
        <v>0.62202230000000003</v>
      </c>
      <c r="AB6328">
        <v>32</v>
      </c>
      <c r="AC6328">
        <v>3.29449999999997</v>
      </c>
      <c r="AD6328">
        <v>-1.132658432171</v>
      </c>
      <c r="AE6328">
        <v>7.9307599999999896</v>
      </c>
      <c r="AF6328">
        <v>-6.7600813791698204</v>
      </c>
      <c r="AG6328">
        <v>-1.132658432171</v>
      </c>
      <c r="AH6328">
        <v>5.0548574906592503</v>
      </c>
      <c r="AI6328">
        <v>97.642611964704201</v>
      </c>
      <c r="AJ6328">
        <v>143.212661329756</v>
      </c>
      <c r="AK6328">
        <v>8.5166425091018496</v>
      </c>
      <c r="AL6328">
        <v>80.2484653614477</v>
      </c>
      <c r="AM6328">
        <v>115.51061118999699</v>
      </c>
      <c r="AN6328">
        <v>0.99999999167432996</v>
      </c>
    </row>
    <row r="6329" spans="1:40" x14ac:dyDescent="0.25">
      <c r="A6329" t="str">
        <f>"20190303162942005"</f>
        <v>20190303162942005</v>
      </c>
      <c r="B6329" t="str">
        <f>"1551601781997886"</f>
        <v>1551601781997886</v>
      </c>
      <c r="C6329" t="s">
        <v>40</v>
      </c>
      <c r="D6329">
        <v>4.794168</v>
      </c>
      <c r="E6329">
        <v>0.31144319999999998</v>
      </c>
      <c r="F6329" t="s">
        <v>57</v>
      </c>
      <c r="G6329">
        <v>-197.1114</v>
      </c>
      <c r="H6329" s="1">
        <v>-9.4209300000000003E-6</v>
      </c>
      <c r="I6329">
        <v>-53.391840000000002</v>
      </c>
      <c r="J6329">
        <v>-200.31010000000001</v>
      </c>
      <c r="K6329">
        <v>1.1328480000000001</v>
      </c>
      <c r="L6329">
        <v>-61.264980000000001</v>
      </c>
      <c r="M6329">
        <v>0.96660880000000005</v>
      </c>
      <c r="N6329">
        <v>-1.343512E-2</v>
      </c>
      <c r="O6329">
        <v>0.25590420000000003</v>
      </c>
      <c r="P6329">
        <v>0.75297000000000003</v>
      </c>
      <c r="Q6329">
        <v>0.16935639999999999</v>
      </c>
      <c r="R6329">
        <v>0.63588880000000003</v>
      </c>
      <c r="S6329">
        <v>1.3888849999999999</v>
      </c>
      <c r="T6329">
        <v>-0.46070650000000002</v>
      </c>
      <c r="U6329">
        <v>3.2284549999999999</v>
      </c>
      <c r="V6329">
        <v>-0.42701509999999998</v>
      </c>
      <c r="W6329">
        <v>0.1691715</v>
      </c>
      <c r="X6329">
        <v>0.88827869999999998</v>
      </c>
      <c r="Y6329">
        <v>-0.78169379999999999</v>
      </c>
      <c r="Z6329">
        <v>3.7171959999999997E-2</v>
      </c>
      <c r="AA6329">
        <v>0.62255360000000004</v>
      </c>
      <c r="AB6329">
        <v>32</v>
      </c>
      <c r="AC6329">
        <v>3.1987000000000001</v>
      </c>
      <c r="AD6329">
        <v>-1.13285742092999</v>
      </c>
      <c r="AE6329">
        <v>7.8731399999999896</v>
      </c>
      <c r="AF6329">
        <v>-6.6737020939290597</v>
      </c>
      <c r="AG6329">
        <v>-1.13285742092999</v>
      </c>
      <c r="AH6329">
        <v>5.0179494574822998</v>
      </c>
      <c r="AI6329">
        <v>97.726472503928804</v>
      </c>
      <c r="AJ6329">
        <v>143.06053340117799</v>
      </c>
      <c r="AK6329">
        <v>8.4262377329693301</v>
      </c>
      <c r="AL6329">
        <v>80.260347889037902</v>
      </c>
      <c r="AM6329">
        <v>115.67461688351101</v>
      </c>
      <c r="AN6329">
        <v>0.99999997045697397</v>
      </c>
    </row>
    <row r="6330" spans="1:40" x14ac:dyDescent="0.25">
      <c r="A6330" t="str">
        <f>"20190303162942028"</f>
        <v>20190303162942028</v>
      </c>
      <c r="B6330" t="str">
        <f>"1551601782018380"</f>
        <v>1551601782018380</v>
      </c>
      <c r="C6330" t="s">
        <v>40</v>
      </c>
      <c r="D6330">
        <v>4.7662420000000001</v>
      </c>
      <c r="E6330">
        <v>0.31118079999999998</v>
      </c>
      <c r="F6330" t="s">
        <v>57</v>
      </c>
      <c r="G6330">
        <v>-196.68549999999999</v>
      </c>
      <c r="H6330" s="1">
        <v>-9.3979220000000004E-6</v>
      </c>
      <c r="I6330">
        <v>-53.332500000000003</v>
      </c>
      <c r="J6330">
        <v>-200.0103</v>
      </c>
      <c r="K6330">
        <v>1.133105</v>
      </c>
      <c r="L6330">
        <v>-61.171140000000001</v>
      </c>
      <c r="M6330">
        <v>0.96268980000000004</v>
      </c>
      <c r="N6330">
        <v>-1.351159E-2</v>
      </c>
      <c r="O6330">
        <v>0.27027010000000001</v>
      </c>
      <c r="P6330">
        <v>0.74179719999999905</v>
      </c>
      <c r="Q6330">
        <v>0.1699946</v>
      </c>
      <c r="R6330">
        <v>0.64872099999999999</v>
      </c>
      <c r="S6330">
        <v>1.4342649999999999</v>
      </c>
      <c r="T6330">
        <v>-0.4482719</v>
      </c>
      <c r="U6330">
        <v>3.1388850000000001</v>
      </c>
      <c r="V6330">
        <v>-0.42920950000000002</v>
      </c>
      <c r="W6330">
        <v>0.16952390000000001</v>
      </c>
      <c r="X6330">
        <v>0.88715330000000003</v>
      </c>
      <c r="Y6330">
        <v>-0.75855859999999997</v>
      </c>
      <c r="Z6330">
        <v>3.1960839999999997E-2</v>
      </c>
      <c r="AA6330">
        <v>0.65082059999999997</v>
      </c>
      <c r="AB6330">
        <v>32</v>
      </c>
      <c r="AC6330">
        <v>3.32480000000001</v>
      </c>
      <c r="AD6330">
        <v>-1.133114397922</v>
      </c>
      <c r="AE6330">
        <v>7.8386399999999901</v>
      </c>
      <c r="AF6330">
        <v>-6.5325007064927298</v>
      </c>
      <c r="AG6330">
        <v>-1.133114397922</v>
      </c>
      <c r="AH6330">
        <v>5.2272124820643997</v>
      </c>
      <c r="AI6330">
        <v>97.712961687497398</v>
      </c>
      <c r="AJ6330">
        <v>141.333710882817</v>
      </c>
      <c r="AK6330">
        <v>8.4428232275558202</v>
      </c>
      <c r="AL6330">
        <v>80.239861858253207</v>
      </c>
      <c r="AM6330">
        <v>115.817944855671</v>
      </c>
      <c r="AN6330">
        <v>1.00000006263117</v>
      </c>
    </row>
    <row r="6331" spans="1:40" x14ac:dyDescent="0.25">
      <c r="A6331" t="str">
        <f>"20190303162942038"</f>
        <v>20190303162942038</v>
      </c>
      <c r="B6331" t="str">
        <f>"1551601782028140"</f>
        <v>1551601782028140</v>
      </c>
      <c r="C6331" t="s">
        <v>40</v>
      </c>
      <c r="D6331">
        <v>4.7802480000000003</v>
      </c>
      <c r="E6331">
        <v>0.31252770000000002</v>
      </c>
      <c r="F6331" t="s">
        <v>57</v>
      </c>
      <c r="G6331">
        <v>-196.4873</v>
      </c>
      <c r="H6331" s="1">
        <v>-9.4690849999999995E-6</v>
      </c>
      <c r="I6331">
        <v>-53.082320000000003</v>
      </c>
      <c r="J6331">
        <v>-199.86240000000001</v>
      </c>
      <c r="K6331">
        <v>1.13322099999999</v>
      </c>
      <c r="L6331">
        <v>-61.123019999999997</v>
      </c>
      <c r="M6331">
        <v>0.96064130000000003</v>
      </c>
      <c r="N6331">
        <v>-1.354812E-2</v>
      </c>
      <c r="O6331">
        <v>0.27746140000000002</v>
      </c>
      <c r="P6331">
        <v>0.73615200000000003</v>
      </c>
      <c r="Q6331">
        <v>0.170272799999999</v>
      </c>
      <c r="R6331">
        <v>0.65504770000000001</v>
      </c>
      <c r="S6331">
        <v>1.3783110000000001</v>
      </c>
      <c r="T6331">
        <v>-0.44330700000000001</v>
      </c>
      <c r="U6331">
        <v>3.1645810000000001</v>
      </c>
      <c r="V6331">
        <v>-0.43025000000000002</v>
      </c>
      <c r="W6331">
        <v>0.16966819999999999</v>
      </c>
      <c r="X6331">
        <v>0.88662149999999995</v>
      </c>
      <c r="Y6331">
        <v>-0.7653124</v>
      </c>
      <c r="Z6331">
        <v>3.1642089999999998E-2</v>
      </c>
      <c r="AA6331">
        <v>0.64288089999999998</v>
      </c>
      <c r="AB6331">
        <v>32</v>
      </c>
      <c r="AC6331">
        <v>3.3751000000000002</v>
      </c>
      <c r="AD6331">
        <v>-1.1332304690849999</v>
      </c>
      <c r="AE6331">
        <v>8.0406999999999993</v>
      </c>
      <c r="AF6331">
        <v>-6.6756547819921703</v>
      </c>
      <c r="AG6331">
        <v>-1.1332304690849999</v>
      </c>
      <c r="AH6331">
        <v>5.3828426129148301</v>
      </c>
      <c r="AI6331">
        <v>97.527865671961905</v>
      </c>
      <c r="AJ6331">
        <v>141.11940394677299</v>
      </c>
      <c r="AK6331">
        <v>8.6500620032349698</v>
      </c>
      <c r="AL6331">
        <v>80.231472150821702</v>
      </c>
      <c r="AM6331">
        <v>115.885865174812</v>
      </c>
      <c r="AN6331">
        <v>1.00000002242674</v>
      </c>
    </row>
    <row r="6332" spans="1:40" x14ac:dyDescent="0.25">
      <c r="A6332" t="str">
        <f>"20190303162942049"</f>
        <v>20190303162942049</v>
      </c>
      <c r="B6332" t="str">
        <f>"1551601782037900"</f>
        <v>1551601782037900</v>
      </c>
      <c r="C6332" t="s">
        <v>40</v>
      </c>
      <c r="D6332">
        <v>4.4221629999999896</v>
      </c>
      <c r="E6332">
        <v>0.30824439999999997</v>
      </c>
      <c r="F6332" t="s">
        <v>57</v>
      </c>
      <c r="G6332">
        <v>-196.35900000000001</v>
      </c>
      <c r="H6332" s="1">
        <v>-9.5053310000000001E-6</v>
      </c>
      <c r="I6332">
        <v>-52.947389999999999</v>
      </c>
      <c r="J6332">
        <v>-199.72069999999999</v>
      </c>
      <c r="K6332">
        <v>1.133332</v>
      </c>
      <c r="L6332">
        <v>-61.075650000000003</v>
      </c>
      <c r="M6332">
        <v>0.95860540000000005</v>
      </c>
      <c r="N6332">
        <v>-1.3582439999999999E-2</v>
      </c>
      <c r="O6332">
        <v>0.28441369999999999</v>
      </c>
      <c r="P6332">
        <v>0.73076180000000002</v>
      </c>
      <c r="Q6332">
        <v>0.1700614</v>
      </c>
      <c r="R6332">
        <v>0.66110990000000003</v>
      </c>
      <c r="S6332">
        <v>1.35762</v>
      </c>
      <c r="T6332">
        <v>-0.43915280000000001</v>
      </c>
      <c r="U6332">
        <v>3.1682429999999999</v>
      </c>
      <c r="V6332">
        <v>-0.43118459999999997</v>
      </c>
      <c r="W6332">
        <v>0.16933500000000001</v>
      </c>
      <c r="X6332">
        <v>0.88623109999999905</v>
      </c>
      <c r="Y6332">
        <v>-0.76459690000000002</v>
      </c>
      <c r="Z6332">
        <v>3.0476099999999999E-2</v>
      </c>
      <c r="AA6332">
        <v>0.64378780000000002</v>
      </c>
      <c r="AB6332">
        <v>32</v>
      </c>
      <c r="AC6332">
        <v>3.3616999999999799</v>
      </c>
      <c r="AD6332">
        <v>-1.1333415053309901</v>
      </c>
      <c r="AE6332">
        <v>8.1282599999999903</v>
      </c>
      <c r="AF6332">
        <v>-6.7246706201795599</v>
      </c>
      <c r="AG6332">
        <v>-1.1333415053309901</v>
      </c>
      <c r="AH6332">
        <v>5.4444560755035702</v>
      </c>
      <c r="AI6332">
        <v>97.462484324240805</v>
      </c>
      <c r="AJ6332">
        <v>141.00553129705099</v>
      </c>
      <c r="AK6332">
        <v>8.7262683820576896</v>
      </c>
      <c r="AL6332">
        <v>80.250843502789095</v>
      </c>
      <c r="AM6332">
        <v>115.944655599572</v>
      </c>
      <c r="AN6332">
        <v>1.00000003205468</v>
      </c>
    </row>
    <row r="6333" spans="1:40" x14ac:dyDescent="0.25">
      <c r="A6333" t="str">
        <f>"20190303162942091"</f>
        <v>20190303162942091</v>
      </c>
      <c r="B6333" t="str">
        <f>"1551601782087676"</f>
        <v>1551601782087676</v>
      </c>
      <c r="C6333" t="s">
        <v>40</v>
      </c>
      <c r="D6333">
        <v>4.9199710000000003</v>
      </c>
      <c r="E6333">
        <v>0.31089029999999901</v>
      </c>
      <c r="F6333" t="s">
        <v>57</v>
      </c>
      <c r="G6333">
        <v>-196.4674</v>
      </c>
      <c r="H6333" s="1">
        <v>-9.4523840000000007E-6</v>
      </c>
      <c r="I6333">
        <v>-53.122799999999998</v>
      </c>
      <c r="J6333">
        <v>-199.18039999999999</v>
      </c>
      <c r="K6333">
        <v>1.133702</v>
      </c>
      <c r="L6333">
        <v>-60.884279999999997</v>
      </c>
      <c r="M6333">
        <v>0.95016029999999996</v>
      </c>
      <c r="N6333">
        <v>-1.370848E-2</v>
      </c>
      <c r="O6333">
        <v>0.31146049999999997</v>
      </c>
      <c r="P6333">
        <v>0.70895399999999997</v>
      </c>
      <c r="Q6333">
        <v>0.169206299999999</v>
      </c>
      <c r="R6333">
        <v>0.68465589999999998</v>
      </c>
      <c r="S6333">
        <v>1.311401</v>
      </c>
      <c r="T6333">
        <v>-0.45685219999999999</v>
      </c>
      <c r="U6333">
        <v>3.2058110000000002</v>
      </c>
      <c r="V6333">
        <v>-0.43514550000000002</v>
      </c>
      <c r="W6333">
        <v>0.168021799999999</v>
      </c>
      <c r="X6333">
        <v>0.88454339999999998</v>
      </c>
      <c r="Y6333">
        <v>-0.75700040000000002</v>
      </c>
      <c r="Z6333">
        <v>2.653701E-2</v>
      </c>
      <c r="AA6333">
        <v>0.65287519999999999</v>
      </c>
      <c r="AB6333">
        <v>32</v>
      </c>
      <c r="AC6333">
        <v>2.7129999999999899</v>
      </c>
      <c r="AD6333">
        <v>-1.133711452384</v>
      </c>
      <c r="AE6333">
        <v>7.7614799999999997</v>
      </c>
      <c r="AF6333">
        <v>-6.4084270291663499</v>
      </c>
      <c r="AG6333">
        <v>-1.133711452384</v>
      </c>
      <c r="AH6333">
        <v>4.9024379390679798</v>
      </c>
      <c r="AI6333">
        <v>97.998243624721994</v>
      </c>
      <c r="AJ6333">
        <v>142.58406066528499</v>
      </c>
      <c r="AK6333">
        <v>8.1478301646407498</v>
      </c>
      <c r="AL6333">
        <v>80.327177593432907</v>
      </c>
      <c r="AM6333">
        <v>116.194586145784</v>
      </c>
      <c r="AN6333">
        <v>0.99999997896452397</v>
      </c>
    </row>
    <row r="6334" spans="1:40" x14ac:dyDescent="0.25">
      <c r="A6334" t="str">
        <f>"20190303162942102"</f>
        <v>20190303162942102</v>
      </c>
      <c r="B6334" t="str">
        <f>"1551601782087676"</f>
        <v>1551601782087676</v>
      </c>
      <c r="C6334" t="s">
        <v>40</v>
      </c>
      <c r="D6334">
        <v>4.9199710000000003</v>
      </c>
      <c r="E6334">
        <v>0.31089029999999901</v>
      </c>
      <c r="F6334" t="s">
        <v>57</v>
      </c>
      <c r="G6334">
        <v>-196.13310000000001</v>
      </c>
      <c r="H6334" s="1">
        <v>-9.5233689999999995E-6</v>
      </c>
      <c r="I6334">
        <v>-52.835709999999999</v>
      </c>
      <c r="J6334">
        <v>-199.0351</v>
      </c>
      <c r="K6334">
        <v>1.1337930000000001</v>
      </c>
      <c r="L6334">
        <v>-60.830170000000003</v>
      </c>
      <c r="M6334">
        <v>0.94770650000000001</v>
      </c>
      <c r="N6334">
        <v>-1.374103E-2</v>
      </c>
      <c r="O6334">
        <v>0.318847099999999</v>
      </c>
      <c r="P6334">
        <v>0.70283790000000002</v>
      </c>
      <c r="Q6334">
        <v>0.16852439999999999</v>
      </c>
      <c r="R6334">
        <v>0.69109949999999998</v>
      </c>
      <c r="S6334">
        <v>1.222321</v>
      </c>
      <c r="T6334">
        <v>-0.4547561</v>
      </c>
      <c r="U6334">
        <v>3.2284549999999999</v>
      </c>
      <c r="V6334">
        <v>-0.436307</v>
      </c>
      <c r="W6334">
        <v>0.16721800000000001</v>
      </c>
      <c r="X6334">
        <v>0.88412349999999995</v>
      </c>
      <c r="Y6334">
        <v>-0.76889619999999903</v>
      </c>
      <c r="Z6334">
        <v>2.7050870000000001E-2</v>
      </c>
      <c r="AA6334">
        <v>0.63880119999999996</v>
      </c>
      <c r="AB6334">
        <v>32</v>
      </c>
      <c r="AC6334">
        <v>2.9019999999999802</v>
      </c>
      <c r="AD6334">
        <v>-1.1338025233689999</v>
      </c>
      <c r="AE6334">
        <v>7.9944599999999904</v>
      </c>
      <c r="AF6334">
        <v>-6.5355847920403098</v>
      </c>
      <c r="AG6334">
        <v>-1.1338025233689999</v>
      </c>
      <c r="AH6334">
        <v>5.2072122586165097</v>
      </c>
      <c r="AI6334">
        <v>97.726776576524699</v>
      </c>
      <c r="AJ6334">
        <v>141.45399538887</v>
      </c>
      <c r="AK6334">
        <v>8.4329375808334195</v>
      </c>
      <c r="AL6334">
        <v>80.373893192055206</v>
      </c>
      <c r="AM6334">
        <v>116.26592501233399</v>
      </c>
      <c r="AN6334">
        <v>1.0000000105126201</v>
      </c>
    </row>
    <row r="6335" spans="1:40" x14ac:dyDescent="0.25">
      <c r="A6335" t="str">
        <f>"20190303162942114"</f>
        <v>20190303162942114</v>
      </c>
      <c r="B6335" t="str">
        <f>"1551601782108172"</f>
        <v>1551601782108172</v>
      </c>
      <c r="C6335" t="s">
        <v>40</v>
      </c>
      <c r="D6335">
        <v>4.9233729999999998</v>
      </c>
      <c r="E6335">
        <v>0.31579829999999998</v>
      </c>
      <c r="F6335" t="s">
        <v>57</v>
      </c>
      <c r="G6335">
        <v>-196.07980000000001</v>
      </c>
      <c r="H6335" s="1">
        <v>-9.5270920000000004E-6</v>
      </c>
      <c r="I6335">
        <v>-52.810809999999996</v>
      </c>
      <c r="J6335">
        <v>-198.8852</v>
      </c>
      <c r="K6335">
        <v>1.13388</v>
      </c>
      <c r="L6335">
        <v>-60.772089999999999</v>
      </c>
      <c r="M6335">
        <v>0.94507240000000003</v>
      </c>
      <c r="N6335">
        <v>-1.377487E-2</v>
      </c>
      <c r="O6335">
        <v>0.32657059999999999</v>
      </c>
      <c r="P6335">
        <v>0.69654459999999996</v>
      </c>
      <c r="Q6335">
        <v>0.16779910000000001</v>
      </c>
      <c r="R6335">
        <v>0.69761669999999998</v>
      </c>
      <c r="S6335">
        <v>1.193573</v>
      </c>
      <c r="T6335">
        <v>-0.45790340000000002</v>
      </c>
      <c r="U6335">
        <v>3.2387389999999998</v>
      </c>
      <c r="V6335">
        <v>-0.43729190000000001</v>
      </c>
      <c r="W6335">
        <v>0.16638149999999999</v>
      </c>
      <c r="X6335">
        <v>0.88379470000000004</v>
      </c>
      <c r="Y6335">
        <v>-0.76933439999999997</v>
      </c>
      <c r="Z6335">
        <v>2.6151790000000001E-2</v>
      </c>
      <c r="AA6335">
        <v>0.63831079999999996</v>
      </c>
      <c r="AB6335">
        <v>32</v>
      </c>
      <c r="AC6335">
        <v>2.8053999999999899</v>
      </c>
      <c r="AD6335">
        <v>-1.133889527092</v>
      </c>
      <c r="AE6335">
        <v>7.9612800000000004</v>
      </c>
      <c r="AF6335">
        <v>-6.4913199142404903</v>
      </c>
      <c r="AG6335">
        <v>-1.133889527092</v>
      </c>
      <c r="AH6335">
        <v>5.1586398533120299</v>
      </c>
      <c r="AI6335">
        <v>97.787089931989897</v>
      </c>
      <c r="AJ6335">
        <v>141.525899607056</v>
      </c>
      <c r="AK6335">
        <v>8.3686620689835092</v>
      </c>
      <c r="AL6335">
        <v>80.422502375084605</v>
      </c>
      <c r="AM6335">
        <v>116.325699233026</v>
      </c>
      <c r="AN6335">
        <v>1.0000000405479701</v>
      </c>
    </row>
    <row r="6336" spans="1:40" x14ac:dyDescent="0.25">
      <c r="A6336" t="str">
        <f>"20190303162942125"</f>
        <v>20190303162942125</v>
      </c>
      <c r="B6336" t="str">
        <f>"1551601782117932"</f>
        <v>1551601782117932</v>
      </c>
      <c r="C6336" t="s">
        <v>40</v>
      </c>
      <c r="D6336">
        <v>4.9567589999999999</v>
      </c>
      <c r="E6336">
        <v>0.31747300000000001</v>
      </c>
      <c r="F6336" t="s">
        <v>57</v>
      </c>
      <c r="G6336">
        <v>-195.81809999999999</v>
      </c>
      <c r="H6336" s="1">
        <v>-9.628156E-6</v>
      </c>
      <c r="I6336">
        <v>-52.46096</v>
      </c>
      <c r="J6336">
        <v>-198.73699999999999</v>
      </c>
      <c r="K6336">
        <v>1.133964</v>
      </c>
      <c r="L6336">
        <v>-60.714080000000003</v>
      </c>
      <c r="M6336">
        <v>0.94239399999999995</v>
      </c>
      <c r="N6336">
        <v>-1.380694E-2</v>
      </c>
      <c r="O6336">
        <v>0.33421990000000001</v>
      </c>
      <c r="P6336">
        <v>0.6902393</v>
      </c>
      <c r="Q6336">
        <v>0.16671739999999999</v>
      </c>
      <c r="R6336">
        <v>0.70411290000000004</v>
      </c>
      <c r="S6336">
        <v>1.1881870000000001</v>
      </c>
      <c r="T6336">
        <v>-0.43926389999999998</v>
      </c>
      <c r="U6336">
        <v>3.2196959999999999</v>
      </c>
      <c r="V6336">
        <v>-0.43833070000000002</v>
      </c>
      <c r="W6336">
        <v>0.1651881</v>
      </c>
      <c r="X6336">
        <v>0.88350390000000001</v>
      </c>
      <c r="Y6336">
        <v>-0.76426000000000005</v>
      </c>
      <c r="Z6336">
        <v>2.3934529999999999E-2</v>
      </c>
      <c r="AA6336">
        <v>0.64446400000000004</v>
      </c>
      <c r="AB6336">
        <v>32</v>
      </c>
      <c r="AC6336">
        <v>2.9188999999999998</v>
      </c>
      <c r="AD6336">
        <v>-1.133973628156</v>
      </c>
      <c r="AE6336">
        <v>8.2531199999999991</v>
      </c>
      <c r="AF6336">
        <v>-6.6905196454607498</v>
      </c>
      <c r="AG6336">
        <v>-1.133973628156</v>
      </c>
      <c r="AH6336">
        <v>5.4187114622900197</v>
      </c>
      <c r="AI6336">
        <v>97.503245748684407</v>
      </c>
      <c r="AJ6336">
        <v>140.99567906924</v>
      </c>
      <c r="AK6336">
        <v>8.6839727790454795</v>
      </c>
      <c r="AL6336">
        <v>80.491838500047805</v>
      </c>
      <c r="AM6336">
        <v>116.38728023022099</v>
      </c>
      <c r="AN6336">
        <v>1.00000002612965</v>
      </c>
    </row>
    <row r="6337" spans="1:40" x14ac:dyDescent="0.25">
      <c r="A6337" t="str">
        <f>"20190303162942137"</f>
        <v>20190303162942137</v>
      </c>
      <c r="B6337" t="str">
        <f>"1551601782127692"</f>
        <v>1551601782127692</v>
      </c>
      <c r="C6337" t="s">
        <v>40</v>
      </c>
      <c r="D6337">
        <v>4.974037</v>
      </c>
      <c r="E6337">
        <v>0.31934620000000002</v>
      </c>
      <c r="F6337" t="s">
        <v>57</v>
      </c>
      <c r="G6337">
        <v>-195.71430000000001</v>
      </c>
      <c r="H6337" s="1">
        <v>-9.651713E-6</v>
      </c>
      <c r="I6337">
        <v>-52.367640000000002</v>
      </c>
      <c r="J6337">
        <v>-198.5796</v>
      </c>
      <c r="K6337">
        <v>1.1340479999999999</v>
      </c>
      <c r="L6337">
        <v>-60.650210000000001</v>
      </c>
      <c r="M6337">
        <v>0.9394401</v>
      </c>
      <c r="N6337">
        <v>-1.3840679999999999E-2</v>
      </c>
      <c r="O6337">
        <v>0.3424335</v>
      </c>
      <c r="P6337">
        <v>0.68353889999999995</v>
      </c>
      <c r="Q6337">
        <v>0.16548089999999999</v>
      </c>
      <c r="R6337">
        <v>0.7109084</v>
      </c>
      <c r="S6337">
        <v>1.166458</v>
      </c>
      <c r="T6337">
        <v>-0.43759550000000003</v>
      </c>
      <c r="U6337">
        <v>3.2208559999999999</v>
      </c>
      <c r="V6337">
        <v>-0.4392606</v>
      </c>
      <c r="W6337">
        <v>0.1638443</v>
      </c>
      <c r="X6337">
        <v>0.88329219999999897</v>
      </c>
      <c r="Y6337">
        <v>-0.76264219999999905</v>
      </c>
      <c r="Z6337">
        <v>2.2602339999999999E-2</v>
      </c>
      <c r="AA6337">
        <v>0.64642559999999905</v>
      </c>
      <c r="AB6337">
        <v>32</v>
      </c>
      <c r="AC6337">
        <v>2.8652999999999902</v>
      </c>
      <c r="AD6337">
        <v>-1.1340576517130001</v>
      </c>
      <c r="AE6337">
        <v>8.2825699999999909</v>
      </c>
      <c r="AF6337">
        <v>-6.6884665586285301</v>
      </c>
      <c r="AG6337">
        <v>-1.1340576517130001</v>
      </c>
      <c r="AH6337">
        <v>5.4374938907055697</v>
      </c>
      <c r="AI6337">
        <v>97.494982217976201</v>
      </c>
      <c r="AJ6337">
        <v>140.89007244354599</v>
      </c>
      <c r="AK6337">
        <v>8.6941366146824208</v>
      </c>
      <c r="AL6337">
        <v>80.569895622368193</v>
      </c>
      <c r="AM6337">
        <v>116.44112690416</v>
      </c>
      <c r="AN6337">
        <v>0.99999996996784402</v>
      </c>
    </row>
    <row r="6338" spans="1:40" x14ac:dyDescent="0.25">
      <c r="A6338" t="str">
        <f>"20190303162942151"</f>
        <v>20190303162942151</v>
      </c>
      <c r="B6338" t="str">
        <f>"1551601782138428"</f>
        <v>1551601782138428</v>
      </c>
      <c r="C6338" t="s">
        <v>40</v>
      </c>
      <c r="D6338">
        <v>4.9774039999999999</v>
      </c>
      <c r="E6338">
        <v>0.32114310000000001</v>
      </c>
      <c r="F6338" t="s">
        <v>57</v>
      </c>
      <c r="G6338">
        <v>-195.59899999999999</v>
      </c>
      <c r="H6338" s="1">
        <v>-9.6794469999999994E-6</v>
      </c>
      <c r="I6338">
        <v>-52.259689999999999</v>
      </c>
      <c r="J6338">
        <v>-198.40649999999999</v>
      </c>
      <c r="K6338">
        <v>1.1341349999999999</v>
      </c>
      <c r="L6338">
        <v>-60.578310000000002</v>
      </c>
      <c r="M6338">
        <v>0.93607819999999997</v>
      </c>
      <c r="N6338">
        <v>-1.387643E-2</v>
      </c>
      <c r="O6338">
        <v>0.35151840000000001</v>
      </c>
      <c r="P6338">
        <v>0.6762127</v>
      </c>
      <c r="Q6338">
        <v>0.1638937</v>
      </c>
      <c r="R6338">
        <v>0.71824469999999996</v>
      </c>
      <c r="S6338">
        <v>1.1442570000000001</v>
      </c>
      <c r="T6338">
        <v>-0.43536219999999998</v>
      </c>
      <c r="U6338">
        <v>3.2210999999999999</v>
      </c>
      <c r="V6338">
        <v>-0.44009500000000001</v>
      </c>
      <c r="W6338">
        <v>0.16215019999999999</v>
      </c>
      <c r="X6338">
        <v>0.88318949999999996</v>
      </c>
      <c r="Y6338">
        <v>-0.76045839999999998</v>
      </c>
      <c r="Z6338">
        <v>2.1073669999999999E-2</v>
      </c>
      <c r="AA6338">
        <v>0.64904469999999903</v>
      </c>
      <c r="AB6338">
        <v>32</v>
      </c>
      <c r="AC6338">
        <v>2.8074999999999699</v>
      </c>
      <c r="AD6338">
        <v>-1.134144679447</v>
      </c>
      <c r="AE6338">
        <v>8.3186199999999904</v>
      </c>
      <c r="AF6338">
        <v>-6.6890233195702304</v>
      </c>
      <c r="AG6338">
        <v>-1.134144679447</v>
      </c>
      <c r="AH6338">
        <v>5.46158256922629</v>
      </c>
      <c r="AI6338">
        <v>97.482123493170903</v>
      </c>
      <c r="AJ6338">
        <v>140.768387526407</v>
      </c>
      <c r="AK6338">
        <v>8.7096613759748909</v>
      </c>
      <c r="AL6338">
        <v>80.668276339824004</v>
      </c>
      <c r="AM6338">
        <v>116.487162842665</v>
      </c>
      <c r="AN6338">
        <v>0.999999994647645</v>
      </c>
    </row>
    <row r="6339" spans="1:40" x14ac:dyDescent="0.25">
      <c r="A6339" t="str">
        <f>"20190303162942171"</f>
        <v>20190303162942171</v>
      </c>
      <c r="B6339" t="str">
        <f>"1551601782157948"</f>
        <v>1551601782157948</v>
      </c>
      <c r="C6339" t="s">
        <v>40</v>
      </c>
      <c r="D6339">
        <v>4.9980919999999998</v>
      </c>
      <c r="E6339">
        <v>0.34094770000000002</v>
      </c>
      <c r="F6339" t="s">
        <v>57</v>
      </c>
      <c r="G6339">
        <v>-195.47450000000001</v>
      </c>
      <c r="H6339" s="1">
        <v>-9.7132629999999994E-6</v>
      </c>
      <c r="I6339">
        <v>-52.132480000000001</v>
      </c>
      <c r="J6339">
        <v>-198.1499</v>
      </c>
      <c r="K6339">
        <v>1.134247</v>
      </c>
      <c r="L6339">
        <v>-60.46808</v>
      </c>
      <c r="M6339">
        <v>0.93086530000000001</v>
      </c>
      <c r="N6339">
        <v>-1.392705E-2</v>
      </c>
      <c r="O6339">
        <v>0.365097</v>
      </c>
      <c r="P6339">
        <v>0.66437930000000001</v>
      </c>
      <c r="Q6339">
        <v>0.1604517</v>
      </c>
      <c r="R6339">
        <v>0.7299696</v>
      </c>
      <c r="S6339">
        <v>1.118668</v>
      </c>
      <c r="T6339">
        <v>-0.43271599999999999</v>
      </c>
      <c r="U6339">
        <v>3.2223820000000001</v>
      </c>
      <c r="V6339">
        <v>-0.44234889999999999</v>
      </c>
      <c r="W6339">
        <v>0.15851899999999999</v>
      </c>
      <c r="X6339">
        <v>0.88272260000000002</v>
      </c>
      <c r="Y6339">
        <v>-0.75585649999999904</v>
      </c>
      <c r="Z6339">
        <v>1.864186E-2</v>
      </c>
      <c r="AA6339">
        <v>0.6544719</v>
      </c>
      <c r="AB6339">
        <v>32</v>
      </c>
      <c r="AC6339">
        <v>2.67539999999999</v>
      </c>
      <c r="AD6339">
        <v>-1.1342567132629999</v>
      </c>
      <c r="AE6339">
        <v>8.3355999999999995</v>
      </c>
      <c r="AF6339">
        <v>-6.6712100931398899</v>
      </c>
      <c r="AG6339">
        <v>-1.1342567132629999</v>
      </c>
      <c r="AH6339">
        <v>5.4429074931935997</v>
      </c>
      <c r="AI6339">
        <v>97.504857341287803</v>
      </c>
      <c r="AJ6339">
        <v>140.78967930483299</v>
      </c>
      <c r="AK6339">
        <v>8.6842860603423695</v>
      </c>
      <c r="AL6339">
        <v>80.879055915873394</v>
      </c>
      <c r="AM6339">
        <v>116.616310754907</v>
      </c>
      <c r="AN6339">
        <v>1.0000000056214799</v>
      </c>
    </row>
    <row r="6340" spans="1:40" x14ac:dyDescent="0.25">
      <c r="A6340" t="str">
        <f>"20190303162942185"</f>
        <v>20190303162942185</v>
      </c>
      <c r="B6340" t="str">
        <f>"1551601782168684"</f>
        <v>1551601782168684</v>
      </c>
      <c r="C6340" t="s">
        <v>40</v>
      </c>
      <c r="D6340">
        <v>5.0050119999999998</v>
      </c>
      <c r="E6340">
        <v>0.34201609999999899</v>
      </c>
      <c r="F6340" t="s">
        <v>57</v>
      </c>
      <c r="G6340">
        <v>-194.7227</v>
      </c>
      <c r="H6340" s="1">
        <v>-9.9314359999999996E-6</v>
      </c>
      <c r="I6340">
        <v>-51.325859999999999</v>
      </c>
      <c r="J6340">
        <v>-197.977</v>
      </c>
      <c r="K6340">
        <v>1.1343129999999999</v>
      </c>
      <c r="L6340">
        <v>-60.391629999999999</v>
      </c>
      <c r="M6340">
        <v>0.92720040000000004</v>
      </c>
      <c r="N6340">
        <v>-1.395938E-2</v>
      </c>
      <c r="O6340">
        <v>0.37430540000000001</v>
      </c>
      <c r="P6340">
        <v>0.65601369999999903</v>
      </c>
      <c r="Q6340">
        <v>0.15835739999999901</v>
      </c>
      <c r="R6340">
        <v>0.73794919999999997</v>
      </c>
      <c r="S6340">
        <v>1.1725620000000001</v>
      </c>
      <c r="T6340">
        <v>-0.38806469999999998</v>
      </c>
      <c r="U6340">
        <v>3.1278380000000001</v>
      </c>
      <c r="V6340">
        <v>-0.44405240000000001</v>
      </c>
      <c r="W6340">
        <v>0.1562935</v>
      </c>
      <c r="X6340">
        <v>0.88226399999999905</v>
      </c>
      <c r="Y6340">
        <v>-0.73373069999999996</v>
      </c>
      <c r="Z6340">
        <v>1.4466899999999901E-2</v>
      </c>
      <c r="AA6340">
        <v>0.67928630000000001</v>
      </c>
      <c r="AB6340">
        <v>32</v>
      </c>
      <c r="AC6340">
        <v>3.2543000000000002</v>
      </c>
      <c r="AD6340">
        <v>-1.1343229314359999</v>
      </c>
      <c r="AE6340">
        <v>9.0657700000000006</v>
      </c>
      <c r="AF6340">
        <v>-7.0900564860631397</v>
      </c>
      <c r="AG6340">
        <v>-1.1343229314359999</v>
      </c>
      <c r="AH6340">
        <v>6.3236805727659497</v>
      </c>
      <c r="AI6340">
        <v>96.808725070170794</v>
      </c>
      <c r="AJ6340">
        <v>138.26996276928</v>
      </c>
      <c r="AK6340">
        <v>9.5678903356343401</v>
      </c>
      <c r="AL6340">
        <v>81.008177095200793</v>
      </c>
      <c r="AM6340">
        <v>116.71657493813601</v>
      </c>
      <c r="AN6340">
        <v>0.99999997889200398</v>
      </c>
    </row>
    <row r="6341" spans="1:40" x14ac:dyDescent="0.25">
      <c r="A6341" t="str">
        <f>"20190303162942204"</f>
        <v>20190303162942204</v>
      </c>
      <c r="B6341" t="str">
        <f>"1551601782178444"</f>
        <v>1551601782178444</v>
      </c>
      <c r="C6341" t="s">
        <v>40</v>
      </c>
      <c r="D6341">
        <v>5.0165839999999999</v>
      </c>
      <c r="E6341">
        <v>0.341727</v>
      </c>
      <c r="F6341" t="s">
        <v>57</v>
      </c>
      <c r="G6341">
        <v>-194.69470000000001</v>
      </c>
      <c r="H6341" s="1">
        <v>-9.9073049999999995E-6</v>
      </c>
      <c r="I6341">
        <v>-51.384540000000001</v>
      </c>
      <c r="J6341">
        <v>-197.72909999999999</v>
      </c>
      <c r="K6341">
        <v>1.1344030000000001</v>
      </c>
      <c r="L6341">
        <v>-60.277799999999999</v>
      </c>
      <c r="M6341">
        <v>0.92171340000000002</v>
      </c>
      <c r="N6341">
        <v>-1.4003460000000001E-2</v>
      </c>
      <c r="O6341">
        <v>0.38761899999999999</v>
      </c>
      <c r="P6341">
        <v>0.64344009999999996</v>
      </c>
      <c r="Q6341">
        <v>0.15453439999999999</v>
      </c>
      <c r="R6341">
        <v>0.74973599999999996</v>
      </c>
      <c r="S6341">
        <v>1.1422730000000001</v>
      </c>
      <c r="T6341">
        <v>-0.39475860000000002</v>
      </c>
      <c r="U6341">
        <v>3.1345830000000001</v>
      </c>
      <c r="V6341">
        <v>-0.44692700000000002</v>
      </c>
      <c r="W6341">
        <v>0.15227479999999999</v>
      </c>
      <c r="X6341">
        <v>0.88151499999999905</v>
      </c>
      <c r="Y6341">
        <v>-0.73021569999999902</v>
      </c>
      <c r="Z6341">
        <v>1.2489139999999999E-2</v>
      </c>
      <c r="AA6341">
        <v>0.68310249999999995</v>
      </c>
      <c r="AB6341">
        <v>32</v>
      </c>
      <c r="AC6341">
        <v>3.03439999999997</v>
      </c>
      <c r="AD6341">
        <v>-1.134412907305</v>
      </c>
      <c r="AE6341">
        <v>8.8932599999999908</v>
      </c>
      <c r="AF6341">
        <v>-6.9206685166060797</v>
      </c>
      <c r="AG6341">
        <v>-1.134412907305</v>
      </c>
      <c r="AH6341">
        <v>6.1549502287568796</v>
      </c>
      <c r="AI6341">
        <v>96.983052496893606</v>
      </c>
      <c r="AJ6341">
        <v>138.35145727956601</v>
      </c>
      <c r="AK6341">
        <v>9.3309140859552002</v>
      </c>
      <c r="AL6341">
        <v>81.2412226021371</v>
      </c>
      <c r="AM6341">
        <v>116.884951191949</v>
      </c>
      <c r="AN6341">
        <v>1.0000000266345099</v>
      </c>
    </row>
    <row r="6342" spans="1:40" x14ac:dyDescent="0.25">
      <c r="A6342" t="str">
        <f>"20190303162942240"</f>
        <v>20190303162942240</v>
      </c>
      <c r="B6342" t="str">
        <f>"1551601782228219"</f>
        <v>1551601782228219</v>
      </c>
      <c r="C6342" t="s">
        <v>40</v>
      </c>
      <c r="D6342">
        <v>5.0631059999999897</v>
      </c>
      <c r="E6342">
        <v>0.34370630000000002</v>
      </c>
      <c r="F6342" t="s">
        <v>57</v>
      </c>
      <c r="G6342">
        <v>-194.69829999999999</v>
      </c>
      <c r="H6342" s="1">
        <v>-9.8727869999999992E-6</v>
      </c>
      <c r="I6342">
        <v>-51.480469999999997</v>
      </c>
      <c r="J6342">
        <v>-197.27709999999999</v>
      </c>
      <c r="K6342">
        <v>1.1345609999999999</v>
      </c>
      <c r="L6342">
        <v>-60.058619999999998</v>
      </c>
      <c r="M6342">
        <v>0.91100979999999998</v>
      </c>
      <c r="N6342">
        <v>-1.4075819999999999E-2</v>
      </c>
      <c r="O6342">
        <v>0.41214460000000003</v>
      </c>
      <c r="P6342">
        <v>0.62039679999999997</v>
      </c>
      <c r="Q6342">
        <v>0.1515436</v>
      </c>
      <c r="R6342">
        <v>0.76950790000000002</v>
      </c>
      <c r="S6342">
        <v>1.0862270000000001</v>
      </c>
      <c r="T6342">
        <v>-0.4065764</v>
      </c>
      <c r="U6342">
        <v>3.1529850000000001</v>
      </c>
      <c r="V6342">
        <v>-0.45059949999999999</v>
      </c>
      <c r="W6342">
        <v>0.14900620000000001</v>
      </c>
      <c r="X6342">
        <v>0.88020299999999996</v>
      </c>
      <c r="Y6342">
        <v>-0.72404369999999996</v>
      </c>
      <c r="Z6342">
        <v>8.6592579999999995E-3</v>
      </c>
      <c r="AA6342">
        <v>0.68969969999999903</v>
      </c>
      <c r="AB6342">
        <v>32</v>
      </c>
      <c r="AC6342">
        <v>2.5788000000000002</v>
      </c>
      <c r="AD6342">
        <v>-1.1345708727869901</v>
      </c>
      <c r="AE6342">
        <v>8.5781499999999902</v>
      </c>
      <c r="AF6342">
        <v>-6.6459835871315001</v>
      </c>
      <c r="AG6342">
        <v>-1.1345708727869901</v>
      </c>
      <c r="AH6342">
        <v>5.7924022495092196</v>
      </c>
      <c r="AI6342">
        <v>97.333383317270105</v>
      </c>
      <c r="AJ6342">
        <v>138.92575467920199</v>
      </c>
      <c r="AK6342">
        <v>8.8886597823247495</v>
      </c>
      <c r="AL6342">
        <v>81.430661541418402</v>
      </c>
      <c r="AM6342">
        <v>117.109123106506</v>
      </c>
      <c r="AN6342">
        <v>1.0000000391238399</v>
      </c>
    </row>
    <row r="6343" spans="1:40" x14ac:dyDescent="0.25">
      <c r="A6343" t="str">
        <f>"20190303162942259"</f>
        <v>20190303162942259</v>
      </c>
      <c r="B6343" t="str">
        <f>"1551601782248717"</f>
        <v>1551601782248717</v>
      </c>
      <c r="C6343" t="s">
        <v>40</v>
      </c>
      <c r="D6343">
        <v>5.1134079999999997</v>
      </c>
      <c r="E6343">
        <v>0.34482459999999998</v>
      </c>
      <c r="F6343" t="s">
        <v>57</v>
      </c>
      <c r="G6343">
        <v>-194.59139999999999</v>
      </c>
      <c r="H6343" s="1">
        <v>-9.8285159999999996E-6</v>
      </c>
      <c r="I6343">
        <v>-51.572870000000002</v>
      </c>
      <c r="J6343">
        <v>-197.05510000000001</v>
      </c>
      <c r="K6343">
        <v>1.134628</v>
      </c>
      <c r="L6343">
        <v>-59.945369999999997</v>
      </c>
      <c r="M6343">
        <v>0.90541780000000005</v>
      </c>
      <c r="N6343">
        <v>-1.410731E-2</v>
      </c>
      <c r="O6343">
        <v>0.42428709999999997</v>
      </c>
      <c r="P6343">
        <v>0.60901740000000004</v>
      </c>
      <c r="Q6343">
        <v>0.1513852</v>
      </c>
      <c r="R6343">
        <v>0.77857580000000004</v>
      </c>
      <c r="S6343">
        <v>1.004089</v>
      </c>
      <c r="T6343">
        <v>-0.42418709999999998</v>
      </c>
      <c r="U6343">
        <v>3.1726070000000002</v>
      </c>
      <c r="V6343">
        <v>-0.45182509999999998</v>
      </c>
      <c r="W6343">
        <v>0.14874309999999999</v>
      </c>
      <c r="X6343">
        <v>0.87961900000000004</v>
      </c>
      <c r="Y6343">
        <v>-0.73194879999999996</v>
      </c>
      <c r="Z6343">
        <v>7.7283639999999997E-3</v>
      </c>
      <c r="AA6343">
        <v>0.68131589999999997</v>
      </c>
      <c r="AB6343">
        <v>32</v>
      </c>
      <c r="AC6343">
        <v>2.46370000000001</v>
      </c>
      <c r="AD6343">
        <v>-1.1346378285159999</v>
      </c>
      <c r="AE6343">
        <v>8.3724999999999898</v>
      </c>
      <c r="AF6343">
        <v>-6.4273104213007404</v>
      </c>
      <c r="AG6343">
        <v>-1.1346378285159999</v>
      </c>
      <c r="AH6343">
        <v>5.6874675525136604</v>
      </c>
      <c r="AI6343">
        <v>97.531124397804206</v>
      </c>
      <c r="AJ6343">
        <v>138.49468180213901</v>
      </c>
      <c r="AK6343">
        <v>8.6570785727378201</v>
      </c>
      <c r="AL6343">
        <v>81.445905674454195</v>
      </c>
      <c r="AM6343">
        <v>117.18775259375199</v>
      </c>
      <c r="AN6343">
        <v>1.0000000079743001</v>
      </c>
    </row>
    <row r="6344" spans="1:40" x14ac:dyDescent="0.25">
      <c r="A6344" t="str">
        <f>"20190303162942277"</f>
        <v>20190303162942277</v>
      </c>
      <c r="B6344" t="str">
        <f>"1551601782268236"</f>
        <v>1551601782268236</v>
      </c>
      <c r="C6344" t="s">
        <v>40</v>
      </c>
      <c r="D6344">
        <v>5.1388870000000004</v>
      </c>
      <c r="E6344">
        <v>0.36214459999999998</v>
      </c>
      <c r="F6344" t="s">
        <v>57</v>
      </c>
      <c r="G6344">
        <v>-194.47</v>
      </c>
      <c r="H6344" s="1">
        <v>-9.8702260000000003E-6</v>
      </c>
      <c r="I6344">
        <v>-51.424779999999998</v>
      </c>
      <c r="J6344">
        <v>-196.84100000000001</v>
      </c>
      <c r="K6344">
        <v>1.1346750000000001</v>
      </c>
      <c r="L6344">
        <v>-59.83249</v>
      </c>
      <c r="M6344">
        <v>0.89980769999999899</v>
      </c>
      <c r="N6344">
        <v>-1.413528E-2</v>
      </c>
      <c r="O6344">
        <v>0.43605769999999999</v>
      </c>
      <c r="P6344">
        <v>0.59677150000000001</v>
      </c>
      <c r="Q6344">
        <v>0.1500348</v>
      </c>
      <c r="R6344">
        <v>0.78825970000000001</v>
      </c>
      <c r="S6344">
        <v>0.96501159999999997</v>
      </c>
      <c r="T6344">
        <v>-0.4235506</v>
      </c>
      <c r="U6344">
        <v>3.1806640000000002</v>
      </c>
      <c r="V6344">
        <v>-0.45432</v>
      </c>
      <c r="W6344">
        <v>0.1472453</v>
      </c>
      <c r="X6344">
        <v>0.87858530000000001</v>
      </c>
      <c r="Y6344">
        <v>-0.731288099999999</v>
      </c>
      <c r="Z6344">
        <v>6.0036259999999998E-3</v>
      </c>
      <c r="AA6344">
        <v>0.68204229999999999</v>
      </c>
      <c r="AB6344">
        <v>32</v>
      </c>
      <c r="AC6344">
        <v>2.37099999999998</v>
      </c>
      <c r="AD6344">
        <v>-1.134684870226</v>
      </c>
      <c r="AE6344">
        <v>8.4077099999999998</v>
      </c>
      <c r="AF6344">
        <v>-6.4237023431284799</v>
      </c>
      <c r="AG6344">
        <v>-1.134684870226</v>
      </c>
      <c r="AH6344">
        <v>5.7040327281590297</v>
      </c>
      <c r="AI6344">
        <v>97.524250065456599</v>
      </c>
      <c r="AJ6344">
        <v>138.39599552386301</v>
      </c>
      <c r="AK6344">
        <v>8.6653015476521897</v>
      </c>
      <c r="AL6344">
        <v>81.532678631835296</v>
      </c>
      <c r="AM6344">
        <v>117.34366694918199</v>
      </c>
      <c r="AN6344">
        <v>0.99999998507408905</v>
      </c>
    </row>
    <row r="6345" spans="1:40" x14ac:dyDescent="0.25">
      <c r="A6345" t="str">
        <f>"20190303162942294"</f>
        <v>20190303162942294</v>
      </c>
      <c r="B6345" t="str">
        <f>"1551601782287756"</f>
        <v>1551601782287756</v>
      </c>
      <c r="C6345" t="s">
        <v>40</v>
      </c>
      <c r="D6345">
        <v>5.1446809999999896</v>
      </c>
      <c r="E6345">
        <v>0.3643768</v>
      </c>
      <c r="F6345" t="s">
        <v>57</v>
      </c>
      <c r="G6345">
        <v>-193.92339999999999</v>
      </c>
      <c r="H6345" s="1">
        <v>-9.981889E-6</v>
      </c>
      <c r="I6345">
        <v>-50.967500000000001</v>
      </c>
      <c r="J6345">
        <v>-196.62180000000001</v>
      </c>
      <c r="K6345">
        <v>1.1347240000000001</v>
      </c>
      <c r="L6345">
        <v>-59.713230000000003</v>
      </c>
      <c r="M6345">
        <v>0.89384619999999904</v>
      </c>
      <c r="N6345">
        <v>-1.416155E-2</v>
      </c>
      <c r="O6345">
        <v>0.4481502</v>
      </c>
      <c r="P6345">
        <v>0.58432919999999999</v>
      </c>
      <c r="Q6345">
        <v>0.148532</v>
      </c>
      <c r="R6345">
        <v>0.79780810000000002</v>
      </c>
      <c r="S6345">
        <v>1.022659</v>
      </c>
      <c r="T6345">
        <v>-0.39772629999999998</v>
      </c>
      <c r="U6345">
        <v>3.1073300000000001</v>
      </c>
      <c r="V6345">
        <v>-0.45648509999999998</v>
      </c>
      <c r="W6345">
        <v>0.14561370000000001</v>
      </c>
      <c r="X6345">
        <v>0.87773459999999903</v>
      </c>
      <c r="Y6345">
        <v>-0.70624169999999997</v>
      </c>
      <c r="Z6345">
        <v>2.0638700000000002E-3</v>
      </c>
      <c r="AA6345">
        <v>0.70796780000000004</v>
      </c>
      <c r="AB6345">
        <v>32</v>
      </c>
      <c r="AC6345">
        <v>2.6984000000000199</v>
      </c>
      <c r="AD6345">
        <v>-1.1347339818889901</v>
      </c>
      <c r="AE6345">
        <v>8.74573</v>
      </c>
      <c r="AF6345">
        <v>-6.5086660166699204</v>
      </c>
      <c r="AG6345">
        <v>-1.1347339818889901</v>
      </c>
      <c r="AH6345">
        <v>6.2361336132743599</v>
      </c>
      <c r="AI6345">
        <v>97.174983185707404</v>
      </c>
      <c r="AJ6345">
        <v>136.22501549894</v>
      </c>
      <c r="AK6345">
        <v>9.0851371463956401</v>
      </c>
      <c r="AL6345">
        <v>81.627181297785597</v>
      </c>
      <c r="AM6345">
        <v>117.477674205266</v>
      </c>
      <c r="AN6345">
        <v>1.00000001209342</v>
      </c>
    </row>
    <row r="6346" spans="1:40" x14ac:dyDescent="0.25">
      <c r="A6346" t="str">
        <f>"20190303162942309"</f>
        <v>20190303162942309</v>
      </c>
      <c r="B6346" t="str">
        <f>"1551601782298492"</f>
        <v>1551601782298492</v>
      </c>
      <c r="C6346" t="s">
        <v>40</v>
      </c>
      <c r="D6346">
        <v>5.1137629999999996</v>
      </c>
      <c r="E6346">
        <v>0.36442780000000002</v>
      </c>
      <c r="F6346" t="s">
        <v>57</v>
      </c>
      <c r="G6346">
        <v>-193.77610000000001</v>
      </c>
      <c r="H6346" s="1">
        <v>-1.0045330000000001E-5</v>
      </c>
      <c r="I6346">
        <v>-50.752510000000001</v>
      </c>
      <c r="J6346">
        <v>-196.4512</v>
      </c>
      <c r="K6346">
        <v>1.1347579999999999</v>
      </c>
      <c r="L6346">
        <v>-59.617890000000003</v>
      </c>
      <c r="M6346">
        <v>0.88905249999999902</v>
      </c>
      <c r="N6346">
        <v>-1.4180399999999999E-2</v>
      </c>
      <c r="O6346">
        <v>0.45758549999999998</v>
      </c>
      <c r="P6346">
        <v>0.57526119999999903</v>
      </c>
      <c r="Q6346">
        <v>0.14830389999999999</v>
      </c>
      <c r="R6346">
        <v>0.80441319999999905</v>
      </c>
      <c r="S6346">
        <v>0.98774720000000005</v>
      </c>
      <c r="T6346">
        <v>-0.39385779999999998</v>
      </c>
      <c r="U6346">
        <v>3.1101990000000002</v>
      </c>
      <c r="V6346">
        <v>-0.45717669999999999</v>
      </c>
      <c r="W6346">
        <v>0.14532729999999999</v>
      </c>
      <c r="X6346">
        <v>0.87742209999999998</v>
      </c>
      <c r="Y6346">
        <v>-0.70622439999999997</v>
      </c>
      <c r="Z6346">
        <v>8.7757410000000003E-4</v>
      </c>
      <c r="AA6346">
        <v>0.70798749999999999</v>
      </c>
      <c r="AB6346">
        <v>32</v>
      </c>
      <c r="AC6346">
        <v>2.67509999999998</v>
      </c>
      <c r="AD6346">
        <v>-1.13476804533</v>
      </c>
      <c r="AE6346">
        <v>8.86538</v>
      </c>
      <c r="AF6346">
        <v>-6.5598635471633298</v>
      </c>
      <c r="AG6346">
        <v>-1.13476804533</v>
      </c>
      <c r="AH6346">
        <v>6.3404090247024101</v>
      </c>
      <c r="AI6346">
        <v>97.090195566702306</v>
      </c>
      <c r="AJ6346">
        <v>135.974599965891</v>
      </c>
      <c r="AK6346">
        <v>9.1934919848027299</v>
      </c>
      <c r="AL6346">
        <v>81.643767562411796</v>
      </c>
      <c r="AM6346">
        <v>117.521557078222</v>
      </c>
      <c r="AN6346">
        <v>1.00000005035829</v>
      </c>
    </row>
    <row r="6347" spans="1:40" x14ac:dyDescent="0.25">
      <c r="A6347" t="str">
        <f>"20190303162942327"</f>
        <v>20190303162942327</v>
      </c>
      <c r="B6347" t="str">
        <f>"1551601782318011"</f>
        <v>1551601782318011</v>
      </c>
      <c r="C6347" t="s">
        <v>40</v>
      </c>
      <c r="D6347">
        <v>5.1090269999999904</v>
      </c>
      <c r="E6347">
        <v>0.36562129999999998</v>
      </c>
      <c r="F6347" t="s">
        <v>57</v>
      </c>
      <c r="G6347">
        <v>-193.6369</v>
      </c>
      <c r="H6347" s="1">
        <v>-1.016262E-5</v>
      </c>
      <c r="I6347">
        <v>-50.3917</v>
      </c>
      <c r="J6347">
        <v>-196.22049999999999</v>
      </c>
      <c r="K6347">
        <v>1.134806</v>
      </c>
      <c r="L6347">
        <v>-59.485050000000001</v>
      </c>
      <c r="M6347">
        <v>0.88234630000000003</v>
      </c>
      <c r="N6347">
        <v>-1.42037E-2</v>
      </c>
      <c r="O6347">
        <v>0.47038639999999998</v>
      </c>
      <c r="P6347">
        <v>0.56276569999999904</v>
      </c>
      <c r="Q6347">
        <v>0.14808180000000001</v>
      </c>
      <c r="R6347">
        <v>0.81324449999999904</v>
      </c>
      <c r="S6347">
        <v>0.95159910000000003</v>
      </c>
      <c r="T6347">
        <v>-0.3837004</v>
      </c>
      <c r="U6347">
        <v>3.119659</v>
      </c>
      <c r="V6347">
        <v>-0.45809840000000002</v>
      </c>
      <c r="W6347">
        <v>0.14503339999999901</v>
      </c>
      <c r="X6347">
        <v>0.87698980000000004</v>
      </c>
      <c r="Y6347">
        <v>-0.70428380000000002</v>
      </c>
      <c r="Z6347">
        <v>-7.0228429999999995E-4</v>
      </c>
      <c r="AA6347">
        <v>0.70991819999999894</v>
      </c>
      <c r="AB6347">
        <v>32</v>
      </c>
      <c r="AC6347">
        <v>2.5835999999999899</v>
      </c>
      <c r="AD6347">
        <v>-1.13481616262</v>
      </c>
      <c r="AE6347">
        <v>9.0933499999999992</v>
      </c>
      <c r="AF6347">
        <v>-6.7121523787535704</v>
      </c>
      <c r="AG6347">
        <v>-1.13481616262</v>
      </c>
      <c r="AH6347">
        <v>6.46452027758634</v>
      </c>
      <c r="AI6347">
        <v>96.943007560340504</v>
      </c>
      <c r="AJ6347">
        <v>136.076645419551</v>
      </c>
      <c r="AK6347">
        <v>9.3878016435093006</v>
      </c>
      <c r="AL6347">
        <v>81.660786436982903</v>
      </c>
      <c r="AM6347">
        <v>117.580458609562</v>
      </c>
      <c r="AN6347">
        <v>0.99999997025107901</v>
      </c>
    </row>
    <row r="6348" spans="1:40" x14ac:dyDescent="0.25">
      <c r="A6348" t="str">
        <f>"20190303162942350"</f>
        <v>20190303162942350</v>
      </c>
      <c r="B6348" t="str">
        <f>"1551601782338508"</f>
        <v>1551601782338508</v>
      </c>
      <c r="C6348" t="s">
        <v>40</v>
      </c>
      <c r="D6348">
        <v>5.1325260000000004</v>
      </c>
      <c r="E6348">
        <v>0.36688959999999998</v>
      </c>
      <c r="F6348" t="s">
        <v>57</v>
      </c>
      <c r="G6348">
        <v>-193.42850000000001</v>
      </c>
      <c r="H6348" s="1">
        <v>-1.941746E-6</v>
      </c>
      <c r="I6348">
        <v>-49.882159999999999</v>
      </c>
      <c r="J6348">
        <v>-195.9546</v>
      </c>
      <c r="K6348">
        <v>1.134846</v>
      </c>
      <c r="L6348">
        <v>-59.326169999999998</v>
      </c>
      <c r="M6348">
        <v>0.87429439999999903</v>
      </c>
      <c r="N6348">
        <v>-1.422752E-2</v>
      </c>
      <c r="O6348">
        <v>0.48518749999999999</v>
      </c>
      <c r="P6348">
        <v>0.5483884</v>
      </c>
      <c r="Q6348">
        <v>0.1474529</v>
      </c>
      <c r="R6348">
        <v>0.82312079999999999</v>
      </c>
      <c r="S6348">
        <v>0.90916439999999998</v>
      </c>
      <c r="T6348">
        <v>-0.36953760000000002</v>
      </c>
      <c r="U6348">
        <v>3.127075</v>
      </c>
      <c r="V6348">
        <v>-0.4588277</v>
      </c>
      <c r="W6348">
        <v>0.14434129999999901</v>
      </c>
      <c r="X6348">
        <v>0.87672280000000002</v>
      </c>
      <c r="Y6348">
        <v>-0.70186749999999998</v>
      </c>
      <c r="Z6348">
        <v>-2.3490339999999998E-3</v>
      </c>
      <c r="AA6348">
        <v>0.71230360000000004</v>
      </c>
      <c r="AB6348">
        <v>32</v>
      </c>
      <c r="AC6348">
        <v>2.52609999999998</v>
      </c>
      <c r="AD6348">
        <v>-1.134847941746</v>
      </c>
      <c r="AE6348">
        <v>9.4440100000000005</v>
      </c>
      <c r="AF6348">
        <v>-6.9384243979528302</v>
      </c>
      <c r="AG6348">
        <v>-1.134847941746</v>
      </c>
      <c r="AH6348">
        <v>6.7010565244716904</v>
      </c>
      <c r="AI6348">
        <v>96.709959265768802</v>
      </c>
      <c r="AJ6348">
        <v>135.99701775061499</v>
      </c>
      <c r="AK6348">
        <v>9.7125574140468807</v>
      </c>
      <c r="AL6348">
        <v>81.700863374074501</v>
      </c>
      <c r="AM6348">
        <v>117.62504573167899</v>
      </c>
      <c r="AN6348">
        <v>1.0000000686063999</v>
      </c>
    </row>
    <row r="6349" spans="1:40" x14ac:dyDescent="0.25">
      <c r="A6349" t="str">
        <f>"20190303162942372"</f>
        <v>20190303162942372</v>
      </c>
      <c r="B6349" t="str">
        <f>"1551601782358028"</f>
        <v>1551601782358028</v>
      </c>
      <c r="C6349" t="s">
        <v>40</v>
      </c>
      <c r="D6349">
        <v>5.1454839999999997</v>
      </c>
      <c r="E6349">
        <v>0.36856040000000001</v>
      </c>
      <c r="F6349" t="s">
        <v>57</v>
      </c>
      <c r="G6349">
        <v>-193.2243</v>
      </c>
      <c r="H6349" s="1">
        <v>-2.203462E-6</v>
      </c>
      <c r="I6349">
        <v>-49.363280000000003</v>
      </c>
      <c r="J6349">
        <v>-195.69880000000001</v>
      </c>
      <c r="K6349">
        <v>1.134876</v>
      </c>
      <c r="L6349">
        <v>-59.16751</v>
      </c>
      <c r="M6349">
        <v>0.86621559999999898</v>
      </c>
      <c r="N6349">
        <v>-1.4247889999999999E-2</v>
      </c>
      <c r="O6349">
        <v>0.4994672</v>
      </c>
      <c r="P6349">
        <v>0.53382989999999997</v>
      </c>
      <c r="Q6349">
        <v>0.14634240000000001</v>
      </c>
      <c r="R6349">
        <v>0.83283220000000002</v>
      </c>
      <c r="S6349">
        <v>0.85943599999999998</v>
      </c>
      <c r="T6349">
        <v>-0.3572227</v>
      </c>
      <c r="U6349">
        <v>3.1360779999999999</v>
      </c>
      <c r="V6349">
        <v>-0.46000629999999998</v>
      </c>
      <c r="W6349">
        <v>0.1431568</v>
      </c>
      <c r="X6349">
        <v>0.87629919999999994</v>
      </c>
      <c r="Y6349">
        <v>-0.70137039999999995</v>
      </c>
      <c r="Z6349">
        <v>-3.6919710000000001E-3</v>
      </c>
      <c r="AA6349">
        <v>0.71278750000000002</v>
      </c>
      <c r="AB6349">
        <v>32</v>
      </c>
      <c r="AC6349">
        <v>2.4744999999999999</v>
      </c>
      <c r="AD6349">
        <v>-1.134878203462</v>
      </c>
      <c r="AE6349">
        <v>9.8042300000000004</v>
      </c>
      <c r="AF6349">
        <v>-7.1671014279245702</v>
      </c>
      <c r="AG6349">
        <v>-1.134878203462</v>
      </c>
      <c r="AH6349">
        <v>6.9534669461285104</v>
      </c>
      <c r="AI6349">
        <v>96.483740477014607</v>
      </c>
      <c r="AJ6349">
        <v>135.866779583256</v>
      </c>
      <c r="AK6349">
        <v>10.0501738286336</v>
      </c>
      <c r="AL6349">
        <v>81.7694417132589</v>
      </c>
      <c r="AM6349">
        <v>117.696869951412</v>
      </c>
      <c r="AN6349">
        <v>0.999999976673284</v>
      </c>
    </row>
    <row r="6350" spans="1:40" x14ac:dyDescent="0.25">
      <c r="A6350" t="str">
        <f>"20190303162942389"</f>
        <v>20190303162942389</v>
      </c>
      <c r="B6350" t="str">
        <f>"1551601782378524"</f>
        <v>1551601782378524</v>
      </c>
      <c r="C6350" t="s">
        <v>40</v>
      </c>
      <c r="D6350">
        <v>5.1799299999999997</v>
      </c>
      <c r="E6350">
        <v>0.37005070000000001</v>
      </c>
      <c r="F6350" t="s">
        <v>57</v>
      </c>
      <c r="G6350">
        <v>-193.1275</v>
      </c>
      <c r="H6350" s="1">
        <v>-2.2604279999999999E-6</v>
      </c>
      <c r="I6350">
        <v>-49.230670000000003</v>
      </c>
      <c r="J6350">
        <v>-195.50899999999999</v>
      </c>
      <c r="K6350">
        <v>1.134897</v>
      </c>
      <c r="L6350">
        <v>-59.046259999999997</v>
      </c>
      <c r="M6350">
        <v>0.86001170000000005</v>
      </c>
      <c r="N6350">
        <v>-1.426153E-2</v>
      </c>
      <c r="O6350">
        <v>0.5100751</v>
      </c>
      <c r="P6350">
        <v>0.52321179999999901</v>
      </c>
      <c r="Q6350">
        <v>0.14574219999999999</v>
      </c>
      <c r="R6350">
        <v>0.839647899999999</v>
      </c>
      <c r="S6350">
        <v>0.81350710000000004</v>
      </c>
      <c r="T6350">
        <v>-0.35905419999999999</v>
      </c>
      <c r="U6350">
        <v>3.1438290000000002</v>
      </c>
      <c r="V6350">
        <v>-0.4604434</v>
      </c>
      <c r="W6350">
        <v>0.14252210000000001</v>
      </c>
      <c r="X6350">
        <v>0.87617309999999904</v>
      </c>
      <c r="Y6350">
        <v>-0.70279630000000004</v>
      </c>
      <c r="Z6350">
        <v>-4.9923210000000001E-3</v>
      </c>
      <c r="AA6350">
        <v>0.71137359999999905</v>
      </c>
      <c r="AB6350">
        <v>32</v>
      </c>
      <c r="AC6350">
        <v>2.3815000000000102</v>
      </c>
      <c r="AD6350">
        <v>-1.1348992604279999</v>
      </c>
      <c r="AE6350">
        <v>9.8155899999999896</v>
      </c>
      <c r="AF6350">
        <v>-7.1374013886845002</v>
      </c>
      <c r="AG6350">
        <v>-1.1348992604279999</v>
      </c>
      <c r="AH6350">
        <v>6.9675557766524499</v>
      </c>
      <c r="AI6350">
        <v>96.491244724774404</v>
      </c>
      <c r="AJ6350">
        <v>135.689896914641</v>
      </c>
      <c r="AK6350">
        <v>10.038791182970099</v>
      </c>
      <c r="AL6350">
        <v>81.8061841955614</v>
      </c>
      <c r="AM6350">
        <v>117.722665840953</v>
      </c>
      <c r="AN6350">
        <v>0.99999998737778895</v>
      </c>
    </row>
    <row r="6351" spans="1:40" x14ac:dyDescent="0.25">
      <c r="A6351" t="str">
        <f>"20190303162942407"</f>
        <v>20190303162942407</v>
      </c>
      <c r="B6351" t="str">
        <f>"1551601782399020"</f>
        <v>1551601782399020</v>
      </c>
      <c r="C6351" t="s">
        <v>40</v>
      </c>
      <c r="D6351">
        <v>5.2250100000000002</v>
      </c>
      <c r="E6351">
        <v>0.3707281</v>
      </c>
      <c r="F6351" t="s">
        <v>57</v>
      </c>
      <c r="G6351">
        <v>-193.0052</v>
      </c>
      <c r="H6351" s="1">
        <v>-2.3836400000000002E-6</v>
      </c>
      <c r="I6351">
        <v>-48.976579999999998</v>
      </c>
      <c r="J6351">
        <v>-195.28569999999999</v>
      </c>
      <c r="K6351">
        <v>1.134911</v>
      </c>
      <c r="L6351">
        <v>-58.899079999999998</v>
      </c>
      <c r="M6351">
        <v>0.85246669999999902</v>
      </c>
      <c r="N6351">
        <v>-1.427601E-2</v>
      </c>
      <c r="O6351">
        <v>0.52258660000000001</v>
      </c>
      <c r="P6351">
        <v>0.51030390000000003</v>
      </c>
      <c r="Q6351">
        <v>0.14434469999999999</v>
      </c>
      <c r="R6351">
        <v>0.84779389999999999</v>
      </c>
      <c r="S6351">
        <v>0.78247069999999996</v>
      </c>
      <c r="T6351">
        <v>-0.35467120000000002</v>
      </c>
      <c r="U6351">
        <v>3.1469119999999999</v>
      </c>
      <c r="V6351">
        <v>-0.46121309999999899</v>
      </c>
      <c r="W6351">
        <v>0.1410777</v>
      </c>
      <c r="X6351">
        <v>0.87600199999999995</v>
      </c>
      <c r="Y6351">
        <v>-0.69926679999999997</v>
      </c>
      <c r="Z6351">
        <v>-6.6663249999999999E-3</v>
      </c>
      <c r="AA6351">
        <v>0.71482970000000001</v>
      </c>
      <c r="AB6351">
        <v>31</v>
      </c>
      <c r="AC6351">
        <v>2.28049999999998</v>
      </c>
      <c r="AD6351">
        <v>-1.1349133836399901</v>
      </c>
      <c r="AE6351">
        <v>9.9224999999999994</v>
      </c>
      <c r="AF6351">
        <v>-7.1783846451480597</v>
      </c>
      <c r="AG6351">
        <v>-1.1349133836399901</v>
      </c>
      <c r="AH6351">
        <v>7.0426312586840698</v>
      </c>
      <c r="AI6351">
        <v>96.438967309397398</v>
      </c>
      <c r="AJ6351">
        <v>135.546927160721</v>
      </c>
      <c r="AK6351">
        <v>10.1200735939941</v>
      </c>
      <c r="AL6351">
        <v>81.889786884889602</v>
      </c>
      <c r="AM6351">
        <v>117.76670496903201</v>
      </c>
      <c r="AN6351">
        <v>0.99999997252644901</v>
      </c>
    </row>
    <row r="6352" spans="1:40" x14ac:dyDescent="0.25">
      <c r="A6352" t="str">
        <f>"20190303162942425"</f>
        <v>20190303162942425</v>
      </c>
      <c r="B6352" t="str">
        <f>"1551601782418540"</f>
        <v>1551601782418540</v>
      </c>
      <c r="C6352" t="s">
        <v>40</v>
      </c>
      <c r="D6352">
        <v>5.2135309999999997</v>
      </c>
      <c r="E6352">
        <v>0.38315260000000001</v>
      </c>
      <c r="F6352" t="s">
        <v>57</v>
      </c>
      <c r="G6352">
        <v>-192.93969999999999</v>
      </c>
      <c r="H6352" s="1">
        <v>-2.4274170000000001E-6</v>
      </c>
      <c r="I6352">
        <v>-48.878</v>
      </c>
      <c r="J6352">
        <v>-195.09540000000001</v>
      </c>
      <c r="K6352">
        <v>1.1349279999999999</v>
      </c>
      <c r="L6352">
        <v>-58.770139999999998</v>
      </c>
      <c r="M6352">
        <v>0.845829099999999</v>
      </c>
      <c r="N6352">
        <v>-1.428716E-2</v>
      </c>
      <c r="O6352">
        <v>0.53326269999999998</v>
      </c>
      <c r="P6352">
        <v>0.49996299999999999</v>
      </c>
      <c r="Q6352">
        <v>0.143192299999999</v>
      </c>
      <c r="R6352">
        <v>0.85412699999999997</v>
      </c>
      <c r="S6352">
        <v>0.73858639999999998</v>
      </c>
      <c r="T6352">
        <v>-0.3572979</v>
      </c>
      <c r="U6352">
        <v>3.1548769999999999</v>
      </c>
      <c r="V6352">
        <v>-0.46097640000000001</v>
      </c>
      <c r="W6352">
        <v>0.1399243</v>
      </c>
      <c r="X6352">
        <v>0.87631150000000002</v>
      </c>
      <c r="Y6352">
        <v>-0.70011250000000003</v>
      </c>
      <c r="Z6352">
        <v>-8.0976520000000003E-3</v>
      </c>
      <c r="AA6352">
        <v>0.71398660000000003</v>
      </c>
      <c r="AB6352">
        <v>31</v>
      </c>
      <c r="AC6352">
        <v>2.1557000000000199</v>
      </c>
      <c r="AD6352">
        <v>-1.134930427417</v>
      </c>
      <c r="AE6352">
        <v>9.8921399999999995</v>
      </c>
      <c r="AF6352">
        <v>-7.1286607814432799</v>
      </c>
      <c r="AG6352">
        <v>-1.134930427417</v>
      </c>
      <c r="AH6352">
        <v>7.0110837522578304</v>
      </c>
      <c r="AI6352">
        <v>96.475830230191903</v>
      </c>
      <c r="AJ6352">
        <v>135.47642390292501</v>
      </c>
      <c r="AK6352">
        <v>10.0628607758002</v>
      </c>
      <c r="AL6352">
        <v>81.956533739641799</v>
      </c>
      <c r="AM6352">
        <v>117.746242037513</v>
      </c>
      <c r="AN6352">
        <v>0.99999994805984804</v>
      </c>
    </row>
    <row r="6353" spans="1:40" x14ac:dyDescent="0.25">
      <c r="A6353" t="str">
        <f>"20190303162942440"</f>
        <v>20190303162942440</v>
      </c>
      <c r="B6353" t="str">
        <f>"1551601782428301"</f>
        <v>1551601782428301</v>
      </c>
      <c r="C6353" t="s">
        <v>40</v>
      </c>
      <c r="D6353">
        <v>5.2147129999999997</v>
      </c>
      <c r="E6353">
        <v>0.38449149999999999</v>
      </c>
      <c r="F6353" t="s">
        <v>57</v>
      </c>
      <c r="G6353">
        <v>-192.4665</v>
      </c>
      <c r="H6353" s="1">
        <v>-2.6513520000000001E-6</v>
      </c>
      <c r="I6353">
        <v>-48.321910000000003</v>
      </c>
      <c r="J6353">
        <v>-194.9118</v>
      </c>
      <c r="K6353">
        <v>1.1349389999999999</v>
      </c>
      <c r="L6353">
        <v>-58.642060000000001</v>
      </c>
      <c r="M6353">
        <v>0.83923400000000004</v>
      </c>
      <c r="N6353">
        <v>-1.4296919999999999E-2</v>
      </c>
      <c r="O6353">
        <v>0.54358240000000002</v>
      </c>
      <c r="P6353">
        <v>0.49049179999999998</v>
      </c>
      <c r="Q6353">
        <v>0.14177519999999999</v>
      </c>
      <c r="R6353">
        <v>0.85983569999999998</v>
      </c>
      <c r="S6353">
        <v>0.78271480000000004</v>
      </c>
      <c r="T6353">
        <v>-0.3379124</v>
      </c>
      <c r="U6353">
        <v>3.11084</v>
      </c>
      <c r="V6353">
        <v>-0.46008149999999998</v>
      </c>
      <c r="W6353">
        <v>0.13853650000000001</v>
      </c>
      <c r="X6353">
        <v>0.87700210000000001</v>
      </c>
      <c r="Y6353">
        <v>-0.67959029999999998</v>
      </c>
      <c r="Z6353">
        <v>-1.00751E-2</v>
      </c>
      <c r="AA6353">
        <v>0.73352269999999997</v>
      </c>
      <c r="AB6353">
        <v>31</v>
      </c>
      <c r="AC6353">
        <v>2.4453</v>
      </c>
      <c r="AD6353">
        <v>-1.1349416513520001</v>
      </c>
      <c r="AE6353">
        <v>10.32015</v>
      </c>
      <c r="AF6353">
        <v>-7.2495322641341797</v>
      </c>
      <c r="AG6353">
        <v>-1.1349416513520001</v>
      </c>
      <c r="AH6353">
        <v>7.5760589777437604</v>
      </c>
      <c r="AI6353">
        <v>96.177410503579296</v>
      </c>
      <c r="AJ6353">
        <v>133.738291235297</v>
      </c>
      <c r="AK6353">
        <v>10.5470602650666</v>
      </c>
      <c r="AL6353">
        <v>82.036831471064204</v>
      </c>
      <c r="AM6353">
        <v>117.68182106384999</v>
      </c>
      <c r="AN6353">
        <v>1.00000001593945</v>
      </c>
    </row>
    <row r="6354" spans="1:40" x14ac:dyDescent="0.25">
      <c r="A6354" t="str">
        <f>"20190303162942463"</f>
        <v>20190303162942463</v>
      </c>
      <c r="B6354" t="str">
        <f>"1551601782458556"</f>
        <v>1551601782458556</v>
      </c>
      <c r="C6354" t="s">
        <v>40</v>
      </c>
      <c r="D6354">
        <v>5.1972480000000001</v>
      </c>
      <c r="E6354">
        <v>0.38662530000000001</v>
      </c>
      <c r="F6354" t="s">
        <v>57</v>
      </c>
      <c r="G6354">
        <v>-192.38560000000001</v>
      </c>
      <c r="H6354" s="1">
        <v>-2.6868560000000001E-6</v>
      </c>
      <c r="I6354">
        <v>-48.231520000000003</v>
      </c>
      <c r="J6354">
        <v>-194.66390000000001</v>
      </c>
      <c r="K6354">
        <v>1.1349590000000001</v>
      </c>
      <c r="L6354">
        <v>-58.464109999999998</v>
      </c>
      <c r="M6354">
        <v>0.830036</v>
      </c>
      <c r="N6354">
        <v>-1.430885E-2</v>
      </c>
      <c r="O6354">
        <v>0.55752639999999998</v>
      </c>
      <c r="P6354">
        <v>0.47857909999999998</v>
      </c>
      <c r="Q6354">
        <v>0.1411086</v>
      </c>
      <c r="R6354">
        <v>0.86663169999999901</v>
      </c>
      <c r="S6354">
        <v>0.75563049999999998</v>
      </c>
      <c r="T6354">
        <v>-0.33947850000000002</v>
      </c>
      <c r="U6354">
        <v>3.113953</v>
      </c>
      <c r="V6354">
        <v>-0.45760149999999999</v>
      </c>
      <c r="W6354">
        <v>0.13796369999999999</v>
      </c>
      <c r="X6354">
        <v>0.87838879999999997</v>
      </c>
      <c r="Y6354">
        <v>-0.67357279999999997</v>
      </c>
      <c r="Z6354">
        <v>-1.236742E-2</v>
      </c>
      <c r="AA6354">
        <v>0.73901740000000005</v>
      </c>
      <c r="AB6354">
        <v>31</v>
      </c>
      <c r="AC6354">
        <v>2.2783000000000002</v>
      </c>
      <c r="AD6354">
        <v>-1.134961686856</v>
      </c>
      <c r="AE6354">
        <v>10.232589999999901</v>
      </c>
      <c r="AF6354">
        <v>-7.1402510311765699</v>
      </c>
      <c r="AG6354">
        <v>-1.134961686856</v>
      </c>
      <c r="AH6354">
        <v>7.5087739804606102</v>
      </c>
      <c r="AI6354">
        <v>96.250932938181293</v>
      </c>
      <c r="AJ6354">
        <v>133.55892408940801</v>
      </c>
      <c r="AK6354">
        <v>10.423675431847</v>
      </c>
      <c r="AL6354">
        <v>82.069968568671399</v>
      </c>
      <c r="AM6354">
        <v>117.517509582562</v>
      </c>
      <c r="AN6354">
        <v>0.99999999964269004</v>
      </c>
    </row>
    <row r="6355" spans="1:40" x14ac:dyDescent="0.25">
      <c r="A6355" t="str">
        <f>"20190303162942485"</f>
        <v>20190303162942485</v>
      </c>
      <c r="B6355" t="str">
        <f>"1551601782477702"</f>
        <v>1551601782477702</v>
      </c>
      <c r="C6355" t="s">
        <v>40</v>
      </c>
      <c r="D6355">
        <v>5.2184160000000004</v>
      </c>
      <c r="E6355">
        <v>0.3875557</v>
      </c>
      <c r="F6355" t="s">
        <v>57</v>
      </c>
      <c r="G6355">
        <v>-192.22730000000001</v>
      </c>
      <c r="H6355" s="1">
        <v>-2.7980920000000001E-6</v>
      </c>
      <c r="I6355">
        <v>-47.98413</v>
      </c>
      <c r="J6355">
        <v>-194.42490000000001</v>
      </c>
      <c r="K6355">
        <v>1.1349720000000001</v>
      </c>
      <c r="L6355">
        <v>-58.286070000000002</v>
      </c>
      <c r="M6355">
        <v>0.82082089999999996</v>
      </c>
      <c r="N6355">
        <v>-1.431902E-2</v>
      </c>
      <c r="O6355">
        <v>0.57100609999999996</v>
      </c>
      <c r="P6355">
        <v>0.46664939999999999</v>
      </c>
      <c r="Q6355">
        <v>0.13996729999999999</v>
      </c>
      <c r="R6355">
        <v>0.87329699999999999</v>
      </c>
      <c r="S6355">
        <v>0.72459410000000002</v>
      </c>
      <c r="T6355">
        <v>-0.33750930000000001</v>
      </c>
      <c r="U6355">
        <v>3.1164860000000001</v>
      </c>
      <c r="V6355">
        <v>-0.45541520000000002</v>
      </c>
      <c r="W6355">
        <v>0.1369081</v>
      </c>
      <c r="X6355">
        <v>0.87968930000000001</v>
      </c>
      <c r="Y6355">
        <v>-0.66867949999999998</v>
      </c>
      <c r="Z6355">
        <v>-1.427341E-2</v>
      </c>
      <c r="AA6355">
        <v>0.74341369999999996</v>
      </c>
      <c r="AB6355">
        <v>31</v>
      </c>
      <c r="AC6355">
        <v>2.1975999999999898</v>
      </c>
      <c r="AD6355">
        <v>-1.134974798092</v>
      </c>
      <c r="AE6355">
        <v>10.301939999999901</v>
      </c>
      <c r="AF6355">
        <v>-7.1192927626918001</v>
      </c>
      <c r="AG6355">
        <v>-1.134974798092</v>
      </c>
      <c r="AH6355">
        <v>7.5988767845015204</v>
      </c>
      <c r="AI6355">
        <v>96.220546318506294</v>
      </c>
      <c r="AJ6355">
        <v>133.13370667373999</v>
      </c>
      <c r="AK6355">
        <v>10.474513144736401</v>
      </c>
      <c r="AL6355">
        <v>82.131029809594907</v>
      </c>
      <c r="AM6355">
        <v>117.370605189592</v>
      </c>
      <c r="AN6355">
        <v>1.00000004838556</v>
      </c>
    </row>
    <row r="6356" spans="1:40" x14ac:dyDescent="0.25">
      <c r="A6356" t="str">
        <f>"20190303162942509"</f>
        <v>20190303162942509</v>
      </c>
      <c r="B6356" t="str">
        <f>"1551601782498198"</f>
        <v>1551601782498198</v>
      </c>
      <c r="C6356" t="s">
        <v>40</v>
      </c>
      <c r="D6356">
        <v>5.2671960000000002</v>
      </c>
      <c r="E6356">
        <v>0.38870100000000002</v>
      </c>
      <c r="F6356" t="s">
        <v>57</v>
      </c>
      <c r="G6356">
        <v>-192.09809999999999</v>
      </c>
      <c r="H6356" s="1">
        <v>-2.9341629999999998E-6</v>
      </c>
      <c r="I6356">
        <v>-47.705739999999999</v>
      </c>
      <c r="J6356">
        <v>-194.1609</v>
      </c>
      <c r="K6356">
        <v>1.1349800000000001</v>
      </c>
      <c r="L6356">
        <v>-58.082030000000003</v>
      </c>
      <c r="M6356">
        <v>0.81023979999999995</v>
      </c>
      <c r="N6356">
        <v>-1.432887E-2</v>
      </c>
      <c r="O6356">
        <v>0.58592339999999998</v>
      </c>
      <c r="P6356">
        <v>0.45233509999999999</v>
      </c>
      <c r="Q6356">
        <v>0.13901069999999999</v>
      </c>
      <c r="R6356">
        <v>0.88094779999999995</v>
      </c>
      <c r="S6356">
        <v>0.68656919999999899</v>
      </c>
      <c r="T6356">
        <v>-0.33491130000000002</v>
      </c>
      <c r="U6356">
        <v>3.1220699999999999</v>
      </c>
      <c r="V6356">
        <v>-0.45377269999999997</v>
      </c>
      <c r="W6356">
        <v>0.13601529999999901</v>
      </c>
      <c r="X6356">
        <v>0.88067600000000001</v>
      </c>
      <c r="Y6356">
        <v>-0.66406569999999898</v>
      </c>
      <c r="Z6356">
        <v>-1.624987E-2</v>
      </c>
      <c r="AA6356">
        <v>0.74749759999999998</v>
      </c>
      <c r="AB6356">
        <v>31</v>
      </c>
      <c r="AC6356">
        <v>2.06280000000001</v>
      </c>
      <c r="AD6356">
        <v>-1.13498293416299</v>
      </c>
      <c r="AE6356">
        <v>10.3762899999999</v>
      </c>
      <c r="AF6356">
        <v>-7.1174598852610602</v>
      </c>
      <c r="AG6356">
        <v>-1.13498293416299</v>
      </c>
      <c r="AH6356">
        <v>7.6636634174118203</v>
      </c>
      <c r="AI6356">
        <v>96.193370785644603</v>
      </c>
      <c r="AJ6356">
        <v>132.88372483103899</v>
      </c>
      <c r="AK6356">
        <v>10.520368741375799</v>
      </c>
      <c r="AL6356">
        <v>82.182666309253193</v>
      </c>
      <c r="AM6356">
        <v>117.260013279733</v>
      </c>
      <c r="AN6356">
        <v>1.00000002103768</v>
      </c>
    </row>
    <row r="6357" spans="1:40" x14ac:dyDescent="0.25">
      <c r="A6357" t="str">
        <f>"20190303162942531"</f>
        <v>20190303162942531</v>
      </c>
      <c r="B6357" t="str">
        <f>"1551601782518695"</f>
        <v>1551601782518695</v>
      </c>
      <c r="C6357" t="s">
        <v>40</v>
      </c>
      <c r="D6357">
        <v>5.2460550000000001</v>
      </c>
      <c r="E6357">
        <v>0.38976349999999998</v>
      </c>
      <c r="F6357" t="s">
        <v>57</v>
      </c>
      <c r="G6357">
        <v>-191.98750000000001</v>
      </c>
      <c r="H6357" s="1">
        <v>-3.01583E-6</v>
      </c>
      <c r="I6357">
        <v>-47.526209999999999</v>
      </c>
      <c r="J6357">
        <v>-193.91929999999999</v>
      </c>
      <c r="K6357">
        <v>1.134987</v>
      </c>
      <c r="L6357">
        <v>-57.888640000000002</v>
      </c>
      <c r="M6357">
        <v>0.8001798</v>
      </c>
      <c r="N6357">
        <v>-1.4336750000000001E-2</v>
      </c>
      <c r="O6357">
        <v>0.59958889999999998</v>
      </c>
      <c r="P6357">
        <v>0.43859179999999998</v>
      </c>
      <c r="Q6357">
        <v>0.1384842</v>
      </c>
      <c r="R6357">
        <v>0.88795239999999998</v>
      </c>
      <c r="S6357">
        <v>0.6439819</v>
      </c>
      <c r="T6357">
        <v>-0.336308099999999</v>
      </c>
      <c r="U6357">
        <v>3.1278079999999999</v>
      </c>
      <c r="V6357">
        <v>-0.45256039999999997</v>
      </c>
      <c r="W6357">
        <v>0.1355372</v>
      </c>
      <c r="X6357">
        <v>0.88137319999999997</v>
      </c>
      <c r="Y6357">
        <v>-0.66144599999999998</v>
      </c>
      <c r="Z6357">
        <v>-1.8278139999999998E-2</v>
      </c>
      <c r="AA6357">
        <v>0.74976999999999905</v>
      </c>
      <c r="AB6357">
        <v>31</v>
      </c>
      <c r="AC6357">
        <v>1.93179999999998</v>
      </c>
      <c r="AD6357">
        <v>-1.1349900158299999</v>
      </c>
      <c r="AE6357">
        <v>10.36243</v>
      </c>
      <c r="AF6357">
        <v>-7.0524894033641097</v>
      </c>
      <c r="AG6357">
        <v>-1.1349900158299999</v>
      </c>
      <c r="AH6357">
        <v>7.6708485746086703</v>
      </c>
      <c r="AI6357">
        <v>96.216299952719595</v>
      </c>
      <c r="AJ6357">
        <v>132.59507241134</v>
      </c>
      <c r="AK6357">
        <v>10.4817807158503</v>
      </c>
      <c r="AL6357">
        <v>82.210315166909396</v>
      </c>
      <c r="AM6357">
        <v>117.17922576389</v>
      </c>
      <c r="AN6357">
        <v>0.99999998295511905</v>
      </c>
    </row>
    <row r="6358" spans="1:40" x14ac:dyDescent="0.25">
      <c r="A6358" t="str">
        <f>"20190303162942555"</f>
        <v>20190303162942555</v>
      </c>
      <c r="B6358" t="str">
        <f>"1551601782547973"</f>
        <v>1551601782547973</v>
      </c>
      <c r="C6358" t="s">
        <v>40</v>
      </c>
      <c r="D6358">
        <v>5.2388029999999999</v>
      </c>
      <c r="E6358">
        <v>0.39851409999999998</v>
      </c>
      <c r="F6358" t="s">
        <v>57</v>
      </c>
      <c r="G6358">
        <v>-191.8603</v>
      </c>
      <c r="H6358" s="1">
        <v>-3.1929910000000001E-6</v>
      </c>
      <c r="I6358">
        <v>-47.179130000000001</v>
      </c>
      <c r="J6358">
        <v>-193.66220000000001</v>
      </c>
      <c r="K6358">
        <v>1.134992</v>
      </c>
      <c r="L6358">
        <v>-57.675420000000003</v>
      </c>
      <c r="M6358">
        <v>0.78905959999999997</v>
      </c>
      <c r="N6358">
        <v>-1.4344000000000001E-2</v>
      </c>
      <c r="O6358">
        <v>0.61414919999999995</v>
      </c>
      <c r="P6358">
        <v>0.42475610000000003</v>
      </c>
      <c r="Q6358">
        <v>0.13902349999999999</v>
      </c>
      <c r="R6358">
        <v>0.89456959999999996</v>
      </c>
      <c r="S6358">
        <v>0.60229489999999997</v>
      </c>
      <c r="T6358">
        <v>-0.33201750000000002</v>
      </c>
      <c r="U6358">
        <v>3.1328429999999998</v>
      </c>
      <c r="V6358">
        <v>-0.45004189999999999</v>
      </c>
      <c r="W6358">
        <v>0.1361801</v>
      </c>
      <c r="X6358">
        <v>0.88256290000000004</v>
      </c>
      <c r="Y6358">
        <v>-0.65761950000000002</v>
      </c>
      <c r="Z6358">
        <v>-1.9974470000000001E-2</v>
      </c>
      <c r="AA6358">
        <v>0.75308540000000002</v>
      </c>
      <c r="AB6358">
        <v>31</v>
      </c>
      <c r="AC6358">
        <v>1.80190000000001</v>
      </c>
      <c r="AD6358">
        <v>-1.134995192991</v>
      </c>
      <c r="AE6358">
        <v>10.496289999999901</v>
      </c>
      <c r="AF6358">
        <v>-7.0957079377744403</v>
      </c>
      <c r="AG6358">
        <v>-1.134995192991</v>
      </c>
      <c r="AH6358">
        <v>7.78053258414627</v>
      </c>
      <c r="AI6358">
        <v>96.151844821189499</v>
      </c>
      <c r="AJ6358">
        <v>132.36426151255199</v>
      </c>
      <c r="AK6358">
        <v>10.591221483817099</v>
      </c>
      <c r="AL6358">
        <v>82.173135132248404</v>
      </c>
      <c r="AM6358">
        <v>117.018223498887</v>
      </c>
      <c r="AN6358">
        <v>1.0000000019240101</v>
      </c>
    </row>
    <row r="6359" spans="1:40" x14ac:dyDescent="0.25">
      <c r="A6359" t="str">
        <f>"20190303162942575"</f>
        <v>20190303162942575</v>
      </c>
      <c r="B6359" t="str">
        <f>"1551601782568471"</f>
        <v>1551601782568471</v>
      </c>
      <c r="C6359" t="s">
        <v>40</v>
      </c>
      <c r="D6359">
        <v>5.2409589999999904</v>
      </c>
      <c r="E6359">
        <v>0.39895389999999997</v>
      </c>
      <c r="F6359" t="s">
        <v>57</v>
      </c>
      <c r="G6359">
        <v>-191.31389999999999</v>
      </c>
      <c r="H6359" s="1">
        <v>-3.8930809999999997E-6</v>
      </c>
      <c r="I6359">
        <v>-45.74342</v>
      </c>
      <c r="J6359">
        <v>-193.45820000000001</v>
      </c>
      <c r="K6359">
        <v>1.1349899999999999</v>
      </c>
      <c r="L6359">
        <v>-57.500430000000001</v>
      </c>
      <c r="M6359">
        <v>0.77991849999999996</v>
      </c>
      <c r="N6359">
        <v>-1.434888E-2</v>
      </c>
      <c r="O6359">
        <v>0.62571659999999996</v>
      </c>
      <c r="P6359">
        <v>0.41518129999999998</v>
      </c>
      <c r="Q6359">
        <v>0.1401358</v>
      </c>
      <c r="R6359">
        <v>0.89888069999999898</v>
      </c>
      <c r="S6359">
        <v>0.61184689999999997</v>
      </c>
      <c r="T6359">
        <v>-0.29573240000000001</v>
      </c>
      <c r="U6359">
        <v>3.108978</v>
      </c>
      <c r="V6359">
        <v>-0.4463473</v>
      </c>
      <c r="W6359">
        <v>0.1374466</v>
      </c>
      <c r="X6359">
        <v>0.88424119999999995</v>
      </c>
      <c r="Y6359">
        <v>-0.6433738</v>
      </c>
      <c r="Z6359">
        <v>-1.8749330000000002E-2</v>
      </c>
      <c r="AA6359">
        <v>0.76532250000000002</v>
      </c>
      <c r="AB6359">
        <v>31</v>
      </c>
      <c r="AC6359">
        <v>2.1443000000000101</v>
      </c>
      <c r="AD6359">
        <v>-1.134993893081</v>
      </c>
      <c r="AE6359">
        <v>11.757009999999999</v>
      </c>
      <c r="AF6359">
        <v>-7.7586126615258202</v>
      </c>
      <c r="AG6359">
        <v>-1.134993893081</v>
      </c>
      <c r="AH6359">
        <v>8.9491483630600008</v>
      </c>
      <c r="AI6359">
        <v>95.473801253734607</v>
      </c>
      <c r="AJ6359">
        <v>130.92419523593699</v>
      </c>
      <c r="AK6359">
        <v>11.898383839538001</v>
      </c>
      <c r="AL6359">
        <v>82.099881108883395</v>
      </c>
      <c r="AM6359">
        <v>116.78373245567801</v>
      </c>
      <c r="AN6359">
        <v>0.99999998992314498</v>
      </c>
    </row>
    <row r="6360" spans="1:40" x14ac:dyDescent="0.25">
      <c r="A6360" t="str">
        <f>"20190303162942601"</f>
        <v>20190303162942601</v>
      </c>
      <c r="B6360" t="str">
        <f>"1551601782588497"</f>
        <v>1551601782588497</v>
      </c>
      <c r="C6360" t="s">
        <v>40</v>
      </c>
      <c r="D6360">
        <v>5.2817129999999999</v>
      </c>
      <c r="E6360">
        <v>0.3998159</v>
      </c>
      <c r="F6360" t="s">
        <v>57</v>
      </c>
      <c r="G6360">
        <v>-191.2199</v>
      </c>
      <c r="H6360" s="1">
        <v>-3.9990199999999999E-6</v>
      </c>
      <c r="I6360">
        <v>-45.499630000000003</v>
      </c>
      <c r="J6360">
        <v>-193.19239999999999</v>
      </c>
      <c r="K6360">
        <v>1.1349819999999999</v>
      </c>
      <c r="L6360">
        <v>-57.264830000000003</v>
      </c>
      <c r="M6360">
        <v>0.7675767</v>
      </c>
      <c r="N6360">
        <v>-1.435404E-2</v>
      </c>
      <c r="O6360">
        <v>0.64079640000000004</v>
      </c>
      <c r="P6360">
        <v>0.4011998</v>
      </c>
      <c r="Q6360">
        <v>0.1396241</v>
      </c>
      <c r="R6360">
        <v>0.90528660000000005</v>
      </c>
      <c r="S6360">
        <v>0.58099369999999995</v>
      </c>
      <c r="T6360">
        <v>-0.2946107</v>
      </c>
      <c r="U6360">
        <v>3.1150509999999998</v>
      </c>
      <c r="V6360">
        <v>-0.44285390000000002</v>
      </c>
      <c r="W6360">
        <v>0.1370857</v>
      </c>
      <c r="X6360">
        <v>0.8860519</v>
      </c>
      <c r="Y6360">
        <v>-0.63609059999999995</v>
      </c>
      <c r="Z6360">
        <v>-2.0726040000000001E-2</v>
      </c>
      <c r="AA6360">
        <v>0.77133600000000002</v>
      </c>
      <c r="AB6360">
        <v>31</v>
      </c>
      <c r="AC6360">
        <v>1.9724999999999899</v>
      </c>
      <c r="AD6360">
        <v>-1.13498599902</v>
      </c>
      <c r="AE6360">
        <v>11.7652</v>
      </c>
      <c r="AF6360">
        <v>-7.6978418279729599</v>
      </c>
      <c r="AG6360">
        <v>-1.13498599902</v>
      </c>
      <c r="AH6360">
        <v>8.9728533172135805</v>
      </c>
      <c r="AI6360">
        <v>95.483766782310298</v>
      </c>
      <c r="AJ6360">
        <v>130.62640711905701</v>
      </c>
      <c r="AK6360">
        <v>11.876744447814399</v>
      </c>
      <c r="AL6360">
        <v>82.120756980944705</v>
      </c>
      <c r="AM6360">
        <v>116.55615011428399</v>
      </c>
      <c r="AN6360">
        <v>1.0000000176916499</v>
      </c>
    </row>
    <row r="6361" spans="1:40" x14ac:dyDescent="0.25">
      <c r="A6361" t="str">
        <f>"20190303162942622"</f>
        <v>20190303162942622</v>
      </c>
      <c r="B6361" t="str">
        <f>"1551601782617778"</f>
        <v>1551601782617778</v>
      </c>
      <c r="C6361" t="s">
        <v>40</v>
      </c>
      <c r="D6361">
        <v>5.2917149999999999</v>
      </c>
      <c r="E6361">
        <v>0.40086250000000001</v>
      </c>
      <c r="F6361" t="s">
        <v>57</v>
      </c>
      <c r="G6361">
        <v>-191.071</v>
      </c>
      <c r="H6361" s="1">
        <v>-4.2286160000000001E-6</v>
      </c>
      <c r="I6361">
        <v>-44.959159999999997</v>
      </c>
      <c r="J6361">
        <v>-192.976</v>
      </c>
      <c r="K6361">
        <v>1.1349689999999999</v>
      </c>
      <c r="L6361">
        <v>-57.065860000000001</v>
      </c>
      <c r="M6361">
        <v>0.75713809999999904</v>
      </c>
      <c r="N6361">
        <v>-1.435758E-2</v>
      </c>
      <c r="O6361">
        <v>0.65309719999999905</v>
      </c>
      <c r="P6361">
        <v>0.39046629999999999</v>
      </c>
      <c r="Q6361">
        <v>0.13795869999999999</v>
      </c>
      <c r="R6361">
        <v>0.91022170000000002</v>
      </c>
      <c r="S6361">
        <v>0.53784180000000004</v>
      </c>
      <c r="T6361">
        <v>-0.28775450000000002</v>
      </c>
      <c r="U6361">
        <v>3.1198730000000001</v>
      </c>
      <c r="V6361">
        <v>-0.43916070000000001</v>
      </c>
      <c r="W6361">
        <v>0.1355816</v>
      </c>
      <c r="X6361">
        <v>0.88811909999999905</v>
      </c>
      <c r="Y6361">
        <v>-0.63425359999999997</v>
      </c>
      <c r="Z6361">
        <v>-2.140628E-2</v>
      </c>
      <c r="AA6361">
        <v>0.77282869999999904</v>
      </c>
      <c r="AB6361">
        <v>31</v>
      </c>
      <c r="AC6361">
        <v>1.905</v>
      </c>
      <c r="AD6361">
        <v>-1.1349732286159999</v>
      </c>
      <c r="AE6361">
        <v>12.1067</v>
      </c>
      <c r="AF6361">
        <v>-7.85573675317083</v>
      </c>
      <c r="AG6361">
        <v>-1.1349732286159999</v>
      </c>
      <c r="AH6361">
        <v>9.2706552849099904</v>
      </c>
      <c r="AI6361">
        <v>95.336077107572194</v>
      </c>
      <c r="AJ6361">
        <v>130.27716240599401</v>
      </c>
      <c r="AK6361">
        <v>12.2043358515088</v>
      </c>
      <c r="AL6361">
        <v>82.207747770398697</v>
      </c>
      <c r="AM6361">
        <v>116.311659700232</v>
      </c>
      <c r="AN6361">
        <v>1.00000001323393</v>
      </c>
    </row>
    <row r="6362" spans="1:40" x14ac:dyDescent="0.25">
      <c r="A6362" t="str">
        <f>"20190303162942642"</f>
        <v>20190303162942642</v>
      </c>
      <c r="B6362" t="str">
        <f>"1551601782628514"</f>
        <v>1551601782628514</v>
      </c>
      <c r="C6362" t="s">
        <v>40</v>
      </c>
      <c r="D6362">
        <v>5.2802579999999999</v>
      </c>
      <c r="E6362">
        <v>0.40133760000000002</v>
      </c>
      <c r="F6362" t="s">
        <v>44</v>
      </c>
      <c r="G6362">
        <v>-192.82820000000001</v>
      </c>
      <c r="H6362">
        <v>1.050997</v>
      </c>
      <c r="I6362">
        <v>-56.15699</v>
      </c>
      <c r="J6362">
        <v>-192.7825</v>
      </c>
      <c r="K6362">
        <v>1.1349590000000001</v>
      </c>
      <c r="L6362">
        <v>-56.88205</v>
      </c>
      <c r="M6362">
        <v>0.74748870000000001</v>
      </c>
      <c r="N6362">
        <v>-1.436014E-2</v>
      </c>
      <c r="O6362">
        <v>0.66411940000000003</v>
      </c>
      <c r="P6362">
        <v>0.38110500000000003</v>
      </c>
      <c r="Q6362">
        <v>0.1372514</v>
      </c>
      <c r="R6362">
        <v>0.91428710000000002</v>
      </c>
      <c r="S6362">
        <v>0.50721740000000004</v>
      </c>
      <c r="T6362">
        <v>-0.2884176</v>
      </c>
      <c r="U6362">
        <v>3.1220400000000001</v>
      </c>
      <c r="V6362">
        <v>-0.43530720000000001</v>
      </c>
      <c r="W6362">
        <v>0.1350411</v>
      </c>
      <c r="X6362">
        <v>0.89009640000000001</v>
      </c>
      <c r="Y6362">
        <v>-0.63041599999999998</v>
      </c>
      <c r="Z6362">
        <v>-2.294202E-2</v>
      </c>
      <c r="AA6362">
        <v>0.77591840000000001</v>
      </c>
      <c r="AB6362">
        <v>31</v>
      </c>
      <c r="AC6362">
        <v>-4.5700000000010697E-2</v>
      </c>
      <c r="AD6362">
        <v>-8.3961999999999995E-2</v>
      </c>
      <c r="AE6362">
        <v>0.72505999999999904</v>
      </c>
      <c r="AF6362">
        <v>-0.56483906416321294</v>
      </c>
      <c r="AG6362">
        <v>-8.3961999999999995E-2</v>
      </c>
      <c r="AH6362">
        <v>0.44151514023658101</v>
      </c>
      <c r="AI6362">
        <v>96.679730654263693</v>
      </c>
      <c r="AJ6362">
        <v>141.98649154546101</v>
      </c>
      <c r="AK6362">
        <v>0.72182297338537404</v>
      </c>
      <c r="AL6362">
        <v>82.239003719526707</v>
      </c>
      <c r="AM6362">
        <v>116.06123370627</v>
      </c>
      <c r="AN6362">
        <v>1.0000000291769999</v>
      </c>
    </row>
    <row r="6363" spans="1:40" x14ac:dyDescent="0.25">
      <c r="A6363" t="str">
        <f>"20190303162942666"</f>
        <v>20190303162942666</v>
      </c>
      <c r="B6363" t="str">
        <f>"1551601782657794"</f>
        <v>1551601782657794</v>
      </c>
      <c r="C6363" t="s">
        <v>40</v>
      </c>
      <c r="D6363">
        <v>5.288367</v>
      </c>
      <c r="E6363">
        <v>0.4026612</v>
      </c>
      <c r="F6363" t="s">
        <v>44</v>
      </c>
      <c r="G6363">
        <v>-192.64259999999999</v>
      </c>
      <c r="H6363">
        <v>1.050278</v>
      </c>
      <c r="I6363">
        <v>-55.966059999999999</v>
      </c>
      <c r="J6363">
        <v>-192.5531</v>
      </c>
      <c r="K6363">
        <v>1.1349549999999999</v>
      </c>
      <c r="L6363">
        <v>-56.6571</v>
      </c>
      <c r="M6363">
        <v>0.7356625</v>
      </c>
      <c r="N6363">
        <v>-1.436283E-2</v>
      </c>
      <c r="O6363">
        <v>0.67719609999999997</v>
      </c>
      <c r="P6363">
        <v>0.36909900000000001</v>
      </c>
      <c r="Q6363">
        <v>0.13702719999999999</v>
      </c>
      <c r="R6363">
        <v>0.91923310000000003</v>
      </c>
      <c r="S6363">
        <v>0.47738649999999999</v>
      </c>
      <c r="T6363">
        <v>-0.28896729999999998</v>
      </c>
      <c r="U6363">
        <v>3.1256409999999999</v>
      </c>
      <c r="V6363">
        <v>-0.43127399999999999</v>
      </c>
      <c r="W6363">
        <v>0.134991</v>
      </c>
      <c r="X6363">
        <v>0.89206509999999895</v>
      </c>
      <c r="Y6363">
        <v>-0.6241215</v>
      </c>
      <c r="Z6363">
        <v>-2.4819359999999999E-2</v>
      </c>
      <c r="AA6363">
        <v>0.78093299999999999</v>
      </c>
      <c r="AB6363">
        <v>31</v>
      </c>
      <c r="AC6363">
        <v>-8.9499999999986798E-2</v>
      </c>
      <c r="AD6363">
        <v>-8.4676999999999794E-2</v>
      </c>
      <c r="AE6363">
        <v>0.69104000000000099</v>
      </c>
      <c r="AF6363">
        <v>-0.560759038220496</v>
      </c>
      <c r="AG6363">
        <v>-8.4676999999999794E-2</v>
      </c>
      <c r="AH6363">
        <v>0.39631673625945701</v>
      </c>
      <c r="AI6363">
        <v>97.029947856438895</v>
      </c>
      <c r="AJ6363">
        <v>144.749221159119</v>
      </c>
      <c r="AK6363">
        <v>0.69187271135254602</v>
      </c>
      <c r="AL6363">
        <v>82.241900442826804</v>
      </c>
      <c r="AM6363">
        <v>115.80171183194901</v>
      </c>
      <c r="AN6363">
        <v>0.99999998789750399</v>
      </c>
    </row>
    <row r="6364" spans="1:40" x14ac:dyDescent="0.25">
      <c r="A6364" t="str">
        <f>"20190303162942687"</f>
        <v>20190303162942687</v>
      </c>
      <c r="B6364" t="str">
        <f>"1551601782677820"</f>
        <v>1551601782677820</v>
      </c>
      <c r="C6364" t="s">
        <v>40</v>
      </c>
      <c r="D6364">
        <v>5.2769110000000001</v>
      </c>
      <c r="E6364">
        <v>0.40331050000000002</v>
      </c>
      <c r="F6364" t="s">
        <v>57</v>
      </c>
      <c r="G6364">
        <v>-190.8185</v>
      </c>
      <c r="H6364" s="1">
        <v>-4.4149470000000001E-6</v>
      </c>
      <c r="I6364">
        <v>-44.462670000000003</v>
      </c>
      <c r="J6364">
        <v>-192.34119999999999</v>
      </c>
      <c r="K6364">
        <v>1.134957</v>
      </c>
      <c r="L6364">
        <v>-56.441830000000003</v>
      </c>
      <c r="M6364">
        <v>0.72433019999999904</v>
      </c>
      <c r="N6364">
        <v>-1.436483E-2</v>
      </c>
      <c r="O6364">
        <v>0.68930360000000002</v>
      </c>
      <c r="P6364">
        <v>0.35748170000000001</v>
      </c>
      <c r="Q6364">
        <v>0.13699510000000001</v>
      </c>
      <c r="R6364">
        <v>0.92381769999999996</v>
      </c>
      <c r="S6364">
        <v>0.4449921</v>
      </c>
      <c r="T6364">
        <v>-0.29115930000000001</v>
      </c>
      <c r="U6364">
        <v>3.1283259999999999</v>
      </c>
      <c r="V6364">
        <v>-0.42771670000000001</v>
      </c>
      <c r="W6364">
        <v>0.13511289999999901</v>
      </c>
      <c r="X6364">
        <v>0.89375780000000005</v>
      </c>
      <c r="Y6364">
        <v>-0.61919729999999995</v>
      </c>
      <c r="Z6364">
        <v>-2.6762040000000001E-2</v>
      </c>
      <c r="AA6364">
        <v>0.78477929999999996</v>
      </c>
      <c r="AB6364">
        <v>31</v>
      </c>
      <c r="AC6364">
        <v>1.52269999999998</v>
      </c>
      <c r="AD6364">
        <v>-1.134961414947</v>
      </c>
      <c r="AE6364">
        <v>11.97916</v>
      </c>
      <c r="AF6364">
        <v>-7.56125691177016</v>
      </c>
      <c r="AG6364">
        <v>-1.134961414947</v>
      </c>
      <c r="AH6364">
        <v>9.2792105537894294</v>
      </c>
      <c r="AI6364">
        <v>95.416515511673893</v>
      </c>
      <c r="AJ6364">
        <v>129.175211622662</v>
      </c>
      <c r="AK6364">
        <v>12.0234974945216</v>
      </c>
      <c r="AL6364">
        <v>82.234851901028705</v>
      </c>
      <c r="AM6364">
        <v>115.57391027566</v>
      </c>
      <c r="AN6364">
        <v>1.00000003813306</v>
      </c>
    </row>
    <row r="6365" spans="1:40" x14ac:dyDescent="0.25">
      <c r="A6365" t="str">
        <f>"20190303162942711"</f>
        <v>20190303162942711</v>
      </c>
      <c r="B6365" t="str">
        <f>"1551601782698317"</f>
        <v>1551601782698317</v>
      </c>
      <c r="C6365" t="s">
        <v>40</v>
      </c>
      <c r="D6365">
        <v>5.2556279999999997</v>
      </c>
      <c r="E6365">
        <v>0.40402450000000001</v>
      </c>
      <c r="F6365" t="s">
        <v>57</v>
      </c>
      <c r="G6365">
        <v>-190.72110000000001</v>
      </c>
      <c r="H6365" s="1">
        <v>-4.5968160000000002E-6</v>
      </c>
      <c r="I6365">
        <v>-44.035020000000003</v>
      </c>
      <c r="J6365">
        <v>-192.11920000000001</v>
      </c>
      <c r="K6365">
        <v>1.134957</v>
      </c>
      <c r="L6365">
        <v>-56.208440000000003</v>
      </c>
      <c r="M6365">
        <v>0.71202359999999998</v>
      </c>
      <c r="N6365">
        <v>-1.4366459999999999E-2</v>
      </c>
      <c r="O6365">
        <v>0.70200850000000004</v>
      </c>
      <c r="P6365">
        <v>0.34411799999999998</v>
      </c>
      <c r="Q6365">
        <v>0.1387504</v>
      </c>
      <c r="R6365">
        <v>0.9286179</v>
      </c>
      <c r="S6365">
        <v>0.40893550000000001</v>
      </c>
      <c r="T6365">
        <v>-0.28648010000000002</v>
      </c>
      <c r="U6365">
        <v>3.131653</v>
      </c>
      <c r="V6365">
        <v>-0.4246665</v>
      </c>
      <c r="W6365">
        <v>0.1369987</v>
      </c>
      <c r="X6365">
        <v>0.89492439999999995</v>
      </c>
      <c r="Y6365">
        <v>-0.61433859999999996</v>
      </c>
      <c r="Z6365">
        <v>-2.7807189999999999E-2</v>
      </c>
      <c r="AA6365">
        <v>0.78855229999999998</v>
      </c>
      <c r="AB6365">
        <v>31</v>
      </c>
      <c r="AC6365">
        <v>1.3980999999999899</v>
      </c>
      <c r="AD6365">
        <v>-1.1349615968160001</v>
      </c>
      <c r="AE6365">
        <v>12.17342</v>
      </c>
      <c r="AF6365">
        <v>-7.62168991859199</v>
      </c>
      <c r="AG6365">
        <v>-1.1349615968160001</v>
      </c>
      <c r="AH6365">
        <v>9.4611407108421393</v>
      </c>
      <c r="AI6365">
        <v>95.336998636043106</v>
      </c>
      <c r="AJ6365">
        <v>128.85416563011901</v>
      </c>
      <c r="AK6365">
        <v>12.2021095959579</v>
      </c>
      <c r="AL6365">
        <v>82.1257888997403</v>
      </c>
      <c r="AM6365">
        <v>115.38563921299</v>
      </c>
      <c r="AN6365">
        <v>0.99999998086964903</v>
      </c>
    </row>
    <row r="6366" spans="1:40" x14ac:dyDescent="0.25">
      <c r="A6366" t="str">
        <f>"20190303162942732"</f>
        <v>20190303162942732</v>
      </c>
      <c r="B6366" t="str">
        <f>"1551601782717837"</f>
        <v>1551601782717837</v>
      </c>
      <c r="C6366" t="s">
        <v>40</v>
      </c>
      <c r="D6366">
        <v>5.2448839999999999</v>
      </c>
      <c r="E6366">
        <v>0.404387</v>
      </c>
      <c r="F6366" t="s">
        <v>57</v>
      </c>
      <c r="G6366">
        <v>-190.6071</v>
      </c>
      <c r="H6366" s="1">
        <v>-4.9086190000000002E-6</v>
      </c>
      <c r="I6366">
        <v>-43.32208</v>
      </c>
      <c r="J6366">
        <v>-191.92500000000001</v>
      </c>
      <c r="K6366">
        <v>1.134968</v>
      </c>
      <c r="L6366">
        <v>-55.997529999999998</v>
      </c>
      <c r="M6366">
        <v>0.70088339999999905</v>
      </c>
      <c r="N6366">
        <v>-1.4367619999999999E-2</v>
      </c>
      <c r="O6366">
        <v>0.71313119999999997</v>
      </c>
      <c r="P6366">
        <v>0.33300960000000002</v>
      </c>
      <c r="Q6366">
        <v>0.1411917</v>
      </c>
      <c r="R6366">
        <v>0.93229260000000003</v>
      </c>
      <c r="S6366">
        <v>0.36791990000000002</v>
      </c>
      <c r="T6366">
        <v>-0.27616079999999998</v>
      </c>
      <c r="U6366">
        <v>3.135529</v>
      </c>
      <c r="V6366">
        <v>-0.42107689999999998</v>
      </c>
      <c r="W6366">
        <v>0.13959089999999999</v>
      </c>
      <c r="X6366">
        <v>0.89621909999999905</v>
      </c>
      <c r="Y6366">
        <v>-0.61226000000000003</v>
      </c>
      <c r="Z6366">
        <v>-2.7640290000000001E-2</v>
      </c>
      <c r="AA6366">
        <v>0.79017320000000002</v>
      </c>
      <c r="AB6366">
        <v>31</v>
      </c>
      <c r="AC6366">
        <v>1.3179000000000001</v>
      </c>
      <c r="AD6366">
        <v>-1.1349729086189999</v>
      </c>
      <c r="AE6366">
        <v>12.67545</v>
      </c>
      <c r="AF6366">
        <v>-7.8824740454295901</v>
      </c>
      <c r="AG6366">
        <v>-1.1349729086189999</v>
      </c>
      <c r="AH6366">
        <v>9.8855703224879008</v>
      </c>
      <c r="AI6366">
        <v>95.129542017476993</v>
      </c>
      <c r="AJ6366">
        <v>128.56786709435301</v>
      </c>
      <c r="AK6366">
        <v>12.6943318524853</v>
      </c>
      <c r="AL6366">
        <v>81.975826110323993</v>
      </c>
      <c r="AM6366">
        <v>115.16587494731</v>
      </c>
      <c r="AN6366">
        <v>1.00000002514061</v>
      </c>
    </row>
    <row r="6367" spans="1:40" x14ac:dyDescent="0.25">
      <c r="A6367" t="str">
        <f>"20190303162942754"</f>
        <v>20190303162942754</v>
      </c>
      <c r="B6367" t="str">
        <f>"1551601782748094"</f>
        <v>1551601782748094</v>
      </c>
      <c r="C6367" t="s">
        <v>40</v>
      </c>
      <c r="D6367">
        <v>5.4290339999999997</v>
      </c>
      <c r="E6367">
        <v>0.43108980000000002</v>
      </c>
      <c r="F6367" t="s">
        <v>57</v>
      </c>
      <c r="G6367">
        <v>-190.5059</v>
      </c>
      <c r="H6367" s="1">
        <v>-5.2125179999999997E-6</v>
      </c>
      <c r="I6367">
        <v>-42.631019999999999</v>
      </c>
      <c r="J6367">
        <v>-191.71619999999999</v>
      </c>
      <c r="K6367">
        <v>1.1349640000000001</v>
      </c>
      <c r="L6367">
        <v>-55.763030000000001</v>
      </c>
      <c r="M6367">
        <v>0.68848140000000002</v>
      </c>
      <c r="N6367">
        <v>-1.4368550000000001E-2</v>
      </c>
      <c r="O6367">
        <v>0.72511169999999903</v>
      </c>
      <c r="P6367">
        <v>0.3208278</v>
      </c>
      <c r="Q6367">
        <v>0.14312800000000001</v>
      </c>
      <c r="R6367">
        <v>0.9362606</v>
      </c>
      <c r="S6367">
        <v>0.33328249999999998</v>
      </c>
      <c r="T6367">
        <v>-0.26655390000000001</v>
      </c>
      <c r="U6367">
        <v>3.1391909999999998</v>
      </c>
      <c r="V6367">
        <v>-0.41715760000000002</v>
      </c>
      <c r="W6367">
        <v>0.14169279999999901</v>
      </c>
      <c r="X6367">
        <v>0.89772079999999999</v>
      </c>
      <c r="Y6367">
        <v>-0.60739619999999905</v>
      </c>
      <c r="Z6367">
        <v>-2.7697469999999998E-2</v>
      </c>
      <c r="AA6367">
        <v>0.79391599999999996</v>
      </c>
      <c r="AB6367">
        <v>31</v>
      </c>
      <c r="AC6367">
        <v>1.2102999999999799</v>
      </c>
      <c r="AD6367">
        <v>-1.13496921251799</v>
      </c>
      <c r="AE6367">
        <v>13.132009999999999</v>
      </c>
      <c r="AF6367">
        <v>-8.1043568949515503</v>
      </c>
      <c r="AG6367">
        <v>-1.13496921251799</v>
      </c>
      <c r="AH6367">
        <v>10.2803669765935</v>
      </c>
      <c r="AI6367">
        <v>94.955175367137301</v>
      </c>
      <c r="AJ6367">
        <v>128.24989360633401</v>
      </c>
      <c r="AK6367">
        <v>13.139813581917601</v>
      </c>
      <c r="AL6367">
        <v>81.854186642651001</v>
      </c>
      <c r="AM6367">
        <v>114.923597394184</v>
      </c>
      <c r="AN6367">
        <v>0.99999997378111904</v>
      </c>
    </row>
    <row r="6368" spans="1:40" x14ac:dyDescent="0.25">
      <c r="A6368" t="str">
        <f>"20190303162942778"</f>
        <v>20190303162942778</v>
      </c>
      <c r="B6368" t="str">
        <f>"1551601782768590"</f>
        <v>1551601782768590</v>
      </c>
      <c r="C6368" t="s">
        <v>40</v>
      </c>
      <c r="D6368">
        <v>5.36503</v>
      </c>
      <c r="E6368">
        <v>0.4454959</v>
      </c>
      <c r="F6368" t="s">
        <v>44</v>
      </c>
      <c r="G6368">
        <v>-191.55969999999999</v>
      </c>
      <c r="H6368">
        <v>1.063501</v>
      </c>
      <c r="I6368">
        <v>-54.784410000000001</v>
      </c>
      <c r="J6368">
        <v>-191.50550000000001</v>
      </c>
      <c r="K6368">
        <v>1.134962</v>
      </c>
      <c r="L6368">
        <v>-55.5182199999999</v>
      </c>
      <c r="M6368">
        <v>0.67550849999999996</v>
      </c>
      <c r="N6368">
        <v>-1.4369109999999999E-2</v>
      </c>
      <c r="O6368">
        <v>0.73721219999999998</v>
      </c>
      <c r="P6368">
        <v>0.30793219999999999</v>
      </c>
      <c r="Q6368">
        <v>0.1440544</v>
      </c>
      <c r="R6368">
        <v>0.94043929999999998</v>
      </c>
      <c r="S6368">
        <v>0.4907532</v>
      </c>
      <c r="T6368">
        <v>-0.2242082</v>
      </c>
      <c r="U6368">
        <v>3.0703429999999998</v>
      </c>
      <c r="V6368">
        <v>-0.41349089999999999</v>
      </c>
      <c r="W6368">
        <v>0.14277599999999999</v>
      </c>
      <c r="X6368">
        <v>0.8992443</v>
      </c>
      <c r="Y6368">
        <v>-0.55024099999999998</v>
      </c>
      <c r="Z6368">
        <v>-2.4992540000000001E-2</v>
      </c>
      <c r="AA6368">
        <v>0.83463180000000003</v>
      </c>
      <c r="AB6368">
        <v>31</v>
      </c>
      <c r="AC6368">
        <v>-5.4199999999980202E-2</v>
      </c>
      <c r="AD6368">
        <v>-7.1460999999999997E-2</v>
      </c>
      <c r="AE6368">
        <v>0.73380999999999097</v>
      </c>
      <c r="AF6368">
        <v>-0.53070146602089197</v>
      </c>
      <c r="AG6368">
        <v>-7.1460999999999997E-2</v>
      </c>
      <c r="AH6368">
        <v>0.49969997483561801</v>
      </c>
      <c r="AI6368">
        <v>95.599100099557901</v>
      </c>
      <c r="AJ6368">
        <v>136.72332729681199</v>
      </c>
      <c r="AK6368">
        <v>0.73242800697982702</v>
      </c>
      <c r="AL6368">
        <v>81.791486682097997</v>
      </c>
      <c r="AM6368">
        <v>114.693937862955</v>
      </c>
      <c r="AN6368">
        <v>1.0000000108206499</v>
      </c>
    </row>
    <row r="6369" spans="1:40" x14ac:dyDescent="0.25">
      <c r="A6369" t="str">
        <f>"20190303162942802"</f>
        <v>20190303162942802</v>
      </c>
      <c r="B6369" t="str">
        <f>"1551601782798376"</f>
        <v>1551601782798376</v>
      </c>
      <c r="C6369" t="s">
        <v>40</v>
      </c>
      <c r="D6369">
        <v>5.3092319999999997</v>
      </c>
      <c r="E6369">
        <v>0.45619199999999999</v>
      </c>
      <c r="F6369" t="s">
        <v>44</v>
      </c>
      <c r="G6369">
        <v>-191.33949999999999</v>
      </c>
      <c r="H6369">
        <v>1.081712</v>
      </c>
      <c r="I6369">
        <v>-54.607329999999997</v>
      </c>
      <c r="J6369">
        <v>-191.3</v>
      </c>
      <c r="K6369">
        <v>1.1349670000000001</v>
      </c>
      <c r="L6369">
        <v>-55.27075</v>
      </c>
      <c r="M6369">
        <v>0.66237230000000002</v>
      </c>
      <c r="N6369">
        <v>-1.436932E-2</v>
      </c>
      <c r="O6369">
        <v>0.74903699999999995</v>
      </c>
      <c r="P6369">
        <v>0.29475440000000003</v>
      </c>
      <c r="Q6369">
        <v>0.144895</v>
      </c>
      <c r="R6369">
        <v>0.94452389999999997</v>
      </c>
      <c r="S6369">
        <v>0.55316160000000003</v>
      </c>
      <c r="T6369">
        <v>-0.17747489999999999</v>
      </c>
      <c r="U6369">
        <v>3.0360719999999999</v>
      </c>
      <c r="V6369">
        <v>-0.41010150000000001</v>
      </c>
      <c r="W6369">
        <v>0.14376140000000001</v>
      </c>
      <c r="X6369">
        <v>0.9006383</v>
      </c>
      <c r="Y6369">
        <v>-0.51708189999999998</v>
      </c>
      <c r="Z6369">
        <v>-1.9018699999999999E-2</v>
      </c>
      <c r="AA6369">
        <v>0.85572459999999995</v>
      </c>
      <c r="AB6369">
        <v>31</v>
      </c>
      <c r="AC6369">
        <v>-3.9499999999975402E-2</v>
      </c>
      <c r="AD6369">
        <v>-5.3254999999999997E-2</v>
      </c>
      <c r="AE6369">
        <v>0.66341999999999501</v>
      </c>
      <c r="AF6369">
        <v>-0.46607374047206201</v>
      </c>
      <c r="AG6369">
        <v>-5.3254999999999997E-2</v>
      </c>
      <c r="AH6369">
        <v>0.46780721778013701</v>
      </c>
      <c r="AI6369">
        <v>94.610700095709703</v>
      </c>
      <c r="AJ6369">
        <v>134.89364723770501</v>
      </c>
      <c r="AK6369">
        <v>0.66249861855690895</v>
      </c>
      <c r="AL6369">
        <v>81.734438514137295</v>
      </c>
      <c r="AM6369">
        <v>114.481928260869</v>
      </c>
      <c r="AN6369">
        <v>0.99999996392954904</v>
      </c>
    </row>
    <row r="6370" spans="1:40" x14ac:dyDescent="0.25">
      <c r="A6370" t="str">
        <f>"20190303162942827"</f>
        <v>20190303162942827</v>
      </c>
      <c r="B6370" t="str">
        <f>"1551601782818871"</f>
        <v>1551601782818871</v>
      </c>
      <c r="C6370" t="s">
        <v>40</v>
      </c>
      <c r="D6370">
        <v>5.4234980000000004</v>
      </c>
      <c r="E6370">
        <v>0.45945049999999998</v>
      </c>
      <c r="F6370" t="s">
        <v>44</v>
      </c>
      <c r="G6370">
        <v>-191.13339999999999</v>
      </c>
      <c r="H6370">
        <v>1.0896600000000001</v>
      </c>
      <c r="I6370">
        <v>-54.418399999999998</v>
      </c>
      <c r="J6370">
        <v>-191.08330000000001</v>
      </c>
      <c r="K6370">
        <v>1.1349689999999999</v>
      </c>
      <c r="L6370">
        <v>-54.999049999999997</v>
      </c>
      <c r="M6370">
        <v>0.64794600000000002</v>
      </c>
      <c r="N6370">
        <v>-1.4369389999999999E-2</v>
      </c>
      <c r="O6370">
        <v>0.76155069999999903</v>
      </c>
      <c r="P6370">
        <v>0.28030280000000002</v>
      </c>
      <c r="Q6370">
        <v>0.1462762</v>
      </c>
      <c r="R6370">
        <v>0.94870100000000002</v>
      </c>
      <c r="S6370">
        <v>0.58978269999999899</v>
      </c>
      <c r="T6370">
        <v>-0.16036549999999999</v>
      </c>
      <c r="U6370">
        <v>3.0167540000000002</v>
      </c>
      <c r="V6370">
        <v>-0.40654639999999997</v>
      </c>
      <c r="W6370">
        <v>0.14529429999999999</v>
      </c>
      <c r="X6370">
        <v>0.90200309999999995</v>
      </c>
      <c r="Y6370">
        <v>-0.48954760000000003</v>
      </c>
      <c r="Z6370">
        <v>-1.7489279999999999E-2</v>
      </c>
      <c r="AA6370">
        <v>0.87180119999999905</v>
      </c>
      <c r="AB6370">
        <v>31</v>
      </c>
      <c r="AC6370">
        <v>-5.0099999999986197E-2</v>
      </c>
      <c r="AD6370">
        <v>-4.5309000000000002E-2</v>
      </c>
      <c r="AE6370">
        <v>0.580649999999998</v>
      </c>
      <c r="AF6370">
        <v>-0.41193661631666401</v>
      </c>
      <c r="AG6370">
        <v>-4.5309000000000002E-2</v>
      </c>
      <c r="AH6370">
        <v>0.407312865948944</v>
      </c>
      <c r="AI6370">
        <v>94.4721441953495</v>
      </c>
      <c r="AJ6370">
        <v>135.32336739234401</v>
      </c>
      <c r="AK6370">
        <v>0.58107525511844405</v>
      </c>
      <c r="AL6370">
        <v>81.645678188821194</v>
      </c>
      <c r="AM6370">
        <v>114.261807804386</v>
      </c>
      <c r="AN6370">
        <v>1.00000000068753</v>
      </c>
    </row>
    <row r="6371" spans="1:40" x14ac:dyDescent="0.25">
      <c r="A6371" t="str">
        <f>"20190303162942858"</f>
        <v>20190303162942858</v>
      </c>
      <c r="B6371" t="str">
        <f>"1551601782848151"</f>
        <v>1551601782848151</v>
      </c>
      <c r="C6371" t="s">
        <v>40</v>
      </c>
      <c r="D6371">
        <v>5.4051669999999996</v>
      </c>
      <c r="E6371">
        <v>0.4626632</v>
      </c>
      <c r="F6371" t="s">
        <v>44</v>
      </c>
      <c r="G6371">
        <v>-190.88570000000001</v>
      </c>
      <c r="H6371">
        <v>1.0820350000000001</v>
      </c>
      <c r="I6371">
        <v>-53.950890000000001</v>
      </c>
      <c r="J6371">
        <v>-190.82130000000001</v>
      </c>
      <c r="K6371">
        <v>1.13497</v>
      </c>
      <c r="L6371">
        <v>-54.656129999999997</v>
      </c>
      <c r="M6371">
        <v>0.62970099999999996</v>
      </c>
      <c r="N6371">
        <v>-1.43692E-2</v>
      </c>
      <c r="O6371">
        <v>0.77670469999999903</v>
      </c>
      <c r="P6371">
        <v>0.26485320000000001</v>
      </c>
      <c r="Q6371">
        <v>0.1479337</v>
      </c>
      <c r="R6371">
        <v>0.95287379999999999</v>
      </c>
      <c r="S6371">
        <v>0.56874080000000005</v>
      </c>
      <c r="T6371">
        <v>-0.15239939999999999</v>
      </c>
      <c r="U6371">
        <v>3.0176699999999999</v>
      </c>
      <c r="V6371">
        <v>-0.39967560000000002</v>
      </c>
      <c r="W6371">
        <v>0.1472396</v>
      </c>
      <c r="X6371">
        <v>0.90475399999999995</v>
      </c>
      <c r="Y6371">
        <v>-0.47474040000000001</v>
      </c>
      <c r="Z6371">
        <v>-1.7189280000000001E-2</v>
      </c>
      <c r="AA6371">
        <v>0.87995800000000002</v>
      </c>
      <c r="AB6371">
        <v>31</v>
      </c>
      <c r="AC6371">
        <v>-6.4400000000006202E-2</v>
      </c>
      <c r="AD6371">
        <v>-5.2934999999999899E-2</v>
      </c>
      <c r="AE6371">
        <v>0.70524000000000298</v>
      </c>
      <c r="AF6371">
        <v>-0.49141542294041801</v>
      </c>
      <c r="AG6371">
        <v>-5.2934999999999899E-2</v>
      </c>
      <c r="AH6371">
        <v>0.50444434073998201</v>
      </c>
      <c r="AI6371">
        <v>94.298622200406797</v>
      </c>
      <c r="AJ6371">
        <v>134.25043721923601</v>
      </c>
      <c r="AK6371">
        <v>0.70622611466392604</v>
      </c>
      <c r="AL6371">
        <v>81.533008455920495</v>
      </c>
      <c r="AM6371">
        <v>113.833472224234</v>
      </c>
      <c r="AN6371">
        <v>0.99999994277975801</v>
      </c>
    </row>
    <row r="6372" spans="1:40" x14ac:dyDescent="0.25">
      <c r="A6372" t="str">
        <f>"20190303162942882"</f>
        <v>20190303162942882</v>
      </c>
      <c r="B6372" t="str">
        <f>"1551601782877939"</f>
        <v>1551601782877939</v>
      </c>
      <c r="C6372" t="s">
        <v>40</v>
      </c>
      <c r="D6372">
        <v>5.4119120000000001</v>
      </c>
      <c r="E6372">
        <v>0.46496500000000002</v>
      </c>
      <c r="F6372" t="s">
        <v>44</v>
      </c>
      <c r="G6372">
        <v>-190.66120000000001</v>
      </c>
      <c r="H6372">
        <v>1.091715</v>
      </c>
      <c r="I6372">
        <v>-53.76728</v>
      </c>
      <c r="J6372">
        <v>-190.62860000000001</v>
      </c>
      <c r="K6372">
        <v>1.13497</v>
      </c>
      <c r="L6372">
        <v>-54.393250000000002</v>
      </c>
      <c r="M6372">
        <v>0.615683599999999</v>
      </c>
      <c r="N6372">
        <v>-1.4368799999999999E-2</v>
      </c>
      <c r="O6372">
        <v>0.78786250000000002</v>
      </c>
      <c r="P6372">
        <v>0.25501889999999999</v>
      </c>
      <c r="Q6372">
        <v>0.149952799999999</v>
      </c>
      <c r="R6372">
        <v>0.95523789999999997</v>
      </c>
      <c r="S6372">
        <v>0.54391480000000003</v>
      </c>
      <c r="T6372">
        <v>-0.1469529</v>
      </c>
      <c r="U6372">
        <v>3.0199889999999998</v>
      </c>
      <c r="V6372">
        <v>-0.3926384</v>
      </c>
      <c r="W6372">
        <v>0.1495494</v>
      </c>
      <c r="X6372">
        <v>0.9074525</v>
      </c>
      <c r="Y6372">
        <v>-0.46608620000000001</v>
      </c>
      <c r="Z6372">
        <v>-1.6911010000000001E-2</v>
      </c>
      <c r="AA6372">
        <v>0.88457770000000002</v>
      </c>
      <c r="AB6372">
        <v>31</v>
      </c>
      <c r="AC6372">
        <v>-3.26000000000021E-2</v>
      </c>
      <c r="AD6372">
        <v>-4.3255000000000002E-2</v>
      </c>
      <c r="AE6372">
        <v>0.62596999999999503</v>
      </c>
      <c r="AF6372">
        <v>-0.40917770436970002</v>
      </c>
      <c r="AG6372">
        <v>-4.3255000000000002E-2</v>
      </c>
      <c r="AH6372">
        <v>0.47091334385172601</v>
      </c>
      <c r="AI6372">
        <v>93.966303710982004</v>
      </c>
      <c r="AJ6372">
        <v>130.98745268429499</v>
      </c>
      <c r="AK6372">
        <v>0.62534531756132306</v>
      </c>
      <c r="AL6372">
        <v>81.399185355196394</v>
      </c>
      <c r="AM6372">
        <v>113.39726844998501</v>
      </c>
      <c r="AN6372">
        <v>0.99999998797558398</v>
      </c>
    </row>
    <row r="6373" spans="1:40" x14ac:dyDescent="0.25">
      <c r="A6373" t="str">
        <f>"20190303162942915"</f>
        <v>20190303162942915</v>
      </c>
      <c r="B6373" t="str">
        <f>"1551601782908195"</f>
        <v>1551601782908195</v>
      </c>
      <c r="C6373" t="s">
        <v>40</v>
      </c>
      <c r="D6373">
        <v>5.4052629999999997</v>
      </c>
      <c r="E6373">
        <v>0.46664499999999998</v>
      </c>
      <c r="F6373" t="s">
        <v>44</v>
      </c>
      <c r="G6373">
        <v>-190.465</v>
      </c>
      <c r="H6373">
        <v>1.0910839999999999</v>
      </c>
      <c r="I6373">
        <v>-53.459719999999997</v>
      </c>
      <c r="J6373">
        <v>-190.37639999999999</v>
      </c>
      <c r="K6373">
        <v>1.134965</v>
      </c>
      <c r="L6373">
        <v>-54.0319199999999</v>
      </c>
      <c r="M6373">
        <v>0.59641180000000005</v>
      </c>
      <c r="N6373">
        <v>-1.436782E-2</v>
      </c>
      <c r="O6373">
        <v>0.80254999999999999</v>
      </c>
      <c r="P6373">
        <v>0.23676710000000001</v>
      </c>
      <c r="Q6373">
        <v>0.15182799999999999</v>
      </c>
      <c r="R6373">
        <v>0.95962990000000004</v>
      </c>
      <c r="S6373">
        <v>0.52972410000000003</v>
      </c>
      <c r="T6373">
        <v>-0.14204629999999999</v>
      </c>
      <c r="U6373">
        <v>3.0214539999999999</v>
      </c>
      <c r="V6373">
        <v>-0.38781549999999998</v>
      </c>
      <c r="W6373">
        <v>0.15162629999999999</v>
      </c>
      <c r="X6373">
        <v>0.90918019999999999</v>
      </c>
      <c r="Y6373">
        <v>-0.44868619999999998</v>
      </c>
      <c r="Z6373">
        <v>-1.7039599999999998E-2</v>
      </c>
      <c r="AA6373">
        <v>0.89352690000000001</v>
      </c>
      <c r="AB6373">
        <v>31</v>
      </c>
      <c r="AC6373">
        <v>-8.8600000000013696E-2</v>
      </c>
      <c r="AD6373">
        <v>-4.3881000000000003E-2</v>
      </c>
      <c r="AE6373">
        <v>0.57219999999999505</v>
      </c>
      <c r="AF6373">
        <v>-0.41006020607284499</v>
      </c>
      <c r="AG6373">
        <v>-4.3881000000000003E-2</v>
      </c>
      <c r="AH6373">
        <v>0.40409809228402999</v>
      </c>
      <c r="AI6373">
        <v>94.358677534419996</v>
      </c>
      <c r="AJ6373">
        <v>135.419571785453</v>
      </c>
      <c r="AK6373">
        <v>0.57738218101453198</v>
      </c>
      <c r="AL6373">
        <v>81.278815349996293</v>
      </c>
      <c r="AM6373">
        <v>113.100921413051</v>
      </c>
      <c r="AN6373">
        <v>1.00000001648198</v>
      </c>
    </row>
    <row r="6374" spans="1:40" x14ac:dyDescent="0.25">
      <c r="A6374" t="str">
        <f>"20190303162942936"</f>
        <v>20190303162942936</v>
      </c>
      <c r="B6374" t="str">
        <f>"1551601782927715"</f>
        <v>1551601782927715</v>
      </c>
      <c r="C6374" t="s">
        <v>40</v>
      </c>
      <c r="D6374">
        <v>5.4073880000000001</v>
      </c>
      <c r="E6374">
        <v>0.46753499999999998</v>
      </c>
      <c r="F6374" t="s">
        <v>44</v>
      </c>
      <c r="G6374">
        <v>-190.22499999999999</v>
      </c>
      <c r="H6374">
        <v>1.0919460000000001</v>
      </c>
      <c r="I6374">
        <v>-53.086210000000001</v>
      </c>
      <c r="J6374">
        <v>-190.21680000000001</v>
      </c>
      <c r="K6374">
        <v>1.1349610000000001</v>
      </c>
      <c r="L6374">
        <v>-53.793729999999996</v>
      </c>
      <c r="M6374">
        <v>0.58368019999999998</v>
      </c>
      <c r="N6374">
        <v>-1.4367080000000001E-2</v>
      </c>
      <c r="O6374">
        <v>0.81185649999999998</v>
      </c>
      <c r="P6374">
        <v>0.22507740000000001</v>
      </c>
      <c r="Q6374">
        <v>0.15238860000000001</v>
      </c>
      <c r="R6374">
        <v>0.96235020000000004</v>
      </c>
      <c r="S6374">
        <v>0.484848</v>
      </c>
      <c r="T6374">
        <v>-0.13775399999999999</v>
      </c>
      <c r="U6374">
        <v>3.028381</v>
      </c>
      <c r="V6374">
        <v>-0.38449139999999998</v>
      </c>
      <c r="W6374">
        <v>0.15232670000000001</v>
      </c>
      <c r="X6374">
        <v>0.91047409999999995</v>
      </c>
      <c r="Y6374">
        <v>-0.44782549999999999</v>
      </c>
      <c r="Z6374">
        <v>-1.6602780000000001E-2</v>
      </c>
      <c r="AA6374">
        <v>0.89396690000000001</v>
      </c>
      <c r="AB6374">
        <v>31</v>
      </c>
      <c r="AC6374">
        <v>-8.1999999999879895E-3</v>
      </c>
      <c r="AD6374">
        <v>-4.3015000000000199E-2</v>
      </c>
      <c r="AE6374">
        <v>0.70752000000000903</v>
      </c>
      <c r="AF6374">
        <v>-0.41812068529853302</v>
      </c>
      <c r="AG6374">
        <v>-4.3015000000000199E-2</v>
      </c>
      <c r="AH6374">
        <v>0.567579700616058</v>
      </c>
      <c r="AI6374">
        <v>93.491713908140895</v>
      </c>
      <c r="AJ6374">
        <v>126.378074624174</v>
      </c>
      <c r="AK6374">
        <v>0.70627325749381897</v>
      </c>
      <c r="AL6374">
        <v>81.238214265524505</v>
      </c>
      <c r="AM6374">
        <v>112.89423685493</v>
      </c>
      <c r="AN6374">
        <v>1.0000000734888199</v>
      </c>
    </row>
    <row r="6375" spans="1:40" x14ac:dyDescent="0.25">
      <c r="A6375" t="str">
        <f>"20190303162942956"</f>
        <v>20190303162942956</v>
      </c>
      <c r="B6375" t="str">
        <f>"1551601782948210"</f>
        <v>1551601782948210</v>
      </c>
      <c r="C6375" t="s">
        <v>40</v>
      </c>
      <c r="D6375">
        <v>5.4067119999999997</v>
      </c>
      <c r="E6375">
        <v>0.46842080000000003</v>
      </c>
      <c r="F6375" t="s">
        <v>44</v>
      </c>
      <c r="G6375">
        <v>-190.0737</v>
      </c>
      <c r="H6375">
        <v>1.091599</v>
      </c>
      <c r="I6375">
        <v>-52.838869999999901</v>
      </c>
      <c r="J6375">
        <v>-190.06309999999999</v>
      </c>
      <c r="K6375">
        <v>1.1349659999999999</v>
      </c>
      <c r="L6375">
        <v>-53.556489999999997</v>
      </c>
      <c r="M6375">
        <v>0.57098660000000001</v>
      </c>
      <c r="N6375">
        <v>-1.4366179999999999E-2</v>
      </c>
      <c r="O6375">
        <v>0.8208337</v>
      </c>
      <c r="P6375">
        <v>0.21521390000000001</v>
      </c>
      <c r="Q6375">
        <v>0.15363270000000001</v>
      </c>
      <c r="R6375">
        <v>0.96440650000000006</v>
      </c>
      <c r="S6375">
        <v>0.45385740000000002</v>
      </c>
      <c r="T6375">
        <v>-0.137715899999999</v>
      </c>
      <c r="U6375">
        <v>3.03302</v>
      </c>
      <c r="V6375">
        <v>-0.3795692</v>
      </c>
      <c r="W6375">
        <v>0.15377279999999999</v>
      </c>
      <c r="X6375">
        <v>0.91229439999999995</v>
      </c>
      <c r="Y6375">
        <v>-0.44305739999999999</v>
      </c>
      <c r="Z6375">
        <v>-1.7143470000000001E-2</v>
      </c>
      <c r="AA6375">
        <v>0.8963293</v>
      </c>
      <c r="AB6375">
        <v>31</v>
      </c>
      <c r="AC6375">
        <v>-1.06000000000108E-2</v>
      </c>
      <c r="AD6375">
        <v>-4.3366999999999899E-2</v>
      </c>
      <c r="AE6375">
        <v>0.71762000000001003</v>
      </c>
      <c r="AF6375">
        <v>-0.41697297008355999</v>
      </c>
      <c r="AG6375">
        <v>-4.3366999999999899E-2</v>
      </c>
      <c r="AH6375">
        <v>0.58093327824860397</v>
      </c>
      <c r="AI6375">
        <v>93.470494229586606</v>
      </c>
      <c r="AJ6375">
        <v>125.66942231319899</v>
      </c>
      <c r="AK6375">
        <v>0.71640116432483303</v>
      </c>
      <c r="AL6375">
        <v>81.154370042186201</v>
      </c>
      <c r="AM6375">
        <v>112.59024062779</v>
      </c>
      <c r="AN6375">
        <v>0.99999996193991902</v>
      </c>
    </row>
    <row r="6376" spans="1:40" x14ac:dyDescent="0.25">
      <c r="A6376" t="str">
        <f>"20190303162942980"</f>
        <v>20190303162942980</v>
      </c>
      <c r="B6376" t="str">
        <f>"1551601782968707"</f>
        <v>1551601782968707</v>
      </c>
      <c r="C6376" t="s">
        <v>40</v>
      </c>
      <c r="D6376">
        <v>5.4061349999999999</v>
      </c>
      <c r="E6376">
        <v>0.46923959999999998</v>
      </c>
      <c r="F6376" t="s">
        <v>44</v>
      </c>
      <c r="G6376">
        <v>-189.92609999999999</v>
      </c>
      <c r="H6376">
        <v>1.091248</v>
      </c>
      <c r="I6376">
        <v>-52.587240000000001</v>
      </c>
      <c r="J6376">
        <v>-189.88939999999999</v>
      </c>
      <c r="K6376">
        <v>1.1349659999999999</v>
      </c>
      <c r="L6376">
        <v>-53.278469999999999</v>
      </c>
      <c r="M6376">
        <v>0.55608829999999998</v>
      </c>
      <c r="N6376">
        <v>-1.4365050000000001E-2</v>
      </c>
      <c r="O6376">
        <v>0.83099899999999904</v>
      </c>
      <c r="P6376">
        <v>0.2025013</v>
      </c>
      <c r="Q6376">
        <v>0.15463070000000001</v>
      </c>
      <c r="R6376">
        <v>0.96699669999999904</v>
      </c>
      <c r="S6376">
        <v>0.4293671</v>
      </c>
      <c r="T6376">
        <v>-0.13697579999999901</v>
      </c>
      <c r="U6376">
        <v>3.0367130000000002</v>
      </c>
      <c r="V6376">
        <v>-0.3750521</v>
      </c>
      <c r="W6376">
        <v>0.1549577</v>
      </c>
      <c r="X6376">
        <v>0.91396060000000001</v>
      </c>
      <c r="Y6376">
        <v>-0.43411420000000001</v>
      </c>
      <c r="Z6376">
        <v>-1.7662509999999999E-2</v>
      </c>
      <c r="AA6376">
        <v>0.9006847</v>
      </c>
      <c r="AB6376">
        <v>31</v>
      </c>
      <c r="AC6376">
        <v>-3.6699999999996097E-2</v>
      </c>
      <c r="AD6376">
        <v>-4.3717999999999903E-2</v>
      </c>
      <c r="AE6376">
        <v>0.69122999999999701</v>
      </c>
      <c r="AF6376">
        <v>-0.413276895624972</v>
      </c>
      <c r="AG6376">
        <v>-4.3717999999999903E-2</v>
      </c>
      <c r="AH6376">
        <v>0.55185888944426797</v>
      </c>
      <c r="AI6376">
        <v>93.628247693844898</v>
      </c>
      <c r="AJ6376">
        <v>126.828859860175</v>
      </c>
      <c r="AK6376">
        <v>0.69083810682393199</v>
      </c>
      <c r="AL6376">
        <v>81.085656751406702</v>
      </c>
      <c r="AM6376">
        <v>112.311243663055</v>
      </c>
      <c r="AN6376">
        <v>0.99999997242802896</v>
      </c>
    </row>
    <row r="6377" spans="1:40" x14ac:dyDescent="0.25">
      <c r="A6377" t="str">
        <f>"20190303162943004"</f>
        <v>20190303162943004</v>
      </c>
      <c r="B6377" t="str">
        <f>"1551601782998495"</f>
        <v>1551601782998495</v>
      </c>
      <c r="C6377" t="s">
        <v>40</v>
      </c>
      <c r="D6377">
        <v>5.34605</v>
      </c>
      <c r="E6377">
        <v>0.4800142</v>
      </c>
      <c r="F6377" t="s">
        <v>41</v>
      </c>
      <c r="G6377">
        <v>-186.5917</v>
      </c>
      <c r="H6377" s="1">
        <v>-1.7340400000000001E-6</v>
      </c>
      <c r="I6377">
        <v>-27.921240000000001</v>
      </c>
      <c r="J6377">
        <v>-189.72710000000001</v>
      </c>
      <c r="K6377">
        <v>1.1349689999999999</v>
      </c>
      <c r="L6377">
        <v>-53.008270000000003</v>
      </c>
      <c r="M6377">
        <v>0.54159269999999904</v>
      </c>
      <c r="N6377">
        <v>-1.4363819999999999E-2</v>
      </c>
      <c r="O6377">
        <v>0.8405184</v>
      </c>
      <c r="P6377">
        <v>0.18975980000000001</v>
      </c>
      <c r="Q6377">
        <v>0.15552060000000001</v>
      </c>
      <c r="R6377">
        <v>0.96943520000000005</v>
      </c>
      <c r="S6377">
        <v>0.39552310000000002</v>
      </c>
      <c r="T6377">
        <v>-0.1361269</v>
      </c>
      <c r="U6377">
        <v>3.0413209999999999</v>
      </c>
      <c r="V6377">
        <v>-0.37116769999999999</v>
      </c>
      <c r="W6377">
        <v>0.1560077</v>
      </c>
      <c r="X6377">
        <v>0.91536660000000003</v>
      </c>
      <c r="Y6377">
        <v>-0.42852040000000002</v>
      </c>
      <c r="Z6377">
        <v>-1.8052479999999999E-2</v>
      </c>
      <c r="AA6377">
        <v>0.90335169999999998</v>
      </c>
      <c r="AB6377">
        <v>31</v>
      </c>
      <c r="AC6377">
        <v>3.1354000000000002</v>
      </c>
      <c r="AD6377">
        <v>-1.1349707340399999</v>
      </c>
      <c r="AE6377">
        <v>25.087029999999899</v>
      </c>
      <c r="AF6377">
        <v>-10.9306914106136</v>
      </c>
      <c r="AG6377">
        <v>-1.1349707340399999</v>
      </c>
      <c r="AH6377">
        <v>22.740739713827399</v>
      </c>
      <c r="AI6377">
        <v>92.575574179062002</v>
      </c>
      <c r="AJ6377">
        <v>115.671992859662</v>
      </c>
      <c r="AK6377">
        <v>25.256868689788899</v>
      </c>
      <c r="AL6377">
        <v>81.024755225217106</v>
      </c>
      <c r="AM6377">
        <v>112.071830902713</v>
      </c>
      <c r="AN6377">
        <v>0.99999993818906796</v>
      </c>
    </row>
    <row r="6378" spans="1:40" x14ac:dyDescent="0.25">
      <c r="A6378" t="str">
        <f>"20190303162943027"</f>
        <v>20190303162943027</v>
      </c>
      <c r="B6378" t="str">
        <f>"1551601783018014"</f>
        <v>1551601783018014</v>
      </c>
      <c r="C6378" t="s">
        <v>40</v>
      </c>
      <c r="D6378">
        <v>5.4060519999999999</v>
      </c>
      <c r="E6378">
        <v>0.47992010000000002</v>
      </c>
      <c r="F6378" t="s">
        <v>44</v>
      </c>
      <c r="G6378">
        <v>-189.57050000000001</v>
      </c>
      <c r="H6378">
        <v>1.0699829999999999</v>
      </c>
      <c r="I6378">
        <v>-51.929630000000003</v>
      </c>
      <c r="J6378">
        <v>-189.56309999999999</v>
      </c>
      <c r="K6378">
        <v>1.1349670000000001</v>
      </c>
      <c r="L6378">
        <v>-52.722749999999998</v>
      </c>
      <c r="M6378">
        <v>0.52627000000000002</v>
      </c>
      <c r="N6378">
        <v>-1.4362420000000001E-2</v>
      </c>
      <c r="O6378">
        <v>0.85019619999999996</v>
      </c>
      <c r="P6378">
        <v>0.17587659999999999</v>
      </c>
      <c r="Q6378">
        <v>0.15543799999999999</v>
      </c>
      <c r="R6378">
        <v>0.97206289999999995</v>
      </c>
      <c r="S6378">
        <v>0.44087219999999999</v>
      </c>
      <c r="T6378">
        <v>-0.18300820000000001</v>
      </c>
      <c r="U6378">
        <v>3.0376280000000002</v>
      </c>
      <c r="V6378">
        <v>-0.36765979999999998</v>
      </c>
      <c r="W6378">
        <v>0.15607219999999999</v>
      </c>
      <c r="X6378">
        <v>0.91677030000000004</v>
      </c>
      <c r="Y6378">
        <v>-0.39854709999999899</v>
      </c>
      <c r="Z6378">
        <v>-3.033477E-2</v>
      </c>
      <c r="AA6378">
        <v>0.91664610000000002</v>
      </c>
      <c r="AB6378">
        <v>31</v>
      </c>
      <c r="AC6378">
        <v>-7.40000000001828E-3</v>
      </c>
      <c r="AD6378">
        <v>-6.4984000000000097E-2</v>
      </c>
      <c r="AE6378">
        <v>0.79312000000000105</v>
      </c>
      <c r="AF6378">
        <v>-0.42090501682509801</v>
      </c>
      <c r="AG6378">
        <v>-6.4984000000000097E-2</v>
      </c>
      <c r="AH6378">
        <v>0.66601164215581499</v>
      </c>
      <c r="AI6378">
        <v>94.715142847388705</v>
      </c>
      <c r="AJ6378">
        <v>122.29200489036501</v>
      </c>
      <c r="AK6378">
        <v>0.79054124556004202</v>
      </c>
      <c r="AL6378">
        <v>81.021014572483594</v>
      </c>
      <c r="AM6378">
        <v>111.852664871708</v>
      </c>
      <c r="AN6378">
        <v>1.0000000215554801</v>
      </c>
    </row>
    <row r="6379" spans="1:40" x14ac:dyDescent="0.25">
      <c r="A6379" t="str">
        <f>"20190303162943048"</f>
        <v>20190303162943048</v>
      </c>
      <c r="B6379" t="str">
        <f>"1551601783038510"</f>
        <v>1551601783038510</v>
      </c>
      <c r="C6379" t="s">
        <v>40</v>
      </c>
      <c r="D6379">
        <v>5.29</v>
      </c>
      <c r="E6379">
        <v>0.48075269999999998</v>
      </c>
      <c r="F6379" t="s">
        <v>44</v>
      </c>
      <c r="G6379">
        <v>-189.4213</v>
      </c>
      <c r="H6379">
        <v>1.0697829999999999</v>
      </c>
      <c r="I6379">
        <v>-51.632660000000001</v>
      </c>
      <c r="J6379">
        <v>-189.43279999999999</v>
      </c>
      <c r="K6379">
        <v>1.1349610000000001</v>
      </c>
      <c r="L6379">
        <v>-52.487369999999999</v>
      </c>
      <c r="M6379">
        <v>0.51361970000000001</v>
      </c>
      <c r="N6379">
        <v>-1.4361250000000001E-2</v>
      </c>
      <c r="O6379">
        <v>0.85789780000000004</v>
      </c>
      <c r="P6379">
        <v>0.16478970000000001</v>
      </c>
      <c r="Q6379">
        <v>0.155450799999999</v>
      </c>
      <c r="R6379">
        <v>0.97400180000000003</v>
      </c>
      <c r="S6379">
        <v>0.39608759999999998</v>
      </c>
      <c r="T6379">
        <v>-0.1820078</v>
      </c>
      <c r="U6379">
        <v>3.0436709999999998</v>
      </c>
      <c r="V6379">
        <v>-0.3645158</v>
      </c>
      <c r="W6379">
        <v>0.1562154</v>
      </c>
      <c r="X6379">
        <v>0.91800060000000006</v>
      </c>
      <c r="Y6379">
        <v>-0.39846209999999999</v>
      </c>
      <c r="Z6379">
        <v>-3.0637600000000001E-2</v>
      </c>
      <c r="AA6379">
        <v>0.91667290000000001</v>
      </c>
      <c r="AB6379">
        <v>31</v>
      </c>
      <c r="AC6379">
        <v>1.1499999999983799E-2</v>
      </c>
      <c r="AD6379">
        <v>-6.5178000000000097E-2</v>
      </c>
      <c r="AE6379">
        <v>0.85471000000000397</v>
      </c>
      <c r="AF6379">
        <v>-0.42669345477527398</v>
      </c>
      <c r="AG6379">
        <v>-6.5178000000000097E-2</v>
      </c>
      <c r="AH6379">
        <v>0.73496347838882503</v>
      </c>
      <c r="AI6379">
        <v>94.385650023768505</v>
      </c>
      <c r="AJ6379">
        <v>120.137914606403</v>
      </c>
      <c r="AK6379">
        <v>0.852341944642795</v>
      </c>
      <c r="AL6379">
        <v>81.012708284556197</v>
      </c>
      <c r="AM6379">
        <v>111.65682802800499</v>
      </c>
      <c r="AN6379">
        <v>1.0000000606235699</v>
      </c>
    </row>
    <row r="6380" spans="1:40" x14ac:dyDescent="0.25">
      <c r="A6380" t="str">
        <f>"20190303162943075"</f>
        <v>20190303162943075</v>
      </c>
      <c r="B6380" t="str">
        <f>"1551601783067791"</f>
        <v>1551601783067791</v>
      </c>
      <c r="C6380" t="s">
        <v>40</v>
      </c>
      <c r="D6380">
        <v>5.2270370000000002</v>
      </c>
      <c r="E6380">
        <v>0.48216639999999999</v>
      </c>
      <c r="F6380" t="s">
        <v>44</v>
      </c>
      <c r="G6380">
        <v>-189.29759999999999</v>
      </c>
      <c r="H6380">
        <v>1.0670249999999999</v>
      </c>
      <c r="I6380">
        <v>-51.367440000000002</v>
      </c>
      <c r="J6380">
        <v>-189.2577</v>
      </c>
      <c r="K6380">
        <v>1.1349560000000001</v>
      </c>
      <c r="L6380">
        <v>-52.157290000000003</v>
      </c>
      <c r="M6380">
        <v>0.49586409999999997</v>
      </c>
      <c r="N6380">
        <v>-1.4359490000000001E-2</v>
      </c>
      <c r="O6380">
        <v>0.86828139999999998</v>
      </c>
      <c r="P6380">
        <v>0.14819289999999999</v>
      </c>
      <c r="Q6380">
        <v>0.154609</v>
      </c>
      <c r="R6380">
        <v>0.97679830000000001</v>
      </c>
      <c r="S6380">
        <v>0.36741639999999998</v>
      </c>
      <c r="T6380">
        <v>-0.18484329999999999</v>
      </c>
      <c r="U6380">
        <v>3.0474239999999999</v>
      </c>
      <c r="V6380">
        <v>-0.36127769999999998</v>
      </c>
      <c r="W6380">
        <v>0.1555108</v>
      </c>
      <c r="X6380">
        <v>0.91939919999999997</v>
      </c>
      <c r="Y6380">
        <v>-0.38821909999999998</v>
      </c>
      <c r="Z6380">
        <v>-3.2292389999999997E-2</v>
      </c>
      <c r="AA6380">
        <v>0.92100110000000002</v>
      </c>
      <c r="AB6380">
        <v>31</v>
      </c>
      <c r="AC6380">
        <v>-3.9899999999988701E-2</v>
      </c>
      <c r="AD6380">
        <v>-6.7930999999999894E-2</v>
      </c>
      <c r="AE6380">
        <v>0.78985000000000105</v>
      </c>
      <c r="AF6380">
        <v>-0.42322409036728398</v>
      </c>
      <c r="AG6380">
        <v>-6.7930999999999894E-2</v>
      </c>
      <c r="AH6380">
        <v>0.66121729032165</v>
      </c>
      <c r="AI6380">
        <v>94.945436956198904</v>
      </c>
      <c r="AJ6380">
        <v>122.62201076858101</v>
      </c>
      <c r="AK6380">
        <v>0.78799844952164699</v>
      </c>
      <c r="AL6380">
        <v>81.053578164930201</v>
      </c>
      <c r="AM6380">
        <v>111.452333526972</v>
      </c>
      <c r="AN6380">
        <v>1.0000000371972799</v>
      </c>
    </row>
    <row r="6381" spans="1:40" x14ac:dyDescent="0.25">
      <c r="A6381" t="str">
        <f>"20190303162943096"</f>
        <v>20190303162943096</v>
      </c>
      <c r="B6381" t="str">
        <f>"1551601783087817"</f>
        <v>1551601783087817</v>
      </c>
      <c r="C6381" t="s">
        <v>40</v>
      </c>
      <c r="D6381">
        <v>5.2842840000000004</v>
      </c>
      <c r="E6381">
        <v>0.48257939999999999</v>
      </c>
      <c r="F6381" t="s">
        <v>41</v>
      </c>
      <c r="G6381">
        <v>-187.29689999999999</v>
      </c>
      <c r="H6381" s="1">
        <v>-3.2853600000000001E-6</v>
      </c>
      <c r="I6381">
        <v>-33.826659999999997</v>
      </c>
      <c r="J6381">
        <v>-189.12860000000001</v>
      </c>
      <c r="K6381">
        <v>1.1349389999999999</v>
      </c>
      <c r="L6381">
        <v>-51.903170000000003</v>
      </c>
      <c r="M6381">
        <v>0.48217399999999999</v>
      </c>
      <c r="N6381">
        <v>-1.435809E-2</v>
      </c>
      <c r="O6381">
        <v>0.87595780000000001</v>
      </c>
      <c r="P6381">
        <v>0.13692109999999999</v>
      </c>
      <c r="Q6381">
        <v>0.15344059999999901</v>
      </c>
      <c r="R6381">
        <v>0.97862590000000005</v>
      </c>
      <c r="S6381">
        <v>0.32643129999999998</v>
      </c>
      <c r="T6381">
        <v>-0.1889451</v>
      </c>
      <c r="U6381">
        <v>3.0516359999999998</v>
      </c>
      <c r="V6381">
        <v>-0.35748220000000003</v>
      </c>
      <c r="W6381">
        <v>0.15450029999999901</v>
      </c>
      <c r="X6381">
        <v>0.92105159999999997</v>
      </c>
      <c r="Y6381">
        <v>-0.38611869999999998</v>
      </c>
      <c r="Z6381">
        <v>-3.3937269999999999E-2</v>
      </c>
      <c r="AA6381">
        <v>0.92182459999999999</v>
      </c>
      <c r="AB6381">
        <v>31</v>
      </c>
      <c r="AC6381">
        <v>1.8317000000000101</v>
      </c>
      <c r="AD6381">
        <v>-1.13494228536</v>
      </c>
      <c r="AE6381">
        <v>18.076509999999999</v>
      </c>
      <c r="AF6381">
        <v>-7.0846205782222897</v>
      </c>
      <c r="AG6381">
        <v>-1.13494228536</v>
      </c>
      <c r="AH6381">
        <v>16.654197732870301</v>
      </c>
      <c r="AI6381">
        <v>93.588281793780197</v>
      </c>
      <c r="AJ6381">
        <v>113.044682343186</v>
      </c>
      <c r="AK6381">
        <v>18.134007964430001</v>
      </c>
      <c r="AL6381">
        <v>81.112183172696504</v>
      </c>
      <c r="AM6381">
        <v>111.21242624154</v>
      </c>
      <c r="AN6381">
        <v>0.99999995793974406</v>
      </c>
    </row>
    <row r="6382" spans="1:40" x14ac:dyDescent="0.25">
      <c r="A6382" t="str">
        <f>"20190303162943138"</f>
        <v>20190303162943138</v>
      </c>
      <c r="B6382" t="str">
        <f>"1551601783127833"</f>
        <v>1551601783127833</v>
      </c>
      <c r="C6382" t="s">
        <v>40</v>
      </c>
      <c r="D6382">
        <v>5.1507370000000003</v>
      </c>
      <c r="E6382">
        <v>0.4895815</v>
      </c>
      <c r="F6382" t="s">
        <v>41</v>
      </c>
      <c r="G6382">
        <v>-187.40559999999999</v>
      </c>
      <c r="H6382" s="1">
        <v>-3.1831449999999998E-6</v>
      </c>
      <c r="I6382">
        <v>-34.019950000000001</v>
      </c>
      <c r="J6382">
        <v>-188.88040000000001</v>
      </c>
      <c r="K6382">
        <v>1.1349039999999999</v>
      </c>
      <c r="L6382">
        <v>-51.384459999999997</v>
      </c>
      <c r="M6382">
        <v>0.45418979999999998</v>
      </c>
      <c r="N6382">
        <v>-1.435521E-2</v>
      </c>
      <c r="O6382">
        <v>0.89078930000000001</v>
      </c>
      <c r="P6382">
        <v>0.1147499</v>
      </c>
      <c r="Q6382">
        <v>0.1512607</v>
      </c>
      <c r="R6382">
        <v>0.98181090000000004</v>
      </c>
      <c r="S6382">
        <v>0.2943115</v>
      </c>
      <c r="T6382">
        <v>-0.19386700000000001</v>
      </c>
      <c r="U6382">
        <v>3.0547490000000002</v>
      </c>
      <c r="V6382">
        <v>-0.34918729999999998</v>
      </c>
      <c r="W6382">
        <v>0.1526632</v>
      </c>
      <c r="X6382">
        <v>0.92453350000000001</v>
      </c>
      <c r="Y6382">
        <v>-0.36653089999999999</v>
      </c>
      <c r="Z6382">
        <v>-3.6729329999999998E-2</v>
      </c>
      <c r="AA6382">
        <v>0.92968059999999997</v>
      </c>
      <c r="AB6382">
        <v>31</v>
      </c>
      <c r="AC6382">
        <v>1.4748000000000101</v>
      </c>
      <c r="AD6382">
        <v>-1.1349071831449999</v>
      </c>
      <c r="AE6382">
        <v>17.3645099999999</v>
      </c>
      <c r="AF6382">
        <v>-6.54596275068808</v>
      </c>
      <c r="AG6382">
        <v>-1.1349071831449999</v>
      </c>
      <c r="AH6382">
        <v>16.071461696614701</v>
      </c>
      <c r="AI6382">
        <v>93.741791945211304</v>
      </c>
      <c r="AJ6382">
        <v>112.16124013614299</v>
      </c>
      <c r="AK6382">
        <v>17.3905009621202</v>
      </c>
      <c r="AL6382">
        <v>81.218705493353895</v>
      </c>
      <c r="AM6382">
        <v>110.691062574786</v>
      </c>
      <c r="AN6382">
        <v>1.00000000786889</v>
      </c>
    </row>
    <row r="6383" spans="1:40" x14ac:dyDescent="0.25">
      <c r="A6383" t="str">
        <f>"20190303162943182"</f>
        <v>20190303162943182</v>
      </c>
      <c r="B6383" t="str">
        <f>"1551601783167849"</f>
        <v>1551601783167849</v>
      </c>
      <c r="C6383" t="s">
        <v>40</v>
      </c>
      <c r="D6383">
        <v>4.9777829999999996</v>
      </c>
      <c r="E6383">
        <v>0.49053269999999999</v>
      </c>
      <c r="F6383" t="s">
        <v>41</v>
      </c>
      <c r="G6383">
        <v>-187.32859999999999</v>
      </c>
      <c r="H6383" s="1">
        <v>-2.967463E-6</v>
      </c>
      <c r="I6383">
        <v>-34.554580000000001</v>
      </c>
      <c r="J6383">
        <v>-188.64099999999999</v>
      </c>
      <c r="K6383">
        <v>1.134876</v>
      </c>
      <c r="L6383">
        <v>-50.840089999999996</v>
      </c>
      <c r="M6383">
        <v>0.42476259999999999</v>
      </c>
      <c r="N6383">
        <v>-1.435207E-2</v>
      </c>
      <c r="O6383">
        <v>0.90519099999999997</v>
      </c>
      <c r="P6383">
        <v>9.032308E-2</v>
      </c>
      <c r="Q6383">
        <v>0.1489684</v>
      </c>
      <c r="R6383">
        <v>0.98470820000000003</v>
      </c>
      <c r="S6383">
        <v>0.28163149999999998</v>
      </c>
      <c r="T6383">
        <v>-0.20596929999999999</v>
      </c>
      <c r="U6383">
        <v>3.0543819999999999</v>
      </c>
      <c r="V6383">
        <v>-0.34190520000000002</v>
      </c>
      <c r="W6383">
        <v>0.15067130000000001</v>
      </c>
      <c r="X6383">
        <v>0.92757699999999998</v>
      </c>
      <c r="Y6383">
        <v>-0.33974280000000001</v>
      </c>
      <c r="Z6383">
        <v>-4.1640589999999998E-2</v>
      </c>
      <c r="AA6383">
        <v>0.93959610000000005</v>
      </c>
      <c r="AB6383">
        <v>31</v>
      </c>
      <c r="AC6383">
        <v>1.31239999999999</v>
      </c>
      <c r="AD6383">
        <v>-1.134878967463</v>
      </c>
      <c r="AE6383">
        <v>16.285509999999999</v>
      </c>
      <c r="AF6383">
        <v>-5.7025789276683501</v>
      </c>
      <c r="AG6383">
        <v>-1.134878967463</v>
      </c>
      <c r="AH6383">
        <v>15.2270629503917</v>
      </c>
      <c r="AI6383">
        <v>93.9925631602338</v>
      </c>
      <c r="AJ6383">
        <v>110.531069845106</v>
      </c>
      <c r="AK6383">
        <v>16.2994111179597</v>
      </c>
      <c r="AL6383">
        <v>81.334169056247205</v>
      </c>
      <c r="AM6383">
        <v>110.233903768217</v>
      </c>
      <c r="AN6383">
        <v>1.0000000486798599</v>
      </c>
    </row>
    <row r="6384" spans="1:40" x14ac:dyDescent="0.25">
      <c r="A6384" t="str">
        <f>"20190303162943207"</f>
        <v>20190303162943207</v>
      </c>
      <c r="B6384" t="str">
        <f>"1551601783198612"</f>
        <v>1551601783198612</v>
      </c>
      <c r="C6384" t="s">
        <v>40</v>
      </c>
      <c r="D6384">
        <v>5.1200409999999996</v>
      </c>
      <c r="E6384">
        <v>0.47893580000000002</v>
      </c>
      <c r="F6384" t="s">
        <v>41</v>
      </c>
      <c r="G6384">
        <v>-187.4873</v>
      </c>
      <c r="H6384" s="1">
        <v>-3.0725490000000001E-6</v>
      </c>
      <c r="I6384">
        <v>-34.244</v>
      </c>
      <c r="J6384">
        <v>-188.51490000000001</v>
      </c>
      <c r="K6384">
        <v>1.1348560000000001</v>
      </c>
      <c r="L6384">
        <v>-50.53143</v>
      </c>
      <c r="M6384">
        <v>0.40805750000000002</v>
      </c>
      <c r="N6384">
        <v>-1.4350150000000001E-2</v>
      </c>
      <c r="O6384">
        <v>0.91284339999999997</v>
      </c>
      <c r="P6384">
        <v>7.5284409999999996E-2</v>
      </c>
      <c r="Q6384">
        <v>0.14723439999999999</v>
      </c>
      <c r="R6384">
        <v>0.98623240000000001</v>
      </c>
      <c r="S6384">
        <v>0.21263119999999999</v>
      </c>
      <c r="T6384">
        <v>-0.20916209999999999</v>
      </c>
      <c r="U6384">
        <v>3.058716</v>
      </c>
      <c r="V6384">
        <v>-0.33905459999999998</v>
      </c>
      <c r="W6384">
        <v>0.1490571</v>
      </c>
      <c r="X6384">
        <v>0.92888320000000002</v>
      </c>
      <c r="Y6384">
        <v>-0.3436343</v>
      </c>
      <c r="Z6384">
        <v>-4.3105440000000002E-2</v>
      </c>
      <c r="AA6384">
        <v>0.93811369999999905</v>
      </c>
      <c r="AB6384">
        <v>31</v>
      </c>
      <c r="AC6384">
        <v>1.0276000000000001</v>
      </c>
      <c r="AD6384">
        <v>-1.13485907254899</v>
      </c>
      <c r="AE6384">
        <v>16.287430000000001</v>
      </c>
      <c r="AF6384">
        <v>-5.6812855137567002</v>
      </c>
      <c r="AG6384">
        <v>-1.13485907254899</v>
      </c>
      <c r="AH6384">
        <v>15.2151926120883</v>
      </c>
      <c r="AI6384">
        <v>93.997045178653394</v>
      </c>
      <c r="AJ6384">
        <v>110.475409130931</v>
      </c>
      <c r="AK6384">
        <v>16.280878244932399</v>
      </c>
      <c r="AL6384">
        <v>81.427712085120007</v>
      </c>
      <c r="AM6384">
        <v>110.052747941831</v>
      </c>
      <c r="AN6384">
        <v>1.0000000200418999</v>
      </c>
    </row>
    <row r="6385" spans="1:40" x14ac:dyDescent="0.25">
      <c r="A6385" t="str">
        <f>"20190303162943229"</f>
        <v>20190303162943229</v>
      </c>
      <c r="B6385" t="str">
        <f>"1551601783218132"</f>
        <v>1551601783218132</v>
      </c>
      <c r="C6385" t="s">
        <v>40</v>
      </c>
      <c r="D6385">
        <v>5.0579289999999997</v>
      </c>
      <c r="E6385">
        <v>0.47709659999999898</v>
      </c>
      <c r="F6385" t="s">
        <v>41</v>
      </c>
      <c r="G6385">
        <v>-187.9271</v>
      </c>
      <c r="H6385" s="1">
        <v>-2.3393210000000001E-6</v>
      </c>
      <c r="I6385">
        <v>-25.7713</v>
      </c>
      <c r="J6385">
        <v>-188.4025</v>
      </c>
      <c r="K6385">
        <v>1.134849</v>
      </c>
      <c r="L6385">
        <v>-50.241700000000002</v>
      </c>
      <c r="M6385">
        <v>0.39236130000000002</v>
      </c>
      <c r="N6385">
        <v>-1.4348130000000001E-2</v>
      </c>
      <c r="O6385">
        <v>0.9196993</v>
      </c>
      <c r="P6385">
        <v>6.1626430000000003E-2</v>
      </c>
      <c r="Q6385">
        <v>0.14537439999999999</v>
      </c>
      <c r="R6385">
        <v>0.98745550000000004</v>
      </c>
      <c r="S6385">
        <v>7.2570800000000005E-2</v>
      </c>
      <c r="T6385">
        <v>-0.14012629999999901</v>
      </c>
      <c r="U6385">
        <v>3.0572509999999999</v>
      </c>
      <c r="V6385">
        <v>-0.33603470000000002</v>
      </c>
      <c r="W6385">
        <v>0.14732310000000001</v>
      </c>
      <c r="X6385">
        <v>0.93025619999999998</v>
      </c>
      <c r="Y6385">
        <v>-0.37029119999999999</v>
      </c>
      <c r="Z6385">
        <v>-2.4387579999999999E-2</v>
      </c>
      <c r="AA6385">
        <v>0.92859550000000002</v>
      </c>
      <c r="AB6385">
        <v>31</v>
      </c>
      <c r="AC6385">
        <v>0.47540000000000698</v>
      </c>
      <c r="AD6385">
        <v>-1.134851339321</v>
      </c>
      <c r="AE6385">
        <v>24.470400000000001</v>
      </c>
      <c r="AF6385">
        <v>-9.1452939804443591</v>
      </c>
      <c r="AG6385">
        <v>-1.134851339321</v>
      </c>
      <c r="AH6385">
        <v>22.645586484078098</v>
      </c>
      <c r="AI6385">
        <v>92.6604740393703</v>
      </c>
      <c r="AJ6385">
        <v>111.99104502979699</v>
      </c>
      <c r="AK6385">
        <v>24.448862483947401</v>
      </c>
      <c r="AL6385">
        <v>81.528172053349493</v>
      </c>
      <c r="AM6385">
        <v>109.861144982993</v>
      </c>
      <c r="AN6385">
        <v>1.0000000065180701</v>
      </c>
    </row>
    <row r="6386" spans="1:40" x14ac:dyDescent="0.25">
      <c r="A6386" t="str">
        <f>"20190303162943275"</f>
        <v>20190303162943275</v>
      </c>
      <c r="B6386" t="str">
        <f>"1551601783267909"</f>
        <v>1551601783267909</v>
      </c>
      <c r="C6386" t="s">
        <v>40</v>
      </c>
      <c r="D6386">
        <v>5.0571460000000004</v>
      </c>
      <c r="E6386">
        <v>0.4782631</v>
      </c>
      <c r="F6386" t="s">
        <v>41</v>
      </c>
      <c r="G6386">
        <v>-188.27019999999999</v>
      </c>
      <c r="H6386" s="1">
        <v>-4.1627139999999999E-6</v>
      </c>
      <c r="I6386">
        <v>-21.379079999999998</v>
      </c>
      <c r="J6386">
        <v>-188.19319999999999</v>
      </c>
      <c r="K6386">
        <v>1.1348279999999999</v>
      </c>
      <c r="L6386">
        <v>-49.658479999999997</v>
      </c>
      <c r="M6386">
        <v>0.36071300000000001</v>
      </c>
      <c r="N6386">
        <v>-1.434413E-2</v>
      </c>
      <c r="O6386">
        <v>0.93256649999999996</v>
      </c>
      <c r="P6386">
        <v>3.3835780000000003E-2</v>
      </c>
      <c r="Q6386">
        <v>0.1451817</v>
      </c>
      <c r="R6386">
        <v>0.98882630000000005</v>
      </c>
      <c r="S6386">
        <v>1.400757E-2</v>
      </c>
      <c r="T6386">
        <v>-0.1201173</v>
      </c>
      <c r="U6386">
        <v>3.054932</v>
      </c>
      <c r="V6386">
        <v>-0.33039370000000001</v>
      </c>
      <c r="W6386">
        <v>0.14735989999999999</v>
      </c>
      <c r="X6386">
        <v>0.93226880000000001</v>
      </c>
      <c r="Y6386">
        <v>-0.35632079999999999</v>
      </c>
      <c r="Z6386">
        <v>-1.9708460000000001E-2</v>
      </c>
      <c r="AA6386">
        <v>0.93415579999999998</v>
      </c>
      <c r="AB6386">
        <v>31</v>
      </c>
      <c r="AC6386">
        <v>-7.6999999999998098E-2</v>
      </c>
      <c r="AD6386">
        <v>-1.1348321627139999</v>
      </c>
      <c r="AE6386">
        <v>28.279399999999999</v>
      </c>
      <c r="AF6386">
        <v>-10.257094833301</v>
      </c>
      <c r="AG6386">
        <v>-1.1348321627139999</v>
      </c>
      <c r="AH6386">
        <v>26.304997988291699</v>
      </c>
      <c r="AI6386">
        <v>92.301693867150405</v>
      </c>
      <c r="AJ6386">
        <v>111.302277683471</v>
      </c>
      <c r="AK6386">
        <v>28.256835591072299</v>
      </c>
      <c r="AL6386">
        <v>81.526040470845501</v>
      </c>
      <c r="AM6386">
        <v>109.514197614341</v>
      </c>
      <c r="AN6386">
        <v>1.00000002629056</v>
      </c>
    </row>
    <row r="6387" spans="1:40" x14ac:dyDescent="0.25">
      <c r="A6387" t="str">
        <f>"20190303162943295"</f>
        <v>20190303162943295</v>
      </c>
      <c r="B6387" t="str">
        <f>"1551601783287937"</f>
        <v>1551601783287937</v>
      </c>
      <c r="C6387" t="s">
        <v>40</v>
      </c>
      <c r="D6387">
        <v>5.0485170000000004</v>
      </c>
      <c r="E6387">
        <v>0.47870459999999898</v>
      </c>
      <c r="F6387" t="s">
        <v>41</v>
      </c>
      <c r="G6387">
        <v>-188.84010000000001</v>
      </c>
      <c r="H6387" s="1">
        <v>-5.7983809999999997E-7</v>
      </c>
      <c r="I6387">
        <v>-19.554919999999999</v>
      </c>
      <c r="J6387">
        <v>-188.10429999999999</v>
      </c>
      <c r="K6387">
        <v>1.134838</v>
      </c>
      <c r="L6387">
        <v>-49.39011</v>
      </c>
      <c r="M6387">
        <v>0.34612500000000002</v>
      </c>
      <c r="N6387">
        <v>-1.4342529999999999E-2</v>
      </c>
      <c r="O6387">
        <v>0.93807879999999999</v>
      </c>
      <c r="P6387">
        <v>2.1091769999999999E-2</v>
      </c>
      <c r="Q6387">
        <v>0.14601910000000001</v>
      </c>
      <c r="R6387">
        <v>0.98905690000000002</v>
      </c>
      <c r="S6387">
        <v>-6.5612790000000004E-2</v>
      </c>
      <c r="T6387">
        <v>-0.115091899999999</v>
      </c>
      <c r="U6387">
        <v>3.0530400000000002</v>
      </c>
      <c r="V6387">
        <v>-0.327845</v>
      </c>
      <c r="W6387">
        <v>0.1482993</v>
      </c>
      <c r="X6387">
        <v>0.9330193</v>
      </c>
      <c r="Y6387">
        <v>-0.36608600000000002</v>
      </c>
      <c r="Z6387">
        <v>-1.8471270000000001E-2</v>
      </c>
      <c r="AA6387">
        <v>0.93039769999999999</v>
      </c>
      <c r="AB6387">
        <v>31</v>
      </c>
      <c r="AC6387">
        <v>-0.735800000000011</v>
      </c>
      <c r="AD6387">
        <v>-1.1348385798381</v>
      </c>
      <c r="AE6387">
        <v>29.835190000000001</v>
      </c>
      <c r="AF6387">
        <v>-11.002168171379701</v>
      </c>
      <c r="AG6387">
        <v>-1.1348385798381</v>
      </c>
      <c r="AH6387">
        <v>27.6958863010336</v>
      </c>
      <c r="AI6387">
        <v>92.180788728976296</v>
      </c>
      <c r="AJ6387">
        <v>111.665409811224</v>
      </c>
      <c r="AK6387">
        <v>29.822771183667498</v>
      </c>
      <c r="AL6387">
        <v>81.471618824849301</v>
      </c>
      <c r="AM6387">
        <v>109.360492321857</v>
      </c>
      <c r="AN6387">
        <v>1.0000000202889801</v>
      </c>
    </row>
    <row r="6388" spans="1:40" x14ac:dyDescent="0.25">
      <c r="A6388" t="str">
        <f>"20190303162943316"</f>
        <v>20190303162943316</v>
      </c>
      <c r="B6388" t="str">
        <f>"1551601783308432"</f>
        <v>1551601783308432</v>
      </c>
      <c r="C6388" t="s">
        <v>40</v>
      </c>
      <c r="D6388">
        <v>4.6000489999999896</v>
      </c>
      <c r="E6388">
        <v>0.47943229999999998</v>
      </c>
      <c r="F6388" t="s">
        <v>41</v>
      </c>
      <c r="G6388">
        <v>-189.131</v>
      </c>
      <c r="H6388" s="1">
        <v>-9.0761060000000002E-7</v>
      </c>
      <c r="I6388">
        <v>-18.610880000000002</v>
      </c>
      <c r="J6388">
        <v>-188.02180000000001</v>
      </c>
      <c r="K6388">
        <v>1.1348370000000001</v>
      </c>
      <c r="L6388">
        <v>-49.127780000000001</v>
      </c>
      <c r="M6388">
        <v>0.33185170000000003</v>
      </c>
      <c r="N6388">
        <v>-1.434114E-2</v>
      </c>
      <c r="O6388">
        <v>0.94322260000000002</v>
      </c>
      <c r="P6388">
        <v>9.2303070000000001E-3</v>
      </c>
      <c r="Q6388">
        <v>0.1465004</v>
      </c>
      <c r="R6388">
        <v>0.98916760000000004</v>
      </c>
      <c r="S6388">
        <v>-0.1018066</v>
      </c>
      <c r="T6388">
        <v>-0.112527</v>
      </c>
      <c r="U6388">
        <v>3.051971</v>
      </c>
      <c r="V6388">
        <v>-0.32485999999999998</v>
      </c>
      <c r="W6388">
        <v>0.14889920000000001</v>
      </c>
      <c r="X6388">
        <v>0.9339674</v>
      </c>
      <c r="Y6388">
        <v>-0.36300130000000003</v>
      </c>
      <c r="Z6388">
        <v>-1.8024979999999999E-2</v>
      </c>
      <c r="AA6388">
        <v>0.93161430000000001</v>
      </c>
      <c r="AB6388">
        <v>31</v>
      </c>
      <c r="AC6388">
        <v>-1.10919999999995</v>
      </c>
      <c r="AD6388">
        <v>-1.1348379076106001</v>
      </c>
      <c r="AE6388">
        <v>30.5169</v>
      </c>
      <c r="AF6388">
        <v>-11.159044967702799</v>
      </c>
      <c r="AG6388">
        <v>-1.1348379076106001</v>
      </c>
      <c r="AH6388">
        <v>28.379866763818899</v>
      </c>
      <c r="AI6388">
        <v>92.1312204691761</v>
      </c>
      <c r="AJ6388">
        <v>111.46489439258001</v>
      </c>
      <c r="AK6388">
        <v>30.5160446191815</v>
      </c>
      <c r="AL6388">
        <v>81.436861427636501</v>
      </c>
      <c r="AM6388">
        <v>109.179105104513</v>
      </c>
      <c r="AN6388">
        <v>1.0000000478116899</v>
      </c>
    </row>
    <row r="6389" spans="1:40" x14ac:dyDescent="0.25">
      <c r="A6389" t="str">
        <f>"20190303162943339"</f>
        <v>20190303162943339</v>
      </c>
      <c r="B6389" t="str">
        <f>"1551601783327952"</f>
        <v>1551601783327952</v>
      </c>
      <c r="C6389" t="s">
        <v>40</v>
      </c>
      <c r="D6389">
        <v>4.9875819999999997</v>
      </c>
      <c r="E6389">
        <v>0.48023169999999998</v>
      </c>
      <c r="F6389" t="s">
        <v>41</v>
      </c>
      <c r="G6389">
        <v>-189.41540000000001</v>
      </c>
      <c r="H6389" s="1">
        <v>-1.3357490000000001E-6</v>
      </c>
      <c r="I6389">
        <v>-17.495259999999998</v>
      </c>
      <c r="J6389">
        <v>-187.9298</v>
      </c>
      <c r="K6389">
        <v>1.134835</v>
      </c>
      <c r="L6389">
        <v>-48.817349999999998</v>
      </c>
      <c r="M6389">
        <v>0.31493910000000003</v>
      </c>
      <c r="N6389">
        <v>-1.4339889999999999E-2</v>
      </c>
      <c r="O6389">
        <v>0.94900359999999995</v>
      </c>
      <c r="P6389">
        <v>-3.7741789999999999E-3</v>
      </c>
      <c r="Q6389">
        <v>0.14636209999999999</v>
      </c>
      <c r="R6389">
        <v>0.98922390000000004</v>
      </c>
      <c r="S6389">
        <v>-0.13438420000000001</v>
      </c>
      <c r="T6389">
        <v>-0.1094325</v>
      </c>
      <c r="U6389">
        <v>3.0503230000000001</v>
      </c>
      <c r="V6389">
        <v>-0.32043310000000003</v>
      </c>
      <c r="W6389">
        <v>0.14893689999999901</v>
      </c>
      <c r="X6389">
        <v>0.93548940000000003</v>
      </c>
      <c r="Y6389">
        <v>-0.35629480000000002</v>
      </c>
      <c r="Z6389">
        <v>-1.748108E-2</v>
      </c>
      <c r="AA6389">
        <v>0.93421010000000004</v>
      </c>
      <c r="AB6389">
        <v>31</v>
      </c>
      <c r="AC6389">
        <v>-1.4856</v>
      </c>
      <c r="AD6389">
        <v>-1.1348363357489999</v>
      </c>
      <c r="AE6389">
        <v>31.322089999999999</v>
      </c>
      <c r="AF6389">
        <v>-11.2608005194491</v>
      </c>
      <c r="AG6389">
        <v>-1.1348363357489999</v>
      </c>
      <c r="AH6389">
        <v>29.221636597827398</v>
      </c>
      <c r="AI6389">
        <v>92.075370506718897</v>
      </c>
      <c r="AJ6389">
        <v>111.074582951238</v>
      </c>
      <c r="AK6389">
        <v>31.3368397784979</v>
      </c>
      <c r="AL6389">
        <v>81.434676560801805</v>
      </c>
      <c r="AM6389">
        <v>108.90786581491599</v>
      </c>
      <c r="AN6389">
        <v>0.99999999463478995</v>
      </c>
    </row>
    <row r="6390" spans="1:40" x14ac:dyDescent="0.25">
      <c r="A6390" t="str">
        <f>"20190303162943361"</f>
        <v>20190303162943361</v>
      </c>
      <c r="B6390" t="str">
        <f>"1551601783348449"</f>
        <v>1551601783348449</v>
      </c>
      <c r="C6390" t="s">
        <v>40</v>
      </c>
      <c r="D6390">
        <v>4.9724539999999999</v>
      </c>
      <c r="E6390">
        <v>0.48878709999999997</v>
      </c>
      <c r="F6390" t="s">
        <v>41</v>
      </c>
      <c r="G6390">
        <v>-189.68799999999999</v>
      </c>
      <c r="H6390" s="1">
        <v>-1.3884009999999999E-6</v>
      </c>
      <c r="I6390">
        <v>-17.259840000000001</v>
      </c>
      <c r="J6390">
        <v>-187.85130000000001</v>
      </c>
      <c r="K6390">
        <v>1.1348279999999999</v>
      </c>
      <c r="L6390">
        <v>-48.53519</v>
      </c>
      <c r="M6390">
        <v>0.29954700000000001</v>
      </c>
      <c r="N6390">
        <v>-1.4339299999999999E-2</v>
      </c>
      <c r="O6390">
        <v>0.95397379999999998</v>
      </c>
      <c r="P6390">
        <v>-1.544095E-2</v>
      </c>
      <c r="Q6390">
        <v>0.14642859999999999</v>
      </c>
      <c r="R6390">
        <v>0.9891008</v>
      </c>
      <c r="S6390">
        <v>-0.16983029999999999</v>
      </c>
      <c r="T6390">
        <v>-0.109617699999999</v>
      </c>
      <c r="U6390">
        <v>3.0482480000000001</v>
      </c>
      <c r="V6390">
        <v>-0.31632189999999999</v>
      </c>
      <c r="W6390">
        <v>0.14916460000000001</v>
      </c>
      <c r="X6390">
        <v>0.93685130000000005</v>
      </c>
      <c r="Y6390">
        <v>-0.35204269999999999</v>
      </c>
      <c r="Z6390">
        <v>-1.7823680000000001E-2</v>
      </c>
      <c r="AA6390">
        <v>0.93581420000000004</v>
      </c>
      <c r="AB6390">
        <v>31</v>
      </c>
      <c r="AC6390">
        <v>-1.83669999999997</v>
      </c>
      <c r="AD6390">
        <v>-1.1348293884009999</v>
      </c>
      <c r="AE6390">
        <v>31.27535</v>
      </c>
      <c r="AF6390">
        <v>-11.1071706901159</v>
      </c>
      <c r="AG6390">
        <v>-1.1348293884009999</v>
      </c>
      <c r="AH6390">
        <v>29.2503184374231</v>
      </c>
      <c r="AI6390">
        <v>92.077220190734394</v>
      </c>
      <c r="AJ6390">
        <v>110.793181650554</v>
      </c>
      <c r="AK6390">
        <v>31.308756078305102</v>
      </c>
      <c r="AL6390">
        <v>81.421482895549303</v>
      </c>
      <c r="AM6390">
        <v>108.656927744667</v>
      </c>
      <c r="AN6390">
        <v>0.99999999031222997</v>
      </c>
    </row>
    <row r="6391" spans="1:40" x14ac:dyDescent="0.25">
      <c r="A6391" t="str">
        <f>"20190303162943386"</f>
        <v>20190303162943386</v>
      </c>
      <c r="B6391" t="str">
        <f>"1551601783378236"</f>
        <v>1551601783378236</v>
      </c>
      <c r="C6391" t="s">
        <v>40</v>
      </c>
      <c r="D6391">
        <v>4.7415919999999998</v>
      </c>
      <c r="E6391">
        <v>0.49019119999999999</v>
      </c>
      <c r="F6391" t="s">
        <v>41</v>
      </c>
      <c r="G6391">
        <v>-189.512</v>
      </c>
      <c r="H6391" s="1">
        <v>-3.6667809999999999E-6</v>
      </c>
      <c r="I6391">
        <v>-12.02163</v>
      </c>
      <c r="J6391">
        <v>-187.768</v>
      </c>
      <c r="K6391">
        <v>1.1348240000000001</v>
      </c>
      <c r="L6391">
        <v>-48.213349999999998</v>
      </c>
      <c r="M6391">
        <v>0.28196690000000002</v>
      </c>
      <c r="N6391">
        <v>-1.433888E-2</v>
      </c>
      <c r="O6391">
        <v>0.95931699999999998</v>
      </c>
      <c r="P6391">
        <v>-2.9022550000000001E-2</v>
      </c>
      <c r="Q6391">
        <v>0.1451211</v>
      </c>
      <c r="R6391">
        <v>0.98898819999999998</v>
      </c>
      <c r="S6391">
        <v>-0.1384888</v>
      </c>
      <c r="T6391">
        <v>-9.4635369999999996E-2</v>
      </c>
      <c r="U6391">
        <v>3.0449220000000001</v>
      </c>
      <c r="V6391">
        <v>-0.3119711</v>
      </c>
      <c r="W6391">
        <v>0.1480301</v>
      </c>
      <c r="X6391">
        <v>0.93848880000000001</v>
      </c>
      <c r="Y6391">
        <v>-0.32518029999999998</v>
      </c>
      <c r="Z6391">
        <v>-1.388199E-2</v>
      </c>
      <c r="AA6391">
        <v>0.94555009999999995</v>
      </c>
      <c r="AB6391">
        <v>31</v>
      </c>
      <c r="AC6391">
        <v>-1.74399999999999</v>
      </c>
      <c r="AD6391">
        <v>-1.134827666781</v>
      </c>
      <c r="AE6391">
        <v>36.191719999999997</v>
      </c>
      <c r="AF6391">
        <v>-11.8674958698238</v>
      </c>
      <c r="AG6391">
        <v>-1.134827666781</v>
      </c>
      <c r="AH6391">
        <v>34.197555344077401</v>
      </c>
      <c r="AI6391">
        <v>91.795656481539197</v>
      </c>
      <c r="AJ6391">
        <v>109.138186051969</v>
      </c>
      <c r="AK6391">
        <v>36.215992096928801</v>
      </c>
      <c r="AL6391">
        <v>81.487215266200806</v>
      </c>
      <c r="AM6391">
        <v>108.387764747532</v>
      </c>
      <c r="AN6391">
        <v>1.0000000527333199</v>
      </c>
    </row>
    <row r="6392" spans="1:40" x14ac:dyDescent="0.25">
      <c r="A6392" t="str">
        <f>"20190303162943409"</f>
        <v>20190303162943409</v>
      </c>
      <c r="B6392" t="str">
        <f>"1551601783398732"</f>
        <v>1551601783398732</v>
      </c>
      <c r="C6392" t="s">
        <v>40</v>
      </c>
      <c r="D6392">
        <v>4.7249439999999998</v>
      </c>
      <c r="E6392">
        <v>0.4949539</v>
      </c>
      <c r="F6392" t="s">
        <v>41</v>
      </c>
      <c r="G6392">
        <v>-189.78309999999999</v>
      </c>
      <c r="H6392" s="1">
        <v>-3.5572329999999999E-6</v>
      </c>
      <c r="I6392">
        <v>-12.164899999999999</v>
      </c>
      <c r="J6392">
        <v>-187.69489999999999</v>
      </c>
      <c r="K6392">
        <v>1.1348210000000001</v>
      </c>
      <c r="L6392">
        <v>-47.907870000000003</v>
      </c>
      <c r="M6392">
        <v>0.2652582</v>
      </c>
      <c r="N6392">
        <v>-1.433865E-2</v>
      </c>
      <c r="O6392">
        <v>0.96407080000000001</v>
      </c>
      <c r="P6392">
        <v>-4.2031720000000002E-2</v>
      </c>
      <c r="Q6392">
        <v>0.14387459999999999</v>
      </c>
      <c r="R6392">
        <v>0.98870290000000005</v>
      </c>
      <c r="S6392">
        <v>-0.17007449999999999</v>
      </c>
      <c r="T6392">
        <v>-9.5778230000000006E-2</v>
      </c>
      <c r="U6392">
        <v>3.0424500000000001</v>
      </c>
      <c r="V6392">
        <v>-0.30801000000000001</v>
      </c>
      <c r="W6392">
        <v>0.14694009999999999</v>
      </c>
      <c r="X6392">
        <v>0.93996729999999995</v>
      </c>
      <c r="Y6392">
        <v>-0.31857039999999998</v>
      </c>
      <c r="Z6392">
        <v>-1.448459E-2</v>
      </c>
      <c r="AA6392">
        <v>0.94778850000000003</v>
      </c>
      <c r="AB6392">
        <v>31</v>
      </c>
      <c r="AC6392">
        <v>-2.0882000000000001</v>
      </c>
      <c r="AD6392">
        <v>-1.13482455723299</v>
      </c>
      <c r="AE6392">
        <v>35.74297</v>
      </c>
      <c r="AF6392">
        <v>-11.483933364888101</v>
      </c>
      <c r="AG6392">
        <v>-1.13482455723299</v>
      </c>
      <c r="AH6392">
        <v>33.874296755339202</v>
      </c>
      <c r="AI6392">
        <v>91.817235573704295</v>
      </c>
      <c r="AJ6392">
        <v>108.727488348015</v>
      </c>
      <c r="AK6392">
        <v>35.785982353062103</v>
      </c>
      <c r="AL6392">
        <v>81.550358063020596</v>
      </c>
      <c r="AM6392">
        <v>108.143018565882</v>
      </c>
      <c r="AN6392">
        <v>1.0000000390786401</v>
      </c>
    </row>
    <row r="6393" spans="1:40" x14ac:dyDescent="0.25">
      <c r="A6393" t="str">
        <f>"20190303162943431"</f>
        <v>20190303162943431</v>
      </c>
      <c r="B6393" t="str">
        <f>"1551601783419229"</f>
        <v>1551601783419229</v>
      </c>
      <c r="C6393" t="s">
        <v>40</v>
      </c>
      <c r="D6393">
        <v>4.600142</v>
      </c>
      <c r="E6393">
        <v>0.49552380000000001</v>
      </c>
      <c r="F6393" t="s">
        <v>41</v>
      </c>
      <c r="G6393">
        <v>-189.65719999999999</v>
      </c>
      <c r="H6393" s="1">
        <v>-3.1162820000000001E-6</v>
      </c>
      <c r="I6393">
        <v>-13.244820000000001</v>
      </c>
      <c r="J6393">
        <v>-187.6292</v>
      </c>
      <c r="K6393">
        <v>1.134817</v>
      </c>
      <c r="L6393">
        <v>-47.611629999999998</v>
      </c>
      <c r="M6393">
        <v>0.24902769999999999</v>
      </c>
      <c r="N6393">
        <v>-1.433861E-2</v>
      </c>
      <c r="O6393">
        <v>0.96839019999999998</v>
      </c>
      <c r="P6393">
        <v>-5.4508719999999997E-2</v>
      </c>
      <c r="Q6393">
        <v>0.14326559999999999</v>
      </c>
      <c r="R6393">
        <v>0.98818209999999995</v>
      </c>
      <c r="S6393">
        <v>-0.17218020000000001</v>
      </c>
      <c r="T6393">
        <v>-9.9573019999999998E-2</v>
      </c>
      <c r="U6393">
        <v>3.0414430000000001</v>
      </c>
      <c r="V6393">
        <v>-0.30407889999999999</v>
      </c>
      <c r="W6393">
        <v>0.146485</v>
      </c>
      <c r="X6393">
        <v>0.94131730000000002</v>
      </c>
      <c r="Y6393">
        <v>-0.30328129999999998</v>
      </c>
      <c r="Z6393">
        <v>-1.593928E-2</v>
      </c>
      <c r="AA6393">
        <v>0.9527677</v>
      </c>
      <c r="AB6393">
        <v>31</v>
      </c>
      <c r="AC6393">
        <v>-2.0279999999999898</v>
      </c>
      <c r="AD6393">
        <v>-1.134820116282</v>
      </c>
      <c r="AE6393">
        <v>34.366810000000001</v>
      </c>
      <c r="AF6393">
        <v>-10.511842886886599</v>
      </c>
      <c r="AG6393">
        <v>-1.134820116282</v>
      </c>
      <c r="AH6393">
        <v>32.743245581638099</v>
      </c>
      <c r="AI6393">
        <v>91.8900342287412</v>
      </c>
      <c r="AJ6393">
        <v>107.79863070329399</v>
      </c>
      <c r="AK6393">
        <v>34.407946593692103</v>
      </c>
      <c r="AL6393">
        <v>81.576718672988605</v>
      </c>
      <c r="AM6393">
        <v>107.902298170926</v>
      </c>
      <c r="AN6393">
        <v>1.00000004596474</v>
      </c>
    </row>
    <row r="6394" spans="1:40" x14ac:dyDescent="0.25">
      <c r="A6394" t="str">
        <f>"20190303162943453"</f>
        <v>20190303162943453</v>
      </c>
      <c r="B6394" t="str">
        <f>"1551601783438748"</f>
        <v>1551601783438748</v>
      </c>
      <c r="C6394" t="s">
        <v>40</v>
      </c>
      <c r="D6394">
        <v>4.662992</v>
      </c>
      <c r="E6394">
        <v>0.49649729999999997</v>
      </c>
      <c r="F6394" t="s">
        <v>41</v>
      </c>
      <c r="G6394">
        <v>-190.03360000000001</v>
      </c>
      <c r="H6394" s="1">
        <v>-3.5390380000000001E-6</v>
      </c>
      <c r="I6394">
        <v>-12.18211</v>
      </c>
      <c r="J6394">
        <v>-187.5712</v>
      </c>
      <c r="K6394">
        <v>1.134825</v>
      </c>
      <c r="L6394">
        <v>-47.327820000000003</v>
      </c>
      <c r="M6394">
        <v>0.23345479999999999</v>
      </c>
      <c r="N6394">
        <v>-1.4338800000000001E-2</v>
      </c>
      <c r="O6394">
        <v>0.97226190000000001</v>
      </c>
      <c r="P6394">
        <v>-6.5639669999999997E-2</v>
      </c>
      <c r="Q6394">
        <v>0.14483889999999999</v>
      </c>
      <c r="R6394">
        <v>0.98727560000000003</v>
      </c>
      <c r="S6394">
        <v>-0.20620730000000001</v>
      </c>
      <c r="T6394">
        <v>-9.7327590000000005E-2</v>
      </c>
      <c r="U6394">
        <v>3.038605</v>
      </c>
      <c r="V6394">
        <v>-0.29956749999999999</v>
      </c>
      <c r="W6394">
        <v>0.148231</v>
      </c>
      <c r="X6394">
        <v>0.94248969999999999</v>
      </c>
      <c r="Y6394">
        <v>-0.29866769999999998</v>
      </c>
      <c r="Z6394">
        <v>-1.546836E-2</v>
      </c>
      <c r="AA6394">
        <v>0.95423179999999996</v>
      </c>
      <c r="AB6394">
        <v>31</v>
      </c>
      <c r="AC6394">
        <v>-2.4624000000000001</v>
      </c>
      <c r="AD6394">
        <v>-1.134828539038</v>
      </c>
      <c r="AE6394">
        <v>35.145710000000001</v>
      </c>
      <c r="AF6394">
        <v>-10.589136180199199</v>
      </c>
      <c r="AG6394">
        <v>-1.134828539038</v>
      </c>
      <c r="AH6394">
        <v>33.564607421460003</v>
      </c>
      <c r="AI6394">
        <v>91.846788461677903</v>
      </c>
      <c r="AJ6394">
        <v>107.509713176752</v>
      </c>
      <c r="AK6394">
        <v>35.213640996246802</v>
      </c>
      <c r="AL6394">
        <v>81.475575476534999</v>
      </c>
      <c r="AM6394">
        <v>107.63270116095499</v>
      </c>
      <c r="AN6394">
        <v>0.99999997551166897</v>
      </c>
    </row>
    <row r="6395" spans="1:40" x14ac:dyDescent="0.25">
      <c r="A6395" t="str">
        <f>"20190303162943476"</f>
        <v>20190303162943476</v>
      </c>
      <c r="B6395" t="str">
        <f>"1551601783468027"</f>
        <v>1551601783468027</v>
      </c>
      <c r="C6395" t="s">
        <v>40</v>
      </c>
      <c r="D6395">
        <v>4.6558719999999996</v>
      </c>
      <c r="E6395">
        <v>0.50222709999999904</v>
      </c>
      <c r="F6395" t="s">
        <v>41</v>
      </c>
      <c r="G6395">
        <v>-190.51339999999999</v>
      </c>
      <c r="H6395" s="1">
        <v>-7.2531160000000001E-7</v>
      </c>
      <c r="I6395">
        <v>-9.0386120000000005</v>
      </c>
      <c r="J6395">
        <v>-187.51349999999999</v>
      </c>
      <c r="K6395">
        <v>1.134835</v>
      </c>
      <c r="L6395">
        <v>-47.02008</v>
      </c>
      <c r="M6395">
        <v>0.2165426</v>
      </c>
      <c r="N6395">
        <v>-1.433943E-2</v>
      </c>
      <c r="O6395">
        <v>0.97616789999999998</v>
      </c>
      <c r="P6395">
        <v>-7.788813E-2</v>
      </c>
      <c r="Q6395">
        <v>0.14779779999999901</v>
      </c>
      <c r="R6395">
        <v>0.98594590000000004</v>
      </c>
      <c r="S6395">
        <v>-0.2333221</v>
      </c>
      <c r="T6395">
        <v>-8.9992050000000004E-2</v>
      </c>
      <c r="U6395">
        <v>3.036346</v>
      </c>
      <c r="V6395">
        <v>-0.29489989999999999</v>
      </c>
      <c r="W6395">
        <v>0.15136520000000001</v>
      </c>
      <c r="X6395">
        <v>0.9434631</v>
      </c>
      <c r="Y6395">
        <v>-0.2906262</v>
      </c>
      <c r="Z6395">
        <v>-1.3430330000000001E-2</v>
      </c>
      <c r="AA6395">
        <v>0.95674239999999999</v>
      </c>
      <c r="AB6395">
        <v>31</v>
      </c>
      <c r="AC6395">
        <v>-2.99989999999999</v>
      </c>
      <c r="AD6395">
        <v>-1.1348357253115999</v>
      </c>
      <c r="AE6395">
        <v>37.981468</v>
      </c>
      <c r="AF6395">
        <v>-11.144271050986999</v>
      </c>
      <c r="AG6395">
        <v>-1.1348357253115999</v>
      </c>
      <c r="AH6395">
        <v>36.3981353044081</v>
      </c>
      <c r="AI6395">
        <v>91.707615047122303</v>
      </c>
      <c r="AJ6395">
        <v>107.023382126236</v>
      </c>
      <c r="AK6395">
        <v>38.082894887591102</v>
      </c>
      <c r="AL6395">
        <v>81.293949800100407</v>
      </c>
      <c r="AM6395">
        <v>107.35776911060699</v>
      </c>
      <c r="AN6395">
        <v>0.99999999792632999</v>
      </c>
    </row>
    <row r="6396" spans="1:40" x14ac:dyDescent="0.25">
      <c r="A6396" t="str">
        <f>"20190303162943517"</f>
        <v>20190303162943517</v>
      </c>
      <c r="B6396" t="str">
        <f>"1551601783508550"</f>
        <v>1551601783508550</v>
      </c>
      <c r="C6396" t="s">
        <v>40</v>
      </c>
      <c r="D6396">
        <v>4.6368609999999997</v>
      </c>
      <c r="E6396">
        <v>0.48940859999999897</v>
      </c>
      <c r="F6396" t="s">
        <v>41</v>
      </c>
      <c r="G6396">
        <v>-190.24879999999999</v>
      </c>
      <c r="H6396" s="1">
        <v>-1.57886399999999E-7</v>
      </c>
      <c r="I6396">
        <v>-10.197150000000001</v>
      </c>
      <c r="J6396">
        <v>-187.42509999999999</v>
      </c>
      <c r="K6396">
        <v>1.134892</v>
      </c>
      <c r="L6396">
        <v>-46.475769999999997</v>
      </c>
      <c r="M6396">
        <v>0.1865598</v>
      </c>
      <c r="N6396">
        <v>-1.434129E-2</v>
      </c>
      <c r="O6396">
        <v>0.98233890000000001</v>
      </c>
      <c r="P6396">
        <v>-9.5986489999999994E-2</v>
      </c>
      <c r="Q6396">
        <v>0.15342239999999999</v>
      </c>
      <c r="R6396">
        <v>0.98348769999999996</v>
      </c>
      <c r="S6396">
        <v>-0.22573850000000001</v>
      </c>
      <c r="T6396">
        <v>-9.365714E-2</v>
      </c>
      <c r="U6396">
        <v>3.0389710000000001</v>
      </c>
      <c r="V6396">
        <v>-0.2833389</v>
      </c>
      <c r="W6396">
        <v>0.15742519999999999</v>
      </c>
      <c r="X6396">
        <v>0.94601080000000004</v>
      </c>
      <c r="Y6396">
        <v>-0.2587489</v>
      </c>
      <c r="Z6396">
        <v>-1.498793E-2</v>
      </c>
      <c r="AA6396">
        <v>0.96582840000000003</v>
      </c>
      <c r="AB6396">
        <v>31</v>
      </c>
      <c r="AC6396">
        <v>-2.8237000000000001</v>
      </c>
      <c r="AD6396">
        <v>-1.1348921578864</v>
      </c>
      <c r="AE6396">
        <v>36.278619999999997</v>
      </c>
      <c r="AF6396">
        <v>-9.5336705893849203</v>
      </c>
      <c r="AG6396">
        <v>-1.1348921578864</v>
      </c>
      <c r="AH6396">
        <v>35.080599611510898</v>
      </c>
      <c r="AI6396">
        <v>91.788117895945206</v>
      </c>
      <c r="AJ6396">
        <v>105.20377596791801</v>
      </c>
      <c r="AK6396">
        <v>36.370693205107798</v>
      </c>
      <c r="AL6396">
        <v>80.9425231824153</v>
      </c>
      <c r="AM6396">
        <v>106.67343977358701</v>
      </c>
      <c r="AN6396">
        <v>1.0000000297824401</v>
      </c>
    </row>
    <row r="6397" spans="1:40" x14ac:dyDescent="0.25">
      <c r="A6397" t="str">
        <f>"20190303162943540"</f>
        <v>20190303162943540</v>
      </c>
      <c r="B6397" t="str">
        <f>"1551601783528070"</f>
        <v>1551601783528070</v>
      </c>
      <c r="C6397" t="s">
        <v>40</v>
      </c>
      <c r="D6397">
        <v>4.5844529999999999</v>
      </c>
      <c r="E6397">
        <v>0.4689313</v>
      </c>
      <c r="F6397" t="s">
        <v>69</v>
      </c>
      <c r="G6397">
        <v>-242.69499999999999</v>
      </c>
      <c r="H6397">
        <v>26.603539999999999</v>
      </c>
      <c r="I6397">
        <v>390.88350000000003</v>
      </c>
      <c r="J6397">
        <v>-187.38130000000001</v>
      </c>
      <c r="K6397">
        <v>1.1349640000000001</v>
      </c>
      <c r="L6397">
        <v>-46.158720000000002</v>
      </c>
      <c r="M6397">
        <v>0.16905410000000001</v>
      </c>
      <c r="N6397">
        <v>-1.434236E-2</v>
      </c>
      <c r="O6397">
        <v>0.9855024</v>
      </c>
      <c r="P6397">
        <v>-0.1078938</v>
      </c>
      <c r="Q6397">
        <v>0.15896849999999901</v>
      </c>
      <c r="R6397">
        <v>0.98137039999999998</v>
      </c>
      <c r="S6397">
        <v>-0.3773956</v>
      </c>
      <c r="T6397">
        <v>0.17390600000000001</v>
      </c>
      <c r="U6397">
        <v>2.986389</v>
      </c>
      <c r="V6397">
        <v>-0.27799499999999999</v>
      </c>
      <c r="W6397">
        <v>0.16316739999999999</v>
      </c>
      <c r="X6397">
        <v>0.94662299999999999</v>
      </c>
      <c r="Y6397">
        <v>-0.2910816</v>
      </c>
      <c r="Z6397">
        <v>6.9862670000000002E-2</v>
      </c>
      <c r="AA6397">
        <v>0.95414390000000004</v>
      </c>
      <c r="AB6397">
        <v>31</v>
      </c>
      <c r="AC6397">
        <v>-55.313699999999898</v>
      </c>
      <c r="AD6397">
        <v>25.468575999999999</v>
      </c>
      <c r="AE6397">
        <v>437.04221999999999</v>
      </c>
      <c r="AF6397">
        <v>-127.98100654080901</v>
      </c>
      <c r="AG6397">
        <v>25.468575999999999</v>
      </c>
      <c r="AH6397">
        <v>419.99469997559902</v>
      </c>
      <c r="AI6397">
        <v>86.680169599747302</v>
      </c>
      <c r="AJ6397">
        <v>106.94705494908899</v>
      </c>
      <c r="AK6397">
        <v>439.79919782357399</v>
      </c>
      <c r="AL6397">
        <v>80.609208119000101</v>
      </c>
      <c r="AM6397">
        <v>106.365943707019</v>
      </c>
      <c r="AN6397">
        <v>0.99999996228837895</v>
      </c>
    </row>
    <row r="6398" spans="1:40" x14ac:dyDescent="0.25">
      <c r="A6398" t="str">
        <f>"20190303162943563"</f>
        <v>20190303162943563</v>
      </c>
      <c r="B6398" t="str">
        <f>"1551601783558326"</f>
        <v>1551601783558326</v>
      </c>
      <c r="C6398" t="s">
        <v>40</v>
      </c>
      <c r="D6398">
        <v>4.5944969999999996</v>
      </c>
      <c r="E6398">
        <v>0.46519549999999998</v>
      </c>
      <c r="F6398" t="s">
        <v>70</v>
      </c>
      <c r="G6398">
        <v>-212.2353</v>
      </c>
      <c r="H6398">
        <v>30.615200000000002</v>
      </c>
      <c r="I6398">
        <v>80.613869999999906</v>
      </c>
      <c r="J6398">
        <v>-187.34370000000001</v>
      </c>
      <c r="K6398">
        <v>1.135014</v>
      </c>
      <c r="L6398">
        <v>-45.847050000000003</v>
      </c>
      <c r="M6398">
        <v>0.15182200000000001</v>
      </c>
      <c r="N6398">
        <v>-1.4343119999999999E-2</v>
      </c>
      <c r="O6398">
        <v>0.98830379999999995</v>
      </c>
      <c r="P6398">
        <v>-0.1195594</v>
      </c>
      <c r="Q6398">
        <v>0.16813239999999999</v>
      </c>
      <c r="R6398">
        <v>0.97848710000000005</v>
      </c>
      <c r="S6398">
        <v>-0.56581119999999996</v>
      </c>
      <c r="T6398">
        <v>0.67112680000000002</v>
      </c>
      <c r="U6398">
        <v>2.8860169999999998</v>
      </c>
      <c r="V6398">
        <v>-0.27279320000000001</v>
      </c>
      <c r="W6398">
        <v>0.17251429999999901</v>
      </c>
      <c r="X6398">
        <v>0.94647910000000002</v>
      </c>
      <c r="Y6398">
        <v>-0.33442050000000001</v>
      </c>
      <c r="Z6398">
        <v>0.2282305</v>
      </c>
      <c r="AA6398">
        <v>0.91437069999999998</v>
      </c>
      <c r="AB6398">
        <v>31</v>
      </c>
      <c r="AC6398">
        <v>-24.891599999999901</v>
      </c>
      <c r="AD6398">
        <v>29.480186</v>
      </c>
      <c r="AE6398">
        <v>126.46092</v>
      </c>
      <c r="AF6398">
        <v>-41.626747088638801</v>
      </c>
      <c r="AG6398">
        <v>29.480186</v>
      </c>
      <c r="AH6398">
        <v>115.188888519172</v>
      </c>
      <c r="AI6398">
        <v>76.466645062328297</v>
      </c>
      <c r="AJ6398">
        <v>109.86874825789501</v>
      </c>
      <c r="AK6398">
        <v>125.977567360457</v>
      </c>
      <c r="AL6398">
        <v>80.065961937891799</v>
      </c>
      <c r="AM6398">
        <v>106.07798324846701</v>
      </c>
      <c r="AN6398">
        <v>1.0000000002037699</v>
      </c>
    </row>
    <row r="6399" spans="1:40" x14ac:dyDescent="0.25">
      <c r="A6399" t="str">
        <f>"20190303162943588"</f>
        <v>20190303162943588</v>
      </c>
      <c r="B6399" t="str">
        <f>"1551601783578352"</f>
        <v>1551601783578352</v>
      </c>
      <c r="C6399" t="s">
        <v>40</v>
      </c>
      <c r="D6399">
        <v>4.6315470000000003</v>
      </c>
      <c r="E6399">
        <v>0.46856310000000001</v>
      </c>
      <c r="F6399" t="s">
        <v>70</v>
      </c>
      <c r="G6399">
        <v>-212.24379999999999</v>
      </c>
      <c r="H6399">
        <v>56.026670000000003</v>
      </c>
      <c r="I6399">
        <v>66.664410000000004</v>
      </c>
      <c r="J6399">
        <v>-187.31100000000001</v>
      </c>
      <c r="K6399">
        <v>1.135049</v>
      </c>
      <c r="L6399">
        <v>-45.521850000000001</v>
      </c>
      <c r="M6399">
        <v>0.13381860000000001</v>
      </c>
      <c r="N6399">
        <v>-1.4343399999999999E-2</v>
      </c>
      <c r="O6399">
        <v>0.99090210000000001</v>
      </c>
      <c r="P6399">
        <v>-0.12960050000000001</v>
      </c>
      <c r="Q6399">
        <v>0.1751259</v>
      </c>
      <c r="R6399">
        <v>0.97597880000000004</v>
      </c>
      <c r="S6399">
        <v>-0.6108093</v>
      </c>
      <c r="T6399">
        <v>1.3465129999999901</v>
      </c>
      <c r="U6399">
        <v>2.7599490000000002</v>
      </c>
      <c r="V6399">
        <v>-0.26534340000000001</v>
      </c>
      <c r="W6399">
        <v>0.17977939999999901</v>
      </c>
      <c r="X6399">
        <v>0.94724459999999999</v>
      </c>
      <c r="Y6399">
        <v>-0.32431199999999999</v>
      </c>
      <c r="Z6399">
        <v>0.42952580000000001</v>
      </c>
      <c r="AA6399">
        <v>0.84281039999999996</v>
      </c>
      <c r="AB6399">
        <v>31</v>
      </c>
      <c r="AC6399">
        <v>-24.9328</v>
      </c>
      <c r="AD6399">
        <v>54.891621000000001</v>
      </c>
      <c r="AE6399">
        <v>112.18626</v>
      </c>
      <c r="AF6399">
        <v>-32.343845114881397</v>
      </c>
      <c r="AG6399">
        <v>54.891621000000001</v>
      </c>
      <c r="AH6399">
        <v>87.808006062681997</v>
      </c>
      <c r="AI6399">
        <v>59.604002393803498</v>
      </c>
      <c r="AJ6399">
        <v>110.221140469554</v>
      </c>
      <c r="AK6399">
        <v>108.487143484963</v>
      </c>
      <c r="AL6399">
        <v>79.643089697001599</v>
      </c>
      <c r="AM6399">
        <v>105.648691596646</v>
      </c>
      <c r="AN6399">
        <v>1.00000004240853</v>
      </c>
    </row>
    <row r="6400" spans="1:40" x14ac:dyDescent="0.25">
      <c r="A6400" t="str">
        <f>"20190303162943609"</f>
        <v>20190303162943609</v>
      </c>
      <c r="B6400" t="str">
        <f>"1551601783597874"</f>
        <v>1551601783597874</v>
      </c>
      <c r="C6400" t="s">
        <v>40</v>
      </c>
      <c r="D6400">
        <v>4.8763649999999998</v>
      </c>
      <c r="E6400">
        <v>0.47037430000000002</v>
      </c>
      <c r="F6400" t="s">
        <v>70</v>
      </c>
      <c r="G6400">
        <v>-212.2422</v>
      </c>
      <c r="H6400">
        <v>55.979390000000002</v>
      </c>
      <c r="I6400">
        <v>66.815079999999995</v>
      </c>
      <c r="J6400">
        <v>-187.28649999999999</v>
      </c>
      <c r="K6400">
        <v>1.1350659999999999</v>
      </c>
      <c r="L6400">
        <v>-45.229030000000002</v>
      </c>
      <c r="M6400">
        <v>0.11758879999999999</v>
      </c>
      <c r="N6400">
        <v>-1.434333E-2</v>
      </c>
      <c r="O6400">
        <v>0.99295880000000003</v>
      </c>
      <c r="P6400">
        <v>-0.1360951</v>
      </c>
      <c r="Q6400">
        <v>0.18016599999999999</v>
      </c>
      <c r="R6400">
        <v>0.97417580000000004</v>
      </c>
      <c r="S6400">
        <v>-0.61068730000000004</v>
      </c>
      <c r="T6400">
        <v>1.3434060000000001</v>
      </c>
      <c r="U6400">
        <v>2.7516780000000001</v>
      </c>
      <c r="V6400">
        <v>-0.25618289999999999</v>
      </c>
      <c r="W6400">
        <v>0.18515870000000001</v>
      </c>
      <c r="X6400">
        <v>0.94872889999999999</v>
      </c>
      <c r="Y6400">
        <v>-0.30921969999999999</v>
      </c>
      <c r="Z6400">
        <v>0.43214760000000002</v>
      </c>
      <c r="AA6400">
        <v>0.84713139999999998</v>
      </c>
      <c r="AB6400">
        <v>31</v>
      </c>
      <c r="AC6400">
        <v>-24.9557</v>
      </c>
      <c r="AD6400">
        <v>54.844324</v>
      </c>
      <c r="AE6400">
        <v>112.04411</v>
      </c>
      <c r="AF6400">
        <v>-30.904340485597402</v>
      </c>
      <c r="AG6400">
        <v>54.844324</v>
      </c>
      <c r="AH6400">
        <v>88.198364115525095</v>
      </c>
      <c r="AI6400">
        <v>59.5936168500536</v>
      </c>
      <c r="AJ6400">
        <v>109.310248940118</v>
      </c>
      <c r="AK6400">
        <v>108.360184424545</v>
      </c>
      <c r="AL6400">
        <v>79.329614628692397</v>
      </c>
      <c r="AM6400">
        <v>105.11104407850399</v>
      </c>
      <c r="AN6400">
        <v>0.99999997406665397</v>
      </c>
    </row>
    <row r="6401" spans="1:40" x14ac:dyDescent="0.25">
      <c r="A6401" t="str">
        <f>"20190303162943632"</f>
        <v>20190303162943632</v>
      </c>
      <c r="B6401" t="str">
        <f>"1551601783628128"</f>
        <v>1551601783628128</v>
      </c>
      <c r="C6401" t="s">
        <v>40</v>
      </c>
      <c r="D6401">
        <v>4.6133089999999903</v>
      </c>
      <c r="E6401">
        <v>0.4725567</v>
      </c>
      <c r="F6401" t="s">
        <v>70</v>
      </c>
      <c r="G6401">
        <v>-212.24350000000001</v>
      </c>
      <c r="H6401">
        <v>55.079419999999899</v>
      </c>
      <c r="I6401">
        <v>66.037530000000004</v>
      </c>
      <c r="J6401">
        <v>-187.2662</v>
      </c>
      <c r="K6401">
        <v>1.135073</v>
      </c>
      <c r="L6401">
        <v>-44.926699999999997</v>
      </c>
      <c r="M6401">
        <v>0.1008151</v>
      </c>
      <c r="N6401">
        <v>-1.4342850000000001E-2</v>
      </c>
      <c r="O6401">
        <v>0.99480179999999996</v>
      </c>
      <c r="P6401">
        <v>-0.14244029999999999</v>
      </c>
      <c r="Q6401">
        <v>0.1846546</v>
      </c>
      <c r="R6401">
        <v>0.97242660000000003</v>
      </c>
      <c r="S6401">
        <v>-0.61618039999999996</v>
      </c>
      <c r="T6401">
        <v>1.3318669999999999</v>
      </c>
      <c r="U6401">
        <v>2.747131</v>
      </c>
      <c r="V6401">
        <v>-0.24638579999999999</v>
      </c>
      <c r="W6401">
        <v>0.19001100000000001</v>
      </c>
      <c r="X6401">
        <v>0.95036299999999996</v>
      </c>
      <c r="Y6401">
        <v>-0.29526449999999999</v>
      </c>
      <c r="Z6401">
        <v>0.43184280000000003</v>
      </c>
      <c r="AA6401">
        <v>0.85225030000000002</v>
      </c>
      <c r="AB6401">
        <v>31</v>
      </c>
      <c r="AC6401">
        <v>-24.9773</v>
      </c>
      <c r="AD6401">
        <v>53.944346999999901</v>
      </c>
      <c r="AE6401">
        <v>110.96423</v>
      </c>
      <c r="AF6401">
        <v>-29.4203221684431</v>
      </c>
      <c r="AG6401">
        <v>53.944346999999901</v>
      </c>
      <c r="AH6401">
        <v>88.070184339830902</v>
      </c>
      <c r="AI6401">
        <v>59.8452461819696</v>
      </c>
      <c r="AJ6401">
        <v>108.47217587319101</v>
      </c>
      <c r="AK6401">
        <v>107.386709137598</v>
      </c>
      <c r="AL6401">
        <v>79.046573710869296</v>
      </c>
      <c r="AM6401">
        <v>104.534194802114</v>
      </c>
      <c r="AN6401">
        <v>0.99999998716581895</v>
      </c>
    </row>
    <row r="6402" spans="1:40" x14ac:dyDescent="0.25">
      <c r="A6402" t="str">
        <f>"20190303162943675"</f>
        <v>20190303162943675</v>
      </c>
      <c r="B6402" t="str">
        <f>"1551601783668145"</f>
        <v>1551601783668145</v>
      </c>
      <c r="C6402" t="s">
        <v>40</v>
      </c>
      <c r="D6402">
        <v>4.5463940000000003</v>
      </c>
      <c r="E6402">
        <v>0.47495199999999999</v>
      </c>
      <c r="F6402" t="s">
        <v>70</v>
      </c>
      <c r="G6402">
        <v>-212.2432</v>
      </c>
      <c r="H6402">
        <v>54.4124699999999</v>
      </c>
      <c r="I6402">
        <v>65.970100000000002</v>
      </c>
      <c r="J6402">
        <v>-187.2414</v>
      </c>
      <c r="K6402">
        <v>1.135108</v>
      </c>
      <c r="L6402">
        <v>-44.346040000000002</v>
      </c>
      <c r="M6402">
        <v>6.8599660000000007E-2</v>
      </c>
      <c r="N6402">
        <v>-1.4338210000000001E-2</v>
      </c>
      <c r="O6402">
        <v>0.99754120000000002</v>
      </c>
      <c r="P6402">
        <v>-0.1556263</v>
      </c>
      <c r="Q6402">
        <v>0.1970489</v>
      </c>
      <c r="R6402">
        <v>0.96796289999999996</v>
      </c>
      <c r="S6402">
        <v>-0.61807250000000002</v>
      </c>
      <c r="T6402">
        <v>1.318379</v>
      </c>
      <c r="U6402">
        <v>2.744202</v>
      </c>
      <c r="V6402">
        <v>-0.22871520000000001</v>
      </c>
      <c r="W6402">
        <v>0.20305200000000001</v>
      </c>
      <c r="X6402">
        <v>0.95208159999999997</v>
      </c>
      <c r="Y6402">
        <v>-0.26521600000000001</v>
      </c>
      <c r="Z6402">
        <v>0.4323516</v>
      </c>
      <c r="AA6402">
        <v>0.86181929999999995</v>
      </c>
      <c r="AB6402">
        <v>31</v>
      </c>
      <c r="AC6402">
        <v>-25.001799999999999</v>
      </c>
      <c r="AD6402">
        <v>53.277361999999897</v>
      </c>
      <c r="AE6402">
        <v>110.316139999999</v>
      </c>
      <c r="AF6402">
        <v>-26.608334083182399</v>
      </c>
      <c r="AG6402">
        <v>53.277361999999897</v>
      </c>
      <c r="AH6402">
        <v>88.669778578859095</v>
      </c>
      <c r="AI6402">
        <v>60.079656744084701</v>
      </c>
      <c r="AJ6402">
        <v>106.703631279663</v>
      </c>
      <c r="AK6402">
        <v>106.812032925065</v>
      </c>
      <c r="AL6402">
        <v>78.284512079947504</v>
      </c>
      <c r="AM6402">
        <v>103.50800161724899</v>
      </c>
      <c r="AN6402">
        <v>1.00000006523679</v>
      </c>
    </row>
    <row r="6403" spans="1:40" x14ac:dyDescent="0.25">
      <c r="A6403" t="str">
        <f>"20190303162943695"</f>
        <v>20190303162943695</v>
      </c>
      <c r="B6403" t="str">
        <f>"1551601783688172"</f>
        <v>1551601783688172</v>
      </c>
      <c r="C6403" t="s">
        <v>40</v>
      </c>
      <c r="D6403">
        <v>4.5598910000000004</v>
      </c>
      <c r="E6403">
        <v>0.47593609999999997</v>
      </c>
      <c r="F6403" t="s">
        <v>70</v>
      </c>
      <c r="G6403">
        <v>-212.24289999999999</v>
      </c>
      <c r="H6403">
        <v>53.282449999999997</v>
      </c>
      <c r="I6403">
        <v>62.830190000000002</v>
      </c>
      <c r="J6403">
        <v>-187.23609999999999</v>
      </c>
      <c r="K6403">
        <v>1.13511299999999</v>
      </c>
      <c r="L6403">
        <v>-44.063960000000002</v>
      </c>
      <c r="M6403">
        <v>5.2984730000000001E-2</v>
      </c>
      <c r="N6403">
        <v>-1.433155E-2</v>
      </c>
      <c r="O6403">
        <v>0.99849250000000001</v>
      </c>
      <c r="P6403">
        <v>-0.161657</v>
      </c>
      <c r="Q6403">
        <v>0.20638889999999999</v>
      </c>
      <c r="R6403">
        <v>0.96502359999999998</v>
      </c>
      <c r="S6403">
        <v>-0.63612369999999996</v>
      </c>
      <c r="T6403">
        <v>1.3268070000000001</v>
      </c>
      <c r="U6403">
        <v>2.7269290000000002</v>
      </c>
      <c r="V6403">
        <v>-0.21992139999999999</v>
      </c>
      <c r="W6403">
        <v>0.21270539999999999</v>
      </c>
      <c r="X6403">
        <v>0.95204569999999999</v>
      </c>
      <c r="Y6403">
        <v>-0.2562837</v>
      </c>
      <c r="Z6403">
        <v>0.43749640000000001</v>
      </c>
      <c r="AA6403">
        <v>0.86192549999999901</v>
      </c>
      <c r="AB6403">
        <v>31</v>
      </c>
      <c r="AC6403">
        <v>-25.006799999999998</v>
      </c>
      <c r="AD6403">
        <v>52.147337</v>
      </c>
      <c r="AE6403">
        <v>106.89415</v>
      </c>
      <c r="AF6403">
        <v>-24.995926206774499</v>
      </c>
      <c r="AG6403">
        <v>52.147337</v>
      </c>
      <c r="AH6403">
        <v>86.011273807857904</v>
      </c>
      <c r="AI6403">
        <v>59.792110628186499</v>
      </c>
      <c r="AJ6403">
        <v>106.204509532999</v>
      </c>
      <c r="AK6403">
        <v>103.644007570029</v>
      </c>
      <c r="AL6403">
        <v>77.719057263472905</v>
      </c>
      <c r="AM6403">
        <v>103.00710364083901</v>
      </c>
      <c r="AN6403">
        <v>1.0000000121278001</v>
      </c>
    </row>
    <row r="6404" spans="1:40" x14ac:dyDescent="0.25">
      <c r="A6404" t="str">
        <f>"20190303162943718"</f>
        <v>20190303162943718</v>
      </c>
      <c r="B6404" t="str">
        <f>"1551601783708668"</f>
        <v>1551601783708668</v>
      </c>
      <c r="C6404" t="s">
        <v>40</v>
      </c>
      <c r="D6404">
        <v>4.4803739999999896</v>
      </c>
      <c r="E6404">
        <v>0.47675719999999999</v>
      </c>
      <c r="F6404" t="s">
        <v>70</v>
      </c>
      <c r="G6404">
        <v>-212.24289999999999</v>
      </c>
      <c r="H6404">
        <v>53.329740000000001</v>
      </c>
      <c r="I6404">
        <v>61.173110000000001</v>
      </c>
      <c r="J6404">
        <v>-187.23519999999999</v>
      </c>
      <c r="K6404">
        <v>1.135086</v>
      </c>
      <c r="L6404">
        <v>-43.755769999999998</v>
      </c>
      <c r="M6404">
        <v>3.6006389999999999E-2</v>
      </c>
      <c r="N6404">
        <v>-1.43187E-2</v>
      </c>
      <c r="O6404">
        <v>0.99924900000000005</v>
      </c>
      <c r="P6404">
        <v>-0.16656750000000001</v>
      </c>
      <c r="Q6404">
        <v>0.2132587</v>
      </c>
      <c r="R6404">
        <v>0.96269210000000005</v>
      </c>
      <c r="S6404">
        <v>-0.64466859999999904</v>
      </c>
      <c r="T6404">
        <v>1.3455629999999901</v>
      </c>
      <c r="U6404">
        <v>2.7129819999999998</v>
      </c>
      <c r="V6404">
        <v>-0.20869019999999999</v>
      </c>
      <c r="W6404">
        <v>0.2199902</v>
      </c>
      <c r="X6404">
        <v>0.95291800000000004</v>
      </c>
      <c r="Y6404">
        <v>-0.24264659999999999</v>
      </c>
      <c r="Z6404">
        <v>0.44517640000000003</v>
      </c>
      <c r="AA6404">
        <v>0.86193999999999904</v>
      </c>
      <c r="AB6404">
        <v>31</v>
      </c>
      <c r="AC6404">
        <v>-25.0077</v>
      </c>
      <c r="AD6404">
        <v>52.194654</v>
      </c>
      <c r="AE6404">
        <v>104.92888000000001</v>
      </c>
      <c r="AF6404">
        <v>-23.3118327653889</v>
      </c>
      <c r="AG6404">
        <v>52.194654</v>
      </c>
      <c r="AH6404">
        <v>84.237292058373797</v>
      </c>
      <c r="AI6404">
        <v>59.1556489041566</v>
      </c>
      <c r="AJ6404">
        <v>105.46889816471</v>
      </c>
      <c r="AK6404">
        <v>101.801988322374</v>
      </c>
      <c r="AL6404">
        <v>77.291542621368293</v>
      </c>
      <c r="AM6404">
        <v>102.352822827309</v>
      </c>
      <c r="AN6404">
        <v>1.0000000011980399</v>
      </c>
    </row>
    <row r="6405" spans="1:40" x14ac:dyDescent="0.25">
      <c r="A6405" t="str">
        <f>"20190303162943739"</f>
        <v>20190303162943739</v>
      </c>
      <c r="B6405" t="str">
        <f>"1551601783728187"</f>
        <v>1551601783728187</v>
      </c>
      <c r="C6405" t="s">
        <v>40</v>
      </c>
      <c r="D6405">
        <v>4.5085389999999999</v>
      </c>
      <c r="E6405">
        <v>0.4865083</v>
      </c>
      <c r="F6405" t="s">
        <v>70</v>
      </c>
      <c r="G6405">
        <v>-212.24289999999999</v>
      </c>
      <c r="H6405">
        <v>53.322699999999998</v>
      </c>
      <c r="I6405">
        <v>60.188659999999999</v>
      </c>
      <c r="J6405">
        <v>-187.239</v>
      </c>
      <c r="K6405">
        <v>1.1350119999999999</v>
      </c>
      <c r="L6405">
        <v>-43.470089999999999</v>
      </c>
      <c r="M6405">
        <v>2.043176E-2</v>
      </c>
      <c r="N6405">
        <v>-1.429621E-2</v>
      </c>
      <c r="O6405">
        <v>0.99968900000000005</v>
      </c>
      <c r="P6405">
        <v>-0.1687158</v>
      </c>
      <c r="Q6405">
        <v>0.21848329999999999</v>
      </c>
      <c r="R6405">
        <v>0.96114520000000003</v>
      </c>
      <c r="S6405">
        <v>-0.65032959999999995</v>
      </c>
      <c r="T6405">
        <v>1.3571489999999999</v>
      </c>
      <c r="U6405">
        <v>2.7030940000000001</v>
      </c>
      <c r="V6405">
        <v>-0.19601360000000001</v>
      </c>
      <c r="W6405">
        <v>0.225692</v>
      </c>
      <c r="X6405">
        <v>0.95427550000000005</v>
      </c>
      <c r="Y6405">
        <v>-0.22943379999999999</v>
      </c>
      <c r="Z6405">
        <v>0.4502949</v>
      </c>
      <c r="AA6405">
        <v>0.86289889999999903</v>
      </c>
      <c r="AB6405">
        <v>31</v>
      </c>
      <c r="AC6405">
        <v>-25.003899999999899</v>
      </c>
      <c r="AD6405">
        <v>52.187688000000001</v>
      </c>
      <c r="AE6405">
        <v>103.65875</v>
      </c>
      <c r="AF6405">
        <v>-21.8766705932441</v>
      </c>
      <c r="AG6405">
        <v>52.187688000000001</v>
      </c>
      <c r="AH6405">
        <v>83.197695725882795</v>
      </c>
      <c r="AI6405">
        <v>58.756851342477901</v>
      </c>
      <c r="AJ6405">
        <v>104.732316930759</v>
      </c>
      <c r="AK6405">
        <v>100.618090168355</v>
      </c>
      <c r="AL6405">
        <v>76.956426024562901</v>
      </c>
      <c r="AM6405">
        <v>101.607430311966</v>
      </c>
      <c r="AN6405">
        <v>0.99999997007460395</v>
      </c>
    </row>
    <row r="6406" spans="1:40" x14ac:dyDescent="0.25">
      <c r="A6406" t="str">
        <f>"20190303162943762"</f>
        <v>20190303162943762</v>
      </c>
      <c r="B6406" t="str">
        <f>"1551601783758444"</f>
        <v>1551601783758444</v>
      </c>
      <c r="C6406" t="s">
        <v>40</v>
      </c>
      <c r="D6406">
        <v>4.4512609999999997</v>
      </c>
      <c r="E6406">
        <v>0.49820310000000001</v>
      </c>
      <c r="F6406" t="s">
        <v>70</v>
      </c>
      <c r="G6406">
        <v>-211.3768</v>
      </c>
      <c r="H6406">
        <v>54.78781</v>
      </c>
      <c r="I6406">
        <v>69.928889999999996</v>
      </c>
      <c r="J6406">
        <v>-187.24770000000001</v>
      </c>
      <c r="K6406">
        <v>1.134862</v>
      </c>
      <c r="L6406">
        <v>-43.165100000000002</v>
      </c>
      <c r="M6406">
        <v>4.0752970000000003E-3</v>
      </c>
      <c r="N6406">
        <v>-1.425502E-2</v>
      </c>
      <c r="O6406">
        <v>0.9998901</v>
      </c>
      <c r="P6406">
        <v>-0.17046510000000001</v>
      </c>
      <c r="Q6406">
        <v>0.22361880000000001</v>
      </c>
      <c r="R6406">
        <v>0.95965429999999996</v>
      </c>
      <c r="S6406">
        <v>-0.58029169999999997</v>
      </c>
      <c r="T6406">
        <v>1.2898529999999999</v>
      </c>
      <c r="U6406">
        <v>2.7261959999999998</v>
      </c>
      <c r="V6406">
        <v>-0.18214720000000001</v>
      </c>
      <c r="W6406">
        <v>0.23135269999999999</v>
      </c>
      <c r="X6406">
        <v>0.95566640000000003</v>
      </c>
      <c r="Y6406">
        <v>-0.1923137</v>
      </c>
      <c r="Z6406">
        <v>0.43268390000000001</v>
      </c>
      <c r="AA6406">
        <v>0.88079509999999905</v>
      </c>
      <c r="AB6406">
        <v>31</v>
      </c>
      <c r="AC6406">
        <v>-24.129099999999902</v>
      </c>
      <c r="AD6406">
        <v>53.652947999999903</v>
      </c>
      <c r="AE6406">
        <v>113.09399000000001</v>
      </c>
      <c r="AF6406">
        <v>-20.234117480272101</v>
      </c>
      <c r="AG6406">
        <v>53.652947999999903</v>
      </c>
      <c r="AH6406">
        <v>92.979391860991996</v>
      </c>
      <c r="AI6406">
        <v>60.583765913710799</v>
      </c>
      <c r="AJ6406">
        <v>102.277251132251</v>
      </c>
      <c r="AK6406">
        <v>109.239304511407</v>
      </c>
      <c r="AL6406">
        <v>76.623275674994204</v>
      </c>
      <c r="AM6406">
        <v>100.790980213334</v>
      </c>
      <c r="AN6406">
        <v>0.99999997117704398</v>
      </c>
    </row>
    <row r="6407" spans="1:40" x14ac:dyDescent="0.25">
      <c r="A6407" t="str">
        <f>"20190303162943786"</f>
        <v>20190303162943786</v>
      </c>
      <c r="B6407" t="str">
        <f>"1551601783777963"</f>
        <v>1551601783777963</v>
      </c>
      <c r="C6407" t="s">
        <v>40</v>
      </c>
      <c r="D6407">
        <v>4.3304</v>
      </c>
      <c r="E6407">
        <v>0.50189070000000002</v>
      </c>
      <c r="F6407" t="s">
        <v>70</v>
      </c>
      <c r="G6407">
        <v>-211.81729999999999</v>
      </c>
      <c r="H6407">
        <v>72.710890000000006</v>
      </c>
      <c r="I6407">
        <v>94.622709999999998</v>
      </c>
      <c r="J6407">
        <v>-187.26220000000001</v>
      </c>
      <c r="K6407">
        <v>1.1345700000000001</v>
      </c>
      <c r="L6407">
        <v>-42.841830000000002</v>
      </c>
      <c r="M6407">
        <v>-1.274349E-2</v>
      </c>
      <c r="N6407">
        <v>-1.4184230000000001E-2</v>
      </c>
      <c r="O6407">
        <v>0.99981819999999999</v>
      </c>
      <c r="P6407">
        <v>-0.1752127</v>
      </c>
      <c r="Q6407">
        <v>0.22733680000000001</v>
      </c>
      <c r="R6407">
        <v>0.95792409999999995</v>
      </c>
      <c r="S6407">
        <v>-0.4835815</v>
      </c>
      <c r="T6407">
        <v>1.4087620000000001</v>
      </c>
      <c r="U6407">
        <v>2.7119450000000001</v>
      </c>
      <c r="V6407">
        <v>-0.17071430000000001</v>
      </c>
      <c r="W6407">
        <v>0.23552149999999999</v>
      </c>
      <c r="X6407">
        <v>0.9567582</v>
      </c>
      <c r="Y6407">
        <v>-0.14309269999999999</v>
      </c>
      <c r="Z6407">
        <v>0.46828570000000003</v>
      </c>
      <c r="AA6407">
        <v>0.87191339999999995</v>
      </c>
      <c r="AB6407">
        <v>31</v>
      </c>
      <c r="AC6407">
        <v>-24.5550999999999</v>
      </c>
      <c r="AD6407">
        <v>71.576319999999996</v>
      </c>
      <c r="AE6407">
        <v>137.46454</v>
      </c>
      <c r="AF6407">
        <v>-18.056970916456802</v>
      </c>
      <c r="AG6407">
        <v>71.576319999999996</v>
      </c>
      <c r="AH6407">
        <v>109.10161794839701</v>
      </c>
      <c r="AI6407">
        <v>57.087158540129899</v>
      </c>
      <c r="AJ6407">
        <v>99.397605337780206</v>
      </c>
      <c r="AK6407">
        <v>131.72845866546101</v>
      </c>
      <c r="AL6407">
        <v>76.377634618633493</v>
      </c>
      <c r="AM6407">
        <v>100.116814804</v>
      </c>
      <c r="AN6407">
        <v>1.0000000012269901</v>
      </c>
    </row>
    <row r="6408" spans="1:40" x14ac:dyDescent="0.25">
      <c r="A6408" t="str">
        <f>"20190303162943809"</f>
        <v>20190303162943809</v>
      </c>
      <c r="B6408" t="str">
        <f>"1551601783798460"</f>
        <v>1551601783798460</v>
      </c>
      <c r="C6408" t="s">
        <v>40</v>
      </c>
      <c r="D6408">
        <v>4.3284229999999999</v>
      </c>
      <c r="E6408">
        <v>0.50209939999999997</v>
      </c>
      <c r="F6408" t="s">
        <v>70</v>
      </c>
      <c r="G6408">
        <v>-211.3844</v>
      </c>
      <c r="H6408">
        <v>77.596140000000005</v>
      </c>
      <c r="I6408">
        <v>97.246200000000002</v>
      </c>
      <c r="J6408">
        <v>-187.28039999999999</v>
      </c>
      <c r="K6408">
        <v>1.1341699999999999</v>
      </c>
      <c r="L6408">
        <v>-42.537660000000002</v>
      </c>
      <c r="M6408">
        <v>-2.794077E-2</v>
      </c>
      <c r="N6408">
        <v>-1.4092749999999999E-2</v>
      </c>
      <c r="O6408">
        <v>0.99951020000000002</v>
      </c>
      <c r="P6408">
        <v>-0.18183879999999999</v>
      </c>
      <c r="Q6408">
        <v>0.2293259</v>
      </c>
      <c r="R6408">
        <v>0.95621350000000005</v>
      </c>
      <c r="S6408">
        <v>-0.46447749999999999</v>
      </c>
      <c r="T6408">
        <v>1.47228</v>
      </c>
      <c r="U6408">
        <v>2.6974179999999999</v>
      </c>
      <c r="V6408">
        <v>-0.1626021</v>
      </c>
      <c r="W6408">
        <v>0.23785319999999999</v>
      </c>
      <c r="X6408">
        <v>0.9575941</v>
      </c>
      <c r="Y6408">
        <v>-0.1211289</v>
      </c>
      <c r="Z6408">
        <v>0.48674139999999999</v>
      </c>
      <c r="AA6408">
        <v>0.86510730000000002</v>
      </c>
      <c r="AB6408">
        <v>31</v>
      </c>
      <c r="AC6408">
        <v>-24.103999999999999</v>
      </c>
      <c r="AD6408">
        <v>76.461969999999994</v>
      </c>
      <c r="AE6408">
        <v>139.78386</v>
      </c>
      <c r="AF6408">
        <v>-15.6431055180702</v>
      </c>
      <c r="AG6408">
        <v>76.461969999999994</v>
      </c>
      <c r="AH6408">
        <v>108.791286046688</v>
      </c>
      <c r="AI6408">
        <v>55.1745606577499</v>
      </c>
      <c r="AJ6408">
        <v>98.182478653889802</v>
      </c>
      <c r="AK6408">
        <v>133.890565486231</v>
      </c>
      <c r="AL6408">
        <v>76.2401312846699</v>
      </c>
      <c r="AM6408">
        <v>99.637060135177194</v>
      </c>
      <c r="AN6408">
        <v>1.00000002401472</v>
      </c>
    </row>
    <row r="6409" spans="1:40" x14ac:dyDescent="0.25">
      <c r="A6409" t="str">
        <f>"20190303162943832"</f>
        <v>20190303162943832</v>
      </c>
      <c r="B6409" t="str">
        <f>"1551601783828716"</f>
        <v>1551601783828716</v>
      </c>
      <c r="C6409" t="s">
        <v>40</v>
      </c>
      <c r="D6409">
        <v>4.3178879999999999</v>
      </c>
      <c r="E6409">
        <v>0.50219190000000002</v>
      </c>
      <c r="F6409" t="s">
        <v>70</v>
      </c>
      <c r="G6409">
        <v>-211.9693</v>
      </c>
      <c r="H6409">
        <v>77.146739999999994</v>
      </c>
      <c r="I6409">
        <v>94.622720000000001</v>
      </c>
      <c r="J6409">
        <v>-187.30369999999999</v>
      </c>
      <c r="K6409">
        <v>1.1336980000000001</v>
      </c>
      <c r="L6409">
        <v>-42.218139999999998</v>
      </c>
      <c r="M6409">
        <v>-4.3243419999999998E-2</v>
      </c>
      <c r="N6409">
        <v>-1.398248E-2</v>
      </c>
      <c r="O6409">
        <v>0.99896669999999999</v>
      </c>
      <c r="P6409">
        <v>-0.19055349999999999</v>
      </c>
      <c r="Q6409">
        <v>0.2334003</v>
      </c>
      <c r="R6409">
        <v>0.95352700000000001</v>
      </c>
      <c r="S6409">
        <v>-0.48385620000000001</v>
      </c>
      <c r="T6409">
        <v>1.4897</v>
      </c>
      <c r="U6409">
        <v>2.6880799999999998</v>
      </c>
      <c r="V6409">
        <v>-0.15652729999999901</v>
      </c>
      <c r="W6409">
        <v>0.2421943</v>
      </c>
      <c r="X6409">
        <v>0.95751819999999999</v>
      </c>
      <c r="Y6409">
        <v>-0.11197790000000001</v>
      </c>
      <c r="Z6409">
        <v>0.49186580000000002</v>
      </c>
      <c r="AA6409">
        <v>0.86344019999999999</v>
      </c>
      <c r="AB6409">
        <v>31</v>
      </c>
      <c r="AC6409">
        <v>-24.665600000000001</v>
      </c>
      <c r="AD6409">
        <v>76.013041999999999</v>
      </c>
      <c r="AE6409">
        <v>136.84085999999999</v>
      </c>
      <c r="AF6409">
        <v>-14.4161549751495</v>
      </c>
      <c r="AG6409">
        <v>76.013041999999999</v>
      </c>
      <c r="AH6409">
        <v>106.07780743650299</v>
      </c>
      <c r="AI6409">
        <v>54.623301125878903</v>
      </c>
      <c r="AJ6409">
        <v>97.7391809043514</v>
      </c>
      <c r="AK6409">
        <v>131.294742122055</v>
      </c>
      <c r="AL6409">
        <v>75.983913850516998</v>
      </c>
      <c r="AM6409">
        <v>99.284129893925794</v>
      </c>
      <c r="AN6409">
        <v>0.99999998896450903</v>
      </c>
    </row>
    <row r="6410" spans="1:40" x14ac:dyDescent="0.25">
      <c r="A6410" t="str">
        <f>"20190303162943874"</f>
        <v>20190303162943874</v>
      </c>
      <c r="B6410" t="str">
        <f>"1551601783868734"</f>
        <v>1551601783868734</v>
      </c>
      <c r="C6410" t="s">
        <v>40</v>
      </c>
      <c r="D6410">
        <v>4.2831859999999997</v>
      </c>
      <c r="E6410">
        <v>0.5022411</v>
      </c>
      <c r="F6410" t="s">
        <v>70</v>
      </c>
      <c r="G6410">
        <v>-212.2499</v>
      </c>
      <c r="H6410">
        <v>74.478579999999994</v>
      </c>
      <c r="I6410">
        <v>88.914599999999993</v>
      </c>
      <c r="J6410">
        <v>-187.3544</v>
      </c>
      <c r="K6410">
        <v>1.1325459999999901</v>
      </c>
      <c r="L6410">
        <v>-41.655329999999999</v>
      </c>
      <c r="M6410">
        <v>-6.7801410000000006E-2</v>
      </c>
      <c r="N6410">
        <v>-1.3758319999999999E-2</v>
      </c>
      <c r="O6410">
        <v>0.99760400000000005</v>
      </c>
      <c r="P6410">
        <v>-0.2082608</v>
      </c>
      <c r="Q6410">
        <v>0.23809710000000001</v>
      </c>
      <c r="R6410">
        <v>0.9486502</v>
      </c>
      <c r="S6410">
        <v>-0.5094147</v>
      </c>
      <c r="T6410">
        <v>1.4977389999999999</v>
      </c>
      <c r="U6410">
        <v>2.6777950000000001</v>
      </c>
      <c r="V6410">
        <v>-0.15028179999999999</v>
      </c>
      <c r="W6410">
        <v>0.24726890000000001</v>
      </c>
      <c r="X6410">
        <v>0.95722169999999895</v>
      </c>
      <c r="Y6410">
        <v>-9.580052E-2</v>
      </c>
      <c r="Z6410">
        <v>0.49421690000000001</v>
      </c>
      <c r="AA6410">
        <v>0.86404400000000003</v>
      </c>
      <c r="AB6410">
        <v>31</v>
      </c>
      <c r="AC6410">
        <v>-24.895499999999998</v>
      </c>
      <c r="AD6410">
        <v>73.346034000000003</v>
      </c>
      <c r="AE6410">
        <v>130.56993</v>
      </c>
      <c r="AF6410">
        <v>-12.2535708916755</v>
      </c>
      <c r="AG6410">
        <v>73.346034000000003</v>
      </c>
      <c r="AH6410">
        <v>101.157185887786</v>
      </c>
      <c r="AI6410">
        <v>54.253353290386698</v>
      </c>
      <c r="AJ6410">
        <v>96.906813828111197</v>
      </c>
      <c r="AK6410">
        <v>125.549061963292</v>
      </c>
      <c r="AL6410">
        <v>75.684040940559598</v>
      </c>
      <c r="AM6410">
        <v>98.922484829388296</v>
      </c>
      <c r="AN6410">
        <v>0.99999995563466804</v>
      </c>
    </row>
    <row r="6411" spans="1:40" x14ac:dyDescent="0.25">
      <c r="A6411" t="str">
        <f>"20190303162943898"</f>
        <v>20190303162943898</v>
      </c>
      <c r="B6411" t="str">
        <f>"1551601783888252"</f>
        <v>1551601783888252</v>
      </c>
      <c r="C6411" t="s">
        <v>40</v>
      </c>
      <c r="D6411">
        <v>4.2677559999999897</v>
      </c>
      <c r="E6411">
        <v>0.50260959999999999</v>
      </c>
      <c r="F6411" t="s">
        <v>70</v>
      </c>
      <c r="G6411">
        <v>-212.2474</v>
      </c>
      <c r="H6411">
        <v>67.047939999999997</v>
      </c>
      <c r="I6411">
        <v>74.992099999999994</v>
      </c>
      <c r="J6411">
        <v>-187.38740000000001</v>
      </c>
      <c r="K6411">
        <v>1.1317489999999999</v>
      </c>
      <c r="L6411">
        <v>-41.338500000000003</v>
      </c>
      <c r="M6411">
        <v>-8.0029980000000001E-2</v>
      </c>
      <c r="N6411">
        <v>-1.361103E-2</v>
      </c>
      <c r="O6411">
        <v>0.99669949999999996</v>
      </c>
      <c r="P6411">
        <v>-0.21955069999999999</v>
      </c>
      <c r="Q6411">
        <v>0.2394849</v>
      </c>
      <c r="R6411">
        <v>0.9457508</v>
      </c>
      <c r="S6411">
        <v>-0.56774899999999995</v>
      </c>
      <c r="T6411">
        <v>1.503363</v>
      </c>
      <c r="U6411">
        <v>2.660431</v>
      </c>
      <c r="V6411">
        <v>-0.1495242</v>
      </c>
      <c r="W6411">
        <v>0.2488127</v>
      </c>
      <c r="X6411">
        <v>0.95694029999999997</v>
      </c>
      <c r="Y6411">
        <v>-0.1026326</v>
      </c>
      <c r="Z6411">
        <v>0.49625859999999999</v>
      </c>
      <c r="AA6411">
        <v>0.86208700000000005</v>
      </c>
      <c r="AB6411">
        <v>31</v>
      </c>
      <c r="AC6411">
        <v>-24.8599999999999</v>
      </c>
      <c r="AD6411">
        <v>65.916190999999998</v>
      </c>
      <c r="AE6411">
        <v>116.3306</v>
      </c>
      <c r="AF6411">
        <v>-11.8354338704541</v>
      </c>
      <c r="AG6411">
        <v>65.916190999999998</v>
      </c>
      <c r="AH6411">
        <v>90.239513132393</v>
      </c>
      <c r="AI6411">
        <v>54.085858818799899</v>
      </c>
      <c r="AJ6411">
        <v>97.472023341569098</v>
      </c>
      <c r="AK6411">
        <v>112.375226189857</v>
      </c>
      <c r="AL6411">
        <v>75.592734865495899</v>
      </c>
      <c r="AM6411">
        <v>98.8807923000535</v>
      </c>
      <c r="AN6411">
        <v>0.99999999191550903</v>
      </c>
    </row>
    <row r="6412" spans="1:40" x14ac:dyDescent="0.25">
      <c r="A6412" t="str">
        <f>"20190303162943918"</f>
        <v>20190303162943918</v>
      </c>
      <c r="B6412" t="str">
        <f>"1551601783908748"</f>
        <v>1551601783908748</v>
      </c>
      <c r="C6412" t="s">
        <v>40</v>
      </c>
      <c r="D6412">
        <v>4.248939</v>
      </c>
      <c r="E6412">
        <v>0.50336459999999905</v>
      </c>
      <c r="F6412" t="s">
        <v>70</v>
      </c>
      <c r="G6412">
        <v>-212.0179</v>
      </c>
      <c r="H6412">
        <v>62.506439999999998</v>
      </c>
      <c r="I6412">
        <v>66.815079999999995</v>
      </c>
      <c r="J6412">
        <v>-187.4194</v>
      </c>
      <c r="K6412">
        <v>1.130965</v>
      </c>
      <c r="L6412">
        <v>-41.05453</v>
      </c>
      <c r="M6412">
        <v>-8.9948479999999997E-2</v>
      </c>
      <c r="N6412">
        <v>-1.347982E-2</v>
      </c>
      <c r="O6412">
        <v>0.99585520000000005</v>
      </c>
      <c r="P6412">
        <v>-0.22977339999999999</v>
      </c>
      <c r="Q6412">
        <v>0.2388807</v>
      </c>
      <c r="R6412">
        <v>0.94347239999999999</v>
      </c>
      <c r="S6412">
        <v>-0.60372919999999997</v>
      </c>
      <c r="T6412">
        <v>1.504383</v>
      </c>
      <c r="U6412">
        <v>2.6510009999999999</v>
      </c>
      <c r="V6412">
        <v>-0.1498632</v>
      </c>
      <c r="W6412">
        <v>0.2483416</v>
      </c>
      <c r="X6412">
        <v>0.95700969999999996</v>
      </c>
      <c r="Y6412">
        <v>-0.1044991</v>
      </c>
      <c r="Z6412">
        <v>0.49653150000000001</v>
      </c>
      <c r="AA6412">
        <v>0.86170550000000001</v>
      </c>
      <c r="AB6412">
        <v>31</v>
      </c>
      <c r="AC6412">
        <v>-24.598500000000001</v>
      </c>
      <c r="AD6412">
        <v>61.375475000000002</v>
      </c>
      <c r="AE6412">
        <v>107.86960999999999</v>
      </c>
      <c r="AF6412">
        <v>-11.313604053593</v>
      </c>
      <c r="AG6412">
        <v>61.375475000000002</v>
      </c>
      <c r="AH6412">
        <v>83.843579504130801</v>
      </c>
      <c r="AI6412">
        <v>54.041034559528697</v>
      </c>
      <c r="AJ6412">
        <v>97.684904704931498</v>
      </c>
      <c r="AK6412">
        <v>104.521253303921</v>
      </c>
      <c r="AL6412">
        <v>75.620602401339596</v>
      </c>
      <c r="AM6412">
        <v>98.899969631633496</v>
      </c>
      <c r="AN6412">
        <v>1.0000000474494399</v>
      </c>
    </row>
    <row r="6413" spans="1:40" x14ac:dyDescent="0.25">
      <c r="A6413" t="str">
        <f>"20190303162943941"</f>
        <v>20190303162943941</v>
      </c>
      <c r="B6413" t="str">
        <f>"1551601783938028"</f>
        <v>1551601783938028</v>
      </c>
      <c r="C6413" t="s">
        <v>40</v>
      </c>
      <c r="D6413">
        <v>4.2151120000000004</v>
      </c>
      <c r="E6413">
        <v>0.50416510000000003</v>
      </c>
      <c r="F6413" t="s">
        <v>70</v>
      </c>
      <c r="G6413">
        <v>-212.245</v>
      </c>
      <c r="H6413">
        <v>59.771650000000001</v>
      </c>
      <c r="I6413">
        <v>62.543239999999997</v>
      </c>
      <c r="J6413">
        <v>-187.45820000000001</v>
      </c>
      <c r="K6413">
        <v>1.1299779999999999</v>
      </c>
      <c r="L6413">
        <v>-40.730220000000003</v>
      </c>
      <c r="M6413">
        <v>-9.9892729999999999E-2</v>
      </c>
      <c r="N6413">
        <v>-1.333168E-2</v>
      </c>
      <c r="O6413">
        <v>0.99490889999999998</v>
      </c>
      <c r="P6413">
        <v>-0.23910670000000001</v>
      </c>
      <c r="Q6413">
        <v>0.23244219999999999</v>
      </c>
      <c r="R6413">
        <v>0.94276119999999997</v>
      </c>
      <c r="S6413">
        <v>-0.63409419999999905</v>
      </c>
      <c r="T6413">
        <v>1.4977959999999999</v>
      </c>
      <c r="U6413">
        <v>2.6460880000000002</v>
      </c>
      <c r="V6413">
        <v>-0.148894</v>
      </c>
      <c r="W6413">
        <v>0.24214379999999999</v>
      </c>
      <c r="X6413">
        <v>0.95874760000000003</v>
      </c>
      <c r="Y6413">
        <v>-0.1045837</v>
      </c>
      <c r="Z6413">
        <v>0.49435509999999999</v>
      </c>
      <c r="AA6413">
        <v>0.86294570000000004</v>
      </c>
      <c r="AB6413">
        <v>31</v>
      </c>
      <c r="AC6413">
        <v>-24.786799999999999</v>
      </c>
      <c r="AD6413">
        <v>58.641672</v>
      </c>
      <c r="AE6413">
        <v>103.27346</v>
      </c>
      <c r="AF6413">
        <v>-10.9939220492279</v>
      </c>
      <c r="AG6413">
        <v>58.641672</v>
      </c>
      <c r="AH6413">
        <v>80.646527606960305</v>
      </c>
      <c r="AI6413">
        <v>54.227981565280203</v>
      </c>
      <c r="AJ6413">
        <v>97.762842181252793</v>
      </c>
      <c r="AK6413">
        <v>100.31736854623</v>
      </c>
      <c r="AL6413">
        <v>75.986896239204796</v>
      </c>
      <c r="AM6413">
        <v>98.827546730225393</v>
      </c>
      <c r="AN6413">
        <v>1.0000000018100901</v>
      </c>
    </row>
    <row r="6414" spans="1:40" x14ac:dyDescent="0.25">
      <c r="A6414" t="str">
        <f>"20190303162943964"</f>
        <v>20190303162943964</v>
      </c>
      <c r="B6414" t="str">
        <f>"1551601783958524"</f>
        <v>1551601783958524</v>
      </c>
      <c r="C6414" t="s">
        <v>40</v>
      </c>
      <c r="D6414">
        <v>4.2177160000000002</v>
      </c>
      <c r="E6414">
        <v>0.51546389999999997</v>
      </c>
      <c r="F6414" t="s">
        <v>70</v>
      </c>
      <c r="G6414">
        <v>-212.2439</v>
      </c>
      <c r="H6414">
        <v>56.375</v>
      </c>
      <c r="I6414">
        <v>58.445900000000002</v>
      </c>
      <c r="J6414">
        <v>-187.49430000000001</v>
      </c>
      <c r="K6414">
        <v>1.12897</v>
      </c>
      <c r="L6414">
        <v>-40.441189999999999</v>
      </c>
      <c r="M6414">
        <v>-0.10727100000000001</v>
      </c>
      <c r="N6414">
        <v>-1.3196070000000001E-2</v>
      </c>
      <c r="O6414">
        <v>0.99414219999999998</v>
      </c>
      <c r="P6414">
        <v>-0.24380969999999999</v>
      </c>
      <c r="Q6414">
        <v>0.22524159999999999</v>
      </c>
      <c r="R6414">
        <v>0.94330440000000004</v>
      </c>
      <c r="S6414">
        <v>-0.662323</v>
      </c>
      <c r="T6414">
        <v>1.476254</v>
      </c>
      <c r="U6414">
        <v>2.6501769999999998</v>
      </c>
      <c r="V6414">
        <v>-0.145652</v>
      </c>
      <c r="W6414">
        <v>0.23524719999999999</v>
      </c>
      <c r="X6414">
        <v>0.96096009999999998</v>
      </c>
      <c r="Y6414">
        <v>-0.10653600000000001</v>
      </c>
      <c r="Z6414">
        <v>0.48738870000000001</v>
      </c>
      <c r="AA6414">
        <v>0.86666160000000003</v>
      </c>
      <c r="AB6414">
        <v>31</v>
      </c>
      <c r="AC6414">
        <v>-24.749599999999901</v>
      </c>
      <c r="AD6414">
        <v>55.246029999999998</v>
      </c>
      <c r="AE6414">
        <v>98.887090000000001</v>
      </c>
      <c r="AF6414">
        <v>-10.8200403050452</v>
      </c>
      <c r="AG6414">
        <v>55.246029999999998</v>
      </c>
      <c r="AH6414">
        <v>78.047323538297505</v>
      </c>
      <c r="AI6414">
        <v>54.9638898098571</v>
      </c>
      <c r="AJ6414">
        <v>97.892854448820401</v>
      </c>
      <c r="AK6414">
        <v>96.231916817942405</v>
      </c>
      <c r="AL6414">
        <v>76.393805633040699</v>
      </c>
      <c r="AM6414">
        <v>98.618678118857702</v>
      </c>
      <c r="AN6414">
        <v>1.00000003200192</v>
      </c>
    </row>
    <row r="6415" spans="1:40" x14ac:dyDescent="0.25">
      <c r="A6415" t="str">
        <f>"20190303162943985"</f>
        <v>20190303162943985</v>
      </c>
      <c r="B6415" t="str">
        <f>"1551601783978044"</f>
        <v>1551601783978044</v>
      </c>
      <c r="C6415" t="s">
        <v>40</v>
      </c>
      <c r="D6415">
        <v>4.1613870000000004</v>
      </c>
      <c r="E6415">
        <v>0.51730600000000004</v>
      </c>
      <c r="F6415" t="s">
        <v>70</v>
      </c>
      <c r="G6415">
        <v>-211.37819999999999</v>
      </c>
      <c r="H6415">
        <v>58.909990000000001</v>
      </c>
      <c r="I6415">
        <v>67.977429999999998</v>
      </c>
      <c r="J6415">
        <v>-187.53370000000001</v>
      </c>
      <c r="K6415">
        <v>1.1278490000000001</v>
      </c>
      <c r="L6415">
        <v>-40.134700000000002</v>
      </c>
      <c r="M6415">
        <v>-0.1135728</v>
      </c>
      <c r="N6415">
        <v>-1.3061049999999999E-2</v>
      </c>
      <c r="O6415">
        <v>0.99344379999999999</v>
      </c>
      <c r="P6415">
        <v>-0.2440254</v>
      </c>
      <c r="Q6415">
        <v>0.21920400000000001</v>
      </c>
      <c r="R6415">
        <v>0.94466989999999995</v>
      </c>
      <c r="S6415">
        <v>-0.59162899999999996</v>
      </c>
      <c r="T6415">
        <v>1.4312940000000001</v>
      </c>
      <c r="U6415">
        <v>2.685638</v>
      </c>
      <c r="V6415">
        <v>-0.1388634</v>
      </c>
      <c r="W6415">
        <v>0.22959969999999999</v>
      </c>
      <c r="X6415">
        <v>0.96332810000000002</v>
      </c>
      <c r="Y6415">
        <v>-7.7440629999999996E-2</v>
      </c>
      <c r="Z6415">
        <v>0.47263460000000002</v>
      </c>
      <c r="AA6415">
        <v>0.87784930000000005</v>
      </c>
      <c r="AB6415">
        <v>31</v>
      </c>
      <c r="AC6415">
        <v>-23.844499999999901</v>
      </c>
      <c r="AD6415">
        <v>57.782141000000003</v>
      </c>
      <c r="AE6415">
        <v>108.11212999999999</v>
      </c>
      <c r="AF6415">
        <v>-8.96772108829785</v>
      </c>
      <c r="AG6415">
        <v>57.782141000000003</v>
      </c>
      <c r="AH6415">
        <v>86.545605018955996</v>
      </c>
      <c r="AI6415">
        <v>56.412100679460202</v>
      </c>
      <c r="AJ6415">
        <v>95.9157877329515</v>
      </c>
      <c r="AK6415">
        <v>104.447774452874</v>
      </c>
      <c r="AL6415">
        <v>76.726495071402198</v>
      </c>
      <c r="AM6415">
        <v>98.202662793215595</v>
      </c>
      <c r="AN6415">
        <v>1.00000004717462</v>
      </c>
    </row>
    <row r="6416" spans="1:40" x14ac:dyDescent="0.25">
      <c r="A6416" t="str">
        <f>"20190303162944009"</f>
        <v>20190303162944009</v>
      </c>
      <c r="B6416" t="str">
        <f>"1551601783998540"</f>
        <v>1551601783998540</v>
      </c>
      <c r="C6416" t="s">
        <v>40</v>
      </c>
      <c r="D6416">
        <v>4.1596970000000004</v>
      </c>
      <c r="E6416">
        <v>0.51847140000000003</v>
      </c>
      <c r="F6416" t="s">
        <v>70</v>
      </c>
      <c r="G6416">
        <v>-212.2458</v>
      </c>
      <c r="H6416">
        <v>62.014539999999997</v>
      </c>
      <c r="I6416">
        <v>75.523319999999998</v>
      </c>
      <c r="J6416">
        <v>-187.57409999999999</v>
      </c>
      <c r="K6416">
        <v>1.126824</v>
      </c>
      <c r="L6416">
        <v>-39.826689999999999</v>
      </c>
      <c r="M6416">
        <v>-0.1187433</v>
      </c>
      <c r="N6416">
        <v>-1.2942789999999999E-2</v>
      </c>
      <c r="O6416">
        <v>0.99284059999999996</v>
      </c>
      <c r="P6416">
        <v>-0.2393449</v>
      </c>
      <c r="Q6416">
        <v>0.21110989999999999</v>
      </c>
      <c r="R6416">
        <v>0.94770600000000005</v>
      </c>
      <c r="S6416">
        <v>-0.57632450000000002</v>
      </c>
      <c r="T6416">
        <v>1.4199729999999999</v>
      </c>
      <c r="U6416">
        <v>2.697327</v>
      </c>
      <c r="V6416">
        <v>-0.12815180000000001</v>
      </c>
      <c r="W6416">
        <v>0.22190950000000001</v>
      </c>
      <c r="X6416">
        <v>0.96660919999999895</v>
      </c>
      <c r="Y6416">
        <v>-6.7137959999999997E-2</v>
      </c>
      <c r="Z6416">
        <v>0.46815010000000001</v>
      </c>
      <c r="AA6416">
        <v>0.88109479999999996</v>
      </c>
      <c r="AB6416">
        <v>31</v>
      </c>
      <c r="AC6416">
        <v>-24.671700000000001</v>
      </c>
      <c r="AD6416">
        <v>60.887715999999998</v>
      </c>
      <c r="AE6416">
        <v>115.35001</v>
      </c>
      <c r="AF6416">
        <v>-8.5270046197704197</v>
      </c>
      <c r="AG6416">
        <v>60.887715999999998</v>
      </c>
      <c r="AH6416">
        <v>92.751118508140607</v>
      </c>
      <c r="AI6416">
        <v>56.827086173319998</v>
      </c>
      <c r="AJ6416">
        <v>95.252679402618298</v>
      </c>
      <c r="AK6416">
        <v>111.278002102811</v>
      </c>
      <c r="AL6416">
        <v>77.1787884493109</v>
      </c>
      <c r="AM6416">
        <v>97.552157623734701</v>
      </c>
      <c r="AN6416">
        <v>1.0000000277790599</v>
      </c>
    </row>
    <row r="6417" spans="1:40" x14ac:dyDescent="0.25">
      <c r="A6417" t="str">
        <f>"20190303162944032"</f>
        <v>20190303162944032</v>
      </c>
      <c r="B6417" t="str">
        <f>"1551601784027820"</f>
        <v>1551601784027820</v>
      </c>
      <c r="C6417" t="s">
        <v>40</v>
      </c>
      <c r="D6417">
        <v>4.2468690000000002</v>
      </c>
      <c r="E6417">
        <v>0.5281844</v>
      </c>
      <c r="F6417" t="s">
        <v>70</v>
      </c>
      <c r="G6417">
        <v>-212.24619999999999</v>
      </c>
      <c r="H6417">
        <v>63.517429999999997</v>
      </c>
      <c r="I6417">
        <v>81.848259999999996</v>
      </c>
      <c r="J6417">
        <v>-187.61699999999999</v>
      </c>
      <c r="K6417">
        <v>1.1259189999999999</v>
      </c>
      <c r="L6417">
        <v>-39.504820000000002</v>
      </c>
      <c r="M6417">
        <v>-0.1230097</v>
      </c>
      <c r="N6417">
        <v>-1.282988E-2</v>
      </c>
      <c r="O6417">
        <v>0.9923225</v>
      </c>
      <c r="P6417">
        <v>-0.23322809999999999</v>
      </c>
      <c r="Q6417">
        <v>0.2026356</v>
      </c>
      <c r="R6417">
        <v>0.95107489999999995</v>
      </c>
      <c r="S6417">
        <v>-0.55076599999999998</v>
      </c>
      <c r="T6417">
        <v>1.3927639999999999</v>
      </c>
      <c r="U6417">
        <v>2.7161870000000001</v>
      </c>
      <c r="V6417">
        <v>-0.1169202</v>
      </c>
      <c r="W6417">
        <v>0.21376709999999999</v>
      </c>
      <c r="X6417">
        <v>0.96986249999999996</v>
      </c>
      <c r="Y6417">
        <v>-5.4546829999999998E-2</v>
      </c>
      <c r="Z6417">
        <v>0.45890370000000003</v>
      </c>
      <c r="AA6417">
        <v>0.88681010000000005</v>
      </c>
      <c r="AB6417">
        <v>31</v>
      </c>
      <c r="AC6417">
        <v>-24.629199999999901</v>
      </c>
      <c r="AD6417">
        <v>62.391511000000001</v>
      </c>
      <c r="AE6417">
        <v>121.35308000000001</v>
      </c>
      <c r="AF6417">
        <v>-7.5871121532679604</v>
      </c>
      <c r="AG6417">
        <v>62.391511000000001</v>
      </c>
      <c r="AH6417">
        <v>98.463749912596498</v>
      </c>
      <c r="AI6417">
        <v>57.716254615406903</v>
      </c>
      <c r="AJ6417">
        <v>94.406212454888106</v>
      </c>
      <c r="AK6417">
        <v>116.813419445454</v>
      </c>
      <c r="AL6417">
        <v>77.656794017576502</v>
      </c>
      <c r="AM6417">
        <v>96.874027465856202</v>
      </c>
      <c r="AN6417">
        <v>0.99999998755834896</v>
      </c>
    </row>
    <row r="6418" spans="1:40" x14ac:dyDescent="0.25">
      <c r="A6418" t="str">
        <f>"20190303162944075"</f>
        <v>20190303162944075</v>
      </c>
      <c r="B6418" t="str">
        <f>"1551601784068812"</f>
        <v>1551601784068812</v>
      </c>
      <c r="C6418" t="s">
        <v>40</v>
      </c>
      <c r="D6418">
        <v>4.1352500000000001</v>
      </c>
      <c r="E6418">
        <v>0.5403384</v>
      </c>
      <c r="F6418" t="s">
        <v>45</v>
      </c>
      <c r="G6418">
        <v>0</v>
      </c>
      <c r="H6418">
        <v>0</v>
      </c>
      <c r="I6418">
        <v>0</v>
      </c>
      <c r="J6418">
        <v>-187.69720000000001</v>
      </c>
      <c r="K6418">
        <v>1.1245499999999999</v>
      </c>
      <c r="L6418">
        <v>-38.913089999999997</v>
      </c>
      <c r="M6418">
        <v>-0.12826860000000001</v>
      </c>
      <c r="N6418">
        <v>-1.263824E-2</v>
      </c>
      <c r="O6418">
        <v>0.99165890000000001</v>
      </c>
      <c r="P6418">
        <v>-0.2141593</v>
      </c>
      <c r="Q6418">
        <v>0.18542400000000001</v>
      </c>
      <c r="R6418">
        <v>0.9590379</v>
      </c>
      <c r="S6418">
        <v>-0.46168520000000002</v>
      </c>
      <c r="T6418">
        <v>1.172153</v>
      </c>
      <c r="U6418">
        <v>2.791382</v>
      </c>
      <c r="V6418">
        <v>-9.0994569999999997E-2</v>
      </c>
      <c r="W6418">
        <v>0.1970326</v>
      </c>
      <c r="X6418">
        <v>0.97616499999999995</v>
      </c>
      <c r="Y6418">
        <v>-2.2187160000000001E-2</v>
      </c>
      <c r="Z6418">
        <v>0.39193699999999998</v>
      </c>
      <c r="AA6418">
        <v>0.91972449999999994</v>
      </c>
      <c r="AB6418">
        <v>31</v>
      </c>
      <c r="AC6418">
        <v>-0.46168520000000002</v>
      </c>
      <c r="AD6418">
        <v>1.172153</v>
      </c>
      <c r="AE6418">
        <v>2.791382</v>
      </c>
      <c r="AF6418">
        <v>-8.5176220813326597E-2</v>
      </c>
      <c r="AG6418">
        <v>1.172153</v>
      </c>
      <c r="AH6418">
        <v>2.4133295460064801</v>
      </c>
      <c r="AI6418">
        <v>64.108189372457801</v>
      </c>
      <c r="AJ6418">
        <v>92.021362187302898</v>
      </c>
      <c r="AK6418">
        <v>2.68427963178743</v>
      </c>
      <c r="AL6418">
        <v>78.636512844756098</v>
      </c>
      <c r="AM6418">
        <v>95.325515886530098</v>
      </c>
      <c r="AN6418">
        <v>0.99999998222862196</v>
      </c>
    </row>
    <row r="6419" spans="1:40" x14ac:dyDescent="0.25">
      <c r="A6419" t="str">
        <f>"20190303162944097"</f>
        <v>20190303162944097</v>
      </c>
      <c r="B6419" t="str">
        <f>"1551601784088332"</f>
        <v>1551601784088332</v>
      </c>
      <c r="C6419" t="s">
        <v>40</v>
      </c>
      <c r="D6419">
        <v>4.162992</v>
      </c>
      <c r="E6419">
        <v>0.54012329999999997</v>
      </c>
      <c r="F6419" t="s">
        <v>69</v>
      </c>
      <c r="G6419">
        <v>-241.41149999999999</v>
      </c>
      <c r="H6419">
        <v>24.145689999999998</v>
      </c>
      <c r="I6419">
        <v>433.11880000000002</v>
      </c>
      <c r="J6419">
        <v>-187.7379</v>
      </c>
      <c r="K6419">
        <v>1.123969</v>
      </c>
      <c r="L6419">
        <v>-38.61636</v>
      </c>
      <c r="M6419">
        <v>-0.13001109999999999</v>
      </c>
      <c r="N6419">
        <v>-1.255393E-2</v>
      </c>
      <c r="O6419">
        <v>0.99143309999999996</v>
      </c>
      <c r="P6419">
        <v>-0.20391999999999999</v>
      </c>
      <c r="Q6419">
        <v>0.1764944</v>
      </c>
      <c r="R6419">
        <v>0.96294669999999905</v>
      </c>
      <c r="S6419">
        <v>-0.34397889999999998</v>
      </c>
      <c r="T6419">
        <v>0.14742429999999901</v>
      </c>
      <c r="U6419">
        <v>3.0228269999999999</v>
      </c>
      <c r="V6419">
        <v>-7.8281420000000004E-2</v>
      </c>
      <c r="W6419">
        <v>0.18826590000000001</v>
      </c>
      <c r="X6419">
        <v>0.97899340000000001</v>
      </c>
      <c r="Y6419">
        <v>1.7295189999999998E-2</v>
      </c>
      <c r="Z6419">
        <v>6.0379149999999999E-2</v>
      </c>
      <c r="AA6419">
        <v>0.99802570000000002</v>
      </c>
      <c r="AB6419">
        <v>31</v>
      </c>
      <c r="AC6419">
        <v>-53.673599999999901</v>
      </c>
      <c r="AD6419">
        <v>23.021720999999999</v>
      </c>
      <c r="AE6419">
        <v>471.73515999999898</v>
      </c>
      <c r="AF6419">
        <v>8.0986211800251695</v>
      </c>
      <c r="AG6419">
        <v>23.021720999999999</v>
      </c>
      <c r="AH6419">
        <v>473.59587870392897</v>
      </c>
      <c r="AI6419">
        <v>87.217421731908502</v>
      </c>
      <c r="AJ6419">
        <v>89.020321727661596</v>
      </c>
      <c r="AK6419">
        <v>474.22425457600298</v>
      </c>
      <c r="AL6419">
        <v>79.148399213966698</v>
      </c>
      <c r="AM6419">
        <v>94.571708414516294</v>
      </c>
      <c r="AN6419">
        <v>1.0000000535317899</v>
      </c>
    </row>
    <row r="6420" spans="1:40" x14ac:dyDescent="0.25">
      <c r="A6420" t="str">
        <f>"20190303162944119"</f>
        <v>20190303162944119</v>
      </c>
      <c r="B6420" t="str">
        <f>"1551601784107852"</f>
        <v>1551601784107852</v>
      </c>
      <c r="C6420" t="s">
        <v>40</v>
      </c>
      <c r="D6420">
        <v>4.174404</v>
      </c>
      <c r="E6420">
        <v>0.53873499999999996</v>
      </c>
      <c r="F6420" t="s">
        <v>41</v>
      </c>
      <c r="G6420">
        <v>-193.85249999999999</v>
      </c>
      <c r="H6420" s="1">
        <v>-4.9775369999999997E-6</v>
      </c>
      <c r="I6420">
        <v>19.60538</v>
      </c>
      <c r="J6420">
        <v>-187.77979999999999</v>
      </c>
      <c r="K6420">
        <v>1.1234519999999999</v>
      </c>
      <c r="L6420">
        <v>-38.312100000000001</v>
      </c>
      <c r="M6420">
        <v>-0.13137889999999999</v>
      </c>
      <c r="N6420">
        <v>-1.2476030000000001E-2</v>
      </c>
      <c r="O6420">
        <v>0.99125370000000002</v>
      </c>
      <c r="P6420">
        <v>-0.19306670000000001</v>
      </c>
      <c r="Q6420">
        <v>0.1729021</v>
      </c>
      <c r="R6420">
        <v>0.96583129999999995</v>
      </c>
      <c r="S6420">
        <v>-0.32118229999999998</v>
      </c>
      <c r="T6420">
        <v>-5.903924E-2</v>
      </c>
      <c r="U6420">
        <v>3.0582280000000002</v>
      </c>
      <c r="V6420">
        <v>-6.5527799999999997E-2</v>
      </c>
      <c r="W6420">
        <v>0.18478710000000001</v>
      </c>
      <c r="X6420">
        <v>0.98059160000000001</v>
      </c>
      <c r="Y6420">
        <v>2.712496E-2</v>
      </c>
      <c r="Z6420">
        <v>-6.6059869999999998E-3</v>
      </c>
      <c r="AA6420">
        <v>0.9996102</v>
      </c>
      <c r="AB6420">
        <v>31</v>
      </c>
      <c r="AC6420">
        <v>-6.0726999999999904</v>
      </c>
      <c r="AD6420">
        <v>-1.123456977537</v>
      </c>
      <c r="AE6420">
        <v>57.917479999999998</v>
      </c>
      <c r="AF6420">
        <v>1.5890808062213799</v>
      </c>
      <c r="AG6420">
        <v>-1.123456977537</v>
      </c>
      <c r="AH6420">
        <v>58.1916153272402</v>
      </c>
      <c r="AI6420">
        <v>91.105612365912805</v>
      </c>
      <c r="AJ6420">
        <v>88.435771178687503</v>
      </c>
      <c r="AK6420">
        <v>58.224148149909198</v>
      </c>
      <c r="AL6420">
        <v>79.351280153509705</v>
      </c>
      <c r="AM6420">
        <v>93.823092837616798</v>
      </c>
      <c r="AN6420">
        <v>1.0000000254449</v>
      </c>
    </row>
    <row r="6421" spans="1:40" x14ac:dyDescent="0.25">
      <c r="A6421" t="str">
        <f>"20190303162944142"</f>
        <v>20190303162944142</v>
      </c>
      <c r="B6421" t="str">
        <f>"1551601784128348"</f>
        <v>1551601784128348</v>
      </c>
      <c r="C6421" t="s">
        <v>40</v>
      </c>
      <c r="D6421">
        <v>4.259125</v>
      </c>
      <c r="E6421">
        <v>0.53835129999999998</v>
      </c>
      <c r="F6421" t="s">
        <v>41</v>
      </c>
      <c r="G6421">
        <v>-190.39769999999999</v>
      </c>
      <c r="H6421" s="1">
        <v>-3.8064500000000002E-6</v>
      </c>
      <c r="I6421">
        <v>-11.78459</v>
      </c>
      <c r="J6421">
        <v>-187.82300000000001</v>
      </c>
      <c r="K6421">
        <v>1.122965</v>
      </c>
      <c r="L6421">
        <v>-37.998289999999997</v>
      </c>
      <c r="M6421">
        <v>-0.13240379999999999</v>
      </c>
      <c r="N6421">
        <v>-1.240426E-2</v>
      </c>
      <c r="O6421">
        <v>0.99111830000000001</v>
      </c>
      <c r="P6421">
        <v>-0.1830763</v>
      </c>
      <c r="Q6421">
        <v>0.17476120000000001</v>
      </c>
      <c r="R6421">
        <v>0.96744070000000004</v>
      </c>
      <c r="S6421">
        <v>-0.30285640000000003</v>
      </c>
      <c r="T6421">
        <v>-0.1299688</v>
      </c>
      <c r="U6421">
        <v>3.0688780000000002</v>
      </c>
      <c r="V6421">
        <v>-5.4177870000000003E-2</v>
      </c>
      <c r="W6421">
        <v>0.18670809999999999</v>
      </c>
      <c r="X6421">
        <v>0.98092040000000003</v>
      </c>
      <c r="Y6421">
        <v>3.4460240000000003E-2</v>
      </c>
      <c r="Z6421">
        <v>-2.9326129999999999E-2</v>
      </c>
      <c r="AA6421">
        <v>0.99897570000000002</v>
      </c>
      <c r="AB6421">
        <v>31</v>
      </c>
      <c r="AC6421">
        <v>-2.5747</v>
      </c>
      <c r="AD6421">
        <v>-1.1229688064499901</v>
      </c>
      <c r="AE6421">
        <v>26.213699999999999</v>
      </c>
      <c r="AF6421">
        <v>0.91736441484329001</v>
      </c>
      <c r="AG6421">
        <v>-1.1229688064499901</v>
      </c>
      <c r="AH6421">
        <v>26.276041031248301</v>
      </c>
      <c r="AI6421">
        <v>92.4456933162392</v>
      </c>
      <c r="AJ6421">
        <v>88.000468586050005</v>
      </c>
      <c r="AK6421">
        <v>26.316020760854499</v>
      </c>
      <c r="AL6421">
        <v>79.239265264449998</v>
      </c>
      <c r="AM6421">
        <v>93.161329506058905</v>
      </c>
      <c r="AN6421">
        <v>0.99999999366975301</v>
      </c>
    </row>
    <row r="6422" spans="1:40" x14ac:dyDescent="0.25">
      <c r="A6422" t="str">
        <f>"20190303162944163"</f>
        <v>20190303162944163</v>
      </c>
      <c r="B6422" t="str">
        <f>"1551601784158604"</f>
        <v>1551601784158604</v>
      </c>
      <c r="C6422" t="s">
        <v>40</v>
      </c>
      <c r="D6422">
        <v>4.2708300000000001</v>
      </c>
      <c r="E6422">
        <v>0.53735549999999999</v>
      </c>
      <c r="F6422" t="s">
        <v>41</v>
      </c>
      <c r="G6422">
        <v>-190.1645</v>
      </c>
      <c r="H6422" s="1">
        <v>-3.5810600000000001E-6</v>
      </c>
      <c r="I6422">
        <v>-12.165369999999999</v>
      </c>
      <c r="J6422">
        <v>-187.86330000000001</v>
      </c>
      <c r="K6422">
        <v>1.1225590000000001</v>
      </c>
      <c r="L6422">
        <v>-37.704650000000001</v>
      </c>
      <c r="M6422">
        <v>-0.13305259999999999</v>
      </c>
      <c r="N6422">
        <v>-1.234495E-2</v>
      </c>
      <c r="O6422">
        <v>0.99103209999999997</v>
      </c>
      <c r="P6422">
        <v>-0.17436279999999901</v>
      </c>
      <c r="Q6422">
        <v>0.17640610000000001</v>
      </c>
      <c r="R6422">
        <v>0.96875100000000003</v>
      </c>
      <c r="S6422">
        <v>-0.27848820000000002</v>
      </c>
      <c r="T6422">
        <v>-0.13355799999999901</v>
      </c>
      <c r="U6422">
        <v>3.0723880000000001</v>
      </c>
      <c r="V6422">
        <v>-4.4535760000000001E-2</v>
      </c>
      <c r="W6422">
        <v>0.18838440000000001</v>
      </c>
      <c r="X6422">
        <v>0.98108510000000004</v>
      </c>
      <c r="Y6422">
        <v>4.3077490000000003E-2</v>
      </c>
      <c r="Z6422">
        <v>-3.0481640000000001E-2</v>
      </c>
      <c r="AA6422">
        <v>0.99860660000000001</v>
      </c>
      <c r="AB6422">
        <v>31</v>
      </c>
      <c r="AC6422">
        <v>-2.3011999999999899</v>
      </c>
      <c r="AD6422">
        <v>-1.12256258106</v>
      </c>
      <c r="AE6422">
        <v>25.539279999999899</v>
      </c>
      <c r="AF6422">
        <v>1.1154520098279499</v>
      </c>
      <c r="AG6422">
        <v>-1.12256258106</v>
      </c>
      <c r="AH6422">
        <v>25.569377077709099</v>
      </c>
      <c r="AI6422">
        <v>92.511434884729198</v>
      </c>
      <c r="AJ6422">
        <v>87.502082446183095</v>
      </c>
      <c r="AK6422">
        <v>25.618302521375298</v>
      </c>
      <c r="AL6422">
        <v>79.1414858674637</v>
      </c>
      <c r="AM6422">
        <v>92.599122666207805</v>
      </c>
      <c r="AN6422">
        <v>1.0000000447620701</v>
      </c>
    </row>
    <row r="6423" spans="1:40" x14ac:dyDescent="0.25">
      <c r="A6423" t="str">
        <f>"20190303162944186"</f>
        <v>20190303162944186</v>
      </c>
      <c r="B6423" t="str">
        <f>"1551601784178124"</f>
        <v>1551601784178124</v>
      </c>
      <c r="C6423" t="s">
        <v>40</v>
      </c>
      <c r="D6423">
        <v>4.3185099999999998</v>
      </c>
      <c r="E6423">
        <v>0.53736349999999999</v>
      </c>
      <c r="F6423" t="s">
        <v>41</v>
      </c>
      <c r="G6423">
        <v>-190.19909999999999</v>
      </c>
      <c r="H6423" s="1">
        <v>-1.8951370000000001E-7</v>
      </c>
      <c r="I6423">
        <v>-10.092599999999999</v>
      </c>
      <c r="J6423">
        <v>-187.90780000000001</v>
      </c>
      <c r="K6423">
        <v>1.1221680000000001</v>
      </c>
      <c r="L6423">
        <v>-37.37921</v>
      </c>
      <c r="M6423">
        <v>-0.13347110000000001</v>
      </c>
      <c r="N6423">
        <v>-1.228773E-2</v>
      </c>
      <c r="O6423">
        <v>0.99097650000000004</v>
      </c>
      <c r="P6423">
        <v>-0.16618569999999999</v>
      </c>
      <c r="Q6423">
        <v>0.17553769999999999</v>
      </c>
      <c r="R6423">
        <v>0.97034469999999995</v>
      </c>
      <c r="S6423">
        <v>-0.25993349999999998</v>
      </c>
      <c r="T6423">
        <v>-0.12492060000000001</v>
      </c>
      <c r="U6423">
        <v>3.0727229999999999</v>
      </c>
      <c r="V6423">
        <v>-3.5618219999999999E-2</v>
      </c>
      <c r="W6423">
        <v>0.18753020000000001</v>
      </c>
      <c r="X6423">
        <v>0.98161290000000001</v>
      </c>
      <c r="Y6423">
        <v>4.948429E-2</v>
      </c>
      <c r="Z6423">
        <v>-2.7769579999999999E-2</v>
      </c>
      <c r="AA6423">
        <v>0.99838879999999997</v>
      </c>
      <c r="AB6423">
        <v>31</v>
      </c>
      <c r="AC6423">
        <v>-2.2912999999999699</v>
      </c>
      <c r="AD6423">
        <v>-1.1221681895136999</v>
      </c>
      <c r="AE6423">
        <v>27.28661</v>
      </c>
      <c r="AF6423">
        <v>1.3691535599988101</v>
      </c>
      <c r="AG6423">
        <v>-1.1221681895136999</v>
      </c>
      <c r="AH6423">
        <v>27.302424196669399</v>
      </c>
      <c r="AI6423">
        <v>92.350662168390897</v>
      </c>
      <c r="AJ6423">
        <v>87.129153809312101</v>
      </c>
      <c r="AK6423">
        <v>27.359755297357701</v>
      </c>
      <c r="AL6423">
        <v>79.191316195807204</v>
      </c>
      <c r="AM6423">
        <v>92.078088764276899</v>
      </c>
      <c r="AN6423">
        <v>1.0000000594772001</v>
      </c>
    </row>
    <row r="6424" spans="1:40" x14ac:dyDescent="0.25">
      <c r="A6424" t="str">
        <f>"20190303162944209"</f>
        <v>20190303162944209</v>
      </c>
      <c r="B6424" t="str">
        <f>"1551601784198620"</f>
        <v>1551601784198620</v>
      </c>
      <c r="C6424" t="s">
        <v>40</v>
      </c>
      <c r="D6424">
        <v>4.2779319999999998</v>
      </c>
      <c r="E6424">
        <v>0.5371165</v>
      </c>
      <c r="F6424" t="s">
        <v>41</v>
      </c>
      <c r="G6424">
        <v>-190.18029999999999</v>
      </c>
      <c r="H6424" s="1">
        <v>-1.3890280000000001E-6</v>
      </c>
      <c r="I6424">
        <v>-7.2848559999999898</v>
      </c>
      <c r="J6424">
        <v>-187.94800000000001</v>
      </c>
      <c r="K6424">
        <v>1.12188</v>
      </c>
      <c r="L6424">
        <v>-37.084629999999997</v>
      </c>
      <c r="M6424">
        <v>-0.13367019999999999</v>
      </c>
      <c r="N6424">
        <v>-1.2241800000000001E-2</v>
      </c>
      <c r="O6424">
        <v>0.9909502</v>
      </c>
      <c r="P6424">
        <v>-0.1575442</v>
      </c>
      <c r="Q6424">
        <v>0.17523659999999999</v>
      </c>
      <c r="R6424">
        <v>0.97183949999999997</v>
      </c>
      <c r="S6424">
        <v>-0.23202510000000001</v>
      </c>
      <c r="T6424">
        <v>-0.1145746</v>
      </c>
      <c r="U6424">
        <v>3.0726619999999998</v>
      </c>
      <c r="V6424">
        <v>-2.6524720000000002E-2</v>
      </c>
      <c r="W6424">
        <v>0.18722810000000001</v>
      </c>
      <c r="X6424">
        <v>0.98195829999999995</v>
      </c>
      <c r="Y6424">
        <v>5.868317E-2</v>
      </c>
      <c r="Z6424">
        <v>-2.4503230000000001E-2</v>
      </c>
      <c r="AA6424">
        <v>0.99797590000000003</v>
      </c>
      <c r="AB6424">
        <v>31</v>
      </c>
      <c r="AC6424">
        <v>-2.2323</v>
      </c>
      <c r="AD6424">
        <v>-1.1218813890279999</v>
      </c>
      <c r="AE6424">
        <v>29.799773999999999</v>
      </c>
      <c r="AF6424">
        <v>1.76888337445729</v>
      </c>
      <c r="AG6424">
        <v>-1.1218813890279999</v>
      </c>
      <c r="AH6424">
        <v>29.788736485351201</v>
      </c>
      <c r="AI6424">
        <v>92.153023025383902</v>
      </c>
      <c r="AJ6424">
        <v>86.601712849783098</v>
      </c>
      <c r="AK6424">
        <v>29.862290395031199</v>
      </c>
      <c r="AL6424">
        <v>79.2089368495743</v>
      </c>
      <c r="AM6424">
        <v>91.547300980172096</v>
      </c>
      <c r="AN6424">
        <v>1.0000000125697801</v>
      </c>
    </row>
    <row r="6425" spans="1:40" x14ac:dyDescent="0.25">
      <c r="A6425" t="str">
        <f>"20190303162944234"</f>
        <v>20190303162944234</v>
      </c>
      <c r="B6425" t="str">
        <f>"1551601784227900"</f>
        <v>1551601784227900</v>
      </c>
      <c r="C6425" t="s">
        <v>40</v>
      </c>
      <c r="D6425">
        <v>4.3148239999999998</v>
      </c>
      <c r="E6425">
        <v>0.53647880000000003</v>
      </c>
      <c r="F6425" t="s">
        <v>41</v>
      </c>
      <c r="G6425">
        <v>-190.2105</v>
      </c>
      <c r="H6425" s="1">
        <v>-3.1886409999999999E-6</v>
      </c>
      <c r="I6425">
        <v>-3.108625</v>
      </c>
      <c r="J6425">
        <v>-187.99639999999999</v>
      </c>
      <c r="K6425">
        <v>1.121626</v>
      </c>
      <c r="L6425">
        <v>-36.727870000000003</v>
      </c>
      <c r="M6425">
        <v>-0.133722799999999</v>
      </c>
      <c r="N6425">
        <v>-1.219291E-2</v>
      </c>
      <c r="O6425">
        <v>0.99094380000000004</v>
      </c>
      <c r="P6425">
        <v>-0.14707770000000001</v>
      </c>
      <c r="Q6425">
        <v>0.17384089999999999</v>
      </c>
      <c r="R6425">
        <v>0.9737287</v>
      </c>
      <c r="S6425">
        <v>-0.2045746</v>
      </c>
      <c r="T6425">
        <v>-0.1014388</v>
      </c>
      <c r="U6425">
        <v>3.0720519999999998</v>
      </c>
      <c r="V6425">
        <v>-1.5728269999999999E-2</v>
      </c>
      <c r="W6425">
        <v>0.1858175</v>
      </c>
      <c r="X6425">
        <v>0.98245839999999995</v>
      </c>
      <c r="Y6425">
        <v>6.7584160000000004E-2</v>
      </c>
      <c r="Z6425">
        <v>-2.0349929999999999E-2</v>
      </c>
      <c r="AA6425">
        <v>0.997506</v>
      </c>
      <c r="AB6425">
        <v>31</v>
      </c>
      <c r="AC6425">
        <v>-2.2141000000000002</v>
      </c>
      <c r="AD6425">
        <v>-1.1216291886409999</v>
      </c>
      <c r="AE6425">
        <v>33.619244999999999</v>
      </c>
      <c r="AF6425">
        <v>2.2992337768478301</v>
      </c>
      <c r="AG6425">
        <v>-1.1216291886409999</v>
      </c>
      <c r="AH6425">
        <v>33.5761443547905</v>
      </c>
      <c r="AI6425">
        <v>91.908817970461897</v>
      </c>
      <c r="AJ6425">
        <v>86.082604005417394</v>
      </c>
      <c r="AK6425">
        <v>33.673461326854103</v>
      </c>
      <c r="AL6425">
        <v>79.291202007578505</v>
      </c>
      <c r="AM6425">
        <v>90.917175236267596</v>
      </c>
      <c r="AN6425">
        <v>1.0000000147570001</v>
      </c>
    </row>
    <row r="6426" spans="1:40" x14ac:dyDescent="0.25">
      <c r="A6426" t="str">
        <f>"20190303162944256"</f>
        <v>20190303162944256</v>
      </c>
      <c r="B6426" t="str">
        <f>"1551601784248396"</f>
        <v>1551601784248396</v>
      </c>
      <c r="C6426" t="s">
        <v>40</v>
      </c>
      <c r="D6426">
        <v>4.3420899999999998</v>
      </c>
      <c r="E6426">
        <v>0.53606430000000005</v>
      </c>
      <c r="F6426" t="s">
        <v>41</v>
      </c>
      <c r="G6426">
        <v>-190.2045</v>
      </c>
      <c r="H6426" s="1">
        <v>-9.0945630000000002E-7</v>
      </c>
      <c r="I6426">
        <v>1.582279</v>
      </c>
      <c r="J6426">
        <v>-188.03489999999999</v>
      </c>
      <c r="K6426">
        <v>1.121456</v>
      </c>
      <c r="L6426">
        <v>-36.443390000000001</v>
      </c>
      <c r="M6426">
        <v>-0.13361970000000001</v>
      </c>
      <c r="N6426">
        <v>-1.21589E-2</v>
      </c>
      <c r="O6426">
        <v>0.99095809999999995</v>
      </c>
      <c r="P6426">
        <v>-0.13517699999999999</v>
      </c>
      <c r="Q6426">
        <v>0.17145669999999999</v>
      </c>
      <c r="R6426">
        <v>0.97587380000000001</v>
      </c>
      <c r="S6426">
        <v>-0.17695620000000001</v>
      </c>
      <c r="T6426">
        <v>-8.9889410000000003E-2</v>
      </c>
      <c r="U6426">
        <v>3.0702509999999998</v>
      </c>
      <c r="V6426">
        <v>-3.6724560000000002E-3</v>
      </c>
      <c r="W6426">
        <v>0.18342040000000001</v>
      </c>
      <c r="X6426">
        <v>0.98302769999999995</v>
      </c>
      <c r="Y6426">
        <v>7.6372770000000006E-2</v>
      </c>
      <c r="Z6426">
        <v>-1.6696300000000001E-2</v>
      </c>
      <c r="AA6426">
        <v>0.99693949999999998</v>
      </c>
      <c r="AB6426">
        <v>31</v>
      </c>
      <c r="AC6426">
        <v>-2.1696</v>
      </c>
      <c r="AD6426">
        <v>-1.1214569094563001</v>
      </c>
      <c r="AE6426">
        <v>38.025669000000001</v>
      </c>
      <c r="AF6426">
        <v>2.9286733961091702</v>
      </c>
      <c r="AG6426">
        <v>-1.1214569094563001</v>
      </c>
      <c r="AH6426">
        <v>37.941658836480102</v>
      </c>
      <c r="AI6426">
        <v>91.688003265712098</v>
      </c>
      <c r="AJ6426">
        <v>85.5861562763736</v>
      </c>
      <c r="AK6426">
        <v>38.071042390834101</v>
      </c>
      <c r="AL6426">
        <v>79.430947748149507</v>
      </c>
      <c r="AM6426">
        <v>90.214048139592194</v>
      </c>
      <c r="AN6426">
        <v>0.99999999451826005</v>
      </c>
    </row>
    <row r="6427" spans="1:40" x14ac:dyDescent="0.25">
      <c r="A6427" t="str">
        <f>"20190303162944276"</f>
        <v>20190303162944276</v>
      </c>
      <c r="B6427" t="str">
        <f>"1551601784267916"</f>
        <v>1551601784267916</v>
      </c>
      <c r="C6427" t="s">
        <v>40</v>
      </c>
      <c r="D6427">
        <v>4.3527239999999896</v>
      </c>
      <c r="E6427">
        <v>0.53530059999999902</v>
      </c>
      <c r="F6427" t="s">
        <v>41</v>
      </c>
      <c r="G6427">
        <v>-189.8467</v>
      </c>
      <c r="H6427" s="1">
        <v>-1.086174E-6</v>
      </c>
      <c r="I6427">
        <v>2.1013109999999999</v>
      </c>
      <c r="J6427">
        <v>-188.0735</v>
      </c>
      <c r="K6427">
        <v>1.121289</v>
      </c>
      <c r="L6427">
        <v>-36.156280000000002</v>
      </c>
      <c r="M6427">
        <v>-0.13336249999999999</v>
      </c>
      <c r="N6427">
        <v>-1.2129060000000001E-2</v>
      </c>
      <c r="O6427">
        <v>0.99099309999999996</v>
      </c>
      <c r="P6427">
        <v>-0.122124</v>
      </c>
      <c r="Q6427">
        <v>0.17020260000000001</v>
      </c>
      <c r="R6427">
        <v>0.97781229999999997</v>
      </c>
      <c r="S6427">
        <v>-0.1443024</v>
      </c>
      <c r="T6427">
        <v>-8.9317320000000006E-2</v>
      </c>
      <c r="U6427">
        <v>3.069855</v>
      </c>
      <c r="V6427">
        <v>9.3433170000000003E-3</v>
      </c>
      <c r="W6427">
        <v>0.18214340000000001</v>
      </c>
      <c r="X6427">
        <v>0.98322759999999998</v>
      </c>
      <c r="Y6427">
        <v>8.6674909999999994E-2</v>
      </c>
      <c r="Z6427">
        <v>-1.6534920000000002E-2</v>
      </c>
      <c r="AA6427">
        <v>0.99609939999999997</v>
      </c>
      <c r="AB6427">
        <v>31</v>
      </c>
      <c r="AC6427">
        <v>-1.7732000000000001</v>
      </c>
      <c r="AD6427">
        <v>-1.1212900861740001</v>
      </c>
      <c r="AE6427">
        <v>38.257590999999998</v>
      </c>
      <c r="AF6427">
        <v>3.3422801774771198</v>
      </c>
      <c r="AG6427">
        <v>-1.1212900861740001</v>
      </c>
      <c r="AH6427">
        <v>38.1196185332902</v>
      </c>
      <c r="AI6427">
        <v>91.678436304374003</v>
      </c>
      <c r="AJ6427">
        <v>84.989192242596999</v>
      </c>
      <c r="AK6427">
        <v>38.282286313198</v>
      </c>
      <c r="AL6427">
        <v>79.5053684024994</v>
      </c>
      <c r="AM6427">
        <v>89.455551778774193</v>
      </c>
      <c r="AN6427">
        <v>1.0000000145689401</v>
      </c>
    </row>
    <row r="6428" spans="1:40" x14ac:dyDescent="0.25">
      <c r="A6428" t="str">
        <f>"20190303162944298"</f>
        <v>20190303162944298</v>
      </c>
      <c r="B6428" t="str">
        <f>"1551601784288412"</f>
        <v>1551601784288412</v>
      </c>
      <c r="C6428" t="s">
        <v>40</v>
      </c>
      <c r="D6428">
        <v>4.3907689999999997</v>
      </c>
      <c r="E6428">
        <v>0.53463769999999999</v>
      </c>
      <c r="F6428" t="s">
        <v>41</v>
      </c>
      <c r="G6428">
        <v>-189.52850000000001</v>
      </c>
      <c r="H6428" s="1">
        <v>-2.0464119999999999E-6</v>
      </c>
      <c r="I6428">
        <v>4.2080640000000002</v>
      </c>
      <c r="J6428">
        <v>-188.11340000000001</v>
      </c>
      <c r="K6428">
        <v>1.1210929999999999</v>
      </c>
      <c r="L6428">
        <v>-35.858179999999997</v>
      </c>
      <c r="M6428">
        <v>-0.1329082</v>
      </c>
      <c r="N6428">
        <v>-1.210289E-2</v>
      </c>
      <c r="O6428">
        <v>0.99105449999999995</v>
      </c>
      <c r="P6428">
        <v>-0.1096022</v>
      </c>
      <c r="Q6428">
        <v>0.17209849999999999</v>
      </c>
      <c r="R6428">
        <v>0.97896340000000004</v>
      </c>
      <c r="S6428">
        <v>-0.11062619999999999</v>
      </c>
      <c r="T6428">
        <v>-8.5257050000000001E-2</v>
      </c>
      <c r="U6428">
        <v>3.0690919999999999</v>
      </c>
      <c r="V6428">
        <v>2.154762E-2</v>
      </c>
      <c r="W6428">
        <v>0.1839993</v>
      </c>
      <c r="X6428">
        <v>0.98269019999999996</v>
      </c>
      <c r="Y6428">
        <v>9.7110080000000001E-2</v>
      </c>
      <c r="Z6428">
        <v>-1.5253640000000001E-2</v>
      </c>
      <c r="AA6428">
        <v>0.99515679999999995</v>
      </c>
      <c r="AB6428">
        <v>31</v>
      </c>
      <c r="AC6428">
        <v>-1.41509999999999</v>
      </c>
      <c r="AD6428">
        <v>-1.121095046412</v>
      </c>
      <c r="AE6428">
        <v>40.066243999999998</v>
      </c>
      <c r="AF6428">
        <v>3.9199130707460799</v>
      </c>
      <c r="AG6428">
        <v>-1.121095046412</v>
      </c>
      <c r="AH6428">
        <v>39.867655247809203</v>
      </c>
      <c r="AI6428">
        <v>91.603030763690498</v>
      </c>
      <c r="AJ6428">
        <v>84.384548282594494</v>
      </c>
      <c r="AK6428">
        <v>40.075584930771299</v>
      </c>
      <c r="AL6428">
        <v>79.397205377597103</v>
      </c>
      <c r="AM6428">
        <v>88.743866705960997</v>
      </c>
      <c r="AN6428">
        <v>1.00000003575209</v>
      </c>
    </row>
    <row r="6429" spans="1:40" x14ac:dyDescent="0.25">
      <c r="A6429" t="str">
        <f>"20190303162944319"</f>
        <v>20190303162944319</v>
      </c>
      <c r="B6429" t="str">
        <f>"1551601784308908"</f>
        <v>1551601784308908</v>
      </c>
      <c r="C6429" t="s">
        <v>40</v>
      </c>
      <c r="D6429">
        <v>4.403956</v>
      </c>
      <c r="E6429">
        <v>0.53384049999999905</v>
      </c>
      <c r="F6429" t="s">
        <v>41</v>
      </c>
      <c r="G6429">
        <v>-189.30600000000001</v>
      </c>
      <c r="H6429" s="1">
        <v>-1.304815E-6</v>
      </c>
      <c r="I6429">
        <v>12.38735</v>
      </c>
      <c r="J6429">
        <v>-188.1534</v>
      </c>
      <c r="K6429">
        <v>1.1208640000000001</v>
      </c>
      <c r="L6429">
        <v>-35.555999999999997</v>
      </c>
      <c r="M6429">
        <v>-0.132210299999999</v>
      </c>
      <c r="N6429">
        <v>-1.208127E-2</v>
      </c>
      <c r="O6429">
        <v>0.99114809999999998</v>
      </c>
      <c r="P6429">
        <v>-0.10024520000000001</v>
      </c>
      <c r="Q6429">
        <v>0.17623839999999999</v>
      </c>
      <c r="R6429">
        <v>0.97922969999999998</v>
      </c>
      <c r="S6429">
        <v>-7.5851440000000006E-2</v>
      </c>
      <c r="T6429">
        <v>-7.1303839999999993E-2</v>
      </c>
      <c r="U6429">
        <v>3.0685120000000001</v>
      </c>
      <c r="V6429">
        <v>3.027856E-2</v>
      </c>
      <c r="W6429">
        <v>0.18808469999999999</v>
      </c>
      <c r="X6429">
        <v>0.98168599999999995</v>
      </c>
      <c r="Y6429">
        <v>0.1076631</v>
      </c>
      <c r="Z6429">
        <v>-1.0794369999999999E-2</v>
      </c>
      <c r="AA6429">
        <v>0.99412880000000003</v>
      </c>
      <c r="AB6429">
        <v>31</v>
      </c>
      <c r="AC6429">
        <v>-1.1525999999999701</v>
      </c>
      <c r="AD6429">
        <v>-1.1208653048149999</v>
      </c>
      <c r="AE6429">
        <v>47.943350000000002</v>
      </c>
      <c r="AF6429">
        <v>5.1937493044699403</v>
      </c>
      <c r="AG6429">
        <v>-1.1208653048149999</v>
      </c>
      <c r="AH6429">
        <v>47.648794774320997</v>
      </c>
      <c r="AI6429">
        <v>91.339615737697201</v>
      </c>
      <c r="AJ6429">
        <v>83.779281983081503</v>
      </c>
      <c r="AK6429">
        <v>47.9441238768066</v>
      </c>
      <c r="AL6429">
        <v>79.158969728717494</v>
      </c>
      <c r="AM6429">
        <v>88.233361903954901</v>
      </c>
      <c r="AN6429">
        <v>1.0000000240828799</v>
      </c>
    </row>
    <row r="6430" spans="1:40" x14ac:dyDescent="0.25">
      <c r="A6430" t="str">
        <f>"20190303162944345"</f>
        <v>20190303162944345</v>
      </c>
      <c r="B6430" t="str">
        <f>"1551601784338189"</f>
        <v>1551601784338189</v>
      </c>
      <c r="C6430" t="s">
        <v>40</v>
      </c>
      <c r="D6430">
        <v>4.3554550000000001</v>
      </c>
      <c r="E6430">
        <v>0.53241740000000004</v>
      </c>
      <c r="F6430" t="s">
        <v>41</v>
      </c>
      <c r="G6430">
        <v>-189.298</v>
      </c>
      <c r="H6430" s="1">
        <v>-1.5284690000000001E-6</v>
      </c>
      <c r="I6430">
        <v>32.9054</v>
      </c>
      <c r="J6430">
        <v>-188.19669999999999</v>
      </c>
      <c r="K6430">
        <v>1.1205889999999901</v>
      </c>
      <c r="L6430">
        <v>-35.223480000000002</v>
      </c>
      <c r="M6430">
        <v>-0.13108590000000001</v>
      </c>
      <c r="N6430">
        <v>-1.2063239999999999E-2</v>
      </c>
      <c r="O6430">
        <v>0.9912976</v>
      </c>
      <c r="P6430">
        <v>-9.3615870000000004E-2</v>
      </c>
      <c r="Q6430">
        <v>0.18142449999999999</v>
      </c>
      <c r="R6430">
        <v>0.9789388</v>
      </c>
      <c r="S6430">
        <v>-5.1284789999999997E-2</v>
      </c>
      <c r="T6430">
        <v>-5.022037E-2</v>
      </c>
      <c r="U6430">
        <v>3.0674130000000002</v>
      </c>
      <c r="V6430">
        <v>3.5848680000000001E-2</v>
      </c>
      <c r="W6430">
        <v>0.1932075</v>
      </c>
      <c r="X6430">
        <v>0.98050280000000001</v>
      </c>
      <c r="Y6430">
        <v>0.1144849</v>
      </c>
      <c r="Z6430">
        <v>-4.0537230000000004E-3</v>
      </c>
      <c r="AA6430">
        <v>0.99341670000000004</v>
      </c>
      <c r="AB6430">
        <v>31</v>
      </c>
      <c r="AC6430">
        <v>-1.1012999999999999</v>
      </c>
      <c r="AD6430">
        <v>-1.1205905284690001</v>
      </c>
      <c r="AE6430">
        <v>68.128879999999995</v>
      </c>
      <c r="AF6430">
        <v>7.8374702758031098</v>
      </c>
      <c r="AG6430">
        <v>-1.1205905284690001</v>
      </c>
      <c r="AH6430">
        <v>67.666984443608399</v>
      </c>
      <c r="AI6430">
        <v>90.942453371392602</v>
      </c>
      <c r="AJ6430">
        <v>83.393204558101999</v>
      </c>
      <c r="AK6430">
        <v>68.128572912898605</v>
      </c>
      <c r="AL6430">
        <v>78.859970318421105</v>
      </c>
      <c r="AM6430">
        <v>87.906111452925202</v>
      </c>
      <c r="AN6430">
        <v>1.00000000336091</v>
      </c>
    </row>
    <row r="6431" spans="1:40" x14ac:dyDescent="0.25">
      <c r="A6431" t="str">
        <f>"20190303162944363"</f>
        <v>20190303162944363</v>
      </c>
      <c r="B6431" t="str">
        <f>"1551601784347948"</f>
        <v>1551601784347948</v>
      </c>
      <c r="C6431" t="s">
        <v>40</v>
      </c>
      <c r="D6431">
        <v>4.3673710000000003</v>
      </c>
      <c r="E6431">
        <v>0.53241740000000004</v>
      </c>
      <c r="F6431" t="s">
        <v>41</v>
      </c>
      <c r="G6431">
        <v>-189.90270000000001</v>
      </c>
      <c r="H6431" s="1">
        <v>-2.3826080000000001E-6</v>
      </c>
      <c r="I6431">
        <v>95.146460000000005</v>
      </c>
      <c r="J6431">
        <v>-188.23140000000001</v>
      </c>
      <c r="K6431">
        <v>1.1203529999999999</v>
      </c>
      <c r="L6431">
        <v>-34.952150000000003</v>
      </c>
      <c r="M6431">
        <v>-0.1298202</v>
      </c>
      <c r="N6431">
        <v>-1.205326E-2</v>
      </c>
      <c r="O6431">
        <v>0.99146429999999997</v>
      </c>
      <c r="P6431">
        <v>-9.0331110000000006E-2</v>
      </c>
      <c r="Q6431">
        <v>0.19219130000000001</v>
      </c>
      <c r="R6431">
        <v>0.97719129999999998</v>
      </c>
      <c r="S6431">
        <v>-4.0115360000000003E-2</v>
      </c>
      <c r="T6431">
        <v>-2.6350140000000001E-2</v>
      </c>
      <c r="U6431">
        <v>3.065582</v>
      </c>
      <c r="V6431">
        <v>3.7782860000000001E-2</v>
      </c>
      <c r="W6431">
        <v>0.2039087</v>
      </c>
      <c r="X6431">
        <v>0.97826060000000004</v>
      </c>
      <c r="Y6431">
        <v>0.11683010000000001</v>
      </c>
      <c r="Z6431">
        <v>3.5868720000000001E-3</v>
      </c>
      <c r="AA6431">
        <v>0.99314539999999996</v>
      </c>
      <c r="AB6431">
        <v>31</v>
      </c>
      <c r="AC6431">
        <v>-1.6713</v>
      </c>
      <c r="AD6431">
        <v>-1.1203553826079999</v>
      </c>
      <c r="AE6431">
        <v>130.09861000000001</v>
      </c>
      <c r="AF6431">
        <v>15.2323702782537</v>
      </c>
      <c r="AG6431">
        <v>-1.1203553826079999</v>
      </c>
      <c r="AH6431">
        <v>129.20490064289999</v>
      </c>
      <c r="AI6431">
        <v>90.493391216056096</v>
      </c>
      <c r="AJ6431">
        <v>83.276257168437795</v>
      </c>
      <c r="AK6431">
        <v>130.10452202217601</v>
      </c>
      <c r="AL6431">
        <v>78.234377773996798</v>
      </c>
      <c r="AM6431">
        <v>87.788193687090299</v>
      </c>
      <c r="AN6431">
        <v>1.0000000519789101</v>
      </c>
    </row>
    <row r="6432" spans="1:40" x14ac:dyDescent="0.25">
      <c r="A6432" t="str">
        <f>"20190303162944386"</f>
        <v>20190303162944386</v>
      </c>
      <c r="B6432" t="str">
        <f>"1551601784378205"</f>
        <v>1551601784378205</v>
      </c>
      <c r="C6432" t="s">
        <v>40</v>
      </c>
      <c r="D6432">
        <v>4.353218</v>
      </c>
      <c r="E6432">
        <v>0.51484659999999904</v>
      </c>
      <c r="F6432" t="s">
        <v>71</v>
      </c>
      <c r="G6432">
        <v>-192.32929999999999</v>
      </c>
      <c r="H6432">
        <v>2.1719870000000001</v>
      </c>
      <c r="I6432">
        <v>391.87</v>
      </c>
      <c r="J6432">
        <v>-188.27180000000001</v>
      </c>
      <c r="K6432">
        <v>1.120082</v>
      </c>
      <c r="L6432">
        <v>-34.629489999999997</v>
      </c>
      <c r="M6432">
        <v>-0.1279428</v>
      </c>
      <c r="N6432">
        <v>-1.2046029999999999E-2</v>
      </c>
      <c r="O6432">
        <v>0.99170840000000005</v>
      </c>
      <c r="P6432">
        <v>-8.7776919999999994E-2</v>
      </c>
      <c r="Q6432">
        <v>0.20144980000000001</v>
      </c>
      <c r="R6432">
        <v>0.97555789999999998</v>
      </c>
      <c r="S6432">
        <v>-2.9434200000000001E-2</v>
      </c>
      <c r="T6432">
        <v>7.5536969999999998E-3</v>
      </c>
      <c r="U6432">
        <v>3.0657960000000002</v>
      </c>
      <c r="V6432">
        <v>3.8437680000000002E-2</v>
      </c>
      <c r="W6432">
        <v>0.21310609999999999</v>
      </c>
      <c r="X6432">
        <v>0.97627269999999999</v>
      </c>
      <c r="Y6432">
        <v>0.11841889999999899</v>
      </c>
      <c r="Z6432">
        <v>1.4463139999999999E-2</v>
      </c>
      <c r="AA6432">
        <v>0.99285840000000003</v>
      </c>
      <c r="AB6432">
        <v>31</v>
      </c>
      <c r="AC6432">
        <v>-4.0574999999999699</v>
      </c>
      <c r="AD6432">
        <v>1.0519049999999901</v>
      </c>
      <c r="AE6432">
        <v>426.49948999999998</v>
      </c>
      <c r="AF6432">
        <v>50.547041740337399</v>
      </c>
      <c r="AG6432">
        <v>1.0519049999999901</v>
      </c>
      <c r="AH6432">
        <v>423.51040348466398</v>
      </c>
      <c r="AI6432">
        <v>89.858693303221798</v>
      </c>
      <c r="AJ6432">
        <v>83.1937995836401</v>
      </c>
      <c r="AK6432">
        <v>426.51749295025502</v>
      </c>
      <c r="AL6432">
        <v>77.695560279662402</v>
      </c>
      <c r="AM6432">
        <v>87.745322668448097</v>
      </c>
      <c r="AN6432">
        <v>1.00000002493314</v>
      </c>
    </row>
    <row r="6433" spans="1:40" x14ac:dyDescent="0.25">
      <c r="A6433" t="str">
        <f>"20190303162944409"</f>
        <v>20190303162944409</v>
      </c>
      <c r="B6433" t="str">
        <f>"1551601784398701"</f>
        <v>1551601784398701</v>
      </c>
      <c r="C6433" t="s">
        <v>40</v>
      </c>
      <c r="D6433">
        <v>4.3379989999999999</v>
      </c>
      <c r="E6433">
        <v>0.51508739999999997</v>
      </c>
      <c r="F6433" t="s">
        <v>71</v>
      </c>
      <c r="G6433">
        <v>-210.5822</v>
      </c>
      <c r="H6433">
        <v>14.453290000000001</v>
      </c>
      <c r="I6433">
        <v>391.87</v>
      </c>
      <c r="J6433">
        <v>-188.309</v>
      </c>
      <c r="K6433">
        <v>1.119856</v>
      </c>
      <c r="L6433">
        <v>-34.325130000000001</v>
      </c>
      <c r="M6433">
        <v>-0.1258061</v>
      </c>
      <c r="N6433">
        <v>-1.20412E-2</v>
      </c>
      <c r="O6433">
        <v>0.99198169999999997</v>
      </c>
      <c r="P6433">
        <v>-8.8386569999999998E-2</v>
      </c>
      <c r="Q6433">
        <v>0.21460119999999999</v>
      </c>
      <c r="R6433">
        <v>0.97269430000000001</v>
      </c>
      <c r="S6433">
        <v>-0.15908810000000001</v>
      </c>
      <c r="T6433">
        <v>9.5074770000000003E-2</v>
      </c>
      <c r="U6433">
        <v>3.041229</v>
      </c>
      <c r="V6433">
        <v>3.5564329999999998E-2</v>
      </c>
      <c r="W6433">
        <v>0.2262044</v>
      </c>
      <c r="X6433">
        <v>0.97343040000000003</v>
      </c>
      <c r="Y6433">
        <v>7.3876230000000001E-2</v>
      </c>
      <c r="Z6433">
        <v>4.2804460000000003E-2</v>
      </c>
      <c r="AA6433">
        <v>0.99634840000000002</v>
      </c>
      <c r="AB6433">
        <v>31</v>
      </c>
      <c r="AC6433">
        <v>-22.2731999999999</v>
      </c>
      <c r="AD6433">
        <v>13.333434</v>
      </c>
      <c r="AE6433">
        <v>426.19513000000001</v>
      </c>
      <c r="AF6433">
        <v>31.494886790205399</v>
      </c>
      <c r="AG6433">
        <v>13.333434</v>
      </c>
      <c r="AH6433">
        <v>425.19573770125999</v>
      </c>
      <c r="AI6433">
        <v>88.208791722335107</v>
      </c>
      <c r="AJ6433">
        <v>85.763751785237403</v>
      </c>
      <c r="AK6433">
        <v>426.56901401236303</v>
      </c>
      <c r="AL6433">
        <v>76.926288653453497</v>
      </c>
      <c r="AM6433">
        <v>87.907626375330196</v>
      </c>
      <c r="AN6433">
        <v>0.99999999789593397</v>
      </c>
    </row>
    <row r="6434" spans="1:40" x14ac:dyDescent="0.25">
      <c r="A6434" t="str">
        <f>"20190303162944436"</f>
        <v>20190303162944436</v>
      </c>
      <c r="B6434" t="str">
        <f>"1551601784427982"</f>
        <v>1551601784427982</v>
      </c>
      <c r="C6434" t="s">
        <v>40</v>
      </c>
      <c r="D6434">
        <v>4.3657899999999996</v>
      </c>
      <c r="E6434">
        <v>0.50652410000000003</v>
      </c>
      <c r="F6434" t="s">
        <v>71</v>
      </c>
      <c r="G6434">
        <v>-210.46780000000001</v>
      </c>
      <c r="H6434">
        <v>19.028459999999999</v>
      </c>
      <c r="I6434">
        <v>391.87</v>
      </c>
      <c r="J6434">
        <v>-188.3536</v>
      </c>
      <c r="K6434">
        <v>1.119583</v>
      </c>
      <c r="L6434">
        <v>-33.948239999999998</v>
      </c>
      <c r="M6434">
        <v>-0.1226468</v>
      </c>
      <c r="N6434">
        <v>-1.203897E-2</v>
      </c>
      <c r="O6434">
        <v>0.99237730000000002</v>
      </c>
      <c r="P6434">
        <v>-9.0391990000000005E-2</v>
      </c>
      <c r="Q6434">
        <v>0.22932520000000001</v>
      </c>
      <c r="R6434">
        <v>0.96914359999999999</v>
      </c>
      <c r="S6434">
        <v>-0.15814210000000001</v>
      </c>
      <c r="T6434">
        <v>0.12780949999999999</v>
      </c>
      <c r="U6434">
        <v>3.0416560000000001</v>
      </c>
      <c r="V6434">
        <v>3.0295610000000001E-2</v>
      </c>
      <c r="W6434">
        <v>0.2408816</v>
      </c>
      <c r="X6434">
        <v>0.97008159999999999</v>
      </c>
      <c r="Y6434">
        <v>7.1047750000000007E-2</v>
      </c>
      <c r="Z6434">
        <v>5.3413889999999999E-2</v>
      </c>
      <c r="AA6434">
        <v>0.99604179999999998</v>
      </c>
      <c r="AB6434">
        <v>31</v>
      </c>
      <c r="AC6434">
        <v>-22.1142</v>
      </c>
      <c r="AD6434">
        <v>17.908877</v>
      </c>
      <c r="AE6434">
        <v>425.81824</v>
      </c>
      <c r="AF6434">
        <v>30.2284853163873</v>
      </c>
      <c r="AG6434">
        <v>17.908877</v>
      </c>
      <c r="AH6434">
        <v>424.56647025985899</v>
      </c>
      <c r="AI6434">
        <v>87.590698097700098</v>
      </c>
      <c r="AJ6434">
        <v>85.927500053800799</v>
      </c>
      <c r="AK6434">
        <v>426.01781285392298</v>
      </c>
      <c r="AL6434">
        <v>76.061421630123704</v>
      </c>
      <c r="AM6434">
        <v>88.211236454007604</v>
      </c>
      <c r="AN6434">
        <v>1.0000000399311899</v>
      </c>
    </row>
    <row r="6435" spans="1:40" x14ac:dyDescent="0.25">
      <c r="A6435" t="str">
        <f>"20190303162944457"</f>
        <v>20190303162944457</v>
      </c>
      <c r="B6435" t="str">
        <f>"1551601784448478"</f>
        <v>1551601784448478</v>
      </c>
      <c r="C6435" t="s">
        <v>40</v>
      </c>
      <c r="D6435">
        <v>4.4541079999999997</v>
      </c>
      <c r="E6435">
        <v>0.49355470000000001</v>
      </c>
      <c r="F6435" t="s">
        <v>71</v>
      </c>
      <c r="G6435">
        <v>-220.65049999999999</v>
      </c>
      <c r="H6435">
        <v>59.622079999999997</v>
      </c>
      <c r="I6435">
        <v>391.87</v>
      </c>
      <c r="J6435">
        <v>-188.386</v>
      </c>
      <c r="K6435">
        <v>1.1194090000000001</v>
      </c>
      <c r="L6435">
        <v>-33.664670000000001</v>
      </c>
      <c r="M6435">
        <v>-0.1199041</v>
      </c>
      <c r="N6435">
        <v>-1.204091E-2</v>
      </c>
      <c r="O6435">
        <v>0.99271240000000005</v>
      </c>
      <c r="P6435">
        <v>-9.4336980000000001E-2</v>
      </c>
      <c r="Q6435">
        <v>0.24662339999999999</v>
      </c>
      <c r="R6435">
        <v>0.9645089</v>
      </c>
      <c r="S6435">
        <v>-0.2258453</v>
      </c>
      <c r="T6435">
        <v>0.40909610000000002</v>
      </c>
      <c r="U6435">
        <v>2.9776609999999999</v>
      </c>
      <c r="V6435">
        <v>2.3387709999999999E-2</v>
      </c>
      <c r="W6435">
        <v>0.25814949999999998</v>
      </c>
      <c r="X6435">
        <v>0.96582190000000001</v>
      </c>
      <c r="Y6435">
        <v>4.5337740000000001E-2</v>
      </c>
      <c r="Z6435">
        <v>0.14625260000000001</v>
      </c>
      <c r="AA6435">
        <v>0.98820779999999997</v>
      </c>
      <c r="AB6435">
        <v>31</v>
      </c>
      <c r="AC6435">
        <v>-32.264499999999998</v>
      </c>
      <c r="AD6435">
        <v>58.502670999999999</v>
      </c>
      <c r="AE6435">
        <v>425.53467000000001</v>
      </c>
      <c r="AF6435">
        <v>18.644968992815802</v>
      </c>
      <c r="AG6435">
        <v>58.502670999999999</v>
      </c>
      <c r="AH6435">
        <v>418.468909625972</v>
      </c>
      <c r="AI6435">
        <v>82.049319225295605</v>
      </c>
      <c r="AJ6435">
        <v>87.448861921561502</v>
      </c>
      <c r="AK6435">
        <v>422.94967278203097</v>
      </c>
      <c r="AL6435">
        <v>75.039712395965694</v>
      </c>
      <c r="AM6435">
        <v>88.612834057135501</v>
      </c>
      <c r="AN6435">
        <v>1.00000004592445</v>
      </c>
    </row>
    <row r="6436" spans="1:40" x14ac:dyDescent="0.25">
      <c r="A6436" t="str">
        <f>"20190303162944499"</f>
        <v>20190303162944499</v>
      </c>
      <c r="B6436" t="str">
        <f>"1551601784488492"</f>
        <v>1551601784488492</v>
      </c>
      <c r="C6436" t="s">
        <v>40</v>
      </c>
      <c r="D6436">
        <v>4.4578280000000001</v>
      </c>
      <c r="E6436">
        <v>0.48717579999999999</v>
      </c>
      <c r="F6436" t="s">
        <v>45</v>
      </c>
      <c r="G6436">
        <v>0</v>
      </c>
      <c r="H6436">
        <v>0</v>
      </c>
      <c r="I6436">
        <v>0</v>
      </c>
      <c r="J6436">
        <v>-188.44839999999999</v>
      </c>
      <c r="K6436">
        <v>1.1189690000000001</v>
      </c>
      <c r="L6436">
        <v>-33.087220000000002</v>
      </c>
      <c r="M6436">
        <v>-0.11341950000000001</v>
      </c>
      <c r="N6436">
        <v>-1.20523E-2</v>
      </c>
      <c r="O6436">
        <v>0.99347410000000003</v>
      </c>
      <c r="P6436">
        <v>-0.10068000000000001</v>
      </c>
      <c r="Q6436">
        <v>0.27508549999999998</v>
      </c>
      <c r="R6436">
        <v>0.95613360000000003</v>
      </c>
      <c r="S6436">
        <v>-0.32766719999999999</v>
      </c>
      <c r="T6436">
        <v>1.006141</v>
      </c>
      <c r="U6436">
        <v>2.821075</v>
      </c>
      <c r="V6436">
        <v>1.034771E-2</v>
      </c>
      <c r="W6436">
        <v>0.28658939999999999</v>
      </c>
      <c r="X6436">
        <v>0.9579976</v>
      </c>
      <c r="Y6436">
        <v>5.0875820000000002E-3</v>
      </c>
      <c r="Z6436">
        <v>0.3430763</v>
      </c>
      <c r="AA6436">
        <v>0.93929370000000001</v>
      </c>
      <c r="AB6436">
        <v>31</v>
      </c>
      <c r="AC6436">
        <v>-0.32766719999999999</v>
      </c>
      <c r="AD6436">
        <v>1.006141</v>
      </c>
      <c r="AE6436">
        <v>2.821075</v>
      </c>
      <c r="AF6436">
        <v>-4.9438730732137004E-3</v>
      </c>
      <c r="AG6436">
        <v>1.006141</v>
      </c>
      <c r="AH6436">
        <v>2.5233379575699599</v>
      </c>
      <c r="AI6436">
        <v>68.261179952681701</v>
      </c>
      <c r="AJ6436">
        <v>90.112257138700301</v>
      </c>
      <c r="AK6436">
        <v>2.7165379809373702</v>
      </c>
      <c r="AL6436">
        <v>73.346121554380602</v>
      </c>
      <c r="AM6436">
        <v>89.381149749114797</v>
      </c>
      <c r="AN6436">
        <v>0.99999998045018101</v>
      </c>
    </row>
    <row r="6437" spans="1:40" x14ac:dyDescent="0.25">
      <c r="A6437" t="str">
        <f>"20190303162944521"</f>
        <v>20190303162944521</v>
      </c>
      <c r="B6437" t="str">
        <f>"1551601784518748"</f>
        <v>1551601784518748</v>
      </c>
      <c r="C6437" t="s">
        <v>40</v>
      </c>
      <c r="D6437">
        <v>4.4827529999999998</v>
      </c>
      <c r="E6437">
        <v>0.48693120000000001</v>
      </c>
      <c r="F6437" t="s">
        <v>45</v>
      </c>
      <c r="G6437">
        <v>0</v>
      </c>
      <c r="H6437">
        <v>0</v>
      </c>
      <c r="I6437">
        <v>0</v>
      </c>
      <c r="J6437">
        <v>-188.47989999999999</v>
      </c>
      <c r="K6437">
        <v>1.1187260000000001</v>
      </c>
      <c r="L6437">
        <v>-32.778320000000001</v>
      </c>
      <c r="M6437">
        <v>-0.1095537</v>
      </c>
      <c r="N6437">
        <v>-1.2059520000000001E-2</v>
      </c>
      <c r="O6437">
        <v>0.99390769999999995</v>
      </c>
      <c r="P6437">
        <v>-0.1016865</v>
      </c>
      <c r="Q6437">
        <v>0.27932499999999999</v>
      </c>
      <c r="R6437">
        <v>0.95479700000000001</v>
      </c>
      <c r="S6437">
        <v>-0.38737490000000002</v>
      </c>
      <c r="T6437">
        <v>1.4148700000000001</v>
      </c>
      <c r="U6437">
        <v>2.6897890000000002</v>
      </c>
      <c r="V6437">
        <v>5.6690259999999998E-3</v>
      </c>
      <c r="W6437">
        <v>0.29085060000000001</v>
      </c>
      <c r="X6437">
        <v>0.95675169999999998</v>
      </c>
      <c r="Y6437">
        <v>-1.6474220000000001E-2</v>
      </c>
      <c r="Z6437">
        <v>0.47039320000000001</v>
      </c>
      <c r="AA6437">
        <v>0.88230319999999995</v>
      </c>
      <c r="AB6437">
        <v>31</v>
      </c>
      <c r="AC6437">
        <v>-0.38737490000000002</v>
      </c>
      <c r="AD6437">
        <v>1.4148700000000001</v>
      </c>
      <c r="AE6437">
        <v>2.6897890000000002</v>
      </c>
      <c r="AF6437">
        <v>-7.1078023712102603E-2</v>
      </c>
      <c r="AG6437">
        <v>1.4148700000000001</v>
      </c>
      <c r="AH6437">
        <v>2.1368125378693898</v>
      </c>
      <c r="AI6437">
        <v>56.504427910835297</v>
      </c>
      <c r="AJ6437">
        <v>91.905159990894205</v>
      </c>
      <c r="AK6437">
        <v>2.56376227921987</v>
      </c>
      <c r="AL6437">
        <v>73.091113155041398</v>
      </c>
      <c r="AM6437">
        <v>89.660510179846796</v>
      </c>
      <c r="AN6437">
        <v>1.0000000124145101</v>
      </c>
    </row>
    <row r="6438" spans="1:40" x14ac:dyDescent="0.25">
      <c r="A6438" t="str">
        <f>"20190303162944545"</f>
        <v>20190303162944545</v>
      </c>
      <c r="B6438" t="str">
        <f>"1551601784538269"</f>
        <v>1551601784538269</v>
      </c>
      <c r="C6438" t="s">
        <v>40</v>
      </c>
      <c r="D6438">
        <v>7.7746229999999903</v>
      </c>
      <c r="E6438">
        <v>0.48728850000000001</v>
      </c>
      <c r="F6438" t="s">
        <v>45</v>
      </c>
      <c r="G6438">
        <v>0</v>
      </c>
      <c r="H6438">
        <v>0</v>
      </c>
      <c r="I6438">
        <v>0</v>
      </c>
      <c r="J6438">
        <v>-188.51169999999999</v>
      </c>
      <c r="K6438">
        <v>1.118479</v>
      </c>
      <c r="L6438">
        <v>-32.44876</v>
      </c>
      <c r="M6438">
        <v>-0.105198</v>
      </c>
      <c r="N6438">
        <v>-1.206511E-2</v>
      </c>
      <c r="O6438">
        <v>0.99437810000000004</v>
      </c>
      <c r="P6438">
        <v>-0.10348640000000001</v>
      </c>
      <c r="Q6438">
        <v>0.276800299999999</v>
      </c>
      <c r="R6438">
        <v>0.95533880000000004</v>
      </c>
      <c r="S6438">
        <v>-0.39257809999999999</v>
      </c>
      <c r="T6438">
        <v>1.4609760000000001</v>
      </c>
      <c r="U6438">
        <v>2.6728209999999999</v>
      </c>
      <c r="V6438">
        <v>-1.4000230000000001E-4</v>
      </c>
      <c r="W6438">
        <v>0.28838380000000002</v>
      </c>
      <c r="X6438">
        <v>0.95751489999999995</v>
      </c>
      <c r="Y6438">
        <v>-2.2238150000000002E-2</v>
      </c>
      <c r="Z6438">
        <v>0.48450009999999999</v>
      </c>
      <c r="AA6438">
        <v>0.87450849999999902</v>
      </c>
      <c r="AB6438">
        <v>31</v>
      </c>
      <c r="AC6438">
        <v>-0.39257809999999999</v>
      </c>
      <c r="AD6438">
        <v>1.4609760000000001</v>
      </c>
      <c r="AE6438">
        <v>2.6728209999999999</v>
      </c>
      <c r="AF6438">
        <v>-8.4492358392856404E-2</v>
      </c>
      <c r="AG6438">
        <v>1.4609760000000001</v>
      </c>
      <c r="AH6438">
        <v>2.0884784230811602</v>
      </c>
      <c r="AI6438">
        <v>55.047641199261001</v>
      </c>
      <c r="AJ6438">
        <v>92.316718679220898</v>
      </c>
      <c r="AK6438">
        <v>2.5501631231900399</v>
      </c>
      <c r="AL6438">
        <v>73.2387789661081</v>
      </c>
      <c r="AM6438">
        <v>90.008377457995607</v>
      </c>
      <c r="AN6438">
        <v>1.0000000097125401</v>
      </c>
    </row>
    <row r="6439" spans="1:40" x14ac:dyDescent="0.25">
      <c r="A6439" t="str">
        <f>"20190303162944565"</f>
        <v>20190303162944565</v>
      </c>
      <c r="B6439" t="str">
        <f>"1551601784558764"</f>
        <v>1551601784558764</v>
      </c>
      <c r="C6439" t="s">
        <v>40</v>
      </c>
      <c r="D6439">
        <v>4.5644269999999896</v>
      </c>
      <c r="E6439">
        <v>0.48783579999999999</v>
      </c>
      <c r="F6439" t="s">
        <v>45</v>
      </c>
      <c r="G6439">
        <v>0</v>
      </c>
      <c r="H6439">
        <v>0</v>
      </c>
      <c r="I6439">
        <v>0</v>
      </c>
      <c r="J6439">
        <v>-188.53800000000001</v>
      </c>
      <c r="K6439">
        <v>1.118304</v>
      </c>
      <c r="L6439">
        <v>-32.162750000000003</v>
      </c>
      <c r="M6439">
        <v>-0.10128239999999999</v>
      </c>
      <c r="N6439">
        <v>-1.206837E-2</v>
      </c>
      <c r="O6439">
        <v>0.99478449999999996</v>
      </c>
      <c r="P6439">
        <v>-0.10630000000000001</v>
      </c>
      <c r="Q6439">
        <v>0.27015129999999998</v>
      </c>
      <c r="R6439">
        <v>0.9569318</v>
      </c>
      <c r="S6439">
        <v>-0.39834589999999998</v>
      </c>
      <c r="T6439">
        <v>1.454907</v>
      </c>
      <c r="U6439">
        <v>2.6755369999999998</v>
      </c>
      <c r="V6439">
        <v>-6.5225099999999996E-3</v>
      </c>
      <c r="W6439">
        <v>0.2818137</v>
      </c>
      <c r="X6439">
        <v>0.95944700000000005</v>
      </c>
      <c r="Y6439">
        <v>-2.8054320000000001E-2</v>
      </c>
      <c r="Z6439">
        <v>0.48280479999999998</v>
      </c>
      <c r="AA6439">
        <v>0.87527849999999996</v>
      </c>
      <c r="AB6439">
        <v>31</v>
      </c>
      <c r="AC6439">
        <v>-0.39834589999999998</v>
      </c>
      <c r="AD6439">
        <v>1.454907</v>
      </c>
      <c r="AE6439">
        <v>2.6755369999999998</v>
      </c>
      <c r="AF6439">
        <v>-9.7179896687557693E-2</v>
      </c>
      <c r="AG6439">
        <v>1.454907</v>
      </c>
      <c r="AH6439">
        <v>2.0958311478530498</v>
      </c>
      <c r="AI6439">
        <v>55.260785514391799</v>
      </c>
      <c r="AJ6439">
        <v>92.654800060534299</v>
      </c>
      <c r="AK6439">
        <v>2.5531757697581798</v>
      </c>
      <c r="AL6439">
        <v>73.631518566059299</v>
      </c>
      <c r="AM6439">
        <v>90.389502013027297</v>
      </c>
      <c r="AN6439">
        <v>1.0000000252266901</v>
      </c>
    </row>
    <row r="6440" spans="1:40" x14ac:dyDescent="0.25">
      <c r="A6440" t="str">
        <f>"20190303162944588"</f>
        <v>20190303162944588</v>
      </c>
      <c r="B6440" t="str">
        <f>"1551601784578285"</f>
        <v>1551601784578285</v>
      </c>
      <c r="C6440" t="s">
        <v>40</v>
      </c>
      <c r="D6440">
        <v>4.5662839999999996</v>
      </c>
      <c r="E6440">
        <v>0.48844729999999997</v>
      </c>
      <c r="F6440" t="s">
        <v>45</v>
      </c>
      <c r="G6440">
        <v>0</v>
      </c>
      <c r="H6440">
        <v>0</v>
      </c>
      <c r="I6440">
        <v>0</v>
      </c>
      <c r="J6440">
        <v>-188.56569999999999</v>
      </c>
      <c r="K6440">
        <v>1.118185</v>
      </c>
      <c r="L6440">
        <v>-31.845980000000001</v>
      </c>
      <c r="M6440">
        <v>-9.686314E-2</v>
      </c>
      <c r="N6440">
        <v>-1.207065E-2</v>
      </c>
      <c r="O6440">
        <v>0.99522449999999996</v>
      </c>
      <c r="P6440">
        <v>-0.1062613</v>
      </c>
      <c r="Q6440">
        <v>0.26639439999999998</v>
      </c>
      <c r="R6440">
        <v>0.95798879999999997</v>
      </c>
      <c r="S6440">
        <v>-0.40199279999999998</v>
      </c>
      <c r="T6440">
        <v>1.432585</v>
      </c>
      <c r="U6440">
        <v>2.6859440000000001</v>
      </c>
      <c r="V6440">
        <v>-1.0623530000000001E-2</v>
      </c>
      <c r="W6440">
        <v>0.2781072</v>
      </c>
      <c r="X6440">
        <v>0.96049130000000005</v>
      </c>
      <c r="Y6440">
        <v>-3.3733640000000002E-2</v>
      </c>
      <c r="Z6440">
        <v>0.47602440000000001</v>
      </c>
      <c r="AA6440">
        <v>0.87878480000000003</v>
      </c>
      <c r="AB6440">
        <v>31</v>
      </c>
      <c r="AC6440">
        <v>-0.40199279999999998</v>
      </c>
      <c r="AD6440">
        <v>1.432585</v>
      </c>
      <c r="AE6440">
        <v>2.6859440000000001</v>
      </c>
      <c r="AF6440">
        <v>-0.10945819686253799</v>
      </c>
      <c r="AG6440">
        <v>1.432585</v>
      </c>
      <c r="AH6440">
        <v>2.1218583464347698</v>
      </c>
      <c r="AI6440">
        <v>56.009816392193699</v>
      </c>
      <c r="AJ6440">
        <v>92.953042804608501</v>
      </c>
      <c r="AK6440">
        <v>2.5625307259465799</v>
      </c>
      <c r="AL6440">
        <v>73.852731174816299</v>
      </c>
      <c r="AM6440">
        <v>90.633695082142495</v>
      </c>
      <c r="AN6440">
        <v>1.00000000572859</v>
      </c>
    </row>
    <row r="6441" spans="1:40" x14ac:dyDescent="0.25">
      <c r="A6441" t="str">
        <f>"20190303162944610"</f>
        <v>20190303162944610</v>
      </c>
      <c r="B6441" t="str">
        <f>"1551601784598780"</f>
        <v>1551601784598780</v>
      </c>
      <c r="C6441" t="s">
        <v>40</v>
      </c>
      <c r="D6441">
        <v>4.557639</v>
      </c>
      <c r="E6441">
        <v>0.48909069999999999</v>
      </c>
      <c r="F6441" t="s">
        <v>45</v>
      </c>
      <c r="G6441">
        <v>0</v>
      </c>
      <c r="H6441">
        <v>0</v>
      </c>
      <c r="I6441">
        <v>0</v>
      </c>
      <c r="J6441">
        <v>-188.5917</v>
      </c>
      <c r="K6441">
        <v>1.1181350000000001</v>
      </c>
      <c r="L6441">
        <v>-31.532810000000001</v>
      </c>
      <c r="M6441">
        <v>-9.2481140000000003E-2</v>
      </c>
      <c r="N6441">
        <v>-1.2071699999999999E-2</v>
      </c>
      <c r="O6441">
        <v>0.9956412</v>
      </c>
      <c r="P6441">
        <v>-0.10304439999999999</v>
      </c>
      <c r="Q6441">
        <v>0.26751809999999998</v>
      </c>
      <c r="R6441">
        <v>0.95802710000000002</v>
      </c>
      <c r="S6441">
        <v>-0.3942871</v>
      </c>
      <c r="T6441">
        <v>1.417179</v>
      </c>
      <c r="U6441">
        <v>2.693756</v>
      </c>
      <c r="V6441">
        <v>-1.1617529999999999E-2</v>
      </c>
      <c r="W6441">
        <v>0.27923829999999999</v>
      </c>
      <c r="X6441">
        <v>0.96015159999999999</v>
      </c>
      <c r="Y6441">
        <v>-3.5667209999999998E-2</v>
      </c>
      <c r="Z6441">
        <v>0.4714197</v>
      </c>
      <c r="AA6441">
        <v>0.88118739999999995</v>
      </c>
      <c r="AB6441">
        <v>31</v>
      </c>
      <c r="AC6441">
        <v>-0.3942871</v>
      </c>
      <c r="AD6441">
        <v>1.417179</v>
      </c>
      <c r="AE6441">
        <v>2.693756</v>
      </c>
      <c r="AF6441">
        <v>-0.112872004681602</v>
      </c>
      <c r="AG6441">
        <v>1.417179</v>
      </c>
      <c r="AH6441">
        <v>2.1390509071230599</v>
      </c>
      <c r="AI6441">
        <v>56.511117107419402</v>
      </c>
      <c r="AJ6441">
        <v>93.020543913912206</v>
      </c>
      <c r="AK6441">
        <v>2.56839934409465</v>
      </c>
      <c r="AL6441">
        <v>73.785251408725301</v>
      </c>
      <c r="AM6441">
        <v>90.693226941134697</v>
      </c>
      <c r="AN6441">
        <v>1.00000004508637</v>
      </c>
    </row>
    <row r="6442" spans="1:40" x14ac:dyDescent="0.25">
      <c r="A6442" t="str">
        <f>"20190303162944634"</f>
        <v>20190303162944634</v>
      </c>
      <c r="B6442" t="str">
        <f>"1551601784628060"</f>
        <v>1551601784628060</v>
      </c>
      <c r="C6442" t="s">
        <v>40</v>
      </c>
      <c r="D6442">
        <v>4.5266260000000003</v>
      </c>
      <c r="E6442">
        <v>0.48958659999999998</v>
      </c>
      <c r="F6442" t="s">
        <v>45</v>
      </c>
      <c r="G6442">
        <v>0</v>
      </c>
      <c r="H6442">
        <v>0</v>
      </c>
      <c r="I6442">
        <v>0</v>
      </c>
      <c r="J6442">
        <v>-188.61680000000001</v>
      </c>
      <c r="K6442">
        <v>1.1181449999999999</v>
      </c>
      <c r="L6442">
        <v>-31.212769999999999</v>
      </c>
      <c r="M6442">
        <v>-8.8052519999999995E-2</v>
      </c>
      <c r="N6442">
        <v>-1.207131E-2</v>
      </c>
      <c r="O6442">
        <v>0.99604269999999995</v>
      </c>
      <c r="P6442">
        <v>-9.9721749999999998E-2</v>
      </c>
      <c r="Q6442">
        <v>0.26995829999999998</v>
      </c>
      <c r="R6442">
        <v>0.95769420000000005</v>
      </c>
      <c r="S6442">
        <v>-0.37666319999999998</v>
      </c>
      <c r="T6442">
        <v>1.418752</v>
      </c>
      <c r="U6442">
        <v>2.6947329999999998</v>
      </c>
      <c r="V6442">
        <v>-1.2597550000000001E-2</v>
      </c>
      <c r="W6442">
        <v>0.28167829999999999</v>
      </c>
      <c r="X6442">
        <v>0.95942620000000001</v>
      </c>
      <c r="Y6442">
        <v>-3.4363669999999999E-2</v>
      </c>
      <c r="Z6442">
        <v>0.4721244</v>
      </c>
      <c r="AA6442">
        <v>0.88086189999999998</v>
      </c>
      <c r="AB6442">
        <v>31</v>
      </c>
      <c r="AC6442">
        <v>-0.37666319999999998</v>
      </c>
      <c r="AD6442">
        <v>1.418752</v>
      </c>
      <c r="AE6442">
        <v>2.6947329999999998</v>
      </c>
      <c r="AF6442">
        <v>-0.108425782023226</v>
      </c>
      <c r="AG6442">
        <v>1.418752</v>
      </c>
      <c r="AH6442">
        <v>2.13654748817026</v>
      </c>
      <c r="AI6442">
        <v>56.448215248934297</v>
      </c>
      <c r="AJ6442">
        <v>92.905161215011702</v>
      </c>
      <c r="AK6442">
        <v>2.56699212248849</v>
      </c>
      <c r="AL6442">
        <v>73.639603505405404</v>
      </c>
      <c r="AM6442">
        <v>90.752267315307606</v>
      </c>
      <c r="AN6442">
        <v>0.99999999810166595</v>
      </c>
    </row>
    <row r="6443" spans="1:40" x14ac:dyDescent="0.25">
      <c r="A6443" t="str">
        <f>"20190303162944656"</f>
        <v>20190303162944656</v>
      </c>
      <c r="B6443" t="str">
        <f>"1551601784648556"</f>
        <v>1551601784648556</v>
      </c>
      <c r="C6443" t="s">
        <v>40</v>
      </c>
      <c r="D6443">
        <v>4.5345750000000002</v>
      </c>
      <c r="E6443">
        <v>0.48968739999999999</v>
      </c>
      <c r="F6443" t="s">
        <v>45</v>
      </c>
      <c r="G6443">
        <v>0</v>
      </c>
      <c r="H6443">
        <v>0</v>
      </c>
      <c r="I6443">
        <v>0</v>
      </c>
      <c r="J6443">
        <v>-188.64070000000001</v>
      </c>
      <c r="K6443">
        <v>1.118193</v>
      </c>
      <c r="L6443">
        <v>-30.891940000000002</v>
      </c>
      <c r="M6443">
        <v>-8.3710980000000004E-2</v>
      </c>
      <c r="N6443">
        <v>-1.2069119999999999E-2</v>
      </c>
      <c r="O6443">
        <v>0.996417</v>
      </c>
      <c r="P6443">
        <v>-9.7000429999999999E-2</v>
      </c>
      <c r="Q6443">
        <v>0.27280989999999999</v>
      </c>
      <c r="R6443">
        <v>0.9571655</v>
      </c>
      <c r="S6443">
        <v>-0.36325069999999998</v>
      </c>
      <c r="T6443">
        <v>1.436129</v>
      </c>
      <c r="U6443">
        <v>2.68988</v>
      </c>
      <c r="V6443">
        <v>-1.4124579999999999E-2</v>
      </c>
      <c r="W6443">
        <v>0.28452929999999999</v>
      </c>
      <c r="X6443">
        <v>0.95856330000000001</v>
      </c>
      <c r="Y6443">
        <v>-3.4238900000000003E-2</v>
      </c>
      <c r="Z6443">
        <v>0.47753030000000002</v>
      </c>
      <c r="AA6443">
        <v>0.877947899999999</v>
      </c>
      <c r="AB6443">
        <v>31</v>
      </c>
      <c r="AC6443">
        <v>-0.36325069999999998</v>
      </c>
      <c r="AD6443">
        <v>1.436129</v>
      </c>
      <c r="AE6443">
        <v>2.68988</v>
      </c>
      <c r="AF6443">
        <v>-0.10686917724513199</v>
      </c>
      <c r="AG6443">
        <v>1.436129</v>
      </c>
      <c r="AH6443">
        <v>2.11794112972634</v>
      </c>
      <c r="AI6443">
        <v>55.893503246197298</v>
      </c>
      <c r="AJ6443">
        <v>92.888637419885796</v>
      </c>
      <c r="AK6443">
        <v>2.5611642186069501</v>
      </c>
      <c r="AL6443">
        <v>73.469285578485596</v>
      </c>
      <c r="AM6443">
        <v>90.844201168055704</v>
      </c>
      <c r="AN6443">
        <v>1.00000001321277</v>
      </c>
    </row>
    <row r="6444" spans="1:40" x14ac:dyDescent="0.25">
      <c r="A6444" t="str">
        <f>"20190303162944676"</f>
        <v>20190303162944676</v>
      </c>
      <c r="B6444" t="str">
        <f>"1551601784668076"</f>
        <v>1551601784668076</v>
      </c>
      <c r="C6444" t="s">
        <v>40</v>
      </c>
      <c r="D6444">
        <v>4.4820989999999998</v>
      </c>
      <c r="E6444">
        <v>0.49423220000000001</v>
      </c>
      <c r="F6444" t="s">
        <v>45</v>
      </c>
      <c r="G6444">
        <v>0</v>
      </c>
      <c r="H6444">
        <v>0</v>
      </c>
      <c r="I6444">
        <v>0</v>
      </c>
      <c r="J6444">
        <v>-188.6611</v>
      </c>
      <c r="K6444">
        <v>1.1182589999999999</v>
      </c>
      <c r="L6444">
        <v>-30.603940000000001</v>
      </c>
      <c r="M6444">
        <v>-7.9931749999999996E-2</v>
      </c>
      <c r="N6444">
        <v>-1.2065950000000001E-2</v>
      </c>
      <c r="O6444">
        <v>0.99672729999999998</v>
      </c>
      <c r="P6444">
        <v>-9.550815E-2</v>
      </c>
      <c r="Q6444">
        <v>0.27684180000000003</v>
      </c>
      <c r="R6444">
        <v>0.95615729999999999</v>
      </c>
      <c r="S6444">
        <v>-0.35627750000000002</v>
      </c>
      <c r="T6444">
        <v>1.4511860000000001</v>
      </c>
      <c r="U6444">
        <v>2.6845400000000001</v>
      </c>
      <c r="V6444">
        <v>-1.6372859999999999E-2</v>
      </c>
      <c r="W6444">
        <v>0.28855999999999998</v>
      </c>
      <c r="X6444">
        <v>0.9573218</v>
      </c>
      <c r="Y6444">
        <v>-3.5686199999999897E-2</v>
      </c>
      <c r="Z6444">
        <v>0.48228260000000001</v>
      </c>
      <c r="AA6444">
        <v>0.87528850000000002</v>
      </c>
      <c r="AB6444">
        <v>31</v>
      </c>
      <c r="AC6444">
        <v>-0.35627750000000002</v>
      </c>
      <c r="AD6444">
        <v>1.4511860000000001</v>
      </c>
      <c r="AE6444">
        <v>2.6845400000000001</v>
      </c>
      <c r="AF6444">
        <v>-0.109187498806743</v>
      </c>
      <c r="AG6444">
        <v>1.4511860000000001</v>
      </c>
      <c r="AH6444">
        <v>2.1010825685095198</v>
      </c>
      <c r="AI6444">
        <v>55.403868271613298</v>
      </c>
      <c r="AJ6444">
        <v>92.974828515293098</v>
      </c>
      <c r="AK6444">
        <v>2.5558581095566</v>
      </c>
      <c r="AL6444">
        <v>73.228234816139604</v>
      </c>
      <c r="AM6444">
        <v>90.979821337742493</v>
      </c>
      <c r="AN6444">
        <v>0.99999998644990895</v>
      </c>
    </row>
    <row r="6445" spans="1:40" x14ac:dyDescent="0.25">
      <c r="A6445" t="str">
        <f>"20190303162944700"</f>
        <v>20190303162944700</v>
      </c>
      <c r="B6445" t="str">
        <f>"1551601784688573"</f>
        <v>1551601784688573</v>
      </c>
      <c r="C6445" t="s">
        <v>40</v>
      </c>
      <c r="D6445">
        <v>4.5072530000000004</v>
      </c>
      <c r="E6445">
        <v>0.49416300000000002</v>
      </c>
      <c r="F6445" t="s">
        <v>45</v>
      </c>
      <c r="G6445">
        <v>0</v>
      </c>
      <c r="H6445">
        <v>0</v>
      </c>
      <c r="I6445">
        <v>0</v>
      </c>
      <c r="J6445">
        <v>-188.68209999999999</v>
      </c>
      <c r="K6445">
        <v>1.1183529999999999</v>
      </c>
      <c r="L6445">
        <v>-30.291260000000001</v>
      </c>
      <c r="M6445">
        <v>-7.5977630000000004E-2</v>
      </c>
      <c r="N6445">
        <v>-1.206172E-2</v>
      </c>
      <c r="O6445">
        <v>0.99703660000000005</v>
      </c>
      <c r="P6445">
        <v>-9.2306810000000003E-2</v>
      </c>
      <c r="Q6445">
        <v>0.27894340000000001</v>
      </c>
      <c r="R6445">
        <v>0.95586090000000001</v>
      </c>
      <c r="S6445">
        <v>-0.31230160000000001</v>
      </c>
      <c r="T6445">
        <v>1.655597</v>
      </c>
      <c r="U6445">
        <v>2.627014</v>
      </c>
      <c r="V6445">
        <v>-1.7059999999999999E-2</v>
      </c>
      <c r="W6445">
        <v>0.2906513</v>
      </c>
      <c r="X6445">
        <v>0.956677</v>
      </c>
      <c r="Y6445">
        <v>-2.3658579999999998E-2</v>
      </c>
      <c r="Z6445">
        <v>0.53988369999999997</v>
      </c>
      <c r="AA6445">
        <v>0.84140709999999996</v>
      </c>
      <c r="AB6445">
        <v>31</v>
      </c>
      <c r="AC6445">
        <v>-0.31230160000000001</v>
      </c>
      <c r="AD6445">
        <v>1.655597</v>
      </c>
      <c r="AE6445">
        <v>2.627014</v>
      </c>
      <c r="AF6445">
        <v>-8.0329511991462696E-2</v>
      </c>
      <c r="AG6445">
        <v>1.655597</v>
      </c>
      <c r="AH6445">
        <v>1.8993020037108601</v>
      </c>
      <c r="AI6445">
        <v>48.947117159426497</v>
      </c>
      <c r="AJ6445">
        <v>92.4218373882305</v>
      </c>
      <c r="AK6445">
        <v>2.5208733324397499</v>
      </c>
      <c r="AL6445">
        <v>73.103048484912904</v>
      </c>
      <c r="AM6445">
        <v>91.0216221428946</v>
      </c>
      <c r="AN6445">
        <v>1.00000005206034</v>
      </c>
    </row>
    <row r="6446" spans="1:40" x14ac:dyDescent="0.25">
      <c r="A6446" t="str">
        <f>"20190303162944722"</f>
        <v>20190303162944722</v>
      </c>
      <c r="B6446" t="str">
        <f>"1551601784717853"</f>
        <v>1551601784717853</v>
      </c>
      <c r="C6446" t="s">
        <v>40</v>
      </c>
      <c r="D6446">
        <v>4.443003</v>
      </c>
      <c r="E6446">
        <v>0.49498500000000001</v>
      </c>
      <c r="F6446" t="s">
        <v>45</v>
      </c>
      <c r="G6446">
        <v>0</v>
      </c>
      <c r="H6446">
        <v>0</v>
      </c>
      <c r="I6446">
        <v>0</v>
      </c>
      <c r="J6446">
        <v>-188.70230000000001</v>
      </c>
      <c r="K6446">
        <v>1.118458</v>
      </c>
      <c r="L6446">
        <v>-29.97372</v>
      </c>
      <c r="M6446">
        <v>-7.2135080000000004E-2</v>
      </c>
      <c r="N6446">
        <v>-1.2056829999999999E-2</v>
      </c>
      <c r="O6446">
        <v>0.99732200000000004</v>
      </c>
      <c r="P6446">
        <v>-8.8554750000000002E-2</v>
      </c>
      <c r="Q6446">
        <v>0.27760590000000002</v>
      </c>
      <c r="R6446">
        <v>0.95660500000000004</v>
      </c>
      <c r="S6446">
        <v>-0.30303960000000002</v>
      </c>
      <c r="T6446">
        <v>1.653913</v>
      </c>
      <c r="U6446">
        <v>2.626617</v>
      </c>
      <c r="V6446">
        <v>-1.70522E-2</v>
      </c>
      <c r="W6446">
        <v>0.28930869999999997</v>
      </c>
      <c r="X6446">
        <v>0.95708389999999999</v>
      </c>
      <c r="Y6446">
        <v>-2.4608060000000001E-2</v>
      </c>
      <c r="Z6446">
        <v>0.53982750000000002</v>
      </c>
      <c r="AA6446">
        <v>0.84141589999999999</v>
      </c>
      <c r="AB6446">
        <v>31</v>
      </c>
      <c r="AC6446">
        <v>-0.30303960000000002</v>
      </c>
      <c r="AD6446">
        <v>1.653913</v>
      </c>
      <c r="AE6446">
        <v>2.626617</v>
      </c>
      <c r="AF6446">
        <v>-8.1051204730342996E-2</v>
      </c>
      <c r="AG6446">
        <v>1.653913</v>
      </c>
      <c r="AH6446">
        <v>1.8987063462695699</v>
      </c>
      <c r="AI6446">
        <v>48.967566718173998</v>
      </c>
      <c r="AJ6446">
        <v>92.444334953235995</v>
      </c>
      <c r="AK6446">
        <v>2.5193418384017598</v>
      </c>
      <c r="AL6446">
        <v>73.183425642221295</v>
      </c>
      <c r="AM6446">
        <v>91.020721098381401</v>
      </c>
      <c r="AN6446">
        <v>0.99999994652986801</v>
      </c>
    </row>
    <row r="6447" spans="1:40" x14ac:dyDescent="0.25">
      <c r="A6447" t="str">
        <f>"20190303162944743"</f>
        <v>20190303162944743</v>
      </c>
      <c r="B6447" t="str">
        <f>"1551601784738349"</f>
        <v>1551601784738349</v>
      </c>
      <c r="C6447" t="s">
        <v>40</v>
      </c>
      <c r="D6447">
        <v>4.4674339999999999</v>
      </c>
      <c r="E6447">
        <v>0.49511450000000001</v>
      </c>
      <c r="F6447" t="s">
        <v>45</v>
      </c>
      <c r="G6447">
        <v>0</v>
      </c>
      <c r="H6447">
        <v>0</v>
      </c>
      <c r="I6447">
        <v>0</v>
      </c>
      <c r="J6447">
        <v>-188.71950000000001</v>
      </c>
      <c r="K6447">
        <v>1.11856</v>
      </c>
      <c r="L6447">
        <v>-29.689060000000001</v>
      </c>
      <c r="M6447">
        <v>-6.88526E-2</v>
      </c>
      <c r="N6447">
        <v>-1.205212E-2</v>
      </c>
      <c r="O6447">
        <v>0.9975541</v>
      </c>
      <c r="P6447">
        <v>-8.6197819999999994E-2</v>
      </c>
      <c r="Q6447">
        <v>0.27275169999999999</v>
      </c>
      <c r="R6447">
        <v>0.95821520000000004</v>
      </c>
      <c r="S6447">
        <v>-0.28593439999999998</v>
      </c>
      <c r="T6447">
        <v>1.6394550000000001</v>
      </c>
      <c r="U6447">
        <v>2.6338499999999998</v>
      </c>
      <c r="V6447">
        <v>-1.7863250000000001E-2</v>
      </c>
      <c r="W6447">
        <v>0.284468</v>
      </c>
      <c r="X6447">
        <v>0.95851909999999896</v>
      </c>
      <c r="Y6447">
        <v>-2.2505549999999999E-2</v>
      </c>
      <c r="Z6447">
        <v>0.53579160000000003</v>
      </c>
      <c r="AA6447">
        <v>0.84405030000000003</v>
      </c>
      <c r="AB6447">
        <v>31</v>
      </c>
      <c r="AC6447">
        <v>-0.28593439999999998</v>
      </c>
      <c r="AD6447">
        <v>1.6394550000000001</v>
      </c>
      <c r="AE6447">
        <v>2.6338499999999998</v>
      </c>
      <c r="AF6447">
        <v>-7.5126400322296394E-2</v>
      </c>
      <c r="AG6447">
        <v>1.6394550000000001</v>
      </c>
      <c r="AH6447">
        <v>1.9142487569784701</v>
      </c>
      <c r="AI6447">
        <v>49.4434375904113</v>
      </c>
      <c r="AJ6447">
        <v>92.247470577298202</v>
      </c>
      <c r="AK6447">
        <v>2.5214688133395602</v>
      </c>
      <c r="AL6447">
        <v>73.472949011334507</v>
      </c>
      <c r="AM6447">
        <v>91.067657773529504</v>
      </c>
      <c r="AN6447">
        <v>1.00000000189468</v>
      </c>
    </row>
    <row r="6448" spans="1:40" x14ac:dyDescent="0.25">
      <c r="A6448" t="str">
        <f>"20190303162944767"</f>
        <v>20190303162944767</v>
      </c>
      <c r="B6448" t="str">
        <f>"1551601784757870"</f>
        <v>1551601784757870</v>
      </c>
      <c r="C6448" t="s">
        <v>40</v>
      </c>
      <c r="D6448">
        <v>4.4185910000000002</v>
      </c>
      <c r="E6448">
        <v>0.49515799999999999</v>
      </c>
      <c r="F6448" t="s">
        <v>45</v>
      </c>
      <c r="G6448">
        <v>0</v>
      </c>
      <c r="H6448">
        <v>0</v>
      </c>
      <c r="I6448">
        <v>0</v>
      </c>
      <c r="J6448">
        <v>-188.73849999999999</v>
      </c>
      <c r="K6448">
        <v>1.118687</v>
      </c>
      <c r="L6448">
        <v>-29.35754</v>
      </c>
      <c r="M6448">
        <v>-6.5217159999999996E-2</v>
      </c>
      <c r="N6448">
        <v>-1.204655E-2</v>
      </c>
      <c r="O6448">
        <v>0.99779839999999997</v>
      </c>
      <c r="P6448">
        <v>-8.4774210000000003E-2</v>
      </c>
      <c r="Q6448">
        <v>0.27129789999999998</v>
      </c>
      <c r="R6448">
        <v>0.95875480000000002</v>
      </c>
      <c r="S6448">
        <v>-0.2788696</v>
      </c>
      <c r="T6448">
        <v>1.6196390000000001</v>
      </c>
      <c r="U6448">
        <v>2.644714</v>
      </c>
      <c r="V6448">
        <v>-2.0010710000000001E-2</v>
      </c>
      <c r="W6448">
        <v>0.2830223</v>
      </c>
      <c r="X6448">
        <v>0.9589046</v>
      </c>
      <c r="Y6448">
        <v>-2.3941E-2</v>
      </c>
      <c r="Z6448">
        <v>0.52988570000000002</v>
      </c>
      <c r="AA6448">
        <v>0.84773109999999996</v>
      </c>
      <c r="AB6448">
        <v>31</v>
      </c>
      <c r="AC6448">
        <v>-0.2788696</v>
      </c>
      <c r="AD6448">
        <v>1.6196390000000001</v>
      </c>
      <c r="AE6448">
        <v>2.644714</v>
      </c>
      <c r="AF6448">
        <v>-7.7161901207950606E-2</v>
      </c>
      <c r="AG6448">
        <v>1.6196390000000001</v>
      </c>
      <c r="AH6448">
        <v>1.9383163523848099</v>
      </c>
      <c r="AI6448">
        <v>50.140504357146803</v>
      </c>
      <c r="AJ6448">
        <v>92.279668173633596</v>
      </c>
      <c r="AK6448">
        <v>2.5271040206610702</v>
      </c>
      <c r="AL6448">
        <v>73.559332556414404</v>
      </c>
      <c r="AM6448">
        <v>91.195492063611397</v>
      </c>
      <c r="AN6448">
        <v>1.0000000413565699</v>
      </c>
    </row>
    <row r="6449" spans="1:40" x14ac:dyDescent="0.25">
      <c r="A6449" t="str">
        <f>"20190303162944790"</f>
        <v>20190303162944790</v>
      </c>
      <c r="B6449" t="str">
        <f>"1551601784778365"</f>
        <v>1551601784778365</v>
      </c>
      <c r="C6449" t="s">
        <v>40</v>
      </c>
      <c r="D6449">
        <v>4.4016979999999997</v>
      </c>
      <c r="E6449">
        <v>0.49518279999999998</v>
      </c>
      <c r="F6449" t="s">
        <v>45</v>
      </c>
      <c r="G6449">
        <v>0</v>
      </c>
      <c r="H6449">
        <v>0</v>
      </c>
      <c r="I6449">
        <v>0</v>
      </c>
      <c r="J6449">
        <v>-188.7561</v>
      </c>
      <c r="K6449">
        <v>1.118806</v>
      </c>
      <c r="L6449">
        <v>-29.0321</v>
      </c>
      <c r="M6449">
        <v>-6.1802780000000002E-2</v>
      </c>
      <c r="N6449">
        <v>-1.204148E-2</v>
      </c>
      <c r="O6449">
        <v>0.99801580000000001</v>
      </c>
      <c r="P6449">
        <v>-8.3284469999999999E-2</v>
      </c>
      <c r="Q6449">
        <v>0.27294000000000002</v>
      </c>
      <c r="R6449">
        <v>0.95841929999999997</v>
      </c>
      <c r="S6449">
        <v>-0.27633669999999999</v>
      </c>
      <c r="T6449">
        <v>1.6111580000000001</v>
      </c>
      <c r="U6449">
        <v>2.6487120000000002</v>
      </c>
      <c r="V6449">
        <v>-2.190307E-2</v>
      </c>
      <c r="W6449">
        <v>0.28466089999999999</v>
      </c>
      <c r="X6449">
        <v>0.95837799999999995</v>
      </c>
      <c r="Y6449">
        <v>-2.659009E-2</v>
      </c>
      <c r="Z6449">
        <v>0.52749950000000001</v>
      </c>
      <c r="AA6449">
        <v>0.84913919999999998</v>
      </c>
      <c r="AB6449">
        <v>31</v>
      </c>
      <c r="AC6449">
        <v>-0.27633669999999999</v>
      </c>
      <c r="AD6449">
        <v>1.6111580000000001</v>
      </c>
      <c r="AE6449">
        <v>2.6487120000000002</v>
      </c>
      <c r="AF6449">
        <v>-8.2062281602833895E-2</v>
      </c>
      <c r="AG6449">
        <v>1.6111580000000001</v>
      </c>
      <c r="AH6449">
        <v>1.9477949281640601</v>
      </c>
      <c r="AI6449">
        <v>50.428409768190399</v>
      </c>
      <c r="AJ6449">
        <v>92.412493921947203</v>
      </c>
      <c r="AK6449">
        <v>2.52912423601679</v>
      </c>
      <c r="AL6449">
        <v>73.461419666954896</v>
      </c>
      <c r="AM6449">
        <v>91.309227718329197</v>
      </c>
      <c r="AN6449">
        <v>0.99999998167411697</v>
      </c>
    </row>
    <row r="6450" spans="1:40" x14ac:dyDescent="0.25">
      <c r="A6450" t="str">
        <f>"20190303162944813"</f>
        <v>20190303162944813</v>
      </c>
      <c r="B6450" t="str">
        <f>"1551601784808152"</f>
        <v>1551601784808152</v>
      </c>
      <c r="C6450" t="s">
        <v>40</v>
      </c>
      <c r="D6450">
        <v>4.3754970000000002</v>
      </c>
      <c r="E6450">
        <v>0.49513780000000002</v>
      </c>
      <c r="F6450" t="s">
        <v>45</v>
      </c>
      <c r="G6450">
        <v>0</v>
      </c>
      <c r="H6450">
        <v>0</v>
      </c>
      <c r="I6450">
        <v>0</v>
      </c>
      <c r="J6450">
        <v>-188.7724</v>
      </c>
      <c r="K6450">
        <v>1.118906</v>
      </c>
      <c r="L6450">
        <v>-28.713380000000001</v>
      </c>
      <c r="M6450">
        <v>-5.8570280000000002E-2</v>
      </c>
      <c r="N6450">
        <v>-1.2037320000000001E-2</v>
      </c>
      <c r="O6450">
        <v>0.99821070000000001</v>
      </c>
      <c r="P6450">
        <v>-8.1678000000000001E-2</v>
      </c>
      <c r="Q6450">
        <v>0.2766998</v>
      </c>
      <c r="R6450">
        <v>0.95747890000000002</v>
      </c>
      <c r="S6450">
        <v>-0.27288820000000003</v>
      </c>
      <c r="T6450">
        <v>1.6112679999999999</v>
      </c>
      <c r="U6450">
        <v>2.647583</v>
      </c>
      <c r="V6450">
        <v>-2.350607E-2</v>
      </c>
      <c r="W6450">
        <v>0.28840840000000001</v>
      </c>
      <c r="X6450">
        <v>0.95721889999999998</v>
      </c>
      <c r="Y6450">
        <v>-2.875817E-2</v>
      </c>
      <c r="Z6450">
        <v>0.52782879999999999</v>
      </c>
      <c r="AA6450">
        <v>0.84886379999999995</v>
      </c>
      <c r="AB6450">
        <v>31</v>
      </c>
      <c r="AC6450">
        <v>-0.27288820000000003</v>
      </c>
      <c r="AD6450">
        <v>1.6112679999999999</v>
      </c>
      <c r="AE6450">
        <v>2.647583</v>
      </c>
      <c r="AF6450">
        <v>-8.5869522870595003E-2</v>
      </c>
      <c r="AG6450">
        <v>1.6112679999999999</v>
      </c>
      <c r="AH6450">
        <v>1.9458952369565401</v>
      </c>
      <c r="AI6450">
        <v>50.401452442120402</v>
      </c>
      <c r="AJ6450">
        <v>92.526740026260399</v>
      </c>
      <c r="AK6450">
        <v>2.5278580687989902</v>
      </c>
      <c r="AL6450">
        <v>73.237306458962294</v>
      </c>
      <c r="AM6450">
        <v>91.406708520623397</v>
      </c>
      <c r="AN6450">
        <v>0.99999998151730696</v>
      </c>
    </row>
    <row r="6451" spans="1:40" x14ac:dyDescent="0.25">
      <c r="A6451" t="str">
        <f>"20190303162944835"</f>
        <v>20190303162944835</v>
      </c>
      <c r="B6451" t="str">
        <f>"1551601784828648"</f>
        <v>1551601784828648</v>
      </c>
      <c r="C6451" t="s">
        <v>40</v>
      </c>
      <c r="D6451">
        <v>4.3704599999999996</v>
      </c>
      <c r="E6451">
        <v>0.49525799999999998</v>
      </c>
      <c r="F6451" t="s">
        <v>45</v>
      </c>
      <c r="G6451">
        <v>0</v>
      </c>
      <c r="H6451">
        <v>0</v>
      </c>
      <c r="I6451">
        <v>0</v>
      </c>
      <c r="J6451">
        <v>-188.78720000000001</v>
      </c>
      <c r="K6451">
        <v>1.118987</v>
      </c>
      <c r="L6451">
        <v>-28.40842</v>
      </c>
      <c r="M6451">
        <v>-5.5559310000000001E-2</v>
      </c>
      <c r="N6451">
        <v>-1.203396E-2</v>
      </c>
      <c r="O6451">
        <v>0.99838289999999996</v>
      </c>
      <c r="P6451">
        <v>-7.9969789999999999E-2</v>
      </c>
      <c r="Q6451">
        <v>0.2789837</v>
      </c>
      <c r="R6451">
        <v>0.95696029999999999</v>
      </c>
      <c r="S6451">
        <v>-0.269455</v>
      </c>
      <c r="T6451">
        <v>1.618995</v>
      </c>
      <c r="U6451">
        <v>2.6423649999999999</v>
      </c>
      <c r="V6451">
        <v>-2.4758949999999998E-2</v>
      </c>
      <c r="W6451">
        <v>0.29068500000000003</v>
      </c>
      <c r="X6451">
        <v>0.95649839999999997</v>
      </c>
      <c r="Y6451">
        <v>-3.0692299999999999E-2</v>
      </c>
      <c r="Z6451">
        <v>0.53049480000000004</v>
      </c>
      <c r="AA6451">
        <v>0.84713240000000001</v>
      </c>
      <c r="AB6451">
        <v>31</v>
      </c>
      <c r="AC6451">
        <v>-0.269455</v>
      </c>
      <c r="AD6451">
        <v>1.618995</v>
      </c>
      <c r="AE6451">
        <v>2.6423649999999999</v>
      </c>
      <c r="AF6451">
        <v>-8.9111220410505093E-2</v>
      </c>
      <c r="AG6451">
        <v>1.618995</v>
      </c>
      <c r="AH6451">
        <v>1.9344993775104899</v>
      </c>
      <c r="AI6451">
        <v>50.103704341665797</v>
      </c>
      <c r="AJ6451">
        <v>92.637421446170293</v>
      </c>
      <c r="AK6451">
        <v>2.5241579707333202</v>
      </c>
      <c r="AL6451">
        <v>73.101029268840804</v>
      </c>
      <c r="AM6451">
        <v>91.482769479921998</v>
      </c>
      <c r="AN6451">
        <v>0.999999982016331</v>
      </c>
    </row>
    <row r="6452" spans="1:40" x14ac:dyDescent="0.25">
      <c r="A6452" t="str">
        <f>"20190303162944858"</f>
        <v>20190303162944858</v>
      </c>
      <c r="B6452" t="str">
        <f>"1551601784848168"</f>
        <v>1551601784848168</v>
      </c>
      <c r="C6452" t="s">
        <v>40</v>
      </c>
      <c r="D6452">
        <v>4.3380140000000003</v>
      </c>
      <c r="E6452">
        <v>0.4952898</v>
      </c>
      <c r="F6452" t="s">
        <v>45</v>
      </c>
      <c r="G6452">
        <v>0</v>
      </c>
      <c r="H6452">
        <v>0</v>
      </c>
      <c r="I6452">
        <v>0</v>
      </c>
      <c r="J6452">
        <v>-188.8022</v>
      </c>
      <c r="K6452">
        <v>1.1190599999999999</v>
      </c>
      <c r="L6452">
        <v>-28.077729999999999</v>
      </c>
      <c r="M6452">
        <v>-5.2355649999999997E-2</v>
      </c>
      <c r="N6452">
        <v>-1.2030819999999999E-2</v>
      </c>
      <c r="O6452">
        <v>0.998556</v>
      </c>
      <c r="P6452">
        <v>-7.6948379999999997E-2</v>
      </c>
      <c r="Q6452">
        <v>0.27960400000000002</v>
      </c>
      <c r="R6452">
        <v>0.95702699999999996</v>
      </c>
      <c r="S6452">
        <v>-0.26362609999999997</v>
      </c>
      <c r="T6452">
        <v>1.6246640000000001</v>
      </c>
      <c r="U6452">
        <v>2.6392519999999999</v>
      </c>
      <c r="V6452">
        <v>-2.4852630000000001E-2</v>
      </c>
      <c r="W6452">
        <v>0.29129680000000002</v>
      </c>
      <c r="X6452">
        <v>0.95630990000000005</v>
      </c>
      <c r="Y6452">
        <v>-3.2034559999999997E-2</v>
      </c>
      <c r="Z6452">
        <v>0.5324025</v>
      </c>
      <c r="AA6452">
        <v>0.84588490000000005</v>
      </c>
      <c r="AB6452">
        <v>31</v>
      </c>
      <c r="AC6452">
        <v>-0.26362609999999997</v>
      </c>
      <c r="AD6452">
        <v>1.6246640000000001</v>
      </c>
      <c r="AE6452">
        <v>2.6392519999999999</v>
      </c>
      <c r="AF6452">
        <v>-9.0950725822809095E-2</v>
      </c>
      <c r="AG6452">
        <v>1.6246640000000001</v>
      </c>
      <c r="AH6452">
        <v>1.9265926077815001</v>
      </c>
      <c r="AI6452">
        <v>49.891039184661899</v>
      </c>
      <c r="AJ6452">
        <v>92.702816739483296</v>
      </c>
      <c r="AK6452">
        <v>2.52181764284851</v>
      </c>
      <c r="AL6452">
        <v>73.064391401889694</v>
      </c>
      <c r="AM6452">
        <v>91.488670534442207</v>
      </c>
      <c r="AN6452">
        <v>1.0000000518730801</v>
      </c>
    </row>
    <row r="6453" spans="1:40" x14ac:dyDescent="0.25">
      <c r="A6453" t="str">
        <f>"20190303162944879"</f>
        <v>20190303162944879</v>
      </c>
      <c r="B6453" t="str">
        <f>"1551601784868663"</f>
        <v>1551601784868663</v>
      </c>
      <c r="C6453" t="s">
        <v>40</v>
      </c>
      <c r="D6453">
        <v>4.3535079999999997</v>
      </c>
      <c r="E6453">
        <v>0.49529190000000001</v>
      </c>
      <c r="F6453" t="s">
        <v>45</v>
      </c>
      <c r="G6453">
        <v>0</v>
      </c>
      <c r="H6453">
        <v>0</v>
      </c>
      <c r="I6453">
        <v>0</v>
      </c>
      <c r="J6453">
        <v>-188.81440000000001</v>
      </c>
      <c r="K6453">
        <v>1.119083</v>
      </c>
      <c r="L6453">
        <v>-27.789919999999999</v>
      </c>
      <c r="M6453">
        <v>-4.9597380000000003E-2</v>
      </c>
      <c r="N6453">
        <v>-1.2028479999999999E-2</v>
      </c>
      <c r="O6453">
        <v>0.9986969</v>
      </c>
      <c r="P6453">
        <v>-7.3669520000000002E-2</v>
      </c>
      <c r="Q6453">
        <v>0.2788503</v>
      </c>
      <c r="R6453">
        <v>0.95750469999999999</v>
      </c>
      <c r="S6453">
        <v>-0.25587460000000001</v>
      </c>
      <c r="T6453">
        <v>1.6260870000000001</v>
      </c>
      <c r="U6453">
        <v>2.6390690000000001</v>
      </c>
      <c r="V6453">
        <v>-2.4234660000000002E-2</v>
      </c>
      <c r="W6453">
        <v>0.29053770000000001</v>
      </c>
      <c r="X6453">
        <v>0.95655659999999998</v>
      </c>
      <c r="Y6453">
        <v>-3.2309890000000001E-2</v>
      </c>
      <c r="Z6453">
        <v>0.53290689999999996</v>
      </c>
      <c r="AA6453">
        <v>0.84555669999999905</v>
      </c>
      <c r="AB6453">
        <v>31</v>
      </c>
      <c r="AC6453">
        <v>-0.25587460000000001</v>
      </c>
      <c r="AD6453">
        <v>1.6260870000000001</v>
      </c>
      <c r="AE6453">
        <v>2.6390690000000001</v>
      </c>
      <c r="AF6453">
        <v>-9.0587725416727299E-2</v>
      </c>
      <c r="AG6453">
        <v>1.6260870000000001</v>
      </c>
      <c r="AH6453">
        <v>1.9246277425348399</v>
      </c>
      <c r="AI6453">
        <v>49.837320896905602</v>
      </c>
      <c r="AJ6453">
        <v>92.694789499172401</v>
      </c>
      <c r="AK6453">
        <v>2.5212213339768299</v>
      </c>
      <c r="AL6453">
        <v>73.1098499508158</v>
      </c>
      <c r="AM6453">
        <v>91.451295990629305</v>
      </c>
      <c r="AN6453">
        <v>1.0000000014350801</v>
      </c>
    </row>
    <row r="6454" spans="1:40" x14ac:dyDescent="0.25">
      <c r="A6454" t="str">
        <f>"20190303162944904"</f>
        <v>20190303162944904</v>
      </c>
      <c r="B6454" t="str">
        <f>"1551601784897944"</f>
        <v>1551601784897944</v>
      </c>
      <c r="C6454" t="s">
        <v>40</v>
      </c>
      <c r="D6454">
        <v>4.3310649999999997</v>
      </c>
      <c r="E6454">
        <v>0.49519229999999997</v>
      </c>
      <c r="F6454" t="s">
        <v>45</v>
      </c>
      <c r="G6454">
        <v>0</v>
      </c>
      <c r="H6454">
        <v>0</v>
      </c>
      <c r="I6454">
        <v>0</v>
      </c>
      <c r="J6454">
        <v>-188.82749999999999</v>
      </c>
      <c r="K6454">
        <v>1.119078</v>
      </c>
      <c r="L6454">
        <v>-27.458739999999999</v>
      </c>
      <c r="M6454">
        <v>-4.6437930000000002E-2</v>
      </c>
      <c r="N6454">
        <v>-1.202628E-2</v>
      </c>
      <c r="O6454">
        <v>0.99884879999999998</v>
      </c>
      <c r="P6454">
        <v>-7.1287719999999999E-2</v>
      </c>
      <c r="Q6454">
        <v>0.2690652</v>
      </c>
      <c r="R6454">
        <v>0.96048009999999995</v>
      </c>
      <c r="S6454">
        <v>-0.24749760000000001</v>
      </c>
      <c r="T6454">
        <v>1.623418</v>
      </c>
      <c r="U6454">
        <v>2.641327</v>
      </c>
      <c r="V6454">
        <v>-2.4836239999999999E-2</v>
      </c>
      <c r="W6454">
        <v>0.28078599999999998</v>
      </c>
      <c r="X6454">
        <v>0.959449</v>
      </c>
      <c r="Y6454">
        <v>-3.2790489999999999E-2</v>
      </c>
      <c r="Z6454">
        <v>0.53212479999999995</v>
      </c>
      <c r="AA6454">
        <v>0.84603079999999997</v>
      </c>
      <c r="AB6454">
        <v>31</v>
      </c>
      <c r="AC6454">
        <v>-0.24749760000000001</v>
      </c>
      <c r="AD6454">
        <v>1.623418</v>
      </c>
      <c r="AE6454">
        <v>2.641327</v>
      </c>
      <c r="AF6454">
        <v>-9.0626718314298693E-2</v>
      </c>
      <c r="AG6454">
        <v>1.623418</v>
      </c>
      <c r="AH6454">
        <v>1.9279914672159899</v>
      </c>
      <c r="AI6454">
        <v>49.932915968645297</v>
      </c>
      <c r="AJ6454">
        <v>92.691251102840596</v>
      </c>
      <c r="AK6454">
        <v>2.5220726203767598</v>
      </c>
      <c r="AL6454">
        <v>73.692878766213497</v>
      </c>
      <c r="AM6454">
        <v>91.482824010329097</v>
      </c>
      <c r="AN6454">
        <v>1.0000000001071601</v>
      </c>
    </row>
    <row r="6455" spans="1:40" x14ac:dyDescent="0.25">
      <c r="A6455" t="str">
        <f>"20190303162944924"</f>
        <v>20190303162944924</v>
      </c>
      <c r="B6455" t="str">
        <f>"1551601784918440"</f>
        <v>1551601784918440</v>
      </c>
      <c r="C6455" t="s">
        <v>40</v>
      </c>
      <c r="D6455">
        <v>4.3601979999999996</v>
      </c>
      <c r="E6455">
        <v>0.495145</v>
      </c>
      <c r="F6455" t="s">
        <v>45</v>
      </c>
      <c r="G6455">
        <v>0</v>
      </c>
      <c r="H6455">
        <v>0</v>
      </c>
      <c r="I6455">
        <v>0</v>
      </c>
      <c r="J6455">
        <v>-188.83779999999999</v>
      </c>
      <c r="K6455">
        <v>1.1190610000000001</v>
      </c>
      <c r="L6455">
        <v>-27.176390000000001</v>
      </c>
      <c r="M6455">
        <v>-4.3747830000000001E-2</v>
      </c>
      <c r="N6455">
        <v>-1.202483E-2</v>
      </c>
      <c r="O6455">
        <v>0.99897020000000003</v>
      </c>
      <c r="P6455">
        <v>-6.975787E-2</v>
      </c>
      <c r="Q6455">
        <v>0.25972679999999998</v>
      </c>
      <c r="R6455">
        <v>0.96315930000000005</v>
      </c>
      <c r="S6455">
        <v>-0.24415590000000001</v>
      </c>
      <c r="T6455">
        <v>1.594762</v>
      </c>
      <c r="U6455">
        <v>2.658569</v>
      </c>
      <c r="V6455">
        <v>-2.585322E-2</v>
      </c>
      <c r="W6455">
        <v>0.27148260000000002</v>
      </c>
      <c r="X6455">
        <v>0.96209599999999995</v>
      </c>
      <c r="Y6455">
        <v>-3.4431639999999999E-2</v>
      </c>
      <c r="Z6455">
        <v>0.52308789999999905</v>
      </c>
      <c r="AA6455">
        <v>0.85158289999999903</v>
      </c>
      <c r="AB6455">
        <v>31</v>
      </c>
      <c r="AC6455">
        <v>-0.24415590000000001</v>
      </c>
      <c r="AD6455">
        <v>1.594762</v>
      </c>
      <c r="AE6455">
        <v>2.658569</v>
      </c>
      <c r="AF6455">
        <v>-9.4048685887117997E-2</v>
      </c>
      <c r="AG6455">
        <v>1.594762</v>
      </c>
      <c r="AH6455">
        <v>1.96540936053005</v>
      </c>
      <c r="AI6455">
        <v>50.975673270278897</v>
      </c>
      <c r="AJ6455">
        <v>92.739625428037996</v>
      </c>
      <c r="AK6455">
        <v>2.5327741601690898</v>
      </c>
      <c r="AL6455">
        <v>74.247489977774094</v>
      </c>
      <c r="AM6455">
        <v>91.539268437901896</v>
      </c>
      <c r="AN6455">
        <v>0.99999995215156301</v>
      </c>
    </row>
    <row r="6456" spans="1:40" x14ac:dyDescent="0.25">
      <c r="A6456" t="str">
        <f>"20190303162944944"</f>
        <v>20190303162944944</v>
      </c>
      <c r="B6456" t="str">
        <f>"1551601784937960"</f>
        <v>1551601784937960</v>
      </c>
      <c r="C6456" t="s">
        <v>40</v>
      </c>
      <c r="D6456">
        <v>4.3889060000000004</v>
      </c>
      <c r="E6456">
        <v>0.49510140000000002</v>
      </c>
      <c r="F6456" t="s">
        <v>45</v>
      </c>
      <c r="G6456">
        <v>0</v>
      </c>
      <c r="H6456">
        <v>0</v>
      </c>
      <c r="I6456">
        <v>0</v>
      </c>
      <c r="J6456">
        <v>-188.84790000000001</v>
      </c>
      <c r="K6456">
        <v>1.1190450000000001</v>
      </c>
      <c r="L6456">
        <v>-26.87631</v>
      </c>
      <c r="M6456">
        <v>-4.0895180000000003E-2</v>
      </c>
      <c r="N6456">
        <v>-1.202344E-2</v>
      </c>
      <c r="O6456">
        <v>0.99909110000000001</v>
      </c>
      <c r="P6456">
        <v>-6.6860379999999997E-2</v>
      </c>
      <c r="Q6456">
        <v>0.25318990000000002</v>
      </c>
      <c r="R6456">
        <v>0.96510339999999994</v>
      </c>
      <c r="S6456">
        <v>-0.24443049999999999</v>
      </c>
      <c r="T6456">
        <v>1.5673109999999999</v>
      </c>
      <c r="U6456">
        <v>2.6744080000000001</v>
      </c>
      <c r="V6456">
        <v>-2.5686879999999999E-2</v>
      </c>
      <c r="W6456">
        <v>0.26496340000000002</v>
      </c>
      <c r="X6456">
        <v>0.96391629999999995</v>
      </c>
      <c r="Y6456">
        <v>-3.7395909999999997E-2</v>
      </c>
      <c r="Z6456">
        <v>0.51443470000000002</v>
      </c>
      <c r="AA6456">
        <v>0.85671379999999997</v>
      </c>
      <c r="AB6456">
        <v>31</v>
      </c>
      <c r="AC6456">
        <v>-0.24443049999999999</v>
      </c>
      <c r="AD6456">
        <v>1.5673109999999999</v>
      </c>
      <c r="AE6456">
        <v>2.6744080000000001</v>
      </c>
      <c r="AF6456">
        <v>-0.100587699280499</v>
      </c>
      <c r="AG6456">
        <v>1.5673109999999999</v>
      </c>
      <c r="AH6456">
        <v>2.0007241182332698</v>
      </c>
      <c r="AI6456">
        <v>51.960952897670801</v>
      </c>
      <c r="AJ6456">
        <v>92.878159027173098</v>
      </c>
      <c r="AK6456">
        <v>2.5435169850519701</v>
      </c>
      <c r="AL6456">
        <v>74.635222381819702</v>
      </c>
      <c r="AM6456">
        <v>91.526482722979694</v>
      </c>
      <c r="AN6456">
        <v>1.00000002627469</v>
      </c>
    </row>
    <row r="6457" spans="1:40" x14ac:dyDescent="0.25">
      <c r="A6457" t="str">
        <f>"20190303162944967"</f>
        <v>20190303162944967</v>
      </c>
      <c r="B6457" t="str">
        <f>"1551601784958456"</f>
        <v>1551601784958456</v>
      </c>
      <c r="C6457" t="s">
        <v>40</v>
      </c>
      <c r="D6457">
        <v>4.394647</v>
      </c>
      <c r="E6457">
        <v>0.4949848</v>
      </c>
      <c r="F6457" t="s">
        <v>45</v>
      </c>
      <c r="G6457">
        <v>0</v>
      </c>
      <c r="H6457">
        <v>0</v>
      </c>
      <c r="I6457">
        <v>0</v>
      </c>
      <c r="J6457">
        <v>-188.85740000000001</v>
      </c>
      <c r="K6457">
        <v>1.1190209999999901</v>
      </c>
      <c r="L6457">
        <v>-26.568180000000002</v>
      </c>
      <c r="M6457">
        <v>-3.7972579999999999E-2</v>
      </c>
      <c r="N6457">
        <v>-1.202202E-2</v>
      </c>
      <c r="O6457">
        <v>0.9992065</v>
      </c>
      <c r="P6457">
        <v>-6.2175050000000003E-2</v>
      </c>
      <c r="Q6457">
        <v>0.24150650000000001</v>
      </c>
      <c r="R6457">
        <v>0.96840530000000002</v>
      </c>
      <c r="S6457">
        <v>-0.23641970000000001</v>
      </c>
      <c r="T6457">
        <v>1.547374</v>
      </c>
      <c r="U6457">
        <v>2.6861570000000001</v>
      </c>
      <c r="V6457">
        <v>-2.3791030000000001E-2</v>
      </c>
      <c r="W6457">
        <v>0.25330330000000001</v>
      </c>
      <c r="X6457">
        <v>0.96709440000000002</v>
      </c>
      <c r="Y6457">
        <v>-3.776794E-2</v>
      </c>
      <c r="Z6457">
        <v>0.50816459999999997</v>
      </c>
      <c r="AA6457">
        <v>0.86043139999999996</v>
      </c>
      <c r="AB6457">
        <v>31</v>
      </c>
      <c r="AC6457">
        <v>-0.23641970000000001</v>
      </c>
      <c r="AD6457">
        <v>1.547374</v>
      </c>
      <c r="AE6457">
        <v>2.6861570000000001</v>
      </c>
      <c r="AF6457">
        <v>-0.100987475143459</v>
      </c>
      <c r="AG6457">
        <v>1.547374</v>
      </c>
      <c r="AH6457">
        <v>2.0260444622932599</v>
      </c>
      <c r="AI6457">
        <v>52.663814875275001</v>
      </c>
      <c r="AJ6457">
        <v>92.853526399394894</v>
      </c>
      <c r="AK6457">
        <v>2.55135668404106</v>
      </c>
      <c r="AL6457">
        <v>75.326930210388397</v>
      </c>
      <c r="AM6457">
        <v>91.409222023868097</v>
      </c>
      <c r="AN6457">
        <v>1.0000000767053501</v>
      </c>
    </row>
    <row r="6458" spans="1:40" x14ac:dyDescent="0.25">
      <c r="A6458" t="str">
        <f>"20190303162944990"</f>
        <v>20190303162944990</v>
      </c>
      <c r="B6458" t="str">
        <f>"1551601784988712"</f>
        <v>1551601784988712</v>
      </c>
      <c r="C6458" t="s">
        <v>40</v>
      </c>
      <c r="D6458">
        <v>4.4042139999999996</v>
      </c>
      <c r="E6458">
        <v>0.49689850000000002</v>
      </c>
      <c r="F6458" t="s">
        <v>45</v>
      </c>
      <c r="G6458">
        <v>0</v>
      </c>
      <c r="H6458">
        <v>0</v>
      </c>
      <c r="I6458">
        <v>0</v>
      </c>
      <c r="J6458">
        <v>-188.8665</v>
      </c>
      <c r="K6458">
        <v>1.1189770000000001</v>
      </c>
      <c r="L6458">
        <v>-26.244050000000001</v>
      </c>
      <c r="M6458">
        <v>-3.4919690000000003E-2</v>
      </c>
      <c r="N6458">
        <v>-1.2020390000000001E-2</v>
      </c>
      <c r="O6458">
        <v>0.99931780000000003</v>
      </c>
      <c r="P6458">
        <v>-5.8702619999999997E-2</v>
      </c>
      <c r="Q6458">
        <v>0.2253993</v>
      </c>
      <c r="R6458">
        <v>0.97249629999999998</v>
      </c>
      <c r="S6458">
        <v>-0.22406010000000001</v>
      </c>
      <c r="T6458">
        <v>1.514016</v>
      </c>
      <c r="U6458">
        <v>2.705902</v>
      </c>
      <c r="V6458">
        <v>-2.3254250000000001E-2</v>
      </c>
      <c r="W6458">
        <v>0.23723669999999999</v>
      </c>
      <c r="X6458">
        <v>0.97117350000000002</v>
      </c>
      <c r="Y6458">
        <v>-3.6869649999999997E-2</v>
      </c>
      <c r="Z6458">
        <v>0.49754599999999999</v>
      </c>
      <c r="AA6458">
        <v>0.86665369999999997</v>
      </c>
      <c r="AB6458">
        <v>31</v>
      </c>
      <c r="AC6458">
        <v>-0.22406010000000001</v>
      </c>
      <c r="AD6458">
        <v>1.514016</v>
      </c>
      <c r="AE6458">
        <v>2.705902</v>
      </c>
      <c r="AF6458">
        <v>-9.8729052447885102E-2</v>
      </c>
      <c r="AG6458">
        <v>1.514016</v>
      </c>
      <c r="AH6458">
        <v>2.0688110105423698</v>
      </c>
      <c r="AI6458">
        <v>53.833303767449202</v>
      </c>
      <c r="AJ6458">
        <v>92.732230990607704</v>
      </c>
      <c r="AK6458">
        <v>2.5655352017453601</v>
      </c>
      <c r="AL6458">
        <v>76.276494504830694</v>
      </c>
      <c r="AM6458">
        <v>91.3716558733</v>
      </c>
      <c r="AN6458">
        <v>0.99999998953610103</v>
      </c>
    </row>
    <row r="6459" spans="1:40" x14ac:dyDescent="0.25">
      <c r="A6459" t="str">
        <f>"20190303162945013"</f>
        <v>20190303162945013</v>
      </c>
      <c r="B6459" t="str">
        <f>"1551601785008233"</f>
        <v>1551601785008233</v>
      </c>
      <c r="C6459" t="s">
        <v>40</v>
      </c>
      <c r="D6459">
        <v>4.3980030000000001</v>
      </c>
      <c r="E6459">
        <v>0.49952410000000003</v>
      </c>
      <c r="F6459" t="s">
        <v>45</v>
      </c>
      <c r="G6459">
        <v>0</v>
      </c>
      <c r="H6459">
        <v>0</v>
      </c>
      <c r="I6459">
        <v>0</v>
      </c>
      <c r="J6459">
        <v>-188.87430000000001</v>
      </c>
      <c r="K6459">
        <v>1.1189100000000001</v>
      </c>
      <c r="L6459">
        <v>-25.933070000000001</v>
      </c>
      <c r="M6459">
        <v>-3.2039499999999999E-2</v>
      </c>
      <c r="N6459">
        <v>-1.201842E-2</v>
      </c>
      <c r="O6459">
        <v>0.99941429999999998</v>
      </c>
      <c r="P6459">
        <v>-5.6876580000000003E-2</v>
      </c>
      <c r="Q6459">
        <v>0.203211</v>
      </c>
      <c r="R6459">
        <v>0.97748170000000001</v>
      </c>
      <c r="S6459">
        <v>-0.20062260000000001</v>
      </c>
      <c r="T6459">
        <v>1.2545280000000001</v>
      </c>
      <c r="U6459">
        <v>2.781952</v>
      </c>
      <c r="V6459">
        <v>-2.4231039999999999E-2</v>
      </c>
      <c r="W6459">
        <v>0.21510989999999999</v>
      </c>
      <c r="X6459">
        <v>0.97628919999999997</v>
      </c>
      <c r="Y6459">
        <v>-3.3340370000000001E-2</v>
      </c>
      <c r="Z6459">
        <v>0.42115950000000002</v>
      </c>
      <c r="AA6459">
        <v>0.9063736</v>
      </c>
      <c r="AB6459">
        <v>31</v>
      </c>
      <c r="AC6459">
        <v>-0.20062260000000001</v>
      </c>
      <c r="AD6459">
        <v>1.2545280000000001</v>
      </c>
      <c r="AE6459">
        <v>2.781952</v>
      </c>
      <c r="AF6459">
        <v>-9.2639308973785306E-2</v>
      </c>
      <c r="AG6459">
        <v>1.2545280000000001</v>
      </c>
      <c r="AH6459">
        <v>2.3180055274922702</v>
      </c>
      <c r="AI6459">
        <v>61.596434750110603</v>
      </c>
      <c r="AJ6459">
        <v>92.288613272530299</v>
      </c>
      <c r="AK6459">
        <v>2.6373418757976501</v>
      </c>
      <c r="AL6459">
        <v>77.578025116990901</v>
      </c>
      <c r="AM6459">
        <v>91.421762480408404</v>
      </c>
      <c r="AN6459">
        <v>1.0000000072070601</v>
      </c>
    </row>
    <row r="6460" spans="1:40" x14ac:dyDescent="0.25">
      <c r="A6460" t="str">
        <f>"20190303162945034"</f>
        <v>20190303162945034</v>
      </c>
      <c r="B6460" t="str">
        <f>"1551601785017992"</f>
        <v>1551601785017992</v>
      </c>
      <c r="C6460" t="s">
        <v>40</v>
      </c>
      <c r="D6460">
        <v>4.3953519999999999</v>
      </c>
      <c r="E6460">
        <v>0.50811839999999997</v>
      </c>
      <c r="F6460" t="s">
        <v>45</v>
      </c>
      <c r="G6460">
        <v>0</v>
      </c>
      <c r="H6460">
        <v>0</v>
      </c>
      <c r="I6460">
        <v>0</v>
      </c>
      <c r="J6460">
        <v>-188.88079999999999</v>
      </c>
      <c r="K6460">
        <v>1.1188439999999999</v>
      </c>
      <c r="L6460">
        <v>-25.644439999999999</v>
      </c>
      <c r="M6460">
        <v>-2.9442739999999998E-2</v>
      </c>
      <c r="N6460">
        <v>-1.2015909999999999E-2</v>
      </c>
      <c r="O6460">
        <v>0.99949429999999995</v>
      </c>
      <c r="P6460">
        <v>-5.6491479999999997E-2</v>
      </c>
      <c r="Q6460">
        <v>0.18063389999999999</v>
      </c>
      <c r="R6460">
        <v>0.98192670000000004</v>
      </c>
      <c r="S6460">
        <v>-0.17607120000000001</v>
      </c>
      <c r="T6460">
        <v>1.1375759999999999</v>
      </c>
      <c r="U6460">
        <v>2.8223569999999998</v>
      </c>
      <c r="V6460">
        <v>-2.6419990000000001E-2</v>
      </c>
      <c r="W6460">
        <v>0.1925936</v>
      </c>
      <c r="X6460">
        <v>0.98092290000000004</v>
      </c>
      <c r="Y6460">
        <v>-2.8138920000000001E-2</v>
      </c>
      <c r="Z6460">
        <v>0.38433339999999999</v>
      </c>
      <c r="AA6460">
        <v>0.92276539999999996</v>
      </c>
      <c r="AB6460">
        <v>31</v>
      </c>
      <c r="AC6460">
        <v>-0.17607120000000001</v>
      </c>
      <c r="AD6460">
        <v>1.1375759999999999</v>
      </c>
      <c r="AE6460">
        <v>2.8223569999999998</v>
      </c>
      <c r="AF6460">
        <v>-7.9952494361887894E-2</v>
      </c>
      <c r="AG6460">
        <v>1.1375759999999999</v>
      </c>
      <c r="AH6460">
        <v>2.4326500390353498</v>
      </c>
      <c r="AI6460">
        <v>64.949744805818796</v>
      </c>
      <c r="AJ6460">
        <v>91.882429464576106</v>
      </c>
      <c r="AK6460">
        <v>2.68668155343155</v>
      </c>
      <c r="AL6460">
        <v>78.895817690890098</v>
      </c>
      <c r="AM6460">
        <v>91.542820582686602</v>
      </c>
      <c r="AN6460">
        <v>1.00000002318848</v>
      </c>
    </row>
    <row r="6461" spans="1:40" x14ac:dyDescent="0.25">
      <c r="A6461" t="str">
        <f>"20190303162945058"</f>
        <v>20190303162945058</v>
      </c>
      <c r="B6461" t="str">
        <f>"1551601785048248"</f>
        <v>1551601785048248</v>
      </c>
      <c r="C6461" t="s">
        <v>40</v>
      </c>
      <c r="D6461">
        <v>4.4266870000000003</v>
      </c>
      <c r="E6461">
        <v>0.50954309999999903</v>
      </c>
      <c r="F6461" t="s">
        <v>71</v>
      </c>
      <c r="G6461">
        <v>-203.72829999999999</v>
      </c>
      <c r="H6461">
        <v>81.49727</v>
      </c>
      <c r="I6461">
        <v>391.00349999999997</v>
      </c>
      <c r="J6461">
        <v>-188.88759999999999</v>
      </c>
      <c r="K6461">
        <v>1.1188750000000001</v>
      </c>
      <c r="L6461">
        <v>-25.306699999999999</v>
      </c>
      <c r="M6461">
        <v>-2.6545220000000001E-2</v>
      </c>
      <c r="N6461">
        <v>-1.2011869999999999E-2</v>
      </c>
      <c r="O6461">
        <v>0.9995754</v>
      </c>
      <c r="P6461">
        <v>-5.5225690000000001E-2</v>
      </c>
      <c r="Q6461">
        <v>0.1649255</v>
      </c>
      <c r="R6461">
        <v>0.98475869999999999</v>
      </c>
      <c r="S6461">
        <v>-0.10493470000000001</v>
      </c>
      <c r="T6461">
        <v>0.56807680000000005</v>
      </c>
      <c r="U6461">
        <v>2.9446720000000002</v>
      </c>
      <c r="V6461">
        <v>-2.8065779999999999E-2</v>
      </c>
      <c r="W6461">
        <v>0.176917299999999</v>
      </c>
      <c r="X6461">
        <v>0.98382550000000002</v>
      </c>
      <c r="Y6461">
        <v>-8.3523950000000003E-3</v>
      </c>
      <c r="Z6461">
        <v>0.20103960000000001</v>
      </c>
      <c r="AA6461">
        <v>0.97954750000000002</v>
      </c>
      <c r="AB6461">
        <v>31</v>
      </c>
      <c r="AC6461">
        <v>-14.840699999999901</v>
      </c>
      <c r="AD6461">
        <v>80.378394999999998</v>
      </c>
      <c r="AE6461">
        <v>416.31020000000001</v>
      </c>
      <c r="AF6461">
        <v>-3.6478176806862401</v>
      </c>
      <c r="AG6461">
        <v>80.378394999999998</v>
      </c>
      <c r="AH6461">
        <v>401.60567644348299</v>
      </c>
      <c r="AI6461">
        <v>78.682667673222795</v>
      </c>
      <c r="AJ6461">
        <v>90.520408007873698</v>
      </c>
      <c r="AK6461">
        <v>409.58651382612101</v>
      </c>
      <c r="AL6461">
        <v>79.809747703135002</v>
      </c>
      <c r="AM6461">
        <v>91.6340445990147</v>
      </c>
      <c r="AN6461">
        <v>1.0000000167482701</v>
      </c>
    </row>
    <row r="6462" spans="1:40" x14ac:dyDescent="0.25">
      <c r="A6462" t="str">
        <f>"20190303162945080"</f>
        <v>20190303162945080</v>
      </c>
      <c r="B6462" t="str">
        <f>"1551601785068744"</f>
        <v>1551601785068744</v>
      </c>
      <c r="C6462" t="s">
        <v>40</v>
      </c>
      <c r="D6462">
        <v>4.4736960000000003</v>
      </c>
      <c r="E6462">
        <v>0.51021019999999995</v>
      </c>
      <c r="F6462" t="s">
        <v>71</v>
      </c>
      <c r="G6462">
        <v>-201.2705</v>
      </c>
      <c r="H6462">
        <v>25.945139999999999</v>
      </c>
      <c r="I6462">
        <v>391.87</v>
      </c>
      <c r="J6462">
        <v>-188.89340000000001</v>
      </c>
      <c r="K6462">
        <v>1.1189819999999999</v>
      </c>
      <c r="L6462">
        <v>-24.985320000000002</v>
      </c>
      <c r="M6462">
        <v>-2.3978090000000001E-2</v>
      </c>
      <c r="N6462">
        <v>-1.200706E-2</v>
      </c>
      <c r="O6462">
        <v>0.99964039999999998</v>
      </c>
      <c r="P6462">
        <v>-5.3200709999999998E-2</v>
      </c>
      <c r="Q6462">
        <v>0.15779869999999999</v>
      </c>
      <c r="R6462">
        <v>0.9860371</v>
      </c>
      <c r="S6462">
        <v>-8.9385989999999999E-2</v>
      </c>
      <c r="T6462">
        <v>0.1792097</v>
      </c>
      <c r="U6462">
        <v>3.0114139999999998</v>
      </c>
      <c r="V6462">
        <v>-2.8638899999999998E-2</v>
      </c>
      <c r="W6462">
        <v>0.16979320000000001</v>
      </c>
      <c r="X6462">
        <v>0.98506349999999998</v>
      </c>
      <c r="Y6462">
        <v>-5.6175349999999999E-3</v>
      </c>
      <c r="Z6462">
        <v>7.1343309999999993E-2</v>
      </c>
      <c r="AA6462">
        <v>0.99743599999999999</v>
      </c>
      <c r="AB6462">
        <v>31</v>
      </c>
      <c r="AC6462">
        <v>-12.377099999999899</v>
      </c>
      <c r="AD6462">
        <v>24.826158</v>
      </c>
      <c r="AE6462">
        <v>416.85532000000001</v>
      </c>
      <c r="AF6462">
        <v>-2.36903083821224</v>
      </c>
      <c r="AG6462">
        <v>24.826158</v>
      </c>
      <c r="AH6462">
        <v>415.55960285694903</v>
      </c>
      <c r="AI6462">
        <v>86.581182570962696</v>
      </c>
      <c r="AJ6462">
        <v>90.326629434677699</v>
      </c>
      <c r="AK6462">
        <v>416.30725907048298</v>
      </c>
      <c r="AL6462">
        <v>80.224204591309004</v>
      </c>
      <c r="AM6462">
        <v>91.665299764968097</v>
      </c>
      <c r="AN6462">
        <v>1.00000000819585</v>
      </c>
    </row>
    <row r="6463" spans="1:40" x14ac:dyDescent="0.25">
      <c r="A6463" t="str">
        <f>"20190303162945102"</f>
        <v>20190303162945102</v>
      </c>
      <c r="B6463" t="str">
        <f>"1551601785098025"</f>
        <v>1551601785098025</v>
      </c>
      <c r="C6463" t="s">
        <v>40</v>
      </c>
      <c r="D6463">
        <v>4.5180160000000003</v>
      </c>
      <c r="E6463">
        <v>0.50979090000000005</v>
      </c>
      <c r="F6463" t="s">
        <v>71</v>
      </c>
      <c r="G6463">
        <v>-199.9195</v>
      </c>
      <c r="H6463">
        <v>4.345027</v>
      </c>
      <c r="I6463">
        <v>391.87</v>
      </c>
      <c r="J6463">
        <v>-188.89850000000001</v>
      </c>
      <c r="K6463">
        <v>1.119159</v>
      </c>
      <c r="L6463">
        <v>-24.674099999999999</v>
      </c>
      <c r="M6463">
        <v>-2.1738070000000002E-2</v>
      </c>
      <c r="N6463">
        <v>-1.200178E-2</v>
      </c>
      <c r="O6463">
        <v>0.99969169999999996</v>
      </c>
      <c r="P6463">
        <v>-5.1490620000000001E-2</v>
      </c>
      <c r="Q6463">
        <v>0.15762119999999999</v>
      </c>
      <c r="R6463">
        <v>0.98615629999999999</v>
      </c>
      <c r="S6463">
        <v>-8.0261230000000003E-2</v>
      </c>
      <c r="T6463">
        <v>2.3483159999999999E-2</v>
      </c>
      <c r="U6463">
        <v>3.0343930000000001</v>
      </c>
      <c r="V6463">
        <v>-2.9211979999999999E-2</v>
      </c>
      <c r="W6463">
        <v>0.169601</v>
      </c>
      <c r="X6463">
        <v>0.98507979999999995</v>
      </c>
      <c r="Y6463">
        <v>-4.6977080000000001E-3</v>
      </c>
      <c r="Z6463">
        <v>1.9732050000000001E-2</v>
      </c>
      <c r="AA6463">
        <v>0.99979419999999997</v>
      </c>
      <c r="AB6463">
        <v>31</v>
      </c>
      <c r="AC6463">
        <v>-11.0209999999999</v>
      </c>
      <c r="AD6463">
        <v>3.2258680000000002</v>
      </c>
      <c r="AE6463">
        <v>416.54410000000001</v>
      </c>
      <c r="AF6463">
        <v>-1.9627610816427601</v>
      </c>
      <c r="AG6463">
        <v>3.2258680000000002</v>
      </c>
      <c r="AH6463">
        <v>416.66027729665302</v>
      </c>
      <c r="AI6463">
        <v>89.556418290126899</v>
      </c>
      <c r="AJ6463">
        <v>90.269901165217703</v>
      </c>
      <c r="AK6463">
        <v>416.67738759421599</v>
      </c>
      <c r="AL6463">
        <v>80.235379081694205</v>
      </c>
      <c r="AM6463">
        <v>91.698575900264601</v>
      </c>
      <c r="AN6463">
        <v>1.0000000256722701</v>
      </c>
    </row>
    <row r="6464" spans="1:40" x14ac:dyDescent="0.25">
      <c r="A6464" t="str">
        <f>"20190303162945125"</f>
        <v>20190303162945125</v>
      </c>
      <c r="B6464" t="str">
        <f>"1551601785118520"</f>
        <v>1551601785118520</v>
      </c>
      <c r="C6464" t="s">
        <v>40</v>
      </c>
      <c r="D6464">
        <v>4.5711930000000001</v>
      </c>
      <c r="E6464">
        <v>0.50967890000000005</v>
      </c>
      <c r="F6464" t="s">
        <v>41</v>
      </c>
      <c r="G6464">
        <v>-191.24979999999999</v>
      </c>
      <c r="H6464" s="1">
        <v>-1.595592E-6</v>
      </c>
      <c r="I6464">
        <v>62.533290000000001</v>
      </c>
      <c r="J6464">
        <v>-188.90289999999999</v>
      </c>
      <c r="K6464">
        <v>1.11937999999999</v>
      </c>
      <c r="L6464">
        <v>-24.374939999999999</v>
      </c>
      <c r="M6464">
        <v>-1.9890850000000002E-2</v>
      </c>
      <c r="N6464">
        <v>-1.199629E-2</v>
      </c>
      <c r="O6464">
        <v>0.99973020000000001</v>
      </c>
      <c r="P6464">
        <v>-5.0443210000000002E-2</v>
      </c>
      <c r="Q6464">
        <v>0.16114319999999999</v>
      </c>
      <c r="R6464">
        <v>0.98564110000000005</v>
      </c>
      <c r="S6464">
        <v>-8.2077029999999995E-2</v>
      </c>
      <c r="T6464">
        <v>-3.906548E-2</v>
      </c>
      <c r="U6464">
        <v>3.0440670000000001</v>
      </c>
      <c r="V6464">
        <v>-3.0072720000000001E-2</v>
      </c>
      <c r="W6464">
        <v>0.1730981</v>
      </c>
      <c r="X6464">
        <v>0.98444540000000003</v>
      </c>
      <c r="Y6464">
        <v>-7.0616999999999997E-3</v>
      </c>
      <c r="Z6464">
        <v>-8.3294749999999996E-4</v>
      </c>
      <c r="AA6464">
        <v>0.99997469999999999</v>
      </c>
      <c r="AB6464">
        <v>31</v>
      </c>
      <c r="AC6464">
        <v>-2.3469000000000002</v>
      </c>
      <c r="AD6464">
        <v>-1.1193815955919999</v>
      </c>
      <c r="AE6464">
        <v>86.908230000000003</v>
      </c>
      <c r="AF6464">
        <v>-0.61753030335265902</v>
      </c>
      <c r="AG6464">
        <v>-1.1193815955919999</v>
      </c>
      <c r="AH6464">
        <v>86.923308901414401</v>
      </c>
      <c r="AI6464">
        <v>90.737784590718405</v>
      </c>
      <c r="AJ6464">
        <v>90.407040244013302</v>
      </c>
      <c r="AK6464">
        <v>86.932709547113504</v>
      </c>
      <c r="AL6464">
        <v>80.0320020908282</v>
      </c>
      <c r="AM6464">
        <v>91.749720471648004</v>
      </c>
      <c r="AN6464">
        <v>1.00000003314648</v>
      </c>
    </row>
    <row r="6465" spans="1:40" x14ac:dyDescent="0.25">
      <c r="A6465" t="str">
        <f>"20190303162945147"</f>
        <v>20190303162945147</v>
      </c>
      <c r="B6465" t="str">
        <f>"1551601785138040"</f>
        <v>1551601785138040</v>
      </c>
      <c r="C6465" t="s">
        <v>40</v>
      </c>
      <c r="D6465">
        <v>4.5482319999999996</v>
      </c>
      <c r="E6465">
        <v>0.50949820000000001</v>
      </c>
      <c r="F6465" t="s">
        <v>41</v>
      </c>
      <c r="G6465">
        <v>-191.483</v>
      </c>
      <c r="H6465" s="1">
        <v>-1.842355E-6</v>
      </c>
      <c r="I6465">
        <v>72.96387</v>
      </c>
      <c r="J6465">
        <v>-188.9075</v>
      </c>
      <c r="K6465">
        <v>1.1196569999999999</v>
      </c>
      <c r="L6465">
        <v>-24.052700000000002</v>
      </c>
      <c r="M6465">
        <v>-1.8250860000000001E-2</v>
      </c>
      <c r="N6465">
        <v>-1.199064E-2</v>
      </c>
      <c r="O6465">
        <v>0.99976149999999997</v>
      </c>
      <c r="P6465">
        <v>-4.792689E-2</v>
      </c>
      <c r="Q6465">
        <v>0.1663057</v>
      </c>
      <c r="R6465">
        <v>0.98490880000000003</v>
      </c>
      <c r="S6465">
        <v>-8.0718990000000004E-2</v>
      </c>
      <c r="T6465">
        <v>-3.5020349999999999E-2</v>
      </c>
      <c r="U6465">
        <v>3.0452880000000002</v>
      </c>
      <c r="V6465">
        <v>-2.927942E-2</v>
      </c>
      <c r="W6465">
        <v>0.17822180000000001</v>
      </c>
      <c r="X6465">
        <v>0.98355459999999995</v>
      </c>
      <c r="Y6465">
        <v>-8.2455480000000001E-3</v>
      </c>
      <c r="Z6465">
        <v>4.9377299999999998E-4</v>
      </c>
      <c r="AA6465">
        <v>0.99996589999999996</v>
      </c>
      <c r="AB6465">
        <v>31</v>
      </c>
      <c r="AC6465">
        <v>-2.5754999999999999</v>
      </c>
      <c r="AD6465">
        <v>-1.11965884235499</v>
      </c>
      <c r="AE6465">
        <v>97.016570000000002</v>
      </c>
      <c r="AF6465">
        <v>-0.80420072007801802</v>
      </c>
      <c r="AG6465">
        <v>-1.11965884235499</v>
      </c>
      <c r="AH6465">
        <v>97.034501826170597</v>
      </c>
      <c r="AI6465">
        <v>90.661070807402396</v>
      </c>
      <c r="AJ6465">
        <v>90.474844012620693</v>
      </c>
      <c r="AK6465">
        <v>97.044293595113302</v>
      </c>
      <c r="AL6465">
        <v>79.733797930764396</v>
      </c>
      <c r="AM6465">
        <v>91.705133503463699</v>
      </c>
      <c r="AN6465">
        <v>0.99999997280596697</v>
      </c>
    </row>
    <row r="6466" spans="1:40" x14ac:dyDescent="0.25">
      <c r="A6466" t="str">
        <f>"20190303162945169"</f>
        <v>20190303162945169</v>
      </c>
      <c r="B6466" t="str">
        <f>"1551601785158536"</f>
        <v>1551601785158536</v>
      </c>
      <c r="C6466" t="s">
        <v>40</v>
      </c>
      <c r="D6466">
        <v>4.5787959999999996</v>
      </c>
      <c r="E6466">
        <v>0.50934380000000001</v>
      </c>
      <c r="F6466" t="s">
        <v>41</v>
      </c>
      <c r="G6466">
        <v>-193.88829999999999</v>
      </c>
      <c r="H6466" s="1">
        <v>-1.4145660000000001E-6</v>
      </c>
      <c r="I6466">
        <v>180.47489999999999</v>
      </c>
      <c r="J6466">
        <v>-188.91149999999999</v>
      </c>
      <c r="K6466">
        <v>1.1198969999999999</v>
      </c>
      <c r="L6466">
        <v>-23.75647</v>
      </c>
      <c r="M6466">
        <v>-1.6999400000000001E-2</v>
      </c>
      <c r="N6466">
        <v>-1.1986159999999999E-2</v>
      </c>
      <c r="O6466">
        <v>0.99978359999999999</v>
      </c>
      <c r="P6466">
        <v>-4.5259750000000001E-2</v>
      </c>
      <c r="Q6466">
        <v>0.16945439999999901</v>
      </c>
      <c r="R6466">
        <v>0.98449819999999999</v>
      </c>
      <c r="S6466">
        <v>-7.4157710000000002E-2</v>
      </c>
      <c r="T6466">
        <v>-1.667035E-2</v>
      </c>
      <c r="U6466">
        <v>3.045166</v>
      </c>
      <c r="V6466">
        <v>-2.7941569999999999E-2</v>
      </c>
      <c r="W6466">
        <v>0.18133920000000001</v>
      </c>
      <c r="X6466">
        <v>0.9830236</v>
      </c>
      <c r="Y6466">
        <v>-7.3450030000000001E-3</v>
      </c>
      <c r="Z6466">
        <v>6.5116790000000003E-3</v>
      </c>
      <c r="AA6466">
        <v>0.99995179999999995</v>
      </c>
      <c r="AB6466">
        <v>31</v>
      </c>
      <c r="AC6466">
        <v>-4.9767999999999901</v>
      </c>
      <c r="AD6466">
        <v>-1.11989841456599</v>
      </c>
      <c r="AE6466">
        <v>204.23137</v>
      </c>
      <c r="AF6466">
        <v>-1.50397519687741</v>
      </c>
      <c r="AG6466">
        <v>-1.11989841456599</v>
      </c>
      <c r="AH6466">
        <v>204.28032420443199</v>
      </c>
      <c r="AI6466">
        <v>90.314093250097898</v>
      </c>
      <c r="AJ6466">
        <v>90.421821703706499</v>
      </c>
      <c r="AK6466">
        <v>204.288930123293</v>
      </c>
      <c r="AL6466">
        <v>79.552226048796101</v>
      </c>
      <c r="AM6466">
        <v>91.628143103908897</v>
      </c>
      <c r="AN6466">
        <v>1.0000000174738299</v>
      </c>
    </row>
    <row r="6467" spans="1:40" x14ac:dyDescent="0.25">
      <c r="A6467" t="str">
        <f>"20190303162945193"</f>
        <v>20190303162945193</v>
      </c>
      <c r="B6467" t="str">
        <f>"1551601785187817"</f>
        <v>1551601785187817</v>
      </c>
      <c r="C6467" t="s">
        <v>40</v>
      </c>
      <c r="D6467">
        <v>4.5900339999999904</v>
      </c>
      <c r="E6467">
        <v>0.50907709999999995</v>
      </c>
      <c r="F6467" t="s">
        <v>71</v>
      </c>
      <c r="G6467">
        <v>-198.07900000000001</v>
      </c>
      <c r="H6467">
        <v>0.25250820000000002</v>
      </c>
      <c r="I6467">
        <v>391.87</v>
      </c>
      <c r="J6467">
        <v>-188.9161</v>
      </c>
      <c r="K6467">
        <v>1.120142</v>
      </c>
      <c r="L6467">
        <v>-23.409089999999999</v>
      </c>
      <c r="M6467">
        <v>-1.5869270000000001E-2</v>
      </c>
      <c r="N6467">
        <v>-1.198128E-2</v>
      </c>
      <c r="O6467">
        <v>0.99980230000000003</v>
      </c>
      <c r="P6467">
        <v>-4.3331590000000003E-2</v>
      </c>
      <c r="Q6467">
        <v>0.16854149999999901</v>
      </c>
      <c r="R6467">
        <v>0.98474170000000005</v>
      </c>
      <c r="S6467">
        <v>-6.7169190000000004E-2</v>
      </c>
      <c r="T6467">
        <v>-6.3552859999999999E-3</v>
      </c>
      <c r="U6467">
        <v>3.045258</v>
      </c>
      <c r="V6467">
        <v>-2.7233830000000001E-2</v>
      </c>
      <c r="W6467">
        <v>0.1804055</v>
      </c>
      <c r="X6467">
        <v>0.98321519999999996</v>
      </c>
      <c r="Y6467">
        <v>-6.18069E-3</v>
      </c>
      <c r="Z6467">
        <v>9.8930370000000004E-3</v>
      </c>
      <c r="AA6467">
        <v>0.99993189999999998</v>
      </c>
      <c r="AB6467">
        <v>31</v>
      </c>
      <c r="AC6467">
        <v>-9.1629000000000005</v>
      </c>
      <c r="AD6467">
        <v>-0.86763379999999901</v>
      </c>
      <c r="AE6467">
        <v>415.27909</v>
      </c>
      <c r="AF6467">
        <v>-2.5710857903346902</v>
      </c>
      <c r="AG6467">
        <v>-0.86763379999999901</v>
      </c>
      <c r="AH6467">
        <v>415.37039528417</v>
      </c>
      <c r="AI6467">
        <v>90.119678077351296</v>
      </c>
      <c r="AJ6467">
        <v>90.354648489331097</v>
      </c>
      <c r="AK6467">
        <v>415.37925868906802</v>
      </c>
      <c r="AL6467">
        <v>79.606619848260806</v>
      </c>
      <c r="AM6467">
        <v>91.5866156765683</v>
      </c>
      <c r="AN6467">
        <v>0.99999997771887905</v>
      </c>
    </row>
    <row r="6468" spans="1:40" x14ac:dyDescent="0.25">
      <c r="A6468" t="str">
        <f>"20190303162945215"</f>
        <v>20190303162945215</v>
      </c>
      <c r="B6468" t="str">
        <f>"1551601785208314"</f>
        <v>1551601785208314</v>
      </c>
      <c r="C6468" t="s">
        <v>40</v>
      </c>
      <c r="D6468">
        <v>4.6365980000000002</v>
      </c>
      <c r="E6468">
        <v>0.50878630000000002</v>
      </c>
      <c r="F6468" t="s">
        <v>71</v>
      </c>
      <c r="G6468">
        <v>-197.48570000000001</v>
      </c>
      <c r="H6468">
        <v>0.68795299999999904</v>
      </c>
      <c r="I6468">
        <v>391.87</v>
      </c>
      <c r="J6468">
        <v>-188.91990000000001</v>
      </c>
      <c r="K6468">
        <v>1.1203379999999901</v>
      </c>
      <c r="L6468">
        <v>-23.11121</v>
      </c>
      <c r="M6468">
        <v>-1.5176139999999999E-2</v>
      </c>
      <c r="N6468">
        <v>-1.197723E-2</v>
      </c>
      <c r="O6468">
        <v>0.99981310000000001</v>
      </c>
      <c r="P6468">
        <v>-4.3054870000000002E-2</v>
      </c>
      <c r="Q6468">
        <v>0.16772029999999999</v>
      </c>
      <c r="R6468">
        <v>0.98489400000000005</v>
      </c>
      <c r="S6468">
        <v>-6.2820429999999997E-2</v>
      </c>
      <c r="T6468">
        <v>-3.1682250000000002E-3</v>
      </c>
      <c r="U6468">
        <v>3.0442499999999999</v>
      </c>
      <c r="V6468">
        <v>-2.7725730000000001E-2</v>
      </c>
      <c r="W6468">
        <v>0.1795697</v>
      </c>
      <c r="X6468">
        <v>0.98335439999999996</v>
      </c>
      <c r="Y6468">
        <v>-5.4533369999999999E-3</v>
      </c>
      <c r="Z6468">
        <v>1.0935E-2</v>
      </c>
      <c r="AA6468">
        <v>0.99992530000000002</v>
      </c>
      <c r="AB6468">
        <v>31</v>
      </c>
      <c r="AC6468">
        <v>-8.5657999999999905</v>
      </c>
      <c r="AD6468">
        <v>-0.43238499999999902</v>
      </c>
      <c r="AE6468">
        <v>414.98120999999998</v>
      </c>
      <c r="AF6468">
        <v>-2.2665462259107501</v>
      </c>
      <c r="AG6468">
        <v>-0.43238499999999902</v>
      </c>
      <c r="AH6468">
        <v>415.06296683508401</v>
      </c>
      <c r="AI6468">
        <v>90.059686021830203</v>
      </c>
      <c r="AJ6468">
        <v>90.312873593625895</v>
      </c>
      <c r="AK6468">
        <v>415.06938049743502</v>
      </c>
      <c r="AL6468">
        <v>79.6553022585082</v>
      </c>
      <c r="AM6468">
        <v>91.615029702289604</v>
      </c>
      <c r="AN6468">
        <v>0.999999934630739</v>
      </c>
    </row>
    <row r="6469" spans="1:40" x14ac:dyDescent="0.25">
      <c r="A6469" t="str">
        <f>"20190303162945236"</f>
        <v>20190303162945236</v>
      </c>
      <c r="B6469" t="str">
        <f>"1551601785227832"</f>
        <v>1551601785227832</v>
      </c>
      <c r="C6469" t="s">
        <v>40</v>
      </c>
      <c r="D6469">
        <v>4.6026949999999998</v>
      </c>
      <c r="E6469">
        <v>0.50851420000000003</v>
      </c>
      <c r="F6469" t="s">
        <v>71</v>
      </c>
      <c r="G6469">
        <v>-197.59119999999999</v>
      </c>
      <c r="H6469">
        <v>0.76065539999999998</v>
      </c>
      <c r="I6469">
        <v>391.87</v>
      </c>
      <c r="J6469">
        <v>-188.9239</v>
      </c>
      <c r="K6469">
        <v>1.1205339999999999</v>
      </c>
      <c r="L6469">
        <v>-22.80865</v>
      </c>
      <c r="M6469">
        <v>-1.470057E-2</v>
      </c>
      <c r="N6469">
        <v>-1.19734E-2</v>
      </c>
      <c r="O6469">
        <v>0.99982020000000005</v>
      </c>
      <c r="P6469">
        <v>-4.3717350000000002E-2</v>
      </c>
      <c r="Q6469">
        <v>0.16834150000000001</v>
      </c>
      <c r="R6469">
        <v>0.98475889999999999</v>
      </c>
      <c r="S6469">
        <v>-6.3598630000000003E-2</v>
      </c>
      <c r="T6469">
        <v>-2.6381019999999998E-3</v>
      </c>
      <c r="U6469">
        <v>3.0436709999999998</v>
      </c>
      <c r="V6469">
        <v>-2.8940190000000001E-2</v>
      </c>
      <c r="W6469">
        <v>0.18017430000000001</v>
      </c>
      <c r="X6469">
        <v>0.98320890000000005</v>
      </c>
      <c r="Y6469">
        <v>-6.1883779999999996E-3</v>
      </c>
      <c r="Z6469">
        <v>1.110512E-2</v>
      </c>
      <c r="AA6469">
        <v>0.99991920000000001</v>
      </c>
      <c r="AB6469">
        <v>31</v>
      </c>
      <c r="AC6469">
        <v>-8.6672999999999796</v>
      </c>
      <c r="AD6469">
        <v>-0.35987859999999899</v>
      </c>
      <c r="AE6469">
        <v>414.67865</v>
      </c>
      <c r="AF6469">
        <v>-2.569911510591</v>
      </c>
      <c r="AG6469">
        <v>-0.35987859999999899</v>
      </c>
      <c r="AH6469">
        <v>414.760944864652</v>
      </c>
      <c r="AI6469">
        <v>90.0497132726627</v>
      </c>
      <c r="AJ6469">
        <v>90.355007386306497</v>
      </c>
      <c r="AK6469">
        <v>414.76906266354803</v>
      </c>
      <c r="AL6469">
        <v>79.620087834560294</v>
      </c>
      <c r="AM6469">
        <v>91.6859816140649</v>
      </c>
      <c r="AN6469">
        <v>1.0000000270084599</v>
      </c>
    </row>
    <row r="6470" spans="1:40" x14ac:dyDescent="0.25">
      <c r="A6470" t="str">
        <f>"20190303162945261"</f>
        <v>20190303162945261</v>
      </c>
      <c r="B6470" t="str">
        <f>"1551601785248328"</f>
        <v>1551601785248328</v>
      </c>
      <c r="C6470" t="s">
        <v>40</v>
      </c>
      <c r="D6470">
        <v>4.6005609999999999</v>
      </c>
      <c r="E6470">
        <v>0.50829139999999995</v>
      </c>
      <c r="F6470" t="s">
        <v>71</v>
      </c>
      <c r="G6470">
        <v>-198.1499</v>
      </c>
      <c r="H6470">
        <v>1.4286840000000001</v>
      </c>
      <c r="I6470">
        <v>391.87</v>
      </c>
      <c r="J6470">
        <v>-188.92830000000001</v>
      </c>
      <c r="K6470">
        <v>1.1207309999999999</v>
      </c>
      <c r="L6470">
        <v>-22.473970000000001</v>
      </c>
      <c r="M6470">
        <v>-1.4378520000000001E-2</v>
      </c>
      <c r="N6470">
        <v>-1.196965E-2</v>
      </c>
      <c r="O6470">
        <v>0.99982499999999996</v>
      </c>
      <c r="P6470">
        <v>-4.5836399999999999E-2</v>
      </c>
      <c r="Q6470">
        <v>0.16998579999999999</v>
      </c>
      <c r="R6470">
        <v>0.98437989999999997</v>
      </c>
      <c r="S6470">
        <v>-6.7703250000000006E-2</v>
      </c>
      <c r="T6470">
        <v>2.261281E-3</v>
      </c>
      <c r="U6470">
        <v>3.0430299999999999</v>
      </c>
      <c r="V6470">
        <v>-3.146173E-2</v>
      </c>
      <c r="W6470">
        <v>0.1818002</v>
      </c>
      <c r="X6470">
        <v>0.98283209999999999</v>
      </c>
      <c r="Y6470">
        <v>-7.8625099999999996E-3</v>
      </c>
      <c r="Z6470">
        <v>1.2710569999999999E-2</v>
      </c>
      <c r="AA6470">
        <v>0.99988829999999995</v>
      </c>
      <c r="AB6470">
        <v>31</v>
      </c>
      <c r="AC6470">
        <v>-9.2215999999999898</v>
      </c>
      <c r="AD6470">
        <v>0.30795299999999998</v>
      </c>
      <c r="AE6470">
        <v>414.34397000000001</v>
      </c>
      <c r="AF6470">
        <v>-3.2625650122274799</v>
      </c>
      <c r="AG6470">
        <v>0.30795299999999998</v>
      </c>
      <c r="AH6470">
        <v>414.43350417349001</v>
      </c>
      <c r="AI6470">
        <v>89.957426566523097</v>
      </c>
      <c r="AJ6470">
        <v>90.451043031588796</v>
      </c>
      <c r="AK6470">
        <v>414.44646041078403</v>
      </c>
      <c r="AL6470">
        <v>79.525366524279804</v>
      </c>
      <c r="AM6470">
        <v>91.833486099197003</v>
      </c>
      <c r="AN6470">
        <v>1.0000000449825199</v>
      </c>
    </row>
    <row r="6471" spans="1:40" x14ac:dyDescent="0.25">
      <c r="A6471" t="str">
        <f>"20190303162945284"</f>
        <v>20190303162945284</v>
      </c>
      <c r="B6471" t="str">
        <f>"1551601785278585"</f>
        <v>1551601785278585</v>
      </c>
      <c r="C6471" t="s">
        <v>40</v>
      </c>
      <c r="D6471">
        <v>4.5763780000000001</v>
      </c>
      <c r="E6471">
        <v>0.50817939999999995</v>
      </c>
      <c r="F6471" t="s">
        <v>71</v>
      </c>
      <c r="G6471">
        <v>-199.33789999999999</v>
      </c>
      <c r="H6471">
        <v>2.492483</v>
      </c>
      <c r="I6471">
        <v>391.87</v>
      </c>
      <c r="J6471">
        <v>-188.9325</v>
      </c>
      <c r="K6471">
        <v>1.1208940000000001</v>
      </c>
      <c r="L6471">
        <v>-22.15897</v>
      </c>
      <c r="M6471">
        <v>-1.4217820000000001E-2</v>
      </c>
      <c r="N6471">
        <v>-1.196644E-2</v>
      </c>
      <c r="O6471">
        <v>0.99982729999999997</v>
      </c>
      <c r="P6471">
        <v>-4.9081189999999997E-2</v>
      </c>
      <c r="Q6471">
        <v>0.1749309</v>
      </c>
      <c r="R6471">
        <v>0.98335660000000003</v>
      </c>
      <c r="S6471">
        <v>-7.6431269999999996E-2</v>
      </c>
      <c r="T6471">
        <v>1.0071989999999999E-2</v>
      </c>
      <c r="U6471">
        <v>3.042297</v>
      </c>
      <c r="V6471">
        <v>-3.4938909999999997E-2</v>
      </c>
      <c r="W6471">
        <v>0.18672169999999999</v>
      </c>
      <c r="X6471">
        <v>0.98179139999999998</v>
      </c>
      <c r="Y6471">
        <v>-1.0894579999999999E-2</v>
      </c>
      <c r="Z6471">
        <v>1.527352E-2</v>
      </c>
      <c r="AA6471">
        <v>0.99982400000000005</v>
      </c>
      <c r="AB6471">
        <v>31</v>
      </c>
      <c r="AC6471">
        <v>-10.405399999999901</v>
      </c>
      <c r="AD6471">
        <v>1.3715889999999999</v>
      </c>
      <c r="AE6471">
        <v>414.02897000000002</v>
      </c>
      <c r="AF6471">
        <v>-4.5172875798999303</v>
      </c>
      <c r="AG6471">
        <v>1.3715889999999999</v>
      </c>
      <c r="AH6471">
        <v>414.13052533044299</v>
      </c>
      <c r="AI6471">
        <v>89.810249923450996</v>
      </c>
      <c r="AJ6471">
        <v>90.624950910522799</v>
      </c>
      <c r="AK6471">
        <v>414.157432812612</v>
      </c>
      <c r="AL6471">
        <v>79.238472564002507</v>
      </c>
      <c r="AM6471">
        <v>92.038118951378195</v>
      </c>
      <c r="AN6471">
        <v>1.0000000368984101</v>
      </c>
    </row>
    <row r="6472" spans="1:40" x14ac:dyDescent="0.25">
      <c r="A6472" t="str">
        <f>"20190303162945308"</f>
        <v>20190303162945308</v>
      </c>
      <c r="B6472" t="str">
        <f>"1551601785298106"</f>
        <v>1551601785298106</v>
      </c>
      <c r="C6472" t="s">
        <v>40</v>
      </c>
      <c r="D6472">
        <v>4.5240099999999996</v>
      </c>
      <c r="E6472">
        <v>0.50810390000000005</v>
      </c>
      <c r="F6472" t="s">
        <v>71</v>
      </c>
      <c r="G6472">
        <v>-200.79400000000001</v>
      </c>
      <c r="H6472">
        <v>5.0885769999999999</v>
      </c>
      <c r="I6472">
        <v>391.87</v>
      </c>
      <c r="J6472">
        <v>-188.93719999999999</v>
      </c>
      <c r="K6472">
        <v>1.1210199999999999</v>
      </c>
      <c r="L6472">
        <v>-21.816040000000001</v>
      </c>
      <c r="M6472">
        <v>-1.414956E-2</v>
      </c>
      <c r="N6472">
        <v>-1.1963140000000001E-2</v>
      </c>
      <c r="O6472">
        <v>0.9998283</v>
      </c>
      <c r="P6472">
        <v>-5.3126020000000003E-2</v>
      </c>
      <c r="Q6472">
        <v>0.18033759999999999</v>
      </c>
      <c r="R6472">
        <v>0.98216899999999996</v>
      </c>
      <c r="S6472">
        <v>-8.7127689999999994E-2</v>
      </c>
      <c r="T6472">
        <v>2.9144409999999999E-2</v>
      </c>
      <c r="U6472">
        <v>3.041229</v>
      </c>
      <c r="V6472">
        <v>-3.9111979999999998E-2</v>
      </c>
      <c r="W6472">
        <v>0.1921051</v>
      </c>
      <c r="X6472">
        <v>0.98059459999999998</v>
      </c>
      <c r="Y6472">
        <v>-1.448261E-2</v>
      </c>
      <c r="Z6472">
        <v>2.153824E-2</v>
      </c>
      <c r="AA6472">
        <v>0.99966310000000003</v>
      </c>
      <c r="AB6472">
        <v>31</v>
      </c>
      <c r="AC6472">
        <v>-11.8568</v>
      </c>
      <c r="AD6472">
        <v>3.9675569999999998</v>
      </c>
      <c r="AE6472">
        <v>413.68603999999999</v>
      </c>
      <c r="AF6472">
        <v>-6.0011668145946802</v>
      </c>
      <c r="AG6472">
        <v>3.9675569999999998</v>
      </c>
      <c r="AH6472">
        <v>413.77437174940502</v>
      </c>
      <c r="AI6472">
        <v>89.450682746301993</v>
      </c>
      <c r="AJ6472">
        <v>90.830929724096407</v>
      </c>
      <c r="AK6472">
        <v>413.83690776476197</v>
      </c>
      <c r="AL6472">
        <v>78.924338376735705</v>
      </c>
      <c r="AM6472">
        <v>92.284087782201595</v>
      </c>
      <c r="AN6472">
        <v>0.99999994298734296</v>
      </c>
    </row>
    <row r="6473" spans="1:40" x14ac:dyDescent="0.25">
      <c r="A6473" t="str">
        <f>"20190303162945329"</f>
        <v>20190303162945329</v>
      </c>
      <c r="B6473" t="str">
        <f>"1551601785318601"</f>
        <v>1551601785318601</v>
      </c>
      <c r="C6473" t="s">
        <v>40</v>
      </c>
      <c r="D6473">
        <v>4.4496159999999998</v>
      </c>
      <c r="E6473">
        <v>0.50815250000000001</v>
      </c>
      <c r="F6473" t="s">
        <v>71</v>
      </c>
      <c r="G6473">
        <v>-202.29159999999999</v>
      </c>
      <c r="H6473">
        <v>7.8538069999999998</v>
      </c>
      <c r="I6473">
        <v>391.00349999999997</v>
      </c>
      <c r="J6473">
        <v>-188.94130000000001</v>
      </c>
      <c r="K6473">
        <v>1.121105</v>
      </c>
      <c r="L6473">
        <v>-21.521879999999999</v>
      </c>
      <c r="M6473">
        <v>-1.413094E-2</v>
      </c>
      <c r="N6473">
        <v>-1.196058E-2</v>
      </c>
      <c r="O6473">
        <v>0.99982859999999996</v>
      </c>
      <c r="P6473">
        <v>-5.6973250000000003E-2</v>
      </c>
      <c r="Q6473">
        <v>0.1853747</v>
      </c>
      <c r="R6473">
        <v>0.98101490000000002</v>
      </c>
      <c r="S6473">
        <v>-9.8342899999999997E-2</v>
      </c>
      <c r="T6473">
        <v>4.9580810000000003E-2</v>
      </c>
      <c r="U6473">
        <v>3.0400390000000002</v>
      </c>
      <c r="V6473">
        <v>-4.3019050000000003E-2</v>
      </c>
      <c r="W6473">
        <v>0.19712180000000001</v>
      </c>
      <c r="X6473">
        <v>0.97943469999999999</v>
      </c>
      <c r="Y6473">
        <v>-1.8192079999999999E-2</v>
      </c>
      <c r="Z6473">
        <v>2.8254140000000001E-2</v>
      </c>
      <c r="AA6473">
        <v>0.99943519999999997</v>
      </c>
      <c r="AB6473">
        <v>31</v>
      </c>
      <c r="AC6473">
        <v>-13.350299999999899</v>
      </c>
      <c r="AD6473">
        <v>6.7327019999999997</v>
      </c>
      <c r="AE6473">
        <v>412.52537999999998</v>
      </c>
      <c r="AF6473">
        <v>-7.51717811392857</v>
      </c>
      <c r="AG6473">
        <v>6.7327019999999997</v>
      </c>
      <c r="AH6473">
        <v>412.563073125416</v>
      </c>
      <c r="AI6473">
        <v>89.065216461445701</v>
      </c>
      <c r="AJ6473">
        <v>91.043852331685301</v>
      </c>
      <c r="AK6473">
        <v>412.68647488099799</v>
      </c>
      <c r="AL6473">
        <v>78.631299879684903</v>
      </c>
      <c r="AM6473">
        <v>92.514947471955793</v>
      </c>
      <c r="AN6473">
        <v>0.99999998713111604</v>
      </c>
    </row>
    <row r="6474" spans="1:40" x14ac:dyDescent="0.25">
      <c r="A6474" t="str">
        <f>"20190303162945348"</f>
        <v>20190303162945348</v>
      </c>
      <c r="B6474" t="str">
        <f>"1551601785338121"</f>
        <v>1551601785338121</v>
      </c>
      <c r="C6474" t="s">
        <v>40</v>
      </c>
      <c r="D6474">
        <v>4.4554489999999998</v>
      </c>
      <c r="E6474">
        <v>0.50829859999999905</v>
      </c>
      <c r="F6474" t="s">
        <v>52</v>
      </c>
      <c r="G6474">
        <v>-201.6438</v>
      </c>
      <c r="H6474">
        <v>9.0546819999999997</v>
      </c>
      <c r="I6474">
        <v>336.11439999999999</v>
      </c>
      <c r="J6474">
        <v>-188.94499999999999</v>
      </c>
      <c r="K6474">
        <v>1.1211469999999999</v>
      </c>
      <c r="L6474">
        <v>-21.249569999999999</v>
      </c>
      <c r="M6474">
        <v>-1.412335E-2</v>
      </c>
      <c r="N6474">
        <v>-1.195853E-2</v>
      </c>
      <c r="O6474">
        <v>0.99982879999999996</v>
      </c>
      <c r="P6474">
        <v>-5.92559E-2</v>
      </c>
      <c r="Q6474">
        <v>0.18684680000000001</v>
      </c>
      <c r="R6474">
        <v>0.98060029999999998</v>
      </c>
      <c r="S6474">
        <v>-0.1079407</v>
      </c>
      <c r="T6474">
        <v>6.7415950000000002E-2</v>
      </c>
      <c r="U6474">
        <v>3.0390320000000002</v>
      </c>
      <c r="V6474">
        <v>-4.533156E-2</v>
      </c>
      <c r="W6474">
        <v>0.19858439999999999</v>
      </c>
      <c r="X6474">
        <v>0.97903490000000004</v>
      </c>
      <c r="Y6474">
        <v>-2.1357370000000001E-2</v>
      </c>
      <c r="Z6474">
        <v>3.411608E-2</v>
      </c>
      <c r="AA6474">
        <v>0.99918969999999896</v>
      </c>
      <c r="AB6474">
        <v>31</v>
      </c>
      <c r="AC6474">
        <v>-12.6988</v>
      </c>
      <c r="AD6474">
        <v>7.933535</v>
      </c>
      <c r="AE6474">
        <v>357.36396999999999</v>
      </c>
      <c r="AF6474">
        <v>-7.6462324889854898</v>
      </c>
      <c r="AG6474">
        <v>7.933535</v>
      </c>
      <c r="AH6474">
        <v>357.33179627846198</v>
      </c>
      <c r="AI6474">
        <v>88.728410317537694</v>
      </c>
      <c r="AJ6474">
        <v>91.225835507667099</v>
      </c>
      <c r="AK6474">
        <v>357.50163423467598</v>
      </c>
      <c r="AL6474">
        <v>78.545809490625103</v>
      </c>
      <c r="AM6474">
        <v>92.651032487747102</v>
      </c>
      <c r="AN6474">
        <v>1.0000000248367</v>
      </c>
    </row>
    <row r="6475" spans="1:40" x14ac:dyDescent="0.25">
      <c r="A6475" t="str">
        <f>"20190303162945371"</f>
        <v>20190303162945371</v>
      </c>
      <c r="B6475" t="str">
        <f>"1551601785358617"</f>
        <v>1551601785358617</v>
      </c>
      <c r="C6475" t="s">
        <v>40</v>
      </c>
      <c r="D6475">
        <v>4.3906039999999997</v>
      </c>
      <c r="E6475">
        <v>0.50841309999999995</v>
      </c>
      <c r="F6475" t="s">
        <v>71</v>
      </c>
      <c r="G6475">
        <v>-204.45480000000001</v>
      </c>
      <c r="H6475">
        <v>10.959350000000001</v>
      </c>
      <c r="I6475">
        <v>391.00349999999997</v>
      </c>
      <c r="J6475">
        <v>-188.94929999999999</v>
      </c>
      <c r="K6475">
        <v>1.1211690000000001</v>
      </c>
      <c r="L6475">
        <v>-20.936769999999999</v>
      </c>
      <c r="M6475">
        <v>-1.4106E-2</v>
      </c>
      <c r="N6475">
        <v>-1.195629E-2</v>
      </c>
      <c r="O6475">
        <v>0.99982899999999997</v>
      </c>
      <c r="P6475">
        <v>-6.085993E-2</v>
      </c>
      <c r="Q6475">
        <v>0.1847442</v>
      </c>
      <c r="R6475">
        <v>0.98090049999999995</v>
      </c>
      <c r="S6475">
        <v>-0.1143188</v>
      </c>
      <c r="T6475">
        <v>7.2515369999999996E-2</v>
      </c>
      <c r="U6475">
        <v>3.0386350000000002</v>
      </c>
      <c r="V6475">
        <v>-4.6961459999999997E-2</v>
      </c>
      <c r="W6475">
        <v>0.19648090000000001</v>
      </c>
      <c r="X6475">
        <v>0.97938239999999999</v>
      </c>
      <c r="Y6475">
        <v>-2.347198E-2</v>
      </c>
      <c r="Z6475">
        <v>3.57904E-2</v>
      </c>
      <c r="AA6475">
        <v>0.99908359999999996</v>
      </c>
      <c r="AB6475">
        <v>31</v>
      </c>
      <c r="AC6475">
        <v>-15.5055</v>
      </c>
      <c r="AD6475">
        <v>9.8381810000000005</v>
      </c>
      <c r="AE6475">
        <v>411.94027</v>
      </c>
      <c r="AF6475">
        <v>-9.6871945989048402</v>
      </c>
      <c r="AG6475">
        <v>9.8381810000000005</v>
      </c>
      <c r="AH6475">
        <v>411.88341856382499</v>
      </c>
      <c r="AI6475">
        <v>88.632080558668505</v>
      </c>
      <c r="AJ6475">
        <v>91.347306141607305</v>
      </c>
      <c r="AK6475">
        <v>412.11476803483799</v>
      </c>
      <c r="AL6475">
        <v>78.6687534012773</v>
      </c>
      <c r="AM6475">
        <v>92.745234284081803</v>
      </c>
      <c r="AN6475">
        <v>1.0000000041099499</v>
      </c>
    </row>
    <row r="6476" spans="1:40" x14ac:dyDescent="0.25">
      <c r="A6476" t="str">
        <f>"20190303162945394"</f>
        <v>20190303162945394</v>
      </c>
      <c r="B6476" t="str">
        <f>"1551601785388873"</f>
        <v>1551601785388873</v>
      </c>
      <c r="C6476" t="s">
        <v>40</v>
      </c>
      <c r="D6476">
        <v>4.3608200000000004</v>
      </c>
      <c r="E6476">
        <v>0.50866369999999905</v>
      </c>
      <c r="F6476" t="s">
        <v>52</v>
      </c>
      <c r="G6476">
        <v>-202.99109999999999</v>
      </c>
      <c r="H6476">
        <v>8.963298</v>
      </c>
      <c r="I6476">
        <v>336.16390000000001</v>
      </c>
      <c r="J6476">
        <v>-188.9538</v>
      </c>
      <c r="K6476">
        <v>1.121192</v>
      </c>
      <c r="L6476">
        <v>-20.61392</v>
      </c>
      <c r="M6476">
        <v>-1.406702E-2</v>
      </c>
      <c r="N6476">
        <v>-1.195425E-2</v>
      </c>
      <c r="O6476">
        <v>0.99982959999999999</v>
      </c>
      <c r="P6476">
        <v>-6.1285079999999999E-2</v>
      </c>
      <c r="Q6476">
        <v>0.1826641</v>
      </c>
      <c r="R6476">
        <v>0.98126349999999996</v>
      </c>
      <c r="S6476">
        <v>-0.11947629999999999</v>
      </c>
      <c r="T6476">
        <v>6.6726090000000002E-2</v>
      </c>
      <c r="U6476">
        <v>3.0384519999999999</v>
      </c>
      <c r="V6476">
        <v>-4.7427940000000002E-2</v>
      </c>
      <c r="W6476">
        <v>0.19440180000000001</v>
      </c>
      <c r="X6476">
        <v>0.9797747</v>
      </c>
      <c r="Y6476">
        <v>-2.5208959999999999E-2</v>
      </c>
      <c r="Z6476">
        <v>3.3886529999999998E-2</v>
      </c>
      <c r="AA6476">
        <v>0.99910770000000004</v>
      </c>
      <c r="AB6476">
        <v>31</v>
      </c>
      <c r="AC6476">
        <v>-14.037299999999901</v>
      </c>
      <c r="AD6476">
        <v>7.8421059999999896</v>
      </c>
      <c r="AE6476">
        <v>356.77782000000002</v>
      </c>
      <c r="AF6476">
        <v>-9.0124040488658501</v>
      </c>
      <c r="AG6476">
        <v>7.8421059999999896</v>
      </c>
      <c r="AH6476">
        <v>356.76788938630699</v>
      </c>
      <c r="AI6476">
        <v>88.741187138415</v>
      </c>
      <c r="AJ6476">
        <v>91.447055452190696</v>
      </c>
      <c r="AK6476">
        <v>356.96785422558099</v>
      </c>
      <c r="AL6476">
        <v>78.790219075049606</v>
      </c>
      <c r="AM6476">
        <v>92.771352692097494</v>
      </c>
      <c r="AN6476">
        <v>0.99999996604798602</v>
      </c>
    </row>
    <row r="6477" spans="1:40" x14ac:dyDescent="0.25">
      <c r="A6477" t="str">
        <f>"20190303162945417"</f>
        <v>20190303162945417</v>
      </c>
      <c r="B6477" t="str">
        <f>"1551601785408393"</f>
        <v>1551601785408393</v>
      </c>
      <c r="C6477" t="s">
        <v>40</v>
      </c>
      <c r="D6477">
        <v>4.3130509999999997</v>
      </c>
      <c r="E6477">
        <v>0.50891419999999998</v>
      </c>
      <c r="F6477" t="s">
        <v>71</v>
      </c>
      <c r="G6477">
        <v>-205.0753</v>
      </c>
      <c r="H6477">
        <v>9.4378469999999997</v>
      </c>
      <c r="I6477">
        <v>391.00349999999997</v>
      </c>
      <c r="J6477">
        <v>-188.95820000000001</v>
      </c>
      <c r="K6477">
        <v>1.121216</v>
      </c>
      <c r="L6477">
        <v>-20.294920000000001</v>
      </c>
      <c r="M6477">
        <v>-1.400412E-2</v>
      </c>
      <c r="N6477">
        <v>-1.195251E-2</v>
      </c>
      <c r="O6477">
        <v>0.99983049999999996</v>
      </c>
      <c r="P6477">
        <v>-6.174893E-2</v>
      </c>
      <c r="Q6477">
        <v>0.18581929999999999</v>
      </c>
      <c r="R6477">
        <v>0.98064180000000001</v>
      </c>
      <c r="S6477">
        <v>-0.11900330000000001</v>
      </c>
      <c r="T6477">
        <v>6.1390760000000003E-2</v>
      </c>
      <c r="U6477">
        <v>3.0384220000000002</v>
      </c>
      <c r="V6477">
        <v>-4.7964819999999998E-2</v>
      </c>
      <c r="W6477">
        <v>0.19754730000000001</v>
      </c>
      <c r="X6477">
        <v>0.97911919999999997</v>
      </c>
      <c r="Y6477">
        <v>-2.5118950000000001E-2</v>
      </c>
      <c r="Z6477">
        <v>3.213216E-2</v>
      </c>
      <c r="AA6477">
        <v>0.9991679</v>
      </c>
      <c r="AB6477">
        <v>31</v>
      </c>
      <c r="AC6477">
        <v>-16.117099999999901</v>
      </c>
      <c r="AD6477">
        <v>8.3166309999999992</v>
      </c>
      <c r="AE6477">
        <v>411.29842000000002</v>
      </c>
      <c r="AF6477">
        <v>-10.351009716514399</v>
      </c>
      <c r="AG6477">
        <v>8.3166309999999992</v>
      </c>
      <c r="AH6477">
        <v>411.31588805379403</v>
      </c>
      <c r="AI6477">
        <v>88.842028246276996</v>
      </c>
      <c r="AJ6477">
        <v>91.441578205201495</v>
      </c>
      <c r="AK6477">
        <v>411.530156269043</v>
      </c>
      <c r="AL6477">
        <v>78.6064314795954</v>
      </c>
      <c r="AM6477">
        <v>92.804547752334798</v>
      </c>
      <c r="AN6477">
        <v>0.99999998375178101</v>
      </c>
    </row>
    <row r="6478" spans="1:40" x14ac:dyDescent="0.25">
      <c r="A6478" t="str">
        <f>"20190303162945440"</f>
        <v>20190303162945440</v>
      </c>
      <c r="B6478" t="str">
        <f>"1551601785428889"</f>
        <v>1551601785428889</v>
      </c>
      <c r="C6478" t="s">
        <v>40</v>
      </c>
      <c r="D6478">
        <v>4.2866410000000004</v>
      </c>
      <c r="E6478">
        <v>0.50915859999999902</v>
      </c>
      <c r="F6478" t="s">
        <v>71</v>
      </c>
      <c r="G6478">
        <v>-205.16839999999999</v>
      </c>
      <c r="H6478">
        <v>10.599500000000001</v>
      </c>
      <c r="I6478">
        <v>391.00349999999997</v>
      </c>
      <c r="J6478">
        <v>-188.96250000000001</v>
      </c>
      <c r="K6478">
        <v>1.1212299999999999</v>
      </c>
      <c r="L6478">
        <v>-19.983149999999998</v>
      </c>
      <c r="M6478">
        <v>-1.391557E-2</v>
      </c>
      <c r="N6478">
        <v>-1.1951099999999999E-2</v>
      </c>
      <c r="O6478">
        <v>0.99983169999999999</v>
      </c>
      <c r="P6478">
        <v>-6.1280969999999997E-2</v>
      </c>
      <c r="Q6478">
        <v>0.18959129999999999</v>
      </c>
      <c r="R6478">
        <v>0.97994890000000001</v>
      </c>
      <c r="S6478">
        <v>-0.119751</v>
      </c>
      <c r="T6478">
        <v>7.0019719999999994E-2</v>
      </c>
      <c r="U6478">
        <v>3.0384220000000002</v>
      </c>
      <c r="V6478">
        <v>-4.7590529999999999E-2</v>
      </c>
      <c r="W6478">
        <v>0.20130960000000001</v>
      </c>
      <c r="X6478">
        <v>0.97837090000000004</v>
      </c>
      <c r="Y6478">
        <v>-2.5449670000000001E-2</v>
      </c>
      <c r="Z6478">
        <v>3.4965650000000001E-2</v>
      </c>
      <c r="AA6478">
        <v>0.99906439999999996</v>
      </c>
      <c r="AB6478">
        <v>31</v>
      </c>
      <c r="AC6478">
        <v>-16.2058999999999</v>
      </c>
      <c r="AD6478">
        <v>9.4782700000000002</v>
      </c>
      <c r="AE6478">
        <v>410.98665</v>
      </c>
      <c r="AF6478">
        <v>-10.479243459096001</v>
      </c>
      <c r="AG6478">
        <v>9.4782700000000002</v>
      </c>
      <c r="AH6478">
        <v>410.95414701183699</v>
      </c>
      <c r="AI6478">
        <v>88.679190301401704</v>
      </c>
      <c r="AJ6478">
        <v>91.460713658004195</v>
      </c>
      <c r="AK6478">
        <v>411.196988184367</v>
      </c>
      <c r="AL6478">
        <v>78.386448860504004</v>
      </c>
      <c r="AM6478">
        <v>92.784822177387099</v>
      </c>
      <c r="AN6478">
        <v>1.0000000157823199</v>
      </c>
    </row>
    <row r="6479" spans="1:40" x14ac:dyDescent="0.25">
      <c r="A6479" t="str">
        <f>"20190303162945463"</f>
        <v>20190303162945463</v>
      </c>
      <c r="B6479" t="str">
        <f>"1551601785448408"</f>
        <v>1551601785448408</v>
      </c>
      <c r="C6479" t="s">
        <v>40</v>
      </c>
      <c r="D6479">
        <v>4.3064499999999999</v>
      </c>
      <c r="E6479">
        <v>0.50939760000000001</v>
      </c>
      <c r="F6479" t="s">
        <v>71</v>
      </c>
      <c r="G6479">
        <v>-204.92179999999999</v>
      </c>
      <c r="H6479">
        <v>12.126620000000001</v>
      </c>
      <c r="I6479">
        <v>391.00349999999997</v>
      </c>
      <c r="J6479">
        <v>-188.96680000000001</v>
      </c>
      <c r="K6479">
        <v>1.1212249999999999</v>
      </c>
      <c r="L6479">
        <v>-19.665009999999999</v>
      </c>
      <c r="M6479">
        <v>-1.3791360000000001E-2</v>
      </c>
      <c r="N6479">
        <v>-1.1949939999999999E-2</v>
      </c>
      <c r="O6479">
        <v>0.99983350000000004</v>
      </c>
      <c r="P6479">
        <v>-6.0808330000000001E-2</v>
      </c>
      <c r="Q6479">
        <v>0.19210920000000001</v>
      </c>
      <c r="R6479">
        <v>0.97948780000000002</v>
      </c>
      <c r="S6479">
        <v>-0.117981</v>
      </c>
      <c r="T6479">
        <v>8.1358669999999994E-2</v>
      </c>
      <c r="U6479">
        <v>3.0382690000000001</v>
      </c>
      <c r="V6479">
        <v>-4.7237010000000003E-2</v>
      </c>
      <c r="W6479">
        <v>0.20382230000000001</v>
      </c>
      <c r="X6479">
        <v>0.97786770000000001</v>
      </c>
      <c r="Y6479">
        <v>-2.4989899999999999E-2</v>
      </c>
      <c r="Z6479">
        <v>3.8690849999999999E-2</v>
      </c>
      <c r="AA6479">
        <v>0.99893869999999896</v>
      </c>
      <c r="AB6479">
        <v>31</v>
      </c>
      <c r="AC6479">
        <v>-15.954999999999901</v>
      </c>
      <c r="AD6479">
        <v>11.005395</v>
      </c>
      <c r="AE6479">
        <v>410.66851000000003</v>
      </c>
      <c r="AF6479">
        <v>-10.282027633855</v>
      </c>
      <c r="AG6479">
        <v>11.005395</v>
      </c>
      <c r="AH6479">
        <v>410.55509972495003</v>
      </c>
      <c r="AI6479">
        <v>88.464970467682406</v>
      </c>
      <c r="AJ6479">
        <v>91.4346275758475</v>
      </c>
      <c r="AK6479">
        <v>410.83126551119898</v>
      </c>
      <c r="AL6479">
        <v>78.239434321147499</v>
      </c>
      <c r="AM6479">
        <v>92.765587897543298</v>
      </c>
      <c r="AN6479">
        <v>1.0000000518971499</v>
      </c>
    </row>
    <row r="6480" spans="1:40" x14ac:dyDescent="0.25">
      <c r="A6480" t="str">
        <f>"20190303162945487"</f>
        <v>20190303162945487</v>
      </c>
      <c r="B6480" t="str">
        <f>"1551601785478665"</f>
        <v>1551601785478665</v>
      </c>
      <c r="C6480" t="s">
        <v>40</v>
      </c>
      <c r="D6480">
        <v>4.2721299999999998</v>
      </c>
      <c r="E6480">
        <v>0.50967429999999903</v>
      </c>
      <c r="F6480" t="s">
        <v>52</v>
      </c>
      <c r="G6480">
        <v>-199.2492</v>
      </c>
      <c r="H6480">
        <v>8.9761389999999999</v>
      </c>
      <c r="I6480">
        <v>249.1232</v>
      </c>
      <c r="J6480">
        <v>-188.97130000000001</v>
      </c>
      <c r="K6480">
        <v>1.1212070000000001</v>
      </c>
      <c r="L6480">
        <v>-19.32611</v>
      </c>
      <c r="M6480">
        <v>-1.3607660000000001E-2</v>
      </c>
      <c r="N6480">
        <v>-1.1949E-2</v>
      </c>
      <c r="O6480">
        <v>0.99983599999999995</v>
      </c>
      <c r="P6480">
        <v>-6.0480569999999997E-2</v>
      </c>
      <c r="Q6480">
        <v>0.19551299999999999</v>
      </c>
      <c r="R6480">
        <v>0.97883439999999999</v>
      </c>
      <c r="S6480">
        <v>-0.1162262</v>
      </c>
      <c r="T6480">
        <v>8.8786840000000006E-2</v>
      </c>
      <c r="U6480">
        <v>3.038208</v>
      </c>
      <c r="V6480">
        <v>-4.7081440000000002E-2</v>
      </c>
      <c r="W6480">
        <v>0.2072205</v>
      </c>
      <c r="X6480">
        <v>0.97716069999999999</v>
      </c>
      <c r="Y6480">
        <v>-2.4594850000000001E-2</v>
      </c>
      <c r="Z6480">
        <v>4.1130519999999997E-2</v>
      </c>
      <c r="AA6480">
        <v>0.99885100000000004</v>
      </c>
      <c r="AB6480">
        <v>31</v>
      </c>
      <c r="AC6480">
        <v>-10.277899999999899</v>
      </c>
      <c r="AD6480">
        <v>7.8549319999999998</v>
      </c>
      <c r="AE6480">
        <v>268.44931000000003</v>
      </c>
      <c r="AF6480">
        <v>-6.6180625561503996</v>
      </c>
      <c r="AG6480">
        <v>7.8549319999999998</v>
      </c>
      <c r="AH6480">
        <v>268.334915110471</v>
      </c>
      <c r="AI6480">
        <v>88.323776591182295</v>
      </c>
      <c r="AJ6480">
        <v>91.412824701805903</v>
      </c>
      <c r="AK6480">
        <v>268.53142344251899</v>
      </c>
      <c r="AL6480">
        <v>78.040484208820601</v>
      </c>
      <c r="AM6480">
        <v>92.758485115161506</v>
      </c>
      <c r="AN6480">
        <v>1.0000000156186</v>
      </c>
    </row>
    <row r="6481" spans="1:40" x14ac:dyDescent="0.25">
      <c r="A6481" t="str">
        <f>"20190303162945528"</f>
        <v>20190303162945528</v>
      </c>
      <c r="B6481" t="str">
        <f>"1551601785518212"</f>
        <v>1551601785518212</v>
      </c>
      <c r="C6481" t="s">
        <v>40</v>
      </c>
      <c r="D6481">
        <v>4.2364860000000002</v>
      </c>
      <c r="E6481">
        <v>0.50997190000000003</v>
      </c>
      <c r="F6481" t="s">
        <v>71</v>
      </c>
      <c r="G6481">
        <v>-204.43549999999999</v>
      </c>
      <c r="H6481">
        <v>14.371499999999999</v>
      </c>
      <c r="I6481">
        <v>391.00349999999997</v>
      </c>
      <c r="J6481">
        <v>-188.9785</v>
      </c>
      <c r="K6481">
        <v>1.121191</v>
      </c>
      <c r="L6481">
        <v>-18.76389</v>
      </c>
      <c r="M6481">
        <v>-1.3189889999999999E-2</v>
      </c>
      <c r="N6481">
        <v>-1.1948139999999999E-2</v>
      </c>
      <c r="O6481">
        <v>0.9998416</v>
      </c>
      <c r="P6481">
        <v>-6.1436369999999997E-2</v>
      </c>
      <c r="Q6481">
        <v>0.20759230000000001</v>
      </c>
      <c r="R6481">
        <v>0.97628429999999999</v>
      </c>
      <c r="S6481">
        <v>-0.11450200000000001</v>
      </c>
      <c r="T6481">
        <v>9.8109249999999995E-2</v>
      </c>
      <c r="U6481">
        <v>3.038208</v>
      </c>
      <c r="V6481">
        <v>-4.8441770000000002E-2</v>
      </c>
      <c r="W6481">
        <v>0.2192752</v>
      </c>
      <c r="X6481">
        <v>0.97445970000000004</v>
      </c>
      <c r="Y6481">
        <v>-2.4442019999999998E-2</v>
      </c>
      <c r="Z6481">
        <v>4.419116E-2</v>
      </c>
      <c r="AA6481">
        <v>0.99872399999999995</v>
      </c>
      <c r="AB6481">
        <v>31</v>
      </c>
      <c r="AC6481">
        <v>-15.456999999999899</v>
      </c>
      <c r="AD6481">
        <v>13.250309</v>
      </c>
      <c r="AE6481">
        <v>409.76738999999998</v>
      </c>
      <c r="AF6481">
        <v>-10.0399992618942</v>
      </c>
      <c r="AG6481">
        <v>13.250309</v>
      </c>
      <c r="AH6481">
        <v>409.50804508794999</v>
      </c>
      <c r="AI6481">
        <v>88.147303370476195</v>
      </c>
      <c r="AJ6481">
        <v>91.404451933863996</v>
      </c>
      <c r="AK6481">
        <v>409.84535042565699</v>
      </c>
      <c r="AL6481">
        <v>77.333533938034407</v>
      </c>
      <c r="AM6481">
        <v>92.845911488199505</v>
      </c>
      <c r="AN6481">
        <v>0.99999996266992996</v>
      </c>
    </row>
    <row r="6482" spans="1:40" x14ac:dyDescent="0.25">
      <c r="A6482" t="str">
        <f>"20190303162945548"</f>
        <v>20190303162945548</v>
      </c>
      <c r="B6482" t="str">
        <f>"1551601785538707"</f>
        <v>1551601785538707</v>
      </c>
      <c r="C6482" t="s">
        <v>40</v>
      </c>
      <c r="D6482">
        <v>4.2613909999999997</v>
      </c>
      <c r="E6482">
        <v>0.50446869999999999</v>
      </c>
      <c r="F6482" t="s">
        <v>71</v>
      </c>
      <c r="G6482">
        <v>-204.77520000000001</v>
      </c>
      <c r="H6482">
        <v>19.167909999999999</v>
      </c>
      <c r="I6482">
        <v>391.00349999999997</v>
      </c>
      <c r="J6482">
        <v>-188.9821</v>
      </c>
      <c r="K6482">
        <v>1.1211990000000001</v>
      </c>
      <c r="L6482">
        <v>-18.467379999999999</v>
      </c>
      <c r="M6482">
        <v>-1.290927E-2</v>
      </c>
      <c r="N6482">
        <v>-1.194781E-2</v>
      </c>
      <c r="O6482">
        <v>0.99984530000000005</v>
      </c>
      <c r="P6482">
        <v>-6.3484659999999998E-2</v>
      </c>
      <c r="Q6482">
        <v>0.21498490000000001</v>
      </c>
      <c r="R6482">
        <v>0.97455179999999997</v>
      </c>
      <c r="S6482">
        <v>-0.1170807</v>
      </c>
      <c r="T6482">
        <v>0.13375709999999999</v>
      </c>
      <c r="U6482">
        <v>3.0370789999999999</v>
      </c>
      <c r="V6482">
        <v>-5.0764330000000003E-2</v>
      </c>
      <c r="W6482">
        <v>0.2266521</v>
      </c>
      <c r="X6482">
        <v>0.97265199999999996</v>
      </c>
      <c r="Y6482">
        <v>-2.5562660000000001E-2</v>
      </c>
      <c r="Z6482">
        <v>5.5899879999999999E-2</v>
      </c>
      <c r="AA6482">
        <v>0.99810909999999997</v>
      </c>
      <c r="AB6482">
        <v>31</v>
      </c>
      <c r="AC6482">
        <v>-15.793100000000001</v>
      </c>
      <c r="AD6482">
        <v>18.046710999999998</v>
      </c>
      <c r="AE6482">
        <v>409.47088000000002</v>
      </c>
      <c r="AF6482">
        <v>-10.485099850461101</v>
      </c>
      <c r="AG6482">
        <v>18.046710999999998</v>
      </c>
      <c r="AH6482">
        <v>408.84765973066197</v>
      </c>
      <c r="AI6482">
        <v>87.473409974284095</v>
      </c>
      <c r="AJ6482">
        <v>91.469056514667997</v>
      </c>
      <c r="AK6482">
        <v>409.38005565004102</v>
      </c>
      <c r="AL6482">
        <v>76.899954074382407</v>
      </c>
      <c r="AM6482">
        <v>92.987651496481107</v>
      </c>
      <c r="AN6482">
        <v>1.00000005236937</v>
      </c>
    </row>
    <row r="6483" spans="1:40" x14ac:dyDescent="0.25">
      <c r="A6483" t="str">
        <f>"20190303162945571"</f>
        <v>20190303162945571</v>
      </c>
      <c r="B6483" t="str">
        <f>"1551601785567988"</f>
        <v>1551601785567988</v>
      </c>
      <c r="C6483" t="s">
        <v>40</v>
      </c>
      <c r="D6483">
        <v>4.3228900000000001</v>
      </c>
      <c r="E6483">
        <v>0.47605979999999998</v>
      </c>
      <c r="F6483" t="s">
        <v>71</v>
      </c>
      <c r="G6483">
        <v>-211.33420000000001</v>
      </c>
      <c r="H6483">
        <v>45.897060000000003</v>
      </c>
      <c r="I6483">
        <v>391.87</v>
      </c>
      <c r="J6483">
        <v>-188.98589999999999</v>
      </c>
      <c r="K6483">
        <v>1.1212169999999999</v>
      </c>
      <c r="L6483">
        <v>-18.146850000000001</v>
      </c>
      <c r="M6483">
        <v>-1.2553150000000001E-2</v>
      </c>
      <c r="N6483">
        <v>-1.1947559999999999E-2</v>
      </c>
      <c r="O6483">
        <v>0.99984980000000001</v>
      </c>
      <c r="P6483">
        <v>-6.5754629999999994E-2</v>
      </c>
      <c r="Q6483">
        <v>0.22622780000000001</v>
      </c>
      <c r="R6483">
        <v>0.97185250000000001</v>
      </c>
      <c r="S6483">
        <v>-0.1631775</v>
      </c>
      <c r="T6483">
        <v>0.32687929999999998</v>
      </c>
      <c r="U6483">
        <v>2.9956049999999999</v>
      </c>
      <c r="V6483">
        <v>-5.3386700000000002E-2</v>
      </c>
      <c r="W6483">
        <v>0.2378681</v>
      </c>
      <c r="X6483">
        <v>0.96982919999999995</v>
      </c>
      <c r="Y6483">
        <v>-4.1481709999999998E-2</v>
      </c>
      <c r="Z6483">
        <v>0.1202023</v>
      </c>
      <c r="AA6483">
        <v>0.99188240000000005</v>
      </c>
      <c r="AB6483">
        <v>31</v>
      </c>
      <c r="AC6483">
        <v>-22.348299999999998</v>
      </c>
      <c r="AD6483">
        <v>44.775843000000002</v>
      </c>
      <c r="AE6483">
        <v>410.01684999999998</v>
      </c>
      <c r="AF6483">
        <v>-16.997066678024801</v>
      </c>
      <c r="AG6483">
        <v>44.775843000000002</v>
      </c>
      <c r="AH6483">
        <v>405.44421357892099</v>
      </c>
      <c r="AI6483">
        <v>83.703477680646003</v>
      </c>
      <c r="AJ6483">
        <v>92.4005528894713</v>
      </c>
      <c r="AK6483">
        <v>408.26313416306402</v>
      </c>
      <c r="AL6483">
        <v>76.239252364746605</v>
      </c>
      <c r="AM6483">
        <v>93.150811031110393</v>
      </c>
      <c r="AN6483">
        <v>1.0000000249535601</v>
      </c>
    </row>
    <row r="6484" spans="1:40" x14ac:dyDescent="0.25">
      <c r="A6484" t="str">
        <f>"20190303162945592"</f>
        <v>20190303162945592</v>
      </c>
      <c r="B6484" t="str">
        <f>"1551601785588484"</f>
        <v>1551601785588484</v>
      </c>
      <c r="C6484" t="s">
        <v>40</v>
      </c>
      <c r="D6484">
        <v>4.2747229999999998</v>
      </c>
      <c r="E6484">
        <v>0.46860059999999898</v>
      </c>
      <c r="F6484" t="s">
        <v>69</v>
      </c>
      <c r="G6484">
        <v>-243.73439999999999</v>
      </c>
      <c r="H6484">
        <v>138.0599</v>
      </c>
      <c r="I6484">
        <v>390.88350000000003</v>
      </c>
      <c r="J6484">
        <v>-188.98920000000001</v>
      </c>
      <c r="K6484">
        <v>1.121224</v>
      </c>
      <c r="L6484">
        <v>-17.856780000000001</v>
      </c>
      <c r="M6484">
        <v>-1.215868E-2</v>
      </c>
      <c r="N6484">
        <v>-1.194754E-2</v>
      </c>
      <c r="O6484">
        <v>0.99985469999999999</v>
      </c>
      <c r="P6484">
        <v>-6.6680879999999998E-2</v>
      </c>
      <c r="Q6484">
        <v>0.23727570000000001</v>
      </c>
      <c r="R6484">
        <v>0.96915110000000004</v>
      </c>
      <c r="S6484">
        <v>-0.3801117</v>
      </c>
      <c r="T6484">
        <v>0.95074740000000002</v>
      </c>
      <c r="U6484">
        <v>2.8398439999999998</v>
      </c>
      <c r="V6484">
        <v>-5.4693650000000003E-2</v>
      </c>
      <c r="W6484">
        <v>0.24888979999999999</v>
      </c>
      <c r="X6484">
        <v>0.96698629999999997</v>
      </c>
      <c r="Y6484">
        <v>-0.1135615</v>
      </c>
      <c r="Z6484">
        <v>0.3264513</v>
      </c>
      <c r="AA6484">
        <v>0.93836739999999996</v>
      </c>
      <c r="AB6484">
        <v>31</v>
      </c>
      <c r="AC6484">
        <v>-54.745199999999897</v>
      </c>
      <c r="AD6484">
        <v>136.93867599999999</v>
      </c>
      <c r="AE6484">
        <v>408.74027999999998</v>
      </c>
      <c r="AF6484">
        <v>-44.828107657545402</v>
      </c>
      <c r="AG6484">
        <v>136.93867599999999</v>
      </c>
      <c r="AH6484">
        <v>368.719116713669</v>
      </c>
      <c r="AI6484">
        <v>69.762305769974006</v>
      </c>
      <c r="AJ6484">
        <v>96.931882138712695</v>
      </c>
      <c r="AK6484">
        <v>395.87314540253698</v>
      </c>
      <c r="AL6484">
        <v>75.588174236769206</v>
      </c>
      <c r="AM6484">
        <v>93.237253702744596</v>
      </c>
      <c r="AN6484">
        <v>1.0000000161410201</v>
      </c>
    </row>
    <row r="6485" spans="1:40" x14ac:dyDescent="0.25">
      <c r="A6485" t="str">
        <f>"20190303162945615"</f>
        <v>20190303162945615</v>
      </c>
      <c r="B6485" t="str">
        <f>"1551601785608004"</f>
        <v>1551601785608004</v>
      </c>
      <c r="C6485" t="s">
        <v>40</v>
      </c>
      <c r="D6485">
        <v>4.3446040000000004</v>
      </c>
      <c r="E6485">
        <v>0.4692016</v>
      </c>
      <c r="F6485" t="s">
        <v>45</v>
      </c>
      <c r="G6485">
        <v>0</v>
      </c>
      <c r="H6485">
        <v>0</v>
      </c>
      <c r="I6485">
        <v>0</v>
      </c>
      <c r="J6485">
        <v>-188.99260000000001</v>
      </c>
      <c r="K6485">
        <v>1.121191</v>
      </c>
      <c r="L6485">
        <v>-17.529170000000001</v>
      </c>
      <c r="M6485">
        <v>-1.16034E-2</v>
      </c>
      <c r="N6485">
        <v>-1.1947940000000001E-2</v>
      </c>
      <c r="O6485">
        <v>0.99986129999999995</v>
      </c>
      <c r="P6485">
        <v>-6.6279019999999994E-2</v>
      </c>
      <c r="Q6485">
        <v>0.24766759999999999</v>
      </c>
      <c r="R6485">
        <v>0.96657530000000003</v>
      </c>
      <c r="S6485">
        <v>-0.42471310000000001</v>
      </c>
      <c r="T6485">
        <v>1.5475620000000001</v>
      </c>
      <c r="U6485">
        <v>2.6873779999999998</v>
      </c>
      <c r="V6485">
        <v>-5.4801420000000003E-2</v>
      </c>
      <c r="W6485">
        <v>0.25926149999999998</v>
      </c>
      <c r="X6485">
        <v>0.96425119999999997</v>
      </c>
      <c r="Y6485">
        <v>-0.12370440000000001</v>
      </c>
      <c r="Z6485">
        <v>0.50510630000000001</v>
      </c>
      <c r="AA6485">
        <v>0.85414570000000001</v>
      </c>
      <c r="AB6485">
        <v>31</v>
      </c>
      <c r="AC6485">
        <v>-0.42471310000000001</v>
      </c>
      <c r="AD6485">
        <v>1.5475620000000001</v>
      </c>
      <c r="AE6485">
        <v>2.6873779999999998</v>
      </c>
      <c r="AF6485">
        <v>-0.29730895668948298</v>
      </c>
      <c r="AG6485">
        <v>1.5475620000000001</v>
      </c>
      <c r="AH6485">
        <v>2.0340379516248799</v>
      </c>
      <c r="AI6485">
        <v>53.026364223134998</v>
      </c>
      <c r="AJ6485">
        <v>98.315856245683193</v>
      </c>
      <c r="AK6485">
        <v>2.5730626009139601</v>
      </c>
      <c r="AL6485">
        <v>74.973754062145204</v>
      </c>
      <c r="AM6485">
        <v>93.252799678412302</v>
      </c>
      <c r="AN6485">
        <v>1.0000000488588501</v>
      </c>
    </row>
    <row r="6486" spans="1:40" x14ac:dyDescent="0.25">
      <c r="A6486" t="str">
        <f>"20190303162945639"</f>
        <v>20190303162945639</v>
      </c>
      <c r="B6486" t="str">
        <f>"1551601785628500"</f>
        <v>1551601785628500</v>
      </c>
      <c r="C6486" t="s">
        <v>40</v>
      </c>
      <c r="D6486">
        <v>4.4144059999999996</v>
      </c>
      <c r="E6486">
        <v>0.46955950000000002</v>
      </c>
      <c r="F6486" t="s">
        <v>45</v>
      </c>
      <c r="G6486">
        <v>0</v>
      </c>
      <c r="H6486">
        <v>0</v>
      </c>
      <c r="I6486">
        <v>0</v>
      </c>
      <c r="J6486">
        <v>-188.9957</v>
      </c>
      <c r="K6486">
        <v>1.121119</v>
      </c>
      <c r="L6486">
        <v>-17.211300000000001</v>
      </c>
      <c r="M6486">
        <v>-1.0920579999999999E-2</v>
      </c>
      <c r="N6486">
        <v>-1.194889E-2</v>
      </c>
      <c r="O6486">
        <v>0.99986900000000001</v>
      </c>
      <c r="P6486">
        <v>-6.5925590000000006E-2</v>
      </c>
      <c r="Q6486">
        <v>0.25903379999999998</v>
      </c>
      <c r="R6486">
        <v>0.96361580000000002</v>
      </c>
      <c r="S6486">
        <v>-0.41958620000000002</v>
      </c>
      <c r="T6486">
        <v>1.5914269999999999</v>
      </c>
      <c r="U6486">
        <v>2.6672060000000002</v>
      </c>
      <c r="V6486">
        <v>-5.5059009999999999E-2</v>
      </c>
      <c r="W6486">
        <v>0.27060689999999998</v>
      </c>
      <c r="X6486">
        <v>0.96111420000000003</v>
      </c>
      <c r="Y6486">
        <v>-0.1225618</v>
      </c>
      <c r="Z6486">
        <v>0.51835969999999998</v>
      </c>
      <c r="AA6486">
        <v>0.84633429999999998</v>
      </c>
      <c r="AB6486">
        <v>31</v>
      </c>
      <c r="AC6486">
        <v>-0.41958620000000002</v>
      </c>
      <c r="AD6486">
        <v>1.5914269999999999</v>
      </c>
      <c r="AE6486">
        <v>2.6672060000000002</v>
      </c>
      <c r="AF6486">
        <v>-0.28976435109746701</v>
      </c>
      <c r="AG6486">
        <v>1.5914269999999999</v>
      </c>
      <c r="AH6486">
        <v>1.9827873395131399</v>
      </c>
      <c r="AI6486">
        <v>51.543914805609703</v>
      </c>
      <c r="AJ6486">
        <v>98.314343625535301</v>
      </c>
      <c r="AK6486">
        <v>2.5589155728998798</v>
      </c>
      <c r="AL6486">
        <v>74.299616640269093</v>
      </c>
      <c r="AM6486">
        <v>93.278699599805407</v>
      </c>
      <c r="AN6486">
        <v>1.00000004717571</v>
      </c>
    </row>
    <row r="6487" spans="1:40" x14ac:dyDescent="0.25">
      <c r="A6487" t="str">
        <f>"20190303162945662"</f>
        <v>20190303162945662</v>
      </c>
      <c r="B6487" t="str">
        <f>"1551601785658756"</f>
        <v>1551601785658756</v>
      </c>
      <c r="C6487" t="s">
        <v>40</v>
      </c>
      <c r="D6487">
        <v>4.4277620000000004</v>
      </c>
      <c r="E6487">
        <v>0.46943380000000001</v>
      </c>
      <c r="F6487" t="s">
        <v>45</v>
      </c>
      <c r="G6487">
        <v>0</v>
      </c>
      <c r="H6487">
        <v>0</v>
      </c>
      <c r="I6487">
        <v>0</v>
      </c>
      <c r="J6487">
        <v>-188.9983</v>
      </c>
      <c r="K6487">
        <v>1.1210329999999999</v>
      </c>
      <c r="L6487">
        <v>-16.89124</v>
      </c>
      <c r="M6487">
        <v>-1.0045500000000001E-2</v>
      </c>
      <c r="N6487">
        <v>-1.19506E-2</v>
      </c>
      <c r="O6487">
        <v>0.99987809999999999</v>
      </c>
      <c r="P6487">
        <v>-6.5997790000000001E-2</v>
      </c>
      <c r="Q6487">
        <v>0.26991120000000002</v>
      </c>
      <c r="R6487">
        <v>0.96062080000000005</v>
      </c>
      <c r="S6487">
        <v>-0.41854859999999999</v>
      </c>
      <c r="T6487">
        <v>1.605537</v>
      </c>
      <c r="U6487">
        <v>2.6530459999999998</v>
      </c>
      <c r="V6487">
        <v>-5.589467E-2</v>
      </c>
      <c r="W6487">
        <v>0.28146919999999997</v>
      </c>
      <c r="X6487">
        <v>0.95794089999999998</v>
      </c>
      <c r="Y6487">
        <v>-0.1233076</v>
      </c>
      <c r="Z6487">
        <v>0.5236189</v>
      </c>
      <c r="AA6487">
        <v>0.84298189999999995</v>
      </c>
      <c r="AB6487">
        <v>31</v>
      </c>
      <c r="AC6487">
        <v>-0.41854859999999999</v>
      </c>
      <c r="AD6487">
        <v>1.605537</v>
      </c>
      <c r="AE6487">
        <v>2.6530459999999998</v>
      </c>
      <c r="AF6487">
        <v>-0.28870889051353699</v>
      </c>
      <c r="AG6487">
        <v>1.605537</v>
      </c>
      <c r="AH6487">
        <v>1.9575998952809699</v>
      </c>
      <c r="AI6487">
        <v>50.944840374561203</v>
      </c>
      <c r="AJ6487">
        <v>98.389564445271304</v>
      </c>
      <c r="AK6487">
        <v>2.5481952891869599</v>
      </c>
      <c r="AL6487">
        <v>73.652088359716501</v>
      </c>
      <c r="AM6487">
        <v>93.339351805832607</v>
      </c>
      <c r="AN6487">
        <v>0.99999994628792799</v>
      </c>
    </row>
    <row r="6488" spans="1:40" x14ac:dyDescent="0.25">
      <c r="A6488" t="str">
        <f>"20190303162945705"</f>
        <v>20190303162945705</v>
      </c>
      <c r="B6488" t="str">
        <f>"1551601785698772"</f>
        <v>1551601785698772</v>
      </c>
      <c r="C6488" t="s">
        <v>40</v>
      </c>
      <c r="D6488">
        <v>4.4227259999999999</v>
      </c>
      <c r="E6488">
        <v>0.4697018</v>
      </c>
      <c r="F6488" t="s">
        <v>45</v>
      </c>
      <c r="G6488">
        <v>0</v>
      </c>
      <c r="H6488">
        <v>0</v>
      </c>
      <c r="I6488">
        <v>0</v>
      </c>
      <c r="J6488">
        <v>-189.00190000000001</v>
      </c>
      <c r="K6488">
        <v>1.120792</v>
      </c>
      <c r="L6488">
        <v>-16.28979</v>
      </c>
      <c r="M6488">
        <v>-7.730476E-3</v>
      </c>
      <c r="N6488">
        <v>-1.195681E-2</v>
      </c>
      <c r="O6488">
        <v>0.99989859999999997</v>
      </c>
      <c r="P6488">
        <v>-6.7365969999999997E-2</v>
      </c>
      <c r="Q6488">
        <v>0.28864410000000001</v>
      </c>
      <c r="R6488">
        <v>0.95506360000000001</v>
      </c>
      <c r="S6488">
        <v>-0.42109679999999999</v>
      </c>
      <c r="T6488">
        <v>1.612601</v>
      </c>
      <c r="U6488">
        <v>2.6409609999999999</v>
      </c>
      <c r="V6488">
        <v>-5.9255679999999998E-2</v>
      </c>
      <c r="W6488">
        <v>0.30019279999999998</v>
      </c>
      <c r="X6488">
        <v>0.95203629999999995</v>
      </c>
      <c r="Y6488">
        <v>-0.12668760000000001</v>
      </c>
      <c r="Z6488">
        <v>0.52682989999999996</v>
      </c>
      <c r="AA6488">
        <v>0.84047640000000001</v>
      </c>
      <c r="AB6488">
        <v>31</v>
      </c>
      <c r="AC6488">
        <v>-0.42109679999999999</v>
      </c>
      <c r="AD6488">
        <v>1.612601</v>
      </c>
      <c r="AE6488">
        <v>2.6409609999999999</v>
      </c>
      <c r="AF6488">
        <v>-0.29382973398839601</v>
      </c>
      <c r="AG6488">
        <v>1.612601</v>
      </c>
      <c r="AH6488">
        <v>1.93908282014147</v>
      </c>
      <c r="AI6488">
        <v>50.571438756695301</v>
      </c>
      <c r="AJ6488">
        <v>98.616494699486793</v>
      </c>
      <c r="AK6488">
        <v>2.5390667736679302</v>
      </c>
      <c r="AL6488">
        <v>72.530817122128099</v>
      </c>
      <c r="AM6488">
        <v>93.561551591406499</v>
      </c>
      <c r="AN6488">
        <v>1.0000000346508899</v>
      </c>
    </row>
    <row r="6489" spans="1:40" x14ac:dyDescent="0.25">
      <c r="A6489" t="str">
        <f>"20190303162945727"</f>
        <v>20190303162945727</v>
      </c>
      <c r="B6489" t="str">
        <f>"1551601785718292"</f>
        <v>1551601785718292</v>
      </c>
      <c r="C6489" t="s">
        <v>40</v>
      </c>
      <c r="D6489">
        <v>4.4596200000000001</v>
      </c>
      <c r="E6489">
        <v>0.47012900000000002</v>
      </c>
      <c r="F6489" t="s">
        <v>45</v>
      </c>
      <c r="G6489">
        <v>0</v>
      </c>
      <c r="H6489">
        <v>0</v>
      </c>
      <c r="I6489">
        <v>0</v>
      </c>
      <c r="J6489">
        <v>-189.0027</v>
      </c>
      <c r="K6489">
        <v>1.1206640000000001</v>
      </c>
      <c r="L6489">
        <v>-15.97946</v>
      </c>
      <c r="M6489">
        <v>-6.2122119999999999E-3</v>
      </c>
      <c r="N6489">
        <v>-1.196116E-2</v>
      </c>
      <c r="O6489">
        <v>0.99990919999999905</v>
      </c>
      <c r="P6489">
        <v>-6.8304950000000003E-2</v>
      </c>
      <c r="Q6489">
        <v>0.29871760000000003</v>
      </c>
      <c r="R6489">
        <v>0.95189400000000002</v>
      </c>
      <c r="S6489">
        <v>-0.4250641</v>
      </c>
      <c r="T6489">
        <v>1.632765</v>
      </c>
      <c r="U6489">
        <v>2.6177060000000001</v>
      </c>
      <c r="V6489">
        <v>-6.1512589999999999E-2</v>
      </c>
      <c r="W6489">
        <v>0.31026199999999998</v>
      </c>
      <c r="X6489">
        <v>0.94865889999999997</v>
      </c>
      <c r="Y6489">
        <v>-0.12982939999999901</v>
      </c>
      <c r="Z6489">
        <v>0.53463260000000001</v>
      </c>
      <c r="AA6489">
        <v>0.83505229999999997</v>
      </c>
      <c r="AB6489">
        <v>31</v>
      </c>
      <c r="AC6489">
        <v>-0.4250641</v>
      </c>
      <c r="AD6489">
        <v>1.632765</v>
      </c>
      <c r="AE6489">
        <v>2.6177060000000001</v>
      </c>
      <c r="AF6489">
        <v>-0.29642968997678099</v>
      </c>
      <c r="AG6489">
        <v>1.632765</v>
      </c>
      <c r="AH6489">
        <v>1.90006587168345</v>
      </c>
      <c r="AI6489">
        <v>49.667087047273498</v>
      </c>
      <c r="AJ6489">
        <v>98.867247556676006</v>
      </c>
      <c r="AK6489">
        <v>2.5227053777761901</v>
      </c>
      <c r="AL6489">
        <v>71.924979617391799</v>
      </c>
      <c r="AM6489">
        <v>93.709958160765893</v>
      </c>
      <c r="AN6489">
        <v>1.00000000796085</v>
      </c>
    </row>
    <row r="6490" spans="1:40" x14ac:dyDescent="0.25">
      <c r="A6490" t="str">
        <f>"20190303162945748"</f>
        <v>20190303162945748</v>
      </c>
      <c r="B6490" t="str">
        <f>"1551601785738788"</f>
        <v>1551601785738788</v>
      </c>
      <c r="C6490" t="s">
        <v>40</v>
      </c>
      <c r="D6490">
        <v>4.4182379999999997</v>
      </c>
      <c r="E6490">
        <v>0.47041470000000002</v>
      </c>
      <c r="F6490" t="s">
        <v>45</v>
      </c>
      <c r="G6490">
        <v>0</v>
      </c>
      <c r="H6490">
        <v>0</v>
      </c>
      <c r="I6490">
        <v>0</v>
      </c>
      <c r="J6490">
        <v>-189.00290000000001</v>
      </c>
      <c r="K6490">
        <v>1.1205449999999999</v>
      </c>
      <c r="L6490">
        <v>-15.669280000000001</v>
      </c>
      <c r="M6490">
        <v>-4.5241630000000003E-3</v>
      </c>
      <c r="N6490">
        <v>-1.196473E-2</v>
      </c>
      <c r="O6490">
        <v>0.99991819999999998</v>
      </c>
      <c r="P6490">
        <v>-6.9744230000000004E-2</v>
      </c>
      <c r="Q6490">
        <v>0.30674079999999998</v>
      </c>
      <c r="R6490">
        <v>0.94923440000000003</v>
      </c>
      <c r="S6490">
        <v>-0.42559809999999998</v>
      </c>
      <c r="T6490">
        <v>1.645724</v>
      </c>
      <c r="U6490">
        <v>2.6046140000000002</v>
      </c>
      <c r="V6490">
        <v>-6.4435740000000005E-2</v>
      </c>
      <c r="W6490">
        <v>0.31828659999999998</v>
      </c>
      <c r="X6490">
        <v>0.94580220000000004</v>
      </c>
      <c r="Y6490">
        <v>-0.13185160000000001</v>
      </c>
      <c r="Z6490">
        <v>0.53940109999999997</v>
      </c>
      <c r="AA6490">
        <v>0.83166189999999995</v>
      </c>
      <c r="AB6490">
        <v>31</v>
      </c>
      <c r="AC6490">
        <v>-0.42559809999999998</v>
      </c>
      <c r="AD6490">
        <v>1.645724</v>
      </c>
      <c r="AE6490">
        <v>2.6046140000000002</v>
      </c>
      <c r="AF6490">
        <v>-0.297950667854808</v>
      </c>
      <c r="AG6490">
        <v>1.645724</v>
      </c>
      <c r="AH6490">
        <v>1.8767399836452401</v>
      </c>
      <c r="AI6490">
        <v>49.105496599554002</v>
      </c>
      <c r="AJ6490">
        <v>99.020973150885396</v>
      </c>
      <c r="AK6490">
        <v>2.51382876323426</v>
      </c>
      <c r="AL6490">
        <v>71.4406638915586</v>
      </c>
      <c r="AM6490">
        <v>93.897432146183107</v>
      </c>
      <c r="AN6490">
        <v>1.0000000629268699</v>
      </c>
    </row>
    <row r="6491" spans="1:40" x14ac:dyDescent="0.25">
      <c r="A6491" t="str">
        <f>"20190303162945772"</f>
        <v>20190303162945772</v>
      </c>
      <c r="B6491" t="str">
        <f>"1551601785769045"</f>
        <v>1551601785769045</v>
      </c>
      <c r="C6491" t="s">
        <v>40</v>
      </c>
      <c r="D6491">
        <v>4.5944500000000001</v>
      </c>
      <c r="E6491">
        <v>0.4711516</v>
      </c>
      <c r="F6491" t="s">
        <v>45</v>
      </c>
      <c r="G6491">
        <v>0</v>
      </c>
      <c r="H6491">
        <v>0</v>
      </c>
      <c r="I6491">
        <v>0</v>
      </c>
      <c r="J6491">
        <v>-189.00239999999999</v>
      </c>
      <c r="K6491">
        <v>1.1203890000000001</v>
      </c>
      <c r="L6491">
        <v>-15.34079</v>
      </c>
      <c r="M6491">
        <v>-2.4862769999999998E-3</v>
      </c>
      <c r="N6491">
        <v>-1.196845E-2</v>
      </c>
      <c r="O6491">
        <v>0.99992530000000002</v>
      </c>
      <c r="P6491">
        <v>-7.0476189999999994E-2</v>
      </c>
      <c r="Q6491">
        <v>0.31072490000000003</v>
      </c>
      <c r="R6491">
        <v>0.94788349999999999</v>
      </c>
      <c r="S6491">
        <v>-0.42732239999999999</v>
      </c>
      <c r="T6491">
        <v>1.6592100000000001</v>
      </c>
      <c r="U6491">
        <v>2.5928650000000002</v>
      </c>
      <c r="V6491">
        <v>-6.6964029999999994E-2</v>
      </c>
      <c r="W6491">
        <v>0.32229190000000002</v>
      </c>
      <c r="X6491">
        <v>0.94426889999999997</v>
      </c>
      <c r="Y6491">
        <v>-0.13453019999999999</v>
      </c>
      <c r="Z6491">
        <v>0.54404830000000004</v>
      </c>
      <c r="AA6491">
        <v>0.82819869999999995</v>
      </c>
      <c r="AB6491">
        <v>31</v>
      </c>
      <c r="AC6491">
        <v>-0.42732239999999999</v>
      </c>
      <c r="AD6491">
        <v>1.6592100000000001</v>
      </c>
      <c r="AE6491">
        <v>2.5928650000000002</v>
      </c>
      <c r="AF6491">
        <v>-0.30091201872680101</v>
      </c>
      <c r="AG6491">
        <v>1.6592100000000001</v>
      </c>
      <c r="AH6491">
        <v>1.85457283132784</v>
      </c>
      <c r="AI6491">
        <v>48.551960621390798</v>
      </c>
      <c r="AJ6491">
        <v>99.216158334628105</v>
      </c>
      <c r="AK6491">
        <v>2.5065845794254802</v>
      </c>
      <c r="AL6491">
        <v>71.198414008354106</v>
      </c>
      <c r="AM6491">
        <v>94.056412112818805</v>
      </c>
      <c r="AN6491">
        <v>1.00000000281333</v>
      </c>
    </row>
    <row r="6492" spans="1:40" x14ac:dyDescent="0.25">
      <c r="A6492" t="str">
        <f>"20190303162945794"</f>
        <v>20190303162945794</v>
      </c>
      <c r="B6492" t="str">
        <f>"1551601785788564"</f>
        <v>1551601785788564</v>
      </c>
      <c r="C6492" t="s">
        <v>40</v>
      </c>
      <c r="D6492">
        <v>4.4755399999999996</v>
      </c>
      <c r="E6492">
        <v>0.47182439999999998</v>
      </c>
      <c r="F6492" t="s">
        <v>45</v>
      </c>
      <c r="G6492">
        <v>0</v>
      </c>
      <c r="H6492">
        <v>0</v>
      </c>
      <c r="I6492">
        <v>0</v>
      </c>
      <c r="J6492">
        <v>-189.001</v>
      </c>
      <c r="K6492">
        <v>1.1202259999999999</v>
      </c>
      <c r="L6492">
        <v>-15.0289</v>
      </c>
      <c r="M6492">
        <v>-3.1633969999999998E-4</v>
      </c>
      <c r="N6492">
        <v>-1.197369E-2</v>
      </c>
      <c r="O6492">
        <v>0.99992820000000004</v>
      </c>
      <c r="P6492">
        <v>-7.160714E-2</v>
      </c>
      <c r="Q6492">
        <v>0.31295000000000001</v>
      </c>
      <c r="R6492">
        <v>0.94706639999999997</v>
      </c>
      <c r="S6492">
        <v>-0.42274479999999998</v>
      </c>
      <c r="T6492">
        <v>1.6684270000000001</v>
      </c>
      <c r="U6492">
        <v>2.5865779999999998</v>
      </c>
      <c r="V6492">
        <v>-7.0005659999999997E-2</v>
      </c>
      <c r="W6492">
        <v>0.32455119999999998</v>
      </c>
      <c r="X6492">
        <v>0.94327399999999995</v>
      </c>
      <c r="Y6492">
        <v>-0.13525499999999999</v>
      </c>
      <c r="Z6492">
        <v>0.54707289999999997</v>
      </c>
      <c r="AA6492">
        <v>0.82608559999999998</v>
      </c>
      <c r="AB6492">
        <v>31</v>
      </c>
      <c r="AC6492">
        <v>-0.42274479999999998</v>
      </c>
      <c r="AD6492">
        <v>1.6684270000000001</v>
      </c>
      <c r="AE6492">
        <v>2.5865779999999998</v>
      </c>
      <c r="AF6492">
        <v>-0.30025179097242</v>
      </c>
      <c r="AG6492">
        <v>1.6684270000000001</v>
      </c>
      <c r="AH6492">
        <v>1.84075858137787</v>
      </c>
      <c r="AI6492">
        <v>48.185521659316898</v>
      </c>
      <c r="AJ6492">
        <v>99.264105781959003</v>
      </c>
      <c r="AK6492">
        <v>2.5024372014552898</v>
      </c>
      <c r="AL6492">
        <v>71.061614309086806</v>
      </c>
      <c r="AM6492">
        <v>94.244460156338903</v>
      </c>
      <c r="AN6492">
        <v>1.00000005646473</v>
      </c>
    </row>
    <row r="6493" spans="1:40" x14ac:dyDescent="0.25">
      <c r="A6493" t="str">
        <f>"20190303162945817"</f>
        <v>20190303162945817</v>
      </c>
      <c r="B6493" t="str">
        <f>"1551601785808084"</f>
        <v>1551601785808084</v>
      </c>
      <c r="C6493" t="s">
        <v>40</v>
      </c>
      <c r="D6493">
        <v>4.424906</v>
      </c>
      <c r="E6493">
        <v>0.47231499999999998</v>
      </c>
      <c r="F6493" t="s">
        <v>45</v>
      </c>
      <c r="G6493">
        <v>0</v>
      </c>
      <c r="H6493">
        <v>0</v>
      </c>
      <c r="I6493">
        <v>0</v>
      </c>
      <c r="J6493">
        <v>-188.99870000000001</v>
      </c>
      <c r="K6493">
        <v>1.1200429999999999</v>
      </c>
      <c r="L6493">
        <v>-14.71152</v>
      </c>
      <c r="M6493">
        <v>2.100242E-3</v>
      </c>
      <c r="N6493">
        <v>-1.1980350000000001E-2</v>
      </c>
      <c r="O6493">
        <v>0.99992599999999998</v>
      </c>
      <c r="P6493">
        <v>-7.1470829999999999E-2</v>
      </c>
      <c r="Q6493">
        <v>0.315310799999999</v>
      </c>
      <c r="R6493">
        <v>0.9462933</v>
      </c>
      <c r="S6493">
        <v>-0.42144779999999998</v>
      </c>
      <c r="T6493">
        <v>1.6712149999999999</v>
      </c>
      <c r="U6493">
        <v>2.5835880000000002</v>
      </c>
      <c r="V6493">
        <v>-7.1999450000000006E-2</v>
      </c>
      <c r="W6493">
        <v>0.32694820000000002</v>
      </c>
      <c r="X6493">
        <v>0.94229560000000001</v>
      </c>
      <c r="Y6493">
        <v>-0.13728870000000001</v>
      </c>
      <c r="Z6493">
        <v>0.54807229999999996</v>
      </c>
      <c r="AA6493">
        <v>0.82508700000000001</v>
      </c>
      <c r="AB6493">
        <v>31</v>
      </c>
      <c r="AC6493">
        <v>-0.42144779999999998</v>
      </c>
      <c r="AD6493">
        <v>1.6712149999999999</v>
      </c>
      <c r="AE6493">
        <v>2.5835880000000002</v>
      </c>
      <c r="AF6493">
        <v>-0.303267633286669</v>
      </c>
      <c r="AG6493">
        <v>1.6712149999999999</v>
      </c>
      <c r="AH6493">
        <v>1.83484939298278</v>
      </c>
      <c r="AI6493">
        <v>48.0562823773773</v>
      </c>
      <c r="AJ6493">
        <v>99.385115266079893</v>
      </c>
      <c r="AK6493">
        <v>2.5003206051531799</v>
      </c>
      <c r="AL6493">
        <v>70.916352484654894</v>
      </c>
      <c r="AM6493">
        <v>94.369397972584295</v>
      </c>
      <c r="AN6493">
        <v>1.00000002203145</v>
      </c>
    </row>
    <row r="6494" spans="1:40" x14ac:dyDescent="0.25">
      <c r="A6494" t="str">
        <f>"20190303162945862"</f>
        <v>20190303162945862</v>
      </c>
      <c r="B6494" t="str">
        <f>"1551601785858835"</f>
        <v>1551601785858835</v>
      </c>
      <c r="C6494" t="s">
        <v>40</v>
      </c>
      <c r="D6494">
        <v>4.3991419999999897</v>
      </c>
      <c r="E6494">
        <v>0.47347850000000002</v>
      </c>
      <c r="F6494" t="s">
        <v>45</v>
      </c>
      <c r="G6494">
        <v>0</v>
      </c>
      <c r="H6494">
        <v>0</v>
      </c>
      <c r="I6494">
        <v>0</v>
      </c>
      <c r="J6494">
        <v>-188.9914</v>
      </c>
      <c r="K6494">
        <v>1.1197360000000001</v>
      </c>
      <c r="L6494">
        <v>-14.09286</v>
      </c>
      <c r="M6494">
        <v>7.2877280000000003E-3</v>
      </c>
      <c r="N6494">
        <v>-1.1991699999999999E-2</v>
      </c>
      <c r="O6494">
        <v>0.9999015</v>
      </c>
      <c r="P6494">
        <v>-6.7204369999999999E-2</v>
      </c>
      <c r="Q6494">
        <v>0.31563580000000002</v>
      </c>
      <c r="R6494">
        <v>0.94649760000000005</v>
      </c>
      <c r="S6494">
        <v>-0.41809079999999899</v>
      </c>
      <c r="T6494">
        <v>1.6719409999999999</v>
      </c>
      <c r="U6494">
        <v>2.5815730000000001</v>
      </c>
      <c r="V6494">
        <v>-7.2397539999999996E-2</v>
      </c>
      <c r="W6494">
        <v>0.32733849999999998</v>
      </c>
      <c r="X6494">
        <v>0.94212960000000001</v>
      </c>
      <c r="Y6494">
        <v>-0.1414376</v>
      </c>
      <c r="Z6494">
        <v>0.54838589999999998</v>
      </c>
      <c r="AA6494">
        <v>0.82417739999999995</v>
      </c>
      <c r="AB6494">
        <v>31</v>
      </c>
      <c r="AC6494">
        <v>-0.41809079999999899</v>
      </c>
      <c r="AD6494">
        <v>1.6719409999999999</v>
      </c>
      <c r="AE6494">
        <v>2.5815730000000001</v>
      </c>
      <c r="AF6494">
        <v>-0.31013539549907698</v>
      </c>
      <c r="AG6494">
        <v>1.6719409999999999</v>
      </c>
      <c r="AH6494">
        <v>1.83035086648158</v>
      </c>
      <c r="AI6494">
        <v>47.9932644736095</v>
      </c>
      <c r="AJ6494">
        <v>99.616880686723405</v>
      </c>
      <c r="AK6494">
        <v>2.4983504488866699</v>
      </c>
      <c r="AL6494">
        <v>70.892688148018607</v>
      </c>
      <c r="AM6494">
        <v>94.394233430698904</v>
      </c>
      <c r="AN6494">
        <v>1.0000000402882301</v>
      </c>
    </row>
    <row r="6495" spans="1:40" x14ac:dyDescent="0.25">
      <c r="A6495" t="str">
        <f>"20190303162945887"</f>
        <v>20190303162945887</v>
      </c>
      <c r="B6495" t="str">
        <f>"1551601785878356"</f>
        <v>1551601785878356</v>
      </c>
      <c r="C6495" t="s">
        <v>40</v>
      </c>
      <c r="D6495">
        <v>4.3882070000000004</v>
      </c>
      <c r="E6495">
        <v>0.48447370000000001</v>
      </c>
      <c r="F6495" t="s">
        <v>45</v>
      </c>
      <c r="G6495">
        <v>0</v>
      </c>
      <c r="H6495">
        <v>0</v>
      </c>
      <c r="I6495">
        <v>0</v>
      </c>
      <c r="J6495">
        <v>-188.98560000000001</v>
      </c>
      <c r="K6495">
        <v>1.119634</v>
      </c>
      <c r="L6495">
        <v>-13.74539</v>
      </c>
      <c r="M6495">
        <v>1.0395990000000001E-2</v>
      </c>
      <c r="N6495">
        <v>-1.199567E-2</v>
      </c>
      <c r="O6495">
        <v>0.99987400000000004</v>
      </c>
      <c r="P6495">
        <v>-6.2577530000000006E-2</v>
      </c>
      <c r="Q6495">
        <v>0.31631550000000003</v>
      </c>
      <c r="R6495">
        <v>0.94658790000000004</v>
      </c>
      <c r="S6495">
        <v>-0.395401</v>
      </c>
      <c r="T6495">
        <v>1.6638200000000001</v>
      </c>
      <c r="U6495">
        <v>2.5866699999999998</v>
      </c>
      <c r="V6495">
        <v>-7.0626090000000002E-2</v>
      </c>
      <c r="W6495">
        <v>0.32802999999999999</v>
      </c>
      <c r="X6495">
        <v>0.94202350000000001</v>
      </c>
      <c r="Y6495">
        <v>-0.13737969999999999</v>
      </c>
      <c r="Z6495">
        <v>0.54619969999999995</v>
      </c>
      <c r="AA6495">
        <v>0.82631279999999996</v>
      </c>
      <c r="AB6495">
        <v>31</v>
      </c>
      <c r="AC6495">
        <v>-0.395401</v>
      </c>
      <c r="AD6495">
        <v>1.6638200000000001</v>
      </c>
      <c r="AE6495">
        <v>2.5866699999999998</v>
      </c>
      <c r="AF6495">
        <v>-0.300700537726932</v>
      </c>
      <c r="AG6495">
        <v>1.6638200000000001</v>
      </c>
      <c r="AH6495">
        <v>1.8389423096778601</v>
      </c>
      <c r="AI6495">
        <v>48.237970120438497</v>
      </c>
      <c r="AJ6495">
        <v>99.286714797475497</v>
      </c>
      <c r="AK6495">
        <v>2.4980845910642402</v>
      </c>
      <c r="AL6495">
        <v>70.850751949165101</v>
      </c>
      <c r="AM6495">
        <v>94.287600606201494</v>
      </c>
      <c r="AN6495">
        <v>1.0000000000204601</v>
      </c>
    </row>
    <row r="6496" spans="1:40" x14ac:dyDescent="0.25">
      <c r="A6496" t="str">
        <f>"20190303162945907"</f>
        <v>20190303162945907</v>
      </c>
      <c r="B6496" t="str">
        <f>"1551601785898851"</f>
        <v>1551601785898851</v>
      </c>
      <c r="C6496" t="s">
        <v>40</v>
      </c>
      <c r="D6496">
        <v>4.367953</v>
      </c>
      <c r="E6496">
        <v>0.48309049999999998</v>
      </c>
      <c r="F6496" t="s">
        <v>45</v>
      </c>
      <c r="G6496">
        <v>0</v>
      </c>
      <c r="H6496">
        <v>0</v>
      </c>
      <c r="I6496">
        <v>0</v>
      </c>
      <c r="J6496">
        <v>-188.97980000000001</v>
      </c>
      <c r="K6496">
        <v>1.1195850000000001</v>
      </c>
      <c r="L6496">
        <v>-13.448639999999999</v>
      </c>
      <c r="M6496">
        <v>1.3104960000000001E-2</v>
      </c>
      <c r="N6496">
        <v>-1.1998109999999999E-2</v>
      </c>
      <c r="O6496">
        <v>0.99984220000000001</v>
      </c>
      <c r="P6496">
        <v>-5.8171830000000001E-2</v>
      </c>
      <c r="Q6496">
        <v>0.31947419999999999</v>
      </c>
      <c r="R6496">
        <v>0.94580779999999998</v>
      </c>
      <c r="S6496">
        <v>-0.29505920000000002</v>
      </c>
      <c r="T6496">
        <v>1.5882750000000001</v>
      </c>
      <c r="U6496">
        <v>2.6190190000000002</v>
      </c>
      <c r="V6496">
        <v>-6.8714120000000004E-2</v>
      </c>
      <c r="W6496">
        <v>0.33117819999999998</v>
      </c>
      <c r="X6496">
        <v>0.94106290000000004</v>
      </c>
      <c r="Y6496">
        <v>-0.108628</v>
      </c>
      <c r="Z6496">
        <v>0.52595349999999996</v>
      </c>
      <c r="AA6496">
        <v>0.84354779999999996</v>
      </c>
      <c r="AB6496">
        <v>31</v>
      </c>
      <c r="AC6496">
        <v>-0.29505920000000002</v>
      </c>
      <c r="AD6496">
        <v>1.5882750000000001</v>
      </c>
      <c r="AE6496">
        <v>2.6190190000000002</v>
      </c>
      <c r="AF6496">
        <v>-0.24161415660952801</v>
      </c>
      <c r="AG6496">
        <v>1.5882750000000001</v>
      </c>
      <c r="AH6496">
        <v>1.91828496061095</v>
      </c>
      <c r="AI6496">
        <v>50.597725312232797</v>
      </c>
      <c r="AJ6496">
        <v>97.178784944631602</v>
      </c>
      <c r="AK6496">
        <v>2.5021614788828601</v>
      </c>
      <c r="AL6496">
        <v>70.659697086247306</v>
      </c>
      <c r="AM6496">
        <v>94.176186868030896</v>
      </c>
      <c r="AN6496">
        <v>1.00000000609951</v>
      </c>
    </row>
    <row r="6497" spans="1:40" x14ac:dyDescent="0.25">
      <c r="A6497" t="str">
        <f>"20190303162945929"</f>
        <v>20190303162945929</v>
      </c>
      <c r="B6497" t="str">
        <f>"1551601785918372"</f>
        <v>1551601785918372</v>
      </c>
      <c r="C6497" t="s">
        <v>40</v>
      </c>
      <c r="D6497">
        <v>4.4072950000000004</v>
      </c>
      <c r="E6497">
        <v>0.48182380000000002</v>
      </c>
      <c r="F6497" t="s">
        <v>45</v>
      </c>
      <c r="G6497">
        <v>0</v>
      </c>
      <c r="H6497">
        <v>0</v>
      </c>
      <c r="I6497">
        <v>0</v>
      </c>
      <c r="J6497">
        <v>-188.97300000000001</v>
      </c>
      <c r="K6497">
        <v>1.11957</v>
      </c>
      <c r="L6497">
        <v>-13.1467299999999</v>
      </c>
      <c r="M6497">
        <v>1.5879259999999999E-2</v>
      </c>
      <c r="N6497">
        <v>-1.200001E-2</v>
      </c>
      <c r="O6497">
        <v>0.99980190000000002</v>
      </c>
      <c r="P6497">
        <v>-5.348588E-2</v>
      </c>
      <c r="Q6497">
        <v>0.32288050000000001</v>
      </c>
      <c r="R6497">
        <v>0.94492719999999997</v>
      </c>
      <c r="S6497">
        <v>-0.29258729999999999</v>
      </c>
      <c r="T6497">
        <v>1.5929469999999999</v>
      </c>
      <c r="U6497">
        <v>2.6158450000000002</v>
      </c>
      <c r="V6497">
        <v>-6.6593949999999999E-2</v>
      </c>
      <c r="W6497">
        <v>0.33456710000000001</v>
      </c>
      <c r="X6497">
        <v>0.94001599999999996</v>
      </c>
      <c r="Y6497">
        <v>-0.11061029999999999</v>
      </c>
      <c r="Z6497">
        <v>0.52743779999999996</v>
      </c>
      <c r="AA6497">
        <v>0.84236259999999996</v>
      </c>
      <c r="AB6497">
        <v>31</v>
      </c>
      <c r="AC6497">
        <v>-0.29258729999999999</v>
      </c>
      <c r="AD6497">
        <v>1.5929469999999999</v>
      </c>
      <c r="AE6497">
        <v>2.6158450000000002</v>
      </c>
      <c r="AF6497">
        <v>-0.24453123982646599</v>
      </c>
      <c r="AG6497">
        <v>1.5929469999999999</v>
      </c>
      <c r="AH6497">
        <v>1.91097281459336</v>
      </c>
      <c r="AI6497">
        <v>50.414791654408702</v>
      </c>
      <c r="AJ6497">
        <v>97.292034583376804</v>
      </c>
      <c r="AK6497">
        <v>2.4998185474499799</v>
      </c>
      <c r="AL6497">
        <v>70.453784108544298</v>
      </c>
      <c r="AM6497">
        <v>94.052258979095399</v>
      </c>
      <c r="AN6497">
        <v>0.99999998941750601</v>
      </c>
    </row>
    <row r="6498" spans="1:40" x14ac:dyDescent="0.25">
      <c r="A6498" t="str">
        <f>"20190303162945951"</f>
        <v>20190303162945951</v>
      </c>
      <c r="B6498" t="str">
        <f>"1551601785948628"</f>
        <v>1551601785948628</v>
      </c>
      <c r="C6498" t="s">
        <v>40</v>
      </c>
      <c r="D6498">
        <v>4.3624090000000004</v>
      </c>
      <c r="E6498">
        <v>0.48094900000000002</v>
      </c>
      <c r="F6498" t="s">
        <v>45</v>
      </c>
      <c r="G6498">
        <v>0</v>
      </c>
      <c r="H6498">
        <v>0</v>
      </c>
      <c r="I6498">
        <v>0</v>
      </c>
      <c r="J6498">
        <v>-188.96520000000001</v>
      </c>
      <c r="K6498">
        <v>1.1195630000000001</v>
      </c>
      <c r="L6498">
        <v>-12.83966</v>
      </c>
      <c r="M6498">
        <v>1.868417E-2</v>
      </c>
      <c r="N6498">
        <v>-1.200145E-2</v>
      </c>
      <c r="O6498">
        <v>0.99975340000000001</v>
      </c>
      <c r="P6498">
        <v>-4.8525730000000003E-2</v>
      </c>
      <c r="Q6498">
        <v>0.32576660000000002</v>
      </c>
      <c r="R6498">
        <v>0.94420409999999999</v>
      </c>
      <c r="S6498">
        <v>-0.2896881</v>
      </c>
      <c r="T6498">
        <v>1.5939939999999999</v>
      </c>
      <c r="U6498">
        <v>2.6137999999999999</v>
      </c>
      <c r="V6498">
        <v>-6.4244739999999995E-2</v>
      </c>
      <c r="W6498">
        <v>0.33743240000000002</v>
      </c>
      <c r="X6498">
        <v>0.93915490000000001</v>
      </c>
      <c r="Y6498">
        <v>-0.11251419999999999</v>
      </c>
      <c r="Z6498">
        <v>0.52790490000000001</v>
      </c>
      <c r="AA6498">
        <v>0.8418177</v>
      </c>
      <c r="AB6498">
        <v>31</v>
      </c>
      <c r="AC6498">
        <v>-0.2896881</v>
      </c>
      <c r="AD6498">
        <v>1.5939939999999999</v>
      </c>
      <c r="AE6498">
        <v>2.6137999999999999</v>
      </c>
      <c r="AF6498">
        <v>-0.24753573214603899</v>
      </c>
      <c r="AG6498">
        <v>1.5939939999999999</v>
      </c>
      <c r="AH6498">
        <v>1.9072334301440199</v>
      </c>
      <c r="AI6498">
        <v>50.347689031133498</v>
      </c>
      <c r="AJ6498">
        <v>97.394958686772895</v>
      </c>
      <c r="AK6498">
        <v>2.4979251725750302</v>
      </c>
      <c r="AL6498">
        <v>70.279480363017797</v>
      </c>
      <c r="AM6498">
        <v>93.913334037273003</v>
      </c>
      <c r="AN6498">
        <v>0.99999996869071806</v>
      </c>
    </row>
    <row r="6499" spans="1:40" x14ac:dyDescent="0.25">
      <c r="A6499" t="str">
        <f>"20190303162945972"</f>
        <v>20190303162945972</v>
      </c>
      <c r="B6499" t="str">
        <f>"1551601785968148"</f>
        <v>1551601785968148</v>
      </c>
      <c r="C6499" t="s">
        <v>40</v>
      </c>
      <c r="D6499">
        <v>4.3556109999999997</v>
      </c>
      <c r="E6499">
        <v>0.48035470000000002</v>
      </c>
      <c r="F6499" t="s">
        <v>45</v>
      </c>
      <c r="G6499">
        <v>0</v>
      </c>
      <c r="H6499">
        <v>0</v>
      </c>
      <c r="I6499">
        <v>0</v>
      </c>
      <c r="J6499">
        <v>-188.9572</v>
      </c>
      <c r="K6499">
        <v>1.11958</v>
      </c>
      <c r="L6499">
        <v>-12.55362</v>
      </c>
      <c r="M6499">
        <v>2.125956E-2</v>
      </c>
      <c r="N6499">
        <v>-1.200233E-2</v>
      </c>
      <c r="O6499">
        <v>0.99970190000000003</v>
      </c>
      <c r="P6499">
        <v>-4.5046950000000002E-2</v>
      </c>
      <c r="Q6499">
        <v>0.3279512</v>
      </c>
      <c r="R6499">
        <v>0.94362000000000001</v>
      </c>
      <c r="S6499">
        <v>-0.28356930000000002</v>
      </c>
      <c r="T6499">
        <v>1.593531</v>
      </c>
      <c r="U6499">
        <v>2.6129150000000001</v>
      </c>
      <c r="V6499">
        <v>-6.3175690000000007E-2</v>
      </c>
      <c r="W6499">
        <v>0.33960279999999998</v>
      </c>
      <c r="X6499">
        <v>0.93844490000000003</v>
      </c>
      <c r="Y6499">
        <v>-0.11315020000000001</v>
      </c>
      <c r="Z6499">
        <v>0.52791089999999996</v>
      </c>
      <c r="AA6499">
        <v>0.84172860000000005</v>
      </c>
      <c r="AB6499">
        <v>31</v>
      </c>
      <c r="AC6499">
        <v>-0.28356930000000002</v>
      </c>
      <c r="AD6499">
        <v>1.593531</v>
      </c>
      <c r="AE6499">
        <v>2.6129150000000001</v>
      </c>
      <c r="AF6499">
        <v>-0.247920866237263</v>
      </c>
      <c r="AG6499">
        <v>1.593531</v>
      </c>
      <c r="AH6499">
        <v>1.9057323817711</v>
      </c>
      <c r="AI6499">
        <v>50.334797240510198</v>
      </c>
      <c r="AJ6499">
        <v>97.412105409740207</v>
      </c>
      <c r="AK6499">
        <v>2.4965219235584102</v>
      </c>
      <c r="AL6499">
        <v>70.147324264965604</v>
      </c>
      <c r="AM6499">
        <v>93.851315254297504</v>
      </c>
      <c r="AN6499">
        <v>1.0000000299554099</v>
      </c>
    </row>
    <row r="6500" spans="1:40" x14ac:dyDescent="0.25">
      <c r="A6500" t="str">
        <f>"20190303162945993"</f>
        <v>20190303162945993</v>
      </c>
      <c r="B6500" t="str">
        <f>"1551601785988045"</f>
        <v>1551601785988045</v>
      </c>
      <c r="C6500" t="s">
        <v>40</v>
      </c>
      <c r="D6500">
        <v>4.3992199999999997</v>
      </c>
      <c r="E6500">
        <v>0.4799928</v>
      </c>
      <c r="F6500" t="s">
        <v>45</v>
      </c>
      <c r="G6500">
        <v>0</v>
      </c>
      <c r="H6500">
        <v>0</v>
      </c>
      <c r="I6500">
        <v>0</v>
      </c>
      <c r="J6500">
        <v>-188.9479</v>
      </c>
      <c r="K6500">
        <v>1.119607</v>
      </c>
      <c r="L6500">
        <v>-12.245760000000001</v>
      </c>
      <c r="M6500">
        <v>2.3976460000000002E-2</v>
      </c>
      <c r="N6500">
        <v>-1.200271E-2</v>
      </c>
      <c r="O6500">
        <v>0.99964050000000004</v>
      </c>
      <c r="P6500">
        <v>-4.1372920000000001E-2</v>
      </c>
      <c r="Q6500">
        <v>0.330766</v>
      </c>
      <c r="R6500">
        <v>0.94280549999999996</v>
      </c>
      <c r="S6500">
        <v>-0.27960210000000002</v>
      </c>
      <c r="T6500">
        <v>1.595229</v>
      </c>
      <c r="U6500">
        <v>2.6114809999999999</v>
      </c>
      <c r="V6500">
        <v>-6.2044580000000002E-2</v>
      </c>
      <c r="W6500">
        <v>0.34239770000000003</v>
      </c>
      <c r="X6500">
        <v>0.93750429999999996</v>
      </c>
      <c r="Y6500">
        <v>-0.1145962</v>
      </c>
      <c r="Z6500">
        <v>0.52845390000000003</v>
      </c>
      <c r="AA6500">
        <v>0.8411921</v>
      </c>
      <c r="AB6500">
        <v>31</v>
      </c>
      <c r="AC6500">
        <v>-0.27960210000000002</v>
      </c>
      <c r="AD6500">
        <v>1.595229</v>
      </c>
      <c r="AE6500">
        <v>2.6114809999999999</v>
      </c>
      <c r="AF6500">
        <v>-0.24993601112299901</v>
      </c>
      <c r="AG6500">
        <v>1.595229</v>
      </c>
      <c r="AH6500">
        <v>1.9022601100588099</v>
      </c>
      <c r="AI6500">
        <v>50.258147439945603</v>
      </c>
      <c r="AJ6500">
        <v>97.485158150912795</v>
      </c>
      <c r="AK6500">
        <v>2.4951587321086399</v>
      </c>
      <c r="AL6500">
        <v>69.976977878372395</v>
      </c>
      <c r="AM6500">
        <v>93.786346562474407</v>
      </c>
      <c r="AN6500">
        <v>1.00000001369557</v>
      </c>
    </row>
    <row r="6501" spans="1:40" x14ac:dyDescent="0.25">
      <c r="A6501" t="str">
        <f>"20190303162946017"</f>
        <v>20190303162946017</v>
      </c>
      <c r="B6501" t="str">
        <f>"1551601786008542"</f>
        <v>1551601786008542</v>
      </c>
      <c r="C6501" t="s">
        <v>40</v>
      </c>
      <c r="D6501">
        <v>4.2931939999999997</v>
      </c>
      <c r="E6501">
        <v>0.47960320000000001</v>
      </c>
      <c r="F6501" t="s">
        <v>45</v>
      </c>
      <c r="G6501">
        <v>0</v>
      </c>
      <c r="H6501">
        <v>0</v>
      </c>
      <c r="I6501">
        <v>0</v>
      </c>
      <c r="J6501">
        <v>-188.93709999999999</v>
      </c>
      <c r="K6501">
        <v>1.119648</v>
      </c>
      <c r="L6501">
        <v>-11.919129999999999</v>
      </c>
      <c r="M6501">
        <v>2.678871E-2</v>
      </c>
      <c r="N6501">
        <v>-1.200265E-2</v>
      </c>
      <c r="O6501">
        <v>0.99956909999999999</v>
      </c>
      <c r="P6501">
        <v>-3.7508350000000003E-2</v>
      </c>
      <c r="Q6501">
        <v>0.33131500000000003</v>
      </c>
      <c r="R6501">
        <v>0.94277440000000001</v>
      </c>
      <c r="S6501">
        <v>-0.2723083</v>
      </c>
      <c r="T6501">
        <v>1.5999829999999999</v>
      </c>
      <c r="U6501">
        <v>2.6087039999999999</v>
      </c>
      <c r="V6501">
        <v>-6.0853490000000003E-2</v>
      </c>
      <c r="W6501">
        <v>0.3429334</v>
      </c>
      <c r="X6501">
        <v>0.93738659999999996</v>
      </c>
      <c r="Y6501">
        <v>-0.11505609999999999</v>
      </c>
      <c r="Z6501">
        <v>0.52995269999999906</v>
      </c>
      <c r="AA6501">
        <v>0.84018579999999998</v>
      </c>
      <c r="AB6501">
        <v>31</v>
      </c>
      <c r="AC6501">
        <v>-0.2723083</v>
      </c>
      <c r="AD6501">
        <v>1.5999829999999999</v>
      </c>
      <c r="AE6501">
        <v>2.6087039999999999</v>
      </c>
      <c r="AF6501">
        <v>-0.249323094048789</v>
      </c>
      <c r="AG6501">
        <v>1.5999829999999999</v>
      </c>
      <c r="AH6501">
        <v>1.8952321975128701</v>
      </c>
      <c r="AI6501">
        <v>50.0705606992939</v>
      </c>
      <c r="AJ6501">
        <v>97.494384753493605</v>
      </c>
      <c r="AK6501">
        <v>2.4927921469718499</v>
      </c>
      <c r="AL6501">
        <v>69.944307302005299</v>
      </c>
      <c r="AM6501">
        <v>93.714329259506698</v>
      </c>
      <c r="AN6501">
        <v>1.0000000509701401</v>
      </c>
    </row>
    <row r="6502" spans="1:40" x14ac:dyDescent="0.25">
      <c r="A6502" t="str">
        <f>"20190303162946040"</f>
        <v>20190303162946040</v>
      </c>
      <c r="B6502" t="str">
        <f>"1551601786028061"</f>
        <v>1551601786028061</v>
      </c>
      <c r="C6502" t="s">
        <v>40</v>
      </c>
      <c r="D6502">
        <v>4.3524960000000004</v>
      </c>
      <c r="E6502">
        <v>0.46624290000000002</v>
      </c>
      <c r="F6502" t="s">
        <v>45</v>
      </c>
      <c r="G6502">
        <v>0</v>
      </c>
      <c r="H6502">
        <v>0</v>
      </c>
      <c r="I6502">
        <v>0</v>
      </c>
      <c r="J6502">
        <v>-188.92519999999999</v>
      </c>
      <c r="K6502">
        <v>1.1196999999999999</v>
      </c>
      <c r="L6502">
        <v>-11.583920000000001</v>
      </c>
      <c r="M6502">
        <v>2.959171E-2</v>
      </c>
      <c r="N6502">
        <v>-1.2002219999999999E-2</v>
      </c>
      <c r="O6502">
        <v>0.99948999999999999</v>
      </c>
      <c r="P6502">
        <v>-3.3802359999999997E-2</v>
      </c>
      <c r="Q6502">
        <v>0.3327814</v>
      </c>
      <c r="R6502">
        <v>0.94239799999999996</v>
      </c>
      <c r="S6502">
        <v>-0.26396180000000002</v>
      </c>
      <c r="T6502">
        <v>1.600333</v>
      </c>
      <c r="U6502">
        <v>2.6091920000000002</v>
      </c>
      <c r="V6502">
        <v>-5.9807739999999998E-2</v>
      </c>
      <c r="W6502">
        <v>0.3443811</v>
      </c>
      <c r="X6502">
        <v>0.93692299999999995</v>
      </c>
      <c r="Y6502">
        <v>-0.1151557</v>
      </c>
      <c r="Z6502">
        <v>0.52996180000000004</v>
      </c>
      <c r="AA6502">
        <v>0.84016639999999998</v>
      </c>
      <c r="AB6502">
        <v>31</v>
      </c>
      <c r="AC6502">
        <v>-0.26396180000000002</v>
      </c>
      <c r="AD6502">
        <v>1.600333</v>
      </c>
      <c r="AE6502">
        <v>2.6091920000000002</v>
      </c>
      <c r="AF6502">
        <v>-0.248518768623185</v>
      </c>
      <c r="AG6502">
        <v>1.600333</v>
      </c>
      <c r="AH6502">
        <v>1.8946920229238999</v>
      </c>
      <c r="AI6502">
        <v>50.0549436805399</v>
      </c>
      <c r="AJ6502">
        <v>97.472586866930598</v>
      </c>
      <c r="AK6502">
        <v>2.4925258576348699</v>
      </c>
      <c r="AL6502">
        <v>69.8559797690761</v>
      </c>
      <c r="AM6502">
        <v>93.652475186081503</v>
      </c>
      <c r="AN6502">
        <v>1.0000000078650499</v>
      </c>
    </row>
    <row r="6503" spans="1:40" x14ac:dyDescent="0.25">
      <c r="A6503" t="str">
        <f>"20190303162946061"</f>
        <v>20190303162946061</v>
      </c>
      <c r="B6503" t="str">
        <f>"1551601786058318"</f>
        <v>1551601786058318</v>
      </c>
      <c r="C6503" t="s">
        <v>40</v>
      </c>
      <c r="D6503">
        <v>4.363086</v>
      </c>
      <c r="E6503">
        <v>0.46644370000000002</v>
      </c>
      <c r="F6503" t="s">
        <v>45</v>
      </c>
      <c r="G6503">
        <v>0</v>
      </c>
      <c r="H6503">
        <v>0</v>
      </c>
      <c r="I6503">
        <v>0</v>
      </c>
      <c r="J6503">
        <v>-188.9145</v>
      </c>
      <c r="K6503">
        <v>1.1197569999999999</v>
      </c>
      <c r="L6503">
        <v>-11.302339999999999</v>
      </c>
      <c r="M6503">
        <v>3.187073E-2</v>
      </c>
      <c r="N6503">
        <v>-1.200176E-2</v>
      </c>
      <c r="O6503">
        <v>0.99941990000000003</v>
      </c>
      <c r="P6503">
        <v>-3.1594780000000003E-2</v>
      </c>
      <c r="Q6503">
        <v>0.33465240000000002</v>
      </c>
      <c r="R6503">
        <v>0.94181190000000004</v>
      </c>
      <c r="S6503">
        <v>-0.35932920000000002</v>
      </c>
      <c r="T6503">
        <v>1.6454089999999999</v>
      </c>
      <c r="U6503">
        <v>2.5894469999999998</v>
      </c>
      <c r="V6503">
        <v>-5.97571E-2</v>
      </c>
      <c r="W6503">
        <v>0.3462365</v>
      </c>
      <c r="X6503">
        <v>0.93624220000000002</v>
      </c>
      <c r="Y6503">
        <v>-0.14760000000000001</v>
      </c>
      <c r="Z6503">
        <v>0.54120579999999996</v>
      </c>
      <c r="AA6503">
        <v>0.82783490000000004</v>
      </c>
      <c r="AB6503">
        <v>31</v>
      </c>
      <c r="AC6503">
        <v>-0.35932920000000002</v>
      </c>
      <c r="AD6503">
        <v>1.6454089999999999</v>
      </c>
      <c r="AE6503">
        <v>2.5894469999999998</v>
      </c>
      <c r="AF6503">
        <v>-0.31635772997352601</v>
      </c>
      <c r="AG6503">
        <v>1.6454089999999999</v>
      </c>
      <c r="AH6503">
        <v>1.8455711724736501</v>
      </c>
      <c r="AI6503">
        <v>48.693313926982299</v>
      </c>
      <c r="AJ6503">
        <v>99.726797451114507</v>
      </c>
      <c r="AK6503">
        <v>2.4927065497688998</v>
      </c>
      <c r="AL6503">
        <v>69.742706260969101</v>
      </c>
      <c r="AM6503">
        <v>93.652037468514905</v>
      </c>
      <c r="AN6503">
        <v>1.00000004099674</v>
      </c>
    </row>
    <row r="6504" spans="1:40" x14ac:dyDescent="0.25">
      <c r="A6504" t="str">
        <f>"20190303162946085"</f>
        <v>20190303162946085</v>
      </c>
      <c r="B6504" t="str">
        <f>"1551601786078814"</f>
        <v>1551601786078814</v>
      </c>
      <c r="C6504" t="s">
        <v>40</v>
      </c>
      <c r="D6504">
        <v>4.4141139999999996</v>
      </c>
      <c r="E6504">
        <v>0.4654008</v>
      </c>
      <c r="F6504" t="s">
        <v>45</v>
      </c>
      <c r="G6504">
        <v>0</v>
      </c>
      <c r="H6504">
        <v>0</v>
      </c>
      <c r="I6504">
        <v>0</v>
      </c>
      <c r="J6504">
        <v>-188.9008</v>
      </c>
      <c r="K6504">
        <v>1.119826</v>
      </c>
      <c r="L6504">
        <v>-10.96158</v>
      </c>
      <c r="M6504">
        <v>3.452877E-2</v>
      </c>
      <c r="N6504">
        <v>-1.200068E-2</v>
      </c>
      <c r="O6504">
        <v>0.99933170000000004</v>
      </c>
      <c r="P6504">
        <v>-2.954464E-2</v>
      </c>
      <c r="Q6504">
        <v>0.3349704</v>
      </c>
      <c r="R6504">
        <v>0.94176530000000003</v>
      </c>
      <c r="S6504">
        <v>-0.35166930000000002</v>
      </c>
      <c r="T6504">
        <v>1.6472910000000001</v>
      </c>
      <c r="U6504">
        <v>2.5882260000000001</v>
      </c>
      <c r="V6504">
        <v>-6.026186E-2</v>
      </c>
      <c r="W6504">
        <v>0.34654430000000003</v>
      </c>
      <c r="X6504">
        <v>0.93609600000000004</v>
      </c>
      <c r="Y6504">
        <v>-0.14781259999999999</v>
      </c>
      <c r="Z6504">
        <v>0.54180719999999905</v>
      </c>
      <c r="AA6504">
        <v>0.82740340000000001</v>
      </c>
      <c r="AB6504">
        <v>31</v>
      </c>
      <c r="AC6504">
        <v>-0.35166930000000002</v>
      </c>
      <c r="AD6504">
        <v>1.6472910000000001</v>
      </c>
      <c r="AE6504">
        <v>2.5882260000000001</v>
      </c>
      <c r="AF6504">
        <v>-0.31539231359606301</v>
      </c>
      <c r="AG6504">
        <v>1.6472910000000001</v>
      </c>
      <c r="AH6504">
        <v>1.8419388696805901</v>
      </c>
      <c r="AI6504">
        <v>48.603969777585</v>
      </c>
      <c r="AJ6504">
        <v>99.716438683578701</v>
      </c>
      <c r="AK6504">
        <v>2.49114005021731</v>
      </c>
      <c r="AL6504">
        <v>69.723907628471594</v>
      </c>
      <c r="AM6504">
        <v>93.683374782174496</v>
      </c>
      <c r="AN6504">
        <v>1.0000000824245701</v>
      </c>
    </row>
    <row r="6505" spans="1:40" x14ac:dyDescent="0.25">
      <c r="A6505" t="str">
        <f>"20190303162946108"</f>
        <v>20190303162946108</v>
      </c>
      <c r="B6505" t="str">
        <f>"1551601786098334"</f>
        <v>1551601786098334</v>
      </c>
      <c r="C6505" t="s">
        <v>40</v>
      </c>
      <c r="D6505">
        <v>4.364897</v>
      </c>
      <c r="E6505">
        <v>0.46499819999999997</v>
      </c>
      <c r="F6505" t="s">
        <v>45</v>
      </c>
      <c r="G6505">
        <v>0</v>
      </c>
      <c r="H6505">
        <v>0</v>
      </c>
      <c r="I6505">
        <v>0</v>
      </c>
      <c r="J6505">
        <v>-188.8871</v>
      </c>
      <c r="K6505">
        <v>1.1198950000000001</v>
      </c>
      <c r="L6505">
        <v>-10.639559999999999</v>
      </c>
      <c r="M6505">
        <v>3.6934259999999997E-2</v>
      </c>
      <c r="N6505">
        <v>-1.199914E-2</v>
      </c>
      <c r="O6505">
        <v>0.99924559999999996</v>
      </c>
      <c r="P6505">
        <v>-2.744336E-2</v>
      </c>
      <c r="Q6505">
        <v>0.33340900000000001</v>
      </c>
      <c r="R6505">
        <v>0.94238279999999996</v>
      </c>
      <c r="S6505">
        <v>-0.3545837</v>
      </c>
      <c r="T6505">
        <v>1.6368549999999999</v>
      </c>
      <c r="U6505">
        <v>2.5921940000000001</v>
      </c>
      <c r="V6505">
        <v>-6.0515979999999997E-2</v>
      </c>
      <c r="W6505">
        <v>0.34497870000000003</v>
      </c>
      <c r="X6505">
        <v>0.93665770000000004</v>
      </c>
      <c r="Y6505">
        <v>-0.15120799999999901</v>
      </c>
      <c r="Z6505">
        <v>0.5386088</v>
      </c>
      <c r="AA6505">
        <v>0.82887679999999997</v>
      </c>
      <c r="AB6505">
        <v>31</v>
      </c>
      <c r="AC6505">
        <v>-0.3545837</v>
      </c>
      <c r="AD6505">
        <v>1.6368549999999999</v>
      </c>
      <c r="AE6505">
        <v>2.5921940000000001</v>
      </c>
      <c r="AF6505">
        <v>-0.32347668699944598</v>
      </c>
      <c r="AG6505">
        <v>1.6368549999999999</v>
      </c>
      <c r="AH6505">
        <v>1.85231085304489</v>
      </c>
      <c r="AI6505">
        <v>48.960155966685399</v>
      </c>
      <c r="AJ6505">
        <v>99.905904126858502</v>
      </c>
      <c r="AK6505">
        <v>2.4929875559988299</v>
      </c>
      <c r="AL6505">
        <v>69.8195058721289</v>
      </c>
      <c r="AM6505">
        <v>93.696652280220405</v>
      </c>
      <c r="AN6505">
        <v>1.00000006712916</v>
      </c>
    </row>
    <row r="6506" spans="1:40" x14ac:dyDescent="0.25">
      <c r="A6506" t="str">
        <f>"20190303162946128"</f>
        <v>20190303162946128</v>
      </c>
      <c r="B6506" t="str">
        <f>"1551601786118831"</f>
        <v>1551601786118831</v>
      </c>
      <c r="C6506" t="s">
        <v>40</v>
      </c>
      <c r="D6506">
        <v>4.3669000000000002</v>
      </c>
      <c r="E6506">
        <v>0.46475569999999999</v>
      </c>
      <c r="F6506" t="s">
        <v>45</v>
      </c>
      <c r="G6506">
        <v>0</v>
      </c>
      <c r="H6506">
        <v>0</v>
      </c>
      <c r="I6506">
        <v>0</v>
      </c>
      <c r="J6506">
        <v>-188.8741</v>
      </c>
      <c r="K6506">
        <v>1.119956</v>
      </c>
      <c r="L6506">
        <v>-10.348179999999999</v>
      </c>
      <c r="M6506">
        <v>3.9038570000000002E-2</v>
      </c>
      <c r="N6506">
        <v>-1.199767E-2</v>
      </c>
      <c r="O6506">
        <v>0.99916570000000005</v>
      </c>
      <c r="P6506">
        <v>-2.612126E-2</v>
      </c>
      <c r="Q6506">
        <v>0.33284989999999998</v>
      </c>
      <c r="R6506">
        <v>0.94261799999999996</v>
      </c>
      <c r="S6506">
        <v>-0.35186770000000001</v>
      </c>
      <c r="T6506">
        <v>1.626101</v>
      </c>
      <c r="U6506">
        <v>2.5978699999999999</v>
      </c>
      <c r="V6506">
        <v>-6.1240530000000001E-2</v>
      </c>
      <c r="W6506">
        <v>0.34441430000000001</v>
      </c>
      <c r="X6506">
        <v>0.93681820000000005</v>
      </c>
      <c r="Y6506">
        <v>-0.1524713</v>
      </c>
      <c r="Z6506">
        <v>0.53522969999999903</v>
      </c>
      <c r="AA6506">
        <v>0.83083189999999996</v>
      </c>
      <c r="AB6506">
        <v>31</v>
      </c>
      <c r="AC6506">
        <v>-0.35186770000000001</v>
      </c>
      <c r="AD6506">
        <v>1.626101</v>
      </c>
      <c r="AE6506">
        <v>2.5978699999999999</v>
      </c>
      <c r="AF6506">
        <v>-0.32715491328818402</v>
      </c>
      <c r="AG6506">
        <v>1.626101</v>
      </c>
      <c r="AH6506">
        <v>1.8647223151451799</v>
      </c>
      <c r="AI6506">
        <v>49.340222495593999</v>
      </c>
      <c r="AJ6506">
        <v>99.950944074972696</v>
      </c>
      <c r="AK6506">
        <v>2.4956810918244399</v>
      </c>
      <c r="AL6506">
        <v>69.853952930257293</v>
      </c>
      <c r="AM6506">
        <v>93.740147821880498</v>
      </c>
      <c r="AN6506">
        <v>0.99999997620520498</v>
      </c>
    </row>
    <row r="6507" spans="1:40" x14ac:dyDescent="0.25">
      <c r="A6507" t="str">
        <f>"20190303162946152"</f>
        <v>20190303162946152</v>
      </c>
      <c r="B6507" t="str">
        <f>"1551601786148110"</f>
        <v>1551601786148110</v>
      </c>
      <c r="C6507" t="s">
        <v>40</v>
      </c>
      <c r="D6507">
        <v>4.4232760000000004</v>
      </c>
      <c r="E6507">
        <v>0.46435340000000003</v>
      </c>
      <c r="F6507" t="s">
        <v>45</v>
      </c>
      <c r="G6507">
        <v>0</v>
      </c>
      <c r="H6507">
        <v>0</v>
      </c>
      <c r="I6507">
        <v>0</v>
      </c>
      <c r="J6507">
        <v>-188.85939999999999</v>
      </c>
      <c r="K6507">
        <v>1.120025</v>
      </c>
      <c r="L6507">
        <v>-10.031739999999999</v>
      </c>
      <c r="M6507">
        <v>4.1228389999999997E-2</v>
      </c>
      <c r="N6507">
        <v>-1.1996039999999999E-2</v>
      </c>
      <c r="O6507">
        <v>0.99907769999999996</v>
      </c>
      <c r="P6507">
        <v>-2.5282789999999999E-2</v>
      </c>
      <c r="Q6507">
        <v>0.33209509999999998</v>
      </c>
      <c r="R6507">
        <v>0.94290700000000005</v>
      </c>
      <c r="S6507">
        <v>-0.34944150000000002</v>
      </c>
      <c r="T6507">
        <v>1.619507</v>
      </c>
      <c r="U6507">
        <v>2.6010740000000001</v>
      </c>
      <c r="V6507">
        <v>-6.2539709999999998E-2</v>
      </c>
      <c r="W6507">
        <v>0.3436553</v>
      </c>
      <c r="X6507">
        <v>0.93701109999999999</v>
      </c>
      <c r="Y6507">
        <v>-0.1539045</v>
      </c>
      <c r="Z6507">
        <v>0.53314159999999999</v>
      </c>
      <c r="AA6507">
        <v>0.83190949999999997</v>
      </c>
      <c r="AB6507">
        <v>31</v>
      </c>
      <c r="AC6507">
        <v>-0.34944150000000002</v>
      </c>
      <c r="AD6507">
        <v>1.619507</v>
      </c>
      <c r="AE6507">
        <v>2.6010740000000001</v>
      </c>
      <c r="AF6507">
        <v>-0.330526989438026</v>
      </c>
      <c r="AG6507">
        <v>1.619507</v>
      </c>
      <c r="AH6507">
        <v>1.87171401645237</v>
      </c>
      <c r="AI6507">
        <v>49.566683353193497</v>
      </c>
      <c r="AJ6507">
        <v>100.014644845025</v>
      </c>
      <c r="AK6507">
        <v>2.4970711590141401</v>
      </c>
      <c r="AL6507">
        <v>69.900267933121597</v>
      </c>
      <c r="AM6507">
        <v>93.818476408924596</v>
      </c>
      <c r="AN6507">
        <v>0.99999999103409198</v>
      </c>
    </row>
    <row r="6508" spans="1:40" x14ac:dyDescent="0.25">
      <c r="A6508" t="str">
        <f>"20190303162946173"</f>
        <v>20190303162946173</v>
      </c>
      <c r="B6508" t="str">
        <f>"1551601786168607"</f>
        <v>1551601786168607</v>
      </c>
      <c r="C6508" t="s">
        <v>40</v>
      </c>
      <c r="D6508">
        <v>4.4352309999999999</v>
      </c>
      <c r="E6508">
        <v>0.46427010000000002</v>
      </c>
      <c r="F6508" t="s">
        <v>45</v>
      </c>
      <c r="G6508">
        <v>0</v>
      </c>
      <c r="H6508">
        <v>0</v>
      </c>
      <c r="I6508">
        <v>0</v>
      </c>
      <c r="J6508">
        <v>-188.84520000000001</v>
      </c>
      <c r="K6508">
        <v>1.1200939999999999</v>
      </c>
      <c r="L6508">
        <v>-9.7383120000000005</v>
      </c>
      <c r="M6508">
        <v>4.3153089999999998E-2</v>
      </c>
      <c r="N6508">
        <v>-1.199427E-2</v>
      </c>
      <c r="O6508">
        <v>0.99899649999999995</v>
      </c>
      <c r="P6508">
        <v>-2.5329089999999999E-2</v>
      </c>
      <c r="Q6508">
        <v>0.33071820000000002</v>
      </c>
      <c r="R6508">
        <v>0.94338960000000005</v>
      </c>
      <c r="S6508">
        <v>-0.35058590000000001</v>
      </c>
      <c r="T6508">
        <v>1.6119300000000001</v>
      </c>
      <c r="U6508">
        <v>2.6045229999999999</v>
      </c>
      <c r="V6508">
        <v>-6.4489530000000003E-2</v>
      </c>
      <c r="W6508">
        <v>0.34227750000000001</v>
      </c>
      <c r="X6508">
        <v>0.93738319999999997</v>
      </c>
      <c r="Y6508">
        <v>-0.1562171</v>
      </c>
      <c r="Z6508">
        <v>0.53072039999999998</v>
      </c>
      <c r="AA6508">
        <v>0.83302589999999999</v>
      </c>
      <c r="AB6508">
        <v>31</v>
      </c>
      <c r="AC6508">
        <v>-0.35058590000000001</v>
      </c>
      <c r="AD6508">
        <v>1.6119300000000001</v>
      </c>
      <c r="AE6508">
        <v>2.6045229999999999</v>
      </c>
      <c r="AF6508">
        <v>-0.33618306628174399</v>
      </c>
      <c r="AG6508">
        <v>1.6119300000000001</v>
      </c>
      <c r="AH6508">
        <v>1.8797675675041501</v>
      </c>
      <c r="AI6508">
        <v>49.831541807580898</v>
      </c>
      <c r="AJ6508">
        <v>100.139743957077</v>
      </c>
      <c r="AK6508">
        <v>2.4989724862020899</v>
      </c>
      <c r="AL6508">
        <v>69.984307959278894</v>
      </c>
      <c r="AM6508">
        <v>93.935599492019705</v>
      </c>
      <c r="AN6508">
        <v>1.0000000250640499</v>
      </c>
    </row>
    <row r="6509" spans="1:40" x14ac:dyDescent="0.25">
      <c r="A6509" t="str">
        <f>"20190303162946195"</f>
        <v>20190303162946195</v>
      </c>
      <c r="B6509" t="str">
        <f>"1551601786188126"</f>
        <v>1551601786188126</v>
      </c>
      <c r="C6509" t="s">
        <v>40</v>
      </c>
      <c r="D6509">
        <v>4.4501780000000002</v>
      </c>
      <c r="E6509">
        <v>0.46419670000000002</v>
      </c>
      <c r="F6509" t="s">
        <v>45</v>
      </c>
      <c r="G6509">
        <v>0</v>
      </c>
      <c r="H6509">
        <v>0</v>
      </c>
      <c r="I6509">
        <v>0</v>
      </c>
      <c r="J6509">
        <v>-188.82919999999999</v>
      </c>
      <c r="K6509">
        <v>1.120193</v>
      </c>
      <c r="L6509">
        <v>-9.4171449999999997</v>
      </c>
      <c r="M6509">
        <v>4.5120960000000002E-2</v>
      </c>
      <c r="N6509">
        <v>-1.199185E-2</v>
      </c>
      <c r="O6509">
        <v>0.99890950000000001</v>
      </c>
      <c r="P6509">
        <v>-2.494588E-2</v>
      </c>
      <c r="Q6509">
        <v>0.3300343</v>
      </c>
      <c r="R6509">
        <v>0.94363920000000001</v>
      </c>
      <c r="S6509">
        <v>-0.35174559999999999</v>
      </c>
      <c r="T6509">
        <v>1.6078460000000001</v>
      </c>
      <c r="U6509">
        <v>2.6069339999999999</v>
      </c>
      <c r="V6509">
        <v>-6.6062250000000003E-2</v>
      </c>
      <c r="W6509">
        <v>0.34158300000000003</v>
      </c>
      <c r="X6509">
        <v>0.93752690000000005</v>
      </c>
      <c r="Y6509">
        <v>-0.15854089999999901</v>
      </c>
      <c r="Z6509">
        <v>0.52924930000000003</v>
      </c>
      <c r="AA6509">
        <v>0.83352269999999995</v>
      </c>
      <c r="AB6509">
        <v>31</v>
      </c>
      <c r="AC6509">
        <v>-0.35174559999999999</v>
      </c>
      <c r="AD6509">
        <v>1.6078460000000001</v>
      </c>
      <c r="AE6509">
        <v>2.6069339999999999</v>
      </c>
      <c r="AF6509">
        <v>-0.341458260959288</v>
      </c>
      <c r="AG6509">
        <v>1.6078460000000001</v>
      </c>
      <c r="AH6509">
        <v>1.8844117578958699</v>
      </c>
      <c r="AI6509">
        <v>49.984417882702402</v>
      </c>
      <c r="AJ6509">
        <v>100.27064086018299</v>
      </c>
      <c r="AK6509">
        <v>2.5005539740204701</v>
      </c>
      <c r="AL6509">
        <v>70.026650129096495</v>
      </c>
      <c r="AM6509">
        <v>94.030649251880405</v>
      </c>
      <c r="AN6509">
        <v>0.99999992749383304</v>
      </c>
    </row>
    <row r="6510" spans="1:40" x14ac:dyDescent="0.25">
      <c r="A6510" t="str">
        <f>"20190303162946217"</f>
        <v>20190303162946217</v>
      </c>
      <c r="B6510" t="str">
        <f>"1551601786208622"</f>
        <v>1551601786208622</v>
      </c>
      <c r="C6510" t="s">
        <v>40</v>
      </c>
      <c r="D6510">
        <v>4.4500650000000004</v>
      </c>
      <c r="E6510">
        <v>0.46438259999999998</v>
      </c>
      <c r="F6510" t="s">
        <v>45</v>
      </c>
      <c r="G6510">
        <v>0</v>
      </c>
      <c r="H6510">
        <v>0</v>
      </c>
      <c r="I6510">
        <v>0</v>
      </c>
      <c r="J6510">
        <v>-188.81319999999999</v>
      </c>
      <c r="K6510">
        <v>1.1203110000000001</v>
      </c>
      <c r="L6510">
        <v>-9.1067499999999999</v>
      </c>
      <c r="M6510">
        <v>4.685947E-2</v>
      </c>
      <c r="N6510">
        <v>-1.1989059999999999E-2</v>
      </c>
      <c r="O6510">
        <v>0.99882950000000004</v>
      </c>
      <c r="P6510">
        <v>-2.4830000000000001E-2</v>
      </c>
      <c r="Q6510">
        <v>0.32876359999999999</v>
      </c>
      <c r="R6510">
        <v>0.94408579999999998</v>
      </c>
      <c r="S6510">
        <v>-0.35017399999999999</v>
      </c>
      <c r="T6510">
        <v>1.604568</v>
      </c>
      <c r="U6510">
        <v>2.6087340000000001</v>
      </c>
      <c r="V6510">
        <v>-6.7714860000000002E-2</v>
      </c>
      <c r="W6510">
        <v>0.34030009999999999</v>
      </c>
      <c r="X6510">
        <v>0.93787560000000003</v>
      </c>
      <c r="Y6510">
        <v>-0.15977420000000001</v>
      </c>
      <c r="Z6510">
        <v>0.52812890000000001</v>
      </c>
      <c r="AA6510">
        <v>0.83399769999999895</v>
      </c>
      <c r="AB6510">
        <v>31</v>
      </c>
      <c r="AC6510">
        <v>-0.35017399999999999</v>
      </c>
      <c r="AD6510">
        <v>1.604568</v>
      </c>
      <c r="AE6510">
        <v>2.6087340000000001</v>
      </c>
      <c r="AF6510">
        <v>-0.34414877561596502</v>
      </c>
      <c r="AG6510">
        <v>1.604568</v>
      </c>
      <c r="AH6510">
        <v>1.8878802756903601</v>
      </c>
      <c r="AI6510">
        <v>50.099268437144197</v>
      </c>
      <c r="AJ6510">
        <v>100.331220389404</v>
      </c>
      <c r="AK6510">
        <v>2.5014333454486999</v>
      </c>
      <c r="AL6510">
        <v>70.104842218736394</v>
      </c>
      <c r="AM6510">
        <v>94.129604286440696</v>
      </c>
      <c r="AN6510">
        <v>1.0000000507000899</v>
      </c>
    </row>
    <row r="6511" spans="1:40" x14ac:dyDescent="0.25">
      <c r="A6511" t="str">
        <f>"20190303162946240"</f>
        <v>20190303162946240</v>
      </c>
      <c r="B6511" t="str">
        <f>"1551601786228142"</f>
        <v>1551601786228142</v>
      </c>
      <c r="C6511" t="s">
        <v>40</v>
      </c>
      <c r="D6511">
        <v>4.4423069999999996</v>
      </c>
      <c r="E6511">
        <v>0.46417700000000001</v>
      </c>
      <c r="F6511" t="s">
        <v>45</v>
      </c>
      <c r="G6511">
        <v>0</v>
      </c>
      <c r="H6511">
        <v>0</v>
      </c>
      <c r="I6511">
        <v>0</v>
      </c>
      <c r="J6511">
        <v>-188.79679999999999</v>
      </c>
      <c r="K6511">
        <v>1.120468</v>
      </c>
      <c r="L6511">
        <v>-8.7941280000000006</v>
      </c>
      <c r="M6511">
        <v>4.8410250000000002E-2</v>
      </c>
      <c r="N6511">
        <v>-1.1986109999999999E-2</v>
      </c>
      <c r="O6511">
        <v>0.99875559999999997</v>
      </c>
      <c r="P6511">
        <v>-2.510126E-2</v>
      </c>
      <c r="Q6511">
        <v>0.32761040000000002</v>
      </c>
      <c r="R6511">
        <v>0.94447939999999997</v>
      </c>
      <c r="S6511">
        <v>-0.34667969999999998</v>
      </c>
      <c r="T6511">
        <v>1.6023940000000001</v>
      </c>
      <c r="U6511">
        <v>2.6105649999999998</v>
      </c>
      <c r="V6511">
        <v>-6.9601099999999999E-2</v>
      </c>
      <c r="W6511">
        <v>0.33912779999999998</v>
      </c>
      <c r="X6511">
        <v>0.93816200000000005</v>
      </c>
      <c r="Y6511">
        <v>-0.1601899</v>
      </c>
      <c r="Z6511">
        <v>0.52731859999999997</v>
      </c>
      <c r="AA6511">
        <v>0.83443049999999996</v>
      </c>
      <c r="AB6511">
        <v>31</v>
      </c>
      <c r="AC6511">
        <v>-0.34667969999999998</v>
      </c>
      <c r="AD6511">
        <v>1.6023940000000001</v>
      </c>
      <c r="AE6511">
        <v>2.6105649999999998</v>
      </c>
      <c r="AF6511">
        <v>-0.34494841690593597</v>
      </c>
      <c r="AG6511">
        <v>1.6023940000000001</v>
      </c>
      <c r="AH6511">
        <v>1.89071211123178</v>
      </c>
      <c r="AI6511">
        <v>50.180482137411303</v>
      </c>
      <c r="AJ6511">
        <v>100.339532507448</v>
      </c>
      <c r="AK6511">
        <v>2.5022885982876701</v>
      </c>
      <c r="AL6511">
        <v>70.176255283746599</v>
      </c>
      <c r="AM6511">
        <v>94.242931395683001</v>
      </c>
      <c r="AN6511">
        <v>0.99999995804902397</v>
      </c>
    </row>
    <row r="6512" spans="1:40" x14ac:dyDescent="0.25">
      <c r="A6512" t="str">
        <f>"20190303162946262"</f>
        <v>20190303162946262</v>
      </c>
      <c r="B6512" t="str">
        <f>"1551601786258398"</f>
        <v>1551601786258398</v>
      </c>
      <c r="C6512" t="s">
        <v>40</v>
      </c>
      <c r="D6512">
        <v>4.667624</v>
      </c>
      <c r="E6512">
        <v>0.46389629999999998</v>
      </c>
      <c r="F6512" t="s">
        <v>45</v>
      </c>
      <c r="G6512">
        <v>0</v>
      </c>
      <c r="H6512">
        <v>0</v>
      </c>
      <c r="I6512">
        <v>0</v>
      </c>
      <c r="J6512">
        <v>-188.78049999999999</v>
      </c>
      <c r="K6512">
        <v>1.1206449999999999</v>
      </c>
      <c r="L6512">
        <v>-8.4872440000000005</v>
      </c>
      <c r="M6512">
        <v>4.9701929999999998E-2</v>
      </c>
      <c r="N6512">
        <v>-1.198311E-2</v>
      </c>
      <c r="O6512">
        <v>0.99869220000000003</v>
      </c>
      <c r="P6512">
        <v>-2.6902969999999998E-2</v>
      </c>
      <c r="Q6512">
        <v>0.32604909999999998</v>
      </c>
      <c r="R6512">
        <v>0.94496999999999998</v>
      </c>
      <c r="S6512">
        <v>-0.3479004</v>
      </c>
      <c r="T6512">
        <v>1.5983019999999999</v>
      </c>
      <c r="U6512">
        <v>2.6127009999999999</v>
      </c>
      <c r="V6512">
        <v>-7.2798070000000006E-2</v>
      </c>
      <c r="W6512">
        <v>0.337545599999999</v>
      </c>
      <c r="X6512">
        <v>0.93849000000000005</v>
      </c>
      <c r="Y6512">
        <v>-0.1618696</v>
      </c>
      <c r="Z6512">
        <v>0.52592609999999995</v>
      </c>
      <c r="AA6512">
        <v>0.83498499999999998</v>
      </c>
      <c r="AB6512">
        <v>31</v>
      </c>
      <c r="AC6512">
        <v>-0.3479004</v>
      </c>
      <c r="AD6512">
        <v>1.5983019999999999</v>
      </c>
      <c r="AE6512">
        <v>2.6127009999999999</v>
      </c>
      <c r="AF6512">
        <v>-0.34900381883825099</v>
      </c>
      <c r="AG6512">
        <v>1.5983019999999999</v>
      </c>
      <c r="AH6512">
        <v>1.8952695646750899</v>
      </c>
      <c r="AI6512">
        <v>50.328815149444502</v>
      </c>
      <c r="AJ6512">
        <v>100.43382674370601</v>
      </c>
      <c r="AK6512">
        <v>2.50368122402821</v>
      </c>
      <c r="AL6512">
        <v>70.272591607422797</v>
      </c>
      <c r="AM6512">
        <v>94.435515084977894</v>
      </c>
      <c r="AN6512">
        <v>1.00000003558754</v>
      </c>
    </row>
    <row r="6513" spans="1:40" x14ac:dyDescent="0.25">
      <c r="A6513" t="str">
        <f>"20190303162946287"</f>
        <v>20190303162946287</v>
      </c>
      <c r="B6513" t="str">
        <f>"1551601786278895"</f>
        <v>1551601786278895</v>
      </c>
      <c r="C6513" t="s">
        <v>40</v>
      </c>
      <c r="D6513">
        <v>4.5272249999999996</v>
      </c>
      <c r="E6513">
        <v>0.4638312</v>
      </c>
      <c r="F6513" t="s">
        <v>45</v>
      </c>
      <c r="G6513">
        <v>0</v>
      </c>
      <c r="H6513">
        <v>0</v>
      </c>
      <c r="I6513">
        <v>0</v>
      </c>
      <c r="J6513">
        <v>-188.76240000000001</v>
      </c>
      <c r="K6513">
        <v>1.12087</v>
      </c>
      <c r="L6513">
        <v>-8.1491089999999993</v>
      </c>
      <c r="M6513">
        <v>5.0812110000000001E-2</v>
      </c>
      <c r="N6513">
        <v>-1.1979979999999999E-2</v>
      </c>
      <c r="O6513">
        <v>0.99863639999999998</v>
      </c>
      <c r="P6513">
        <v>-2.8112720000000001E-2</v>
      </c>
      <c r="Q6513">
        <v>0.325681099999999</v>
      </c>
      <c r="R6513">
        <v>0.94506159999999995</v>
      </c>
      <c r="S6513">
        <v>-0.35591129999999999</v>
      </c>
      <c r="T6513">
        <v>1.5912959999999901</v>
      </c>
      <c r="U6513">
        <v>2.6155089999999999</v>
      </c>
      <c r="V6513">
        <v>-7.5244749999999999E-2</v>
      </c>
      <c r="W6513">
        <v>0.3371403</v>
      </c>
      <c r="X6513">
        <v>0.93844260000000002</v>
      </c>
      <c r="Y6513">
        <v>-0.16555400000000001</v>
      </c>
      <c r="Z6513">
        <v>0.52360739999999995</v>
      </c>
      <c r="AA6513">
        <v>0.83571949999999995</v>
      </c>
      <c r="AB6513">
        <v>31</v>
      </c>
      <c r="AC6513">
        <v>-0.35591129999999999</v>
      </c>
      <c r="AD6513">
        <v>1.5912959999999901</v>
      </c>
      <c r="AE6513">
        <v>2.6155089999999999</v>
      </c>
      <c r="AF6513">
        <v>-0.35818517448847997</v>
      </c>
      <c r="AG6513">
        <v>1.5912959999999901</v>
      </c>
      <c r="AH6513">
        <v>1.9025863290360501</v>
      </c>
      <c r="AI6513">
        <v>50.581623410225703</v>
      </c>
      <c r="AJ6513">
        <v>100.661839642975</v>
      </c>
      <c r="AK6513">
        <v>2.5060635104231102</v>
      </c>
      <c r="AL6513">
        <v>70.297257491043695</v>
      </c>
      <c r="AM6513">
        <v>94.584194388879197</v>
      </c>
      <c r="AN6513">
        <v>0.99999993389070396</v>
      </c>
    </row>
    <row r="6514" spans="1:40" x14ac:dyDescent="0.25">
      <c r="A6514" t="str">
        <f>"20190303162946309"</f>
        <v>20190303162946309</v>
      </c>
      <c r="B6514" t="str">
        <f>"1551601786298414"</f>
        <v>1551601786298414</v>
      </c>
      <c r="C6514" t="s">
        <v>40</v>
      </c>
      <c r="D6514">
        <v>4.5710819999999996</v>
      </c>
      <c r="E6514">
        <v>0.46373760000000003</v>
      </c>
      <c r="F6514" t="s">
        <v>45</v>
      </c>
      <c r="G6514">
        <v>0</v>
      </c>
      <c r="H6514">
        <v>0</v>
      </c>
      <c r="I6514">
        <v>0</v>
      </c>
      <c r="J6514">
        <v>-188.74539999999999</v>
      </c>
      <c r="K6514">
        <v>1.1210960000000001</v>
      </c>
      <c r="L6514">
        <v>-7.8330989999999998</v>
      </c>
      <c r="M6514">
        <v>5.1557190000000003E-2</v>
      </c>
      <c r="N6514">
        <v>-1.197756E-2</v>
      </c>
      <c r="O6514">
        <v>0.99859819999999999</v>
      </c>
      <c r="P6514">
        <v>-2.905872E-2</v>
      </c>
      <c r="Q6514">
        <v>0.32731670000000002</v>
      </c>
      <c r="R6514">
        <v>0.94446779999999997</v>
      </c>
      <c r="S6514">
        <v>-0.36087039999999998</v>
      </c>
      <c r="T6514">
        <v>1.5892520000000001</v>
      </c>
      <c r="U6514">
        <v>2.6159970000000001</v>
      </c>
      <c r="V6514">
        <v>-7.7040689999999995E-2</v>
      </c>
      <c r="W6514">
        <v>0.338727099999999</v>
      </c>
      <c r="X6514">
        <v>0.93772520000000004</v>
      </c>
      <c r="Y6514">
        <v>-0.16788599999999901</v>
      </c>
      <c r="Z6514">
        <v>0.52287659999999903</v>
      </c>
      <c r="AA6514">
        <v>0.83571189999999995</v>
      </c>
      <c r="AB6514">
        <v>31</v>
      </c>
      <c r="AC6514">
        <v>-0.36087039999999998</v>
      </c>
      <c r="AD6514">
        <v>1.5892520000000001</v>
      </c>
      <c r="AE6514">
        <v>2.6159970000000001</v>
      </c>
      <c r="AF6514">
        <v>-0.36358893595018599</v>
      </c>
      <c r="AG6514">
        <v>1.5892520000000001</v>
      </c>
      <c r="AH6514">
        <v>1.90423499901534</v>
      </c>
      <c r="AI6514">
        <v>50.655832351081997</v>
      </c>
      <c r="AJ6514">
        <v>100.80977429554</v>
      </c>
      <c r="AK6514">
        <v>2.5067967140006302</v>
      </c>
      <c r="AL6514">
        <v>70.200657534517106</v>
      </c>
      <c r="AM6514">
        <v>94.696701134471098</v>
      </c>
      <c r="AN6514">
        <v>0.99999993345256</v>
      </c>
    </row>
    <row r="6515" spans="1:40" x14ac:dyDescent="0.25">
      <c r="A6515" t="str">
        <f>"20190303162946331"</f>
        <v>20190303162946331</v>
      </c>
      <c r="B6515" t="str">
        <f>"1551601786328671"</f>
        <v>1551601786328671</v>
      </c>
      <c r="C6515" t="s">
        <v>40</v>
      </c>
      <c r="D6515">
        <v>4.583056</v>
      </c>
      <c r="E6515">
        <v>0.46384049999999999</v>
      </c>
      <c r="F6515" t="s">
        <v>45</v>
      </c>
      <c r="G6515">
        <v>0</v>
      </c>
      <c r="H6515">
        <v>0</v>
      </c>
      <c r="I6515">
        <v>0</v>
      </c>
      <c r="J6515">
        <v>-188.7287</v>
      </c>
      <c r="K6515">
        <v>1.1213169999999999</v>
      </c>
      <c r="L6515">
        <v>-7.5217589999999896</v>
      </c>
      <c r="M6515">
        <v>5.2055980000000002E-2</v>
      </c>
      <c r="N6515">
        <v>-1.1975589999999999E-2</v>
      </c>
      <c r="O6515">
        <v>0.99857229999999997</v>
      </c>
      <c r="P6515">
        <v>-2.935749E-2</v>
      </c>
      <c r="Q6515">
        <v>0.32905879999999998</v>
      </c>
      <c r="R6515">
        <v>0.94385300000000005</v>
      </c>
      <c r="S6515">
        <v>-0.36396790000000001</v>
      </c>
      <c r="T6515">
        <v>1.594401</v>
      </c>
      <c r="U6515">
        <v>2.6126399999999999</v>
      </c>
      <c r="V6515">
        <v>-7.7940090000000004E-2</v>
      </c>
      <c r="W6515">
        <v>0.34042289999999997</v>
      </c>
      <c r="X6515">
        <v>0.9370366</v>
      </c>
      <c r="Y6515">
        <v>-0.16936619999999999</v>
      </c>
      <c r="Z6515">
        <v>0.5244375</v>
      </c>
      <c r="AA6515">
        <v>0.83443419999999902</v>
      </c>
      <c r="AB6515">
        <v>31</v>
      </c>
      <c r="AC6515">
        <v>-0.36396790000000001</v>
      </c>
      <c r="AD6515">
        <v>1.594401</v>
      </c>
      <c r="AE6515">
        <v>2.6126399999999999</v>
      </c>
      <c r="AF6515">
        <v>-0.36583592758732097</v>
      </c>
      <c r="AG6515">
        <v>1.594401</v>
      </c>
      <c r="AH6515">
        <v>1.8970831672081001</v>
      </c>
      <c r="AI6515">
        <v>50.469043418325398</v>
      </c>
      <c r="AJ6515">
        <v>100.9150056038</v>
      </c>
      <c r="AK6515">
        <v>2.5049700632979599</v>
      </c>
      <c r="AL6515">
        <v>70.097358471391203</v>
      </c>
      <c r="AM6515">
        <v>94.754758055628898</v>
      </c>
      <c r="AN6515">
        <v>0.99999999910658899</v>
      </c>
    </row>
    <row r="6516" spans="1:40" x14ac:dyDescent="0.25">
      <c r="A6516" t="str">
        <f>"20190303162946353"</f>
        <v>20190303162946353</v>
      </c>
      <c r="B6516" t="str">
        <f>"1551601786348190"</f>
        <v>1551601786348190</v>
      </c>
      <c r="C6516" t="s">
        <v>40</v>
      </c>
      <c r="D6516">
        <v>4.5872419999999998</v>
      </c>
      <c r="E6516">
        <v>0.46378789999999998</v>
      </c>
      <c r="F6516" t="s">
        <v>45</v>
      </c>
      <c r="G6516">
        <v>0</v>
      </c>
      <c r="H6516">
        <v>0</v>
      </c>
      <c r="I6516">
        <v>0</v>
      </c>
      <c r="J6516">
        <v>-188.7123</v>
      </c>
      <c r="K6516">
        <v>1.121505</v>
      </c>
      <c r="L6516">
        <v>-7.2161869999999997</v>
      </c>
      <c r="M6516">
        <v>5.2311459999999997E-2</v>
      </c>
      <c r="N6516">
        <v>-1.197374E-2</v>
      </c>
      <c r="O6516">
        <v>0.99855910000000003</v>
      </c>
      <c r="P6516">
        <v>-3.0662720000000001E-2</v>
      </c>
      <c r="Q6516">
        <v>0.32895590000000002</v>
      </c>
      <c r="R6516">
        <v>0.9438474</v>
      </c>
      <c r="S6516">
        <v>-0.36428830000000001</v>
      </c>
      <c r="T6516">
        <v>1.5988770000000001</v>
      </c>
      <c r="U6516">
        <v>2.6097109999999999</v>
      </c>
      <c r="V6516">
        <v>-7.9636750000000006E-2</v>
      </c>
      <c r="W6516">
        <v>0.34028389999999997</v>
      </c>
      <c r="X6516">
        <v>0.93694440000000001</v>
      </c>
      <c r="Y6516">
        <v>-0.16972590000000001</v>
      </c>
      <c r="Z6516">
        <v>0.52586560000000004</v>
      </c>
      <c r="AA6516">
        <v>0.83346180000000003</v>
      </c>
      <c r="AB6516">
        <v>31</v>
      </c>
      <c r="AC6516">
        <v>-0.36428830000000001</v>
      </c>
      <c r="AD6516">
        <v>1.5988770000000001</v>
      </c>
      <c r="AE6516">
        <v>2.6097109999999999</v>
      </c>
      <c r="AF6516">
        <v>-0.36567976238009298</v>
      </c>
      <c r="AG6516">
        <v>1.5988770000000001</v>
      </c>
      <c r="AH6516">
        <v>1.8908863283325299</v>
      </c>
      <c r="AI6516">
        <v>50.3009449694338</v>
      </c>
      <c r="AJ6516">
        <v>100.945351819555</v>
      </c>
      <c r="AK6516">
        <v>2.50311415169549</v>
      </c>
      <c r="AL6516">
        <v>70.105827784762397</v>
      </c>
      <c r="AM6516">
        <v>94.858248966047498</v>
      </c>
      <c r="AN6516">
        <v>0.99999997662056594</v>
      </c>
    </row>
    <row r="6517" spans="1:40" x14ac:dyDescent="0.25">
      <c r="A6517" t="str">
        <f>"20190303162946373"</f>
        <v>20190303162946373</v>
      </c>
      <c r="B6517" t="str">
        <f>"1551601786368687"</f>
        <v>1551601786368687</v>
      </c>
      <c r="C6517" t="s">
        <v>40</v>
      </c>
      <c r="D6517">
        <v>4.6026199999999999</v>
      </c>
      <c r="E6517">
        <v>0.46379579999999998</v>
      </c>
      <c r="F6517" t="s">
        <v>45</v>
      </c>
      <c r="G6517">
        <v>0</v>
      </c>
      <c r="H6517">
        <v>0</v>
      </c>
      <c r="I6517">
        <v>0</v>
      </c>
      <c r="J6517">
        <v>-188.69730000000001</v>
      </c>
      <c r="K6517">
        <v>1.121669</v>
      </c>
      <c r="L6517">
        <v>-6.9318850000000003</v>
      </c>
      <c r="M6517">
        <v>5.23285E-2</v>
      </c>
      <c r="N6517">
        <v>-1.1972200000000001E-2</v>
      </c>
      <c r="O6517">
        <v>0.99855819999999995</v>
      </c>
      <c r="P6517">
        <v>-3.1431130000000002E-2</v>
      </c>
      <c r="Q6517">
        <v>0.32851059999999999</v>
      </c>
      <c r="R6517">
        <v>0.94397719999999896</v>
      </c>
      <c r="S6517">
        <v>-0.36900329999999998</v>
      </c>
      <c r="T6517">
        <v>1.597661</v>
      </c>
      <c r="U6517">
        <v>2.6096499999999998</v>
      </c>
      <c r="V6517">
        <v>-8.0570100000000006E-2</v>
      </c>
      <c r="W6517">
        <v>0.33980500000000002</v>
      </c>
      <c r="X6517">
        <v>0.93703840000000005</v>
      </c>
      <c r="Y6517">
        <v>-0.17125989999999999</v>
      </c>
      <c r="Z6517">
        <v>0.52547109999999997</v>
      </c>
      <c r="AA6517">
        <v>0.83339680000000005</v>
      </c>
      <c r="AB6517">
        <v>31</v>
      </c>
      <c r="AC6517">
        <v>-0.36900329999999998</v>
      </c>
      <c r="AD6517">
        <v>1.597661</v>
      </c>
      <c r="AE6517">
        <v>2.6096499999999998</v>
      </c>
      <c r="AF6517">
        <v>-0.36934712277818899</v>
      </c>
      <c r="AG6517">
        <v>1.597661</v>
      </c>
      <c r="AH6517">
        <v>1.8916589180888801</v>
      </c>
      <c r="AI6517">
        <v>50.343671650886897</v>
      </c>
      <c r="AJ6517">
        <v>101.048028562559</v>
      </c>
      <c r="AK6517">
        <v>2.5034598919117301</v>
      </c>
      <c r="AL6517">
        <v>70.135005335180296</v>
      </c>
      <c r="AM6517">
        <v>94.914420150491395</v>
      </c>
      <c r="AN6517">
        <v>0.99999997105678395</v>
      </c>
    </row>
    <row r="6518" spans="1:40" x14ac:dyDescent="0.25">
      <c r="A6518" t="str">
        <f>"20190303162946396"</f>
        <v>20190303162946396</v>
      </c>
      <c r="B6518" t="str">
        <f>"1551601786388206"</f>
        <v>1551601786388206</v>
      </c>
      <c r="C6518" t="s">
        <v>40</v>
      </c>
      <c r="D6518">
        <v>4.6684900000000003</v>
      </c>
      <c r="E6518">
        <v>0.46387840000000002</v>
      </c>
      <c r="F6518" t="s">
        <v>45</v>
      </c>
      <c r="G6518">
        <v>0</v>
      </c>
      <c r="H6518">
        <v>0</v>
      </c>
      <c r="I6518">
        <v>0</v>
      </c>
      <c r="J6518">
        <v>-188.68029999999999</v>
      </c>
      <c r="K6518">
        <v>1.121874</v>
      </c>
      <c r="L6518">
        <v>-6.6074520000000003</v>
      </c>
      <c r="M6518">
        <v>5.2087170000000002E-2</v>
      </c>
      <c r="N6518">
        <v>-1.197112E-2</v>
      </c>
      <c r="O6518">
        <v>0.99857079999999998</v>
      </c>
      <c r="P6518">
        <v>-3.1478600000000002E-2</v>
      </c>
      <c r="Q6518">
        <v>0.32741920000000002</v>
      </c>
      <c r="R6518">
        <v>0.94435469999999999</v>
      </c>
      <c r="S6518">
        <v>-0.37110900000000002</v>
      </c>
      <c r="T6518">
        <v>1.5950279999999999</v>
      </c>
      <c r="U6518">
        <v>2.6105960000000001</v>
      </c>
      <c r="V6518">
        <v>-8.0585320000000002E-2</v>
      </c>
      <c r="W6518">
        <v>0.33867599999999998</v>
      </c>
      <c r="X6518">
        <v>0.9374458</v>
      </c>
      <c r="Y6518">
        <v>-0.17170879999999999</v>
      </c>
      <c r="Z6518">
        <v>0.52468939999999997</v>
      </c>
      <c r="AA6518">
        <v>0.8337968</v>
      </c>
      <c r="AB6518">
        <v>31</v>
      </c>
      <c r="AC6518">
        <v>-0.37110900000000002</v>
      </c>
      <c r="AD6518">
        <v>1.5950279999999999</v>
      </c>
      <c r="AE6518">
        <v>2.6105960000000001</v>
      </c>
      <c r="AF6518">
        <v>-0.37088479604265601</v>
      </c>
      <c r="AG6518">
        <v>1.5950279999999999</v>
      </c>
      <c r="AH6518">
        <v>1.8945094846180801</v>
      </c>
      <c r="AI6518">
        <v>50.435210299566599</v>
      </c>
      <c r="AJ6518">
        <v>101.07660760572701</v>
      </c>
      <c r="AK6518">
        <v>2.5041637406582402</v>
      </c>
      <c r="AL6518">
        <v>70.203771208474507</v>
      </c>
      <c r="AM6518">
        <v>94.913218278791703</v>
      </c>
      <c r="AN6518">
        <v>1.0000000273565699</v>
      </c>
    </row>
    <row r="6519" spans="1:40" x14ac:dyDescent="0.25">
      <c r="A6519" t="str">
        <f>"20190303162946419"</f>
        <v>20190303162946419</v>
      </c>
      <c r="B6519" t="str">
        <f>"1551601786408703"</f>
        <v>1551601786408703</v>
      </c>
      <c r="C6519" t="s">
        <v>40</v>
      </c>
      <c r="D6519">
        <v>4.6448019999999897</v>
      </c>
      <c r="E6519">
        <v>0.46395629999999999</v>
      </c>
      <c r="F6519" t="s">
        <v>45</v>
      </c>
      <c r="G6519">
        <v>0</v>
      </c>
      <c r="H6519">
        <v>0</v>
      </c>
      <c r="I6519">
        <v>0</v>
      </c>
      <c r="J6519">
        <v>-188.66419999999999</v>
      </c>
      <c r="K6519">
        <v>1.1220859999999999</v>
      </c>
      <c r="L6519">
        <v>-6.2915340000000004</v>
      </c>
      <c r="M6519">
        <v>5.1596250000000003E-2</v>
      </c>
      <c r="N6519">
        <v>-1.1970990000000001E-2</v>
      </c>
      <c r="O6519">
        <v>0.99859629999999999</v>
      </c>
      <c r="P6519">
        <v>-3.1347460000000001E-2</v>
      </c>
      <c r="Q6519">
        <v>0.32623380000000002</v>
      </c>
      <c r="R6519">
        <v>0.94476919999999998</v>
      </c>
      <c r="S6519">
        <v>-0.36979679999999998</v>
      </c>
      <c r="T6519">
        <v>1.5925400000000001</v>
      </c>
      <c r="U6519">
        <v>2.6123050000000001</v>
      </c>
      <c r="V6519">
        <v>-8.0194059999999998E-2</v>
      </c>
      <c r="W6519">
        <v>0.33745310000000001</v>
      </c>
      <c r="X6519">
        <v>0.93792019999999998</v>
      </c>
      <c r="Y6519">
        <v>-0.17080219999999999</v>
      </c>
      <c r="Z6519">
        <v>0.52394039999999997</v>
      </c>
      <c r="AA6519">
        <v>0.83445380000000002</v>
      </c>
      <c r="AB6519">
        <v>31</v>
      </c>
      <c r="AC6519">
        <v>-0.36979679999999998</v>
      </c>
      <c r="AD6519">
        <v>1.5925400000000001</v>
      </c>
      <c r="AE6519">
        <v>2.6123050000000001</v>
      </c>
      <c r="AF6519">
        <v>-0.36947982039938898</v>
      </c>
      <c r="AG6519">
        <v>1.5925400000000001</v>
      </c>
      <c r="AH6519">
        <v>1.8981549657230601</v>
      </c>
      <c r="AI6519">
        <v>50.527279618158303</v>
      </c>
      <c r="AJ6519">
        <v>101.015003874737</v>
      </c>
      <c r="AK6519">
        <v>2.5051329831331199</v>
      </c>
      <c r="AL6519">
        <v>70.278220914837505</v>
      </c>
      <c r="AM6519">
        <v>94.8870182981357</v>
      </c>
      <c r="AN6519">
        <v>0.99999999176346599</v>
      </c>
    </row>
    <row r="6520" spans="1:40" x14ac:dyDescent="0.25">
      <c r="A6520" t="str">
        <f>"20190303162946441"</f>
        <v>20190303162946441</v>
      </c>
      <c r="B6520" t="str">
        <f>"1551601786437982"</f>
        <v>1551601786437982</v>
      </c>
      <c r="C6520" t="s">
        <v>40</v>
      </c>
      <c r="D6520">
        <v>4.6855510000000002</v>
      </c>
      <c r="E6520">
        <v>0.4640957</v>
      </c>
      <c r="F6520" t="s">
        <v>45</v>
      </c>
      <c r="G6520">
        <v>0</v>
      </c>
      <c r="H6520">
        <v>0</v>
      </c>
      <c r="I6520">
        <v>0</v>
      </c>
      <c r="J6520">
        <v>-188.64879999999999</v>
      </c>
      <c r="K6520">
        <v>1.122287</v>
      </c>
      <c r="L6520">
        <v>-5.9821780000000002</v>
      </c>
      <c r="M6520">
        <v>5.0883360000000002E-2</v>
      </c>
      <c r="N6520">
        <v>-1.1971570000000001E-2</v>
      </c>
      <c r="O6520">
        <v>0.99863279999999999</v>
      </c>
      <c r="P6520">
        <v>-3.0502270000000001E-2</v>
      </c>
      <c r="Q6520">
        <v>0.3222682</v>
      </c>
      <c r="R6520">
        <v>0.94615689999999997</v>
      </c>
      <c r="S6520">
        <v>-0.36802669999999998</v>
      </c>
      <c r="T6520">
        <v>1.5896399999999999</v>
      </c>
      <c r="U6520">
        <v>2.614258</v>
      </c>
      <c r="V6520">
        <v>-7.8923289999999993E-2</v>
      </c>
      <c r="W6520">
        <v>0.33346500000000001</v>
      </c>
      <c r="X6520">
        <v>0.93945310000000004</v>
      </c>
      <c r="Y6520">
        <v>-0.16953099999999999</v>
      </c>
      <c r="Z6520">
        <v>0.52308940000000004</v>
      </c>
      <c r="AA6520">
        <v>0.8352465</v>
      </c>
      <c r="AB6520">
        <v>31</v>
      </c>
      <c r="AC6520">
        <v>-0.36802669999999998</v>
      </c>
      <c r="AD6520">
        <v>1.5896399999999999</v>
      </c>
      <c r="AE6520">
        <v>2.614258</v>
      </c>
      <c r="AF6520">
        <v>-0.36738363964924298</v>
      </c>
      <c r="AG6520">
        <v>1.5896399999999999</v>
      </c>
      <c r="AH6520">
        <v>1.90240891533882</v>
      </c>
      <c r="AI6520">
        <v>50.633352465695197</v>
      </c>
      <c r="AJ6520">
        <v>100.93012438774799</v>
      </c>
      <c r="AK6520">
        <v>2.5062094384633</v>
      </c>
      <c r="AL6520">
        <v>70.520776786191405</v>
      </c>
      <c r="AM6520">
        <v>94.802132304340304</v>
      </c>
      <c r="AN6520">
        <v>0.99999995951451603</v>
      </c>
    </row>
    <row r="6521" spans="1:40" x14ac:dyDescent="0.25">
      <c r="A6521" t="str">
        <f>"20190303162946465"</f>
        <v>20190303162946465</v>
      </c>
      <c r="B6521" t="str">
        <f>"1551601786458479"</f>
        <v>1551601786458479</v>
      </c>
      <c r="C6521" t="s">
        <v>40</v>
      </c>
      <c r="D6521">
        <v>4.7154230000000004</v>
      </c>
      <c r="E6521">
        <v>0.46413739999999998</v>
      </c>
      <c r="F6521" t="s">
        <v>45</v>
      </c>
      <c r="G6521">
        <v>0</v>
      </c>
      <c r="H6521">
        <v>0</v>
      </c>
      <c r="I6521">
        <v>0</v>
      </c>
      <c r="J6521">
        <v>-188.63310000000001</v>
      </c>
      <c r="K6521">
        <v>1.122471</v>
      </c>
      <c r="L6521">
        <v>-5.6581419999999998</v>
      </c>
      <c r="M6521">
        <v>4.9901529999999999E-2</v>
      </c>
      <c r="N6521">
        <v>-1.197253E-2</v>
      </c>
      <c r="O6521">
        <v>0.99868239999999997</v>
      </c>
      <c r="P6521">
        <v>-3.0668830000000001E-2</v>
      </c>
      <c r="Q6521">
        <v>0.31569249999999999</v>
      </c>
      <c r="R6521">
        <v>0.94836569999999998</v>
      </c>
      <c r="S6521">
        <v>-0.36376950000000002</v>
      </c>
      <c r="T6521">
        <v>1.578757</v>
      </c>
      <c r="U6521">
        <v>2.6212460000000002</v>
      </c>
      <c r="V6521">
        <v>-7.8434470000000006E-2</v>
      </c>
      <c r="W6521">
        <v>0.32687840000000001</v>
      </c>
      <c r="X6521">
        <v>0.94180600000000003</v>
      </c>
      <c r="Y6521">
        <v>-0.16720070000000001</v>
      </c>
      <c r="Z6521">
        <v>0.51973309999999995</v>
      </c>
      <c r="AA6521">
        <v>0.83780750000000004</v>
      </c>
      <c r="AB6521">
        <v>31</v>
      </c>
      <c r="AC6521">
        <v>-0.36376950000000002</v>
      </c>
      <c r="AD6521">
        <v>1.578757</v>
      </c>
      <c r="AE6521">
        <v>2.6212460000000002</v>
      </c>
      <c r="AF6521">
        <v>-0.364428843440675</v>
      </c>
      <c r="AG6521">
        <v>1.578757</v>
      </c>
      <c r="AH6521">
        <v>1.9174143279826801</v>
      </c>
      <c r="AI6521">
        <v>51.030690958118797</v>
      </c>
      <c r="AJ6521">
        <v>100.761431419451</v>
      </c>
      <c r="AK6521">
        <v>2.5103306061420998</v>
      </c>
      <c r="AL6521">
        <v>70.920583771782802</v>
      </c>
      <c r="AM6521">
        <v>94.760659317229795</v>
      </c>
      <c r="AN6521">
        <v>0.99999999805337003</v>
      </c>
    </row>
    <row r="6522" spans="1:40" x14ac:dyDescent="0.25">
      <c r="A6522" t="str">
        <f>"20190303162946487"</f>
        <v>20190303162946487</v>
      </c>
      <c r="B6522" t="str">
        <f>"1551601786477998"</f>
        <v>1551601786477998</v>
      </c>
      <c r="C6522" t="s">
        <v>40</v>
      </c>
      <c r="D6522">
        <v>4.6391530000000003</v>
      </c>
      <c r="E6522">
        <v>0.46412779999999998</v>
      </c>
      <c r="F6522" t="s">
        <v>45</v>
      </c>
      <c r="G6522">
        <v>0</v>
      </c>
      <c r="H6522">
        <v>0</v>
      </c>
      <c r="I6522">
        <v>0</v>
      </c>
      <c r="J6522">
        <v>-188.61850000000001</v>
      </c>
      <c r="K6522">
        <v>1.1226069999999999</v>
      </c>
      <c r="L6522">
        <v>-5.3428959999999996</v>
      </c>
      <c r="M6522">
        <v>4.874597E-2</v>
      </c>
      <c r="N6522">
        <v>-1.197344E-2</v>
      </c>
      <c r="O6522">
        <v>0.99873940000000005</v>
      </c>
      <c r="P6522">
        <v>-3.0787519999999999E-2</v>
      </c>
      <c r="Q6522">
        <v>0.30668849999999998</v>
      </c>
      <c r="R6522">
        <v>0.95131189999999999</v>
      </c>
      <c r="S6522">
        <v>-0.364624</v>
      </c>
      <c r="T6522">
        <v>1.5608089999999999</v>
      </c>
      <c r="U6522">
        <v>2.6319889999999999</v>
      </c>
      <c r="V6522">
        <v>-7.7723230000000004E-2</v>
      </c>
      <c r="W6522">
        <v>0.31788060000000001</v>
      </c>
      <c r="X6522">
        <v>0.94493970000000005</v>
      </c>
      <c r="Y6522">
        <v>-0.16632939999999999</v>
      </c>
      <c r="Z6522">
        <v>0.51405630000000002</v>
      </c>
      <c r="AA6522">
        <v>0.84147530000000004</v>
      </c>
      <c r="AB6522">
        <v>31</v>
      </c>
      <c r="AC6522">
        <v>-0.364624</v>
      </c>
      <c r="AD6522">
        <v>1.5608089999999999</v>
      </c>
      <c r="AE6522">
        <v>2.6319889999999999</v>
      </c>
      <c r="AF6522">
        <v>-0.36615775135043199</v>
      </c>
      <c r="AG6522">
        <v>1.5608089999999999</v>
      </c>
      <c r="AH6522">
        <v>1.94126223374452</v>
      </c>
      <c r="AI6522">
        <v>51.6882298182895</v>
      </c>
      <c r="AJ6522">
        <v>100.681545308832</v>
      </c>
      <c r="AK6522">
        <v>2.5176765665028902</v>
      </c>
      <c r="AL6522">
        <v>71.465199249807895</v>
      </c>
      <c r="AM6522">
        <v>94.702110652137705</v>
      </c>
      <c r="AN6522">
        <v>1.00000000648704</v>
      </c>
    </row>
    <row r="6523" spans="1:40" x14ac:dyDescent="0.25">
      <c r="A6523" t="str">
        <f>"20190303162946510"</f>
        <v>20190303162946510</v>
      </c>
      <c r="B6523" t="str">
        <f>"1551601786498494"</f>
        <v>1551601786498494</v>
      </c>
      <c r="C6523" t="s">
        <v>40</v>
      </c>
      <c r="D6523">
        <v>4.7384690000000003</v>
      </c>
      <c r="E6523">
        <v>0.46410119999999999</v>
      </c>
      <c r="F6523" t="s">
        <v>45</v>
      </c>
      <c r="G6523">
        <v>0</v>
      </c>
      <c r="H6523">
        <v>0</v>
      </c>
      <c r="I6523">
        <v>0</v>
      </c>
      <c r="J6523">
        <v>-188.6046</v>
      </c>
      <c r="K6523">
        <v>1.1226860000000001</v>
      </c>
      <c r="L6523">
        <v>-5.0322269999999998</v>
      </c>
      <c r="M6523">
        <v>4.7475000000000003E-2</v>
      </c>
      <c r="N6523">
        <v>-1.1973930000000001E-2</v>
      </c>
      <c r="O6523">
        <v>0.99880060000000004</v>
      </c>
      <c r="P6523">
        <v>-3.1818810000000003E-2</v>
      </c>
      <c r="Q6523">
        <v>0.29530699999999999</v>
      </c>
      <c r="R6523">
        <v>0.95487239999999995</v>
      </c>
      <c r="S6523">
        <v>-0.36618040000000002</v>
      </c>
      <c r="T6523">
        <v>1.5354749999999999</v>
      </c>
      <c r="U6523">
        <v>2.6466669999999999</v>
      </c>
      <c r="V6523">
        <v>-7.779229E-2</v>
      </c>
      <c r="W6523">
        <v>0.30651800000000001</v>
      </c>
      <c r="X6523">
        <v>0.94868070000000004</v>
      </c>
      <c r="Y6523">
        <v>-0.16557369999999999</v>
      </c>
      <c r="Z6523">
        <v>0.50602849999999999</v>
      </c>
      <c r="AA6523">
        <v>0.84647530000000004</v>
      </c>
      <c r="AB6523">
        <v>31</v>
      </c>
      <c r="AC6523">
        <v>-0.36618040000000002</v>
      </c>
      <c r="AD6523">
        <v>1.5354749999999999</v>
      </c>
      <c r="AE6523">
        <v>2.6466669999999999</v>
      </c>
      <c r="AF6523">
        <v>-0.36942256519358402</v>
      </c>
      <c r="AG6523">
        <v>1.5354749999999999</v>
      </c>
      <c r="AH6523">
        <v>1.9742775064573199</v>
      </c>
      <c r="AI6523">
        <v>52.603097041142298</v>
      </c>
      <c r="AJ6523">
        <v>100.598501935095</v>
      </c>
      <c r="AK6523">
        <v>2.52822629125688</v>
      </c>
      <c r="AL6523">
        <v>72.150486203394607</v>
      </c>
      <c r="AM6523">
        <v>94.687794199768106</v>
      </c>
      <c r="AN6523">
        <v>0.99999999762996705</v>
      </c>
    </row>
    <row r="6524" spans="1:40" x14ac:dyDescent="0.25">
      <c r="A6524" t="str">
        <f>"20190303162946532"</f>
        <v>20190303162946532</v>
      </c>
      <c r="B6524" t="str">
        <f>"1551601786528751"</f>
        <v>1551601786528751</v>
      </c>
      <c r="C6524" t="s">
        <v>40</v>
      </c>
      <c r="D6524">
        <v>4.7473429999999999</v>
      </c>
      <c r="E6524">
        <v>0.46417589999999997</v>
      </c>
      <c r="F6524" t="s">
        <v>45</v>
      </c>
      <c r="G6524">
        <v>0</v>
      </c>
      <c r="H6524">
        <v>0</v>
      </c>
      <c r="I6524">
        <v>0</v>
      </c>
      <c r="J6524">
        <v>-188.59139999999999</v>
      </c>
      <c r="K6524">
        <v>1.1227129999999901</v>
      </c>
      <c r="L6524">
        <v>-4.7262570000000004</v>
      </c>
      <c r="M6524">
        <v>4.6135660000000002E-2</v>
      </c>
      <c r="N6524">
        <v>-1.1973950000000001E-2</v>
      </c>
      <c r="O6524">
        <v>0.99886339999999996</v>
      </c>
      <c r="P6524">
        <v>-3.2373350000000002E-2</v>
      </c>
      <c r="Q6524">
        <v>0.280624599999999</v>
      </c>
      <c r="R6524">
        <v>0.95927150000000005</v>
      </c>
      <c r="S6524">
        <v>-0.3702087</v>
      </c>
      <c r="T6524">
        <v>1.503755</v>
      </c>
      <c r="U6524">
        <v>2.6643979999999998</v>
      </c>
      <c r="V6524">
        <v>-7.7306169999999994E-2</v>
      </c>
      <c r="W6524">
        <v>0.29187429999999998</v>
      </c>
      <c r="X6524">
        <v>0.95332740000000005</v>
      </c>
      <c r="Y6524">
        <v>-0.165542299999999</v>
      </c>
      <c r="Z6524">
        <v>0.49592920000000001</v>
      </c>
      <c r="AA6524">
        <v>0.85243769999999996</v>
      </c>
      <c r="AB6524">
        <v>31</v>
      </c>
      <c r="AC6524">
        <v>-0.3702087</v>
      </c>
      <c r="AD6524">
        <v>1.503755</v>
      </c>
      <c r="AE6524">
        <v>2.6643979999999998</v>
      </c>
      <c r="AF6524">
        <v>-0.37542602576495798</v>
      </c>
      <c r="AG6524">
        <v>1.503755</v>
      </c>
      <c r="AH6524">
        <v>2.0148400317525401</v>
      </c>
      <c r="AI6524">
        <v>53.732076741893103</v>
      </c>
      <c r="AJ6524">
        <v>100.55490646873599</v>
      </c>
      <c r="AK6524">
        <v>2.5420078981779799</v>
      </c>
      <c r="AL6524">
        <v>73.029798848750602</v>
      </c>
      <c r="AM6524">
        <v>94.636021925093999</v>
      </c>
      <c r="AN6524">
        <v>0.99999999125565897</v>
      </c>
    </row>
    <row r="6525" spans="1:40" x14ac:dyDescent="0.25">
      <c r="A6525" t="str">
        <f>"20190303162946552"</f>
        <v>20190303162946552</v>
      </c>
      <c r="B6525" t="str">
        <f>"1551601786548272"</f>
        <v>1551601786548272</v>
      </c>
      <c r="C6525" t="s">
        <v>40</v>
      </c>
      <c r="D6525">
        <v>4.7952719999999998</v>
      </c>
      <c r="E6525">
        <v>0.47514960000000001</v>
      </c>
      <c r="F6525" t="s">
        <v>45</v>
      </c>
      <c r="G6525">
        <v>0</v>
      </c>
      <c r="H6525">
        <v>0</v>
      </c>
      <c r="I6525">
        <v>0</v>
      </c>
      <c r="J6525">
        <v>-188.5796</v>
      </c>
      <c r="K6525">
        <v>1.122681</v>
      </c>
      <c r="L6525">
        <v>-4.443085</v>
      </c>
      <c r="M6525">
        <v>4.4849760000000002E-2</v>
      </c>
      <c r="N6525">
        <v>-1.197373E-2</v>
      </c>
      <c r="O6525">
        <v>0.99892199999999998</v>
      </c>
      <c r="P6525">
        <v>-3.2337780000000003E-2</v>
      </c>
      <c r="Q6525">
        <v>0.25897609999999999</v>
      </c>
      <c r="R6525">
        <v>0.96534219999999904</v>
      </c>
      <c r="S6525">
        <v>-0.37280269999999999</v>
      </c>
      <c r="T6525">
        <v>1.4629700000000001</v>
      </c>
      <c r="U6525">
        <v>2.6868289999999999</v>
      </c>
      <c r="V6525">
        <v>-7.6297840000000006E-2</v>
      </c>
      <c r="W6525">
        <v>0.27029239999999999</v>
      </c>
      <c r="X6525">
        <v>0.95975029999999995</v>
      </c>
      <c r="Y6525">
        <v>-0.1651039</v>
      </c>
      <c r="Z6525">
        <v>0.48291299999999998</v>
      </c>
      <c r="AA6525">
        <v>0.85996260000000002</v>
      </c>
      <c r="AB6525">
        <v>31</v>
      </c>
      <c r="AC6525">
        <v>-0.37280269999999999</v>
      </c>
      <c r="AD6525">
        <v>1.4629700000000001</v>
      </c>
      <c r="AE6525">
        <v>2.6868289999999999</v>
      </c>
      <c r="AF6525">
        <v>-0.38186429658514598</v>
      </c>
      <c r="AG6525">
        <v>1.4629700000000001</v>
      </c>
      <c r="AH6525">
        <v>2.0663502039458201</v>
      </c>
      <c r="AI6525">
        <v>55.154031252920198</v>
      </c>
      <c r="AJ6525">
        <v>100.470212311759</v>
      </c>
      <c r="AK6525">
        <v>2.5604501024728799</v>
      </c>
      <c r="AL6525">
        <v>74.3183327508426</v>
      </c>
      <c r="AM6525">
        <v>94.545317452063202</v>
      </c>
      <c r="AN6525">
        <v>0.99999999011825702</v>
      </c>
    </row>
    <row r="6526" spans="1:40" x14ac:dyDescent="0.25">
      <c r="A6526" t="str">
        <f>"20190303162946576"</f>
        <v>20190303162946576</v>
      </c>
      <c r="B6526" t="str">
        <f>"1551601786568766"</f>
        <v>1551601786568766</v>
      </c>
      <c r="C6526" t="s">
        <v>40</v>
      </c>
      <c r="D6526">
        <v>4.7856800000000002</v>
      </c>
      <c r="E6526">
        <v>0.47940159999999998</v>
      </c>
      <c r="F6526" t="s">
        <v>45</v>
      </c>
      <c r="G6526">
        <v>0</v>
      </c>
      <c r="H6526">
        <v>0</v>
      </c>
      <c r="I6526">
        <v>0</v>
      </c>
      <c r="J6526">
        <v>-188.566</v>
      </c>
      <c r="K6526">
        <v>1.1226069999999999</v>
      </c>
      <c r="L6526">
        <v>-4.1043399999999997</v>
      </c>
      <c r="M6526">
        <v>4.3283599999999998E-2</v>
      </c>
      <c r="N6526">
        <v>-1.197339E-2</v>
      </c>
      <c r="O6526">
        <v>0.99899110000000002</v>
      </c>
      <c r="P6526">
        <v>-3.2245790000000003E-2</v>
      </c>
      <c r="Q6526">
        <v>0.2312044</v>
      </c>
      <c r="R6526">
        <v>0.97237070000000003</v>
      </c>
      <c r="S6526">
        <v>-0.28926089999999999</v>
      </c>
      <c r="T6526">
        <v>1.2364090000000001</v>
      </c>
      <c r="U6526">
        <v>2.766327</v>
      </c>
      <c r="V6526">
        <v>-7.4955629999999995E-2</v>
      </c>
      <c r="W6526">
        <v>0.24260319999999999</v>
      </c>
      <c r="X6526">
        <v>0.96722560000000002</v>
      </c>
      <c r="Y6526">
        <v>-0.13788139999999999</v>
      </c>
      <c r="Z6526">
        <v>0.41550989999999999</v>
      </c>
      <c r="AA6526">
        <v>0.89907739999999903</v>
      </c>
      <c r="AB6526">
        <v>31</v>
      </c>
      <c r="AC6526">
        <v>-0.28926089999999999</v>
      </c>
      <c r="AD6526">
        <v>1.2364090000000001</v>
      </c>
      <c r="AE6526">
        <v>2.766327</v>
      </c>
      <c r="AF6526">
        <v>-0.34129405749027403</v>
      </c>
      <c r="AG6526">
        <v>1.2364090000000001</v>
      </c>
      <c r="AH6526">
        <v>2.2972653562443299</v>
      </c>
      <c r="AI6526">
        <v>61.970680180680098</v>
      </c>
      <c r="AJ6526">
        <v>98.450358767958505</v>
      </c>
      <c r="AK6526">
        <v>2.6310866511689799</v>
      </c>
      <c r="AL6526">
        <v>75.959765724486402</v>
      </c>
      <c r="AM6526">
        <v>94.431308337260504</v>
      </c>
      <c r="AN6526">
        <v>1.00000001020714</v>
      </c>
    </row>
    <row r="6527" spans="1:40" x14ac:dyDescent="0.25">
      <c r="A6527" t="str">
        <f>"20190303162946598"</f>
        <v>20190303162946598</v>
      </c>
      <c r="B6527" t="str">
        <f>"1551601786588287"</f>
        <v>1551601786588287</v>
      </c>
      <c r="C6527" t="s">
        <v>40</v>
      </c>
      <c r="D6527">
        <v>4.8131050000000002</v>
      </c>
      <c r="E6527">
        <v>0.50421179999999999</v>
      </c>
      <c r="F6527" t="s">
        <v>45</v>
      </c>
      <c r="G6527">
        <v>0</v>
      </c>
      <c r="H6527">
        <v>0</v>
      </c>
      <c r="I6527">
        <v>0</v>
      </c>
      <c r="J6527">
        <v>-188.55449999999999</v>
      </c>
      <c r="K6527">
        <v>1.1225339999999999</v>
      </c>
      <c r="L6527">
        <v>-3.805939</v>
      </c>
      <c r="M6527">
        <v>4.1898919999999999E-2</v>
      </c>
      <c r="N6527">
        <v>-1.197318E-2</v>
      </c>
      <c r="O6527">
        <v>0.99905010000000005</v>
      </c>
      <c r="P6527">
        <v>-3.3339939999999998E-2</v>
      </c>
      <c r="Q6527">
        <v>0.209728</v>
      </c>
      <c r="R6527">
        <v>0.97719120000000004</v>
      </c>
      <c r="S6527">
        <v>-0.25672909999999999</v>
      </c>
      <c r="T6527">
        <v>1.098943</v>
      </c>
      <c r="U6527">
        <v>2.8154300000000001</v>
      </c>
      <c r="V6527">
        <v>-7.4861979999999995E-2</v>
      </c>
      <c r="W6527">
        <v>0.2211822</v>
      </c>
      <c r="X6527">
        <v>0.97235490000000002</v>
      </c>
      <c r="Y6527">
        <v>-0.12620410000000001</v>
      </c>
      <c r="Z6527">
        <v>0.37216480000000002</v>
      </c>
      <c r="AA6527">
        <v>0.91954659999999999</v>
      </c>
      <c r="AB6527">
        <v>31</v>
      </c>
      <c r="AC6527">
        <v>-0.25672909999999999</v>
      </c>
      <c r="AD6527">
        <v>1.098943</v>
      </c>
      <c r="AE6527">
        <v>2.8154300000000001</v>
      </c>
      <c r="AF6527">
        <v>-0.32531972464617298</v>
      </c>
      <c r="AG6527">
        <v>1.098943</v>
      </c>
      <c r="AH6527">
        <v>2.43436685562164</v>
      </c>
      <c r="AI6527">
        <v>65.893827118694105</v>
      </c>
      <c r="AJ6527">
        <v>97.611696926851394</v>
      </c>
      <c r="AK6527">
        <v>2.69065988713588</v>
      </c>
      <c r="AL6527">
        <v>77.221520795086505</v>
      </c>
      <c r="AM6527">
        <v>94.402539229731701</v>
      </c>
      <c r="AN6527">
        <v>0.99999996660018398</v>
      </c>
    </row>
    <row r="6528" spans="1:40" x14ac:dyDescent="0.25">
      <c r="A6528" t="str">
        <f>"20190303162946621"</f>
        <v>20190303162946621</v>
      </c>
      <c r="B6528" t="str">
        <f>"1551601786618542"</f>
        <v>1551601786618542</v>
      </c>
      <c r="C6528" t="s">
        <v>40</v>
      </c>
      <c r="D6528">
        <v>5.4453649999999998</v>
      </c>
      <c r="E6528">
        <v>0.50885670000000005</v>
      </c>
      <c r="F6528" t="s">
        <v>71</v>
      </c>
      <c r="G6528">
        <v>-197.71180000000001</v>
      </c>
      <c r="H6528">
        <v>60.774340000000002</v>
      </c>
      <c r="I6528">
        <v>391.87</v>
      </c>
      <c r="J6528">
        <v>-188.5419</v>
      </c>
      <c r="K6528">
        <v>1.1224780000000001</v>
      </c>
      <c r="L6528">
        <v>-3.4696959999999999</v>
      </c>
      <c r="M6528">
        <v>4.0352060000000002E-2</v>
      </c>
      <c r="N6528">
        <v>-1.1973070000000001E-2</v>
      </c>
      <c r="O6528">
        <v>0.99911380000000005</v>
      </c>
      <c r="P6528">
        <v>-3.5514950000000003E-2</v>
      </c>
      <c r="Q6528">
        <v>0.19595699999999999</v>
      </c>
      <c r="R6528">
        <v>0.97996910000000004</v>
      </c>
      <c r="S6528">
        <v>-6.8771360000000004E-2</v>
      </c>
      <c r="T6528">
        <v>0.44798510000000002</v>
      </c>
      <c r="U6528">
        <v>2.971527</v>
      </c>
      <c r="V6528">
        <v>-7.5608270000000005E-2</v>
      </c>
      <c r="W6528">
        <v>0.20744070000000001</v>
      </c>
      <c r="X6528">
        <v>0.97532140000000001</v>
      </c>
      <c r="Y6528">
        <v>-6.3214119999999999E-2</v>
      </c>
      <c r="Z6528">
        <v>0.16055829999999999</v>
      </c>
      <c r="AA6528">
        <v>0.98499999999999999</v>
      </c>
      <c r="AB6528">
        <v>31</v>
      </c>
      <c r="AC6528">
        <v>-9.1699000000000108</v>
      </c>
      <c r="AD6528">
        <v>59.651862000000001</v>
      </c>
      <c r="AE6528">
        <v>395.339696</v>
      </c>
      <c r="AF6528">
        <v>-24.557542080950999</v>
      </c>
      <c r="AG6528">
        <v>59.651862000000001</v>
      </c>
      <c r="AH6528">
        <v>385.86726081756098</v>
      </c>
      <c r="AI6528">
        <v>81.229582484446894</v>
      </c>
      <c r="AJ6528">
        <v>93.641533199453605</v>
      </c>
      <c r="AK6528">
        <v>391.22239261572503</v>
      </c>
      <c r="AL6528">
        <v>78.027587787353895</v>
      </c>
      <c r="AM6528">
        <v>94.432782917618098</v>
      </c>
      <c r="AN6528">
        <v>1.00000004390342</v>
      </c>
    </row>
    <row r="6529" spans="1:40" x14ac:dyDescent="0.25">
      <c r="A6529" t="str">
        <f>"20190303162946644"</f>
        <v>20190303162946644</v>
      </c>
      <c r="B6529" t="str">
        <f>"1551601786638065"</f>
        <v>1551601786638065</v>
      </c>
      <c r="C6529" t="s">
        <v>40</v>
      </c>
      <c r="D6529">
        <v>4.7950470000000003</v>
      </c>
      <c r="E6529">
        <v>0.51114539999999997</v>
      </c>
      <c r="F6529" t="s">
        <v>71</v>
      </c>
      <c r="G6529">
        <v>-194.21199999999999</v>
      </c>
      <c r="H6529">
        <v>21.220980000000001</v>
      </c>
      <c r="I6529">
        <v>391.87</v>
      </c>
      <c r="J6529">
        <v>-188.5309</v>
      </c>
      <c r="K6529">
        <v>1.1224419999999999</v>
      </c>
      <c r="L6529">
        <v>-3.1610109999999998</v>
      </c>
      <c r="M6529">
        <v>3.8964800000000001E-2</v>
      </c>
      <c r="N6529">
        <v>-1.197295E-2</v>
      </c>
      <c r="O6529">
        <v>0.99916890000000003</v>
      </c>
      <c r="P6529">
        <v>-3.6402049999999998E-2</v>
      </c>
      <c r="Q6529">
        <v>0.18892890000000001</v>
      </c>
      <c r="R6529">
        <v>0.98131590000000002</v>
      </c>
      <c r="S6529">
        <v>-4.3441769999999998E-2</v>
      </c>
      <c r="T6529">
        <v>0.15398800000000001</v>
      </c>
      <c r="U6529">
        <v>3.0289609999999998</v>
      </c>
      <c r="V6529">
        <v>-7.5170120000000007E-2</v>
      </c>
      <c r="W6529">
        <v>0.200431</v>
      </c>
      <c r="X6529">
        <v>0.97681980000000002</v>
      </c>
      <c r="Y6529">
        <v>-5.3277539999999998E-2</v>
      </c>
      <c r="Z6529">
        <v>6.2633709999999995E-2</v>
      </c>
      <c r="AA6529">
        <v>0.99661350000000004</v>
      </c>
      <c r="AB6529">
        <v>31</v>
      </c>
      <c r="AC6529">
        <v>-5.6811000000000096</v>
      </c>
      <c r="AD6529">
        <v>20.098538000000001</v>
      </c>
      <c r="AE6529">
        <v>395.03101099999998</v>
      </c>
      <c r="AF6529">
        <v>-21.015801564075101</v>
      </c>
      <c r="AG6529">
        <v>20.098538000000001</v>
      </c>
      <c r="AH6529">
        <v>393.49121178682299</v>
      </c>
      <c r="AI6529">
        <v>87.080171408067102</v>
      </c>
      <c r="AJ6529">
        <v>93.057180815963505</v>
      </c>
      <c r="AK6529">
        <v>394.56425192683201</v>
      </c>
      <c r="AL6529">
        <v>78.437836454306193</v>
      </c>
      <c r="AM6529">
        <v>94.400462556941406</v>
      </c>
      <c r="AN6529">
        <v>1.00000002718692</v>
      </c>
    </row>
    <row r="6530" spans="1:40" x14ac:dyDescent="0.25">
      <c r="A6530" t="str">
        <f>"20190303162946665"</f>
        <v>20190303162946665</v>
      </c>
      <c r="B6530" t="str">
        <f>"1551601786658558"</f>
        <v>1551601786658558</v>
      </c>
      <c r="C6530" t="s">
        <v>40</v>
      </c>
      <c r="D6530">
        <v>4.8799519999999896</v>
      </c>
      <c r="E6530">
        <v>0.51218770000000002</v>
      </c>
      <c r="F6530" t="s">
        <v>71</v>
      </c>
      <c r="G6530">
        <v>-192.6044</v>
      </c>
      <c r="H6530">
        <v>5.2847169999999997</v>
      </c>
      <c r="I6530">
        <v>391.87</v>
      </c>
      <c r="J6530">
        <v>-188.5206</v>
      </c>
      <c r="K6530">
        <v>1.1224229999999999</v>
      </c>
      <c r="L6530">
        <v>-2.8624879999999999</v>
      </c>
      <c r="M6530">
        <v>3.7671610000000001E-2</v>
      </c>
      <c r="N6530">
        <v>-1.197266E-2</v>
      </c>
      <c r="O6530">
        <v>0.99921850000000001</v>
      </c>
      <c r="P6530">
        <v>-3.6745920000000001E-2</v>
      </c>
      <c r="Q6530">
        <v>0.18800259999999999</v>
      </c>
      <c r="R6530">
        <v>0.98148089999999999</v>
      </c>
      <c r="S6530">
        <v>-3.1448360000000002E-2</v>
      </c>
      <c r="T6530">
        <v>3.2134179999999998E-2</v>
      </c>
      <c r="U6530">
        <v>3.0497740000000002</v>
      </c>
      <c r="V6530">
        <v>-7.4241989999999994E-2</v>
      </c>
      <c r="W6530">
        <v>0.19951289999999999</v>
      </c>
      <c r="X6530">
        <v>0.97707869999999997</v>
      </c>
      <c r="Y6530">
        <v>-4.7973120000000001E-2</v>
      </c>
      <c r="Z6530">
        <v>2.2492000000000002E-2</v>
      </c>
      <c r="AA6530">
        <v>0.99859540000000002</v>
      </c>
      <c r="AB6530">
        <v>31</v>
      </c>
      <c r="AC6530">
        <v>-4.0837999999999903</v>
      </c>
      <c r="AD6530">
        <v>4.1622939999999904</v>
      </c>
      <c r="AE6530">
        <v>394.73248799999999</v>
      </c>
      <c r="AF6530">
        <v>-18.950067443423201</v>
      </c>
      <c r="AG6530">
        <v>4.1622939999999904</v>
      </c>
      <c r="AH6530">
        <v>394.25456984511601</v>
      </c>
      <c r="AI6530">
        <v>89.395826801394904</v>
      </c>
      <c r="AJ6530">
        <v>92.751835955316196</v>
      </c>
      <c r="AK6530">
        <v>394.73167543435198</v>
      </c>
      <c r="AL6530">
        <v>78.491524125235898</v>
      </c>
      <c r="AM6530">
        <v>94.345192016549007</v>
      </c>
      <c r="AN6530">
        <v>1.00000002816962</v>
      </c>
    </row>
    <row r="6531" spans="1:40" x14ac:dyDescent="0.25">
      <c r="A6531" t="str">
        <f>"20190303162946689"</f>
        <v>20190303162946689</v>
      </c>
      <c r="B6531" t="str">
        <f>"1551601786678079"</f>
        <v>1551601786678079</v>
      </c>
      <c r="C6531" t="s">
        <v>40</v>
      </c>
      <c r="D6531">
        <v>4.8800220000000003</v>
      </c>
      <c r="E6531">
        <v>0.51285379999999903</v>
      </c>
      <c r="F6531" t="s">
        <v>71</v>
      </c>
      <c r="G6531">
        <v>-191.91220000000001</v>
      </c>
      <c r="H6531">
        <v>0.63080019999999903</v>
      </c>
      <c r="I6531">
        <v>391.87</v>
      </c>
      <c r="J6531">
        <v>-188.5095</v>
      </c>
      <c r="K6531">
        <v>1.122417</v>
      </c>
      <c r="L6531">
        <v>-2.527374</v>
      </c>
      <c r="M6531">
        <v>3.6271030000000003E-2</v>
      </c>
      <c r="N6531">
        <v>-1.197222E-2</v>
      </c>
      <c r="O6531">
        <v>0.99927029999999994</v>
      </c>
      <c r="P6531">
        <v>-3.5697050000000001E-2</v>
      </c>
      <c r="Q6531">
        <v>0.19407389999999999</v>
      </c>
      <c r="R6531">
        <v>0.98033720000000002</v>
      </c>
      <c r="S6531">
        <v>-2.626038E-2</v>
      </c>
      <c r="T6531">
        <v>-3.8065909999999998E-3</v>
      </c>
      <c r="U6531">
        <v>3.0563660000000001</v>
      </c>
      <c r="V6531">
        <v>-7.1780549999999999E-2</v>
      </c>
      <c r="W6531">
        <v>0.2055833</v>
      </c>
      <c r="X6531">
        <v>0.97600359999999997</v>
      </c>
      <c r="Y6531">
        <v>-4.4854310000000001E-2</v>
      </c>
      <c r="Z6531">
        <v>1.073059E-2</v>
      </c>
      <c r="AA6531">
        <v>0.99893589999999999</v>
      </c>
      <c r="AB6531">
        <v>31</v>
      </c>
      <c r="AC6531">
        <v>-3.4026999999999998</v>
      </c>
      <c r="AD6531">
        <v>-0.49161680000000002</v>
      </c>
      <c r="AE6531">
        <v>394.39737400000001</v>
      </c>
      <c r="AF6531">
        <v>-17.706657075766898</v>
      </c>
      <c r="AG6531">
        <v>-0.49161680000000002</v>
      </c>
      <c r="AH6531">
        <v>394.01377882957001</v>
      </c>
      <c r="AI6531">
        <v>90.071416673982696</v>
      </c>
      <c r="AJ6531">
        <v>92.573094271133797</v>
      </c>
      <c r="AK6531">
        <v>394.41174589435599</v>
      </c>
      <c r="AL6531">
        <v>78.136352806243806</v>
      </c>
      <c r="AM6531">
        <v>94.206266663683294</v>
      </c>
      <c r="AN6531">
        <v>0.99999998390507605</v>
      </c>
    </row>
    <row r="6532" spans="1:40" x14ac:dyDescent="0.25">
      <c r="A6532" t="str">
        <f>"20190303162946712"</f>
        <v>20190303162946712</v>
      </c>
      <c r="B6532" t="str">
        <f>"1551601786698574"</f>
        <v>1551601786698574</v>
      </c>
      <c r="C6532" t="s">
        <v>40</v>
      </c>
      <c r="D6532">
        <v>4.875928</v>
      </c>
      <c r="E6532">
        <v>0.51316010000000001</v>
      </c>
      <c r="F6532" t="s">
        <v>71</v>
      </c>
      <c r="G6532">
        <v>-190.85329999999999</v>
      </c>
      <c r="H6532">
        <v>2.0312929999999998</v>
      </c>
      <c r="I6532">
        <v>391.87</v>
      </c>
      <c r="J6532">
        <v>-188.49950000000001</v>
      </c>
      <c r="K6532">
        <v>1.122395</v>
      </c>
      <c r="L6532">
        <v>-2.2150270000000001</v>
      </c>
      <c r="M6532">
        <v>3.5030289999999999E-2</v>
      </c>
      <c r="N6532">
        <v>-1.197176E-2</v>
      </c>
      <c r="O6532">
        <v>0.99931449999999999</v>
      </c>
      <c r="P6532">
        <v>-3.4737740000000003E-2</v>
      </c>
      <c r="Q6532">
        <v>0.19752239999999999</v>
      </c>
      <c r="R6532">
        <v>0.97968270000000002</v>
      </c>
      <c r="S6532">
        <v>-1.817322E-2</v>
      </c>
      <c r="T6532">
        <v>7.0472959999999998E-3</v>
      </c>
      <c r="U6532">
        <v>3.0581049999999999</v>
      </c>
      <c r="V6532">
        <v>-6.9572590000000004E-2</v>
      </c>
      <c r="W6532">
        <v>0.20903759999999999</v>
      </c>
      <c r="X6532">
        <v>0.97542969999999896</v>
      </c>
      <c r="Y6532">
        <v>-4.0968089999999999E-2</v>
      </c>
      <c r="Z6532">
        <v>1.4274159999999999E-2</v>
      </c>
      <c r="AA6532">
        <v>0.99905849999999996</v>
      </c>
      <c r="AB6532">
        <v>31</v>
      </c>
      <c r="AC6532">
        <v>-2.3537999999999699</v>
      </c>
      <c r="AD6532">
        <v>0.90889799999999998</v>
      </c>
      <c r="AE6532">
        <v>394.08502700000003</v>
      </c>
      <c r="AF6532">
        <v>-16.158171964587201</v>
      </c>
      <c r="AG6532">
        <v>0.90889799999999998</v>
      </c>
      <c r="AH6532">
        <v>393.75856839036101</v>
      </c>
      <c r="AI6532">
        <v>89.867857767668795</v>
      </c>
      <c r="AJ6532">
        <v>92.349855973747097</v>
      </c>
      <c r="AK6532">
        <v>394.09100826793502</v>
      </c>
      <c r="AL6532">
        <v>77.934041881918802</v>
      </c>
      <c r="AM6532">
        <v>94.079716548669097</v>
      </c>
      <c r="AN6532">
        <v>1.00000008156757</v>
      </c>
    </row>
    <row r="6533" spans="1:40" x14ac:dyDescent="0.25">
      <c r="A6533" t="str">
        <f>"20190303162946733"</f>
        <v>20190303162946733</v>
      </c>
      <c r="B6533" t="str">
        <f>"1551601786728831"</f>
        <v>1551601786728831</v>
      </c>
      <c r="C6533" t="s">
        <v>40</v>
      </c>
      <c r="D6533">
        <v>4.8653120000000003</v>
      </c>
      <c r="E6533">
        <v>0.51314759999999904</v>
      </c>
      <c r="F6533" t="s">
        <v>71</v>
      </c>
      <c r="G6533">
        <v>-190.0412</v>
      </c>
      <c r="H6533">
        <v>3.5654509999999999</v>
      </c>
      <c r="I6533">
        <v>391.87</v>
      </c>
      <c r="J6533">
        <v>-188.49010000000001</v>
      </c>
      <c r="K6533">
        <v>1.1223540000000001</v>
      </c>
      <c r="L6533">
        <v>-1.9111020000000001</v>
      </c>
      <c r="M6533">
        <v>3.390978E-2</v>
      </c>
      <c r="N6533">
        <v>-1.1971209999999999E-2</v>
      </c>
      <c r="O6533">
        <v>0.99935320000000005</v>
      </c>
      <c r="P6533">
        <v>-3.4409530000000001E-2</v>
      </c>
      <c r="Q6533">
        <v>0.19897960000000001</v>
      </c>
      <c r="R6533">
        <v>0.97939929999999997</v>
      </c>
      <c r="S6533">
        <v>-1.196289E-2</v>
      </c>
      <c r="T6533">
        <v>1.8957379999999999E-2</v>
      </c>
      <c r="U6533">
        <v>3.0579830000000001</v>
      </c>
      <c r="V6533">
        <v>-6.8113359999999998E-2</v>
      </c>
      <c r="W6533">
        <v>0.21050530000000001</v>
      </c>
      <c r="X6533">
        <v>0.97521690000000005</v>
      </c>
      <c r="Y6533">
        <v>-3.7819749999999999E-2</v>
      </c>
      <c r="Z6533">
        <v>1.8162930000000001E-2</v>
      </c>
      <c r="AA6533">
        <v>0.99911950000000005</v>
      </c>
      <c r="AB6533">
        <v>31</v>
      </c>
      <c r="AC6533">
        <v>-1.5510999999999899</v>
      </c>
      <c r="AD6533">
        <v>2.4430969999999999</v>
      </c>
      <c r="AE6533">
        <v>393.78110199999998</v>
      </c>
      <c r="AF6533">
        <v>-14.903621609580901</v>
      </c>
      <c r="AG6533">
        <v>2.4430969999999999</v>
      </c>
      <c r="AH6533">
        <v>393.486858115693</v>
      </c>
      <c r="AI6533">
        <v>89.644519119324599</v>
      </c>
      <c r="AJ6533">
        <v>92.169085488953698</v>
      </c>
      <c r="AK6533">
        <v>393.77657900107903</v>
      </c>
      <c r="AL6533">
        <v>77.848033713734694</v>
      </c>
      <c r="AM6533">
        <v>93.9952964594099</v>
      </c>
      <c r="AN6533">
        <v>0.99999995659209395</v>
      </c>
    </row>
    <row r="6534" spans="1:40" x14ac:dyDescent="0.25">
      <c r="A6534" t="str">
        <f>"20190303162946755"</f>
        <v>20190303162946755</v>
      </c>
      <c r="B6534" t="str">
        <f>"1551601786748351"</f>
        <v>1551601786748351</v>
      </c>
      <c r="C6534" t="s">
        <v>40</v>
      </c>
      <c r="D6534">
        <v>4.929951</v>
      </c>
      <c r="E6534">
        <v>0.51299380000000006</v>
      </c>
      <c r="F6534" t="s">
        <v>71</v>
      </c>
      <c r="G6534">
        <v>-189.8486</v>
      </c>
      <c r="H6534">
        <v>5.1605610000000004</v>
      </c>
      <c r="I6534">
        <v>391.87</v>
      </c>
      <c r="J6534">
        <v>-188.4811</v>
      </c>
      <c r="K6534">
        <v>1.1222890000000001</v>
      </c>
      <c r="L6534">
        <v>-1.614868</v>
      </c>
      <c r="M6534">
        <v>3.2925280000000001E-2</v>
      </c>
      <c r="N6534">
        <v>-1.197056E-2</v>
      </c>
      <c r="O6534">
        <v>0.99938610000000005</v>
      </c>
      <c r="P6534">
        <v>-3.5185870000000001E-2</v>
      </c>
      <c r="Q6534">
        <v>0.2013296</v>
      </c>
      <c r="R6534">
        <v>0.97889139999999997</v>
      </c>
      <c r="S6534">
        <v>-1.0543820000000001E-2</v>
      </c>
      <c r="T6534">
        <v>3.134286E-2</v>
      </c>
      <c r="U6534">
        <v>3.0563660000000001</v>
      </c>
      <c r="V6534">
        <v>-6.7876539999999999E-2</v>
      </c>
      <c r="W6534">
        <v>0.21286099999999999</v>
      </c>
      <c r="X6534">
        <v>0.97472199999999998</v>
      </c>
      <c r="Y6534">
        <v>-3.6374120000000003E-2</v>
      </c>
      <c r="Z6534">
        <v>2.2212519999999999E-2</v>
      </c>
      <c r="AA6534">
        <v>0.99909130000000002</v>
      </c>
      <c r="AB6534">
        <v>31</v>
      </c>
      <c r="AC6534">
        <v>-1.3674999999999999</v>
      </c>
      <c r="AD6534">
        <v>4.0382720000000001</v>
      </c>
      <c r="AE6534">
        <v>393.48486800000001</v>
      </c>
      <c r="AF6534">
        <v>-14.3217781625108</v>
      </c>
      <c r="AG6534">
        <v>4.0382720000000001</v>
      </c>
      <c r="AH6534">
        <v>393.18505559349899</v>
      </c>
      <c r="AI6534">
        <v>89.411944885560601</v>
      </c>
      <c r="AJ6534">
        <v>92.086078327261703</v>
      </c>
      <c r="AK6534">
        <v>393.46652832553002</v>
      </c>
      <c r="AL6534">
        <v>77.709932985711006</v>
      </c>
      <c r="AM6534">
        <v>93.983465174742093</v>
      </c>
      <c r="AN6534">
        <v>1.00000000364368</v>
      </c>
    </row>
    <row r="6535" spans="1:40" x14ac:dyDescent="0.25">
      <c r="A6535" t="str">
        <f>"20190303162946777"</f>
        <v>20190303162946777</v>
      </c>
      <c r="B6535" t="str">
        <f>"1551601786768848"</f>
        <v>1551601786768848</v>
      </c>
      <c r="C6535" t="s">
        <v>40</v>
      </c>
      <c r="D6535">
        <v>4.8881819999999996</v>
      </c>
      <c r="E6535">
        <v>0.51289589999999996</v>
      </c>
      <c r="F6535" t="s">
        <v>71</v>
      </c>
      <c r="G6535">
        <v>-190.09309999999999</v>
      </c>
      <c r="H6535">
        <v>6.5196300000000003</v>
      </c>
      <c r="I6535">
        <v>390.11860000000001</v>
      </c>
      <c r="J6535">
        <v>-188.4716</v>
      </c>
      <c r="K6535">
        <v>1.122209</v>
      </c>
      <c r="L6535">
        <v>-1.295013</v>
      </c>
      <c r="M6535">
        <v>3.1999420000000001E-2</v>
      </c>
      <c r="N6535">
        <v>-1.1969830000000001E-2</v>
      </c>
      <c r="O6535">
        <v>0.99941619999999998</v>
      </c>
      <c r="P6535">
        <v>-3.6953819999999998E-2</v>
      </c>
      <c r="Q6535">
        <v>0.20605670000000001</v>
      </c>
      <c r="R6535">
        <v>0.97784199999999999</v>
      </c>
      <c r="S6535">
        <v>-1.2573239999999999E-2</v>
      </c>
      <c r="T6535">
        <v>4.2099949999999997E-2</v>
      </c>
      <c r="U6535">
        <v>3.0555729999999999</v>
      </c>
      <c r="V6535">
        <v>-6.8660730000000003E-2</v>
      </c>
      <c r="W6535">
        <v>0.21759029999999999</v>
      </c>
      <c r="X6535">
        <v>0.97362219999999999</v>
      </c>
      <c r="Y6535">
        <v>-3.6113180000000002E-2</v>
      </c>
      <c r="Z6535">
        <v>2.573015E-2</v>
      </c>
      <c r="AA6535">
        <v>0.99901640000000003</v>
      </c>
      <c r="AB6535">
        <v>31</v>
      </c>
      <c r="AC6535">
        <v>-1.6214999999999899</v>
      </c>
      <c r="AD6535">
        <v>5.3974209999999996</v>
      </c>
      <c r="AE6535">
        <v>391.413613</v>
      </c>
      <c r="AF6535">
        <v>-14.1438861355805</v>
      </c>
      <c r="AG6535">
        <v>5.3974209999999996</v>
      </c>
      <c r="AH6535">
        <v>391.08688100747202</v>
      </c>
      <c r="AI6535">
        <v>89.209823131725997</v>
      </c>
      <c r="AJ6535">
        <v>92.071232719879205</v>
      </c>
      <c r="AK6535">
        <v>391.37977740887499</v>
      </c>
      <c r="AL6535">
        <v>77.432461115185902</v>
      </c>
      <c r="AM6535">
        <v>94.033872651132697</v>
      </c>
      <c r="AN6535">
        <v>1.0000000114155301</v>
      </c>
    </row>
    <row r="6536" spans="1:40" x14ac:dyDescent="0.25">
      <c r="A6536" t="str">
        <f>"20190303162946800"</f>
        <v>20190303162946800</v>
      </c>
      <c r="B6536" t="str">
        <f>"1551601786788367"</f>
        <v>1551601786788367</v>
      </c>
      <c r="C6536" t="s">
        <v>40</v>
      </c>
      <c r="D6536">
        <v>4.8586210000000003</v>
      </c>
      <c r="E6536">
        <v>0.51282019999999995</v>
      </c>
      <c r="F6536" t="s">
        <v>71</v>
      </c>
      <c r="G6536">
        <v>-190.72630000000001</v>
      </c>
      <c r="H6536">
        <v>8.9365349999999992</v>
      </c>
      <c r="I6536">
        <v>391.87</v>
      </c>
      <c r="J6536">
        <v>-188.4624</v>
      </c>
      <c r="K6536">
        <v>1.122104</v>
      </c>
      <c r="L6536">
        <v>-0.98138429999999999</v>
      </c>
      <c r="M6536">
        <v>3.124004E-2</v>
      </c>
      <c r="N6536">
        <v>-1.196907E-2</v>
      </c>
      <c r="O6536">
        <v>0.99944029999999995</v>
      </c>
      <c r="P6536">
        <v>-3.7984509999999999E-2</v>
      </c>
      <c r="Q6536">
        <v>0.21003330000000001</v>
      </c>
      <c r="R6536">
        <v>0.97695609999999999</v>
      </c>
      <c r="S6536">
        <v>-1.7517089999999999E-2</v>
      </c>
      <c r="T6536">
        <v>6.0710189999999997E-2</v>
      </c>
      <c r="U6536">
        <v>3.054535</v>
      </c>
      <c r="V6536">
        <v>-6.8867129999999999E-2</v>
      </c>
      <c r="W6536">
        <v>0.2215743</v>
      </c>
      <c r="X6536">
        <v>0.97270860000000003</v>
      </c>
      <c r="Y6536">
        <v>-3.6972499999999998E-2</v>
      </c>
      <c r="Z6536">
        <v>3.1816360000000002E-2</v>
      </c>
      <c r="AA6536">
        <v>0.99880970000000002</v>
      </c>
      <c r="AB6536">
        <v>31</v>
      </c>
      <c r="AC6536">
        <v>-2.2639</v>
      </c>
      <c r="AD6536">
        <v>7.8144309999999999</v>
      </c>
      <c r="AE6536">
        <v>392.85138430000001</v>
      </c>
      <c r="AF6536">
        <v>-14.5306171031276</v>
      </c>
      <c r="AG6536">
        <v>7.8144309999999999</v>
      </c>
      <c r="AH6536">
        <v>392.43361010227198</v>
      </c>
      <c r="AI6536">
        <v>88.8600154106514</v>
      </c>
      <c r="AJ6536">
        <v>92.120518870767498</v>
      </c>
      <c r="AK6536">
        <v>392.78027254834598</v>
      </c>
      <c r="AL6536">
        <v>77.198483123545699</v>
      </c>
      <c r="AM6536">
        <v>94.049746064194693</v>
      </c>
      <c r="AN6536">
        <v>0.99999993626444095</v>
      </c>
    </row>
    <row r="6537" spans="1:40" x14ac:dyDescent="0.25">
      <c r="A6537" t="str">
        <f>"20190303162946825"</f>
        <v>20190303162946825</v>
      </c>
      <c r="B6537" t="str">
        <f>"1551601786818623"</f>
        <v>1551601786818623</v>
      </c>
      <c r="C6537" t="s">
        <v>40</v>
      </c>
      <c r="D6537">
        <v>4.7598440000000002</v>
      </c>
      <c r="E6537">
        <v>0.51273480000000005</v>
      </c>
      <c r="F6537" t="s">
        <v>71</v>
      </c>
      <c r="G6537">
        <v>-191.18729999999999</v>
      </c>
      <c r="H6537">
        <v>10.98563</v>
      </c>
      <c r="I6537">
        <v>391.87</v>
      </c>
      <c r="J6537">
        <v>-188.4522</v>
      </c>
      <c r="K6537">
        <v>1.121972</v>
      </c>
      <c r="L6537">
        <v>-0.62948609999999905</v>
      </c>
      <c r="M6537">
        <v>3.0566389999999999E-2</v>
      </c>
      <c r="N6537">
        <v>-1.196823E-2</v>
      </c>
      <c r="O6537">
        <v>0.99946109999999999</v>
      </c>
      <c r="P6537">
        <v>-3.8438239999999999E-2</v>
      </c>
      <c r="Q6537">
        <v>0.21155160000000001</v>
      </c>
      <c r="R6537">
        <v>0.97661070000000005</v>
      </c>
      <c r="S6537">
        <v>-2.1179199999999999E-2</v>
      </c>
      <c r="T6537">
        <v>7.6664919999999998E-2</v>
      </c>
      <c r="U6537">
        <v>3.0534669999999999</v>
      </c>
      <c r="V6537">
        <v>-6.8582290000000004E-2</v>
      </c>
      <c r="W6537">
        <v>0.22311030000000001</v>
      </c>
      <c r="X6537">
        <v>0.97237770000000001</v>
      </c>
      <c r="Y6537">
        <v>-3.7498740000000003E-2</v>
      </c>
      <c r="Z6537">
        <v>3.7036800000000002E-2</v>
      </c>
      <c r="AA6537">
        <v>0.99861009999999995</v>
      </c>
      <c r="AB6537">
        <v>31</v>
      </c>
      <c r="AC6537">
        <v>-2.7350999999999801</v>
      </c>
      <c r="AD6537">
        <v>9.8636579999999991</v>
      </c>
      <c r="AE6537">
        <v>392.49948610000001</v>
      </c>
      <c r="AF6537">
        <v>-14.722675866057701</v>
      </c>
      <c r="AG6537">
        <v>9.8636579999999991</v>
      </c>
      <c r="AH6537">
        <v>391.984911499681</v>
      </c>
      <c r="AI6537">
        <v>88.559565005100495</v>
      </c>
      <c r="AJ6537">
        <v>92.150977848394405</v>
      </c>
      <c r="AK6537">
        <v>392.38529505730799</v>
      </c>
      <c r="AL6537">
        <v>77.108218990923604</v>
      </c>
      <c r="AM6537">
        <v>94.034419291414807</v>
      </c>
      <c r="AN6537">
        <v>1.00000006396251</v>
      </c>
    </row>
    <row r="6538" spans="1:40" x14ac:dyDescent="0.25">
      <c r="A6538" t="str">
        <f>"20190303162946846"</f>
        <v>20190303162946846</v>
      </c>
      <c r="B6538" t="str">
        <f>"1551601786838143"</f>
        <v>1551601786838143</v>
      </c>
      <c r="C6538" t="s">
        <v>40</v>
      </c>
      <c r="D6538">
        <v>4.6934529999999999</v>
      </c>
      <c r="E6538">
        <v>0.51262019999999997</v>
      </c>
      <c r="F6538" t="s">
        <v>71</v>
      </c>
      <c r="G6538">
        <v>-191.41059999999999</v>
      </c>
      <c r="H6538">
        <v>11.84207</v>
      </c>
      <c r="I6538">
        <v>391.87</v>
      </c>
      <c r="J6538">
        <v>-188.4435</v>
      </c>
      <c r="K6538">
        <v>1.121853</v>
      </c>
      <c r="L6538">
        <v>-0.32711790000000002</v>
      </c>
      <c r="M6538">
        <v>3.013484E-2</v>
      </c>
      <c r="N6538">
        <v>-1.196761E-2</v>
      </c>
      <c r="O6538">
        <v>0.99947419999999998</v>
      </c>
      <c r="P6538">
        <v>-3.900153E-2</v>
      </c>
      <c r="Q6538">
        <v>0.20998610000000001</v>
      </c>
      <c r="R6538">
        <v>0.97692610000000002</v>
      </c>
      <c r="S6538">
        <v>-2.3010249999999999E-2</v>
      </c>
      <c r="T6538">
        <v>8.3381650000000002E-2</v>
      </c>
      <c r="U6538">
        <v>3.0528870000000001</v>
      </c>
      <c r="V6538">
        <v>-6.8674299999999994E-2</v>
      </c>
      <c r="W6538">
        <v>0.22156590000000001</v>
      </c>
      <c r="X6538">
        <v>0.97272420000000004</v>
      </c>
      <c r="Y6538">
        <v>-3.7667359999999997E-2</v>
      </c>
      <c r="Z6538">
        <v>3.9236090000000001E-2</v>
      </c>
      <c r="AA6538">
        <v>0.99851979999999996</v>
      </c>
      <c r="AB6538">
        <v>31</v>
      </c>
      <c r="AC6538">
        <v>-2.9670999999999799</v>
      </c>
      <c r="AD6538">
        <v>10.720217</v>
      </c>
      <c r="AE6538">
        <v>392.197117899999</v>
      </c>
      <c r="AF6538">
        <v>-14.774358287979499</v>
      </c>
      <c r="AG6538">
        <v>10.720217</v>
      </c>
      <c r="AH6538">
        <v>391.63696521293502</v>
      </c>
      <c r="AI6538">
        <v>88.433157148909004</v>
      </c>
      <c r="AJ6538">
        <v>92.160437404716703</v>
      </c>
      <c r="AK6538">
        <v>392.062134407987</v>
      </c>
      <c r="AL6538">
        <v>77.198977354283798</v>
      </c>
      <c r="AM6538">
        <v>94.038379674826999</v>
      </c>
      <c r="AN6538">
        <v>0.99999998839446902</v>
      </c>
    </row>
    <row r="6539" spans="1:40" x14ac:dyDescent="0.25">
      <c r="A6539" t="str">
        <f>"20190303162946868"</f>
        <v>20190303162946868</v>
      </c>
      <c r="B6539" t="str">
        <f>"1551601786858639"</f>
        <v>1551601786858639</v>
      </c>
      <c r="C6539" t="s">
        <v>40</v>
      </c>
      <c r="D6539">
        <v>5.4306269999999897</v>
      </c>
      <c r="E6539">
        <v>0.51171460000000002</v>
      </c>
      <c r="F6539" t="s">
        <v>71</v>
      </c>
      <c r="G6539">
        <v>-191.60310000000001</v>
      </c>
      <c r="H6539">
        <v>11.068009999999999</v>
      </c>
      <c r="I6539">
        <v>391.87</v>
      </c>
      <c r="J6539">
        <v>-188.4348</v>
      </c>
      <c r="K6539">
        <v>1.121766</v>
      </c>
      <c r="L6539">
        <v>-2.3925780000000001E-2</v>
      </c>
      <c r="M6539">
        <v>2.9800299999999998E-2</v>
      </c>
      <c r="N6539">
        <v>-1.196698E-2</v>
      </c>
      <c r="O6539">
        <v>0.99948419999999905</v>
      </c>
      <c r="P6539">
        <v>-3.9593410000000002E-2</v>
      </c>
      <c r="Q6539">
        <v>0.2069627</v>
      </c>
      <c r="R6539">
        <v>0.97754730000000001</v>
      </c>
      <c r="S6539">
        <v>-2.4597170000000002E-2</v>
      </c>
      <c r="T6539">
        <v>7.7430009999999994E-2</v>
      </c>
      <c r="U6539">
        <v>3.053223</v>
      </c>
      <c r="V6539">
        <v>-6.8909049999999999E-2</v>
      </c>
      <c r="W6539">
        <v>0.2185638</v>
      </c>
      <c r="X6539">
        <v>0.97338659999999999</v>
      </c>
      <c r="Y6539">
        <v>-3.785119E-2</v>
      </c>
      <c r="Z6539">
        <v>3.728832E-2</v>
      </c>
      <c r="AA6539">
        <v>0.99858740000000001</v>
      </c>
      <c r="AB6539">
        <v>31</v>
      </c>
      <c r="AC6539">
        <v>-3.1683000000000101</v>
      </c>
      <c r="AD6539">
        <v>9.9462440000000001</v>
      </c>
      <c r="AE6539">
        <v>391.89392578000002</v>
      </c>
      <c r="AF6539">
        <v>-14.8367296182495</v>
      </c>
      <c r="AG6539">
        <v>9.9462440000000001</v>
      </c>
      <c r="AH6539">
        <v>391.373343620681</v>
      </c>
      <c r="AI6539">
        <v>88.545260207057396</v>
      </c>
      <c r="AJ6539">
        <v>92.171009164168595</v>
      </c>
      <c r="AK6539">
        <v>391.780742778795</v>
      </c>
      <c r="AL6539">
        <v>77.375308357287196</v>
      </c>
      <c r="AM6539">
        <v>94.049389851693604</v>
      </c>
      <c r="AN6539">
        <v>1.0000000324509499</v>
      </c>
    </row>
    <row r="6540" spans="1:40" x14ac:dyDescent="0.25">
      <c r="A6540" t="str">
        <f>"20190303162946890"</f>
        <v>20190303162946890</v>
      </c>
      <c r="B6540" t="str">
        <f>"1551601786878159"</f>
        <v>1551601786878159</v>
      </c>
      <c r="C6540" t="s">
        <v>40</v>
      </c>
      <c r="D6540">
        <v>4.6079189999999999</v>
      </c>
      <c r="E6540">
        <v>0.49557499999999999</v>
      </c>
      <c r="F6540" t="s">
        <v>71</v>
      </c>
      <c r="G6540">
        <v>-192.55109999999999</v>
      </c>
      <c r="H6540">
        <v>8.7315860000000001</v>
      </c>
      <c r="I6540">
        <v>391.87</v>
      </c>
      <c r="J6540">
        <v>-188.42590000000001</v>
      </c>
      <c r="K6540">
        <v>1.1216919999999999</v>
      </c>
      <c r="L6540">
        <v>0.28549190000000002</v>
      </c>
      <c r="M6540">
        <v>2.953416E-2</v>
      </c>
      <c r="N6540">
        <v>-1.1966320000000001E-2</v>
      </c>
      <c r="O6540">
        <v>0.99949219999999905</v>
      </c>
      <c r="P6540">
        <v>-3.9819960000000001E-2</v>
      </c>
      <c r="Q6540">
        <v>0.20399349999999999</v>
      </c>
      <c r="R6540">
        <v>0.97816210000000003</v>
      </c>
      <c r="S6540">
        <v>-3.2089230000000003E-2</v>
      </c>
      <c r="T6540">
        <v>5.9323189999999998E-2</v>
      </c>
      <c r="U6540">
        <v>3.0550540000000002</v>
      </c>
      <c r="V6540">
        <v>-6.8856020000000004E-2</v>
      </c>
      <c r="W6540">
        <v>0.21561279999999999</v>
      </c>
      <c r="X6540">
        <v>0.97404829999999998</v>
      </c>
      <c r="Y6540">
        <v>-4.0029750000000003E-2</v>
      </c>
      <c r="Z6540">
        <v>3.1357900000000001E-2</v>
      </c>
      <c r="AA6540">
        <v>0.99870630000000005</v>
      </c>
      <c r="AB6540">
        <v>31</v>
      </c>
      <c r="AC6540">
        <v>-4.1251999999999702</v>
      </c>
      <c r="AD6540">
        <v>7.6098939999999997</v>
      </c>
      <c r="AE6540">
        <v>391.58450809999999</v>
      </c>
      <c r="AF6540">
        <v>-15.683424744032701</v>
      </c>
      <c r="AG6540">
        <v>7.6098939999999997</v>
      </c>
      <c r="AH6540">
        <v>391.144115443131</v>
      </c>
      <c r="AI6540">
        <v>88.886318743974996</v>
      </c>
      <c r="AJ6540">
        <v>92.296117759633404</v>
      </c>
      <c r="AK6540">
        <v>391.53237330287601</v>
      </c>
      <c r="AL6540">
        <v>77.5485193629452</v>
      </c>
      <c r="AM6540">
        <v>94.043544297269307</v>
      </c>
      <c r="AN6540">
        <v>1.00000006087348</v>
      </c>
    </row>
    <row r="6541" spans="1:40" x14ac:dyDescent="0.25">
      <c r="A6541" t="str">
        <f>"20190303162946914"</f>
        <v>20190303162946914</v>
      </c>
      <c r="B6541" t="str">
        <f>"1551601786908922"</f>
        <v>1551601786908922</v>
      </c>
      <c r="C6541" t="s">
        <v>40</v>
      </c>
      <c r="D6541">
        <v>4.474685</v>
      </c>
      <c r="E6541">
        <v>0.49675900000000001</v>
      </c>
      <c r="F6541" t="s">
        <v>41</v>
      </c>
      <c r="G6541">
        <v>-190.1626</v>
      </c>
      <c r="H6541" s="1">
        <v>-1.5163809999999999E-6</v>
      </c>
      <c r="I6541">
        <v>33.023000000000003</v>
      </c>
      <c r="J6541">
        <v>-188.41640000000001</v>
      </c>
      <c r="K6541">
        <v>1.121632</v>
      </c>
      <c r="L6541">
        <v>0.61962890000000004</v>
      </c>
      <c r="M6541">
        <v>2.9296860000000001E-2</v>
      </c>
      <c r="N6541">
        <v>-1.196563E-2</v>
      </c>
      <c r="O6541">
        <v>0.99949909999999997</v>
      </c>
      <c r="P6541">
        <v>-3.8536059999999997E-2</v>
      </c>
      <c r="Q6541">
        <v>0.20164889999999999</v>
      </c>
      <c r="R6541">
        <v>0.97869950000000006</v>
      </c>
      <c r="S6541">
        <v>-0.1635132</v>
      </c>
      <c r="T6541">
        <v>-0.1056108</v>
      </c>
      <c r="U6541">
        <v>3.0823360000000002</v>
      </c>
      <c r="V6541">
        <v>-6.7330109999999999E-2</v>
      </c>
      <c r="W6541">
        <v>0.21328359999999999</v>
      </c>
      <c r="X6541">
        <v>0.97466750000000002</v>
      </c>
      <c r="Y6541">
        <v>-8.2173300000000005E-2</v>
      </c>
      <c r="Z6541">
        <v>-2.2168859999999999E-2</v>
      </c>
      <c r="AA6541">
        <v>0.99637140000000002</v>
      </c>
      <c r="AB6541">
        <v>31</v>
      </c>
      <c r="AC6541">
        <v>-1.74619999999998</v>
      </c>
      <c r="AD6541">
        <v>-1.1216335163810001</v>
      </c>
      <c r="AE6541">
        <v>32.403371100000001</v>
      </c>
      <c r="AF6541">
        <v>-2.69161966773965</v>
      </c>
      <c r="AG6541">
        <v>-1.1216335163810001</v>
      </c>
      <c r="AH6541">
        <v>32.299709519435297</v>
      </c>
      <c r="AI6541">
        <v>91.981978727596797</v>
      </c>
      <c r="AJ6541">
        <v>94.763601538925002</v>
      </c>
      <c r="AK6541">
        <v>32.431067099630397</v>
      </c>
      <c r="AL6541">
        <v>77.685150486949794</v>
      </c>
      <c r="AM6541">
        <v>93.951719134097203</v>
      </c>
      <c r="AN6541">
        <v>0.99999998664891099</v>
      </c>
    </row>
    <row r="6542" spans="1:40" x14ac:dyDescent="0.25">
      <c r="A6542" t="str">
        <f>"20190303162946936"</f>
        <v>20190303162946936</v>
      </c>
      <c r="B6542" t="str">
        <f>"1551601786928441"</f>
        <v>1551601786928441</v>
      </c>
      <c r="C6542" t="s">
        <v>40</v>
      </c>
      <c r="D6542">
        <v>4.5074259999999997</v>
      </c>
      <c r="E6542">
        <v>0.49740499999999999</v>
      </c>
      <c r="F6542" t="s">
        <v>41</v>
      </c>
      <c r="G6542">
        <v>-190.14269999999999</v>
      </c>
      <c r="H6542" s="1">
        <v>-2.715275E-6</v>
      </c>
      <c r="I6542">
        <v>35.829990000000002</v>
      </c>
      <c r="J6542">
        <v>-188.4075</v>
      </c>
      <c r="K6542">
        <v>1.1215820000000001</v>
      </c>
      <c r="L6542">
        <v>0.92947389999999996</v>
      </c>
      <c r="M6542">
        <v>2.909519E-2</v>
      </c>
      <c r="N6542">
        <v>-1.196503E-2</v>
      </c>
      <c r="O6542">
        <v>0.99950499999999998</v>
      </c>
      <c r="P6542">
        <v>-3.5762149999999999E-2</v>
      </c>
      <c r="Q6542">
        <v>0.1974284</v>
      </c>
      <c r="R6542">
        <v>0.9796648</v>
      </c>
      <c r="S6542">
        <v>-0.1509857</v>
      </c>
      <c r="T6542">
        <v>-9.8100069999999998E-2</v>
      </c>
      <c r="U6542">
        <v>3.0795590000000002</v>
      </c>
      <c r="V6542">
        <v>-6.4371410000000004E-2</v>
      </c>
      <c r="W6542">
        <v>0.2090823</v>
      </c>
      <c r="X6542">
        <v>0.97577709999999995</v>
      </c>
      <c r="Y6542">
        <v>-7.7981140000000004E-2</v>
      </c>
      <c r="Z6542">
        <v>-1.9781549999999998E-2</v>
      </c>
      <c r="AA6542">
        <v>0.99675860000000005</v>
      </c>
      <c r="AB6542">
        <v>31</v>
      </c>
      <c r="AC6542">
        <v>-1.7351999999999901</v>
      </c>
      <c r="AD6542">
        <v>-1.121584715275</v>
      </c>
      <c r="AE6542">
        <v>34.900516099999997</v>
      </c>
      <c r="AF6542">
        <v>-2.7471450100699499</v>
      </c>
      <c r="AG6542">
        <v>-1.121584715275</v>
      </c>
      <c r="AH6542">
        <v>34.799398204374199</v>
      </c>
      <c r="AI6542">
        <v>91.840282782791505</v>
      </c>
      <c r="AJ6542">
        <v>94.513700638332693</v>
      </c>
      <c r="AK6542">
        <v>34.925676419598403</v>
      </c>
      <c r="AL6542">
        <v>77.931422106551196</v>
      </c>
      <c r="AM6542">
        <v>93.774298175776494</v>
      </c>
      <c r="AN6542">
        <v>1.00000001774154</v>
      </c>
    </row>
    <row r="6543" spans="1:40" x14ac:dyDescent="0.25">
      <c r="A6543" t="str">
        <f>"20190303162946966"</f>
        <v>20190303162946966</v>
      </c>
      <c r="B6543" t="str">
        <f>"1551601786958698"</f>
        <v>1551601786958698</v>
      </c>
      <c r="C6543" t="s">
        <v>40</v>
      </c>
      <c r="D6543">
        <v>4.4227589999999903</v>
      </c>
      <c r="E6543">
        <v>0.4991276</v>
      </c>
      <c r="F6543" t="s">
        <v>41</v>
      </c>
      <c r="G6543">
        <v>-189.93899999999999</v>
      </c>
      <c r="H6543" s="1">
        <v>-2.233787E-6</v>
      </c>
      <c r="I6543">
        <v>34.81456</v>
      </c>
      <c r="J6543">
        <v>-188.39580000000001</v>
      </c>
      <c r="K6543">
        <v>1.121545</v>
      </c>
      <c r="L6543">
        <v>1.346924</v>
      </c>
      <c r="M6543">
        <v>2.882005E-2</v>
      </c>
      <c r="N6543">
        <v>-1.1964549999999999E-2</v>
      </c>
      <c r="O6543">
        <v>0.99951299999999998</v>
      </c>
      <c r="P6543">
        <v>-3.3359340000000001E-2</v>
      </c>
      <c r="Q6543">
        <v>0.19314020000000001</v>
      </c>
      <c r="R6543">
        <v>0.98060389999999997</v>
      </c>
      <c r="S6543">
        <v>-0.1390991</v>
      </c>
      <c r="T6543">
        <v>-0.1018717</v>
      </c>
      <c r="U6543">
        <v>3.077728</v>
      </c>
      <c r="V6543">
        <v>-6.1713190000000001E-2</v>
      </c>
      <c r="W6543">
        <v>0.20481089999999999</v>
      </c>
      <c r="X6543">
        <v>0.97685409999999995</v>
      </c>
      <c r="Y6543">
        <v>-7.3893360000000005E-2</v>
      </c>
      <c r="Z6543">
        <v>-2.1030719999999999E-2</v>
      </c>
      <c r="AA6543">
        <v>0.99704440000000005</v>
      </c>
      <c r="AB6543">
        <v>31</v>
      </c>
      <c r="AC6543">
        <v>-1.5432000000000099</v>
      </c>
      <c r="AD6543">
        <v>-1.1215472337870001</v>
      </c>
      <c r="AE6543">
        <v>33.467635999999999</v>
      </c>
      <c r="AF6543">
        <v>-2.5043604192461801</v>
      </c>
      <c r="AG6543">
        <v>-1.1215472337870001</v>
      </c>
      <c r="AH6543">
        <v>33.371856266510697</v>
      </c>
      <c r="AI6543">
        <v>91.919454690272204</v>
      </c>
      <c r="AJ6543">
        <v>94.291665078035905</v>
      </c>
      <c r="AK6543">
        <v>33.484481181283897</v>
      </c>
      <c r="AL6543">
        <v>78.181570190418796</v>
      </c>
      <c r="AM6543">
        <v>93.614882167603994</v>
      </c>
      <c r="AN6543">
        <v>0.99999997763279702</v>
      </c>
    </row>
    <row r="6544" spans="1:40" x14ac:dyDescent="0.25">
      <c r="A6544" t="str">
        <f>"20190303162946988"</f>
        <v>20190303162946988</v>
      </c>
      <c r="B6544" t="str">
        <f>"1551601786978218"</f>
        <v>1551601786978218</v>
      </c>
      <c r="C6544" t="s">
        <v>40</v>
      </c>
      <c r="D6544">
        <v>4.3702550000000002</v>
      </c>
      <c r="E6544">
        <v>0.4998184</v>
      </c>
      <c r="F6544" t="s">
        <v>41</v>
      </c>
      <c r="G6544">
        <v>-189.65110000000001</v>
      </c>
      <c r="H6544" s="1">
        <v>-1.772824E-6</v>
      </c>
      <c r="I6544">
        <v>33.621009999999998</v>
      </c>
      <c r="J6544">
        <v>-188.3869</v>
      </c>
      <c r="K6544">
        <v>1.1215250000000001</v>
      </c>
      <c r="L6544">
        <v>1.663422</v>
      </c>
      <c r="M6544">
        <v>2.8591849999999999E-2</v>
      </c>
      <c r="N6544">
        <v>-1.196435E-2</v>
      </c>
      <c r="O6544">
        <v>0.99951959999999995</v>
      </c>
      <c r="P6544">
        <v>-3.3270439999999998E-2</v>
      </c>
      <c r="Q6544">
        <v>0.1925251</v>
      </c>
      <c r="R6544">
        <v>0.98072789999999999</v>
      </c>
      <c r="S6544">
        <v>-0.1196594</v>
      </c>
      <c r="T6544">
        <v>-0.106904399999999</v>
      </c>
      <c r="U6544">
        <v>3.0763240000000001</v>
      </c>
      <c r="V6544">
        <v>-6.1400740000000002E-2</v>
      </c>
      <c r="W6544">
        <v>0.20419850000000001</v>
      </c>
      <c r="X6544">
        <v>0.97700200000000004</v>
      </c>
      <c r="Y6544">
        <v>-6.7395029999999995E-2</v>
      </c>
      <c r="Z6544">
        <v>-2.2689589999999999E-2</v>
      </c>
      <c r="AA6544">
        <v>0.99746840000000003</v>
      </c>
      <c r="AB6544">
        <v>31</v>
      </c>
      <c r="AC6544">
        <v>-1.26420000000001</v>
      </c>
      <c r="AD6544">
        <v>-1.1215267728239999</v>
      </c>
      <c r="AE6544">
        <v>31.957588000000001</v>
      </c>
      <c r="AF6544">
        <v>-2.1748007082598502</v>
      </c>
      <c r="AG6544">
        <v>-1.1215267728239999</v>
      </c>
      <c r="AH6544">
        <v>31.8691835831176</v>
      </c>
      <c r="AI6544">
        <v>92.010824169097802</v>
      </c>
      <c r="AJ6544">
        <v>93.903897094045305</v>
      </c>
      <c r="AK6544">
        <v>31.962985509449201</v>
      </c>
      <c r="AL6544">
        <v>78.217415886595305</v>
      </c>
      <c r="AM6544">
        <v>93.596085374839006</v>
      </c>
      <c r="AN6544">
        <v>0.99999999313939802</v>
      </c>
    </row>
    <row r="6545" spans="1:40" x14ac:dyDescent="0.25">
      <c r="A6545" t="str">
        <f>"20190303162947012"</f>
        <v>20190303162947012</v>
      </c>
      <c r="B6545" t="str">
        <f>"1551601786998714"</f>
        <v>1551601786998714</v>
      </c>
      <c r="C6545" t="s">
        <v>40</v>
      </c>
      <c r="D6545">
        <v>4.3933309999999999</v>
      </c>
      <c r="E6545">
        <v>0.50013669999999999</v>
      </c>
      <c r="F6545" t="s">
        <v>41</v>
      </c>
      <c r="G6545">
        <v>-189.61670000000001</v>
      </c>
      <c r="H6545" s="1">
        <v>-2.148246E-6</v>
      </c>
      <c r="I6545">
        <v>34.481879999999997</v>
      </c>
      <c r="J6545">
        <v>-188.37790000000001</v>
      </c>
      <c r="K6545">
        <v>1.1215299999999999</v>
      </c>
      <c r="L6545">
        <v>1.9891049999999999</v>
      </c>
      <c r="M6545">
        <v>2.8338249999999999E-2</v>
      </c>
      <c r="N6545">
        <v>-1.1964209999999999E-2</v>
      </c>
      <c r="O6545">
        <v>0.99952680000000005</v>
      </c>
      <c r="P6545">
        <v>-3.4316069999999997E-2</v>
      </c>
      <c r="Q6545">
        <v>0.19329650000000001</v>
      </c>
      <c r="R6545">
        <v>0.98054010000000003</v>
      </c>
      <c r="S6545">
        <v>-0.11524959999999999</v>
      </c>
      <c r="T6545">
        <v>-0.1051074</v>
      </c>
      <c r="U6545">
        <v>3.0756839999999999</v>
      </c>
      <c r="V6545">
        <v>-6.2192730000000002E-2</v>
      </c>
      <c r="W6545">
        <v>0.20496729999999999</v>
      </c>
      <c r="X6545">
        <v>0.97679090000000002</v>
      </c>
      <c r="Y6545">
        <v>-6.5722989999999995E-2</v>
      </c>
      <c r="Z6545">
        <v>-2.2118269999999999E-2</v>
      </c>
      <c r="AA6545">
        <v>0.9975927</v>
      </c>
      <c r="AB6545">
        <v>31</v>
      </c>
      <c r="AC6545">
        <v>-1.2387999999999899</v>
      </c>
      <c r="AD6545">
        <v>-1.1215321482459999</v>
      </c>
      <c r="AE6545">
        <v>32.492774999999902</v>
      </c>
      <c r="AF6545">
        <v>-2.1565911078017201</v>
      </c>
      <c r="AG6545">
        <v>-1.1215321482459999</v>
      </c>
      <c r="AH6545">
        <v>32.406063950306297</v>
      </c>
      <c r="AI6545">
        <v>91.977770809269003</v>
      </c>
      <c r="AJ6545">
        <v>93.807362735522105</v>
      </c>
      <c r="AK6545">
        <v>32.497102952680898</v>
      </c>
      <c r="AL6545">
        <v>78.172415123352593</v>
      </c>
      <c r="AM6545">
        <v>93.643131190111106</v>
      </c>
      <c r="AN6545">
        <v>0.999999996028476</v>
      </c>
    </row>
    <row r="6546" spans="1:40" x14ac:dyDescent="0.25">
      <c r="A6546" t="str">
        <f>"20190303162947032"</f>
        <v>20190303162947032</v>
      </c>
      <c r="B6546" t="str">
        <f>"1551601787018233"</f>
        <v>1551601787018233</v>
      </c>
      <c r="C6546" t="s">
        <v>40</v>
      </c>
      <c r="D6546">
        <v>4.3309309999999996</v>
      </c>
      <c r="E6546">
        <v>0.50053809999999999</v>
      </c>
      <c r="F6546" t="s">
        <v>41</v>
      </c>
      <c r="G6546">
        <v>-189.68039999999999</v>
      </c>
      <c r="H6546" s="1">
        <v>-2.8593700000000001E-6</v>
      </c>
      <c r="I6546">
        <v>36.165889999999997</v>
      </c>
      <c r="J6546">
        <v>-188.3699</v>
      </c>
      <c r="K6546">
        <v>1.1215459999999999</v>
      </c>
      <c r="L6546">
        <v>2.2821959999999999</v>
      </c>
      <c r="M6546">
        <v>2.809126E-2</v>
      </c>
      <c r="N6546">
        <v>-1.196417E-2</v>
      </c>
      <c r="O6546">
        <v>0.99953380000000003</v>
      </c>
      <c r="P6546">
        <v>-3.6333980000000002E-2</v>
      </c>
      <c r="Q6546">
        <v>0.19535359999999999</v>
      </c>
      <c r="R6546">
        <v>0.98005960000000003</v>
      </c>
      <c r="S6546">
        <v>-0.1172028</v>
      </c>
      <c r="T6546">
        <v>-0.10091849999999999</v>
      </c>
      <c r="U6546">
        <v>3.0753170000000001</v>
      </c>
      <c r="V6546">
        <v>-6.3958119999999993E-2</v>
      </c>
      <c r="W6546">
        <v>0.2070157</v>
      </c>
      <c r="X6546">
        <v>0.97624469999999997</v>
      </c>
      <c r="Y6546">
        <v>-6.6115069999999998E-2</v>
      </c>
      <c r="Z6546">
        <v>-2.0764339999999999E-2</v>
      </c>
      <c r="AA6546">
        <v>0.99759589999999998</v>
      </c>
      <c r="AB6546">
        <v>31</v>
      </c>
      <c r="AC6546">
        <v>-1.31049999999999</v>
      </c>
      <c r="AD6546">
        <v>-1.12154885937</v>
      </c>
      <c r="AE6546">
        <v>33.883693999999998</v>
      </c>
      <c r="AF6546">
        <v>-2.2594147718024802</v>
      </c>
      <c r="AG6546">
        <v>-1.12154885937</v>
      </c>
      <c r="AH6546">
        <v>33.796531667444803</v>
      </c>
      <c r="AI6546">
        <v>91.896451345031096</v>
      </c>
      <c r="AJ6546">
        <v>93.824729298912104</v>
      </c>
      <c r="AK6546">
        <v>33.890535252539102</v>
      </c>
      <c r="AL6546">
        <v>78.052477402785996</v>
      </c>
      <c r="AM6546">
        <v>93.748343943267201</v>
      </c>
      <c r="AN6546">
        <v>0.99999992771925394</v>
      </c>
    </row>
    <row r="6547" spans="1:40" x14ac:dyDescent="0.25">
      <c r="A6547" t="str">
        <f>"20190303162947056"</f>
        <v>20190303162947056</v>
      </c>
      <c r="B6547" t="str">
        <f>"1551601787048490"</f>
        <v>1551601787048490</v>
      </c>
      <c r="C6547" t="s">
        <v>40</v>
      </c>
      <c r="D6547">
        <v>4.2911900000000003</v>
      </c>
      <c r="E6547">
        <v>0.50114759999999903</v>
      </c>
      <c r="F6547" t="s">
        <v>41</v>
      </c>
      <c r="G6547">
        <v>-189.89320000000001</v>
      </c>
      <c r="H6547" s="1">
        <v>-5.7441529999999998E-7</v>
      </c>
      <c r="I6547">
        <v>40.927590000000002</v>
      </c>
      <c r="J6547">
        <v>-188.36109999999999</v>
      </c>
      <c r="K6547">
        <v>1.1215930000000001</v>
      </c>
      <c r="L6547">
        <v>2.6065369999999999</v>
      </c>
      <c r="M6547">
        <v>2.7796749999999999E-2</v>
      </c>
      <c r="N6547">
        <v>-1.1964219999999999E-2</v>
      </c>
      <c r="O6547">
        <v>0.99954200000000004</v>
      </c>
      <c r="P6547">
        <v>-3.9232820000000002E-2</v>
      </c>
      <c r="Q6547">
        <v>0.20281279999999999</v>
      </c>
      <c r="R6547">
        <v>0.9784313</v>
      </c>
      <c r="S6547">
        <v>-0.1211853</v>
      </c>
      <c r="T6547">
        <v>-8.9221949999999994E-2</v>
      </c>
      <c r="U6547">
        <v>3.074341</v>
      </c>
      <c r="V6547">
        <v>-6.6532350000000004E-2</v>
      </c>
      <c r="W6547">
        <v>0.21445139999999999</v>
      </c>
      <c r="X6547">
        <v>0.97446600000000005</v>
      </c>
      <c r="Y6547">
        <v>-6.7127530000000005E-2</v>
      </c>
      <c r="Z6547">
        <v>-1.6980700000000001E-2</v>
      </c>
      <c r="AA6547">
        <v>0.99759989999999998</v>
      </c>
      <c r="AB6547">
        <v>31</v>
      </c>
      <c r="AC6547">
        <v>-1.53210000000001</v>
      </c>
      <c r="AD6547">
        <v>-1.1215935744153001</v>
      </c>
      <c r="AE6547">
        <v>38.321052999999999</v>
      </c>
      <c r="AF6547">
        <v>-2.5945658243381802</v>
      </c>
      <c r="AG6547">
        <v>-1.1215935744153001</v>
      </c>
      <c r="AH6547">
        <v>38.230955276646398</v>
      </c>
      <c r="AI6547">
        <v>91.676568065180106</v>
      </c>
      <c r="AJ6547">
        <v>93.882457891276005</v>
      </c>
      <c r="AK6547">
        <v>38.3353059897522</v>
      </c>
      <c r="AL6547">
        <v>77.6166554851971</v>
      </c>
      <c r="AM6547">
        <v>93.9058479509699</v>
      </c>
      <c r="AN6547">
        <v>0.99999997085724002</v>
      </c>
    </row>
    <row r="6548" spans="1:40" x14ac:dyDescent="0.25">
      <c r="A6548" t="str">
        <f>"20190303162947077"</f>
        <v>20190303162947077</v>
      </c>
      <c r="B6548" t="str">
        <f>"1551601787068986"</f>
        <v>1551601787068986</v>
      </c>
      <c r="C6548" t="s">
        <v>40</v>
      </c>
      <c r="D6548">
        <v>4.3277729999999996</v>
      </c>
      <c r="E6548">
        <v>0.50160720000000003</v>
      </c>
      <c r="F6548" t="s">
        <v>41</v>
      </c>
      <c r="G6548">
        <v>-190.58179999999999</v>
      </c>
      <c r="H6548" s="1">
        <v>-3.2171149999999999E-6</v>
      </c>
      <c r="I6548">
        <v>56.727449999999997</v>
      </c>
      <c r="J6548">
        <v>-188.3528</v>
      </c>
      <c r="K6548">
        <v>1.12165</v>
      </c>
      <c r="L6548">
        <v>2.9143680000000001</v>
      </c>
      <c r="M6548">
        <v>2.7500159999999999E-2</v>
      </c>
      <c r="N6548">
        <v>-1.1964310000000001E-2</v>
      </c>
      <c r="O6548">
        <v>0.99955020000000006</v>
      </c>
      <c r="P6548">
        <v>-4.2327820000000002E-2</v>
      </c>
      <c r="Q6548">
        <v>0.2115408</v>
      </c>
      <c r="R6548">
        <v>0.97645219999999999</v>
      </c>
      <c r="S6548">
        <v>-0.12614439999999999</v>
      </c>
      <c r="T6548">
        <v>-6.3711050000000005E-2</v>
      </c>
      <c r="U6548">
        <v>3.0742799999999999</v>
      </c>
      <c r="V6548">
        <v>-6.9293800000000003E-2</v>
      </c>
      <c r="W6548">
        <v>0.2231503</v>
      </c>
      <c r="X6548">
        <v>0.97231800000000002</v>
      </c>
      <c r="Y6548">
        <v>-6.844625E-2</v>
      </c>
      <c r="Z6548">
        <v>-8.7047289999999996E-3</v>
      </c>
      <c r="AA6548">
        <v>0.99761679999999997</v>
      </c>
      <c r="AB6548">
        <v>31</v>
      </c>
      <c r="AC6548">
        <v>-2.2289999999999801</v>
      </c>
      <c r="AD6548">
        <v>-1.121653217115</v>
      </c>
      <c r="AE6548">
        <v>53.813082000000001</v>
      </c>
      <c r="AF6548">
        <v>-3.70652361193897</v>
      </c>
      <c r="AG6548">
        <v>-1.121653217115</v>
      </c>
      <c r="AH6548">
        <v>53.708131062047002</v>
      </c>
      <c r="AI6548">
        <v>91.193566491297503</v>
      </c>
      <c r="AJ6548">
        <v>93.947856066126207</v>
      </c>
      <c r="AK6548">
        <v>53.847560440593199</v>
      </c>
      <c r="AL6548">
        <v>77.105866916708294</v>
      </c>
      <c r="AM6548">
        <v>94.076383621032704</v>
      </c>
      <c r="AN6548">
        <v>0.99999999011626495</v>
      </c>
    </row>
    <row r="6549" spans="1:40" x14ac:dyDescent="0.25">
      <c r="A6549" t="str">
        <f>"20190303162947103"</f>
        <v>20190303162947103</v>
      </c>
      <c r="B6549" t="str">
        <f>"1551601787098265"</f>
        <v>1551601787098265</v>
      </c>
      <c r="C6549" t="s">
        <v>40</v>
      </c>
      <c r="D6549">
        <v>4.2830500000000002</v>
      </c>
      <c r="E6549">
        <v>0.49024010000000001</v>
      </c>
      <c r="F6549" t="s">
        <v>41</v>
      </c>
      <c r="G6549">
        <v>-192.75899999999999</v>
      </c>
      <c r="H6549" s="1">
        <v>-3.0747859999999998E-6</v>
      </c>
      <c r="I6549">
        <v>105.0453</v>
      </c>
      <c r="J6549">
        <v>-188.34389999999999</v>
      </c>
      <c r="K6549">
        <v>1.121707</v>
      </c>
      <c r="L6549">
        <v>3.2552189999999999</v>
      </c>
      <c r="M6549">
        <v>2.7157130000000002E-2</v>
      </c>
      <c r="N6549">
        <v>-1.196439E-2</v>
      </c>
      <c r="O6549">
        <v>0.99955959999999999</v>
      </c>
      <c r="P6549">
        <v>-4.7317539999999998E-2</v>
      </c>
      <c r="Q6549">
        <v>0.22191359999999999</v>
      </c>
      <c r="R6549">
        <v>0.97391749999999999</v>
      </c>
      <c r="S6549">
        <v>-0.13261410000000001</v>
      </c>
      <c r="T6549">
        <v>-3.3759240000000003E-2</v>
      </c>
      <c r="U6549">
        <v>3.0739139999999998</v>
      </c>
      <c r="V6549">
        <v>-7.3891159999999997E-2</v>
      </c>
      <c r="W6549">
        <v>0.23348659999999999</v>
      </c>
      <c r="X6549">
        <v>0.96954839999999998</v>
      </c>
      <c r="Y6549">
        <v>-7.0209980000000005E-2</v>
      </c>
      <c r="Z6549">
        <v>1.0143509999999999E-3</v>
      </c>
      <c r="AA6549">
        <v>0.99753170000000002</v>
      </c>
      <c r="AB6549">
        <v>31</v>
      </c>
      <c r="AC6549">
        <v>-4.4151000000000202</v>
      </c>
      <c r="AD6549">
        <v>-1.121710074786</v>
      </c>
      <c r="AE6549">
        <v>101.790081</v>
      </c>
      <c r="AF6549">
        <v>-7.1771257126596701</v>
      </c>
      <c r="AG6549">
        <v>-1.121710074786</v>
      </c>
      <c r="AH6549">
        <v>101.620305820098</v>
      </c>
      <c r="AI6549">
        <v>90.630848004070501</v>
      </c>
      <c r="AJ6549">
        <v>94.039914134285695</v>
      </c>
      <c r="AK6549">
        <v>101.87961484986801</v>
      </c>
      <c r="AL6549">
        <v>76.497570166693293</v>
      </c>
      <c r="AM6549">
        <v>94.3581974281839</v>
      </c>
      <c r="AN6549">
        <v>0.99999999792413197</v>
      </c>
    </row>
    <row r="6550" spans="1:40" x14ac:dyDescent="0.25">
      <c r="A6550" t="str">
        <f>"20190303162947212"</f>
        <v>20190303162947212</v>
      </c>
      <c r="B6550" t="str">
        <f>"1551601787208553"</f>
        <v>1551601787208553</v>
      </c>
      <c r="C6550" t="s">
        <v>40</v>
      </c>
      <c r="D6550">
        <v>4.2039660000000003</v>
      </c>
      <c r="E6550">
        <v>0.41218539999999998</v>
      </c>
      <c r="F6550" t="s">
        <v>71</v>
      </c>
      <c r="G6550">
        <v>-218.13149999999999</v>
      </c>
      <c r="H6550">
        <v>47.819339999999997</v>
      </c>
      <c r="I6550">
        <v>391.87</v>
      </c>
      <c r="J6550">
        <v>-188.3049</v>
      </c>
      <c r="K6550">
        <v>1.1218969999999999</v>
      </c>
      <c r="L6550">
        <v>4.7957460000000003</v>
      </c>
      <c r="M6550">
        <v>2.553561E-2</v>
      </c>
      <c r="N6550">
        <v>-1.196491E-2</v>
      </c>
      <c r="O6550">
        <v>0.99960230000000005</v>
      </c>
      <c r="P6550">
        <v>-7.8083689999999997E-2</v>
      </c>
      <c r="Q6550">
        <v>0.257218</v>
      </c>
      <c r="R6550">
        <v>0.96319350000000004</v>
      </c>
      <c r="S6550">
        <v>-0.22898859999999999</v>
      </c>
      <c r="T6550">
        <v>0.35898210000000003</v>
      </c>
      <c r="U6550">
        <v>2.9874269999999998</v>
      </c>
      <c r="V6550">
        <v>-0.1028259</v>
      </c>
      <c r="W6550">
        <v>0.26863150000000002</v>
      </c>
      <c r="X6550">
        <v>0.95773900000000001</v>
      </c>
      <c r="Y6550">
        <v>-0.10127410000000001</v>
      </c>
      <c r="Z6550">
        <v>0.1306515</v>
      </c>
      <c r="AA6550">
        <v>0.98624219999999896</v>
      </c>
      <c r="AB6550">
        <v>31</v>
      </c>
      <c r="AC6550">
        <v>-29.8265999999999</v>
      </c>
      <c r="AD6550">
        <v>46.697443</v>
      </c>
      <c r="AE6550">
        <v>387.074254</v>
      </c>
      <c r="AF6550">
        <v>-39.135521150569303</v>
      </c>
      <c r="AG6550">
        <v>46.697443</v>
      </c>
      <c r="AH6550">
        <v>380.67843671381598</v>
      </c>
      <c r="AI6550">
        <v>83.042828600328804</v>
      </c>
      <c r="AJ6550">
        <v>95.869653279322094</v>
      </c>
      <c r="AK6550">
        <v>385.523426496159</v>
      </c>
      <c r="AL6550">
        <v>74.417150974854394</v>
      </c>
      <c r="AM6550">
        <v>96.127983300897498</v>
      </c>
      <c r="AN6550">
        <v>1.0000000203120201</v>
      </c>
    </row>
    <row r="6551" spans="1:40" x14ac:dyDescent="0.25">
      <c r="A6551" t="str">
        <f>"20190303162947235"</f>
        <v>20190303162947235</v>
      </c>
      <c r="B6551" t="str">
        <f>"1551601787228377"</f>
        <v>1551601787228377</v>
      </c>
      <c r="C6551" t="s">
        <v>40</v>
      </c>
      <c r="D6551">
        <v>4.2340679999999997</v>
      </c>
      <c r="E6551">
        <v>0.41325790000000001</v>
      </c>
      <c r="F6551" t="s">
        <v>70</v>
      </c>
      <c r="G6551">
        <v>-212.2415</v>
      </c>
      <c r="H6551">
        <v>49.060760000000002</v>
      </c>
      <c r="I6551">
        <v>74.556469999999905</v>
      </c>
      <c r="J6551">
        <v>-188.2972</v>
      </c>
      <c r="K6551">
        <v>1.1219159999999999</v>
      </c>
      <c r="L6551">
        <v>5.1111449999999996</v>
      </c>
      <c r="M6551">
        <v>2.5208879999999999E-2</v>
      </c>
      <c r="N6551">
        <v>-1.1965089999999999E-2</v>
      </c>
      <c r="O6551">
        <v>0.99961060000000002</v>
      </c>
      <c r="P6551">
        <v>-8.5475720000000005E-2</v>
      </c>
      <c r="Q6551">
        <v>0.26391479999999901</v>
      </c>
      <c r="R6551">
        <v>0.96075120000000003</v>
      </c>
      <c r="S6551">
        <v>-0.88226319999999903</v>
      </c>
      <c r="T6551">
        <v>1.7669429999999999</v>
      </c>
      <c r="U6551">
        <v>2.571259</v>
      </c>
      <c r="V6551">
        <v>-0.1098435</v>
      </c>
      <c r="W6551">
        <v>0.2752928</v>
      </c>
      <c r="X6551">
        <v>0.95506449999999998</v>
      </c>
      <c r="Y6551">
        <v>-0.29527019999999998</v>
      </c>
      <c r="Z6551">
        <v>0.55253980000000003</v>
      </c>
      <c r="AA6551">
        <v>0.77943269999999998</v>
      </c>
      <c r="AB6551">
        <v>31</v>
      </c>
      <c r="AC6551">
        <v>-23.944299999999998</v>
      </c>
      <c r="AD6551">
        <v>47.938844000000003</v>
      </c>
      <c r="AE6551">
        <v>69.445324999999997</v>
      </c>
      <c r="AF6551">
        <v>-18.014943545695498</v>
      </c>
      <c r="AG6551">
        <v>47.938844000000003</v>
      </c>
      <c r="AH6551">
        <v>48.2640758079406</v>
      </c>
      <c r="AI6551">
        <v>47.060234087491402</v>
      </c>
      <c r="AJ6551">
        <v>110.468481912115</v>
      </c>
      <c r="AK6551">
        <v>70.371101800423503</v>
      </c>
      <c r="AL6551">
        <v>74.020535453022006</v>
      </c>
      <c r="AM6551">
        <v>96.560852577869397</v>
      </c>
      <c r="AN6551">
        <v>0.99999995969216904</v>
      </c>
    </row>
    <row r="6552" spans="1:40" x14ac:dyDescent="0.25">
      <c r="A6552" t="str">
        <f>"20190303162947256"</f>
        <v>20190303162947256</v>
      </c>
      <c r="B6552" t="str">
        <f>"1551601787248872"</f>
        <v>1551601787248872</v>
      </c>
      <c r="C6552" t="s">
        <v>40</v>
      </c>
      <c r="D6552">
        <v>4.1638080000000004</v>
      </c>
      <c r="E6552">
        <v>0.41817480000000001</v>
      </c>
      <c r="F6552" t="s">
        <v>70</v>
      </c>
      <c r="G6552">
        <v>-212.24100000000001</v>
      </c>
      <c r="H6552">
        <v>47.678460000000001</v>
      </c>
      <c r="I6552">
        <v>73.407420000000002</v>
      </c>
      <c r="J6552">
        <v>-188.28970000000001</v>
      </c>
      <c r="K6552">
        <v>1.1219460000000001</v>
      </c>
      <c r="L6552">
        <v>5.4217529999999998</v>
      </c>
      <c r="M6552">
        <v>2.489102E-2</v>
      </c>
      <c r="N6552">
        <v>-1.196532E-2</v>
      </c>
      <c r="O6552">
        <v>0.99961860000000002</v>
      </c>
      <c r="P6552">
        <v>-9.2026369999999996E-2</v>
      </c>
      <c r="Q6552">
        <v>0.26974680000000001</v>
      </c>
      <c r="R6552">
        <v>0.95852380000000004</v>
      </c>
      <c r="S6552">
        <v>-0.89846800000000004</v>
      </c>
      <c r="T6552">
        <v>1.7469840000000001</v>
      </c>
      <c r="U6552">
        <v>2.5627439999999999</v>
      </c>
      <c r="V6552">
        <v>-0.1160341</v>
      </c>
      <c r="W6552">
        <v>0.28109309999999998</v>
      </c>
      <c r="X6552">
        <v>0.95263989999999998</v>
      </c>
      <c r="Y6552">
        <v>-0.30102689999999999</v>
      </c>
      <c r="Z6552">
        <v>0.54861210000000005</v>
      </c>
      <c r="AA6552">
        <v>0.7800049</v>
      </c>
      <c r="AB6552">
        <v>31</v>
      </c>
      <c r="AC6552">
        <v>-23.9512999999999</v>
      </c>
      <c r="AD6552">
        <v>46.556514</v>
      </c>
      <c r="AE6552">
        <v>67.985667000000007</v>
      </c>
      <c r="AF6552">
        <v>-18.089706274637098</v>
      </c>
      <c r="AG6552">
        <v>46.556514</v>
      </c>
      <c r="AH6552">
        <v>47.5371851709574</v>
      </c>
      <c r="AI6552">
        <v>47.531016595499999</v>
      </c>
      <c r="AJ6552">
        <v>110.83372277662301</v>
      </c>
      <c r="AK6552">
        <v>68.953103214523495</v>
      </c>
      <c r="AL6552">
        <v>73.674545027311495</v>
      </c>
      <c r="AM6552">
        <v>96.944571769476994</v>
      </c>
      <c r="AN6552">
        <v>1.00000001115121</v>
      </c>
    </row>
    <row r="6553" spans="1:40" x14ac:dyDescent="0.25">
      <c r="A6553" t="str">
        <f>"20190303162947279"</f>
        <v>20190303162947279</v>
      </c>
      <c r="B6553" t="str">
        <f>"1551601787268393"</f>
        <v>1551601787268393</v>
      </c>
      <c r="C6553" t="s">
        <v>40</v>
      </c>
      <c r="D6553">
        <v>4.1937509999999998</v>
      </c>
      <c r="E6553">
        <v>0.42366359999999997</v>
      </c>
      <c r="F6553" t="s">
        <v>70</v>
      </c>
      <c r="G6553">
        <v>-212.24119999999999</v>
      </c>
      <c r="H6553">
        <v>48.325589999999998</v>
      </c>
      <c r="I6553">
        <v>74.870329999999996</v>
      </c>
      <c r="J6553">
        <v>-188.28229999999999</v>
      </c>
      <c r="K6553">
        <v>1.1219669999999999</v>
      </c>
      <c r="L6553">
        <v>5.7355349999999996</v>
      </c>
      <c r="M6553">
        <v>2.4572360000000001E-2</v>
      </c>
      <c r="N6553">
        <v>-1.196558E-2</v>
      </c>
      <c r="O6553">
        <v>0.99962649999999997</v>
      </c>
      <c r="P6553">
        <v>-9.6782480000000004E-2</v>
      </c>
      <c r="Q6553">
        <v>0.27467019999999998</v>
      </c>
      <c r="R6553">
        <v>0.95665529999999999</v>
      </c>
      <c r="S6553">
        <v>-0.88159179999999904</v>
      </c>
      <c r="T6553">
        <v>1.737438</v>
      </c>
      <c r="U6553">
        <v>2.5562130000000001</v>
      </c>
      <c r="V6553">
        <v>-0.12044050000000001</v>
      </c>
      <c r="W6553">
        <v>0.28599089999999999</v>
      </c>
      <c r="X6553">
        <v>0.95063310000000001</v>
      </c>
      <c r="Y6553">
        <v>-0.29682009999999998</v>
      </c>
      <c r="Z6553">
        <v>0.54824189999999995</v>
      </c>
      <c r="AA6553">
        <v>0.78187510000000005</v>
      </c>
      <c r="AB6553">
        <v>31</v>
      </c>
      <c r="AC6553">
        <v>-23.9589</v>
      </c>
      <c r="AD6553">
        <v>47.203623</v>
      </c>
      <c r="AE6553">
        <v>69.134794999999997</v>
      </c>
      <c r="AF6553">
        <v>-18.1122818640596</v>
      </c>
      <c r="AG6553">
        <v>47.203623</v>
      </c>
      <c r="AH6553">
        <v>48.386674053752699</v>
      </c>
      <c r="AI6553">
        <v>47.583960973161503</v>
      </c>
      <c r="AJ6553">
        <v>110.522068940842</v>
      </c>
      <c r="AK6553">
        <v>69.982190624710896</v>
      </c>
      <c r="AL6553">
        <v>73.3819114570789</v>
      </c>
      <c r="AM6553">
        <v>97.220620901608797</v>
      </c>
      <c r="AN6553">
        <v>0.99999999986933497</v>
      </c>
    </row>
    <row r="6554" spans="1:40" x14ac:dyDescent="0.25">
      <c r="A6554" t="str">
        <f>"20190303162947304"</f>
        <v>20190303162947304</v>
      </c>
      <c r="B6554" t="str">
        <f>"1551601787298648"</f>
        <v>1551601787298648</v>
      </c>
      <c r="C6554" t="s">
        <v>40</v>
      </c>
      <c r="D6554">
        <v>4.1775399999999996</v>
      </c>
      <c r="E6554">
        <v>0.43057279999999998</v>
      </c>
      <c r="F6554" t="s">
        <v>70</v>
      </c>
      <c r="G6554">
        <v>-212.24160000000001</v>
      </c>
      <c r="H6554">
        <v>49.617469999999997</v>
      </c>
      <c r="I6554">
        <v>77.493840000000006</v>
      </c>
      <c r="J6554">
        <v>-188.27420000000001</v>
      </c>
      <c r="K6554">
        <v>1.121985</v>
      </c>
      <c r="L6554">
        <v>6.0786740000000004</v>
      </c>
      <c r="M6554">
        <v>2.4226109999999999E-2</v>
      </c>
      <c r="N6554">
        <v>-1.196583E-2</v>
      </c>
      <c r="O6554">
        <v>0.99963489999999999</v>
      </c>
      <c r="P6554">
        <v>-9.9883970000000002E-2</v>
      </c>
      <c r="Q6554">
        <v>0.27980480000000002</v>
      </c>
      <c r="R6554">
        <v>0.95484690000000005</v>
      </c>
      <c r="S6554">
        <v>-0.85278319999999996</v>
      </c>
      <c r="T6554">
        <v>1.726091</v>
      </c>
      <c r="U6554">
        <v>2.5540769999999999</v>
      </c>
      <c r="V6554">
        <v>-0.1231686</v>
      </c>
      <c r="W6554">
        <v>0.29110200000000003</v>
      </c>
      <c r="X6554">
        <v>0.94873030000000003</v>
      </c>
      <c r="Y6554">
        <v>-0.28891339999999999</v>
      </c>
      <c r="Z6554">
        <v>0.54744419999999905</v>
      </c>
      <c r="AA6554">
        <v>0.78538769999999902</v>
      </c>
      <c r="AB6554">
        <v>31</v>
      </c>
      <c r="AC6554">
        <v>-23.967400000000001</v>
      </c>
      <c r="AD6554">
        <v>48.495484999999903</v>
      </c>
      <c r="AE6554">
        <v>71.415165999999999</v>
      </c>
      <c r="AF6554">
        <v>-18.162984174417701</v>
      </c>
      <c r="AG6554">
        <v>48.495484999999903</v>
      </c>
      <c r="AH6554">
        <v>50.064417172330003</v>
      </c>
      <c r="AI6554">
        <v>47.6793656772277</v>
      </c>
      <c r="AJ6554">
        <v>109.940380807214</v>
      </c>
      <c r="AK6554">
        <v>72.028827050775106</v>
      </c>
      <c r="AL6554">
        <v>73.076057855387702</v>
      </c>
      <c r="AM6554">
        <v>97.397033300352106</v>
      </c>
      <c r="AN6554">
        <v>1.00000003028402</v>
      </c>
    </row>
    <row r="6555" spans="1:40" x14ac:dyDescent="0.25">
      <c r="A6555" t="str">
        <f>"20190303162947325"</f>
        <v>20190303162947325</v>
      </c>
      <c r="B6555" t="str">
        <f>"1551601787318169"</f>
        <v>1551601787318169</v>
      </c>
      <c r="C6555" t="s">
        <v>40</v>
      </c>
      <c r="D6555">
        <v>4.2681129999999996</v>
      </c>
      <c r="E6555">
        <v>0.43420510000000001</v>
      </c>
      <c r="F6555" t="s">
        <v>70</v>
      </c>
      <c r="G6555">
        <v>-212.2423</v>
      </c>
      <c r="H6555">
        <v>51.630279999999999</v>
      </c>
      <c r="I6555">
        <v>81.839179999999999</v>
      </c>
      <c r="J6555">
        <v>-188.2672</v>
      </c>
      <c r="K6555">
        <v>1.122009</v>
      </c>
      <c r="L6555">
        <v>6.3806760000000002</v>
      </c>
      <c r="M6555">
        <v>2.3922579999999999E-2</v>
      </c>
      <c r="N6555">
        <v>-1.1965989999999999E-2</v>
      </c>
      <c r="O6555">
        <v>0.99964219999999904</v>
      </c>
      <c r="P6555">
        <v>-0.10266930000000001</v>
      </c>
      <c r="Q6555">
        <v>0.28540900000000002</v>
      </c>
      <c r="R6555">
        <v>0.95289069999999998</v>
      </c>
      <c r="S6555">
        <v>-0.80912779999999995</v>
      </c>
      <c r="T6555">
        <v>1.7050810000000001</v>
      </c>
      <c r="U6555">
        <v>2.5575559999999999</v>
      </c>
      <c r="V6555">
        <v>-0.1256197</v>
      </c>
      <c r="W6555">
        <v>0.29668119999999998</v>
      </c>
      <c r="X6555">
        <v>0.94667840000000003</v>
      </c>
      <c r="Y6555">
        <v>-0.27669939999999998</v>
      </c>
      <c r="Z6555">
        <v>0.54437760000000002</v>
      </c>
      <c r="AA6555">
        <v>0.79189039999999999</v>
      </c>
      <c r="AB6555">
        <v>31</v>
      </c>
      <c r="AC6555">
        <v>-23.975100000000001</v>
      </c>
      <c r="AD6555">
        <v>50.508271000000001</v>
      </c>
      <c r="AE6555">
        <v>75.458504000000005</v>
      </c>
      <c r="AF6555">
        <v>-18.3187224623017</v>
      </c>
      <c r="AG6555">
        <v>50.508271000000001</v>
      </c>
      <c r="AH6555">
        <v>53.209645894134503</v>
      </c>
      <c r="AI6555">
        <v>48.091050155617502</v>
      </c>
      <c r="AJ6555">
        <v>108.99727764063501</v>
      </c>
      <c r="AK6555">
        <v>75.616978571214204</v>
      </c>
      <c r="AL6555">
        <v>72.741623425096606</v>
      </c>
      <c r="AM6555">
        <v>97.558717878631199</v>
      </c>
      <c r="AN6555">
        <v>1.0000000182440401</v>
      </c>
    </row>
    <row r="6556" spans="1:40" x14ac:dyDescent="0.25">
      <c r="A6556" t="str">
        <f>"20190303162947346"</f>
        <v>20190303162947346</v>
      </c>
      <c r="B6556" t="str">
        <f>"1551601787338665"</f>
        <v>1551601787338665</v>
      </c>
      <c r="C6556" t="s">
        <v>40</v>
      </c>
      <c r="D6556">
        <v>4.2592610000000004</v>
      </c>
      <c r="E6556">
        <v>0.43706479999999998</v>
      </c>
      <c r="F6556" t="s">
        <v>70</v>
      </c>
      <c r="G6556">
        <v>-212.24270000000001</v>
      </c>
      <c r="H6556">
        <v>52.814230000000002</v>
      </c>
      <c r="I6556">
        <v>83.868390000000005</v>
      </c>
      <c r="J6556">
        <v>-188.2604</v>
      </c>
      <c r="K6556">
        <v>1.122028</v>
      </c>
      <c r="L6556">
        <v>6.6777649999999902</v>
      </c>
      <c r="M6556">
        <v>2.3624409999999998E-2</v>
      </c>
      <c r="N6556">
        <v>-1.196621E-2</v>
      </c>
      <c r="O6556">
        <v>0.99964929999999996</v>
      </c>
      <c r="P6556">
        <v>-0.1044364</v>
      </c>
      <c r="Q6556">
        <v>0.29004540000000001</v>
      </c>
      <c r="R6556">
        <v>0.95129739999999996</v>
      </c>
      <c r="S6556">
        <v>-0.78994750000000002</v>
      </c>
      <c r="T6556">
        <v>1.70315999999999</v>
      </c>
      <c r="U6556">
        <v>2.55307</v>
      </c>
      <c r="V6556">
        <v>-0.1270676</v>
      </c>
      <c r="W6556">
        <v>0.3012975</v>
      </c>
      <c r="X6556">
        <v>0.94502569999999997</v>
      </c>
      <c r="Y6556">
        <v>-0.27117649999999999</v>
      </c>
      <c r="Z6556">
        <v>0.54543269999999899</v>
      </c>
      <c r="AA6556">
        <v>0.7930741</v>
      </c>
      <c r="AB6556">
        <v>31</v>
      </c>
      <c r="AC6556">
        <v>-23.982299999999999</v>
      </c>
      <c r="AD6556">
        <v>51.692202000000002</v>
      </c>
      <c r="AE6556">
        <v>77.190624999999997</v>
      </c>
      <c r="AF6556">
        <v>-18.310645038212101</v>
      </c>
      <c r="AG6556">
        <v>51.692202000000002</v>
      </c>
      <c r="AH6556">
        <v>54.367350847601898</v>
      </c>
      <c r="AI6556">
        <v>47.979149879101797</v>
      </c>
      <c r="AJ6556">
        <v>108.61326154124799</v>
      </c>
      <c r="AK6556">
        <v>77.221579286559802</v>
      </c>
      <c r="AL6556">
        <v>72.464448733238996</v>
      </c>
      <c r="AM6556">
        <v>97.658026571400796</v>
      </c>
      <c r="AN6556">
        <v>0.99999996606824904</v>
      </c>
    </row>
    <row r="6557" spans="1:40" x14ac:dyDescent="0.25">
      <c r="A6557" t="str">
        <f>"20190303162947368"</f>
        <v>20190303162947368</v>
      </c>
      <c r="B6557" t="str">
        <f>"1551601787358184"</f>
        <v>1551601787358184</v>
      </c>
      <c r="C6557" t="s">
        <v>40</v>
      </c>
      <c r="D6557">
        <v>4.2272679999999996</v>
      </c>
      <c r="E6557">
        <v>0.43935449999999998</v>
      </c>
      <c r="F6557" t="s">
        <v>70</v>
      </c>
      <c r="G6557">
        <v>-212.24299999999999</v>
      </c>
      <c r="H6557">
        <v>53.84131</v>
      </c>
      <c r="I6557">
        <v>85.697269999999904</v>
      </c>
      <c r="J6557">
        <v>-188.2534</v>
      </c>
      <c r="K6557">
        <v>1.1220410000000001</v>
      </c>
      <c r="L6557">
        <v>6.9910889999999997</v>
      </c>
      <c r="M6557">
        <v>2.3310310000000001E-2</v>
      </c>
      <c r="N6557">
        <v>-1.196644E-2</v>
      </c>
      <c r="O6557">
        <v>0.99965669999999995</v>
      </c>
      <c r="P6557">
        <v>-0.10508480000000001</v>
      </c>
      <c r="Q6557">
        <v>0.29269299999999998</v>
      </c>
      <c r="R6557">
        <v>0.95041469999999995</v>
      </c>
      <c r="S6557">
        <v>-0.77391049999999995</v>
      </c>
      <c r="T6557">
        <v>1.70123</v>
      </c>
      <c r="U6557">
        <v>2.5499269999999998</v>
      </c>
      <c r="V6557">
        <v>-0.1273986</v>
      </c>
      <c r="W6557">
        <v>0.3039347</v>
      </c>
      <c r="X6557">
        <v>0.94413630000000004</v>
      </c>
      <c r="Y6557">
        <v>-0.26644129999999999</v>
      </c>
      <c r="Z6557">
        <v>0.54615880000000006</v>
      </c>
      <c r="AA6557">
        <v>0.79417859999999996</v>
      </c>
      <c r="AB6557">
        <v>31</v>
      </c>
      <c r="AC6557">
        <v>-23.989599999999999</v>
      </c>
      <c r="AD6557">
        <v>52.719268999999997</v>
      </c>
      <c r="AE6557">
        <v>78.706180999999901</v>
      </c>
      <c r="AF6557">
        <v>-18.303736433454699</v>
      </c>
      <c r="AG6557">
        <v>52.719268999999997</v>
      </c>
      <c r="AH6557">
        <v>55.387567184386903</v>
      </c>
      <c r="AI6557">
        <v>47.894153582411903</v>
      </c>
      <c r="AJ6557">
        <v>108.286991091849</v>
      </c>
      <c r="AK6557">
        <v>78.626526630169295</v>
      </c>
      <c r="AL6557">
        <v>72.305916140460695</v>
      </c>
      <c r="AM6557">
        <v>97.6848836472372</v>
      </c>
      <c r="AN6557">
        <v>1.00000002906186</v>
      </c>
    </row>
    <row r="6558" spans="1:40" x14ac:dyDescent="0.25">
      <c r="A6558" t="str">
        <f>"20190303162947392"</f>
        <v>20190303162947392</v>
      </c>
      <c r="B6558" t="str">
        <f>"1551601787388441"</f>
        <v>1551601787388441</v>
      </c>
      <c r="C6558" t="s">
        <v>40</v>
      </c>
      <c r="D6558">
        <v>4.2623930000000003</v>
      </c>
      <c r="E6558">
        <v>0.44224649999999999</v>
      </c>
      <c r="F6558" t="s">
        <v>70</v>
      </c>
      <c r="G6558">
        <v>-212.2433</v>
      </c>
      <c r="H6558">
        <v>54.709359999999997</v>
      </c>
      <c r="I6558">
        <v>87.716800000000006</v>
      </c>
      <c r="J6558">
        <v>-188.24619999999999</v>
      </c>
      <c r="K6558">
        <v>1.1220380000000001</v>
      </c>
      <c r="L6558">
        <v>7.3114929999999996</v>
      </c>
      <c r="M6558">
        <v>2.2988959999999999E-2</v>
      </c>
      <c r="N6558">
        <v>-1.196671E-2</v>
      </c>
      <c r="O6558">
        <v>0.99966410000000006</v>
      </c>
      <c r="P6558">
        <v>-0.1044132</v>
      </c>
      <c r="Q6558">
        <v>0.29426570000000002</v>
      </c>
      <c r="R6558">
        <v>0.95000300000000004</v>
      </c>
      <c r="S6558">
        <v>-0.75814820000000005</v>
      </c>
      <c r="T6558">
        <v>1.693503</v>
      </c>
      <c r="U6558">
        <v>2.5511469999999998</v>
      </c>
      <c r="V6558">
        <v>-0.1264139</v>
      </c>
      <c r="W6558">
        <v>0.30550389999999999</v>
      </c>
      <c r="X6558">
        <v>0.94376210000000005</v>
      </c>
      <c r="Y6558">
        <v>-0.2617255</v>
      </c>
      <c r="Z6558">
        <v>0.54498059999999904</v>
      </c>
      <c r="AA6558">
        <v>0.7965525</v>
      </c>
      <c r="AB6558">
        <v>31</v>
      </c>
      <c r="AC6558">
        <v>-23.9971</v>
      </c>
      <c r="AD6558">
        <v>53.587322</v>
      </c>
      <c r="AE6558">
        <v>80.405306999999993</v>
      </c>
      <c r="AF6558">
        <v>-18.353783851007702</v>
      </c>
      <c r="AG6558">
        <v>53.587322</v>
      </c>
      <c r="AH6558">
        <v>56.7052620957584</v>
      </c>
      <c r="AI6558">
        <v>48.041532814568498</v>
      </c>
      <c r="AJ6558">
        <v>107.93520370554999</v>
      </c>
      <c r="AK6558">
        <v>80.149542794265898</v>
      </c>
      <c r="AL6558">
        <v>72.211517779580504</v>
      </c>
      <c r="AM6558">
        <v>97.629174892205498</v>
      </c>
      <c r="AN6558">
        <v>1.00000000421241</v>
      </c>
    </row>
    <row r="6559" spans="1:40" x14ac:dyDescent="0.25">
      <c r="A6559" t="str">
        <f>"20190303162947412"</f>
        <v>20190303162947412</v>
      </c>
      <c r="B6559" t="str">
        <f>"1551601787408016"</f>
        <v>1551601787408016</v>
      </c>
      <c r="C6559" t="s">
        <v>40</v>
      </c>
      <c r="D6559">
        <v>4.2579449999999897</v>
      </c>
      <c r="E6559">
        <v>0.44398759999999998</v>
      </c>
      <c r="F6559" t="s">
        <v>70</v>
      </c>
      <c r="G6559">
        <v>-212.24369999999999</v>
      </c>
      <c r="H6559">
        <v>55.833080000000002</v>
      </c>
      <c r="I6559">
        <v>90.734870000000001</v>
      </c>
      <c r="J6559">
        <v>-188.2398</v>
      </c>
      <c r="K6559">
        <v>1.1220349999999999</v>
      </c>
      <c r="L6559">
        <v>7.6035159999999999</v>
      </c>
      <c r="M6559">
        <v>2.2695819999999998E-2</v>
      </c>
      <c r="N6559">
        <v>-1.196697E-2</v>
      </c>
      <c r="O6559">
        <v>0.99967079999999997</v>
      </c>
      <c r="P6559">
        <v>-0.1027879</v>
      </c>
      <c r="Q6559">
        <v>0.2962999</v>
      </c>
      <c r="R6559">
        <v>0.94954780000000005</v>
      </c>
      <c r="S6559">
        <v>-0.73568730000000004</v>
      </c>
      <c r="T6559">
        <v>1.6772669999999901</v>
      </c>
      <c r="U6559">
        <v>2.5574949999999999</v>
      </c>
      <c r="V6559">
        <v>-0.1245019</v>
      </c>
      <c r="W6559">
        <v>0.307535</v>
      </c>
      <c r="X6559">
        <v>0.94335650000000004</v>
      </c>
      <c r="Y6559">
        <v>-0.25505149999999999</v>
      </c>
      <c r="Z6559">
        <v>0.54144969999999903</v>
      </c>
      <c r="AA6559">
        <v>0.80111239999999995</v>
      </c>
      <c r="AB6559">
        <v>31</v>
      </c>
      <c r="AC6559">
        <v>-24.003899999999899</v>
      </c>
      <c r="AD6559">
        <v>54.711044999999999</v>
      </c>
      <c r="AE6559">
        <v>83.131354000000002</v>
      </c>
      <c r="AF6559">
        <v>-18.491645115911599</v>
      </c>
      <c r="AG6559">
        <v>54.711044999999999</v>
      </c>
      <c r="AH6559">
        <v>58.983549290724198</v>
      </c>
      <c r="AI6559">
        <v>48.488341647854703</v>
      </c>
      <c r="AJ6559">
        <v>107.406475527354</v>
      </c>
      <c r="AK6559">
        <v>82.548764200417594</v>
      </c>
      <c r="AL6559">
        <v>72.089259094933993</v>
      </c>
      <c r="AM6559">
        <v>97.518307274777996</v>
      </c>
      <c r="AN6559">
        <v>0.99999999271042905</v>
      </c>
    </row>
    <row r="6560" spans="1:40" x14ac:dyDescent="0.25">
      <c r="A6560" t="str">
        <f>"20190303162947435"</f>
        <v>20190303162947435</v>
      </c>
      <c r="B6560" t="str">
        <f>"1551601787428512"</f>
        <v>1551601787428512</v>
      </c>
      <c r="C6560" t="s">
        <v>40</v>
      </c>
      <c r="D6560">
        <v>4.4830800000000002</v>
      </c>
      <c r="E6560">
        <v>0.44535649999999899</v>
      </c>
      <c r="F6560" t="s">
        <v>70</v>
      </c>
      <c r="G6560">
        <v>-212.2441</v>
      </c>
      <c r="H6560">
        <v>57.085790000000003</v>
      </c>
      <c r="I6560">
        <v>93.223939999999999</v>
      </c>
      <c r="J6560">
        <v>-188.233</v>
      </c>
      <c r="K6560">
        <v>1.122036</v>
      </c>
      <c r="L6560">
        <v>7.9198000000000004</v>
      </c>
      <c r="M6560">
        <v>2.2378209999999999E-2</v>
      </c>
      <c r="N6560">
        <v>-1.1967230000000001E-2</v>
      </c>
      <c r="O6560">
        <v>0.99967799999999996</v>
      </c>
      <c r="P6560">
        <v>-0.1007381</v>
      </c>
      <c r="Q6560">
        <v>0.29714239999999997</v>
      </c>
      <c r="R6560">
        <v>0.94950420000000002</v>
      </c>
      <c r="S6560">
        <v>-0.71762079999999995</v>
      </c>
      <c r="T6560">
        <v>1.673063</v>
      </c>
      <c r="U6560">
        <v>2.5596619999999999</v>
      </c>
      <c r="V6560">
        <v>-0.1221516</v>
      </c>
      <c r="W6560">
        <v>0.30837969999999998</v>
      </c>
      <c r="X6560">
        <v>0.943388</v>
      </c>
      <c r="Y6560">
        <v>-0.24939269999999999</v>
      </c>
      <c r="Z6560">
        <v>0.54097439999999997</v>
      </c>
      <c r="AA6560">
        <v>0.80321229999999999</v>
      </c>
      <c r="AB6560">
        <v>31</v>
      </c>
      <c r="AC6560">
        <v>-24.011099999999999</v>
      </c>
      <c r="AD6560">
        <v>55.963754000000002</v>
      </c>
      <c r="AE6560">
        <v>85.304140000000004</v>
      </c>
      <c r="AF6560">
        <v>-18.525948242885001</v>
      </c>
      <c r="AG6560">
        <v>55.963754000000002</v>
      </c>
      <c r="AH6560">
        <v>60.584177924340601</v>
      </c>
      <c r="AI6560">
        <v>48.543962079969901</v>
      </c>
      <c r="AJ6560">
        <v>107.003032429508</v>
      </c>
      <c r="AK6560">
        <v>84.531622099890697</v>
      </c>
      <c r="AL6560">
        <v>72.038388941570403</v>
      </c>
      <c r="AM6560">
        <v>97.377714370456303</v>
      </c>
      <c r="AN6560">
        <v>0.99999998564932402</v>
      </c>
    </row>
    <row r="6561" spans="1:40" x14ac:dyDescent="0.25">
      <c r="A6561" t="str">
        <f>"20190303162947456"</f>
        <v>20190303162947456</v>
      </c>
      <c r="B6561" t="str">
        <f>"1551601787448032"</f>
        <v>1551601787448032</v>
      </c>
      <c r="C6561" t="s">
        <v>40</v>
      </c>
      <c r="D6561">
        <v>4.4728789999999998</v>
      </c>
      <c r="E6561">
        <v>0.4466233</v>
      </c>
      <c r="F6561" t="s">
        <v>70</v>
      </c>
      <c r="G6561">
        <v>-211.88130000000001</v>
      </c>
      <c r="H6561">
        <v>57.462600000000002</v>
      </c>
      <c r="I6561">
        <v>94.622709999999998</v>
      </c>
      <c r="J6561">
        <v>-188.22640000000001</v>
      </c>
      <c r="K6561">
        <v>1.122036</v>
      </c>
      <c r="L6561">
        <v>8.2264710000000001</v>
      </c>
      <c r="M6561">
        <v>2.2069990000000001E-2</v>
      </c>
      <c r="N6561">
        <v>-1.1967490000000001E-2</v>
      </c>
      <c r="O6561">
        <v>0.99968480000000004</v>
      </c>
      <c r="P6561">
        <v>-9.9178950000000002E-2</v>
      </c>
      <c r="Q6561">
        <v>0.29629709999999998</v>
      </c>
      <c r="R6561">
        <v>0.94993249999999996</v>
      </c>
      <c r="S6561">
        <v>-0.69932559999999999</v>
      </c>
      <c r="T6561">
        <v>1.6660950000000001</v>
      </c>
      <c r="U6561">
        <v>2.563965</v>
      </c>
      <c r="V6561">
        <v>-0.1203094</v>
      </c>
      <c r="W6561">
        <v>0.30754140000000002</v>
      </c>
      <c r="X6561">
        <v>0.94389829999999997</v>
      </c>
      <c r="Y6561">
        <v>-0.2436314</v>
      </c>
      <c r="Z6561">
        <v>0.53956990000000005</v>
      </c>
      <c r="AA6561">
        <v>0.80592069999999905</v>
      </c>
      <c r="AB6561">
        <v>31</v>
      </c>
      <c r="AC6561">
        <v>-23.654900000000001</v>
      </c>
      <c r="AD6561">
        <v>56.340564000000001</v>
      </c>
      <c r="AE6561">
        <v>86.396238999999994</v>
      </c>
      <c r="AF6561">
        <v>-18.3118344917408</v>
      </c>
      <c r="AG6561">
        <v>56.340564000000001</v>
      </c>
      <c r="AH6561">
        <v>61.516874811276999</v>
      </c>
      <c r="AI6561">
        <v>48.723633353106699</v>
      </c>
      <c r="AJ6561">
        <v>106.57678053344</v>
      </c>
      <c r="AK6561">
        <v>85.404381157159307</v>
      </c>
      <c r="AL6561">
        <v>72.088874463836405</v>
      </c>
      <c r="AM6561">
        <v>97.263760593013302</v>
      </c>
      <c r="AN6561">
        <v>1.0000000325926</v>
      </c>
    </row>
    <row r="6562" spans="1:40" x14ac:dyDescent="0.25">
      <c r="A6562" t="str">
        <f>"20190303162947481"</f>
        <v>20190303162947481</v>
      </c>
      <c r="B6562" t="str">
        <f>"1551601787468528"</f>
        <v>1551601787468528</v>
      </c>
      <c r="C6562" t="s">
        <v>40</v>
      </c>
      <c r="D6562">
        <v>4.2814620000000003</v>
      </c>
      <c r="E6562">
        <v>0.46667639999999999</v>
      </c>
      <c r="F6562" t="s">
        <v>70</v>
      </c>
      <c r="G6562">
        <v>-211.3776</v>
      </c>
      <c r="H6562">
        <v>57.22589</v>
      </c>
      <c r="I6562">
        <v>95.317920000000001</v>
      </c>
      <c r="J6562">
        <v>-188.21950000000001</v>
      </c>
      <c r="K6562">
        <v>1.1220250000000001</v>
      </c>
      <c r="L6562">
        <v>8.5587459999999993</v>
      </c>
      <c r="M6562">
        <v>2.1734960000000001E-2</v>
      </c>
      <c r="N6562">
        <v>-1.196797E-2</v>
      </c>
      <c r="O6562">
        <v>0.99969209999999997</v>
      </c>
      <c r="P6562">
        <v>-9.8314410000000005E-2</v>
      </c>
      <c r="Q6562">
        <v>0.29460809999999998</v>
      </c>
      <c r="R6562">
        <v>0.95054740000000004</v>
      </c>
      <c r="S6562">
        <v>-0.68325809999999998</v>
      </c>
      <c r="T6562">
        <v>1.655783</v>
      </c>
      <c r="U6562">
        <v>2.5703130000000001</v>
      </c>
      <c r="V6562">
        <v>-0.1191402</v>
      </c>
      <c r="W6562">
        <v>0.30586210000000003</v>
      </c>
      <c r="X6562">
        <v>0.94459199999999999</v>
      </c>
      <c r="Y6562">
        <v>-0.23849799999999999</v>
      </c>
      <c r="Z6562">
        <v>0.53701589999999999</v>
      </c>
      <c r="AA6562">
        <v>0.80915550000000003</v>
      </c>
      <c r="AB6562">
        <v>31</v>
      </c>
      <c r="AC6562">
        <v>-23.158099999999902</v>
      </c>
      <c r="AD6562">
        <v>56.103864999999999</v>
      </c>
      <c r="AE6562">
        <v>86.759174000000002</v>
      </c>
      <c r="AF6562">
        <v>-18.008632940520599</v>
      </c>
      <c r="AG6562">
        <v>56.103864999999999</v>
      </c>
      <c r="AH6562">
        <v>62.023749874739202</v>
      </c>
      <c r="AI6562">
        <v>49.0198384767344</v>
      </c>
      <c r="AJ6562">
        <v>106.190686798965</v>
      </c>
      <c r="AK6562">
        <v>85.550570289442504</v>
      </c>
      <c r="AL6562">
        <v>72.189963115450695</v>
      </c>
      <c r="AM6562">
        <v>97.188684634716395</v>
      </c>
      <c r="AN6562">
        <v>1.00000002896822</v>
      </c>
    </row>
    <row r="6563" spans="1:40" x14ac:dyDescent="0.25">
      <c r="A6563" t="str">
        <f>"20190303162947504"</f>
        <v>20190303162947504</v>
      </c>
      <c r="B6563" t="str">
        <f>"1551601787498698"</f>
        <v>1551601787498698</v>
      </c>
      <c r="C6563" t="s">
        <v>40</v>
      </c>
      <c r="D6563">
        <v>4.3230019999999998</v>
      </c>
      <c r="E6563">
        <v>0.465499</v>
      </c>
      <c r="F6563" t="s">
        <v>45</v>
      </c>
      <c r="G6563">
        <v>0</v>
      </c>
      <c r="H6563">
        <v>0</v>
      </c>
      <c r="I6563">
        <v>0</v>
      </c>
      <c r="J6563">
        <v>-188.21270000000001</v>
      </c>
      <c r="K6563">
        <v>1.1220220000000001</v>
      </c>
      <c r="L6563">
        <v>8.8842470000000002</v>
      </c>
      <c r="M6563">
        <v>2.1403950000000001E-2</v>
      </c>
      <c r="N6563">
        <v>-1.196823E-2</v>
      </c>
      <c r="O6563">
        <v>0.99969929999999996</v>
      </c>
      <c r="P6563">
        <v>-9.8052500000000001E-2</v>
      </c>
      <c r="Q6563">
        <v>0.29318250000000001</v>
      </c>
      <c r="R6563">
        <v>0.9510151</v>
      </c>
      <c r="S6563">
        <v>-0.52728269999999899</v>
      </c>
      <c r="T6563">
        <v>1.5172650000000001</v>
      </c>
      <c r="U6563">
        <v>2.6312869999999999</v>
      </c>
      <c r="V6563">
        <v>-0.11857470000000001</v>
      </c>
      <c r="W6563">
        <v>0.30444260000000001</v>
      </c>
      <c r="X6563">
        <v>0.94512160000000001</v>
      </c>
      <c r="Y6563">
        <v>-0.1915685</v>
      </c>
      <c r="Z6563">
        <v>0.50136359999999902</v>
      </c>
      <c r="AA6563">
        <v>0.84376309999999999</v>
      </c>
      <c r="AB6563">
        <v>31</v>
      </c>
      <c r="AC6563">
        <v>-0.52728269999999899</v>
      </c>
      <c r="AD6563">
        <v>1.5172650000000001</v>
      </c>
      <c r="AE6563">
        <v>2.6312869999999999</v>
      </c>
      <c r="AF6563">
        <v>-0.44214870929932398</v>
      </c>
      <c r="AG6563">
        <v>1.5172650000000001</v>
      </c>
      <c r="AH6563">
        <v>1.9849035865934901</v>
      </c>
      <c r="AI6563">
        <v>53.272817272264703</v>
      </c>
      <c r="AJ6563">
        <v>102.55793537997199</v>
      </c>
      <c r="AK6563">
        <v>2.5372092561378898</v>
      </c>
      <c r="AL6563">
        <v>72.275368330491702</v>
      </c>
      <c r="AM6563">
        <v>97.150950183673501</v>
      </c>
      <c r="AN6563">
        <v>1.0000000474807</v>
      </c>
    </row>
    <row r="6564" spans="1:40" x14ac:dyDescent="0.25">
      <c r="A6564" t="str">
        <f>"20190303162947526"</f>
        <v>20190303162947526</v>
      </c>
      <c r="B6564" t="str">
        <f>"1551601787518217"</f>
        <v>1551601787518217</v>
      </c>
      <c r="C6564" t="s">
        <v>40</v>
      </c>
      <c r="D6564">
        <v>4.3595800000000002</v>
      </c>
      <c r="E6564">
        <v>0.46532639999999997</v>
      </c>
      <c r="F6564" t="s">
        <v>45</v>
      </c>
      <c r="G6564">
        <v>0</v>
      </c>
      <c r="H6564">
        <v>0</v>
      </c>
      <c r="I6564">
        <v>0</v>
      </c>
      <c r="J6564">
        <v>-188.2063</v>
      </c>
      <c r="K6564">
        <v>1.1220319999999999</v>
      </c>
      <c r="L6564">
        <v>9.202026</v>
      </c>
      <c r="M6564">
        <v>2.1074010000000001E-2</v>
      </c>
      <c r="N6564">
        <v>-1.1968309999999999E-2</v>
      </c>
      <c r="O6564">
        <v>0.99970630000000005</v>
      </c>
      <c r="P6564">
        <v>-9.8146380000000005E-2</v>
      </c>
      <c r="Q6564">
        <v>0.29335430000000001</v>
      </c>
      <c r="R6564">
        <v>0.95095249999999998</v>
      </c>
      <c r="S6564">
        <v>-0.53500369999999997</v>
      </c>
      <c r="T6564">
        <v>1.5292790000000001</v>
      </c>
      <c r="U6564">
        <v>2.6278990000000002</v>
      </c>
      <c r="V6564">
        <v>-0.1183575</v>
      </c>
      <c r="W6564">
        <v>0.30461339999999998</v>
      </c>
      <c r="X6564">
        <v>0.94509379999999998</v>
      </c>
      <c r="Y6564">
        <v>-0.1934815</v>
      </c>
      <c r="Z6564">
        <v>0.50453570000000003</v>
      </c>
      <c r="AA6564">
        <v>0.84143250000000003</v>
      </c>
      <c r="AB6564">
        <v>31</v>
      </c>
      <c r="AC6564">
        <v>-0.53500369999999997</v>
      </c>
      <c r="AD6564">
        <v>1.5292790000000001</v>
      </c>
      <c r="AE6564">
        <v>2.6278990000000002</v>
      </c>
      <c r="AF6564">
        <v>-0.445426942949186</v>
      </c>
      <c r="AG6564">
        <v>1.5292790000000001</v>
      </c>
      <c r="AH6564">
        <v>1.9741070942963399</v>
      </c>
      <c r="AI6564">
        <v>52.922697610249301</v>
      </c>
      <c r="AJ6564">
        <v>102.714988827141</v>
      </c>
      <c r="AK6564">
        <v>2.5365721438778799</v>
      </c>
      <c r="AL6564">
        <v>72.265094383381694</v>
      </c>
      <c r="AM6564">
        <v>97.138194416629105</v>
      </c>
      <c r="AN6564">
        <v>1.0000000560321201</v>
      </c>
    </row>
    <row r="6565" spans="1:40" x14ac:dyDescent="0.25">
      <c r="A6565" t="str">
        <f>"20190303162947547"</f>
        <v>20190303162947547</v>
      </c>
      <c r="B6565" t="str">
        <f>"1551601787538714"</f>
        <v>1551601787538714</v>
      </c>
      <c r="C6565" t="s">
        <v>40</v>
      </c>
      <c r="D6565">
        <v>4.3861919999999897</v>
      </c>
      <c r="E6565">
        <v>0.46633819999999998</v>
      </c>
      <c r="F6565" t="s">
        <v>45</v>
      </c>
      <c r="G6565">
        <v>0</v>
      </c>
      <c r="H6565">
        <v>0</v>
      </c>
      <c r="I6565">
        <v>0</v>
      </c>
      <c r="J6565">
        <v>-188.2003</v>
      </c>
      <c r="K6565">
        <v>1.1220380000000001</v>
      </c>
      <c r="L6565">
        <v>9.5002750000000002</v>
      </c>
      <c r="M6565">
        <v>2.0759530000000002E-2</v>
      </c>
      <c r="N6565">
        <v>-1.1968410000000001E-2</v>
      </c>
      <c r="O6565">
        <v>0.99971290000000002</v>
      </c>
      <c r="P6565">
        <v>-9.7342509999999993E-2</v>
      </c>
      <c r="Q6565">
        <v>0.2946896</v>
      </c>
      <c r="R6565">
        <v>0.95062210000000003</v>
      </c>
      <c r="S6565">
        <v>-0.53619380000000005</v>
      </c>
      <c r="T6565">
        <v>1.5343770000000001</v>
      </c>
      <c r="U6565">
        <v>2.6260680000000001</v>
      </c>
      <c r="V6565">
        <v>-0.1172526</v>
      </c>
      <c r="W6565">
        <v>0.30594470000000001</v>
      </c>
      <c r="X6565">
        <v>0.94480140000000001</v>
      </c>
      <c r="Y6565">
        <v>-0.1934871</v>
      </c>
      <c r="Z6565">
        <v>0.50600210000000001</v>
      </c>
      <c r="AA6565">
        <v>0.84055020000000003</v>
      </c>
      <c r="AB6565">
        <v>31</v>
      </c>
      <c r="AC6565">
        <v>-0.53619380000000005</v>
      </c>
      <c r="AD6565">
        <v>1.5343770000000001</v>
      </c>
      <c r="AE6565">
        <v>2.6260680000000001</v>
      </c>
      <c r="AF6565">
        <v>-0.44481852314940901</v>
      </c>
      <c r="AG6565">
        <v>1.5343770000000001</v>
      </c>
      <c r="AH6565">
        <v>1.96905524468479</v>
      </c>
      <c r="AI6565">
        <v>52.761833163614</v>
      </c>
      <c r="AJ6565">
        <v>102.729703074379</v>
      </c>
      <c r="AK6565">
        <v>2.5356172529162402</v>
      </c>
      <c r="AL6565">
        <v>72.1849918149057</v>
      </c>
      <c r="AM6565">
        <v>97.074401878071498</v>
      </c>
      <c r="AN6565">
        <v>1.0000000085534</v>
      </c>
    </row>
    <row r="6566" spans="1:40" x14ac:dyDescent="0.25">
      <c r="A6566" t="str">
        <f>"20190303162947570"</f>
        <v>20190303162947570</v>
      </c>
      <c r="B6566" t="str">
        <f>"1551601787559209"</f>
        <v>1551601787559209</v>
      </c>
      <c r="C6566" t="s">
        <v>40</v>
      </c>
      <c r="D6566">
        <v>4.3781939999999997</v>
      </c>
      <c r="E6566">
        <v>0.47968359999999899</v>
      </c>
      <c r="F6566" t="s">
        <v>45</v>
      </c>
      <c r="G6566">
        <v>0</v>
      </c>
      <c r="H6566">
        <v>0</v>
      </c>
      <c r="I6566">
        <v>0</v>
      </c>
      <c r="J6566">
        <v>-188.19409999999999</v>
      </c>
      <c r="K6566">
        <v>1.122037</v>
      </c>
      <c r="L6566">
        <v>9.8178099999999997</v>
      </c>
      <c r="M6566">
        <v>2.0420000000000001E-2</v>
      </c>
      <c r="N6566">
        <v>-1.1968579999999999E-2</v>
      </c>
      <c r="O6566">
        <v>0.99971989999999999</v>
      </c>
      <c r="P6566">
        <v>-9.6361669999999996E-2</v>
      </c>
      <c r="Q6566">
        <v>0.29467870000000002</v>
      </c>
      <c r="R6566">
        <v>0.9507255</v>
      </c>
      <c r="S6566">
        <v>-0.52468870000000001</v>
      </c>
      <c r="T6566">
        <v>1.544446</v>
      </c>
      <c r="U6566">
        <v>2.6233219999999999</v>
      </c>
      <c r="V6566">
        <v>-0.1159558</v>
      </c>
      <c r="W6566">
        <v>0.30593569999999998</v>
      </c>
      <c r="X6566">
        <v>0.94496429999999998</v>
      </c>
      <c r="Y6566">
        <v>-0.1894131</v>
      </c>
      <c r="Z6566">
        <v>0.50916139999999999</v>
      </c>
      <c r="AA6566">
        <v>0.83956980000000003</v>
      </c>
      <c r="AB6566">
        <v>31</v>
      </c>
      <c r="AC6566">
        <v>-0.52468870000000001</v>
      </c>
      <c r="AD6566">
        <v>1.544446</v>
      </c>
      <c r="AE6566">
        <v>2.6233219999999999</v>
      </c>
      <c r="AF6566">
        <v>-0.43363132923519598</v>
      </c>
      <c r="AG6566">
        <v>1.544446</v>
      </c>
      <c r="AH6566">
        <v>1.9591255082023</v>
      </c>
      <c r="AI6566">
        <v>52.414324211314401</v>
      </c>
      <c r="AJ6566">
        <v>102.480587701564</v>
      </c>
      <c r="AK6566">
        <v>2.53209840517686</v>
      </c>
      <c r="AL6566">
        <v>72.1855326308565</v>
      </c>
      <c r="AM6566">
        <v>96.9957454356759</v>
      </c>
      <c r="AN6566">
        <v>0.99999996418130899</v>
      </c>
    </row>
    <row r="6567" spans="1:40" x14ac:dyDescent="0.25">
      <c r="A6567" t="str">
        <f>"20190303162947592"</f>
        <v>20190303162947592</v>
      </c>
      <c r="B6567" t="str">
        <f>"1551601787588489"</f>
        <v>1551601787588489</v>
      </c>
      <c r="C6567" t="s">
        <v>40</v>
      </c>
      <c r="D6567">
        <v>4.4506690000000004</v>
      </c>
      <c r="E6567">
        <v>0.47927170000000002</v>
      </c>
      <c r="F6567" t="s">
        <v>45</v>
      </c>
      <c r="G6567">
        <v>0</v>
      </c>
      <c r="H6567">
        <v>0</v>
      </c>
      <c r="I6567">
        <v>0</v>
      </c>
      <c r="J6567">
        <v>-188.1883</v>
      </c>
      <c r="K6567">
        <v>1.1220399999999999</v>
      </c>
      <c r="L6567">
        <v>10.119199999999999</v>
      </c>
      <c r="M6567">
        <v>2.009414E-2</v>
      </c>
      <c r="N6567">
        <v>-1.196878E-2</v>
      </c>
      <c r="O6567">
        <v>0.99972649999999996</v>
      </c>
      <c r="P6567">
        <v>-9.5471459999999994E-2</v>
      </c>
      <c r="Q6567">
        <v>0.29518430000000001</v>
      </c>
      <c r="R6567">
        <v>0.95065840000000001</v>
      </c>
      <c r="S6567">
        <v>-0.4120026</v>
      </c>
      <c r="T6567">
        <v>1.6320619999999999</v>
      </c>
      <c r="U6567">
        <v>2.6078800000000002</v>
      </c>
      <c r="V6567">
        <v>-0.11475779999999999</v>
      </c>
      <c r="W6567">
        <v>0.3064404</v>
      </c>
      <c r="X6567">
        <v>0.94494710000000004</v>
      </c>
      <c r="Y6567">
        <v>-0.1522086</v>
      </c>
      <c r="Z6567">
        <v>0.53498299999999999</v>
      </c>
      <c r="AA6567">
        <v>0.83103899999999997</v>
      </c>
      <c r="AB6567">
        <v>31</v>
      </c>
      <c r="AC6567">
        <v>-0.4120026</v>
      </c>
      <c r="AD6567">
        <v>1.6320619999999999</v>
      </c>
      <c r="AE6567">
        <v>2.6078800000000002</v>
      </c>
      <c r="AF6567">
        <v>-0.33595393593119199</v>
      </c>
      <c r="AG6567">
        <v>1.6320619999999999</v>
      </c>
      <c r="AH6567">
        <v>1.8805077352080399</v>
      </c>
      <c r="AI6567">
        <v>49.490849598602402</v>
      </c>
      <c r="AJ6567">
        <v>100.12907057918299</v>
      </c>
      <c r="AK6567">
        <v>2.51252875826107</v>
      </c>
      <c r="AL6567">
        <v>72.155158036766494</v>
      </c>
      <c r="AM6567">
        <v>96.924298811495404</v>
      </c>
      <c r="AN6567">
        <v>1.0000000466057</v>
      </c>
    </row>
    <row r="6568" spans="1:40" x14ac:dyDescent="0.25">
      <c r="A6568" t="str">
        <f>"20190303162947613"</f>
        <v>20190303162947613</v>
      </c>
      <c r="B6568" t="str">
        <f>"1551601787608394"</f>
        <v>1551601787608394</v>
      </c>
      <c r="C6568" t="s">
        <v>40</v>
      </c>
      <c r="D6568">
        <v>4.4283780000000004</v>
      </c>
      <c r="E6568">
        <v>0.47925980000000001</v>
      </c>
      <c r="F6568" t="s">
        <v>45</v>
      </c>
      <c r="G6568">
        <v>0</v>
      </c>
      <c r="H6568">
        <v>0</v>
      </c>
      <c r="I6568">
        <v>0</v>
      </c>
      <c r="J6568">
        <v>-188.1825</v>
      </c>
      <c r="K6568">
        <v>1.1220460000000001</v>
      </c>
      <c r="L6568">
        <v>10.42346</v>
      </c>
      <c r="M6568">
        <v>1.9762490000000001E-2</v>
      </c>
      <c r="N6568">
        <v>-1.1968960000000001E-2</v>
      </c>
      <c r="O6568">
        <v>0.99973299999999998</v>
      </c>
      <c r="P6568">
        <v>-9.3833280000000005E-2</v>
      </c>
      <c r="Q6568">
        <v>0.2962361</v>
      </c>
      <c r="R6568">
        <v>0.95049430000000001</v>
      </c>
      <c r="S6568">
        <v>-0.4129333</v>
      </c>
      <c r="T6568">
        <v>1.6355299999999999</v>
      </c>
      <c r="U6568">
        <v>2.6063839999999998</v>
      </c>
      <c r="V6568">
        <v>-0.1128041</v>
      </c>
      <c r="W6568">
        <v>0.3074923</v>
      </c>
      <c r="X6568">
        <v>0.94484060000000003</v>
      </c>
      <c r="Y6568">
        <v>-0.15214720000000001</v>
      </c>
      <c r="Z6568">
        <v>0.53599090000000005</v>
      </c>
      <c r="AA6568">
        <v>0.83040049999999899</v>
      </c>
      <c r="AB6568">
        <v>31</v>
      </c>
      <c r="AC6568">
        <v>-0.4129333</v>
      </c>
      <c r="AD6568">
        <v>1.6355299999999999</v>
      </c>
      <c r="AE6568">
        <v>2.6063839999999998</v>
      </c>
      <c r="AF6568">
        <v>-0.335493268533129</v>
      </c>
      <c r="AG6568">
        <v>1.6355299999999999</v>
      </c>
      <c r="AH6568">
        <v>1.87678985055313</v>
      </c>
      <c r="AI6568">
        <v>49.3752806696112</v>
      </c>
      <c r="AJ6568">
        <v>100.135091928601</v>
      </c>
      <c r="AK6568">
        <v>2.5119423276162798</v>
      </c>
      <c r="AL6568">
        <v>72.091830707115093</v>
      </c>
      <c r="AM6568">
        <v>96.808291581181194</v>
      </c>
      <c r="AN6568">
        <v>1.0000000194722201</v>
      </c>
    </row>
    <row r="6569" spans="1:40" x14ac:dyDescent="0.25">
      <c r="A6569" t="str">
        <f>"20190303162947636"</f>
        <v>20190303162947636</v>
      </c>
      <c r="B6569" t="str">
        <f>"1551601787628890"</f>
        <v>1551601787628890</v>
      </c>
      <c r="C6569" t="s">
        <v>40</v>
      </c>
      <c r="D6569">
        <v>4.4199359999999999</v>
      </c>
      <c r="E6569">
        <v>0.47943150000000001</v>
      </c>
      <c r="F6569" t="s">
        <v>45</v>
      </c>
      <c r="G6569">
        <v>0</v>
      </c>
      <c r="H6569">
        <v>0</v>
      </c>
      <c r="I6569">
        <v>0</v>
      </c>
      <c r="J6569">
        <v>-188.1765</v>
      </c>
      <c r="K6569">
        <v>1.122055</v>
      </c>
      <c r="L6569">
        <v>10.746549999999999</v>
      </c>
      <c r="M6569">
        <v>1.940836E-2</v>
      </c>
      <c r="N6569">
        <v>-1.196909E-2</v>
      </c>
      <c r="O6569">
        <v>0.99973999999999996</v>
      </c>
      <c r="P6569">
        <v>-9.2496250000000002E-2</v>
      </c>
      <c r="Q6569">
        <v>0.29805769999999998</v>
      </c>
      <c r="R6569">
        <v>0.95005580000000001</v>
      </c>
      <c r="S6569">
        <v>-0.40744019999999997</v>
      </c>
      <c r="T6569">
        <v>1.63547</v>
      </c>
      <c r="U6569">
        <v>2.6063230000000002</v>
      </c>
      <c r="V6569">
        <v>-0.1111254</v>
      </c>
      <c r="W6569">
        <v>0.30931029999999998</v>
      </c>
      <c r="X6569">
        <v>0.94444600000000001</v>
      </c>
      <c r="Y6569">
        <v>-0.15007219999999999</v>
      </c>
      <c r="Z6569">
        <v>0.53613789999999995</v>
      </c>
      <c r="AA6569">
        <v>0.83068319999999995</v>
      </c>
      <c r="AB6569">
        <v>31</v>
      </c>
      <c r="AC6569">
        <v>-0.40744019999999997</v>
      </c>
      <c r="AD6569">
        <v>1.63547</v>
      </c>
      <c r="AE6569">
        <v>2.6063230000000002</v>
      </c>
      <c r="AF6569">
        <v>-0.33080278843539301</v>
      </c>
      <c r="AG6569">
        <v>1.63547</v>
      </c>
      <c r="AH6569">
        <v>1.8766187236243801</v>
      </c>
      <c r="AI6569">
        <v>49.361637397629003</v>
      </c>
      <c r="AJ6569">
        <v>99.997165484343995</v>
      </c>
      <c r="AK6569">
        <v>2.5111532091041799</v>
      </c>
      <c r="AL6569">
        <v>71.982328764659201</v>
      </c>
      <c r="AM6569">
        <v>96.710680871465797</v>
      </c>
      <c r="AN6569">
        <v>0.99999998156362402</v>
      </c>
    </row>
    <row r="6570" spans="1:40" x14ac:dyDescent="0.25">
      <c r="A6570" t="str">
        <f>"20190303162947659"</f>
        <v>20190303162947659</v>
      </c>
      <c r="B6570" t="str">
        <f>"1551601787648410"</f>
        <v>1551601787648410</v>
      </c>
      <c r="C6570" t="s">
        <v>40</v>
      </c>
      <c r="D6570">
        <v>4.4756980000000004</v>
      </c>
      <c r="E6570">
        <v>0.47988140000000001</v>
      </c>
      <c r="F6570" t="s">
        <v>45</v>
      </c>
      <c r="G6570">
        <v>0</v>
      </c>
      <c r="H6570">
        <v>0</v>
      </c>
      <c r="I6570">
        <v>0</v>
      </c>
      <c r="J6570">
        <v>-188.17070000000001</v>
      </c>
      <c r="K6570">
        <v>1.1220749999999999</v>
      </c>
      <c r="L6570">
        <v>11.06833</v>
      </c>
      <c r="M6570">
        <v>1.9054990000000001E-2</v>
      </c>
      <c r="N6570">
        <v>-1.196932E-2</v>
      </c>
      <c r="O6570">
        <v>0.99974680000000005</v>
      </c>
      <c r="P6570">
        <v>-9.1619140000000002E-2</v>
      </c>
      <c r="Q6570">
        <v>0.30046509999999998</v>
      </c>
      <c r="R6570">
        <v>0.94938219999999995</v>
      </c>
      <c r="S6570">
        <v>-0.40242</v>
      </c>
      <c r="T6570">
        <v>1.6360030000000001</v>
      </c>
      <c r="U6570">
        <v>2.605286</v>
      </c>
      <c r="V6570">
        <v>-0.109902</v>
      </c>
      <c r="W6570">
        <v>0.31171090000000001</v>
      </c>
      <c r="X6570">
        <v>0.94379970000000002</v>
      </c>
      <c r="Y6570">
        <v>-0.1481662</v>
      </c>
      <c r="Z6570">
        <v>0.53654669999999904</v>
      </c>
      <c r="AA6570">
        <v>0.83076139999999998</v>
      </c>
      <c r="AB6570">
        <v>31</v>
      </c>
      <c r="AC6570">
        <v>-0.40242</v>
      </c>
      <c r="AD6570">
        <v>1.6360030000000001</v>
      </c>
      <c r="AE6570">
        <v>2.605286</v>
      </c>
      <c r="AF6570">
        <v>-0.326316876091786</v>
      </c>
      <c r="AG6570">
        <v>1.6360030000000001</v>
      </c>
      <c r="AH6570">
        <v>1.8750064422446899</v>
      </c>
      <c r="AI6570">
        <v>49.317283394115201</v>
      </c>
      <c r="AJ6570">
        <v>99.872593110241993</v>
      </c>
      <c r="AK6570">
        <v>2.5097086839094298</v>
      </c>
      <c r="AL6570">
        <v>71.837632523469495</v>
      </c>
      <c r="AM6570">
        <v>96.641969215405695</v>
      </c>
      <c r="AN6570">
        <v>1.0000000042514501</v>
      </c>
    </row>
    <row r="6571" spans="1:40" x14ac:dyDescent="0.25">
      <c r="A6571" t="str">
        <f>"20190303162947681"</f>
        <v>20190303162947681</v>
      </c>
      <c r="B6571" t="str">
        <f>"1551601787678666"</f>
        <v>1551601787678666</v>
      </c>
      <c r="C6571" t="s">
        <v>40</v>
      </c>
      <c r="D6571">
        <v>4.4853550000000002</v>
      </c>
      <c r="E6571">
        <v>0.4797554</v>
      </c>
      <c r="F6571" t="s">
        <v>45</v>
      </c>
      <c r="G6571">
        <v>0</v>
      </c>
      <c r="H6571">
        <v>0</v>
      </c>
      <c r="I6571">
        <v>0</v>
      </c>
      <c r="J6571">
        <v>-188.1652</v>
      </c>
      <c r="K6571">
        <v>1.122082</v>
      </c>
      <c r="L6571">
        <v>11.374790000000001</v>
      </c>
      <c r="M6571">
        <v>1.8718760000000001E-2</v>
      </c>
      <c r="N6571">
        <v>-1.1969550000000001E-2</v>
      </c>
      <c r="O6571">
        <v>0.99975309999999995</v>
      </c>
      <c r="P6571">
        <v>-9.0975109999999998E-2</v>
      </c>
      <c r="Q6571">
        <v>0.3017936</v>
      </c>
      <c r="R6571">
        <v>0.94902280000000006</v>
      </c>
      <c r="S6571">
        <v>-0.39596559999999997</v>
      </c>
      <c r="T6571">
        <v>1.6346909999999999</v>
      </c>
      <c r="U6571">
        <v>2.6043699999999999</v>
      </c>
      <c r="V6571">
        <v>-0.1089339</v>
      </c>
      <c r="W6571">
        <v>0.31303629999999999</v>
      </c>
      <c r="X6571">
        <v>0.94347320000000001</v>
      </c>
      <c r="Y6571">
        <v>-0.1458593</v>
      </c>
      <c r="Z6571">
        <v>0.5365434</v>
      </c>
      <c r="AA6571">
        <v>0.83117169999999896</v>
      </c>
      <c r="AB6571">
        <v>31</v>
      </c>
      <c r="AC6571">
        <v>-0.39596559999999997</v>
      </c>
      <c r="AD6571">
        <v>1.6346909999999999</v>
      </c>
      <c r="AE6571">
        <v>2.6043699999999999</v>
      </c>
      <c r="AF6571">
        <v>-0.32103060588266702</v>
      </c>
      <c r="AG6571">
        <v>1.6346909999999999</v>
      </c>
      <c r="AH6571">
        <v>1.8746335098189599</v>
      </c>
      <c r="AI6571">
        <v>49.321147251166103</v>
      </c>
      <c r="AJ6571">
        <v>99.717627597593193</v>
      </c>
      <c r="AK6571">
        <v>2.5078927631640302</v>
      </c>
      <c r="AL6571">
        <v>71.757692342526894</v>
      </c>
      <c r="AM6571">
        <v>96.5862361156086</v>
      </c>
      <c r="AN6571">
        <v>0.99999999940257001</v>
      </c>
    </row>
    <row r="6572" spans="1:40" x14ac:dyDescent="0.25">
      <c r="A6572" t="str">
        <f>"20190303162947705"</f>
        <v>20190303162947705</v>
      </c>
      <c r="B6572" t="str">
        <f>"1551601787698186"</f>
        <v>1551601787698186</v>
      </c>
      <c r="C6572" t="s">
        <v>40</v>
      </c>
      <c r="D6572">
        <v>4.5121969999999996</v>
      </c>
      <c r="E6572">
        <v>0.47957440000000001</v>
      </c>
      <c r="F6572" t="s">
        <v>45</v>
      </c>
      <c r="G6572">
        <v>0</v>
      </c>
      <c r="H6572">
        <v>0</v>
      </c>
      <c r="I6572">
        <v>0</v>
      </c>
      <c r="J6572">
        <v>-188.1593</v>
      </c>
      <c r="K6572">
        <v>1.1220870000000001</v>
      </c>
      <c r="L6572">
        <v>11.709009999999999</v>
      </c>
      <c r="M6572">
        <v>1.835285E-2</v>
      </c>
      <c r="N6572">
        <v>-1.196969E-2</v>
      </c>
      <c r="O6572">
        <v>0.99975990000000003</v>
      </c>
      <c r="P6572">
        <v>-9.1103610000000002E-2</v>
      </c>
      <c r="Q6572">
        <v>0.30230499999999999</v>
      </c>
      <c r="R6572">
        <v>0.94884769999999896</v>
      </c>
      <c r="S6572">
        <v>-0.39456180000000002</v>
      </c>
      <c r="T6572">
        <v>1.6329450000000001</v>
      </c>
      <c r="U6572">
        <v>2.604034</v>
      </c>
      <c r="V6572">
        <v>-0.1087135</v>
      </c>
      <c r="W6572">
        <v>0.3135462</v>
      </c>
      <c r="X6572">
        <v>0.94332930000000004</v>
      </c>
      <c r="Y6572">
        <v>-0.14510290000000001</v>
      </c>
      <c r="Z6572">
        <v>0.53624019999999994</v>
      </c>
      <c r="AA6572">
        <v>0.83149959999999901</v>
      </c>
      <c r="AB6572">
        <v>31</v>
      </c>
      <c r="AC6572">
        <v>-0.39456180000000002</v>
      </c>
      <c r="AD6572">
        <v>1.6329450000000001</v>
      </c>
      <c r="AE6572">
        <v>2.604034</v>
      </c>
      <c r="AF6572">
        <v>-0.31947976169078202</v>
      </c>
      <c r="AG6572">
        <v>1.6329450000000001</v>
      </c>
      <c r="AH6572">
        <v>1.8754256470770501</v>
      </c>
      <c r="AI6572">
        <v>49.359149210651303</v>
      </c>
      <c r="AJ6572">
        <v>99.667564212538394</v>
      </c>
      <c r="AK6572">
        <v>2.5071493870268999</v>
      </c>
      <c r="AL6572">
        <v>71.726928614771694</v>
      </c>
      <c r="AM6572">
        <v>96.574021176234893</v>
      </c>
      <c r="AN6572">
        <v>1.00000000642759</v>
      </c>
    </row>
    <row r="6573" spans="1:40" x14ac:dyDescent="0.25">
      <c r="A6573" t="str">
        <f>"20190303162947727"</f>
        <v>20190303162947727</v>
      </c>
      <c r="B6573" t="str">
        <f>"1551601787718682"</f>
        <v>1551601787718682</v>
      </c>
      <c r="C6573" t="s">
        <v>40</v>
      </c>
      <c r="D6573">
        <v>4.544594</v>
      </c>
      <c r="E6573">
        <v>0.47940640000000001</v>
      </c>
      <c r="F6573" t="s">
        <v>45</v>
      </c>
      <c r="G6573">
        <v>0</v>
      </c>
      <c r="H6573">
        <v>0</v>
      </c>
      <c r="I6573">
        <v>0</v>
      </c>
      <c r="J6573">
        <v>-188.15379999999999</v>
      </c>
      <c r="K6573">
        <v>1.122099</v>
      </c>
      <c r="L6573">
        <v>12.030060000000001</v>
      </c>
      <c r="M6573">
        <v>1.8001900000000001E-2</v>
      </c>
      <c r="N6573">
        <v>-1.196991E-2</v>
      </c>
      <c r="O6573">
        <v>0.9997663</v>
      </c>
      <c r="P6573">
        <v>-9.1583239999999996E-2</v>
      </c>
      <c r="Q6573">
        <v>0.30328889999999997</v>
      </c>
      <c r="R6573">
        <v>0.94848739999999998</v>
      </c>
      <c r="S6573">
        <v>-0.39625549999999998</v>
      </c>
      <c r="T6573">
        <v>1.631775</v>
      </c>
      <c r="U6573">
        <v>2.60379</v>
      </c>
      <c r="V6573">
        <v>-0.1088549</v>
      </c>
      <c r="W6573">
        <v>0.31452629999999998</v>
      </c>
      <c r="X6573">
        <v>0.94298669999999996</v>
      </c>
      <c r="Y6573">
        <v>-0.1453227</v>
      </c>
      <c r="Z6573">
        <v>0.53598449999999997</v>
      </c>
      <c r="AA6573">
        <v>0.83162610000000003</v>
      </c>
      <c r="AB6573">
        <v>31</v>
      </c>
      <c r="AC6573">
        <v>-0.39625549999999998</v>
      </c>
      <c r="AD6573">
        <v>1.631775</v>
      </c>
      <c r="AE6573">
        <v>2.60379</v>
      </c>
      <c r="AF6573">
        <v>-0.32016967341240798</v>
      </c>
      <c r="AG6573">
        <v>1.631775</v>
      </c>
      <c r="AH6573">
        <v>1.8760908121450099</v>
      </c>
      <c r="AI6573">
        <v>49.3909261828396</v>
      </c>
      <c r="AJ6573">
        <v>99.684676109508999</v>
      </c>
      <c r="AK6573">
        <v>2.5069732758473702</v>
      </c>
      <c r="AL6573">
        <v>71.667781606490493</v>
      </c>
      <c r="AM6573">
        <v>96.584867304572001</v>
      </c>
      <c r="AN6573">
        <v>1.00000004951129</v>
      </c>
    </row>
    <row r="6574" spans="1:40" x14ac:dyDescent="0.25">
      <c r="A6574" t="str">
        <f>"20190303162947747"</f>
        <v>20190303162947747</v>
      </c>
      <c r="B6574" t="str">
        <f>"1551601787738202"</f>
        <v>1551601787738202</v>
      </c>
      <c r="C6574" t="s">
        <v>40</v>
      </c>
      <c r="D6574">
        <v>4.5675150000000002</v>
      </c>
      <c r="E6574">
        <v>0.47929430000000001</v>
      </c>
      <c r="F6574" t="s">
        <v>45</v>
      </c>
      <c r="G6574">
        <v>0</v>
      </c>
      <c r="H6574">
        <v>0</v>
      </c>
      <c r="I6574">
        <v>0</v>
      </c>
      <c r="J6574">
        <v>-188.1489</v>
      </c>
      <c r="K6574">
        <v>1.1220969999999999</v>
      </c>
      <c r="L6574">
        <v>12.319889999999999</v>
      </c>
      <c r="M6574">
        <v>1.7685340000000001E-2</v>
      </c>
      <c r="N6574">
        <v>-1.197018E-2</v>
      </c>
      <c r="O6574">
        <v>0.99977199999999999</v>
      </c>
      <c r="P6574">
        <v>-9.2228690000000002E-2</v>
      </c>
      <c r="Q6574">
        <v>0.30370960000000002</v>
      </c>
      <c r="R6574">
        <v>0.94829019999999997</v>
      </c>
      <c r="S6574">
        <v>-0.39874270000000001</v>
      </c>
      <c r="T6574">
        <v>1.630679</v>
      </c>
      <c r="U6574">
        <v>2.6029969999999998</v>
      </c>
      <c r="V6574">
        <v>-0.109197699999999</v>
      </c>
      <c r="W6574">
        <v>0.31494499999999997</v>
      </c>
      <c r="X6574">
        <v>0.94280730000000001</v>
      </c>
      <c r="Y6574">
        <v>-0.14584459999999999</v>
      </c>
      <c r="Z6574">
        <v>0.53580249999999996</v>
      </c>
      <c r="AA6574">
        <v>0.83165199999999995</v>
      </c>
      <c r="AB6574">
        <v>31</v>
      </c>
      <c r="AC6574">
        <v>-0.39874270000000001</v>
      </c>
      <c r="AD6574">
        <v>1.630679</v>
      </c>
      <c r="AE6574">
        <v>2.6029969999999998</v>
      </c>
      <c r="AF6574">
        <v>-0.32145461584333801</v>
      </c>
      <c r="AG6574">
        <v>1.630679</v>
      </c>
      <c r="AH6574">
        <v>1.8761249354312299</v>
      </c>
      <c r="AI6574">
        <v>49.413669208014603</v>
      </c>
      <c r="AJ6574">
        <v>99.722629879347593</v>
      </c>
      <c r="AK6574">
        <v>2.5064500482624501</v>
      </c>
      <c r="AL6574">
        <v>71.642507382094706</v>
      </c>
      <c r="AM6574">
        <v>96.606666833313497</v>
      </c>
      <c r="AN6574">
        <v>1.0000000478217801</v>
      </c>
    </row>
    <row r="6575" spans="1:40" x14ac:dyDescent="0.25">
      <c r="A6575" t="str">
        <f>"20190303162947771"</f>
        <v>20190303162947771</v>
      </c>
      <c r="B6575" t="str">
        <f>"1551601787768458"</f>
        <v>1551601787768458</v>
      </c>
      <c r="C6575" t="s">
        <v>40</v>
      </c>
      <c r="D6575">
        <v>4.5865169999999997</v>
      </c>
      <c r="E6575">
        <v>0.47915150000000001</v>
      </c>
      <c r="F6575" t="s">
        <v>45</v>
      </c>
      <c r="G6575">
        <v>0</v>
      </c>
      <c r="H6575">
        <v>0</v>
      </c>
      <c r="I6575">
        <v>0</v>
      </c>
      <c r="J6575">
        <v>-188.14359999999999</v>
      </c>
      <c r="K6575">
        <v>1.122088</v>
      </c>
      <c r="L6575">
        <v>12.6442</v>
      </c>
      <c r="M6575">
        <v>1.7331059999999999E-2</v>
      </c>
      <c r="N6575">
        <v>-1.197054E-2</v>
      </c>
      <c r="O6575">
        <v>0.99977819999999995</v>
      </c>
      <c r="P6575">
        <v>-9.2927389999999999E-2</v>
      </c>
      <c r="Q6575">
        <v>0.3031488</v>
      </c>
      <c r="R6575">
        <v>0.94840150000000001</v>
      </c>
      <c r="S6575">
        <v>-0.40234379999999997</v>
      </c>
      <c r="T6575">
        <v>1.6289709999999999</v>
      </c>
      <c r="U6575">
        <v>2.6027529999999999</v>
      </c>
      <c r="V6575">
        <v>-0.1095621</v>
      </c>
      <c r="W6575">
        <v>0.31438549999999998</v>
      </c>
      <c r="X6575">
        <v>0.94295169999999995</v>
      </c>
      <c r="Y6575">
        <v>-0.14667539999999901</v>
      </c>
      <c r="Z6575">
        <v>0.53537699999999999</v>
      </c>
      <c r="AA6575">
        <v>0.83177990000000002</v>
      </c>
      <c r="AB6575">
        <v>31</v>
      </c>
      <c r="AC6575">
        <v>-0.40234379999999997</v>
      </c>
      <c r="AD6575">
        <v>1.6289709999999999</v>
      </c>
      <c r="AE6575">
        <v>2.6027529999999999</v>
      </c>
      <c r="AF6575">
        <v>-0.32359792490254602</v>
      </c>
      <c r="AG6575">
        <v>1.6289709999999999</v>
      </c>
      <c r="AH6575">
        <v>1.8772275388100099</v>
      </c>
      <c r="AI6575">
        <v>49.464880373148802</v>
      </c>
      <c r="AJ6575">
        <v>99.780569448818198</v>
      </c>
      <c r="AK6575">
        <v>2.5064407769402601</v>
      </c>
      <c r="AL6575">
        <v>71.676279062354496</v>
      </c>
      <c r="AM6575">
        <v>96.627511815569804</v>
      </c>
      <c r="AN6575">
        <v>1.0000000024497699</v>
      </c>
    </row>
    <row r="6576" spans="1:40" x14ac:dyDescent="0.25">
      <c r="A6576" t="str">
        <f>"20190303162947795"</f>
        <v>20190303162947795</v>
      </c>
      <c r="B6576" t="str">
        <f>"1551601787788954"</f>
        <v>1551601787788954</v>
      </c>
      <c r="C6576" t="s">
        <v>40</v>
      </c>
      <c r="D6576">
        <v>4.6202529999999999</v>
      </c>
      <c r="E6576">
        <v>0.4790586</v>
      </c>
      <c r="F6576" t="s">
        <v>45</v>
      </c>
      <c r="G6576">
        <v>0</v>
      </c>
      <c r="H6576">
        <v>0</v>
      </c>
      <c r="I6576">
        <v>0</v>
      </c>
      <c r="J6576">
        <v>-188.13839999999999</v>
      </c>
      <c r="K6576">
        <v>1.1220859999999999</v>
      </c>
      <c r="L6576">
        <v>12.97003</v>
      </c>
      <c r="M6576">
        <v>1.6975319999999999E-2</v>
      </c>
      <c r="N6576">
        <v>-1.1970919999999999E-2</v>
      </c>
      <c r="O6576">
        <v>0.99978420000000001</v>
      </c>
      <c r="P6576">
        <v>-9.4047290000000006E-2</v>
      </c>
      <c r="Q6576">
        <v>0.30276310000000001</v>
      </c>
      <c r="R6576">
        <v>0.94841430000000004</v>
      </c>
      <c r="S6576">
        <v>-0.40629579999999998</v>
      </c>
      <c r="T6576">
        <v>1.623515</v>
      </c>
      <c r="U6576">
        <v>2.6044619999999998</v>
      </c>
      <c r="V6576">
        <v>-0.11034529999999999</v>
      </c>
      <c r="W6576">
        <v>0.31400029999999901</v>
      </c>
      <c r="X6576">
        <v>0.94298870000000001</v>
      </c>
      <c r="Y6576">
        <v>-0.1476307</v>
      </c>
      <c r="Z6576">
        <v>0.53379770000000004</v>
      </c>
      <c r="AA6576">
        <v>0.83262559999999997</v>
      </c>
      <c r="AB6576">
        <v>31</v>
      </c>
      <c r="AC6576">
        <v>-0.40629579999999998</v>
      </c>
      <c r="AD6576">
        <v>1.623515</v>
      </c>
      <c r="AE6576">
        <v>2.6044619999999998</v>
      </c>
      <c r="AF6576">
        <v>-0.32656953734049099</v>
      </c>
      <c r="AG6576">
        <v>1.623515</v>
      </c>
      <c r="AH6576">
        <v>1.8829151099803101</v>
      </c>
      <c r="AI6576">
        <v>49.650372182452401</v>
      </c>
      <c r="AJ6576">
        <v>99.839400862225204</v>
      </c>
      <c r="AK6576">
        <v>2.5075521787863</v>
      </c>
      <c r="AL6576">
        <v>71.699526268490203</v>
      </c>
      <c r="AM6576">
        <v>96.674202828674495</v>
      </c>
      <c r="AN6576">
        <v>0.99999998097993403</v>
      </c>
    </row>
    <row r="6577" spans="1:40" x14ac:dyDescent="0.25">
      <c r="A6577" t="str">
        <f>"20190303162947816"</f>
        <v>20190303162947816</v>
      </c>
      <c r="B6577" t="str">
        <f>"1551601787808983"</f>
        <v>1551601787808983</v>
      </c>
      <c r="C6577" t="s">
        <v>40</v>
      </c>
      <c r="D6577">
        <v>4.6174600000000003</v>
      </c>
      <c r="E6577">
        <v>0.4791417</v>
      </c>
      <c r="F6577" t="s">
        <v>45</v>
      </c>
      <c r="G6577">
        <v>0</v>
      </c>
      <c r="H6577">
        <v>0</v>
      </c>
      <c r="I6577">
        <v>0</v>
      </c>
      <c r="J6577">
        <v>-188.1336</v>
      </c>
      <c r="K6577">
        <v>1.1220859999999999</v>
      </c>
      <c r="L6577">
        <v>13.272399999999999</v>
      </c>
      <c r="M6577">
        <v>1.6645199999999999E-2</v>
      </c>
      <c r="N6577">
        <v>-1.1971269999999999E-2</v>
      </c>
      <c r="O6577">
        <v>0.99978979999999995</v>
      </c>
      <c r="P6577">
        <v>-9.4744889999999998E-2</v>
      </c>
      <c r="Q6577">
        <v>0.30279719999999999</v>
      </c>
      <c r="R6577">
        <v>0.94833389999999995</v>
      </c>
      <c r="S6577">
        <v>-0.41073609999999999</v>
      </c>
      <c r="T6577">
        <v>1.62053799999999</v>
      </c>
      <c r="U6577">
        <v>2.6051030000000002</v>
      </c>
      <c r="V6577">
        <v>-0.11072849999999999</v>
      </c>
      <c r="W6577">
        <v>0.31403379999999997</v>
      </c>
      <c r="X6577">
        <v>0.94293269999999996</v>
      </c>
      <c r="Y6577">
        <v>-0.14874799999999999</v>
      </c>
      <c r="Z6577">
        <v>0.53292839999999997</v>
      </c>
      <c r="AA6577">
        <v>0.83298340000000004</v>
      </c>
      <c r="AB6577">
        <v>31</v>
      </c>
      <c r="AC6577">
        <v>-0.41073609999999999</v>
      </c>
      <c r="AD6577">
        <v>1.62053799999999</v>
      </c>
      <c r="AE6577">
        <v>2.6051030000000002</v>
      </c>
      <c r="AF6577">
        <v>-0.32959681499968602</v>
      </c>
      <c r="AG6577">
        <v>1.62053799999999</v>
      </c>
      <c r="AH6577">
        <v>1.88585183305593</v>
      </c>
      <c r="AI6577">
        <v>49.752668058861303</v>
      </c>
      <c r="AJ6577">
        <v>99.913649901337294</v>
      </c>
      <c r="AK6577">
        <v>2.5082293767002901</v>
      </c>
      <c r="AL6577">
        <v>71.697505953655096</v>
      </c>
      <c r="AM6577">
        <v>96.697564514614498</v>
      </c>
      <c r="AN6577">
        <v>1.0000000524919801</v>
      </c>
    </row>
    <row r="6578" spans="1:40" x14ac:dyDescent="0.25">
      <c r="A6578" t="str">
        <f>"20190303162947839"</f>
        <v>20190303162947839</v>
      </c>
      <c r="B6578" t="str">
        <f>"1551601787828503"</f>
        <v>1551601787828503</v>
      </c>
      <c r="C6578" t="s">
        <v>40</v>
      </c>
      <c r="D6578">
        <v>4.6722299999999999</v>
      </c>
      <c r="E6578">
        <v>0.47920109999999999</v>
      </c>
      <c r="F6578" t="s">
        <v>45</v>
      </c>
      <c r="G6578">
        <v>0</v>
      </c>
      <c r="H6578">
        <v>0</v>
      </c>
      <c r="I6578">
        <v>0</v>
      </c>
      <c r="J6578">
        <v>-188.12870000000001</v>
      </c>
      <c r="K6578">
        <v>1.1220840000000001</v>
      </c>
      <c r="L6578">
        <v>13.585660000000001</v>
      </c>
      <c r="M6578">
        <v>1.6303100000000001E-2</v>
      </c>
      <c r="N6578">
        <v>-1.197164E-2</v>
      </c>
      <c r="O6578">
        <v>0.9997954</v>
      </c>
      <c r="P6578">
        <v>-9.5125559999999998E-2</v>
      </c>
      <c r="Q6578">
        <v>0.30262309999999998</v>
      </c>
      <c r="R6578">
        <v>0.94835139999999996</v>
      </c>
      <c r="S6578">
        <v>-0.41171259999999998</v>
      </c>
      <c r="T6578">
        <v>1.6180540000000001</v>
      </c>
      <c r="U6578">
        <v>2.6056819999999998</v>
      </c>
      <c r="V6578">
        <v>-0.1107855</v>
      </c>
      <c r="W6578">
        <v>0.31386039999999998</v>
      </c>
      <c r="X6578">
        <v>0.94298369999999998</v>
      </c>
      <c r="Y6578">
        <v>-0.148752</v>
      </c>
      <c r="Z6578">
        <v>0.53226450000000003</v>
      </c>
      <c r="AA6578">
        <v>0.83340709999999996</v>
      </c>
      <c r="AB6578">
        <v>31</v>
      </c>
      <c r="AC6578">
        <v>-0.41171259999999998</v>
      </c>
      <c r="AD6578">
        <v>1.6180540000000001</v>
      </c>
      <c r="AE6578">
        <v>2.6056819999999998</v>
      </c>
      <c r="AF6578">
        <v>-0.32999369037617099</v>
      </c>
      <c r="AG6578">
        <v>1.6180540000000001</v>
      </c>
      <c r="AH6578">
        <v>1.88824181413771</v>
      </c>
      <c r="AI6578">
        <v>49.831724282921698</v>
      </c>
      <c r="AJ6578">
        <v>99.913036584995695</v>
      </c>
      <c r="AK6578">
        <v>2.5084759778124499</v>
      </c>
      <c r="AL6578">
        <v>71.7079694519811</v>
      </c>
      <c r="AM6578">
        <v>96.700621774008496</v>
      </c>
      <c r="AN6578">
        <v>1.0000000180820401</v>
      </c>
    </row>
    <row r="6579" spans="1:40" x14ac:dyDescent="0.25">
      <c r="A6579" t="str">
        <f>"20190303162947860"</f>
        <v>20190303162947860</v>
      </c>
      <c r="B6579" t="str">
        <f>"1551601787848998"</f>
        <v>1551601787848998</v>
      </c>
      <c r="C6579" t="s">
        <v>40</v>
      </c>
      <c r="D6579">
        <v>4.7296860000000001</v>
      </c>
      <c r="E6579">
        <v>0.47912169999999998</v>
      </c>
      <c r="F6579" t="s">
        <v>45</v>
      </c>
      <c r="G6579">
        <v>0</v>
      </c>
      <c r="H6579">
        <v>0</v>
      </c>
      <c r="I6579">
        <v>0</v>
      </c>
      <c r="J6579">
        <v>-188.124</v>
      </c>
      <c r="K6579">
        <v>1.1220870000000001</v>
      </c>
      <c r="L6579">
        <v>13.899290000000001</v>
      </c>
      <c r="M6579">
        <v>1.5960530000000001E-2</v>
      </c>
      <c r="N6579">
        <v>-1.197198E-2</v>
      </c>
      <c r="O6579">
        <v>0.99980089999999999</v>
      </c>
      <c r="P6579">
        <v>-9.5814399999999994E-2</v>
      </c>
      <c r="Q6579">
        <v>0.3014288</v>
      </c>
      <c r="R6579">
        <v>0.94866240000000002</v>
      </c>
      <c r="S6579">
        <v>-0.41271970000000002</v>
      </c>
      <c r="T6579">
        <v>1.614968</v>
      </c>
      <c r="U6579">
        <v>2.6066280000000002</v>
      </c>
      <c r="V6579">
        <v>-0.1111539</v>
      </c>
      <c r="W6579">
        <v>0.31267040000000001</v>
      </c>
      <c r="X6579">
        <v>0.94333560000000005</v>
      </c>
      <c r="Y6579">
        <v>-0.1487656</v>
      </c>
      <c r="Z6579">
        <v>0.53140719999999997</v>
      </c>
      <c r="AA6579">
        <v>0.83395160000000002</v>
      </c>
      <c r="AB6579">
        <v>31</v>
      </c>
      <c r="AC6579">
        <v>-0.41271970000000002</v>
      </c>
      <c r="AD6579">
        <v>1.614968</v>
      </c>
      <c r="AE6579">
        <v>2.6066280000000002</v>
      </c>
      <c r="AF6579">
        <v>-0.33050811575904598</v>
      </c>
      <c r="AG6579">
        <v>1.614968</v>
      </c>
      <c r="AH6579">
        <v>1.89142687066458</v>
      </c>
      <c r="AI6579">
        <v>49.9330979274607</v>
      </c>
      <c r="AJ6579">
        <v>99.911796047067995</v>
      </c>
      <c r="AK6579">
        <v>2.5089545357934702</v>
      </c>
      <c r="AL6579">
        <v>71.779765103648103</v>
      </c>
      <c r="AM6579">
        <v>96.720215162113305</v>
      </c>
      <c r="AN6579">
        <v>1.0000000113743599</v>
      </c>
    </row>
    <row r="6580" spans="1:40" x14ac:dyDescent="0.25">
      <c r="A6580" t="str">
        <f>"20190303162947882"</f>
        <v>20190303162947882</v>
      </c>
      <c r="B6580" t="str">
        <f>"1551601787878278"</f>
        <v>1551601787878278</v>
      </c>
      <c r="C6580" t="s">
        <v>40</v>
      </c>
      <c r="D6580">
        <v>4.7282739999999999</v>
      </c>
      <c r="E6580">
        <v>0.47909390000000002</v>
      </c>
      <c r="F6580" t="s">
        <v>45</v>
      </c>
      <c r="G6580">
        <v>0</v>
      </c>
      <c r="H6580">
        <v>0</v>
      </c>
      <c r="I6580">
        <v>0</v>
      </c>
      <c r="J6580">
        <v>-188.11959999999999</v>
      </c>
      <c r="K6580">
        <v>1.1220779999999999</v>
      </c>
      <c r="L6580">
        <v>14.196260000000001</v>
      </c>
      <c r="M6580">
        <v>1.5636110000000002E-2</v>
      </c>
      <c r="N6580">
        <v>-1.197225E-2</v>
      </c>
      <c r="O6580">
        <v>0.99980599999999997</v>
      </c>
      <c r="P6580">
        <v>-9.6611379999999997E-2</v>
      </c>
      <c r="Q6580">
        <v>0.3001296</v>
      </c>
      <c r="R6580">
        <v>0.94899339999999999</v>
      </c>
      <c r="S6580">
        <v>-0.41603089999999998</v>
      </c>
      <c r="T6580">
        <v>1.608733</v>
      </c>
      <c r="U6580">
        <v>2.6091609999999998</v>
      </c>
      <c r="V6580">
        <v>-0.1116482</v>
      </c>
      <c r="W6580">
        <v>0.31137559999999997</v>
      </c>
      <c r="X6580">
        <v>0.94370540000000003</v>
      </c>
      <c r="Y6580">
        <v>-0.14953830000000001</v>
      </c>
      <c r="Z6580">
        <v>0.52953409999999901</v>
      </c>
      <c r="AA6580">
        <v>0.83500419999999997</v>
      </c>
      <c r="AB6580">
        <v>31</v>
      </c>
      <c r="AC6580">
        <v>-0.41603089999999998</v>
      </c>
      <c r="AD6580">
        <v>1.608733</v>
      </c>
      <c r="AE6580">
        <v>2.6091609999999998</v>
      </c>
      <c r="AF6580">
        <v>-0.33323755330534299</v>
      </c>
      <c r="AG6580">
        <v>1.608733</v>
      </c>
      <c r="AH6580">
        <v>1.89849829514246</v>
      </c>
      <c r="AI6580">
        <v>50.151226750897401</v>
      </c>
      <c r="AJ6580">
        <v>99.955535923368402</v>
      </c>
      <c r="AK6580">
        <v>2.5106502960151098</v>
      </c>
      <c r="AL6580">
        <v>71.857849590162004</v>
      </c>
      <c r="AM6580">
        <v>96.747204147674296</v>
      </c>
      <c r="AN6580">
        <v>0.99999998341387897</v>
      </c>
    </row>
    <row r="6581" spans="1:40" x14ac:dyDescent="0.25">
      <c r="A6581" t="str">
        <f>"20190303162947905"</f>
        <v>20190303162947905</v>
      </c>
      <c r="B6581" t="str">
        <f>"1551601787898248"</f>
        <v>1551601787898248</v>
      </c>
      <c r="C6581" t="s">
        <v>40</v>
      </c>
      <c r="D6581">
        <v>5.0259910000000003</v>
      </c>
      <c r="E6581">
        <v>0.47911340000000002</v>
      </c>
      <c r="F6581" t="s">
        <v>45</v>
      </c>
      <c r="G6581">
        <v>0</v>
      </c>
      <c r="H6581">
        <v>0</v>
      </c>
      <c r="I6581">
        <v>0</v>
      </c>
      <c r="J6581">
        <v>-188.11510000000001</v>
      </c>
      <c r="K6581">
        <v>1.1220779999999999</v>
      </c>
      <c r="L6581">
        <v>14.51041</v>
      </c>
      <c r="M6581">
        <v>1.529295E-2</v>
      </c>
      <c r="N6581">
        <v>-1.197258E-2</v>
      </c>
      <c r="O6581">
        <v>0.99981140000000002</v>
      </c>
      <c r="P6581">
        <v>-9.7673540000000003E-2</v>
      </c>
      <c r="Q6581">
        <v>0.29930679999999998</v>
      </c>
      <c r="R6581">
        <v>0.94914449999999995</v>
      </c>
      <c r="S6581">
        <v>-0.41929630000000001</v>
      </c>
      <c r="T6581">
        <v>1.602452</v>
      </c>
      <c r="U6581">
        <v>2.611755</v>
      </c>
      <c r="V6581">
        <v>-0.1123865</v>
      </c>
      <c r="W6581">
        <v>0.31055440000000001</v>
      </c>
      <c r="X6581">
        <v>0.94388839999999996</v>
      </c>
      <c r="Y6581">
        <v>-0.15027670000000001</v>
      </c>
      <c r="Z6581">
        <v>0.52764</v>
      </c>
      <c r="AA6581">
        <v>0.83606990000000003</v>
      </c>
      <c r="AB6581">
        <v>31</v>
      </c>
      <c r="AC6581">
        <v>-0.41929630000000001</v>
      </c>
      <c r="AD6581">
        <v>1.602452</v>
      </c>
      <c r="AE6581">
        <v>2.611755</v>
      </c>
      <c r="AF6581">
        <v>-0.33591447847525602</v>
      </c>
      <c r="AG6581">
        <v>1.602452</v>
      </c>
      <c r="AH6581">
        <v>1.9056743467111901</v>
      </c>
      <c r="AI6581">
        <v>50.371248277586197</v>
      </c>
      <c r="AJ6581">
        <v>99.996870441087495</v>
      </c>
      <c r="AK6581">
        <v>2.51242625063233</v>
      </c>
      <c r="AL6581">
        <v>71.907356301402402</v>
      </c>
      <c r="AM6581">
        <v>96.790101814460598</v>
      </c>
      <c r="AN6581">
        <v>1.0000000361980801</v>
      </c>
    </row>
    <row r="6582" spans="1:40" x14ac:dyDescent="0.25">
      <c r="A6582" t="str">
        <f>"20190303162947929"</f>
        <v>20190303162947929</v>
      </c>
      <c r="B6582" t="str">
        <f>"1551601787918745"</f>
        <v>1551601787918745</v>
      </c>
      <c r="C6582" t="s">
        <v>40</v>
      </c>
      <c r="D6582">
        <v>4.8214920000000001</v>
      </c>
      <c r="E6582">
        <v>0.46220810000000001</v>
      </c>
      <c r="F6582" t="s">
        <v>45</v>
      </c>
      <c r="G6582">
        <v>0</v>
      </c>
      <c r="H6582">
        <v>0</v>
      </c>
      <c r="I6582">
        <v>0</v>
      </c>
      <c r="J6582">
        <v>-188.11019999999999</v>
      </c>
      <c r="K6582">
        <v>1.1220939999999999</v>
      </c>
      <c r="L6582">
        <v>14.8566</v>
      </c>
      <c r="M6582">
        <v>1.491483E-2</v>
      </c>
      <c r="N6582">
        <v>-1.197293E-2</v>
      </c>
      <c r="O6582">
        <v>0.99981710000000001</v>
      </c>
      <c r="P6582">
        <v>-9.8898079999999999E-2</v>
      </c>
      <c r="Q6582">
        <v>0.30071979999999998</v>
      </c>
      <c r="R6582">
        <v>0.94857089999999999</v>
      </c>
      <c r="S6582">
        <v>-0.42254639999999999</v>
      </c>
      <c r="T6582">
        <v>1.5992789999999999</v>
      </c>
      <c r="U6582">
        <v>2.612946</v>
      </c>
      <c r="V6582">
        <v>-0.1132452</v>
      </c>
      <c r="W6582">
        <v>0.31196049999999997</v>
      </c>
      <c r="X6582">
        <v>0.94332190000000005</v>
      </c>
      <c r="Y6582">
        <v>-0.1509559</v>
      </c>
      <c r="Z6582">
        <v>0.52667109999999995</v>
      </c>
      <c r="AA6582">
        <v>0.83655829999999998</v>
      </c>
      <c r="AB6582">
        <v>31</v>
      </c>
      <c r="AC6582">
        <v>-0.42254639999999999</v>
      </c>
      <c r="AD6582">
        <v>1.5992789999999999</v>
      </c>
      <c r="AE6582">
        <v>2.612946</v>
      </c>
      <c r="AF6582">
        <v>-0.33805869044805997</v>
      </c>
      <c r="AG6582">
        <v>1.5992789999999999</v>
      </c>
      <c r="AH6582">
        <v>1.9093177265774599</v>
      </c>
      <c r="AI6582">
        <v>50.4845446561636</v>
      </c>
      <c r="AJ6582">
        <v>100.040578805035</v>
      </c>
      <c r="AK6582">
        <v>2.5134580121918502</v>
      </c>
      <c r="AL6582">
        <v>71.822581224441393</v>
      </c>
      <c r="AM6582">
        <v>96.845561945877904</v>
      </c>
      <c r="AN6582">
        <v>1.0000000179514399</v>
      </c>
    </row>
    <row r="6583" spans="1:40" x14ac:dyDescent="0.25">
      <c r="A6583" t="str">
        <f>"20190303162947951"</f>
        <v>20190303162947951</v>
      </c>
      <c r="B6583" t="str">
        <f>"1551601787949000"</f>
        <v>1551601787949000</v>
      </c>
      <c r="C6583" t="s">
        <v>40</v>
      </c>
      <c r="D6583">
        <v>4.8145910000000001</v>
      </c>
      <c r="E6583">
        <v>0.46029599999999998</v>
      </c>
      <c r="F6583" t="s">
        <v>45</v>
      </c>
      <c r="G6583">
        <v>0</v>
      </c>
      <c r="H6583">
        <v>0</v>
      </c>
      <c r="I6583">
        <v>0</v>
      </c>
      <c r="J6583">
        <v>-188.10589999999999</v>
      </c>
      <c r="K6583">
        <v>1.1221080000000001</v>
      </c>
      <c r="L6583">
        <v>15.173279999999901</v>
      </c>
      <c r="M6583">
        <v>1.4568940000000001E-2</v>
      </c>
      <c r="N6583">
        <v>-1.197321E-2</v>
      </c>
      <c r="O6583">
        <v>0.99982219999999999</v>
      </c>
      <c r="P6583">
        <v>-9.9943710000000005E-2</v>
      </c>
      <c r="Q6583">
        <v>0.30265379999999997</v>
      </c>
      <c r="R6583">
        <v>0.94784590000000002</v>
      </c>
      <c r="S6583">
        <v>-0.56150819999999901</v>
      </c>
      <c r="T6583">
        <v>1.572065</v>
      </c>
      <c r="U6583">
        <v>2.6057429999999999</v>
      </c>
      <c r="V6583">
        <v>-0.1139535</v>
      </c>
      <c r="W6583">
        <v>0.3138862</v>
      </c>
      <c r="X6583">
        <v>0.94259749999999998</v>
      </c>
      <c r="Y6583">
        <v>-0.1951601</v>
      </c>
      <c r="Z6583">
        <v>0.51744100000000004</v>
      </c>
      <c r="AA6583">
        <v>0.83316710000000005</v>
      </c>
      <c r="AB6583">
        <v>31</v>
      </c>
      <c r="AC6583">
        <v>-0.56150819999999901</v>
      </c>
      <c r="AD6583">
        <v>1.572065</v>
      </c>
      <c r="AE6583">
        <v>2.6057429999999999</v>
      </c>
      <c r="AF6583">
        <v>-0.44472582334774702</v>
      </c>
      <c r="AG6583">
        <v>1.572065</v>
      </c>
      <c r="AH6583">
        <v>1.92701433668931</v>
      </c>
      <c r="AI6583">
        <v>51.518495546021803</v>
      </c>
      <c r="AJ6583">
        <v>102.995469525182</v>
      </c>
      <c r="AK6583">
        <v>2.52637164249116</v>
      </c>
      <c r="AL6583">
        <v>71.706412140284101</v>
      </c>
      <c r="AM6583">
        <v>96.893210504557302</v>
      </c>
      <c r="AN6583">
        <v>0.99999999685946905</v>
      </c>
    </row>
    <row r="6584" spans="1:40" x14ac:dyDescent="0.25">
      <c r="A6584" t="str">
        <f>"20190303162947972"</f>
        <v>20190303162947972</v>
      </c>
      <c r="B6584" t="str">
        <f>"1551601787968520"</f>
        <v>1551601787968520</v>
      </c>
      <c r="C6584" t="s">
        <v>40</v>
      </c>
      <c r="D6584">
        <v>4.8589440000000002</v>
      </c>
      <c r="E6584">
        <v>0.45988839999999997</v>
      </c>
      <c r="F6584" t="s">
        <v>45</v>
      </c>
      <c r="G6584">
        <v>0</v>
      </c>
      <c r="H6584">
        <v>0</v>
      </c>
      <c r="I6584">
        <v>0</v>
      </c>
      <c r="J6584">
        <v>-188.102</v>
      </c>
      <c r="K6584">
        <v>1.1221129999999999</v>
      </c>
      <c r="L6584">
        <v>15.458740000000001</v>
      </c>
      <c r="M6584">
        <v>1.425715E-2</v>
      </c>
      <c r="N6584">
        <v>-1.197344E-2</v>
      </c>
      <c r="O6584">
        <v>0.99982669999999996</v>
      </c>
      <c r="P6584">
        <v>-0.10060529999999999</v>
      </c>
      <c r="Q6584">
        <v>0.30259779999999997</v>
      </c>
      <c r="R6584">
        <v>0.94779380000000002</v>
      </c>
      <c r="S6584">
        <v>-0.57902529999999997</v>
      </c>
      <c r="T6584">
        <v>1.584163</v>
      </c>
      <c r="U6584">
        <v>2.5981749999999999</v>
      </c>
      <c r="V6584">
        <v>-0.1143193</v>
      </c>
      <c r="W6584">
        <v>0.31382959999999999</v>
      </c>
      <c r="X6584">
        <v>0.94257210000000002</v>
      </c>
      <c r="Y6584">
        <v>-0.20029050000000001</v>
      </c>
      <c r="Z6584">
        <v>0.52081520000000003</v>
      </c>
      <c r="AA6584">
        <v>0.82984049999999998</v>
      </c>
      <c r="AB6584">
        <v>31</v>
      </c>
      <c r="AC6584">
        <v>-0.57902529999999997</v>
      </c>
      <c r="AD6584">
        <v>1.584163</v>
      </c>
      <c r="AE6584">
        <v>2.5981749999999999</v>
      </c>
      <c r="AF6584">
        <v>-0.45489978245850998</v>
      </c>
      <c r="AG6584">
        <v>1.584163</v>
      </c>
      <c r="AH6584">
        <v>1.9123558576500701</v>
      </c>
      <c r="AI6584">
        <v>51.134789694962699</v>
      </c>
      <c r="AJ6584">
        <v>103.380502471204</v>
      </c>
      <c r="AK6584">
        <v>2.524601186116</v>
      </c>
      <c r="AL6584">
        <v>71.709828521947401</v>
      </c>
      <c r="AM6584">
        <v>96.915308892081498</v>
      </c>
      <c r="AN6584">
        <v>1.00000004194352</v>
      </c>
    </row>
    <row r="6585" spans="1:40" x14ac:dyDescent="0.25">
      <c r="A6585" t="str">
        <f>"20190303162947992"</f>
        <v>20190303162947992</v>
      </c>
      <c r="B6585" t="str">
        <f>"1551601787989017"</f>
        <v>1551601787989017</v>
      </c>
      <c r="C6585" t="s">
        <v>40</v>
      </c>
      <c r="D6585">
        <v>4.808713</v>
      </c>
      <c r="E6585">
        <v>0.45985350000000003</v>
      </c>
      <c r="F6585" t="s">
        <v>45</v>
      </c>
      <c r="G6585">
        <v>0</v>
      </c>
      <c r="H6585">
        <v>0</v>
      </c>
      <c r="I6585">
        <v>0</v>
      </c>
      <c r="J6585">
        <v>-188.09809999999999</v>
      </c>
      <c r="K6585">
        <v>1.1221209999999999</v>
      </c>
      <c r="L6585">
        <v>15.76196</v>
      </c>
      <c r="M6585">
        <v>1.392608E-2</v>
      </c>
      <c r="N6585">
        <v>-1.19737E-2</v>
      </c>
      <c r="O6585">
        <v>0.99983129999999998</v>
      </c>
      <c r="P6585">
        <v>-0.1010616</v>
      </c>
      <c r="Q6585">
        <v>0.30457250000000002</v>
      </c>
      <c r="R6585">
        <v>0.94711250000000002</v>
      </c>
      <c r="S6585">
        <v>-0.58485410000000004</v>
      </c>
      <c r="T6585">
        <v>1.586856</v>
      </c>
      <c r="U6585">
        <v>2.596527</v>
      </c>
      <c r="V6585">
        <v>-0.1144541</v>
      </c>
      <c r="W6585">
        <v>0.31579659999999998</v>
      </c>
      <c r="X6585">
        <v>0.94189849999999997</v>
      </c>
      <c r="Y6585">
        <v>-0.2017678</v>
      </c>
      <c r="Z6585">
        <v>0.52151229999999904</v>
      </c>
      <c r="AA6585">
        <v>0.82904449999999996</v>
      </c>
      <c r="AB6585">
        <v>31</v>
      </c>
      <c r="AC6585">
        <v>-0.58485410000000004</v>
      </c>
      <c r="AD6585">
        <v>1.586856</v>
      </c>
      <c r="AE6585">
        <v>2.596527</v>
      </c>
      <c r="AF6585">
        <v>-0.45811563168769698</v>
      </c>
      <c r="AG6585">
        <v>1.586856</v>
      </c>
      <c r="AH6585">
        <v>1.90940457865369</v>
      </c>
      <c r="AI6585">
        <v>51.056966068623296</v>
      </c>
      <c r="AJ6585">
        <v>103.491719383495</v>
      </c>
      <c r="AK6585">
        <v>2.5246401212284302</v>
      </c>
      <c r="AL6585">
        <v>71.591089671353899</v>
      </c>
      <c r="AM6585">
        <v>96.9282871657242</v>
      </c>
      <c r="AN6585">
        <v>1.00000000894031</v>
      </c>
    </row>
    <row r="6586" spans="1:40" x14ac:dyDescent="0.25">
      <c r="A6586" t="str">
        <f>"20190303162948016"</f>
        <v>20190303162948016</v>
      </c>
      <c r="B6586" t="str">
        <f>"1551601788008537"</f>
        <v>1551601788008537</v>
      </c>
      <c r="C6586" t="s">
        <v>40</v>
      </c>
      <c r="D6586">
        <v>4.8750710000000002</v>
      </c>
      <c r="E6586">
        <v>0.45984399999999997</v>
      </c>
      <c r="F6586" t="s">
        <v>45</v>
      </c>
      <c r="G6586">
        <v>0</v>
      </c>
      <c r="H6586">
        <v>0</v>
      </c>
      <c r="I6586">
        <v>0</v>
      </c>
      <c r="J6586">
        <v>-188.09389999999999</v>
      </c>
      <c r="K6586">
        <v>1.1221129999999999</v>
      </c>
      <c r="L6586">
        <v>16.08737</v>
      </c>
      <c r="M6586">
        <v>1.3570759999999999E-2</v>
      </c>
      <c r="N6586">
        <v>-1.1973950000000001E-2</v>
      </c>
      <c r="O6586">
        <v>0.99983619999999995</v>
      </c>
      <c r="P6586">
        <v>-0.1011122</v>
      </c>
      <c r="Q6586">
        <v>0.30441810000000002</v>
      </c>
      <c r="R6586">
        <v>0.94715680000000002</v>
      </c>
      <c r="S6586">
        <v>-0.58691409999999999</v>
      </c>
      <c r="T6586">
        <v>1.59511</v>
      </c>
      <c r="U6586">
        <v>2.5919490000000001</v>
      </c>
      <c r="V6586">
        <v>-0.1141692</v>
      </c>
      <c r="W6586">
        <v>0.31564360000000002</v>
      </c>
      <c r="X6586">
        <v>0.94198440000000006</v>
      </c>
      <c r="Y6586">
        <v>-0.2020276</v>
      </c>
      <c r="Z6586">
        <v>0.5240416</v>
      </c>
      <c r="AA6586">
        <v>0.82738459999999903</v>
      </c>
      <c r="AB6586">
        <v>31</v>
      </c>
      <c r="AC6586">
        <v>-0.58691409999999999</v>
      </c>
      <c r="AD6586">
        <v>1.59511</v>
      </c>
      <c r="AE6586">
        <v>2.5919490000000001</v>
      </c>
      <c r="AF6586">
        <v>-0.45729392243503503</v>
      </c>
      <c r="AG6586">
        <v>1.59511</v>
      </c>
      <c r="AH6586">
        <v>1.89945336081191</v>
      </c>
      <c r="AI6586">
        <v>50.770233209019203</v>
      </c>
      <c r="AJ6586">
        <v>103.536372814283</v>
      </c>
      <c r="AK6586">
        <v>2.5221849086646402</v>
      </c>
      <c r="AL6586">
        <v>71.600329234416606</v>
      </c>
      <c r="AM6586">
        <v>96.910584084284395</v>
      </c>
      <c r="AN6586">
        <v>1.00000004914647</v>
      </c>
    </row>
    <row r="6587" spans="1:40" x14ac:dyDescent="0.25">
      <c r="A6587" t="str">
        <f>"20190303162948037"</f>
        <v>20190303162948037</v>
      </c>
      <c r="B6587" t="str">
        <f>"1551601788028057"</f>
        <v>1551601788028057</v>
      </c>
      <c r="C6587" t="s">
        <v>40</v>
      </c>
      <c r="D6587">
        <v>4.8993549999999999</v>
      </c>
      <c r="E6587">
        <v>0.45975949999999999</v>
      </c>
      <c r="F6587" t="s">
        <v>45</v>
      </c>
      <c r="G6587">
        <v>0</v>
      </c>
      <c r="H6587">
        <v>0</v>
      </c>
      <c r="I6587">
        <v>0</v>
      </c>
      <c r="J6587">
        <v>-188.09010000000001</v>
      </c>
      <c r="K6587">
        <v>1.1221099999999999</v>
      </c>
      <c r="L6587">
        <v>16.396609999999999</v>
      </c>
      <c r="M6587">
        <v>1.3233109999999999E-2</v>
      </c>
      <c r="N6587">
        <v>-1.1974240000000001E-2</v>
      </c>
      <c r="O6587">
        <v>0.99984070000000003</v>
      </c>
      <c r="P6587">
        <v>-0.1015562</v>
      </c>
      <c r="Q6587">
        <v>0.30265540000000002</v>
      </c>
      <c r="R6587">
        <v>0.94767400000000002</v>
      </c>
      <c r="S6587">
        <v>-0.58776859999999997</v>
      </c>
      <c r="T6587">
        <v>1.595326</v>
      </c>
      <c r="U6587">
        <v>2.591888</v>
      </c>
      <c r="V6587">
        <v>-0.114299499999999</v>
      </c>
      <c r="W6587">
        <v>0.31388759999999999</v>
      </c>
      <c r="X6587">
        <v>0.94255520000000004</v>
      </c>
      <c r="Y6587">
        <v>-0.20195650000000001</v>
      </c>
      <c r="Z6587">
        <v>0.52409539999999999</v>
      </c>
      <c r="AA6587">
        <v>0.82736779999999999</v>
      </c>
      <c r="AB6587">
        <v>31</v>
      </c>
      <c r="AC6587">
        <v>-0.58776859999999997</v>
      </c>
      <c r="AD6587">
        <v>1.595326</v>
      </c>
      <c r="AE6587">
        <v>2.591888</v>
      </c>
      <c r="AF6587">
        <v>-0.45725897581848701</v>
      </c>
      <c r="AG6587">
        <v>1.595326</v>
      </c>
      <c r="AH6587">
        <v>1.89946725751106</v>
      </c>
      <c r="AI6587">
        <v>50.766509115264903</v>
      </c>
      <c r="AJ6587">
        <v>103.535281036699</v>
      </c>
      <c r="AK6587">
        <v>2.5223256489991899</v>
      </c>
      <c r="AL6587">
        <v>71.706328721524002</v>
      </c>
      <c r="AM6587">
        <v>96.914245531753707</v>
      </c>
      <c r="AN6587">
        <v>1.00000005309052</v>
      </c>
    </row>
    <row r="6588" spans="1:40" x14ac:dyDescent="0.25">
      <c r="A6588" t="str">
        <f>"20190303162948061"</f>
        <v>20190303162948061</v>
      </c>
      <c r="B6588" t="str">
        <f>"1551601788058313"</f>
        <v>1551601788058313</v>
      </c>
      <c r="C6588" t="s">
        <v>40</v>
      </c>
      <c r="D6588">
        <v>4.9070119999999999</v>
      </c>
      <c r="E6588">
        <v>0.45989869999999999</v>
      </c>
      <c r="F6588" t="s">
        <v>45</v>
      </c>
      <c r="G6588">
        <v>0</v>
      </c>
      <c r="H6588">
        <v>0</v>
      </c>
      <c r="I6588">
        <v>0</v>
      </c>
      <c r="J6588">
        <v>-188.08619999999999</v>
      </c>
      <c r="K6588">
        <v>1.1221270000000001</v>
      </c>
      <c r="L6588">
        <v>16.718109999999999</v>
      </c>
      <c r="M6588">
        <v>1.2882009999999999E-2</v>
      </c>
      <c r="N6588">
        <v>-1.1974530000000001E-2</v>
      </c>
      <c r="O6588">
        <v>0.99984530000000005</v>
      </c>
      <c r="P6588">
        <v>-0.10229920000000001</v>
      </c>
      <c r="Q6588">
        <v>0.30493219999999999</v>
      </c>
      <c r="R6588">
        <v>0.94686389999999998</v>
      </c>
      <c r="S6588">
        <v>-0.58982849999999998</v>
      </c>
      <c r="T6588">
        <v>1.5908409999999999</v>
      </c>
      <c r="U6588">
        <v>2.5943909999999999</v>
      </c>
      <c r="V6588">
        <v>-0.1147015</v>
      </c>
      <c r="W6588">
        <v>0.31615480000000001</v>
      </c>
      <c r="X6588">
        <v>0.94174820000000004</v>
      </c>
      <c r="Y6588">
        <v>-0.20226340000000001</v>
      </c>
      <c r="Z6588">
        <v>0.52265299999999904</v>
      </c>
      <c r="AA6588">
        <v>0.82820490000000002</v>
      </c>
      <c r="AB6588">
        <v>31</v>
      </c>
      <c r="AC6588">
        <v>-0.58982849999999998</v>
      </c>
      <c r="AD6588">
        <v>1.5908409999999999</v>
      </c>
      <c r="AE6588">
        <v>2.5943909999999999</v>
      </c>
      <c r="AF6588">
        <v>-0.45907572374293998</v>
      </c>
      <c r="AG6588">
        <v>1.5908409999999999</v>
      </c>
      <c r="AH6588">
        <v>1.9053740929610401</v>
      </c>
      <c r="AI6588">
        <v>50.933909236840698</v>
      </c>
      <c r="AJ6588">
        <v>103.54650193683101</v>
      </c>
      <c r="AK6588">
        <v>2.52427733055189</v>
      </c>
      <c r="AL6588">
        <v>71.569457562217707</v>
      </c>
      <c r="AM6588">
        <v>96.944214364822301</v>
      </c>
      <c r="AN6588">
        <v>0.99999998193426498</v>
      </c>
    </row>
    <row r="6589" spans="1:40" x14ac:dyDescent="0.25">
      <c r="A6589" t="str">
        <f>"20190303162948082"</f>
        <v>20190303162948082</v>
      </c>
      <c r="B6589" t="str">
        <f>"1551601788078809"</f>
        <v>1551601788078809</v>
      </c>
      <c r="C6589" t="s">
        <v>40</v>
      </c>
      <c r="D6589">
        <v>4.9056230000000003</v>
      </c>
      <c r="E6589">
        <v>0.46018300000000001</v>
      </c>
      <c r="F6589" t="s">
        <v>45</v>
      </c>
      <c r="G6589">
        <v>0</v>
      </c>
      <c r="H6589">
        <v>0</v>
      </c>
      <c r="I6589">
        <v>0</v>
      </c>
      <c r="J6589">
        <v>-188.08279999999999</v>
      </c>
      <c r="K6589">
        <v>1.1221460000000001</v>
      </c>
      <c r="L6589">
        <v>17.011050000000001</v>
      </c>
      <c r="M6589">
        <v>1.256169E-2</v>
      </c>
      <c r="N6589">
        <v>-1.1974739999999999E-2</v>
      </c>
      <c r="O6589">
        <v>0.9998494</v>
      </c>
      <c r="P6589">
        <v>-0.10290340000000001</v>
      </c>
      <c r="Q6589">
        <v>0.3092125</v>
      </c>
      <c r="R6589">
        <v>0.94540919999999895</v>
      </c>
      <c r="S6589">
        <v>-0.59080509999999997</v>
      </c>
      <c r="T6589">
        <v>1.5973280000000001</v>
      </c>
      <c r="U6589">
        <v>2.5901179999999999</v>
      </c>
      <c r="V6589">
        <v>-0.1149876</v>
      </c>
      <c r="W6589">
        <v>0.32041799999999998</v>
      </c>
      <c r="X6589">
        <v>0.94027130000000003</v>
      </c>
      <c r="Y6589">
        <v>-0.2022621</v>
      </c>
      <c r="Z6589">
        <v>0.52475459999999996</v>
      </c>
      <c r="AA6589">
        <v>0.82687520000000003</v>
      </c>
      <c r="AB6589">
        <v>31</v>
      </c>
      <c r="AC6589">
        <v>-0.59080509999999997</v>
      </c>
      <c r="AD6589">
        <v>1.5973280000000001</v>
      </c>
      <c r="AE6589">
        <v>2.5901179999999999</v>
      </c>
      <c r="AF6589">
        <v>-0.45779812942438303</v>
      </c>
      <c r="AG6589">
        <v>1.5973280000000001</v>
      </c>
      <c r="AH6589">
        <v>1.8967838354553901</v>
      </c>
      <c r="AI6589">
        <v>50.695601393843504</v>
      </c>
      <c r="AJ6589">
        <v>103.56911438281401</v>
      </c>
      <c r="AK6589">
        <v>2.5216710303553298</v>
      </c>
      <c r="AL6589">
        <v>71.311793987051601</v>
      </c>
      <c r="AM6589">
        <v>96.972192365329505</v>
      </c>
      <c r="AN6589">
        <v>0.99999998024072401</v>
      </c>
    </row>
    <row r="6590" spans="1:40" x14ac:dyDescent="0.25">
      <c r="A6590" t="str">
        <f>"20190303162948107"</f>
        <v>20190303162948107</v>
      </c>
      <c r="B6590" t="str">
        <f>"1551601788098329"</f>
        <v>1551601788098329</v>
      </c>
      <c r="C6590" t="s">
        <v>40</v>
      </c>
      <c r="D6590">
        <v>4.9374419999999999</v>
      </c>
      <c r="E6590">
        <v>0.46058700000000002</v>
      </c>
      <c r="F6590" t="s">
        <v>45</v>
      </c>
      <c r="G6590">
        <v>0</v>
      </c>
      <c r="H6590">
        <v>0</v>
      </c>
      <c r="I6590">
        <v>0</v>
      </c>
      <c r="J6590">
        <v>-188.0789</v>
      </c>
      <c r="K6590">
        <v>1.1221509999999999</v>
      </c>
      <c r="L6590">
        <v>17.35941</v>
      </c>
      <c r="M6590">
        <v>1.217684E-2</v>
      </c>
      <c r="N6590">
        <v>-1.1975070000000001E-2</v>
      </c>
      <c r="O6590">
        <v>0.99985409999999997</v>
      </c>
      <c r="P6590">
        <v>-0.10298499999999999</v>
      </c>
      <c r="Q6590">
        <v>0.31205840000000001</v>
      </c>
      <c r="R6590">
        <v>0.94446470000000005</v>
      </c>
      <c r="S6590">
        <v>-0.58963009999999905</v>
      </c>
      <c r="T6590">
        <v>1.6090329999999999</v>
      </c>
      <c r="U6590">
        <v>2.5827939999999998</v>
      </c>
      <c r="V6590">
        <v>-0.1146978</v>
      </c>
      <c r="W6590">
        <v>0.32325280000000001</v>
      </c>
      <c r="X6590">
        <v>0.9393359</v>
      </c>
      <c r="Y6590">
        <v>-0.20151930000000001</v>
      </c>
      <c r="Z6590">
        <v>0.52856990000000004</v>
      </c>
      <c r="AA6590">
        <v>0.82462340000000001</v>
      </c>
      <c r="AB6590">
        <v>31</v>
      </c>
      <c r="AC6590">
        <v>-0.58963009999999905</v>
      </c>
      <c r="AD6590">
        <v>1.6090329999999999</v>
      </c>
      <c r="AE6590">
        <v>2.5827939999999998</v>
      </c>
      <c r="AF6590">
        <v>-0.45368362588223998</v>
      </c>
      <c r="AG6590">
        <v>1.6090329999999999</v>
      </c>
      <c r="AH6590">
        <v>1.8814068566225099</v>
      </c>
      <c r="AI6590">
        <v>50.259940101705901</v>
      </c>
      <c r="AJ6590">
        <v>103.557510965852</v>
      </c>
      <c r="AK6590">
        <v>2.5168448080143602</v>
      </c>
      <c r="AL6590">
        <v>71.140243973348504</v>
      </c>
      <c r="AM6590">
        <v>96.961650577998498</v>
      </c>
      <c r="AN6590">
        <v>0.99999994553074301</v>
      </c>
    </row>
    <row r="6591" spans="1:40" x14ac:dyDescent="0.25">
      <c r="A6591" t="str">
        <f>"20190303162948128"</f>
        <v>20190303162948128</v>
      </c>
      <c r="B6591" t="str">
        <f>"1551601788118824"</f>
        <v>1551601788118824</v>
      </c>
      <c r="C6591" t="s">
        <v>40</v>
      </c>
      <c r="D6591">
        <v>4.9791850000000002</v>
      </c>
      <c r="E6591">
        <v>0.46059559999999999</v>
      </c>
      <c r="F6591" t="s">
        <v>45</v>
      </c>
      <c r="G6591">
        <v>0</v>
      </c>
      <c r="H6591">
        <v>0</v>
      </c>
      <c r="I6591">
        <v>0</v>
      </c>
      <c r="J6591">
        <v>-188.07550000000001</v>
      </c>
      <c r="K6591">
        <v>1.122144</v>
      </c>
      <c r="L6591">
        <v>17.66818</v>
      </c>
      <c r="M6591">
        <v>1.183002E-2</v>
      </c>
      <c r="N6591">
        <v>-1.1975370000000001E-2</v>
      </c>
      <c r="O6591">
        <v>0.99985829999999998</v>
      </c>
      <c r="P6591">
        <v>-0.1036977</v>
      </c>
      <c r="Q6591">
        <v>0.31014160000000002</v>
      </c>
      <c r="R6591">
        <v>0.94501800000000002</v>
      </c>
      <c r="S6591">
        <v>-0.58636469999999996</v>
      </c>
      <c r="T6591">
        <v>1.61748</v>
      </c>
      <c r="U6591">
        <v>2.578033</v>
      </c>
      <c r="V6591">
        <v>-0.11509079999999999</v>
      </c>
      <c r="W6591">
        <v>0.32134210000000002</v>
      </c>
      <c r="X6591">
        <v>0.93994330000000004</v>
      </c>
      <c r="Y6591">
        <v>-0.20013919999999999</v>
      </c>
      <c r="Z6591">
        <v>0.53132809999999997</v>
      </c>
      <c r="AA6591">
        <v>0.82318570000000002</v>
      </c>
      <c r="AB6591">
        <v>31</v>
      </c>
      <c r="AC6591">
        <v>-0.58636469999999996</v>
      </c>
      <c r="AD6591">
        <v>1.61748</v>
      </c>
      <c r="AE6591">
        <v>2.578033</v>
      </c>
      <c r="AF6591">
        <v>-0.44883454274546097</v>
      </c>
      <c r="AG6591">
        <v>1.61748</v>
      </c>
      <c r="AH6591">
        <v>1.8707371382439899</v>
      </c>
      <c r="AI6591">
        <v>49.944162090992897</v>
      </c>
      <c r="AJ6591">
        <v>103.491610258075</v>
      </c>
      <c r="AK6591">
        <v>2.51343419201037</v>
      </c>
      <c r="AL6591">
        <v>71.255891601539204</v>
      </c>
      <c r="AM6591">
        <v>96.980799287735096</v>
      </c>
      <c r="AN6591">
        <v>1.00000002234596</v>
      </c>
    </row>
    <row r="6592" spans="1:40" x14ac:dyDescent="0.25">
      <c r="A6592" t="str">
        <f>"20190303162948152"</f>
        <v>20190303162948152</v>
      </c>
      <c r="B6592" t="str">
        <f>"1551601788148106"</f>
        <v>1551601788148106</v>
      </c>
      <c r="C6592" t="s">
        <v>40</v>
      </c>
      <c r="D6592">
        <v>4.9900370000000001</v>
      </c>
      <c r="E6592">
        <v>0.46086729999999998</v>
      </c>
      <c r="F6592" t="s">
        <v>45</v>
      </c>
      <c r="G6592">
        <v>0</v>
      </c>
      <c r="H6592">
        <v>0</v>
      </c>
      <c r="I6592">
        <v>0</v>
      </c>
      <c r="J6592">
        <v>-188.0719</v>
      </c>
      <c r="K6592">
        <v>1.122153</v>
      </c>
      <c r="L6592">
        <v>18.005279999999999</v>
      </c>
      <c r="M6592">
        <v>1.144502E-2</v>
      </c>
      <c r="N6592">
        <v>-1.1975700000000001E-2</v>
      </c>
      <c r="O6592">
        <v>0.99986280000000005</v>
      </c>
      <c r="P6592">
        <v>-0.1045447</v>
      </c>
      <c r="Q6592">
        <v>0.3091469</v>
      </c>
      <c r="R6592">
        <v>0.94525060000000005</v>
      </c>
      <c r="S6592">
        <v>-0.58850100000000005</v>
      </c>
      <c r="T6592">
        <v>1.6117969999999999</v>
      </c>
      <c r="U6592">
        <v>2.580994</v>
      </c>
      <c r="V6592">
        <v>-0.1155805</v>
      </c>
      <c r="W6592">
        <v>0.32034889999999999</v>
      </c>
      <c r="X6592">
        <v>0.94022209999999995</v>
      </c>
      <c r="Y6592">
        <v>-0.20045450000000001</v>
      </c>
      <c r="Z6592">
        <v>0.52954909999999999</v>
      </c>
      <c r="AA6592">
        <v>0.82425469999999901</v>
      </c>
      <c r="AB6592">
        <v>31</v>
      </c>
      <c r="AC6592">
        <v>-0.58850100000000005</v>
      </c>
      <c r="AD6592">
        <v>1.6117969999999999</v>
      </c>
      <c r="AE6592">
        <v>2.580994</v>
      </c>
      <c r="AF6592">
        <v>-0.45086400903169399</v>
      </c>
      <c r="AG6592">
        <v>1.6117969999999999</v>
      </c>
      <c r="AH6592">
        <v>1.87792299854464</v>
      </c>
      <c r="AI6592">
        <v>50.152602549217299</v>
      </c>
      <c r="AJ6592">
        <v>103.500420765519</v>
      </c>
      <c r="AK6592">
        <v>2.5155044647768001</v>
      </c>
      <c r="AL6592">
        <v>71.315972527434795</v>
      </c>
      <c r="AM6592">
        <v>97.008148941767004</v>
      </c>
      <c r="AN6592">
        <v>0.99999993351993199</v>
      </c>
    </row>
    <row r="6593" spans="1:40" x14ac:dyDescent="0.25">
      <c r="A6593" t="str">
        <f>"20190303162948173"</f>
        <v>20190303162948173</v>
      </c>
      <c r="B6593" t="str">
        <f>"1551601788168601"</f>
        <v>1551601788168601</v>
      </c>
      <c r="C6593" t="s">
        <v>40</v>
      </c>
      <c r="D6593">
        <v>4.9714460000000003</v>
      </c>
      <c r="E6593">
        <v>0.4609163</v>
      </c>
      <c r="F6593" t="s">
        <v>45</v>
      </c>
      <c r="G6593">
        <v>0</v>
      </c>
      <c r="H6593">
        <v>0</v>
      </c>
      <c r="I6593">
        <v>0</v>
      </c>
      <c r="J6593">
        <v>-188.06899999999999</v>
      </c>
      <c r="K6593">
        <v>1.122179</v>
      </c>
      <c r="L6593">
        <v>18.29233</v>
      </c>
      <c r="M6593">
        <v>1.111088E-2</v>
      </c>
      <c r="N6593">
        <v>-1.1976000000000001E-2</v>
      </c>
      <c r="O6593">
        <v>0.99986649999999999</v>
      </c>
      <c r="P6593">
        <v>-0.104462</v>
      </c>
      <c r="Q6593">
        <v>0.31198019999999999</v>
      </c>
      <c r="R6593">
        <v>0.94432839999999996</v>
      </c>
      <c r="S6593">
        <v>-0.58821109999999999</v>
      </c>
      <c r="T6593">
        <v>1.6079490000000001</v>
      </c>
      <c r="U6593">
        <v>2.5828250000000001</v>
      </c>
      <c r="V6593">
        <v>-0.11517819999999999</v>
      </c>
      <c r="W6593">
        <v>0.32317069999999998</v>
      </c>
      <c r="X6593">
        <v>0.93930539999999996</v>
      </c>
      <c r="Y6593">
        <v>-0.2000672</v>
      </c>
      <c r="Z6593">
        <v>0.52842840000000002</v>
      </c>
      <c r="AA6593">
        <v>0.82506759999999901</v>
      </c>
      <c r="AB6593">
        <v>31</v>
      </c>
      <c r="AC6593">
        <v>-0.58821109999999999</v>
      </c>
      <c r="AD6593">
        <v>1.6079490000000001</v>
      </c>
      <c r="AE6593">
        <v>2.5828250000000001</v>
      </c>
      <c r="AF6593">
        <v>-0.45077877892634399</v>
      </c>
      <c r="AG6593">
        <v>1.6079490000000001</v>
      </c>
      <c r="AH6593">
        <v>1.8824978077849499</v>
      </c>
      <c r="AI6593">
        <v>50.284479743717398</v>
      </c>
      <c r="AJ6593">
        <v>103.466355696896</v>
      </c>
      <c r="AK6593">
        <v>2.5164458051876402</v>
      </c>
      <c r="AL6593">
        <v>71.145215367032193</v>
      </c>
      <c r="AM6593">
        <v>96.990745570643995</v>
      </c>
      <c r="AN6593">
        <v>0.99999997678144403</v>
      </c>
    </row>
    <row r="6594" spans="1:40" x14ac:dyDescent="0.25">
      <c r="A6594" t="str">
        <f>"20190303162948194"</f>
        <v>20190303162948194</v>
      </c>
      <c r="B6594" t="str">
        <f>"1551601788188121"</f>
        <v>1551601788188121</v>
      </c>
      <c r="C6594" t="s">
        <v>40</v>
      </c>
      <c r="D6594">
        <v>4.9509080000000001</v>
      </c>
      <c r="E6594">
        <v>0.46111210000000002</v>
      </c>
      <c r="F6594" t="s">
        <v>45</v>
      </c>
      <c r="G6594">
        <v>0</v>
      </c>
      <c r="H6594">
        <v>0</v>
      </c>
      <c r="I6594">
        <v>0</v>
      </c>
      <c r="J6594">
        <v>-188.0659</v>
      </c>
      <c r="K6594">
        <v>1.122201</v>
      </c>
      <c r="L6594">
        <v>18.604340000000001</v>
      </c>
      <c r="M6594">
        <v>1.073987E-2</v>
      </c>
      <c r="N6594">
        <v>-1.197646E-2</v>
      </c>
      <c r="O6594">
        <v>0.99987060000000005</v>
      </c>
      <c r="P6594">
        <v>-0.10397720000000001</v>
      </c>
      <c r="Q6594">
        <v>0.31520769999999998</v>
      </c>
      <c r="R6594">
        <v>0.94330950000000002</v>
      </c>
      <c r="S6594">
        <v>-0.58685299999999996</v>
      </c>
      <c r="T6594">
        <v>1.6153999999999999</v>
      </c>
      <c r="U6594">
        <v>2.5782470000000002</v>
      </c>
      <c r="V6594">
        <v>-0.1143401</v>
      </c>
      <c r="W6594">
        <v>0.326385799999999</v>
      </c>
      <c r="X6594">
        <v>0.93829560000000001</v>
      </c>
      <c r="Y6594">
        <v>-0.19927549999999999</v>
      </c>
      <c r="Z6594">
        <v>0.53086919999999904</v>
      </c>
      <c r="AA6594">
        <v>0.82369119999999996</v>
      </c>
      <c r="AB6594">
        <v>31</v>
      </c>
      <c r="AC6594">
        <v>-0.58685299999999996</v>
      </c>
      <c r="AD6594">
        <v>1.6153999999999999</v>
      </c>
      <c r="AE6594">
        <v>2.5782470000000002</v>
      </c>
      <c r="AF6594">
        <v>-0.44749397075758002</v>
      </c>
      <c r="AG6594">
        <v>1.6153999999999999</v>
      </c>
      <c r="AH6594">
        <v>1.8728102174421799</v>
      </c>
      <c r="AI6594">
        <v>50.005452010255098</v>
      </c>
      <c r="AJ6594">
        <v>103.43842963124099</v>
      </c>
      <c r="AK6594">
        <v>2.5134013058841602</v>
      </c>
      <c r="AL6594">
        <v>70.950445404300098</v>
      </c>
      <c r="AM6594">
        <v>96.947771297187202</v>
      </c>
      <c r="AN6594">
        <v>0.99999999094450498</v>
      </c>
    </row>
    <row r="6595" spans="1:40" x14ac:dyDescent="0.25">
      <c r="A6595" t="str">
        <f>"20190303162948217"</f>
        <v>20190303162948217</v>
      </c>
      <c r="B6595" t="str">
        <f>"1551601788208617"</f>
        <v>1551601788208617</v>
      </c>
      <c r="C6595" t="s">
        <v>40</v>
      </c>
      <c r="D6595">
        <v>4.9775260000000001</v>
      </c>
      <c r="E6595">
        <v>0.4612965</v>
      </c>
      <c r="F6595" t="s">
        <v>45</v>
      </c>
      <c r="G6595">
        <v>0</v>
      </c>
      <c r="H6595">
        <v>0</v>
      </c>
      <c r="I6595">
        <v>0</v>
      </c>
      <c r="J6595">
        <v>-188.06299999999999</v>
      </c>
      <c r="K6595">
        <v>1.1222099999999999</v>
      </c>
      <c r="L6595">
        <v>18.91254</v>
      </c>
      <c r="M6595">
        <v>1.036541E-2</v>
      </c>
      <c r="N6595">
        <v>-1.197693E-2</v>
      </c>
      <c r="O6595">
        <v>0.9998745</v>
      </c>
      <c r="P6595">
        <v>-0.1033169</v>
      </c>
      <c r="Q6595">
        <v>0.31568760000000001</v>
      </c>
      <c r="R6595">
        <v>0.94322159999999999</v>
      </c>
      <c r="S6595">
        <v>-0.58332819999999996</v>
      </c>
      <c r="T6595">
        <v>1.6239509999999999</v>
      </c>
      <c r="U6595">
        <v>2.573334</v>
      </c>
      <c r="V6595">
        <v>-0.1133313</v>
      </c>
      <c r="W6595">
        <v>0.32686480000000001</v>
      </c>
      <c r="X6595">
        <v>0.93825130000000001</v>
      </c>
      <c r="Y6595">
        <v>-0.19778979999999999</v>
      </c>
      <c r="Z6595">
        <v>0.53367909999999996</v>
      </c>
      <c r="AA6595">
        <v>0.82223219999999997</v>
      </c>
      <c r="AB6595">
        <v>31</v>
      </c>
      <c r="AC6595">
        <v>-0.58332819999999996</v>
      </c>
      <c r="AD6595">
        <v>1.6239509999999999</v>
      </c>
      <c r="AE6595">
        <v>2.573334</v>
      </c>
      <c r="AF6595">
        <v>-0.44239876247006599</v>
      </c>
      <c r="AG6595">
        <v>1.6239509999999999</v>
      </c>
      <c r="AH6595">
        <v>1.8618931231737501</v>
      </c>
      <c r="AI6595">
        <v>49.682765679094501</v>
      </c>
      <c r="AJ6595">
        <v>103.366019372389</v>
      </c>
      <c r="AK6595">
        <v>2.5098963160970902</v>
      </c>
      <c r="AL6595">
        <v>70.9214091468384</v>
      </c>
      <c r="AM6595">
        <v>96.887385869970799</v>
      </c>
      <c r="AN6595">
        <v>1.0000000414951999</v>
      </c>
    </row>
    <row r="6596" spans="1:40" x14ac:dyDescent="0.25">
      <c r="A6596" t="str">
        <f>"20190303162948238"</f>
        <v>20190303162948238</v>
      </c>
      <c r="B6596" t="str">
        <f>"1551601788229114"</f>
        <v>1551601788229114</v>
      </c>
      <c r="C6596" t="s">
        <v>40</v>
      </c>
      <c r="D6596">
        <v>4.9873250000000002</v>
      </c>
      <c r="E6596">
        <v>0.46142359999999999</v>
      </c>
      <c r="F6596" t="s">
        <v>45</v>
      </c>
      <c r="G6596">
        <v>0</v>
      </c>
      <c r="H6596">
        <v>0</v>
      </c>
      <c r="I6596">
        <v>0</v>
      </c>
      <c r="J6596">
        <v>-188.06020000000001</v>
      </c>
      <c r="K6596">
        <v>1.122212</v>
      </c>
      <c r="L6596">
        <v>19.226559999999999</v>
      </c>
      <c r="M6596">
        <v>9.9778039999999998E-3</v>
      </c>
      <c r="N6596">
        <v>-1.197719E-2</v>
      </c>
      <c r="O6596">
        <v>0.9998785</v>
      </c>
      <c r="P6596">
        <v>-0.1026831</v>
      </c>
      <c r="Q6596">
        <v>0.31473410000000002</v>
      </c>
      <c r="R6596">
        <v>0.94360940000000004</v>
      </c>
      <c r="S6596">
        <v>-0.58023069999999999</v>
      </c>
      <c r="T6596">
        <v>1.623869</v>
      </c>
      <c r="U6596">
        <v>2.573547</v>
      </c>
      <c r="V6596">
        <v>-0.11233990000000001</v>
      </c>
      <c r="W6596">
        <v>0.32591560000000003</v>
      </c>
      <c r="X6596">
        <v>0.9387006</v>
      </c>
      <c r="Y6596">
        <v>-0.1964418</v>
      </c>
      <c r="Z6596">
        <v>0.53375569999999894</v>
      </c>
      <c r="AA6596">
        <v>0.82250569999999901</v>
      </c>
      <c r="AB6596">
        <v>32</v>
      </c>
      <c r="AC6596">
        <v>-0.58023069999999999</v>
      </c>
      <c r="AD6596">
        <v>1.623869</v>
      </c>
      <c r="AE6596">
        <v>2.573547</v>
      </c>
      <c r="AF6596">
        <v>-0.43940076488604801</v>
      </c>
      <c r="AG6596">
        <v>1.623869</v>
      </c>
      <c r="AH6596">
        <v>1.8621087210996301</v>
      </c>
      <c r="AI6596">
        <v>49.677087690734503</v>
      </c>
      <c r="AJ6596">
        <v>103.277178080026</v>
      </c>
      <c r="AK6596">
        <v>2.5094765291866601</v>
      </c>
      <c r="AL6596">
        <v>70.978944912876401</v>
      </c>
      <c r="AM6596">
        <v>96.824470417557805</v>
      </c>
      <c r="AN6596">
        <v>1.0000000239478599</v>
      </c>
    </row>
    <row r="6597" spans="1:40" x14ac:dyDescent="0.25">
      <c r="A6597" t="str">
        <f>"20190303162948262"</f>
        <v>20190303162948262</v>
      </c>
      <c r="B6597" t="str">
        <f>"1551601788258393"</f>
        <v>1551601788258393</v>
      </c>
      <c r="C6597" t="s">
        <v>40</v>
      </c>
      <c r="D6597">
        <v>4.9862330000000004</v>
      </c>
      <c r="E6597">
        <v>0.46124500000000002</v>
      </c>
      <c r="F6597" t="s">
        <v>45</v>
      </c>
      <c r="G6597">
        <v>0</v>
      </c>
      <c r="H6597">
        <v>0</v>
      </c>
      <c r="I6597">
        <v>0</v>
      </c>
      <c r="J6597">
        <v>-188.0575</v>
      </c>
      <c r="K6597">
        <v>1.122206</v>
      </c>
      <c r="L6597">
        <v>19.537659999999999</v>
      </c>
      <c r="M6597">
        <v>9.5898939999999998E-3</v>
      </c>
      <c r="N6597">
        <v>-1.197729E-2</v>
      </c>
      <c r="O6597">
        <v>0.9998823</v>
      </c>
      <c r="P6597">
        <v>-0.1010432</v>
      </c>
      <c r="Q6597">
        <v>0.31249209999999999</v>
      </c>
      <c r="R6597">
        <v>0.94453109999999996</v>
      </c>
      <c r="S6597">
        <v>-0.57743840000000002</v>
      </c>
      <c r="T6597">
        <v>1.6200680000000001</v>
      </c>
      <c r="U6597">
        <v>2.5760800000000001</v>
      </c>
      <c r="V6597">
        <v>-0.1103444</v>
      </c>
      <c r="W6597">
        <v>0.32368590000000003</v>
      </c>
      <c r="X6597">
        <v>0.93970819999999999</v>
      </c>
      <c r="Y6597">
        <v>-0.19519039999999999</v>
      </c>
      <c r="Z6597">
        <v>0.53263459999999996</v>
      </c>
      <c r="AA6597">
        <v>0.82352969999999903</v>
      </c>
      <c r="AB6597">
        <v>32</v>
      </c>
      <c r="AC6597">
        <v>-0.57743840000000002</v>
      </c>
      <c r="AD6597">
        <v>1.6200680000000001</v>
      </c>
      <c r="AE6597">
        <v>2.5760800000000001</v>
      </c>
      <c r="AF6597">
        <v>-0.43740136762309201</v>
      </c>
      <c r="AG6597">
        <v>1.6200680000000001</v>
      </c>
      <c r="AH6597">
        <v>1.8672533839085499</v>
      </c>
      <c r="AI6597">
        <v>49.810429107570997</v>
      </c>
      <c r="AJ6597">
        <v>103.18374185325099</v>
      </c>
      <c r="AK6597">
        <v>2.5104930752225698</v>
      </c>
      <c r="AL6597">
        <v>71.114019869179799</v>
      </c>
      <c r="AM6597">
        <v>96.697236902244498</v>
      </c>
      <c r="AN6597">
        <v>0.99999997480870395</v>
      </c>
    </row>
    <row r="6598" spans="1:40" x14ac:dyDescent="0.25">
      <c r="A6598" t="str">
        <f>"20190303162948295"</f>
        <v>20190303162948295</v>
      </c>
      <c r="B6598" t="str">
        <f>"1551601788288650"</f>
        <v>1551601788288650</v>
      </c>
      <c r="C6598" t="s">
        <v>40</v>
      </c>
      <c r="D6598">
        <v>4.9841920000000002</v>
      </c>
      <c r="E6598">
        <v>0.46135710000000002</v>
      </c>
      <c r="F6598" t="s">
        <v>45</v>
      </c>
      <c r="G6598">
        <v>0</v>
      </c>
      <c r="H6598">
        <v>0</v>
      </c>
      <c r="I6598">
        <v>0</v>
      </c>
      <c r="J6598">
        <v>-188.05359999999999</v>
      </c>
      <c r="K6598">
        <v>1.122188</v>
      </c>
      <c r="L6598">
        <v>20.016940000000002</v>
      </c>
      <c r="M6598">
        <v>8.98722699999999E-3</v>
      </c>
      <c r="N6598">
        <v>-1.1977430000000001E-2</v>
      </c>
      <c r="O6598">
        <v>0.99988790000000005</v>
      </c>
      <c r="P6598">
        <v>-9.9467890000000003E-2</v>
      </c>
      <c r="Q6598">
        <v>0.30862990000000001</v>
      </c>
      <c r="R6598">
        <v>0.94596709999999995</v>
      </c>
      <c r="S6598">
        <v>-0.57403559999999998</v>
      </c>
      <c r="T6598">
        <v>1.613475</v>
      </c>
      <c r="U6598">
        <v>2.5809630000000001</v>
      </c>
      <c r="V6598">
        <v>-0.1082129</v>
      </c>
      <c r="W6598">
        <v>0.31984390000000001</v>
      </c>
      <c r="X6598">
        <v>0.94127039999999995</v>
      </c>
      <c r="Y6598">
        <v>-0.19350909999999999</v>
      </c>
      <c r="Z6598">
        <v>0.53056639999999999</v>
      </c>
      <c r="AA6598">
        <v>0.82525969999999904</v>
      </c>
      <c r="AB6598">
        <v>32</v>
      </c>
      <c r="AC6598">
        <v>-0.57403559999999998</v>
      </c>
      <c r="AD6598">
        <v>1.613475</v>
      </c>
      <c r="AE6598">
        <v>2.5809630000000001</v>
      </c>
      <c r="AF6598">
        <v>-0.43516197514405902</v>
      </c>
      <c r="AG6598">
        <v>1.613475</v>
      </c>
      <c r="AH6598">
        <v>1.87680523155016</v>
      </c>
      <c r="AI6598">
        <v>50.054653538734001</v>
      </c>
      <c r="AJ6598">
        <v>103.05411047101499</v>
      </c>
      <c r="AK6598">
        <v>2.5129793865868302</v>
      </c>
      <c r="AL6598">
        <v>71.346516257124406</v>
      </c>
      <c r="AM6598">
        <v>96.558202103607996</v>
      </c>
      <c r="AN6598">
        <v>1.0000000590048801</v>
      </c>
    </row>
    <row r="6599" spans="1:40" x14ac:dyDescent="0.25">
      <c r="A6599" t="str">
        <f>"20190303162948318"</f>
        <v>20190303162948318</v>
      </c>
      <c r="B6599" t="str">
        <f>"1551601788309145"</f>
        <v>1551601788309145</v>
      </c>
      <c r="C6599" t="s">
        <v>40</v>
      </c>
      <c r="D6599">
        <v>5.0383239999999896</v>
      </c>
      <c r="E6599">
        <v>0.46136500000000003</v>
      </c>
      <c r="F6599" t="s">
        <v>45</v>
      </c>
      <c r="G6599">
        <v>0</v>
      </c>
      <c r="H6599">
        <v>0</v>
      </c>
      <c r="I6599">
        <v>0</v>
      </c>
      <c r="J6599">
        <v>-188.05109999999999</v>
      </c>
      <c r="K6599">
        <v>1.122163</v>
      </c>
      <c r="L6599">
        <v>20.340420000000002</v>
      </c>
      <c r="M6599">
        <v>8.579382E-3</v>
      </c>
      <c r="N6599">
        <v>-1.197753E-2</v>
      </c>
      <c r="O6599">
        <v>0.99989150000000004</v>
      </c>
      <c r="P6599">
        <v>-9.7835199999999997E-2</v>
      </c>
      <c r="Q6599">
        <v>0.30532500000000001</v>
      </c>
      <c r="R6599">
        <v>0.94720899999999997</v>
      </c>
      <c r="S6599">
        <v>-0.56813049999999998</v>
      </c>
      <c r="T6599">
        <v>1.601685</v>
      </c>
      <c r="U6599">
        <v>2.5890499999999999</v>
      </c>
      <c r="V6599">
        <v>-0.1062037</v>
      </c>
      <c r="W6599">
        <v>0.31655609999999901</v>
      </c>
      <c r="X6599">
        <v>0.94260969999999999</v>
      </c>
      <c r="Y6599">
        <v>-0.1912442</v>
      </c>
      <c r="Z6599">
        <v>0.52689809999999904</v>
      </c>
      <c r="AA6599">
        <v>0.8281328</v>
      </c>
      <c r="AB6599">
        <v>32</v>
      </c>
      <c r="AC6599">
        <v>-0.56813049999999998</v>
      </c>
      <c r="AD6599">
        <v>1.601685</v>
      </c>
      <c r="AE6599">
        <v>2.5890499999999999</v>
      </c>
      <c r="AF6599">
        <v>-0.43242993713101502</v>
      </c>
      <c r="AG6599">
        <v>1.601685</v>
      </c>
      <c r="AH6599">
        <v>1.89291696586723</v>
      </c>
      <c r="AI6599">
        <v>50.480931881875797</v>
      </c>
      <c r="AJ6599">
        <v>102.86818972757401</v>
      </c>
      <c r="AK6599">
        <v>2.5170469064799201</v>
      </c>
      <c r="AL6599">
        <v>71.545220636443403</v>
      </c>
      <c r="AM6599">
        <v>96.428396999326694</v>
      </c>
      <c r="AN6599">
        <v>1.00000001843749</v>
      </c>
    </row>
    <row r="6600" spans="1:40" x14ac:dyDescent="0.25">
      <c r="A6600" t="str">
        <f>"20190303162948342"</f>
        <v>20190303162948342</v>
      </c>
      <c r="B6600" t="str">
        <f>"1551601788338426"</f>
        <v>1551601788338426</v>
      </c>
      <c r="C6600" t="s">
        <v>40</v>
      </c>
      <c r="D6600">
        <v>5.0551979999999999</v>
      </c>
      <c r="E6600">
        <v>0.46136630000000001</v>
      </c>
      <c r="F6600" t="s">
        <v>45</v>
      </c>
      <c r="G6600">
        <v>0</v>
      </c>
      <c r="H6600">
        <v>0</v>
      </c>
      <c r="I6600">
        <v>0</v>
      </c>
      <c r="J6600">
        <v>-188.0487</v>
      </c>
      <c r="K6600">
        <v>1.1221490000000001</v>
      </c>
      <c r="L6600">
        <v>20.668299999999999</v>
      </c>
      <c r="M6600">
        <v>8.166474E-3</v>
      </c>
      <c r="N6600">
        <v>-1.1977639999999999E-2</v>
      </c>
      <c r="O6600">
        <v>0.99989490000000003</v>
      </c>
      <c r="P6600">
        <v>-9.5234689999999997E-2</v>
      </c>
      <c r="Q6600">
        <v>0.30198909999999901</v>
      </c>
      <c r="R6600">
        <v>0.94854249999999996</v>
      </c>
      <c r="S6600">
        <v>-0.5633087</v>
      </c>
      <c r="T6600">
        <v>1.5917570000000001</v>
      </c>
      <c r="U6600">
        <v>2.595917</v>
      </c>
      <c r="V6600">
        <v>-0.10322099999999999</v>
      </c>
      <c r="W6600">
        <v>0.3132392</v>
      </c>
      <c r="X6600">
        <v>0.944048</v>
      </c>
      <c r="Y6600">
        <v>-0.18930839999999999</v>
      </c>
      <c r="Z6600">
        <v>0.52378919999999995</v>
      </c>
      <c r="AA6600">
        <v>0.83054640000000002</v>
      </c>
      <c r="AB6600">
        <v>32</v>
      </c>
      <c r="AC6600">
        <v>-0.5633087</v>
      </c>
      <c r="AD6600">
        <v>1.5917570000000001</v>
      </c>
      <c r="AE6600">
        <v>2.595917</v>
      </c>
      <c r="AF6600">
        <v>-0.43006432096894798</v>
      </c>
      <c r="AG6600">
        <v>1.5917570000000001</v>
      </c>
      <c r="AH6600">
        <v>1.9066087445976101</v>
      </c>
      <c r="AI6600">
        <v>50.840567833724798</v>
      </c>
      <c r="AJ6600">
        <v>102.711195423601</v>
      </c>
      <c r="AK6600">
        <v>2.52067502312289</v>
      </c>
      <c r="AL6600">
        <v>71.745451392348599</v>
      </c>
      <c r="AM6600">
        <v>96.239860225350597</v>
      </c>
      <c r="AN6600">
        <v>0.99999999878081902</v>
      </c>
    </row>
    <row r="6601" spans="1:40" x14ac:dyDescent="0.25">
      <c r="A6601" t="str">
        <f>"20190303162948361"</f>
        <v>20190303162948361</v>
      </c>
      <c r="B6601" t="str">
        <f>"1551601788358921"</f>
        <v>1551601788358921</v>
      </c>
      <c r="C6601" t="s">
        <v>40</v>
      </c>
      <c r="D6601">
        <v>5.0793080000000002</v>
      </c>
      <c r="E6601">
        <v>0.4743522</v>
      </c>
      <c r="F6601" t="s">
        <v>45</v>
      </c>
      <c r="G6601">
        <v>0</v>
      </c>
      <c r="H6601">
        <v>0</v>
      </c>
      <c r="I6601">
        <v>0</v>
      </c>
      <c r="J6601">
        <v>-188.04679999999999</v>
      </c>
      <c r="K6601">
        <v>1.122123</v>
      </c>
      <c r="L6601">
        <v>20.947389999999999</v>
      </c>
      <c r="M6601">
        <v>7.8155710000000003E-3</v>
      </c>
      <c r="N6601">
        <v>-1.197776E-2</v>
      </c>
      <c r="O6601">
        <v>0.9998977</v>
      </c>
      <c r="P6601">
        <v>-9.1786670000000001E-2</v>
      </c>
      <c r="Q6601">
        <v>0.2970759</v>
      </c>
      <c r="R6601">
        <v>0.9504321</v>
      </c>
      <c r="S6601">
        <v>-0.55589290000000002</v>
      </c>
      <c r="T6601">
        <v>1.5818509999999999</v>
      </c>
      <c r="U6601">
        <v>2.6033330000000001</v>
      </c>
      <c r="V6601">
        <v>-9.9452349999999995E-2</v>
      </c>
      <c r="W6601">
        <v>0.30835249999999997</v>
      </c>
      <c r="X6601">
        <v>0.94605919999999999</v>
      </c>
      <c r="Y6601">
        <v>-0.18659609999999999</v>
      </c>
      <c r="Z6601">
        <v>0.52067399999999997</v>
      </c>
      <c r="AA6601">
        <v>0.83311489999999999</v>
      </c>
      <c r="AB6601">
        <v>32</v>
      </c>
      <c r="AC6601">
        <v>-0.55589290000000002</v>
      </c>
      <c r="AD6601">
        <v>1.5818509999999999</v>
      </c>
      <c r="AE6601">
        <v>2.6033330000000001</v>
      </c>
      <c r="AF6601">
        <v>-0.425852019590227</v>
      </c>
      <c r="AG6601">
        <v>1.5818509999999999</v>
      </c>
      <c r="AH6601">
        <v>1.92069510986611</v>
      </c>
      <c r="AI6601">
        <v>51.198753587655297</v>
      </c>
      <c r="AJ6601">
        <v>102.50125575526999</v>
      </c>
      <c r="AK6601">
        <v>2.52441522611745</v>
      </c>
      <c r="AL6601">
        <v>72.040027899842599</v>
      </c>
      <c r="AM6601">
        <v>96.001049536899004</v>
      </c>
      <c r="AN6601">
        <v>1.0000000220406999</v>
      </c>
    </row>
    <row r="6602" spans="1:40" x14ac:dyDescent="0.25">
      <c r="A6602" t="str">
        <f>"20190303162948385"</f>
        <v>20190303162948385</v>
      </c>
      <c r="B6602" t="str">
        <f>"1551601788378441"</f>
        <v>1551601788378441</v>
      </c>
      <c r="C6602" t="s">
        <v>40</v>
      </c>
      <c r="D6602">
        <v>4.9926079999999997</v>
      </c>
      <c r="E6602">
        <v>0.48929139999999999</v>
      </c>
      <c r="F6602" t="s">
        <v>45</v>
      </c>
      <c r="G6602">
        <v>0</v>
      </c>
      <c r="H6602">
        <v>0</v>
      </c>
      <c r="I6602">
        <v>0</v>
      </c>
      <c r="J6602">
        <v>-188.04470000000001</v>
      </c>
      <c r="K6602">
        <v>1.1220760000000001</v>
      </c>
      <c r="L6602">
        <v>21.270869999999999</v>
      </c>
      <c r="M6602">
        <v>7.4092749999999999E-3</v>
      </c>
      <c r="N6602">
        <v>-1.197808E-2</v>
      </c>
      <c r="O6602">
        <v>0.99990080000000003</v>
      </c>
      <c r="P6602">
        <v>-8.8123080000000006E-2</v>
      </c>
      <c r="Q6602">
        <v>0.28653289999999998</v>
      </c>
      <c r="R6602">
        <v>0.95400910000000005</v>
      </c>
      <c r="S6602">
        <v>-0.45082090000000002</v>
      </c>
      <c r="T6602">
        <v>1.426744</v>
      </c>
      <c r="U6602">
        <v>2.6669619999999998</v>
      </c>
      <c r="V6602">
        <v>-9.5421350000000002E-2</v>
      </c>
      <c r="W6602">
        <v>0.29785719999999999</v>
      </c>
      <c r="X6602">
        <v>0.94982940000000005</v>
      </c>
      <c r="Y6602">
        <v>-0.15430170000000001</v>
      </c>
      <c r="Z6602">
        <v>0.47681780000000001</v>
      </c>
      <c r="AA6602">
        <v>0.86535300000000004</v>
      </c>
      <c r="AB6602">
        <v>32</v>
      </c>
      <c r="AC6602">
        <v>-0.45082090000000002</v>
      </c>
      <c r="AD6602">
        <v>1.426744</v>
      </c>
      <c r="AE6602">
        <v>2.6669619999999998</v>
      </c>
      <c r="AF6602">
        <v>-0.368138556958506</v>
      </c>
      <c r="AG6602">
        <v>1.426744</v>
      </c>
      <c r="AH6602">
        <v>2.0837588754585599</v>
      </c>
      <c r="AI6602">
        <v>56.009963443927802</v>
      </c>
      <c r="AJ6602">
        <v>100.01908318092801</v>
      </c>
      <c r="AK6602">
        <v>2.5520923748383102</v>
      </c>
      <c r="AL6602">
        <v>72.671053358120702</v>
      </c>
      <c r="AM6602">
        <v>95.736775945756307</v>
      </c>
      <c r="AN6602">
        <v>1.00000001736601</v>
      </c>
    </row>
    <row r="6603" spans="1:40" x14ac:dyDescent="0.25">
      <c r="A6603" t="str">
        <f>"20190303162948406"</f>
        <v>20190303162948406</v>
      </c>
      <c r="B6603" t="str">
        <f>"1551601788398937"</f>
        <v>1551601788398937</v>
      </c>
      <c r="C6603" t="s">
        <v>40</v>
      </c>
      <c r="D6603">
        <v>5.0443360000000004</v>
      </c>
      <c r="E6603">
        <v>0.52969180000000005</v>
      </c>
      <c r="F6603" t="s">
        <v>45</v>
      </c>
      <c r="G6603">
        <v>0</v>
      </c>
      <c r="H6603">
        <v>0</v>
      </c>
      <c r="I6603">
        <v>0</v>
      </c>
      <c r="J6603">
        <v>-188.0428</v>
      </c>
      <c r="K6603">
        <v>1.122026</v>
      </c>
      <c r="L6603">
        <v>21.59009</v>
      </c>
      <c r="M6603">
        <v>7.008846E-3</v>
      </c>
      <c r="N6603">
        <v>-1.1978330000000001E-2</v>
      </c>
      <c r="O6603">
        <v>0.99990369999999995</v>
      </c>
      <c r="P6603">
        <v>-8.3324960000000003E-2</v>
      </c>
      <c r="Q6603">
        <v>0.2768157</v>
      </c>
      <c r="R6603">
        <v>0.95730349999999997</v>
      </c>
      <c r="S6603">
        <v>-0.32739259999999998</v>
      </c>
      <c r="T6603">
        <v>1.317086</v>
      </c>
      <c r="U6603">
        <v>2.7188110000000001</v>
      </c>
      <c r="V6603">
        <v>-9.025743E-2</v>
      </c>
      <c r="W6603">
        <v>0.28818559999999999</v>
      </c>
      <c r="X6603">
        <v>0.95331140000000003</v>
      </c>
      <c r="Y6603">
        <v>-0.11441170000000001</v>
      </c>
      <c r="Z6603">
        <v>0.44400400000000001</v>
      </c>
      <c r="AA6603">
        <v>0.88869030000000004</v>
      </c>
      <c r="AB6603">
        <v>32</v>
      </c>
      <c r="AC6603">
        <v>-0.32739259999999998</v>
      </c>
      <c r="AD6603">
        <v>1.317086</v>
      </c>
      <c r="AE6603">
        <v>2.7188110000000001</v>
      </c>
      <c r="AF6603">
        <v>-0.28135734696188502</v>
      </c>
      <c r="AG6603">
        <v>1.317086</v>
      </c>
      <c r="AH6603">
        <v>2.2061232887237798</v>
      </c>
      <c r="AI6603">
        <v>59.365262904508803</v>
      </c>
      <c r="AJ6603">
        <v>97.267966719993893</v>
      </c>
      <c r="AK6603">
        <v>2.5847354706303798</v>
      </c>
      <c r="AL6603">
        <v>73.250638054613106</v>
      </c>
      <c r="AM6603">
        <v>95.408516595935694</v>
      </c>
      <c r="AN6603">
        <v>0.99999998454376204</v>
      </c>
    </row>
    <row r="6604" spans="1:40" x14ac:dyDescent="0.25">
      <c r="A6604" t="str">
        <f>"20190303162948429"</f>
        <v>20190303162948429</v>
      </c>
      <c r="B6604" t="str">
        <f>"1551601788419434"</f>
        <v>1551601788419434</v>
      </c>
      <c r="C6604" t="s">
        <v>40</v>
      </c>
      <c r="D6604">
        <v>5.1455520000000003</v>
      </c>
      <c r="E6604">
        <v>0.53727510000000001</v>
      </c>
      <c r="F6604" t="s">
        <v>71</v>
      </c>
      <c r="G6604">
        <v>-190.3201</v>
      </c>
      <c r="H6604">
        <v>95.297449999999998</v>
      </c>
      <c r="I6604">
        <v>391.87</v>
      </c>
      <c r="J6604">
        <v>-188.041</v>
      </c>
      <c r="K6604">
        <v>1.1219980000000001</v>
      </c>
      <c r="L6604">
        <v>21.900729999999999</v>
      </c>
      <c r="M6604">
        <v>6.6194380000000001E-3</v>
      </c>
      <c r="N6604">
        <v>-1.1978549999999999E-2</v>
      </c>
      <c r="O6604">
        <v>0.99990639999999997</v>
      </c>
      <c r="P6604">
        <v>-7.8894909999999999E-2</v>
      </c>
      <c r="Q6604">
        <v>0.27145730000000001</v>
      </c>
      <c r="R6604">
        <v>0.95921140000000005</v>
      </c>
      <c r="S6604">
        <v>-1.794434E-2</v>
      </c>
      <c r="T6604">
        <v>0.74206609999999995</v>
      </c>
      <c r="U6604">
        <v>2.9176639999999998</v>
      </c>
      <c r="V6604">
        <v>-8.5463349999999993E-2</v>
      </c>
      <c r="W6604">
        <v>0.28285490000000002</v>
      </c>
      <c r="X6604">
        <v>0.95534770000000002</v>
      </c>
      <c r="Y6604">
        <v>-1.2579699999999999E-2</v>
      </c>
      <c r="Z6604">
        <v>0.25805990000000001</v>
      </c>
      <c r="AA6604">
        <v>0.96604699999999999</v>
      </c>
      <c r="AB6604">
        <v>32</v>
      </c>
      <c r="AC6604">
        <v>-2.2791000000000001</v>
      </c>
      <c r="AD6604">
        <v>94.175452000000007</v>
      </c>
      <c r="AE6604">
        <v>369.96926999999999</v>
      </c>
      <c r="AF6604">
        <v>-4.4405011885405301</v>
      </c>
      <c r="AG6604">
        <v>94.175452000000007</v>
      </c>
      <c r="AH6604">
        <v>347.43475874334098</v>
      </c>
      <c r="AI6604">
        <v>74.835047434684498</v>
      </c>
      <c r="AJ6604">
        <v>90.732247188165999</v>
      </c>
      <c r="AK6604">
        <v>359.99950749029199</v>
      </c>
      <c r="AL6604">
        <v>73.569332687705298</v>
      </c>
      <c r="AM6604">
        <v>95.111949676353007</v>
      </c>
      <c r="AN6604">
        <v>1.0000000532712501</v>
      </c>
    </row>
    <row r="6605" spans="1:40" x14ac:dyDescent="0.25">
      <c r="A6605" t="str">
        <f>"20190303162948450"</f>
        <v>20190303162948450</v>
      </c>
      <c r="B6605" t="str">
        <f>"1551601788438955"</f>
        <v>1551601788438955</v>
      </c>
      <c r="C6605" t="s">
        <v>40</v>
      </c>
      <c r="D6605">
        <v>5.1805659999999998</v>
      </c>
      <c r="E6605">
        <v>0.5348984</v>
      </c>
      <c r="F6605" t="s">
        <v>71</v>
      </c>
      <c r="G6605">
        <v>-184.03200000000001</v>
      </c>
      <c r="H6605">
        <v>28.740130000000001</v>
      </c>
      <c r="I6605">
        <v>391.87</v>
      </c>
      <c r="J6605">
        <v>-188.0394</v>
      </c>
      <c r="K6605">
        <v>1.1219760000000001</v>
      </c>
      <c r="L6605">
        <v>22.20035</v>
      </c>
      <c r="M6605">
        <v>6.2437760000000004E-3</v>
      </c>
      <c r="N6605">
        <v>-1.197878E-2</v>
      </c>
      <c r="O6605">
        <v>0.99990869999999998</v>
      </c>
      <c r="P6605">
        <v>-7.4549879999999999E-2</v>
      </c>
      <c r="Q6605">
        <v>0.26684069999999999</v>
      </c>
      <c r="R6605">
        <v>0.96085290000000001</v>
      </c>
      <c r="S6605">
        <v>3.3218379999999999E-2</v>
      </c>
      <c r="T6605">
        <v>0.22884270000000001</v>
      </c>
      <c r="U6605">
        <v>3.0655519999999998</v>
      </c>
      <c r="V6605">
        <v>-8.0765039999999996E-2</v>
      </c>
      <c r="W6605">
        <v>0.27826289999999998</v>
      </c>
      <c r="X6605">
        <v>0.95710329999999999</v>
      </c>
      <c r="Y6605">
        <v>4.5525390000000004E-3</v>
      </c>
      <c r="Z6605">
        <v>8.6377699999999905E-2</v>
      </c>
      <c r="AA6605">
        <v>0.99625209999999997</v>
      </c>
      <c r="AB6605">
        <v>32</v>
      </c>
      <c r="AC6605">
        <v>4.0073999999999899</v>
      </c>
      <c r="AD6605">
        <v>27.618154000000001</v>
      </c>
      <c r="AE6605">
        <v>369.66964999999999</v>
      </c>
      <c r="AF6605">
        <v>1.6895920519755001</v>
      </c>
      <c r="AG6605">
        <v>27.618154000000001</v>
      </c>
      <c r="AH6605">
        <v>367.63569783382502</v>
      </c>
      <c r="AI6605">
        <v>85.703844073701404</v>
      </c>
      <c r="AJ6605">
        <v>89.7366800539656</v>
      </c>
      <c r="AK6605">
        <v>368.67549887866602</v>
      </c>
      <c r="AL6605">
        <v>73.843443192483093</v>
      </c>
      <c r="AM6605">
        <v>94.823469713665901</v>
      </c>
      <c r="AN6605">
        <v>0.99999998003674995</v>
      </c>
    </row>
    <row r="6606" spans="1:40" x14ac:dyDescent="0.25">
      <c r="A6606" t="str">
        <f>"20190303162948473"</f>
        <v>20190303162948473</v>
      </c>
      <c r="B6606" t="str">
        <f>"1551601788468233"</f>
        <v>1551601788468233</v>
      </c>
      <c r="C6606" t="s">
        <v>40</v>
      </c>
      <c r="D6606">
        <v>5.1550349999999998</v>
      </c>
      <c r="E6606">
        <v>0.53294799999999998</v>
      </c>
      <c r="F6606" t="s">
        <v>71</v>
      </c>
      <c r="G6606">
        <v>-185.62799999999999</v>
      </c>
      <c r="H6606">
        <v>9.5816909999999993</v>
      </c>
      <c r="I6606">
        <v>391.87</v>
      </c>
      <c r="J6606">
        <v>-188.0378</v>
      </c>
      <c r="K6606">
        <v>1.1219619999999999</v>
      </c>
      <c r="L6606">
        <v>22.521789999999999</v>
      </c>
      <c r="M6606">
        <v>5.8407919999999896E-3</v>
      </c>
      <c r="N6606">
        <v>-1.197904E-2</v>
      </c>
      <c r="O6606">
        <v>0.9999112</v>
      </c>
      <c r="P6606">
        <v>-7.0496219999999998E-2</v>
      </c>
      <c r="Q6606">
        <v>0.26176630000000001</v>
      </c>
      <c r="R6606">
        <v>0.9625532</v>
      </c>
      <c r="S6606">
        <v>2.0248410000000001E-2</v>
      </c>
      <c r="T6606">
        <v>7.1035029999999999E-2</v>
      </c>
      <c r="U6606">
        <v>3.1040649999999999</v>
      </c>
      <c r="V6606">
        <v>-7.6330770000000006E-2</v>
      </c>
      <c r="W6606">
        <v>0.2732137</v>
      </c>
      <c r="X6606">
        <v>0.9589202</v>
      </c>
      <c r="Y6606">
        <v>6.7793720000000005E-4</v>
      </c>
      <c r="Z6606">
        <v>3.4851729999999997E-2</v>
      </c>
      <c r="AA6606">
        <v>0.99939230000000001</v>
      </c>
      <c r="AB6606">
        <v>32</v>
      </c>
      <c r="AC6606">
        <v>2.4098000000000099</v>
      </c>
      <c r="AD6606">
        <v>8.4597289999999994</v>
      </c>
      <c r="AE6606">
        <v>369.34820999999999</v>
      </c>
      <c r="AF6606">
        <v>0.25218574632315399</v>
      </c>
      <c r="AG6606">
        <v>8.4597289999999994</v>
      </c>
      <c r="AH6606">
        <v>369.16232512406202</v>
      </c>
      <c r="AI6606">
        <v>88.687239186323396</v>
      </c>
      <c r="AJ6606">
        <v>89.960859557742793</v>
      </c>
      <c r="AK6606">
        <v>369.25933015078601</v>
      </c>
      <c r="AL6606">
        <v>74.144409916526399</v>
      </c>
      <c r="AM6606">
        <v>94.551190842467307</v>
      </c>
      <c r="AN6606">
        <v>1.0000000311422601</v>
      </c>
    </row>
    <row r="6607" spans="1:40" x14ac:dyDescent="0.25">
      <c r="A6607" t="str">
        <f>"20190303162948496"</f>
        <v>20190303162948496</v>
      </c>
      <c r="B6607" t="str">
        <f>"1551601788488729"</f>
        <v>1551601788488729</v>
      </c>
      <c r="C6607" t="s">
        <v>40</v>
      </c>
      <c r="D6607">
        <v>5.1768980000000004</v>
      </c>
      <c r="E6607">
        <v>0.53198190000000001</v>
      </c>
      <c r="F6607" t="s">
        <v>41</v>
      </c>
      <c r="G6607">
        <v>-187.83330000000001</v>
      </c>
      <c r="H6607" s="1">
        <v>-3.4668570000000001E-6</v>
      </c>
      <c r="I6607">
        <v>76.818179999999998</v>
      </c>
      <c r="J6607">
        <v>-188.03630000000001</v>
      </c>
      <c r="K6607">
        <v>1.1219349999999999</v>
      </c>
      <c r="L6607">
        <v>22.845030000000001</v>
      </c>
      <c r="M6607">
        <v>5.4354679999999997E-3</v>
      </c>
      <c r="N6607">
        <v>-1.197936E-2</v>
      </c>
      <c r="O6607">
        <v>0.99991350000000001</v>
      </c>
      <c r="P6607">
        <v>-6.7631769999999994E-2</v>
      </c>
      <c r="Q6607">
        <v>0.25793640000000001</v>
      </c>
      <c r="R6607">
        <v>0.96379190000000003</v>
      </c>
      <c r="S6607">
        <v>1.1810299999999999E-2</v>
      </c>
      <c r="T6607">
        <v>-6.4784770000000005E-2</v>
      </c>
      <c r="U6607">
        <v>3.1351930000000001</v>
      </c>
      <c r="V6607">
        <v>-7.3079420000000006E-2</v>
      </c>
      <c r="W6607">
        <v>0.26940209999999998</v>
      </c>
      <c r="X6607">
        <v>0.96025099999999997</v>
      </c>
      <c r="Y6607">
        <v>-1.6687080000000001E-3</v>
      </c>
      <c r="Z6607">
        <v>-8.6806109999999995E-3</v>
      </c>
      <c r="AA6607">
        <v>0.99996099999999999</v>
      </c>
      <c r="AB6607">
        <v>32</v>
      </c>
      <c r="AC6607">
        <v>0.20300000000000201</v>
      </c>
      <c r="AD6607">
        <v>-1.121938466857</v>
      </c>
      <c r="AE6607">
        <v>53.973149999999997</v>
      </c>
      <c r="AF6607">
        <v>-9.0354331400561594E-2</v>
      </c>
      <c r="AG6607">
        <v>-1.121938466857</v>
      </c>
      <c r="AH6607">
        <v>53.950144623659</v>
      </c>
      <c r="AI6607">
        <v>91.191340358824803</v>
      </c>
      <c r="AJ6607">
        <v>90.095957425988402</v>
      </c>
      <c r="AK6607">
        <v>53.961884833114702</v>
      </c>
      <c r="AL6607">
        <v>74.3713091852334</v>
      </c>
      <c r="AM6607">
        <v>94.352077199602107</v>
      </c>
      <c r="AN6607">
        <v>1.00000003805647</v>
      </c>
    </row>
    <row r="6608" spans="1:40" x14ac:dyDescent="0.25">
      <c r="A6608" t="str">
        <f>"20190303162948519"</f>
        <v>20190303162948519</v>
      </c>
      <c r="B6608" t="str">
        <f>"1551601788508249"</f>
        <v>1551601788508249</v>
      </c>
      <c r="C6608" t="s">
        <v>40</v>
      </c>
      <c r="D6608">
        <v>5.16221</v>
      </c>
      <c r="E6608">
        <v>0.53100119999999995</v>
      </c>
      <c r="F6608" t="s">
        <v>41</v>
      </c>
      <c r="G6608">
        <v>-187.90729999999999</v>
      </c>
      <c r="H6608" s="1">
        <v>-3.913518E-6</v>
      </c>
      <c r="I6608">
        <v>57.889960000000002</v>
      </c>
      <c r="J6608">
        <v>-188.035</v>
      </c>
      <c r="K6608">
        <v>1.121931</v>
      </c>
      <c r="L6608">
        <v>23.164429999999999</v>
      </c>
      <c r="M6608">
        <v>5.0349829999999998E-3</v>
      </c>
      <c r="N6608">
        <v>-1.1979689999999999E-2</v>
      </c>
      <c r="O6608">
        <v>0.99991549999999996</v>
      </c>
      <c r="P6608">
        <v>-6.5224160000000003E-2</v>
      </c>
      <c r="Q6608">
        <v>0.2538589</v>
      </c>
      <c r="R6608">
        <v>0.9650396</v>
      </c>
      <c r="S6608">
        <v>1.1566160000000001E-2</v>
      </c>
      <c r="T6608">
        <v>-0.10053910000000001</v>
      </c>
      <c r="U6608">
        <v>3.1404420000000002</v>
      </c>
      <c r="V6608">
        <v>-7.028935E-2</v>
      </c>
      <c r="W6608">
        <v>0.265343099999999</v>
      </c>
      <c r="X6608">
        <v>0.96158849999999996</v>
      </c>
      <c r="Y6608">
        <v>-1.3527910000000001E-3</v>
      </c>
      <c r="Z6608">
        <v>-2.0021440000000001E-2</v>
      </c>
      <c r="AA6608">
        <v>0.99979870000000004</v>
      </c>
      <c r="AB6608">
        <v>32</v>
      </c>
      <c r="AC6608">
        <v>0.127700000000004</v>
      </c>
      <c r="AD6608">
        <v>-1.1219349135179999</v>
      </c>
      <c r="AE6608">
        <v>34.7255299999999</v>
      </c>
      <c r="AF6608">
        <v>-4.7107458424525503E-2</v>
      </c>
      <c r="AG6608">
        <v>-1.1219349135179999</v>
      </c>
      <c r="AH6608">
        <v>34.689522659178998</v>
      </c>
      <c r="AI6608">
        <v>91.852423208954406</v>
      </c>
      <c r="AJ6608">
        <v>90.077806112200705</v>
      </c>
      <c r="AK6608">
        <v>34.707692798348099</v>
      </c>
      <c r="AL6608">
        <v>74.612659128028795</v>
      </c>
      <c r="AM6608">
        <v>94.180720924778001</v>
      </c>
      <c r="AN6608">
        <v>0.999999998386641</v>
      </c>
    </row>
    <row r="6609" spans="1:40" x14ac:dyDescent="0.25">
      <c r="A6609" t="str">
        <f>"20190303162948565"</f>
        <v>20190303162948565</v>
      </c>
      <c r="B6609" t="str">
        <f>"1551601788559002"</f>
        <v>1551601788559002</v>
      </c>
      <c r="C6609" t="s">
        <v>40</v>
      </c>
      <c r="D6609">
        <v>5.100187</v>
      </c>
      <c r="E6609">
        <v>0.52969140000000003</v>
      </c>
      <c r="F6609" t="s">
        <v>41</v>
      </c>
      <c r="G6609">
        <v>-187.9486</v>
      </c>
      <c r="H6609" s="1">
        <v>-8.091894E-7</v>
      </c>
      <c r="I6609">
        <v>50.421999999999997</v>
      </c>
      <c r="J6609">
        <v>-188.03270000000001</v>
      </c>
      <c r="K6609">
        <v>1.1219330000000001</v>
      </c>
      <c r="L6609">
        <v>23.822240000000001</v>
      </c>
      <c r="M6609">
        <v>4.2099310000000001E-3</v>
      </c>
      <c r="N6609">
        <v>-1.1980319999999999E-2</v>
      </c>
      <c r="O6609">
        <v>0.99991940000000001</v>
      </c>
      <c r="P6609">
        <v>-6.1929230000000002E-2</v>
      </c>
      <c r="Q6609">
        <v>0.25365720000000003</v>
      </c>
      <c r="R6609">
        <v>0.96530970000000005</v>
      </c>
      <c r="S6609">
        <v>9.9639889999999995E-3</v>
      </c>
      <c r="T6609">
        <v>-0.12938359999999999</v>
      </c>
      <c r="U6609">
        <v>3.143402</v>
      </c>
      <c r="V6609">
        <v>-6.6199649999999999E-2</v>
      </c>
      <c r="W6609">
        <v>0.26514860000000001</v>
      </c>
      <c r="X6609">
        <v>0.96193240000000002</v>
      </c>
      <c r="Y6609">
        <v>-1.0414619999999999E-3</v>
      </c>
      <c r="Z6609">
        <v>-2.9151819999999998E-2</v>
      </c>
      <c r="AA6609">
        <v>0.99957450000000003</v>
      </c>
      <c r="AB6609">
        <v>32</v>
      </c>
      <c r="AC6609">
        <v>8.4100000000006503E-2</v>
      </c>
      <c r="AD6609">
        <v>-1.1219338091894</v>
      </c>
      <c r="AE6609">
        <v>26.59976</v>
      </c>
      <c r="AF6609">
        <v>-2.7842402085736798E-2</v>
      </c>
      <c r="AG6609">
        <v>-1.1219338091894</v>
      </c>
      <c r="AH6609">
        <v>26.552641312613499</v>
      </c>
      <c r="AI6609">
        <v>92.419488973035797</v>
      </c>
      <c r="AJ6609">
        <v>90.060078827095694</v>
      </c>
      <c r="AK6609">
        <v>26.5763479685954</v>
      </c>
      <c r="AL6609">
        <v>74.624218094935401</v>
      </c>
      <c r="AM6609">
        <v>93.936856209805498</v>
      </c>
      <c r="AN6609">
        <v>1.0000000579559101</v>
      </c>
    </row>
    <row r="6610" spans="1:40" x14ac:dyDescent="0.25">
      <c r="A6610" t="str">
        <f>"20190303162948586"</f>
        <v>20190303162948586</v>
      </c>
      <c r="B6610" t="str">
        <f>"1551601788578520"</f>
        <v>1551601788578520</v>
      </c>
      <c r="C6610" t="s">
        <v>40</v>
      </c>
      <c r="D6610">
        <v>5.0926150000000003</v>
      </c>
      <c r="E6610">
        <v>0.52898880000000004</v>
      </c>
      <c r="F6610" t="s">
        <v>41</v>
      </c>
      <c r="G6610">
        <v>-187.98099999999999</v>
      </c>
      <c r="H6610" s="1">
        <v>-4.4912369999999998E-6</v>
      </c>
      <c r="I6610">
        <v>49.267130000000002</v>
      </c>
      <c r="J6610">
        <v>-188.03190000000001</v>
      </c>
      <c r="K6610">
        <v>1.121942</v>
      </c>
      <c r="L6610">
        <v>24.113980000000002</v>
      </c>
      <c r="M6610">
        <v>3.8445419999999998E-3</v>
      </c>
      <c r="N6610">
        <v>-1.198055E-2</v>
      </c>
      <c r="O6610">
        <v>0.99992080000000005</v>
      </c>
      <c r="P6610">
        <v>-6.0707039999999997E-2</v>
      </c>
      <c r="Q6610">
        <v>0.25583359999999999</v>
      </c>
      <c r="R6610">
        <v>0.96481289999999997</v>
      </c>
      <c r="S6610">
        <v>6.3934329999999996E-3</v>
      </c>
      <c r="T6610">
        <v>-0.13865659999999999</v>
      </c>
      <c r="U6610">
        <v>3.1446529999999999</v>
      </c>
      <c r="V6610">
        <v>-6.4624559999999998E-2</v>
      </c>
      <c r="W6610">
        <v>0.26732129999999998</v>
      </c>
      <c r="X6610">
        <v>0.96143800000000001</v>
      </c>
      <c r="Y6610">
        <v>-1.812155E-3</v>
      </c>
      <c r="Z6610">
        <v>-3.2077420000000002E-2</v>
      </c>
      <c r="AA6610">
        <v>0.99948380000000003</v>
      </c>
      <c r="AB6610">
        <v>32</v>
      </c>
      <c r="AC6610">
        <v>5.0900000000012803E-2</v>
      </c>
      <c r="AD6610">
        <v>-1.1219464912369901</v>
      </c>
      <c r="AE6610">
        <v>25.15315</v>
      </c>
      <c r="AF6610">
        <v>-4.5718702192502098E-2</v>
      </c>
      <c r="AG6610">
        <v>-1.1219464912369901</v>
      </c>
      <c r="AH6610">
        <v>25.1032153511178</v>
      </c>
      <c r="AI6610">
        <v>92.559032426935502</v>
      </c>
      <c r="AJ6610">
        <v>90.104348616208696</v>
      </c>
      <c r="AK6610">
        <v>25.1283162009221</v>
      </c>
      <c r="AL6610">
        <v>74.495069740176106</v>
      </c>
      <c r="AM6610">
        <v>93.845441139814994</v>
      </c>
      <c r="AN6610">
        <v>1.00000001951644</v>
      </c>
    </row>
    <row r="6611" spans="1:40" x14ac:dyDescent="0.25">
      <c r="A6611" t="str">
        <f>"20190303162948608"</f>
        <v>20190303162948608</v>
      </c>
      <c r="B6611" t="str">
        <f>"1551601788598041"</f>
        <v>1551601788598041</v>
      </c>
      <c r="C6611" t="s">
        <v>40</v>
      </c>
      <c r="D6611">
        <v>5.084295</v>
      </c>
      <c r="E6611">
        <v>0.52873309999999996</v>
      </c>
      <c r="F6611" t="s">
        <v>41</v>
      </c>
      <c r="G6611">
        <v>-187.9889</v>
      </c>
      <c r="H6611" s="1">
        <v>-9.0783360000000003E-7</v>
      </c>
      <c r="I6611">
        <v>50.743340000000003</v>
      </c>
      <c r="J6611">
        <v>-188.03110000000001</v>
      </c>
      <c r="K6611">
        <v>1.121955</v>
      </c>
      <c r="L6611">
        <v>24.43439</v>
      </c>
      <c r="M6611">
        <v>3.4443849999999999E-3</v>
      </c>
      <c r="N6611">
        <v>-1.198082E-2</v>
      </c>
      <c r="O6611">
        <v>0.99992230000000004</v>
      </c>
      <c r="P6611">
        <v>-5.9673030000000002E-2</v>
      </c>
      <c r="Q6611">
        <v>0.2585036</v>
      </c>
      <c r="R6611">
        <v>0.96416539999999995</v>
      </c>
      <c r="S6611">
        <v>5.0811770000000001E-3</v>
      </c>
      <c r="T6611">
        <v>-0.13249900000000001</v>
      </c>
      <c r="U6611">
        <v>3.1448670000000001</v>
      </c>
      <c r="V6611">
        <v>-6.3204040000000003E-2</v>
      </c>
      <c r="W6611">
        <v>0.26998480000000002</v>
      </c>
      <c r="X6611">
        <v>0.96078799999999998</v>
      </c>
      <c r="Y6611">
        <v>-1.829076E-3</v>
      </c>
      <c r="Z6611">
        <v>-3.0120850000000001E-2</v>
      </c>
      <c r="AA6611">
        <v>0.99954460000000001</v>
      </c>
      <c r="AB6611">
        <v>32</v>
      </c>
      <c r="AC6611">
        <v>4.2200000000008203E-2</v>
      </c>
      <c r="AD6611">
        <v>-1.1219559078336001</v>
      </c>
      <c r="AE6611">
        <v>26.308949999999999</v>
      </c>
      <c r="AF6611">
        <v>-4.8337000095854898E-2</v>
      </c>
      <c r="AG6611">
        <v>-1.1219559078336001</v>
      </c>
      <c r="AH6611">
        <v>26.261180010073598</v>
      </c>
      <c r="AI6611">
        <v>92.446354705111602</v>
      </c>
      <c r="AJ6611">
        <v>90.1054599591927</v>
      </c>
      <c r="AK6611">
        <v>26.285180179070299</v>
      </c>
      <c r="AL6611">
        <v>74.336638629715907</v>
      </c>
      <c r="AM6611">
        <v>93.763696602500502</v>
      </c>
      <c r="AN6611">
        <v>1.00000006192367</v>
      </c>
    </row>
    <row r="6612" spans="1:40" x14ac:dyDescent="0.25">
      <c r="A6612" t="str">
        <f>"20190303162948632"</f>
        <v>20190303162948632</v>
      </c>
      <c r="B6612" t="str">
        <f>"1551601788628297"</f>
        <v>1551601788628297</v>
      </c>
      <c r="C6612" t="s">
        <v>40</v>
      </c>
      <c r="D6612">
        <v>5.0071019999999997</v>
      </c>
      <c r="E6612">
        <v>0.52728619999999904</v>
      </c>
      <c r="F6612" t="s">
        <v>41</v>
      </c>
      <c r="G6612">
        <v>-187.96080000000001</v>
      </c>
      <c r="H6612" s="1">
        <v>-2.3916410000000002E-6</v>
      </c>
      <c r="I6612">
        <v>54.364559999999997</v>
      </c>
      <c r="J6612">
        <v>-188.03039999999999</v>
      </c>
      <c r="K6612">
        <v>1.1219629999999901</v>
      </c>
      <c r="L6612">
        <v>24.758299999999998</v>
      </c>
      <c r="M6612">
        <v>3.043043E-3</v>
      </c>
      <c r="N6612">
        <v>-1.198107E-2</v>
      </c>
      <c r="O6612">
        <v>0.99992360000000002</v>
      </c>
      <c r="P6612">
        <v>-5.9768059999999998E-2</v>
      </c>
      <c r="Q6612">
        <v>0.26144079999999997</v>
      </c>
      <c r="R6612">
        <v>0.96336730000000004</v>
      </c>
      <c r="S6612">
        <v>7.385254E-3</v>
      </c>
      <c r="T6612">
        <v>-0.1178387</v>
      </c>
      <c r="U6612">
        <v>3.1435550000000001</v>
      </c>
      <c r="V6612">
        <v>-6.2910889999999997E-2</v>
      </c>
      <c r="W6612">
        <v>0.27291369999999998</v>
      </c>
      <c r="X6612">
        <v>0.95997940000000004</v>
      </c>
      <c r="Y6612">
        <v>-6.9449529999999896E-4</v>
      </c>
      <c r="Z6612">
        <v>-2.5483889999999999E-2</v>
      </c>
      <c r="AA6612">
        <v>0.99967499999999998</v>
      </c>
      <c r="AB6612">
        <v>32</v>
      </c>
      <c r="AC6612">
        <v>6.95999999999799E-2</v>
      </c>
      <c r="AD6612">
        <v>-1.12196539164099</v>
      </c>
      <c r="AE6612">
        <v>29.606259999999999</v>
      </c>
      <c r="AF6612">
        <v>-2.0470512935043199E-2</v>
      </c>
      <c r="AG6612">
        <v>-1.12196539164099</v>
      </c>
      <c r="AH6612">
        <v>29.563877564250699</v>
      </c>
      <c r="AI6612">
        <v>92.1733627910926</v>
      </c>
      <c r="AJ6612">
        <v>90.039672529615103</v>
      </c>
      <c r="AK6612">
        <v>29.585166587598302</v>
      </c>
      <c r="AL6612">
        <v>74.162278135651704</v>
      </c>
      <c r="AM6612">
        <v>93.7494363678626</v>
      </c>
      <c r="AN6612">
        <v>1.00000005807631</v>
      </c>
    </row>
    <row r="6613" spans="1:40" x14ac:dyDescent="0.25">
      <c r="A6613" t="str">
        <f>"20190303162948651"</f>
        <v>20190303162948651</v>
      </c>
      <c r="B6613" t="str">
        <f>"1551601788638057"</f>
        <v>1551601788638057</v>
      </c>
      <c r="C6613" t="s">
        <v>40</v>
      </c>
      <c r="D6613">
        <v>4.9202180000000002</v>
      </c>
      <c r="E6613">
        <v>0.52689399999999997</v>
      </c>
      <c r="F6613" t="s">
        <v>41</v>
      </c>
      <c r="G6613">
        <v>-188.07130000000001</v>
      </c>
      <c r="H6613" s="1">
        <v>-2.0096830000000002E-6</v>
      </c>
      <c r="I6613">
        <v>63.519910000000003</v>
      </c>
      <c r="J6613">
        <v>-188.0299</v>
      </c>
      <c r="K6613">
        <v>1.1219619999999999</v>
      </c>
      <c r="L6613">
        <v>25.029820000000001</v>
      </c>
      <c r="M6613">
        <v>2.7095420000000001E-3</v>
      </c>
      <c r="N6613">
        <v>-1.198134E-2</v>
      </c>
      <c r="O6613">
        <v>0.99992449999999999</v>
      </c>
      <c r="P6613">
        <v>-5.9290969999999998E-2</v>
      </c>
      <c r="Q6613">
        <v>0.26247039999999999</v>
      </c>
      <c r="R6613">
        <v>0.9631168</v>
      </c>
      <c r="S6613">
        <v>-3.3111569999999999E-3</v>
      </c>
      <c r="T6613">
        <v>-9.0845229999999999E-2</v>
      </c>
      <c r="U6613">
        <v>3.1385190000000001</v>
      </c>
      <c r="V6613">
        <v>-6.2111079999999999E-2</v>
      </c>
      <c r="W6613">
        <v>0.27394109999999899</v>
      </c>
      <c r="X6613">
        <v>0.95973869999999895</v>
      </c>
      <c r="Y6613">
        <v>-3.763663E-3</v>
      </c>
      <c r="Z6613">
        <v>-1.6954449999999999E-2</v>
      </c>
      <c r="AA6613">
        <v>0.99984919999999999</v>
      </c>
      <c r="AB6613">
        <v>32</v>
      </c>
      <c r="AC6613">
        <v>-4.1400000000009998E-2</v>
      </c>
      <c r="AD6613">
        <v>-1.1219640096829999</v>
      </c>
      <c r="AE6613">
        <v>38.490090000000002</v>
      </c>
      <c r="AF6613">
        <v>-0.14557416243631699</v>
      </c>
      <c r="AG6613">
        <v>-1.1219640096829999</v>
      </c>
      <c r="AH6613">
        <v>38.457159918433497</v>
      </c>
      <c r="AI6613">
        <v>91.671083187840495</v>
      </c>
      <c r="AJ6613">
        <v>90.2168840677151</v>
      </c>
      <c r="AK6613">
        <v>38.473798149750699</v>
      </c>
      <c r="AL6613">
        <v>74.101078478993799</v>
      </c>
      <c r="AM6613">
        <v>93.702827605323193</v>
      </c>
      <c r="AN6613">
        <v>0.99999994240283097</v>
      </c>
    </row>
    <row r="6614" spans="1:40" x14ac:dyDescent="0.25">
      <c r="A6614" t="str">
        <f>"20190303162948675"</f>
        <v>20190303162948675</v>
      </c>
      <c r="B6614" t="str">
        <f>"1551601788668313"</f>
        <v>1551601788668313</v>
      </c>
      <c r="C6614" t="s">
        <v>40</v>
      </c>
      <c r="D6614">
        <v>4.8067089999999997</v>
      </c>
      <c r="E6614">
        <v>0.52595899999999995</v>
      </c>
      <c r="F6614" t="s">
        <v>41</v>
      </c>
      <c r="G6614">
        <v>-188.08430000000001</v>
      </c>
      <c r="H6614" s="1">
        <v>-3.7115559999999998E-6</v>
      </c>
      <c r="I6614">
        <v>67.492369999999994</v>
      </c>
      <c r="J6614">
        <v>-188.02950000000001</v>
      </c>
      <c r="K6614">
        <v>1.1219410000000001</v>
      </c>
      <c r="L6614">
        <v>25.366759999999999</v>
      </c>
      <c r="M6614">
        <v>2.298773E-3</v>
      </c>
      <c r="N6614">
        <v>-1.198166E-2</v>
      </c>
      <c r="O6614">
        <v>0.99992559999999997</v>
      </c>
      <c r="P6614">
        <v>-5.939709E-2</v>
      </c>
      <c r="Q6614">
        <v>0.26007859999999999</v>
      </c>
      <c r="R6614">
        <v>0.96375880000000003</v>
      </c>
      <c r="S6614">
        <v>-4.0130620000000004E-3</v>
      </c>
      <c r="T6614">
        <v>-8.2893610000000006E-2</v>
      </c>
      <c r="U6614">
        <v>3.137238</v>
      </c>
      <c r="V6614">
        <v>-6.181946E-2</v>
      </c>
      <c r="W6614">
        <v>0.27155889999999999</v>
      </c>
      <c r="X6614">
        <v>0.96043440000000002</v>
      </c>
      <c r="Y6614">
        <v>-3.5771459999999998E-3</v>
      </c>
      <c r="Z6614">
        <v>-1.4433669999999999E-2</v>
      </c>
      <c r="AA6614">
        <v>0.99988940000000004</v>
      </c>
      <c r="AB6614">
        <v>32</v>
      </c>
      <c r="AC6614">
        <v>-5.4800000000000099E-2</v>
      </c>
      <c r="AD6614">
        <v>-1.121944711556</v>
      </c>
      <c r="AE6614">
        <v>42.125610000000002</v>
      </c>
      <c r="AF6614">
        <v>-0.15153652960796299</v>
      </c>
      <c r="AG6614">
        <v>-1.121944711556</v>
      </c>
      <c r="AH6614">
        <v>42.095512989237001</v>
      </c>
      <c r="AI6614">
        <v>91.526696350619204</v>
      </c>
      <c r="AJ6614">
        <v>90.206253956015303</v>
      </c>
      <c r="AK6614">
        <v>42.110734226353898</v>
      </c>
      <c r="AL6614">
        <v>74.242949398174602</v>
      </c>
      <c r="AM6614">
        <v>93.682828081242505</v>
      </c>
      <c r="AN6614">
        <v>1.00000005925362</v>
      </c>
    </row>
    <row r="6615" spans="1:40" x14ac:dyDescent="0.25">
      <c r="A6615" t="str">
        <f>"20190303162948696"</f>
        <v>20190303162948696</v>
      </c>
      <c r="B6615" t="str">
        <f>"1551601788688809"</f>
        <v>1551601788688809</v>
      </c>
      <c r="C6615" t="s">
        <v>40</v>
      </c>
      <c r="D6615">
        <v>4.7225640000000002</v>
      </c>
      <c r="E6615">
        <v>0.52538859999999998</v>
      </c>
      <c r="F6615" t="s">
        <v>41</v>
      </c>
      <c r="G6615">
        <v>-188.18629999999999</v>
      </c>
      <c r="H6615" s="1">
        <v>-5.0789869999999998E-7</v>
      </c>
      <c r="I6615">
        <v>69.722440000000006</v>
      </c>
      <c r="J6615">
        <v>-188.0292</v>
      </c>
      <c r="K6615">
        <v>1.1219239999999999</v>
      </c>
      <c r="L6615">
        <v>25.676449999999999</v>
      </c>
      <c r="M6615">
        <v>1.9236240000000001E-3</v>
      </c>
      <c r="N6615">
        <v>-1.198198E-2</v>
      </c>
      <c r="O6615">
        <v>0.99992639999999999</v>
      </c>
      <c r="P6615">
        <v>-5.9746439999999998E-2</v>
      </c>
      <c r="Q6615">
        <v>0.25522119999999998</v>
      </c>
      <c r="R6615">
        <v>0.96503499999999998</v>
      </c>
      <c r="S6615">
        <v>-1.107788E-2</v>
      </c>
      <c r="T6615">
        <v>-7.9259750000000004E-2</v>
      </c>
      <c r="U6615">
        <v>3.1335139999999999</v>
      </c>
      <c r="V6615">
        <v>-6.1804539999999998E-2</v>
      </c>
      <c r="W6615">
        <v>0.26671790000000001</v>
      </c>
      <c r="X6615">
        <v>0.9617909</v>
      </c>
      <c r="Y6615">
        <v>-5.4574790000000003E-3</v>
      </c>
      <c r="Z6615">
        <v>-1.330577E-2</v>
      </c>
      <c r="AA6615">
        <v>0.99989660000000002</v>
      </c>
      <c r="AB6615">
        <v>32</v>
      </c>
      <c r="AC6615">
        <v>-0.157099999999985</v>
      </c>
      <c r="AD6615">
        <v>-1.1219245078986999</v>
      </c>
      <c r="AE6615">
        <v>44.045990000000003</v>
      </c>
      <c r="AF6615">
        <v>-0.24167691309013201</v>
      </c>
      <c r="AG6615">
        <v>-1.1219245078986999</v>
      </c>
      <c r="AH6615">
        <v>44.017048133546602</v>
      </c>
      <c r="AI6615">
        <v>91.460040115408404</v>
      </c>
      <c r="AJ6615">
        <v>90.314581021929001</v>
      </c>
      <c r="AK6615">
        <v>44.032007093961802</v>
      </c>
      <c r="AL6615">
        <v>74.530944079596495</v>
      </c>
      <c r="AM6615">
        <v>93.676762965553095</v>
      </c>
      <c r="AN6615">
        <v>0.99999998733391504</v>
      </c>
    </row>
    <row r="6616" spans="1:40" x14ac:dyDescent="0.25">
      <c r="A6616" t="str">
        <f>"20190303162948720"</f>
        <v>20190303162948720</v>
      </c>
      <c r="B6616" t="str">
        <f>"1551601788708329"</f>
        <v>1551601788708329</v>
      </c>
      <c r="C6616" t="s">
        <v>40</v>
      </c>
      <c r="D6616">
        <v>4.6839120000000003</v>
      </c>
      <c r="E6616">
        <v>0.52423540000000002</v>
      </c>
      <c r="F6616" t="s">
        <v>41</v>
      </c>
      <c r="G6616">
        <v>-188.24539999999999</v>
      </c>
      <c r="H6616" s="1">
        <v>-2.25819E-6</v>
      </c>
      <c r="I6616">
        <v>64.171169999999904</v>
      </c>
      <c r="J6616">
        <v>-188.029</v>
      </c>
      <c r="K6616">
        <v>1.121904</v>
      </c>
      <c r="L6616">
        <v>25.993320000000001</v>
      </c>
      <c r="M6616">
        <v>1.5414039999999999E-3</v>
      </c>
      <c r="N6616">
        <v>-1.19823E-2</v>
      </c>
      <c r="O6616">
        <v>0.99992700000000001</v>
      </c>
      <c r="P6616">
        <v>-5.9722589999999999E-2</v>
      </c>
      <c r="Q6616">
        <v>0.25241419999999998</v>
      </c>
      <c r="R6616">
        <v>0.96577449999999998</v>
      </c>
      <c r="S6616">
        <v>-1.7593379999999999E-2</v>
      </c>
      <c r="T6616">
        <v>-9.1274499999999995E-2</v>
      </c>
      <c r="U6616">
        <v>3.1317439999999999</v>
      </c>
      <c r="V6616">
        <v>-6.1410050000000001E-2</v>
      </c>
      <c r="W6616">
        <v>0.26392130000000003</v>
      </c>
      <c r="X6616">
        <v>0.96258730000000003</v>
      </c>
      <c r="Y6616">
        <v>-7.1565650000000001E-3</v>
      </c>
      <c r="Z6616">
        <v>-1.7152560000000001E-2</v>
      </c>
      <c r="AA6616">
        <v>0.99982729999999997</v>
      </c>
      <c r="AB6616">
        <v>32</v>
      </c>
      <c r="AC6616">
        <v>-0.21639999999996401</v>
      </c>
      <c r="AD6616">
        <v>-1.1219062581899999</v>
      </c>
      <c r="AE6616">
        <v>38.1778499999999</v>
      </c>
      <c r="AF6616">
        <v>-0.275013977668847</v>
      </c>
      <c r="AG6616">
        <v>-1.1219062581899999</v>
      </c>
      <c r="AH6616">
        <v>38.144532197139</v>
      </c>
      <c r="AI6616">
        <v>91.684652943653603</v>
      </c>
      <c r="AJ6616">
        <v>90.413083246910404</v>
      </c>
      <c r="AK6616">
        <v>38.162018328157799</v>
      </c>
      <c r="AL6616">
        <v>74.697133537453496</v>
      </c>
      <c r="AM6616">
        <v>93.650344005119607</v>
      </c>
      <c r="AN6616">
        <v>0.99999997847799105</v>
      </c>
    </row>
    <row r="6617" spans="1:40" x14ac:dyDescent="0.25">
      <c r="A6617" t="str">
        <f>"20190303162948744"</f>
        <v>20190303162948744</v>
      </c>
      <c r="B6617" t="str">
        <f>"1551601788738586"</f>
        <v>1551601788738586</v>
      </c>
      <c r="C6617" t="s">
        <v>40</v>
      </c>
      <c r="D6617">
        <v>4.5513779999999997</v>
      </c>
      <c r="E6617">
        <v>0.52219079999999996</v>
      </c>
      <c r="F6617" t="s">
        <v>41</v>
      </c>
      <c r="G6617">
        <v>-188.3168</v>
      </c>
      <c r="H6617" s="1">
        <v>-3.4207379999999999E-6</v>
      </c>
      <c r="I6617">
        <v>56.910600000000002</v>
      </c>
      <c r="J6617">
        <v>-188.02889999999999</v>
      </c>
      <c r="K6617">
        <v>1.1218919999999999</v>
      </c>
      <c r="L6617">
        <v>26.331880000000002</v>
      </c>
      <c r="M6617">
        <v>1.1351359999999999E-3</v>
      </c>
      <c r="N6617">
        <v>-1.1977979999999999E-2</v>
      </c>
      <c r="O6617">
        <v>0.99992760000000003</v>
      </c>
      <c r="P6617">
        <v>-5.9549369999999997E-2</v>
      </c>
      <c r="Q6617">
        <v>0.25038329999999998</v>
      </c>
      <c r="R6617">
        <v>0.96631369999999905</v>
      </c>
      <c r="S6617">
        <v>-2.9174800000000001E-2</v>
      </c>
      <c r="T6617">
        <v>-0.1137336</v>
      </c>
      <c r="U6617">
        <v>3.1342469999999998</v>
      </c>
      <c r="V6617">
        <v>-6.0842670000000001E-2</v>
      </c>
      <c r="W6617">
        <v>0.2618933</v>
      </c>
      <c r="X6617">
        <v>0.96317710000000001</v>
      </c>
      <c r="Y6617">
        <v>-1.043739E-2</v>
      </c>
      <c r="Z6617">
        <v>-2.4288959999999998E-2</v>
      </c>
      <c r="AA6617">
        <v>0.9996505</v>
      </c>
      <c r="AB6617">
        <v>32</v>
      </c>
      <c r="AC6617">
        <v>-0.28790000000000698</v>
      </c>
      <c r="AD6617">
        <v>-1.1218954207380001</v>
      </c>
      <c r="AE6617">
        <v>30.578720000000001</v>
      </c>
      <c r="AF6617">
        <v>-0.32217967482642101</v>
      </c>
      <c r="AG6617">
        <v>-1.1218954207380001</v>
      </c>
      <c r="AH6617">
        <v>30.5372719467941</v>
      </c>
      <c r="AI6617">
        <v>92.103901219490197</v>
      </c>
      <c r="AJ6617">
        <v>90.604469540615497</v>
      </c>
      <c r="AK6617">
        <v>30.559571774329601</v>
      </c>
      <c r="AL6617">
        <v>74.817566870230493</v>
      </c>
      <c r="AM6617">
        <v>93.614498852694098</v>
      </c>
      <c r="AN6617">
        <v>1.00000002852101</v>
      </c>
    </row>
    <row r="6618" spans="1:40" x14ac:dyDescent="0.25">
      <c r="A6618" t="str">
        <f>"20190303162948764"</f>
        <v>20190303162948764</v>
      </c>
      <c r="B6618" t="str">
        <f>"1551601788758105"</f>
        <v>1551601788758105</v>
      </c>
      <c r="C6618" t="s">
        <v>40</v>
      </c>
      <c r="D6618">
        <v>4.4965679999999999</v>
      </c>
      <c r="E6618">
        <v>0.52113999999999905</v>
      </c>
      <c r="F6618" t="s">
        <v>41</v>
      </c>
      <c r="G6618">
        <v>-188.47630000000001</v>
      </c>
      <c r="H6618" s="1">
        <v>-3.296779E-6</v>
      </c>
      <c r="I6618">
        <v>56.687600000000003</v>
      </c>
      <c r="J6618">
        <v>-188.02889999999999</v>
      </c>
      <c r="K6618">
        <v>1.1218809999999999</v>
      </c>
      <c r="L6618">
        <v>26.631769999999999</v>
      </c>
      <c r="M6618">
        <v>7.7585449999999895E-4</v>
      </c>
      <c r="N6618">
        <v>-1.1969799999999999E-2</v>
      </c>
      <c r="O6618">
        <v>0.99992809999999999</v>
      </c>
      <c r="P6618">
        <v>-5.948415E-2</v>
      </c>
      <c r="Q6618">
        <v>0.24870600000000001</v>
      </c>
      <c r="R6618">
        <v>0.96675069999999996</v>
      </c>
      <c r="S6618">
        <v>-4.6157839999999999E-2</v>
      </c>
      <c r="T6618">
        <v>-0.115743899999999</v>
      </c>
      <c r="U6618">
        <v>3.1317439999999999</v>
      </c>
      <c r="V6618">
        <v>-6.0428790000000003E-2</v>
      </c>
      <c r="W6618">
        <v>0.2602141</v>
      </c>
      <c r="X6618">
        <v>0.96365809999999996</v>
      </c>
      <c r="Y6618">
        <v>-1.550379E-2</v>
      </c>
      <c r="Z6618">
        <v>-2.4964469999999999E-2</v>
      </c>
      <c r="AA6618">
        <v>0.99956809999999996</v>
      </c>
      <c r="AB6618">
        <v>32</v>
      </c>
      <c r="AC6618">
        <v>-0.44740000000001601</v>
      </c>
      <c r="AD6618">
        <v>-1.1218842967789999</v>
      </c>
      <c r="AE6618">
        <v>30.05583</v>
      </c>
      <c r="AF6618">
        <v>-0.47006569754031802</v>
      </c>
      <c r="AG6618">
        <v>-1.1218842967789999</v>
      </c>
      <c r="AH6618">
        <v>30.013665607067299</v>
      </c>
      <c r="AI6618">
        <v>92.140406746952607</v>
      </c>
      <c r="AJ6618">
        <v>90.897277231301601</v>
      </c>
      <c r="AK6618">
        <v>30.038304035151899</v>
      </c>
      <c r="AL6618">
        <v>74.917233159040705</v>
      </c>
      <c r="AM6618">
        <v>93.588188662506894</v>
      </c>
      <c r="AN6618">
        <v>0.99999997509764105</v>
      </c>
    </row>
    <row r="6619" spans="1:40" x14ac:dyDescent="0.25">
      <c r="A6619" t="str">
        <f>"20190303162948788"</f>
        <v>20190303162948788</v>
      </c>
      <c r="B6619" t="str">
        <f>"1551601788778602"</f>
        <v>1551601788778602</v>
      </c>
      <c r="C6619" t="s">
        <v>40</v>
      </c>
      <c r="D6619">
        <v>4.4451589999999896</v>
      </c>
      <c r="E6619">
        <v>0.52036979999999999</v>
      </c>
      <c r="F6619" t="s">
        <v>41</v>
      </c>
      <c r="G6619">
        <v>-188.55330000000001</v>
      </c>
      <c r="H6619" s="1">
        <v>-3.0674999999999999E-6</v>
      </c>
      <c r="I6619">
        <v>56.184980000000003</v>
      </c>
      <c r="J6619">
        <v>-188.0291</v>
      </c>
      <c r="K6619">
        <v>1.121874</v>
      </c>
      <c r="L6619">
        <v>26.957519999999999</v>
      </c>
      <c r="M6619">
        <v>3.8490669999999999E-4</v>
      </c>
      <c r="N6619">
        <v>-1.196028E-2</v>
      </c>
      <c r="O6619">
        <v>0.99992840000000005</v>
      </c>
      <c r="P6619">
        <v>-5.9921759999999998E-2</v>
      </c>
      <c r="Q6619">
        <v>0.24782109999999999</v>
      </c>
      <c r="R6619">
        <v>0.966951</v>
      </c>
      <c r="S6619">
        <v>-5.5541989999999999E-2</v>
      </c>
      <c r="T6619">
        <v>-0.11883249999999999</v>
      </c>
      <c r="U6619">
        <v>3.130341</v>
      </c>
      <c r="V6619">
        <v>-6.0486999999999999E-2</v>
      </c>
      <c r="W6619">
        <v>0.25932309999999997</v>
      </c>
      <c r="X6619">
        <v>0.96389460000000005</v>
      </c>
      <c r="Y6619">
        <v>-1.8113799999999999E-2</v>
      </c>
      <c r="Z6619">
        <v>-2.5973670000000001E-2</v>
      </c>
      <c r="AA6619">
        <v>0.99949849999999996</v>
      </c>
      <c r="AB6619">
        <v>32</v>
      </c>
      <c r="AC6619">
        <v>-0.52420000000000699</v>
      </c>
      <c r="AD6619">
        <v>-1.1218770675</v>
      </c>
      <c r="AE6619">
        <v>29.227459999999901</v>
      </c>
      <c r="AF6619">
        <v>-0.53466311400085098</v>
      </c>
      <c r="AG6619">
        <v>-1.1218770675</v>
      </c>
      <c r="AH6619">
        <v>29.1842709895074</v>
      </c>
      <c r="AI6619">
        <v>92.201062987250793</v>
      </c>
      <c r="AJ6619">
        <v>91.049555541610701</v>
      </c>
      <c r="AK6619">
        <v>29.210719710220399</v>
      </c>
      <c r="AL6619">
        <v>74.970098500373396</v>
      </c>
      <c r="AM6619">
        <v>93.590757125255905</v>
      </c>
      <c r="AN6619">
        <v>0.999999973635884</v>
      </c>
    </row>
    <row r="6620" spans="1:40" x14ac:dyDescent="0.25">
      <c r="A6620" t="str">
        <f>"20190303162948810"</f>
        <v>20190303162948810</v>
      </c>
      <c r="B6620" t="str">
        <f>"1551601788799098"</f>
        <v>1551601788799098</v>
      </c>
      <c r="C6620" t="s">
        <v>40</v>
      </c>
      <c r="D6620">
        <v>4.453068</v>
      </c>
      <c r="E6620">
        <v>0.51980079999999995</v>
      </c>
      <c r="F6620" t="s">
        <v>41</v>
      </c>
      <c r="G6620">
        <v>-188.6319</v>
      </c>
      <c r="H6620" s="1">
        <v>-3.0926700000000001E-6</v>
      </c>
      <c r="I6620">
        <v>56.276179999999997</v>
      </c>
      <c r="J6620">
        <v>-188.02940000000001</v>
      </c>
      <c r="K6620">
        <v>1.12188</v>
      </c>
      <c r="L6620">
        <v>27.279720000000001</v>
      </c>
      <c r="M6620" s="1">
        <v>-2.196673E-6</v>
      </c>
      <c r="N6620">
        <v>-1.195131E-2</v>
      </c>
      <c r="O6620">
        <v>0.99992859999999995</v>
      </c>
      <c r="P6620">
        <v>-6.2314799999999997E-2</v>
      </c>
      <c r="Q6620">
        <v>0.24871090000000001</v>
      </c>
      <c r="R6620">
        <v>0.96657119999999996</v>
      </c>
      <c r="S6620">
        <v>-6.4346310000000004E-2</v>
      </c>
      <c r="T6620">
        <v>-0.1197402</v>
      </c>
      <c r="U6620">
        <v>3.1292420000000001</v>
      </c>
      <c r="V6620">
        <v>-6.2506359999999997E-2</v>
      </c>
      <c r="W6620">
        <v>0.2601985</v>
      </c>
      <c r="X6620">
        <v>0.96352979999999999</v>
      </c>
      <c r="Y6620">
        <v>-2.0543100000000002E-2</v>
      </c>
      <c r="Z6620">
        <v>-2.6283580000000001E-2</v>
      </c>
      <c r="AA6620">
        <v>0.99944339999999998</v>
      </c>
      <c r="AB6620">
        <v>32</v>
      </c>
      <c r="AC6620">
        <v>-0.60249999999999204</v>
      </c>
      <c r="AD6620">
        <v>-1.1218830926700001</v>
      </c>
      <c r="AE6620">
        <v>28.996459999999999</v>
      </c>
      <c r="AF6620">
        <v>-0.60153622291216402</v>
      </c>
      <c r="AG6620">
        <v>-1.1218830926700001</v>
      </c>
      <c r="AH6620">
        <v>28.953138831073101</v>
      </c>
      <c r="AI6620">
        <v>92.218522064759497</v>
      </c>
      <c r="AJ6620">
        <v>91.190217380818893</v>
      </c>
      <c r="AK6620">
        <v>28.981109634941301</v>
      </c>
      <c r="AL6620">
        <v>74.918159090393004</v>
      </c>
      <c r="AM6620">
        <v>93.711705997009105</v>
      </c>
      <c r="AN6620">
        <v>0.99999998996536898</v>
      </c>
    </row>
    <row r="6621" spans="1:40" x14ac:dyDescent="0.25">
      <c r="A6621" t="str">
        <f>"20190303162948834"</f>
        <v>20190303162948834</v>
      </c>
      <c r="B6621" t="str">
        <f>"1551601788828378"</f>
        <v>1551601788828378</v>
      </c>
      <c r="C6621" t="s">
        <v>40</v>
      </c>
      <c r="D6621">
        <v>4.3861980000000003</v>
      </c>
      <c r="E6621">
        <v>0.51908980000000005</v>
      </c>
      <c r="F6621" t="s">
        <v>41</v>
      </c>
      <c r="G6621">
        <v>-188.78049999999999</v>
      </c>
      <c r="H6621" s="1">
        <v>-3.8699580000000003E-6</v>
      </c>
      <c r="I6621">
        <v>58.149479999999997</v>
      </c>
      <c r="J6621">
        <v>-188.02979999999999</v>
      </c>
      <c r="K6621">
        <v>1.121896</v>
      </c>
      <c r="L6621">
        <v>27.610659999999999</v>
      </c>
      <c r="M6621">
        <v>-3.995224E-4</v>
      </c>
      <c r="N6621">
        <v>-1.194257E-2</v>
      </c>
      <c r="O6621">
        <v>0.99992859999999995</v>
      </c>
      <c r="P6621">
        <v>-6.5632120000000002E-2</v>
      </c>
      <c r="Q6621">
        <v>0.2511968</v>
      </c>
      <c r="R6621">
        <v>0.96570829999999996</v>
      </c>
      <c r="S6621">
        <v>-7.6110839999999999E-2</v>
      </c>
      <c r="T6621">
        <v>-0.11368350000000001</v>
      </c>
      <c r="U6621">
        <v>3.1281129999999999</v>
      </c>
      <c r="V6621">
        <v>-6.5442130000000001E-2</v>
      </c>
      <c r="W6621">
        <v>0.2626637</v>
      </c>
      <c r="X6621">
        <v>0.96266560000000001</v>
      </c>
      <c r="Y6621">
        <v>-2.3910480000000001E-2</v>
      </c>
      <c r="Z6621">
        <v>-2.437075E-2</v>
      </c>
      <c r="AA6621">
        <v>0.999417</v>
      </c>
      <c r="AB6621">
        <v>32</v>
      </c>
      <c r="AC6621">
        <v>-0.75069999999999404</v>
      </c>
      <c r="AD6621">
        <v>-1.1218998699580001</v>
      </c>
      <c r="AE6621">
        <v>30.538820000000001</v>
      </c>
      <c r="AF6621">
        <v>-0.73750339684075605</v>
      </c>
      <c r="AG6621">
        <v>-1.1218998699580001</v>
      </c>
      <c r="AH6621">
        <v>30.497982415368799</v>
      </c>
      <c r="AI6621">
        <v>92.106119492811999</v>
      </c>
      <c r="AJ6621">
        <v>91.385258790797707</v>
      </c>
      <c r="AK6621">
        <v>30.527520403509801</v>
      </c>
      <c r="AL6621">
        <v>74.771824034237795</v>
      </c>
      <c r="AM6621">
        <v>93.888991019360802</v>
      </c>
      <c r="AN6621">
        <v>0.99999997454999301</v>
      </c>
    </row>
    <row r="6622" spans="1:40" x14ac:dyDescent="0.25">
      <c r="A6622" t="str">
        <f>"20190303162948854"</f>
        <v>20190303162948854</v>
      </c>
      <c r="B6622" t="str">
        <f>"1551601788848874"</f>
        <v>1551601788848874</v>
      </c>
      <c r="C6622" t="s">
        <v>40</v>
      </c>
      <c r="D6622">
        <v>4.3241480000000001</v>
      </c>
      <c r="E6622">
        <v>0.51852339999999997</v>
      </c>
      <c r="F6622" t="s">
        <v>41</v>
      </c>
      <c r="G6622">
        <v>-189.06120000000001</v>
      </c>
      <c r="H6622" s="1">
        <v>-1.3283170000000001E-6</v>
      </c>
      <c r="I6622">
        <v>62.34093</v>
      </c>
      <c r="J6622">
        <v>-188.03030000000001</v>
      </c>
      <c r="K6622">
        <v>1.12191</v>
      </c>
      <c r="L6622">
        <v>27.88815</v>
      </c>
      <c r="M6622">
        <v>-7.323834E-4</v>
      </c>
      <c r="N6622">
        <v>-1.1935660000000001E-2</v>
      </c>
      <c r="O6622">
        <v>0.9999285</v>
      </c>
      <c r="P6622">
        <v>-6.8948399999999896E-2</v>
      </c>
      <c r="Q6622">
        <v>0.25595469999999998</v>
      </c>
      <c r="R6622">
        <v>0.96422680000000005</v>
      </c>
      <c r="S6622">
        <v>-9.2849730000000005E-2</v>
      </c>
      <c r="T6622">
        <v>-0.10099569999999999</v>
      </c>
      <c r="U6622">
        <v>3.1264949999999998</v>
      </c>
      <c r="V6622">
        <v>-6.8441489999999994E-2</v>
      </c>
      <c r="W6622">
        <v>0.26739479999999999</v>
      </c>
      <c r="X6622">
        <v>0.96115329999999999</v>
      </c>
      <c r="Y6622">
        <v>-2.8938720000000001E-2</v>
      </c>
      <c r="Z6622">
        <v>-2.0340830000000001E-2</v>
      </c>
      <c r="AA6622">
        <v>0.99937419999999999</v>
      </c>
      <c r="AB6622">
        <v>32</v>
      </c>
      <c r="AC6622">
        <v>-1.0308999999999999</v>
      </c>
      <c r="AD6622">
        <v>-1.1219113283169999</v>
      </c>
      <c r="AE6622">
        <v>34.452779999999997</v>
      </c>
      <c r="AF6622">
        <v>-1.0046009588268801</v>
      </c>
      <c r="AG6622">
        <v>-1.1219113283169999</v>
      </c>
      <c r="AH6622">
        <v>34.417062720212201</v>
      </c>
      <c r="AI6622">
        <v>91.866245641055301</v>
      </c>
      <c r="AJ6622">
        <v>91.671933976107596</v>
      </c>
      <c r="AK6622">
        <v>34.449994403513401</v>
      </c>
      <c r="AL6622">
        <v>74.490698165762495</v>
      </c>
      <c r="AM6622">
        <v>94.073024287839999</v>
      </c>
      <c r="AN6622">
        <v>0.99999994136067305</v>
      </c>
    </row>
    <row r="6623" spans="1:40" x14ac:dyDescent="0.25">
      <c r="A6623" t="str">
        <f>"20190303162948876"</f>
        <v>20190303162948876</v>
      </c>
      <c r="B6623" t="str">
        <f>"1551601788868394"</f>
        <v>1551601788868394</v>
      </c>
      <c r="C6623" t="s">
        <v>40</v>
      </c>
      <c r="D6623">
        <v>4.3298889999999997</v>
      </c>
      <c r="E6623">
        <v>0.48047060000000003</v>
      </c>
      <c r="F6623" t="s">
        <v>41</v>
      </c>
      <c r="G6623">
        <v>-189.5566</v>
      </c>
      <c r="H6623" s="1">
        <v>-8.3842299999999999E-7</v>
      </c>
      <c r="I6623">
        <v>71.403800000000004</v>
      </c>
      <c r="J6623">
        <v>-188.0309</v>
      </c>
      <c r="K6623">
        <v>1.121939</v>
      </c>
      <c r="L6623">
        <v>28.20093</v>
      </c>
      <c r="M6623">
        <v>-1.107647E-3</v>
      </c>
      <c r="N6623">
        <v>-1.192847E-2</v>
      </c>
      <c r="O6623">
        <v>0.99992820000000004</v>
      </c>
      <c r="P6623">
        <v>-7.2459540000000003E-2</v>
      </c>
      <c r="Q6623">
        <v>0.26068649999999999</v>
      </c>
      <c r="R6623">
        <v>0.96270040000000001</v>
      </c>
      <c r="S6623">
        <v>-0.1096039</v>
      </c>
      <c r="T6623">
        <v>-8.0564140000000006E-2</v>
      </c>
      <c r="U6623">
        <v>3.1248469999999999</v>
      </c>
      <c r="V6623">
        <v>-7.1596129999999994E-2</v>
      </c>
      <c r="W6623">
        <v>0.27209929999999999</v>
      </c>
      <c r="X6623">
        <v>0.95960199999999996</v>
      </c>
      <c r="Y6623">
        <v>-3.3935359999999998E-2</v>
      </c>
      <c r="Z6623">
        <v>-1.383175E-2</v>
      </c>
      <c r="AA6623">
        <v>0.99932829999999995</v>
      </c>
      <c r="AB6623">
        <v>32</v>
      </c>
      <c r="AC6623">
        <v>-1.5257000000000001</v>
      </c>
      <c r="AD6623">
        <v>-1.1219398384229999</v>
      </c>
      <c r="AE6623">
        <v>43.202869999999997</v>
      </c>
      <c r="AF6623">
        <v>-1.47684739081437</v>
      </c>
      <c r="AG6623">
        <v>-1.1219398384229999</v>
      </c>
      <c r="AH6623">
        <v>43.175452536532703</v>
      </c>
      <c r="AI6623">
        <v>91.487660299074193</v>
      </c>
      <c r="AJ6623">
        <v>91.959079502351898</v>
      </c>
      <c r="AK6623">
        <v>43.215269627195198</v>
      </c>
      <c r="AL6623">
        <v>74.210774570385993</v>
      </c>
      <c r="AM6623">
        <v>94.266945665978895</v>
      </c>
      <c r="AN6623">
        <v>1.0000000166477301</v>
      </c>
    </row>
    <row r="6624" spans="1:40" x14ac:dyDescent="0.25">
      <c r="A6624" t="str">
        <f>"20190303162948898"</f>
        <v>20190303162948898</v>
      </c>
      <c r="B6624" t="str">
        <f>"1551601788888890"</f>
        <v>1551601788888890</v>
      </c>
      <c r="C6624" t="s">
        <v>40</v>
      </c>
      <c r="D6624">
        <v>4.2902300000000002</v>
      </c>
      <c r="E6624">
        <v>0.45644259999999898</v>
      </c>
      <c r="F6624" t="s">
        <v>69</v>
      </c>
      <c r="G6624">
        <v>-241.3931</v>
      </c>
      <c r="H6624">
        <v>79.734989999999996</v>
      </c>
      <c r="I6624">
        <v>433.6961</v>
      </c>
      <c r="J6624">
        <v>-188.0317</v>
      </c>
      <c r="K6624">
        <v>1.1219709999999901</v>
      </c>
      <c r="L6624">
        <v>28.51709</v>
      </c>
      <c r="M6624">
        <v>-1.4872119999999999E-3</v>
      </c>
      <c r="N6624">
        <v>-1.19221E-2</v>
      </c>
      <c r="O6624">
        <v>0.99992780000000003</v>
      </c>
      <c r="P6624">
        <v>-7.6594869999999995E-2</v>
      </c>
      <c r="Q6624">
        <v>0.26655050000000002</v>
      </c>
      <c r="R6624">
        <v>0.96077259999999998</v>
      </c>
      <c r="S6624">
        <v>-0.3860016</v>
      </c>
      <c r="T6624">
        <v>0.56865679999999996</v>
      </c>
      <c r="U6624">
        <v>2.9331969999999998</v>
      </c>
      <c r="V6624">
        <v>-7.5373679999999998E-2</v>
      </c>
      <c r="W6624">
        <v>0.27793129999999999</v>
      </c>
      <c r="X6624">
        <v>0.95763929999999997</v>
      </c>
      <c r="Y6624">
        <v>-0.1264863</v>
      </c>
      <c r="Z6624">
        <v>0.20046710000000001</v>
      </c>
      <c r="AA6624">
        <v>0.97150099999999995</v>
      </c>
      <c r="AB6624">
        <v>32</v>
      </c>
      <c r="AC6624">
        <v>-53.361400000000003</v>
      </c>
      <c r="AD6624">
        <v>78.613018999999994</v>
      </c>
      <c r="AE6624">
        <v>405.17901000000001</v>
      </c>
      <c r="AF6624">
        <v>-50.876182514142897</v>
      </c>
      <c r="AG6624">
        <v>78.613018999999994</v>
      </c>
      <c r="AH6624">
        <v>390.79757369858902</v>
      </c>
      <c r="AI6624">
        <v>78.718874534461605</v>
      </c>
      <c r="AJ6624">
        <v>97.417364331798098</v>
      </c>
      <c r="AK6624">
        <v>401.85959776047503</v>
      </c>
      <c r="AL6624">
        <v>73.863223280579604</v>
      </c>
      <c r="AM6624">
        <v>94.500346815537199</v>
      </c>
      <c r="AN6624">
        <v>1.0000000140304599</v>
      </c>
    </row>
    <row r="6625" spans="1:40" x14ac:dyDescent="0.25">
      <c r="A6625" t="str">
        <f>"20190303162948922"</f>
        <v>20190303162948922</v>
      </c>
      <c r="B6625" t="str">
        <f>"1551601788918171"</f>
        <v>1551601788918171</v>
      </c>
      <c r="C6625" t="s">
        <v>40</v>
      </c>
      <c r="D6625">
        <v>4.2808310000000001</v>
      </c>
      <c r="E6625">
        <v>0.43820439999999999</v>
      </c>
      <c r="F6625" t="s">
        <v>45</v>
      </c>
      <c r="G6625">
        <v>0</v>
      </c>
      <c r="H6625">
        <v>0</v>
      </c>
      <c r="I6625">
        <v>0</v>
      </c>
      <c r="J6625">
        <v>-188.0326</v>
      </c>
      <c r="K6625">
        <v>1.121996</v>
      </c>
      <c r="L6625">
        <v>28.842559999999999</v>
      </c>
      <c r="M6625">
        <v>-1.8781620000000001E-3</v>
      </c>
      <c r="N6625">
        <v>-1.191625E-2</v>
      </c>
      <c r="O6625">
        <v>0.99992720000000002</v>
      </c>
      <c r="P6625">
        <v>-8.0539150000000004E-2</v>
      </c>
      <c r="Q6625">
        <v>0.27206540000000001</v>
      </c>
      <c r="R6625">
        <v>0.95890240000000004</v>
      </c>
      <c r="S6625">
        <v>-0.55552669999999904</v>
      </c>
      <c r="T6625">
        <v>1.1230979999999999</v>
      </c>
      <c r="U6625">
        <v>2.7666019999999998</v>
      </c>
      <c r="V6625">
        <v>-7.8949439999999996E-2</v>
      </c>
      <c r="W6625">
        <v>0.283416</v>
      </c>
      <c r="X6625">
        <v>0.95574179999999997</v>
      </c>
      <c r="Y6625">
        <v>-0.180615</v>
      </c>
      <c r="Z6625">
        <v>0.38089269999999997</v>
      </c>
      <c r="AA6625">
        <v>0.90680709999999998</v>
      </c>
      <c r="AB6625">
        <v>32</v>
      </c>
      <c r="AC6625">
        <v>-0.55552669999999904</v>
      </c>
      <c r="AD6625">
        <v>1.1230979999999999</v>
      </c>
      <c r="AE6625">
        <v>2.7666019999999998</v>
      </c>
      <c r="AF6625">
        <v>-0.475074037126757</v>
      </c>
      <c r="AG6625">
        <v>1.1230979999999999</v>
      </c>
      <c r="AH6625">
        <v>2.3891774556574199</v>
      </c>
      <c r="AI6625">
        <v>65.247894418349802</v>
      </c>
      <c r="AJ6625">
        <v>101.246241914729</v>
      </c>
      <c r="AK6625">
        <v>2.68238948942497</v>
      </c>
      <c r="AL6625">
        <v>73.5358117373965</v>
      </c>
      <c r="AM6625">
        <v>94.722219708732396</v>
      </c>
      <c r="AN6625">
        <v>1.0000000156997699</v>
      </c>
    </row>
    <row r="6626" spans="1:40" x14ac:dyDescent="0.25">
      <c r="A6626" t="str">
        <f>"20190303162948946"</f>
        <v>20190303162948946</v>
      </c>
      <c r="B6626" t="str">
        <f>"1551601788938666"</f>
        <v>1551601788938666</v>
      </c>
      <c r="C6626" t="s">
        <v>40</v>
      </c>
      <c r="D6626">
        <v>4.3057349999999897</v>
      </c>
      <c r="E6626">
        <v>0.43729639999999997</v>
      </c>
      <c r="F6626" t="s">
        <v>45</v>
      </c>
      <c r="G6626">
        <v>0</v>
      </c>
      <c r="H6626">
        <v>0</v>
      </c>
      <c r="I6626">
        <v>0</v>
      </c>
      <c r="J6626">
        <v>-188.03370000000001</v>
      </c>
      <c r="K6626">
        <v>1.1220220000000001</v>
      </c>
      <c r="L6626">
        <v>29.19275</v>
      </c>
      <c r="M6626">
        <v>-2.2987179999999999E-3</v>
      </c>
      <c r="N6626">
        <v>-1.1910560000000001E-2</v>
      </c>
      <c r="O6626">
        <v>0.99992639999999999</v>
      </c>
      <c r="P6626">
        <v>-8.3671019999999999E-2</v>
      </c>
      <c r="Q6626">
        <v>0.27688699999999999</v>
      </c>
      <c r="R6626">
        <v>0.95725269999999996</v>
      </c>
      <c r="S6626">
        <v>-0.69493099999999997</v>
      </c>
      <c r="T6626">
        <v>1.398871</v>
      </c>
      <c r="U6626">
        <v>2.6733090000000002</v>
      </c>
      <c r="V6626">
        <v>-8.1685450000000007E-2</v>
      </c>
      <c r="W6626">
        <v>0.28821029999999997</v>
      </c>
      <c r="X6626">
        <v>0.9540767</v>
      </c>
      <c r="Y6626">
        <v>-0.22152350000000001</v>
      </c>
      <c r="Z6626">
        <v>0.46249990000000002</v>
      </c>
      <c r="AA6626">
        <v>0.85849940000000002</v>
      </c>
      <c r="AB6626">
        <v>32</v>
      </c>
      <c r="AC6626">
        <v>-0.69493099999999997</v>
      </c>
      <c r="AD6626">
        <v>1.398871</v>
      </c>
      <c r="AE6626">
        <v>2.6733090000000002</v>
      </c>
      <c r="AF6626">
        <v>-0.54818371030197799</v>
      </c>
      <c r="AG6626">
        <v>1.398871</v>
      </c>
      <c r="AH6626">
        <v>2.1288782884161002</v>
      </c>
      <c r="AI6626">
        <v>57.529965615424501</v>
      </c>
      <c r="AJ6626">
        <v>104.43990330903399</v>
      </c>
      <c r="AK6626">
        <v>2.6056608032840498</v>
      </c>
      <c r="AL6626">
        <v>73.249160747259197</v>
      </c>
      <c r="AM6626">
        <v>94.893574809674206</v>
      </c>
      <c r="AN6626">
        <v>1.00000001962534</v>
      </c>
    </row>
    <row r="6627" spans="1:40" x14ac:dyDescent="0.25">
      <c r="A6627" t="str">
        <f>"20190303162948967"</f>
        <v>20190303162948967</v>
      </c>
      <c r="B6627" t="str">
        <f>"1551601788958187"</f>
        <v>1551601788958187</v>
      </c>
      <c r="C6627" t="s">
        <v>40</v>
      </c>
      <c r="D6627">
        <v>4.3942759999999996</v>
      </c>
      <c r="E6627">
        <v>0.43777109999999902</v>
      </c>
      <c r="F6627" t="s">
        <v>45</v>
      </c>
      <c r="G6627">
        <v>0</v>
      </c>
      <c r="H6627">
        <v>0</v>
      </c>
      <c r="I6627">
        <v>0</v>
      </c>
      <c r="J6627">
        <v>-188.03479999999999</v>
      </c>
      <c r="K6627">
        <v>1.122064</v>
      </c>
      <c r="L6627">
        <v>29.494420000000002</v>
      </c>
      <c r="M6627">
        <v>-2.6612110000000001E-3</v>
      </c>
      <c r="N6627">
        <v>-1.190623E-2</v>
      </c>
      <c r="O6627">
        <v>0.99992559999999997</v>
      </c>
      <c r="P6627">
        <v>-8.5347709999999993E-2</v>
      </c>
      <c r="Q6627">
        <v>0.27928109999999901</v>
      </c>
      <c r="R6627">
        <v>0.95640879999999995</v>
      </c>
      <c r="S6627">
        <v>-0.70881649999999996</v>
      </c>
      <c r="T6627">
        <v>1.4595849999999999</v>
      </c>
      <c r="U6627">
        <v>2.6498409999999999</v>
      </c>
      <c r="V6627">
        <v>-8.3019629999999997E-2</v>
      </c>
      <c r="W6627">
        <v>0.29058919999999999</v>
      </c>
      <c r="X6627">
        <v>0.95323959999999996</v>
      </c>
      <c r="Y6627">
        <v>-0.2248068</v>
      </c>
      <c r="Z6627">
        <v>0.4803519</v>
      </c>
      <c r="AA6627">
        <v>0.84777590000000003</v>
      </c>
      <c r="AB6627">
        <v>32</v>
      </c>
      <c r="AC6627">
        <v>-0.70881649999999996</v>
      </c>
      <c r="AD6627">
        <v>1.4595849999999999</v>
      </c>
      <c r="AE6627">
        <v>2.6498409999999999</v>
      </c>
      <c r="AF6627">
        <v>-0.546908510390123</v>
      </c>
      <c r="AG6627">
        <v>1.4595849999999999</v>
      </c>
      <c r="AH6627">
        <v>2.0665806721264</v>
      </c>
      <c r="AI6627">
        <v>55.675708561211003</v>
      </c>
      <c r="AJ6627">
        <v>104.823175171104</v>
      </c>
      <c r="AK6627">
        <v>2.58848468517172</v>
      </c>
      <c r="AL6627">
        <v>73.106766816800103</v>
      </c>
      <c r="AM6627">
        <v>94.977449892028702</v>
      </c>
      <c r="AN6627">
        <v>1.00000003856506</v>
      </c>
    </row>
    <row r="6628" spans="1:40" x14ac:dyDescent="0.25">
      <c r="A6628" t="str">
        <f>"20190303162948988"</f>
        <v>20190303162948988</v>
      </c>
      <c r="B6628" t="str">
        <f>"1551601788978683"</f>
        <v>1551601788978683</v>
      </c>
      <c r="C6628" t="s">
        <v>40</v>
      </c>
      <c r="D6628">
        <v>4.4070960000000001</v>
      </c>
      <c r="E6628">
        <v>0.43858249999999999</v>
      </c>
      <c r="F6628" t="s">
        <v>45</v>
      </c>
      <c r="G6628">
        <v>0</v>
      </c>
      <c r="H6628">
        <v>0</v>
      </c>
      <c r="I6628">
        <v>0</v>
      </c>
      <c r="J6628">
        <v>-188.0359</v>
      </c>
      <c r="K6628">
        <v>1.1220939999999999</v>
      </c>
      <c r="L6628">
        <v>29.781890000000001</v>
      </c>
      <c r="M6628">
        <v>-3.006632E-3</v>
      </c>
      <c r="N6628">
        <v>-1.1902660000000001E-2</v>
      </c>
      <c r="O6628">
        <v>0.9999247</v>
      </c>
      <c r="P6628">
        <v>-8.6578589999999997E-2</v>
      </c>
      <c r="Q6628">
        <v>0.28325440000000002</v>
      </c>
      <c r="R6628">
        <v>0.9551288</v>
      </c>
      <c r="S6628">
        <v>-0.70927430000000002</v>
      </c>
      <c r="T6628">
        <v>1.4800260000000001</v>
      </c>
      <c r="U6628">
        <v>2.6412659999999999</v>
      </c>
      <c r="V6628">
        <v>-8.392695E-2</v>
      </c>
      <c r="W6628">
        <v>0.29454340000000001</v>
      </c>
      <c r="X6628">
        <v>0.95194559999999995</v>
      </c>
      <c r="Y6628">
        <v>-0.22442580000000001</v>
      </c>
      <c r="Z6628">
        <v>0.4865294</v>
      </c>
      <c r="AA6628">
        <v>0.84434719999999996</v>
      </c>
      <c r="AB6628">
        <v>32</v>
      </c>
      <c r="AC6628">
        <v>-0.70927430000000002</v>
      </c>
      <c r="AD6628">
        <v>1.4800260000000001</v>
      </c>
      <c r="AE6628">
        <v>2.6412659999999999</v>
      </c>
      <c r="AF6628">
        <v>-0.54245930869677506</v>
      </c>
      <c r="AG6628">
        <v>1.4800260000000001</v>
      </c>
      <c r="AH6628">
        <v>2.0445886300928899</v>
      </c>
      <c r="AI6628">
        <v>55.0207488145791</v>
      </c>
      <c r="AJ6628">
        <v>104.85907069859</v>
      </c>
      <c r="AK6628">
        <v>2.58168195728538</v>
      </c>
      <c r="AL6628">
        <v>72.869840095485799</v>
      </c>
      <c r="AM6628">
        <v>95.038374941377299</v>
      </c>
      <c r="AN6628">
        <v>0.99999998638961096</v>
      </c>
    </row>
    <row r="6629" spans="1:40" x14ac:dyDescent="0.25">
      <c r="A6629" t="str">
        <f>"20190303162949010"</f>
        <v>20190303162949010</v>
      </c>
      <c r="B6629" t="str">
        <f>"1551601788998201"</f>
        <v>1551601788998201</v>
      </c>
      <c r="C6629" t="s">
        <v>40</v>
      </c>
      <c r="D6629">
        <v>4.3963099999999997</v>
      </c>
      <c r="E6629">
        <v>0.43912820000000002</v>
      </c>
      <c r="F6629" t="s">
        <v>45</v>
      </c>
      <c r="G6629">
        <v>0</v>
      </c>
      <c r="H6629">
        <v>0</v>
      </c>
      <c r="I6629">
        <v>0</v>
      </c>
      <c r="J6629">
        <v>-188.03729999999999</v>
      </c>
      <c r="K6629">
        <v>1.1221399999999999</v>
      </c>
      <c r="L6629">
        <v>30.096889999999998</v>
      </c>
      <c r="M6629">
        <v>-3.3851789999999999E-3</v>
      </c>
      <c r="N6629">
        <v>-1.189924E-2</v>
      </c>
      <c r="O6629">
        <v>0.99992349999999997</v>
      </c>
      <c r="P6629">
        <v>-8.7904419999999997E-2</v>
      </c>
      <c r="Q6629">
        <v>0.2918</v>
      </c>
      <c r="R6629">
        <v>0.95243140000000004</v>
      </c>
      <c r="S6629">
        <v>-0.70660400000000001</v>
      </c>
      <c r="T6629">
        <v>1.4943649999999999</v>
      </c>
      <c r="U6629">
        <v>2.6337280000000001</v>
      </c>
      <c r="V6629">
        <v>-8.4906919999999997E-2</v>
      </c>
      <c r="W6629">
        <v>0.30305290000000001</v>
      </c>
      <c r="X6629">
        <v>0.94918380000000002</v>
      </c>
      <c r="Y6629">
        <v>-0.22320280000000001</v>
      </c>
      <c r="Z6629">
        <v>0.49115110000000001</v>
      </c>
      <c r="AA6629">
        <v>0.84199230000000003</v>
      </c>
      <c r="AB6629">
        <v>32</v>
      </c>
      <c r="AC6629">
        <v>-0.70660400000000001</v>
      </c>
      <c r="AD6629">
        <v>1.4943649999999999</v>
      </c>
      <c r="AE6629">
        <v>2.6337280000000001</v>
      </c>
      <c r="AF6629">
        <v>-0.53654748140234398</v>
      </c>
      <c r="AG6629">
        <v>1.4943649999999999</v>
      </c>
      <c r="AH6629">
        <v>2.0272733501458799</v>
      </c>
      <c r="AI6629">
        <v>54.526510977715098</v>
      </c>
      <c r="AJ6629">
        <v>104.824269290513</v>
      </c>
      <c r="AK6629">
        <v>2.57504314317953</v>
      </c>
      <c r="AL6629">
        <v>72.358941207459793</v>
      </c>
      <c r="AM6629">
        <v>95.111649012764005</v>
      </c>
      <c r="AN6629">
        <v>1.00000006572236</v>
      </c>
    </row>
    <row r="6630" spans="1:40" x14ac:dyDescent="0.25">
      <c r="A6630" t="str">
        <f>"20190303162949032"</f>
        <v>20190303162949032</v>
      </c>
      <c r="B6630" t="str">
        <f>"1551601789028458"</f>
        <v>1551601789028458</v>
      </c>
      <c r="C6630" t="s">
        <v>40</v>
      </c>
      <c r="D6630">
        <v>4.4215980000000004</v>
      </c>
      <c r="E6630">
        <v>0.44037100000000001</v>
      </c>
      <c r="F6630" t="s">
        <v>45</v>
      </c>
      <c r="G6630">
        <v>0</v>
      </c>
      <c r="H6630">
        <v>0</v>
      </c>
      <c r="I6630">
        <v>0</v>
      </c>
      <c r="J6630">
        <v>-188.03870000000001</v>
      </c>
      <c r="K6630">
        <v>1.1221920000000001</v>
      </c>
      <c r="L6630">
        <v>30.401250000000001</v>
      </c>
      <c r="M6630">
        <v>-3.7510719999999998E-3</v>
      </c>
      <c r="N6630">
        <v>-1.18964E-2</v>
      </c>
      <c r="O6630">
        <v>0.99992219999999998</v>
      </c>
      <c r="P6630">
        <v>-8.8847120000000002E-2</v>
      </c>
      <c r="Q6630">
        <v>0.30427700000000002</v>
      </c>
      <c r="R6630">
        <v>0.94843120000000003</v>
      </c>
      <c r="S6630">
        <v>-0.70634459999999999</v>
      </c>
      <c r="T6630">
        <v>1.518716</v>
      </c>
      <c r="U6630">
        <v>2.619354</v>
      </c>
      <c r="V6630">
        <v>-8.5524810000000007E-2</v>
      </c>
      <c r="W6630">
        <v>0.3154785</v>
      </c>
      <c r="X6630">
        <v>0.94507079999999999</v>
      </c>
      <c r="Y6630">
        <v>-0.2227788</v>
      </c>
      <c r="Z6630">
        <v>0.4990135</v>
      </c>
      <c r="AA6630">
        <v>0.83746949999999998</v>
      </c>
      <c r="AB6630">
        <v>32</v>
      </c>
      <c r="AC6630">
        <v>-0.70634459999999999</v>
      </c>
      <c r="AD6630">
        <v>1.518716</v>
      </c>
      <c r="AE6630">
        <v>2.619354</v>
      </c>
      <c r="AF6630">
        <v>-0.53031917832238695</v>
      </c>
      <c r="AG6630">
        <v>1.518716</v>
      </c>
      <c r="AH6630">
        <v>1.99635612965236</v>
      </c>
      <c r="AI6630">
        <v>53.675023117171897</v>
      </c>
      <c r="AJ6630">
        <v>104.876676098934</v>
      </c>
      <c r="AK6630">
        <v>2.5638202971255799</v>
      </c>
      <c r="AL6630">
        <v>71.610297132465405</v>
      </c>
      <c r="AM6630">
        <v>95.170934602715803</v>
      </c>
      <c r="AN6630">
        <v>0.99999999705021203</v>
      </c>
    </row>
    <row r="6631" spans="1:40" x14ac:dyDescent="0.25">
      <c r="A6631" t="str">
        <f>"20190303162949055"</f>
        <v>20190303162949055</v>
      </c>
      <c r="B6631" t="str">
        <f>"1551601789048954"</f>
        <v>1551601789048954</v>
      </c>
      <c r="C6631" t="s">
        <v>40</v>
      </c>
      <c r="D6631">
        <v>4.3321699999999996</v>
      </c>
      <c r="E6631">
        <v>0.44119599999999998</v>
      </c>
      <c r="F6631" t="s">
        <v>45</v>
      </c>
      <c r="G6631">
        <v>0</v>
      </c>
      <c r="H6631">
        <v>0</v>
      </c>
      <c r="I6631">
        <v>0</v>
      </c>
      <c r="J6631">
        <v>-188.04040000000001</v>
      </c>
      <c r="K6631">
        <v>1.1222289999999999</v>
      </c>
      <c r="L6631">
        <v>30.734500000000001</v>
      </c>
      <c r="M6631">
        <v>-4.1515270000000003E-3</v>
      </c>
      <c r="N6631">
        <v>-1.189375E-2</v>
      </c>
      <c r="O6631">
        <v>0.9999207</v>
      </c>
      <c r="P6631">
        <v>-8.9659909999999995E-2</v>
      </c>
      <c r="Q6631">
        <v>0.31555080000000002</v>
      </c>
      <c r="R6631">
        <v>0.94466329999999998</v>
      </c>
      <c r="S6631">
        <v>-0.69956969999999996</v>
      </c>
      <c r="T6631">
        <v>1.5497650000000001</v>
      </c>
      <c r="U6631">
        <v>2.6003720000000001</v>
      </c>
      <c r="V6631">
        <v>-8.5982039999999996E-2</v>
      </c>
      <c r="W6631">
        <v>0.32670399999999999</v>
      </c>
      <c r="X6631">
        <v>0.94120749999999997</v>
      </c>
      <c r="Y6631">
        <v>-0.22035199999999999</v>
      </c>
      <c r="Z6631">
        <v>0.50929629999999904</v>
      </c>
      <c r="AA6631">
        <v>0.8319029</v>
      </c>
      <c r="AB6631">
        <v>32</v>
      </c>
      <c r="AC6631">
        <v>-0.69956969999999996</v>
      </c>
      <c r="AD6631">
        <v>1.5497650000000001</v>
      </c>
      <c r="AE6631">
        <v>2.6003720000000001</v>
      </c>
      <c r="AF6631">
        <v>-0.51739640622060101</v>
      </c>
      <c r="AG6631">
        <v>1.5497650000000001</v>
      </c>
      <c r="AH6631">
        <v>1.9555430718303599</v>
      </c>
      <c r="AI6631">
        <v>52.542959073309298</v>
      </c>
      <c r="AJ6631">
        <v>104.819707212878</v>
      </c>
      <c r="AK6631">
        <v>2.54825809175184</v>
      </c>
      <c r="AL6631">
        <v>70.931156412674497</v>
      </c>
      <c r="AM6631">
        <v>95.219648179753904</v>
      </c>
      <c r="AN6631">
        <v>0.99999998643740495</v>
      </c>
    </row>
    <row r="6632" spans="1:40" x14ac:dyDescent="0.25">
      <c r="A6632" t="str">
        <f>"20190303162949076"</f>
        <v>20190303162949076</v>
      </c>
      <c r="B6632" t="str">
        <f>"1551601789068474"</f>
        <v>1551601789068474</v>
      </c>
      <c r="C6632" t="s">
        <v>40</v>
      </c>
      <c r="D6632">
        <v>4.3193330000000003</v>
      </c>
      <c r="E6632">
        <v>0.44223760000000001</v>
      </c>
      <c r="F6632" t="s">
        <v>45</v>
      </c>
      <c r="G6632">
        <v>0</v>
      </c>
      <c r="H6632">
        <v>0</v>
      </c>
      <c r="I6632">
        <v>0</v>
      </c>
      <c r="J6632">
        <v>-188.042</v>
      </c>
      <c r="K6632">
        <v>1.122252</v>
      </c>
      <c r="L6632">
        <v>31.036439999999999</v>
      </c>
      <c r="M6632">
        <v>-4.5141870000000002E-3</v>
      </c>
      <c r="N6632">
        <v>-1.1891799999999999E-2</v>
      </c>
      <c r="O6632">
        <v>0.99991909999999895</v>
      </c>
      <c r="P6632">
        <v>-9.0058979999999997E-2</v>
      </c>
      <c r="Q6632">
        <v>0.32352300000000001</v>
      </c>
      <c r="R6632">
        <v>0.94192480000000001</v>
      </c>
      <c r="S6632">
        <v>-0.6961212</v>
      </c>
      <c r="T6632">
        <v>1.577501</v>
      </c>
      <c r="U6632">
        <v>2.5827330000000002</v>
      </c>
      <c r="V6632">
        <v>-8.6056129999999995E-2</v>
      </c>
      <c r="W6632">
        <v>0.33464169999999999</v>
      </c>
      <c r="X6632">
        <v>0.93840780000000001</v>
      </c>
      <c r="Y6632">
        <v>-0.21898529999999999</v>
      </c>
      <c r="Z6632">
        <v>0.51843130000000004</v>
      </c>
      <c r="AA6632">
        <v>0.82660409999999995</v>
      </c>
      <c r="AB6632">
        <v>32</v>
      </c>
      <c r="AC6632">
        <v>-0.6961212</v>
      </c>
      <c r="AD6632">
        <v>1.577501</v>
      </c>
      <c r="AE6632">
        <v>2.5827330000000002</v>
      </c>
      <c r="AF6632">
        <v>-0.50783250140024605</v>
      </c>
      <c r="AG6632">
        <v>1.577501</v>
      </c>
      <c r="AH6632">
        <v>1.9185769597554301</v>
      </c>
      <c r="AI6632">
        <v>51.520517597055601</v>
      </c>
      <c r="AJ6632">
        <v>104.82575140824601</v>
      </c>
      <c r="AK6632">
        <v>2.5352200703260102</v>
      </c>
      <c r="AL6632">
        <v>70.449247841140703</v>
      </c>
      <c r="AM6632">
        <v>95.239620352990499</v>
      </c>
      <c r="AN6632">
        <v>0.99999996199515195</v>
      </c>
    </row>
    <row r="6633" spans="1:40" x14ac:dyDescent="0.25">
      <c r="A6633" t="str">
        <f>"20190303162949099"</f>
        <v>20190303162949099</v>
      </c>
      <c r="B6633" t="str">
        <f>"1551601789088969"</f>
        <v>1551601789088969</v>
      </c>
      <c r="C6633" t="s">
        <v>40</v>
      </c>
      <c r="D6633">
        <v>4.3693179999999998</v>
      </c>
      <c r="E6633">
        <v>0.44358330000000001</v>
      </c>
      <c r="F6633" t="s">
        <v>45</v>
      </c>
      <c r="G6633">
        <v>0</v>
      </c>
      <c r="H6633">
        <v>0</v>
      </c>
      <c r="I6633">
        <v>0</v>
      </c>
      <c r="J6633">
        <v>-188.04390000000001</v>
      </c>
      <c r="K6633">
        <v>1.122269</v>
      </c>
      <c r="L6633">
        <v>31.360690000000002</v>
      </c>
      <c r="M6633">
        <v>-4.9023440000000003E-3</v>
      </c>
      <c r="N6633">
        <v>-1.1890080000000001E-2</v>
      </c>
      <c r="O6633">
        <v>0.99991730000000001</v>
      </c>
      <c r="P6633">
        <v>-8.9294579999999998E-2</v>
      </c>
      <c r="Q6633">
        <v>0.3300363</v>
      </c>
      <c r="R6633">
        <v>0.9397354</v>
      </c>
      <c r="S6633">
        <v>-0.68914790000000004</v>
      </c>
      <c r="T6633">
        <v>1.595955</v>
      </c>
      <c r="U6633">
        <v>2.5709230000000001</v>
      </c>
      <c r="V6633">
        <v>-8.4941790000000003E-2</v>
      </c>
      <c r="W6633">
        <v>0.34112809999999999</v>
      </c>
      <c r="X6633">
        <v>0.93617119999999998</v>
      </c>
      <c r="Y6633">
        <v>-0.21649299999999999</v>
      </c>
      <c r="Z6633">
        <v>0.52466959999999996</v>
      </c>
      <c r="AA6633">
        <v>0.82331799999999999</v>
      </c>
      <c r="AB6633">
        <v>32</v>
      </c>
      <c r="AC6633">
        <v>-0.68914790000000004</v>
      </c>
      <c r="AD6633">
        <v>1.595955</v>
      </c>
      <c r="AE6633">
        <v>2.5709230000000001</v>
      </c>
      <c r="AF6633">
        <v>-0.49762653412865898</v>
      </c>
      <c r="AG6633">
        <v>1.595955</v>
      </c>
      <c r="AH6633">
        <v>1.89350899799161</v>
      </c>
      <c r="AI6633">
        <v>50.813948086217103</v>
      </c>
      <c r="AJ6633">
        <v>104.724733497081</v>
      </c>
      <c r="AK6633">
        <v>2.5258821934067099</v>
      </c>
      <c r="AL6633">
        <v>70.054381120773499</v>
      </c>
      <c r="AM6633">
        <v>95.184432410963197</v>
      </c>
      <c r="AN6633">
        <v>1.0000000020037201</v>
      </c>
    </row>
    <row r="6634" spans="1:40" x14ac:dyDescent="0.25">
      <c r="A6634" t="str">
        <f>"20190303162949121"</f>
        <v>20190303162949121</v>
      </c>
      <c r="B6634" t="str">
        <f>"1551601789118250"</f>
        <v>1551601789118250</v>
      </c>
      <c r="C6634" t="s">
        <v>40</v>
      </c>
      <c r="D6634">
        <v>4.2894839999999999</v>
      </c>
      <c r="E6634">
        <v>0.44536160000000002</v>
      </c>
      <c r="F6634" t="s">
        <v>45</v>
      </c>
      <c r="G6634">
        <v>0</v>
      </c>
      <c r="H6634">
        <v>0</v>
      </c>
      <c r="I6634">
        <v>0</v>
      </c>
      <c r="J6634">
        <v>-188.04580000000001</v>
      </c>
      <c r="K6634">
        <v>1.1222760000000001</v>
      </c>
      <c r="L6634">
        <v>31.66733</v>
      </c>
      <c r="M6634">
        <v>-5.2671109999999997E-3</v>
      </c>
      <c r="N6634">
        <v>-1.1888650000000001E-2</v>
      </c>
      <c r="O6634">
        <v>0.99991549999999996</v>
      </c>
      <c r="P6634">
        <v>-8.8379020000000003E-2</v>
      </c>
      <c r="Q6634">
        <v>0.33610119999999999</v>
      </c>
      <c r="R6634">
        <v>0.93767009999999995</v>
      </c>
      <c r="S6634">
        <v>-0.67532349999999997</v>
      </c>
      <c r="T6634">
        <v>1.618276</v>
      </c>
      <c r="U6634">
        <v>2.5598749999999999</v>
      </c>
      <c r="V6634">
        <v>-8.369733E-2</v>
      </c>
      <c r="W6634">
        <v>0.34716809999999998</v>
      </c>
      <c r="X6634">
        <v>0.93406049999999996</v>
      </c>
      <c r="Y6634">
        <v>-0.2117232</v>
      </c>
      <c r="Z6634">
        <v>0.53193000000000001</v>
      </c>
      <c r="AA6634">
        <v>0.81989259999999997</v>
      </c>
      <c r="AB6634">
        <v>32</v>
      </c>
      <c r="AC6634">
        <v>-0.67532349999999997</v>
      </c>
      <c r="AD6634">
        <v>1.618276</v>
      </c>
      <c r="AE6634">
        <v>2.5598749999999999</v>
      </c>
      <c r="AF6634">
        <v>-0.48180917139708801</v>
      </c>
      <c r="AG6634">
        <v>1.618276</v>
      </c>
      <c r="AH6634">
        <v>1.86614084946506</v>
      </c>
      <c r="AI6634">
        <v>49.981694960457602</v>
      </c>
      <c r="AJ6634">
        <v>104.47675447487499</v>
      </c>
      <c r="AK6634">
        <v>2.5166324641990401</v>
      </c>
      <c r="AL6634">
        <v>69.685798512282602</v>
      </c>
      <c r="AM6634">
        <v>95.120364827869494</v>
      </c>
      <c r="AN6634">
        <v>0.99999997518349404</v>
      </c>
    </row>
    <row r="6635" spans="1:40" x14ac:dyDescent="0.25">
      <c r="A6635" t="str">
        <f>"20190303162949143"</f>
        <v>20190303162949143</v>
      </c>
      <c r="B6635" t="str">
        <f>"1551601789138745"</f>
        <v>1551601789138745</v>
      </c>
      <c r="C6635" t="s">
        <v>40</v>
      </c>
      <c r="D6635">
        <v>4.3120649999999996</v>
      </c>
      <c r="E6635">
        <v>0.44628869999999998</v>
      </c>
      <c r="F6635" t="s">
        <v>45</v>
      </c>
      <c r="G6635">
        <v>0</v>
      </c>
      <c r="H6635">
        <v>0</v>
      </c>
      <c r="I6635">
        <v>0</v>
      </c>
      <c r="J6635">
        <v>-188.0478</v>
      </c>
      <c r="K6635">
        <v>1.1222810000000001</v>
      </c>
      <c r="L6635">
        <v>31.976410000000001</v>
      </c>
      <c r="M6635">
        <v>-5.6307569999999897E-3</v>
      </c>
      <c r="N6635">
        <v>-1.1887419999999999E-2</v>
      </c>
      <c r="O6635">
        <v>0.99991350000000001</v>
      </c>
      <c r="P6635">
        <v>-8.701536E-2</v>
      </c>
      <c r="Q6635">
        <v>0.34058329999999998</v>
      </c>
      <c r="R6635">
        <v>0.93617919999999999</v>
      </c>
      <c r="S6635">
        <v>-0.65718080000000001</v>
      </c>
      <c r="T6635">
        <v>1.6430979999999999</v>
      </c>
      <c r="U6635">
        <v>2.5485229999999999</v>
      </c>
      <c r="V6635">
        <v>-8.2002259999999993E-2</v>
      </c>
      <c r="W6635">
        <v>0.35163329999999998</v>
      </c>
      <c r="X6635">
        <v>0.93253929999999996</v>
      </c>
      <c r="Y6635">
        <v>-0.2055342</v>
      </c>
      <c r="Z6635">
        <v>0.53991959999999894</v>
      </c>
      <c r="AA6635">
        <v>0.81623690000000004</v>
      </c>
      <c r="AB6635">
        <v>32</v>
      </c>
      <c r="AC6635">
        <v>-0.65718080000000001</v>
      </c>
      <c r="AD6635">
        <v>1.6430979999999999</v>
      </c>
      <c r="AE6635">
        <v>2.5485229999999999</v>
      </c>
      <c r="AF6635">
        <v>-0.46254169773117099</v>
      </c>
      <c r="AG6635">
        <v>1.6430979999999999</v>
      </c>
      <c r="AH6635">
        <v>1.83642786376249</v>
      </c>
      <c r="AI6635">
        <v>49.054189565586</v>
      </c>
      <c r="AJ6635">
        <v>104.13705753141301</v>
      </c>
      <c r="AK6635">
        <v>2.5072261881504199</v>
      </c>
      <c r="AL6635">
        <v>69.412751241226005</v>
      </c>
      <c r="AM6635">
        <v>95.025342387839601</v>
      </c>
      <c r="AN6635">
        <v>0.99999994717924201</v>
      </c>
    </row>
    <row r="6636" spans="1:40" x14ac:dyDescent="0.25">
      <c r="A6636" t="str">
        <f>"20190303162949168"</f>
        <v>20190303162949168</v>
      </c>
      <c r="B6636" t="str">
        <f>"1551601789158266"</f>
        <v>1551601789158266</v>
      </c>
      <c r="C6636" t="s">
        <v>40</v>
      </c>
      <c r="D6636">
        <v>6.2127780000000001</v>
      </c>
      <c r="E6636">
        <v>0.44674160000000002</v>
      </c>
      <c r="F6636" t="s">
        <v>45</v>
      </c>
      <c r="G6636">
        <v>0</v>
      </c>
      <c r="H6636">
        <v>0</v>
      </c>
      <c r="I6636">
        <v>0</v>
      </c>
      <c r="J6636">
        <v>-188.05019999999999</v>
      </c>
      <c r="K6636">
        <v>1.122288</v>
      </c>
      <c r="L6636">
        <v>32.32394</v>
      </c>
      <c r="M6636">
        <v>-6.0340380000000002E-3</v>
      </c>
      <c r="N6636">
        <v>-1.188637E-2</v>
      </c>
      <c r="O6636">
        <v>0.99991110000000005</v>
      </c>
      <c r="P6636">
        <v>-8.5096699999999997E-2</v>
      </c>
      <c r="Q6636">
        <v>0.3433175</v>
      </c>
      <c r="R6636">
        <v>0.93535639999999998</v>
      </c>
      <c r="S6636">
        <v>-0.64474489999999995</v>
      </c>
      <c r="T6636">
        <v>1.6585939999999999</v>
      </c>
      <c r="U6636">
        <v>2.5411990000000002</v>
      </c>
      <c r="V6636">
        <v>-7.9709260000000004E-2</v>
      </c>
      <c r="W6636">
        <v>0.35435919999999999</v>
      </c>
      <c r="X6636">
        <v>0.93170600000000003</v>
      </c>
      <c r="Y6636">
        <v>-0.201157</v>
      </c>
      <c r="Z6636">
        <v>0.54495819999999995</v>
      </c>
      <c r="AA6636">
        <v>0.81397569999999997</v>
      </c>
      <c r="AB6636">
        <v>32</v>
      </c>
      <c r="AC6636">
        <v>-0.64474489999999995</v>
      </c>
      <c r="AD6636">
        <v>1.6585939999999999</v>
      </c>
      <c r="AE6636">
        <v>2.5411990000000002</v>
      </c>
      <c r="AF6636">
        <v>-0.44949653030310199</v>
      </c>
      <c r="AG6636">
        <v>1.6585939999999999</v>
      </c>
      <c r="AH6636">
        <v>1.81758996196974</v>
      </c>
      <c r="AI6636">
        <v>48.464281994941302</v>
      </c>
      <c r="AJ6636">
        <v>103.89074660007699</v>
      </c>
      <c r="AK6636">
        <v>2.5013225416654401</v>
      </c>
      <c r="AL6636">
        <v>69.245824512852593</v>
      </c>
      <c r="AM6636">
        <v>94.889858698652503</v>
      </c>
      <c r="AN6636">
        <v>1.00000003959519</v>
      </c>
    </row>
    <row r="6637" spans="1:40" x14ac:dyDescent="0.25">
      <c r="A6637" t="str">
        <f>"20190303162949191"</f>
        <v>20190303162949191</v>
      </c>
      <c r="B6637" t="str">
        <f>"1551601789178762"</f>
        <v>1551601789178762</v>
      </c>
      <c r="C6637" t="s">
        <v>40</v>
      </c>
      <c r="D6637">
        <v>4.2966699999999998</v>
      </c>
      <c r="E6637">
        <v>0.44757010000000003</v>
      </c>
      <c r="F6637" t="s">
        <v>45</v>
      </c>
      <c r="G6637">
        <v>0</v>
      </c>
      <c r="H6637">
        <v>0</v>
      </c>
      <c r="I6637">
        <v>0</v>
      </c>
      <c r="J6637">
        <v>-188.05250000000001</v>
      </c>
      <c r="K6637">
        <v>1.1222840000000001</v>
      </c>
      <c r="L6637">
        <v>32.652619999999999</v>
      </c>
      <c r="M6637">
        <v>-6.411473E-3</v>
      </c>
      <c r="N6637">
        <v>-1.1885649999999999E-2</v>
      </c>
      <c r="O6637">
        <v>0.99990880000000004</v>
      </c>
      <c r="P6637">
        <v>-8.3398719999999996E-2</v>
      </c>
      <c r="Q6637">
        <v>0.34401710000000002</v>
      </c>
      <c r="R6637">
        <v>0.93525230000000004</v>
      </c>
      <c r="S6637">
        <v>-0.63505549999999999</v>
      </c>
      <c r="T6637">
        <v>1.6658770000000001</v>
      </c>
      <c r="U6637">
        <v>2.538116</v>
      </c>
      <c r="V6637">
        <v>-7.7656249999999996E-2</v>
      </c>
      <c r="W6637">
        <v>0.35505920000000002</v>
      </c>
      <c r="X6637">
        <v>0.93161280000000002</v>
      </c>
      <c r="Y6637">
        <v>-0.19770769999999999</v>
      </c>
      <c r="Z6637">
        <v>0.54741059999999997</v>
      </c>
      <c r="AA6637">
        <v>0.81317479999999998</v>
      </c>
      <c r="AB6637">
        <v>32</v>
      </c>
      <c r="AC6637">
        <v>-0.63505549999999999</v>
      </c>
      <c r="AD6637">
        <v>1.6658770000000001</v>
      </c>
      <c r="AE6637">
        <v>2.538116</v>
      </c>
      <c r="AF6637">
        <v>-0.440276798443269</v>
      </c>
      <c r="AG6637">
        <v>1.6658770000000001</v>
      </c>
      <c r="AH6637">
        <v>1.8088249044793401</v>
      </c>
      <c r="AI6637">
        <v>48.176376469861999</v>
      </c>
      <c r="AJ6637">
        <v>103.68005025693201</v>
      </c>
      <c r="AK6637">
        <v>2.49816680256566</v>
      </c>
      <c r="AL6637">
        <v>69.202926668765301</v>
      </c>
      <c r="AM6637">
        <v>94.764976232810199</v>
      </c>
      <c r="AN6637">
        <v>0.99999996889626996</v>
      </c>
    </row>
    <row r="6638" spans="1:40" x14ac:dyDescent="0.25">
      <c r="A6638" t="str">
        <f>"20190303162949210"</f>
        <v>20190303162949210</v>
      </c>
      <c r="B6638" t="str">
        <f>"1551601789198282"</f>
        <v>1551601789198282</v>
      </c>
      <c r="C6638" t="s">
        <v>40</v>
      </c>
      <c r="D6638">
        <v>4.2456969999999998</v>
      </c>
      <c r="E6638">
        <v>0.44825900000000002</v>
      </c>
      <c r="F6638" t="s">
        <v>45</v>
      </c>
      <c r="G6638">
        <v>0</v>
      </c>
      <c r="H6638">
        <v>0</v>
      </c>
      <c r="I6638">
        <v>0</v>
      </c>
      <c r="J6638">
        <v>-188.05459999999999</v>
      </c>
      <c r="K6638">
        <v>1.122282</v>
      </c>
      <c r="L6638">
        <v>32.929109999999902</v>
      </c>
      <c r="M6638">
        <v>-6.7264489999999998E-3</v>
      </c>
      <c r="N6638">
        <v>-1.188518E-2</v>
      </c>
      <c r="O6638">
        <v>0.99990670000000004</v>
      </c>
      <c r="P6638">
        <v>-8.1789239999999999E-2</v>
      </c>
      <c r="Q6638">
        <v>0.34500130000000001</v>
      </c>
      <c r="R6638">
        <v>0.93503190000000003</v>
      </c>
      <c r="S6638">
        <v>-0.62429809999999997</v>
      </c>
      <c r="T6638">
        <v>1.6671959999999999</v>
      </c>
      <c r="U6638">
        <v>2.5387879999999998</v>
      </c>
      <c r="V6638">
        <v>-7.5752470000000002E-2</v>
      </c>
      <c r="W6638">
        <v>0.35604229999999998</v>
      </c>
      <c r="X6638">
        <v>0.93139430000000001</v>
      </c>
      <c r="Y6638">
        <v>-0.19399710000000001</v>
      </c>
      <c r="Z6638">
        <v>0.54800260000000001</v>
      </c>
      <c r="AA6638">
        <v>0.81366959999999999</v>
      </c>
      <c r="AB6638">
        <v>32</v>
      </c>
      <c r="AC6638">
        <v>-0.62429809999999997</v>
      </c>
      <c r="AD6638">
        <v>1.6671959999999999</v>
      </c>
      <c r="AE6638">
        <v>2.5387879999999998</v>
      </c>
      <c r="AF6638">
        <v>-0.4316674498559</v>
      </c>
      <c r="AG6638">
        <v>1.6671959999999999</v>
      </c>
      <c r="AH6638">
        <v>1.80778953036473</v>
      </c>
      <c r="AI6638">
        <v>48.107540299725699</v>
      </c>
      <c r="AJ6638">
        <v>103.42972508051299</v>
      </c>
      <c r="AK6638">
        <v>2.4967943999811899</v>
      </c>
      <c r="AL6638">
        <v>69.142660825609795</v>
      </c>
      <c r="AM6638">
        <v>94.649764707388002</v>
      </c>
      <c r="AN6638">
        <v>0.99999994908643897</v>
      </c>
    </row>
    <row r="6639" spans="1:40" x14ac:dyDescent="0.25">
      <c r="A6639" t="str">
        <f>"20190303162949232"</f>
        <v>20190303162949232</v>
      </c>
      <c r="B6639" t="str">
        <f>"1551601789228537"</f>
        <v>1551601789228537</v>
      </c>
      <c r="C6639" t="s">
        <v>40</v>
      </c>
      <c r="D6639">
        <v>4.2465210000000004</v>
      </c>
      <c r="E6639">
        <v>0.4490613</v>
      </c>
      <c r="F6639" t="s">
        <v>45</v>
      </c>
      <c r="G6639">
        <v>0</v>
      </c>
      <c r="H6639">
        <v>0</v>
      </c>
      <c r="I6639">
        <v>0</v>
      </c>
      <c r="J6639">
        <v>-188.05709999999999</v>
      </c>
      <c r="K6639">
        <v>1.1222859999999999</v>
      </c>
      <c r="L6639">
        <v>33.23312</v>
      </c>
      <c r="M6639">
        <v>-7.0703559999999999E-3</v>
      </c>
      <c r="N6639">
        <v>-1.1884820000000001E-2</v>
      </c>
      <c r="O6639">
        <v>0.99990440000000003</v>
      </c>
      <c r="P6639">
        <v>-8.0463240000000005E-2</v>
      </c>
      <c r="Q6639">
        <v>0.3470587</v>
      </c>
      <c r="R6639">
        <v>0.93438540000000003</v>
      </c>
      <c r="S6639">
        <v>-0.6155853</v>
      </c>
      <c r="T6639">
        <v>1.6678999999999999</v>
      </c>
      <c r="U6639">
        <v>2.5391849999999998</v>
      </c>
      <c r="V6639">
        <v>-7.4109499999999995E-2</v>
      </c>
      <c r="W6639">
        <v>0.35809299999999999</v>
      </c>
      <c r="X6639">
        <v>0.93074009999999996</v>
      </c>
      <c r="Y6639">
        <v>-0.19092139999999999</v>
      </c>
      <c r="Z6639">
        <v>0.5484194</v>
      </c>
      <c r="AA6639">
        <v>0.81411619999999996</v>
      </c>
      <c r="AB6639">
        <v>32</v>
      </c>
      <c r="AC6639">
        <v>-0.6155853</v>
      </c>
      <c r="AD6639">
        <v>1.6678999999999999</v>
      </c>
      <c r="AE6639">
        <v>2.5391849999999998</v>
      </c>
      <c r="AF6639">
        <v>-0.424588000769067</v>
      </c>
      <c r="AG6639">
        <v>1.6678999999999999</v>
      </c>
      <c r="AH6639">
        <v>1.8070620280482701</v>
      </c>
      <c r="AI6639">
        <v>48.0596391295486</v>
      </c>
      <c r="AJ6639">
        <v>103.222400517756</v>
      </c>
      <c r="AK6639">
        <v>2.49552370327573</v>
      </c>
      <c r="AL6639">
        <v>69.016872706957599</v>
      </c>
      <c r="AM6639">
        <v>94.552529717610199</v>
      </c>
      <c r="AN6639">
        <v>0.99999997419362896</v>
      </c>
    </row>
    <row r="6640" spans="1:40" x14ac:dyDescent="0.25">
      <c r="A6640" t="str">
        <f>"20190303162949255"</f>
        <v>20190303162949255</v>
      </c>
      <c r="B6640" t="str">
        <f>"1551601789248058"</f>
        <v>1551601789248058</v>
      </c>
      <c r="C6640" t="s">
        <v>40</v>
      </c>
      <c r="D6640">
        <v>6.3236800000000004</v>
      </c>
      <c r="E6640">
        <v>0.44944139999999999</v>
      </c>
      <c r="F6640" t="s">
        <v>45</v>
      </c>
      <c r="G6640">
        <v>0</v>
      </c>
      <c r="H6640">
        <v>0</v>
      </c>
      <c r="I6640">
        <v>0</v>
      </c>
      <c r="J6640">
        <v>-188.0598</v>
      </c>
      <c r="K6640">
        <v>1.1222939999999999</v>
      </c>
      <c r="L6640">
        <v>33.570680000000003</v>
      </c>
      <c r="M6640">
        <v>-7.4502409999999998E-3</v>
      </c>
      <c r="N6640">
        <v>-1.1884560000000001E-2</v>
      </c>
      <c r="O6640">
        <v>0.99990159999999995</v>
      </c>
      <c r="P6640">
        <v>-7.9541459999999994E-2</v>
      </c>
      <c r="Q6640">
        <v>0.35043869999999999</v>
      </c>
      <c r="R6640">
        <v>0.93320199999999998</v>
      </c>
      <c r="S6640">
        <v>-0.60575869999999998</v>
      </c>
      <c r="T6640">
        <v>1.6700119999999901</v>
      </c>
      <c r="U6640">
        <v>2.538208</v>
      </c>
      <c r="V6640">
        <v>-7.2842569999999995E-2</v>
      </c>
      <c r="W6640">
        <v>0.36146</v>
      </c>
      <c r="X6640">
        <v>0.92953779999999997</v>
      </c>
      <c r="Y6640">
        <v>-0.18748380000000001</v>
      </c>
      <c r="Z6640">
        <v>0.54938500000000001</v>
      </c>
      <c r="AA6640">
        <v>0.81426409999999905</v>
      </c>
      <c r="AB6640">
        <v>32</v>
      </c>
      <c r="AC6640">
        <v>-0.60575869999999998</v>
      </c>
      <c r="AD6640">
        <v>1.6700119999999901</v>
      </c>
      <c r="AE6640">
        <v>2.538208</v>
      </c>
      <c r="AF6640">
        <v>-0.41631881576073299</v>
      </c>
      <c r="AG6640">
        <v>1.6700119999999901</v>
      </c>
      <c r="AH6640">
        <v>1.80384932057789</v>
      </c>
      <c r="AI6640">
        <v>47.946671009905302</v>
      </c>
      <c r="AJ6640">
        <v>102.996000861635</v>
      </c>
      <c r="AK6640">
        <v>2.4932175612749301</v>
      </c>
      <c r="AL6640">
        <v>68.810112090782596</v>
      </c>
      <c r="AM6640">
        <v>94.480785958423397</v>
      </c>
      <c r="AN6640">
        <v>0.99999994661652103</v>
      </c>
    </row>
    <row r="6641" spans="1:40" x14ac:dyDescent="0.25">
      <c r="A6641" t="str">
        <f>"20190303162949277"</f>
        <v>20190303162949277</v>
      </c>
      <c r="B6641" t="str">
        <f>"1551601789268553"</f>
        <v>1551601789268553</v>
      </c>
      <c r="C6641" t="s">
        <v>40</v>
      </c>
      <c r="D6641">
        <v>4.2583900000000003</v>
      </c>
      <c r="E6641">
        <v>0.44973259999999998</v>
      </c>
      <c r="F6641" t="s">
        <v>45</v>
      </c>
      <c r="G6641">
        <v>0</v>
      </c>
      <c r="H6641">
        <v>0</v>
      </c>
      <c r="I6641">
        <v>0</v>
      </c>
      <c r="J6641">
        <v>-188.0625</v>
      </c>
      <c r="K6641">
        <v>1.122298</v>
      </c>
      <c r="L6641">
        <v>33.880279999999999</v>
      </c>
      <c r="M6641">
        <v>-7.7979669999999899E-3</v>
      </c>
      <c r="N6641">
        <v>-1.188438E-2</v>
      </c>
      <c r="O6641">
        <v>0.99989899999999998</v>
      </c>
      <c r="P6641">
        <v>-8.0263989999999993E-2</v>
      </c>
      <c r="Q6641">
        <v>0.35317850000000001</v>
      </c>
      <c r="R6641">
        <v>0.93210660000000001</v>
      </c>
      <c r="S6641">
        <v>-0.59994510000000001</v>
      </c>
      <c r="T6641">
        <v>1.677581</v>
      </c>
      <c r="U6641">
        <v>2.53363</v>
      </c>
      <c r="V6641">
        <v>-7.3250170000000003E-2</v>
      </c>
      <c r="W6641">
        <v>0.36418650000000002</v>
      </c>
      <c r="X6641">
        <v>0.92844090000000001</v>
      </c>
      <c r="Y6641">
        <v>-0.18531449999999999</v>
      </c>
      <c r="Z6641">
        <v>0.55196140000000005</v>
      </c>
      <c r="AA6641">
        <v>0.8130172</v>
      </c>
      <c r="AB6641">
        <v>32</v>
      </c>
      <c r="AC6641">
        <v>-0.59994510000000001</v>
      </c>
      <c r="AD6641">
        <v>1.677581</v>
      </c>
      <c r="AE6641">
        <v>2.53363</v>
      </c>
      <c r="AF6641">
        <v>-0.40997430687200598</v>
      </c>
      <c r="AG6641">
        <v>1.677581</v>
      </c>
      <c r="AH6641">
        <v>1.7936342939837899</v>
      </c>
      <c r="AI6641">
        <v>47.641995586255803</v>
      </c>
      <c r="AJ6641">
        <v>102.875024448305</v>
      </c>
      <c r="AK6641">
        <v>2.4898756845294301</v>
      </c>
      <c r="AL6641">
        <v>68.642471766424705</v>
      </c>
      <c r="AM6641">
        <v>94.511057150760905</v>
      </c>
      <c r="AN6641">
        <v>0.99999994949004301</v>
      </c>
    </row>
    <row r="6642" spans="1:40" x14ac:dyDescent="0.25">
      <c r="A6642" t="str">
        <f>"20190303162949299"</f>
        <v>20190303162949299</v>
      </c>
      <c r="B6642" t="str">
        <f>"1551601789288074"</f>
        <v>1551601789288074</v>
      </c>
      <c r="C6642" t="s">
        <v>40</v>
      </c>
      <c r="D6642">
        <v>4.2995349999999997</v>
      </c>
      <c r="E6642">
        <v>0.4501116</v>
      </c>
      <c r="F6642" t="s">
        <v>45</v>
      </c>
      <c r="G6642">
        <v>0</v>
      </c>
      <c r="H6642">
        <v>0</v>
      </c>
      <c r="I6642">
        <v>0</v>
      </c>
      <c r="J6642">
        <v>-188.06540000000001</v>
      </c>
      <c r="K6642">
        <v>1.1223019999999999</v>
      </c>
      <c r="L6642">
        <v>34.197969999999998</v>
      </c>
      <c r="M6642">
        <v>-8.1548300000000001E-3</v>
      </c>
      <c r="N6642">
        <v>-1.188436E-2</v>
      </c>
      <c r="O6642">
        <v>0.99989609999999995</v>
      </c>
      <c r="P6642">
        <v>-8.1988740000000004E-2</v>
      </c>
      <c r="Q6642">
        <v>0.35464230000000002</v>
      </c>
      <c r="R6642">
        <v>0.93140040000000002</v>
      </c>
      <c r="S6642">
        <v>-0.60041809999999995</v>
      </c>
      <c r="T6642">
        <v>1.6827190000000001</v>
      </c>
      <c r="U6642">
        <v>2.529236</v>
      </c>
      <c r="V6642">
        <v>-7.4648019999999995E-2</v>
      </c>
      <c r="W6642">
        <v>0.36564140000000001</v>
      </c>
      <c r="X6642">
        <v>0.92775759999999996</v>
      </c>
      <c r="Y6642">
        <v>-0.18515760000000001</v>
      </c>
      <c r="Z6642">
        <v>0.55375079999999999</v>
      </c>
      <c r="AA6642">
        <v>0.81183549999999904</v>
      </c>
      <c r="AB6642">
        <v>32</v>
      </c>
      <c r="AC6642">
        <v>-0.60041809999999995</v>
      </c>
      <c r="AD6642">
        <v>1.6827190000000001</v>
      </c>
      <c r="AE6642">
        <v>2.529236</v>
      </c>
      <c r="AF6642">
        <v>-0.40857152949922299</v>
      </c>
      <c r="AG6642">
        <v>1.6827190000000001</v>
      </c>
      <c r="AH6642">
        <v>1.78577361879193</v>
      </c>
      <c r="AI6642">
        <v>47.430766582579501</v>
      </c>
      <c r="AJ6642">
        <v>102.88703606518401</v>
      </c>
      <c r="AK6642">
        <v>2.48746082285763</v>
      </c>
      <c r="AL6642">
        <v>68.552940521305899</v>
      </c>
      <c r="AM6642">
        <v>94.600148238414903</v>
      </c>
      <c r="AN6642">
        <v>1.0000000623208101</v>
      </c>
    </row>
    <row r="6643" spans="1:40" x14ac:dyDescent="0.25">
      <c r="A6643" t="str">
        <f>"20190303162949321"</f>
        <v>20190303162949321</v>
      </c>
      <c r="B6643" t="str">
        <f>"1551601789318480"</f>
        <v>1551601789318480</v>
      </c>
      <c r="C6643" t="s">
        <v>40</v>
      </c>
      <c r="D6643">
        <v>4.3134860000000002</v>
      </c>
      <c r="E6643">
        <v>0.45073150000000001</v>
      </c>
      <c r="F6643" t="s">
        <v>45</v>
      </c>
      <c r="G6643">
        <v>0</v>
      </c>
      <c r="H6643">
        <v>0</v>
      </c>
      <c r="I6643">
        <v>0</v>
      </c>
      <c r="J6643">
        <v>-188.06819999999999</v>
      </c>
      <c r="K6643">
        <v>1.122309</v>
      </c>
      <c r="L6643">
        <v>34.492609999999999</v>
      </c>
      <c r="M6643">
        <v>-8.4860519999999991E-3</v>
      </c>
      <c r="N6643">
        <v>-1.188439E-2</v>
      </c>
      <c r="O6643">
        <v>0.99989340000000004</v>
      </c>
      <c r="P6643">
        <v>-8.3807569999999998E-2</v>
      </c>
      <c r="Q6643">
        <v>0.35734120000000003</v>
      </c>
      <c r="R6643">
        <v>0.93020619999999998</v>
      </c>
      <c r="S6643">
        <v>-0.60296629999999996</v>
      </c>
      <c r="T6643">
        <v>1.6843269999999999</v>
      </c>
      <c r="U6643">
        <v>2.5265499999999999</v>
      </c>
      <c r="V6643">
        <v>-7.6169719999999996E-2</v>
      </c>
      <c r="W6643">
        <v>0.36832540000000003</v>
      </c>
      <c r="X6643">
        <v>0.92657140000000004</v>
      </c>
      <c r="Y6643">
        <v>-0.1857036</v>
      </c>
      <c r="Z6643">
        <v>0.55442819999999904</v>
      </c>
      <c r="AA6643">
        <v>0.81124810000000003</v>
      </c>
      <c r="AB6643">
        <v>32</v>
      </c>
      <c r="AC6643">
        <v>-0.60296629999999996</v>
      </c>
      <c r="AD6643">
        <v>1.6843269999999999</v>
      </c>
      <c r="AE6643">
        <v>2.5265499999999999</v>
      </c>
      <c r="AF6643">
        <v>-0.40937184068866</v>
      </c>
      <c r="AG6643">
        <v>1.6843269999999999</v>
      </c>
      <c r="AH6643">
        <v>1.7822034378562099</v>
      </c>
      <c r="AI6643">
        <v>47.3520094913859</v>
      </c>
      <c r="AJ6643">
        <v>102.936429484684</v>
      </c>
      <c r="AK6643">
        <v>2.4861198363683701</v>
      </c>
      <c r="AL6643">
        <v>68.387622460383596</v>
      </c>
      <c r="AM6643">
        <v>94.699489225896897</v>
      </c>
      <c r="AN6643">
        <v>0.99999999291399899</v>
      </c>
    </row>
    <row r="6644" spans="1:40" x14ac:dyDescent="0.25">
      <c r="A6644" t="str">
        <f>"20190303162949358"</f>
        <v>20190303162949358</v>
      </c>
      <c r="B6644" t="str">
        <f>"1551601789348737"</f>
        <v>1551601789348737</v>
      </c>
      <c r="C6644" t="s">
        <v>40</v>
      </c>
      <c r="D6644">
        <v>4.3261339999999997</v>
      </c>
      <c r="E6644">
        <v>0.46389799999999998</v>
      </c>
      <c r="F6644" t="s">
        <v>45</v>
      </c>
      <c r="G6644">
        <v>0</v>
      </c>
      <c r="H6644">
        <v>0</v>
      </c>
      <c r="I6644">
        <v>0</v>
      </c>
      <c r="J6644">
        <v>-188.07329999999999</v>
      </c>
      <c r="K6644">
        <v>1.1223259999999999</v>
      </c>
      <c r="L6644">
        <v>35.005679999999998</v>
      </c>
      <c r="M6644">
        <v>-9.0636870000000008E-3</v>
      </c>
      <c r="N6644">
        <v>-1.1884550000000001E-2</v>
      </c>
      <c r="O6644">
        <v>0.99988829999999995</v>
      </c>
      <c r="P6644">
        <v>-8.5341899999999998E-2</v>
      </c>
      <c r="Q6644">
        <v>0.36066609999999899</v>
      </c>
      <c r="R6644">
        <v>0.92878240000000001</v>
      </c>
      <c r="S6644">
        <v>-0.60302730000000004</v>
      </c>
      <c r="T6644">
        <v>1.68680099999999</v>
      </c>
      <c r="U6644">
        <v>2.5227659999999998</v>
      </c>
      <c r="V6644">
        <v>-7.7181059999999996E-2</v>
      </c>
      <c r="W6644">
        <v>0.3716333</v>
      </c>
      <c r="X6644">
        <v>0.92516580000000004</v>
      </c>
      <c r="Y6644">
        <v>-0.1852618</v>
      </c>
      <c r="Z6644">
        <v>0.55555239999999995</v>
      </c>
      <c r="AA6644">
        <v>0.81057979999999996</v>
      </c>
      <c r="AB6644">
        <v>32</v>
      </c>
      <c r="AC6644">
        <v>-0.60302730000000004</v>
      </c>
      <c r="AD6644">
        <v>1.68680099999999</v>
      </c>
      <c r="AE6644">
        <v>2.5227659999999998</v>
      </c>
      <c r="AF6644">
        <v>-0.40771206607029897</v>
      </c>
      <c r="AG6644">
        <v>1.68680099999999</v>
      </c>
      <c r="AH6644">
        <v>1.77673787947498</v>
      </c>
      <c r="AI6644">
        <v>47.220967406321897</v>
      </c>
      <c r="AJ6644">
        <v>102.92404340607</v>
      </c>
      <c r="AK6644">
        <v>2.4836111279307702</v>
      </c>
      <c r="AL6644">
        <v>68.183617367966903</v>
      </c>
      <c r="AM6644">
        <v>94.768802383581303</v>
      </c>
      <c r="AN6644">
        <v>0.99999999159062603</v>
      </c>
    </row>
    <row r="6645" spans="1:40" x14ac:dyDescent="0.25">
      <c r="A6645" t="str">
        <f>"20190303162949378"</f>
        <v>20190303162949378</v>
      </c>
      <c r="B6645" t="str">
        <f>"1551601789369231"</f>
        <v>1551601789369231</v>
      </c>
      <c r="C6645" t="s">
        <v>40</v>
      </c>
      <c r="D6645">
        <v>4.3477639999999997</v>
      </c>
      <c r="E6645">
        <v>0.46287699999999998</v>
      </c>
      <c r="F6645" t="s">
        <v>45</v>
      </c>
      <c r="G6645">
        <v>0</v>
      </c>
      <c r="H6645">
        <v>0</v>
      </c>
      <c r="I6645">
        <v>0</v>
      </c>
      <c r="J6645">
        <v>-188.07640000000001</v>
      </c>
      <c r="K6645">
        <v>1.1223320000000001</v>
      </c>
      <c r="L6645">
        <v>35.315489999999997</v>
      </c>
      <c r="M6645">
        <v>-9.4126590000000003E-3</v>
      </c>
      <c r="N6645">
        <v>-1.188469E-2</v>
      </c>
      <c r="O6645">
        <v>0.99988509999999997</v>
      </c>
      <c r="P6645">
        <v>-8.6177970000000007E-2</v>
      </c>
      <c r="Q6645">
        <v>0.3614945</v>
      </c>
      <c r="R6645">
        <v>0.92838310000000002</v>
      </c>
      <c r="S6645">
        <v>-0.51089479999999998</v>
      </c>
      <c r="T6645">
        <v>1.5601</v>
      </c>
      <c r="U6645">
        <v>2.5772710000000001</v>
      </c>
      <c r="V6645">
        <v>-7.7696890000000005E-2</v>
      </c>
      <c r="W6645">
        <v>0.37245699999999998</v>
      </c>
      <c r="X6645">
        <v>0.92479129999999998</v>
      </c>
      <c r="Y6645">
        <v>-0.1573136</v>
      </c>
      <c r="Z6645">
        <v>0.52110909999999999</v>
      </c>
      <c r="AA6645">
        <v>0.83886700000000003</v>
      </c>
      <c r="AB6645">
        <v>32</v>
      </c>
      <c r="AC6645">
        <v>-0.51089479999999998</v>
      </c>
      <c r="AD6645">
        <v>1.5601</v>
      </c>
      <c r="AE6645">
        <v>2.5772710000000001</v>
      </c>
      <c r="AF6645">
        <v>-0.359767990730259</v>
      </c>
      <c r="AG6645">
        <v>1.5601</v>
      </c>
      <c r="AH6645">
        <v>1.90893304336054</v>
      </c>
      <c r="AI6645">
        <v>51.231213188298398</v>
      </c>
      <c r="AJ6645">
        <v>100.673085368177</v>
      </c>
      <c r="AK6645">
        <v>2.4914594881691001</v>
      </c>
      <c r="AL6645">
        <v>68.132772819017902</v>
      </c>
      <c r="AM6645">
        <v>94.802460534616401</v>
      </c>
      <c r="AN6645">
        <v>0.99999998606018003</v>
      </c>
    </row>
    <row r="6646" spans="1:40" x14ac:dyDescent="0.25">
      <c r="A6646" t="str">
        <f>"20190303162949401"</f>
        <v>20190303162949401</v>
      </c>
      <c r="B6646" t="str">
        <f>"1551601789398511"</f>
        <v>1551601789398511</v>
      </c>
      <c r="C6646" t="s">
        <v>40</v>
      </c>
      <c r="D6646">
        <v>4.3641059999999996</v>
      </c>
      <c r="E6646">
        <v>0.46175260000000001</v>
      </c>
      <c r="F6646" t="s">
        <v>45</v>
      </c>
      <c r="G6646">
        <v>0</v>
      </c>
      <c r="H6646">
        <v>0</v>
      </c>
      <c r="I6646">
        <v>0</v>
      </c>
      <c r="J6646">
        <v>-188.0797</v>
      </c>
      <c r="K6646">
        <v>1.122341</v>
      </c>
      <c r="L6646">
        <v>35.619959999999999</v>
      </c>
      <c r="M6646">
        <v>-9.7555330000000003E-3</v>
      </c>
      <c r="N6646">
        <v>-1.188488E-2</v>
      </c>
      <c r="O6646">
        <v>0.99988180000000004</v>
      </c>
      <c r="P6646">
        <v>-8.7332789999999993E-2</v>
      </c>
      <c r="Q6646">
        <v>0.36141529999999999</v>
      </c>
      <c r="R6646">
        <v>0.92830599999999996</v>
      </c>
      <c r="S6646">
        <v>-0.51843260000000002</v>
      </c>
      <c r="T6646">
        <v>1.5955079999999999</v>
      </c>
      <c r="U6646">
        <v>2.5620419999999999</v>
      </c>
      <c r="V6646">
        <v>-7.8533899999999907E-2</v>
      </c>
      <c r="W6646">
        <v>0.37237730000000002</v>
      </c>
      <c r="X6646">
        <v>0.92475269999999998</v>
      </c>
      <c r="Y6646">
        <v>-0.15905059999999999</v>
      </c>
      <c r="Z6646">
        <v>0.53149950000000001</v>
      </c>
      <c r="AA6646">
        <v>0.83199230000000002</v>
      </c>
      <c r="AB6646">
        <v>32</v>
      </c>
      <c r="AC6646">
        <v>-0.51843260000000002</v>
      </c>
      <c r="AD6646">
        <v>1.5955079999999999</v>
      </c>
      <c r="AE6646">
        <v>2.5620419999999999</v>
      </c>
      <c r="AF6646">
        <v>-0.359482833362814</v>
      </c>
      <c r="AG6646">
        <v>1.5955079999999999</v>
      </c>
      <c r="AH6646">
        <v>1.87021066664527</v>
      </c>
      <c r="AI6646">
        <v>50.044381421785801</v>
      </c>
      <c r="AJ6646">
        <v>100.880414062309</v>
      </c>
      <c r="AK6646">
        <v>2.4844640514968801</v>
      </c>
      <c r="AL6646">
        <v>68.137693368019995</v>
      </c>
      <c r="AM6646">
        <v>94.854152055262205</v>
      </c>
      <c r="AN6646">
        <v>0.99999999158089503</v>
      </c>
    </row>
    <row r="6647" spans="1:40" x14ac:dyDescent="0.25">
      <c r="A6647" t="str">
        <f>"20190303162949422"</f>
        <v>20190303162949422</v>
      </c>
      <c r="B6647" t="str">
        <f>"1551601789418033"</f>
        <v>1551601789418033</v>
      </c>
      <c r="C6647" t="s">
        <v>40</v>
      </c>
      <c r="D6647">
        <v>4.4414939999999996</v>
      </c>
      <c r="E6647">
        <v>0.46141500000000002</v>
      </c>
      <c r="F6647" t="s">
        <v>45</v>
      </c>
      <c r="G6647">
        <v>0</v>
      </c>
      <c r="H6647">
        <v>0</v>
      </c>
      <c r="I6647">
        <v>0</v>
      </c>
      <c r="J6647">
        <v>-188.083</v>
      </c>
      <c r="K6647">
        <v>1.1223379999999901</v>
      </c>
      <c r="L6647">
        <v>35.927460000000004</v>
      </c>
      <c r="M6647">
        <v>-1.0101880000000001E-2</v>
      </c>
      <c r="N6647">
        <v>-1.1885079999999999E-2</v>
      </c>
      <c r="O6647">
        <v>0.9998783</v>
      </c>
      <c r="P6647">
        <v>-8.8209529999999994E-2</v>
      </c>
      <c r="Q6647">
        <v>0.35985349999999999</v>
      </c>
      <c r="R6647">
        <v>0.92882969999999998</v>
      </c>
      <c r="S6647">
        <v>-0.52963260000000001</v>
      </c>
      <c r="T6647">
        <v>1.6031420000000001</v>
      </c>
      <c r="U6647">
        <v>2.557709</v>
      </c>
      <c r="V6647">
        <v>-7.9082089999999994E-2</v>
      </c>
      <c r="W6647">
        <v>0.37082169999999998</v>
      </c>
      <c r="X6647">
        <v>0.92533089999999996</v>
      </c>
      <c r="Y6647">
        <v>-0.1622277</v>
      </c>
      <c r="Z6647">
        <v>0.53361199999999998</v>
      </c>
      <c r="AA6647">
        <v>0.8300244</v>
      </c>
      <c r="AB6647">
        <v>32</v>
      </c>
      <c r="AC6647">
        <v>-0.52963260000000001</v>
      </c>
      <c r="AD6647">
        <v>1.6031420000000001</v>
      </c>
      <c r="AE6647">
        <v>2.557709</v>
      </c>
      <c r="AF6647">
        <v>-0.36592013025964898</v>
      </c>
      <c r="AG6647">
        <v>1.6031420000000001</v>
      </c>
      <c r="AH6647">
        <v>1.86163262717269</v>
      </c>
      <c r="AI6647">
        <v>49.802856392465799</v>
      </c>
      <c r="AJ6647">
        <v>101.120220408333</v>
      </c>
      <c r="AK6647">
        <v>2.4838755710476201</v>
      </c>
      <c r="AL6647">
        <v>68.233697251916595</v>
      </c>
      <c r="AM6647">
        <v>94.884832449099704</v>
      </c>
      <c r="AN6647">
        <v>0.99999999232223402</v>
      </c>
    </row>
    <row r="6648" spans="1:40" x14ac:dyDescent="0.25">
      <c r="A6648" t="str">
        <f>"20190303162949445"</f>
        <v>20190303162949445</v>
      </c>
      <c r="B6648" t="str">
        <f>"1551601789438527"</f>
        <v>1551601789438527</v>
      </c>
      <c r="C6648" t="s">
        <v>40</v>
      </c>
      <c r="D6648">
        <v>4.467765</v>
      </c>
      <c r="E6648">
        <v>0.46164060000000001</v>
      </c>
      <c r="F6648" t="s">
        <v>45</v>
      </c>
      <c r="G6648">
        <v>0</v>
      </c>
      <c r="H6648">
        <v>0</v>
      </c>
      <c r="I6648">
        <v>0</v>
      </c>
      <c r="J6648">
        <v>-188.08670000000001</v>
      </c>
      <c r="K6648">
        <v>1.1223320000000001</v>
      </c>
      <c r="L6648">
        <v>36.246429999999997</v>
      </c>
      <c r="M6648">
        <v>-1.046074E-2</v>
      </c>
      <c r="N6648">
        <v>-1.188532E-2</v>
      </c>
      <c r="O6648">
        <v>0.99987470000000001</v>
      </c>
      <c r="P6648">
        <v>-8.8629459999999993E-2</v>
      </c>
      <c r="Q6648">
        <v>0.35829889999999998</v>
      </c>
      <c r="R6648">
        <v>0.92939050000000001</v>
      </c>
      <c r="S6648">
        <v>-0.53478999999999999</v>
      </c>
      <c r="T6648">
        <v>1.5972230000000001</v>
      </c>
      <c r="U6648">
        <v>2.5602719999999999</v>
      </c>
      <c r="V6648">
        <v>-7.9161519999999999E-2</v>
      </c>
      <c r="W6648">
        <v>0.3692743</v>
      </c>
      <c r="X6648">
        <v>0.92594270000000001</v>
      </c>
      <c r="Y6648">
        <v>-0.1635588</v>
      </c>
      <c r="Z6648">
        <v>0.53172059999999999</v>
      </c>
      <c r="AA6648">
        <v>0.83097639999999995</v>
      </c>
      <c r="AB6648">
        <v>32</v>
      </c>
      <c r="AC6648">
        <v>-0.53478999999999999</v>
      </c>
      <c r="AD6648">
        <v>1.5972230000000001</v>
      </c>
      <c r="AE6648">
        <v>2.5602719999999999</v>
      </c>
      <c r="AF6648">
        <v>-0.36999802228007</v>
      </c>
      <c r="AG6648">
        <v>1.5972230000000001</v>
      </c>
      <c r="AH6648">
        <v>1.86881431510281</v>
      </c>
      <c r="AI6648">
        <v>50.023600749622702</v>
      </c>
      <c r="AJ6648">
        <v>101.198903202102</v>
      </c>
      <c r="AK6648">
        <v>2.4860584853444898</v>
      </c>
      <c r="AL6648">
        <v>68.329130849346598</v>
      </c>
      <c r="AM6648">
        <v>94.886499853107793</v>
      </c>
      <c r="AN6648">
        <v>0.99999996928624402</v>
      </c>
    </row>
    <row r="6649" spans="1:40" x14ac:dyDescent="0.25">
      <c r="A6649" t="str">
        <f>"20190303162949466"</f>
        <v>20190303162949466</v>
      </c>
      <c r="B6649" t="str">
        <f>"1551601789458047"</f>
        <v>1551601789458047</v>
      </c>
      <c r="C6649" t="s">
        <v>40</v>
      </c>
      <c r="D6649">
        <v>4.493722</v>
      </c>
      <c r="E6649">
        <v>0.46220149999999999</v>
      </c>
      <c r="F6649" t="s">
        <v>45</v>
      </c>
      <c r="G6649">
        <v>0</v>
      </c>
      <c r="H6649">
        <v>0</v>
      </c>
      <c r="I6649">
        <v>0</v>
      </c>
      <c r="J6649">
        <v>-188.09039999999999</v>
      </c>
      <c r="K6649">
        <v>1.122325</v>
      </c>
      <c r="L6649">
        <v>36.564300000000003</v>
      </c>
      <c r="M6649">
        <v>-1.0818680000000001E-2</v>
      </c>
      <c r="N6649">
        <v>-1.188558E-2</v>
      </c>
      <c r="O6649">
        <v>0.99987079999999995</v>
      </c>
      <c r="P6649">
        <v>-8.8726360000000004E-2</v>
      </c>
      <c r="Q6649">
        <v>0.35620069999999998</v>
      </c>
      <c r="R6649">
        <v>0.93018749999999994</v>
      </c>
      <c r="S6649">
        <v>-0.5339661</v>
      </c>
      <c r="T6649">
        <v>1.5901050000000001</v>
      </c>
      <c r="U6649">
        <v>2.5639949999999998</v>
      </c>
      <c r="V6649">
        <v>-7.8915509999999994E-2</v>
      </c>
      <c r="W6649">
        <v>0.36718659999999997</v>
      </c>
      <c r="X6649">
        <v>0.9267936</v>
      </c>
      <c r="Y6649">
        <v>-0.16298109999999999</v>
      </c>
      <c r="Z6649">
        <v>0.52954880000000004</v>
      </c>
      <c r="AA6649">
        <v>0.83247539999999998</v>
      </c>
      <c r="AB6649">
        <v>32</v>
      </c>
      <c r="AC6649">
        <v>-0.5339661</v>
      </c>
      <c r="AD6649">
        <v>1.5901050000000001</v>
      </c>
      <c r="AE6649">
        <v>2.5639949999999998</v>
      </c>
      <c r="AF6649">
        <v>-0.369857144578356</v>
      </c>
      <c r="AG6649">
        <v>1.5901050000000001</v>
      </c>
      <c r="AH6649">
        <v>1.87752798464552</v>
      </c>
      <c r="AI6649">
        <v>50.275285960275802</v>
      </c>
      <c r="AJ6649">
        <v>101.14409508023201</v>
      </c>
      <c r="AK6649">
        <v>2.48803929863411</v>
      </c>
      <c r="AL6649">
        <v>68.457788478203597</v>
      </c>
      <c r="AM6649">
        <v>94.866936298219102</v>
      </c>
      <c r="AN6649">
        <v>1.00000001696954</v>
      </c>
    </row>
    <row r="6650" spans="1:40" x14ac:dyDescent="0.25">
      <c r="A6650" t="str">
        <f>"20190303162949491"</f>
        <v>20190303162949491</v>
      </c>
      <c r="B6650" t="str">
        <f>"1551601789488304"</f>
        <v>1551601789488304</v>
      </c>
      <c r="C6650" t="s">
        <v>40</v>
      </c>
      <c r="D6650">
        <v>4.5309169999999996</v>
      </c>
      <c r="E6650">
        <v>0.46254060000000002</v>
      </c>
      <c r="F6650" t="s">
        <v>45</v>
      </c>
      <c r="G6650">
        <v>0</v>
      </c>
      <c r="H6650">
        <v>0</v>
      </c>
      <c r="I6650">
        <v>0</v>
      </c>
      <c r="J6650">
        <v>-188.09450000000001</v>
      </c>
      <c r="K6650">
        <v>1.1223099999999999</v>
      </c>
      <c r="L6650">
        <v>36.908810000000003</v>
      </c>
      <c r="M6650">
        <v>-1.1206290000000001E-2</v>
      </c>
      <c r="N6650">
        <v>-1.188583E-2</v>
      </c>
      <c r="O6650">
        <v>0.99986649999999999</v>
      </c>
      <c r="P6650">
        <v>-8.8331270000000003E-2</v>
      </c>
      <c r="Q6650">
        <v>0.35233229999999999</v>
      </c>
      <c r="R6650">
        <v>0.93169709999999994</v>
      </c>
      <c r="S6650">
        <v>-0.52940369999999903</v>
      </c>
      <c r="T6650">
        <v>1.581887</v>
      </c>
      <c r="U6650">
        <v>2.5689090000000001</v>
      </c>
      <c r="V6650">
        <v>-7.8139739999999999E-2</v>
      </c>
      <c r="W6650">
        <v>0.36333729999999997</v>
      </c>
      <c r="X6650">
        <v>0.92837510000000001</v>
      </c>
      <c r="Y6650">
        <v>-0.161166899999999</v>
      </c>
      <c r="Z6650">
        <v>0.52704960000000001</v>
      </c>
      <c r="AA6650">
        <v>0.8344123</v>
      </c>
      <c r="AB6650">
        <v>32</v>
      </c>
      <c r="AC6650">
        <v>-0.52940369999999903</v>
      </c>
      <c r="AD6650">
        <v>1.581887</v>
      </c>
      <c r="AE6650">
        <v>2.5689090000000001</v>
      </c>
      <c r="AF6650">
        <v>-0.36706466105660301</v>
      </c>
      <c r="AG6650">
        <v>1.581887</v>
      </c>
      <c r="AH6650">
        <v>1.8879567916615501</v>
      </c>
      <c r="AI6650">
        <v>50.563318264587998</v>
      </c>
      <c r="AJ6650">
        <v>101.00242821931499</v>
      </c>
      <c r="AK6650">
        <v>2.4902778546472599</v>
      </c>
      <c r="AL6650">
        <v>68.694708478394404</v>
      </c>
      <c r="AM6650">
        <v>94.811147678009306</v>
      </c>
      <c r="AN6650">
        <v>1.0000000694192801</v>
      </c>
    </row>
    <row r="6651" spans="1:40" x14ac:dyDescent="0.25">
      <c r="A6651" t="str">
        <f>"20190303162949511"</f>
        <v>20190303162949511</v>
      </c>
      <c r="B6651" t="str">
        <f>"1551601789508329"</f>
        <v>1551601789508329</v>
      </c>
      <c r="C6651" t="s">
        <v>40</v>
      </c>
      <c r="D6651">
        <v>4.5601969999999996</v>
      </c>
      <c r="E6651">
        <v>0.46276669999999998</v>
      </c>
      <c r="F6651" t="s">
        <v>45</v>
      </c>
      <c r="G6651">
        <v>0</v>
      </c>
      <c r="H6651">
        <v>0</v>
      </c>
      <c r="I6651">
        <v>0</v>
      </c>
      <c r="J6651">
        <v>-188.09790000000001</v>
      </c>
      <c r="K6651">
        <v>1.122282</v>
      </c>
      <c r="L6651">
        <v>37.185029999999998</v>
      </c>
      <c r="M6651">
        <v>-1.1517100000000001E-2</v>
      </c>
      <c r="N6651">
        <v>-1.1886020000000001E-2</v>
      </c>
      <c r="O6651">
        <v>0.99986299999999995</v>
      </c>
      <c r="P6651">
        <v>-8.7275800000000001E-2</v>
      </c>
      <c r="Q6651">
        <v>0.34652119999999997</v>
      </c>
      <c r="R6651">
        <v>0.93397330000000001</v>
      </c>
      <c r="S6651">
        <v>-0.52485660000000001</v>
      </c>
      <c r="T6651">
        <v>1.5727869999999999</v>
      </c>
      <c r="U6651">
        <v>2.5754090000000001</v>
      </c>
      <c r="V6651">
        <v>-7.6764589999999994E-2</v>
      </c>
      <c r="W6651">
        <v>0.35755550000000003</v>
      </c>
      <c r="X6651">
        <v>0.93073159999999999</v>
      </c>
      <c r="Y6651">
        <v>-0.15938169999999999</v>
      </c>
      <c r="Z6651">
        <v>0.52410540000000005</v>
      </c>
      <c r="AA6651">
        <v>0.83660679999999998</v>
      </c>
      <c r="AB6651">
        <v>32</v>
      </c>
      <c r="AC6651">
        <v>-0.52485660000000001</v>
      </c>
      <c r="AD6651">
        <v>1.5727869999999999</v>
      </c>
      <c r="AE6651">
        <v>2.5754090000000001</v>
      </c>
      <c r="AF6651">
        <v>-0.36460304606118898</v>
      </c>
      <c r="AG6651">
        <v>1.5727869999999999</v>
      </c>
      <c r="AH6651">
        <v>1.9006922047375601</v>
      </c>
      <c r="AI6651">
        <v>50.900471967894099</v>
      </c>
      <c r="AJ6651">
        <v>100.85893511006699</v>
      </c>
      <c r="AK6651">
        <v>2.49383744171833</v>
      </c>
      <c r="AL6651">
        <v>69.049853943706793</v>
      </c>
      <c r="AM6651">
        <v>94.714951459177499</v>
      </c>
      <c r="AN6651">
        <v>1.00000002454833</v>
      </c>
    </row>
    <row r="6652" spans="1:40" x14ac:dyDescent="0.25">
      <c r="A6652" t="str">
        <f>"20190303162949534"</f>
        <v>20190303162949534</v>
      </c>
      <c r="B6652" t="str">
        <f>"1551601789528825"</f>
        <v>1551601789528825</v>
      </c>
      <c r="C6652" t="s">
        <v>40</v>
      </c>
      <c r="D6652">
        <v>4.541436</v>
      </c>
      <c r="E6652">
        <v>0.46305839999999998</v>
      </c>
      <c r="F6652" t="s">
        <v>45</v>
      </c>
      <c r="G6652">
        <v>0</v>
      </c>
      <c r="H6652">
        <v>0</v>
      </c>
      <c r="I6652">
        <v>0</v>
      </c>
      <c r="J6652">
        <v>-188.10220000000001</v>
      </c>
      <c r="K6652">
        <v>1.1222510000000001</v>
      </c>
      <c r="L6652">
        <v>37.518920000000001</v>
      </c>
      <c r="M6652">
        <v>-1.1892750000000001E-2</v>
      </c>
      <c r="N6652">
        <v>-1.1886249999999999E-2</v>
      </c>
      <c r="O6652">
        <v>0.99985860000000004</v>
      </c>
      <c r="P6652">
        <v>-8.4883940000000005E-2</v>
      </c>
      <c r="Q6652">
        <v>0.33990359999999997</v>
      </c>
      <c r="R6652">
        <v>0.9366217</v>
      </c>
      <c r="S6652">
        <v>-0.52062989999999998</v>
      </c>
      <c r="T6652">
        <v>1.55653</v>
      </c>
      <c r="U6652">
        <v>2.5859380000000001</v>
      </c>
      <c r="V6652">
        <v>-7.3985549999999997E-2</v>
      </c>
      <c r="W6652">
        <v>0.35097159999999999</v>
      </c>
      <c r="X6652">
        <v>0.93345860000000003</v>
      </c>
      <c r="Y6652">
        <v>-0.1576476</v>
      </c>
      <c r="Z6652">
        <v>0.51886489999999996</v>
      </c>
      <c r="AA6652">
        <v>0.84019429999999995</v>
      </c>
      <c r="AB6652">
        <v>32</v>
      </c>
      <c r="AC6652">
        <v>-0.52062989999999998</v>
      </c>
      <c r="AD6652">
        <v>1.55653</v>
      </c>
      <c r="AE6652">
        <v>2.5859380000000001</v>
      </c>
      <c r="AF6652">
        <v>-0.36332802393021602</v>
      </c>
      <c r="AG6652">
        <v>1.55653</v>
      </c>
      <c r="AH6652">
        <v>1.92253157175445</v>
      </c>
      <c r="AI6652">
        <v>51.496228246147197</v>
      </c>
      <c r="AJ6652">
        <v>100.701781508642</v>
      </c>
      <c r="AK6652">
        <v>2.50018410087451</v>
      </c>
      <c r="AL6652">
        <v>69.4532447255622</v>
      </c>
      <c r="AM6652">
        <v>94.531766443890703</v>
      </c>
      <c r="AN6652">
        <v>0.99999994176465901</v>
      </c>
    </row>
    <row r="6653" spans="1:40" x14ac:dyDescent="0.25">
      <c r="A6653" t="str">
        <f>"20190303162949557"</f>
        <v>20190303162949557</v>
      </c>
      <c r="B6653" t="str">
        <f>"1551601789548346"</f>
        <v>1551601789548346</v>
      </c>
      <c r="C6653" t="s">
        <v>40</v>
      </c>
      <c r="D6653">
        <v>4.6323030000000003</v>
      </c>
      <c r="E6653">
        <v>0.4630879</v>
      </c>
      <c r="F6653" t="s">
        <v>45</v>
      </c>
      <c r="G6653">
        <v>0</v>
      </c>
      <c r="H6653">
        <v>0</v>
      </c>
      <c r="I6653">
        <v>0</v>
      </c>
      <c r="J6653">
        <v>-188.1063</v>
      </c>
      <c r="K6653">
        <v>1.1222270000000001</v>
      </c>
      <c r="L6653">
        <v>37.835169999999998</v>
      </c>
      <c r="M6653">
        <v>-1.2248490000000001E-2</v>
      </c>
      <c r="N6653">
        <v>-1.1886509999999999E-2</v>
      </c>
      <c r="O6653">
        <v>0.99985429999999997</v>
      </c>
      <c r="P6653">
        <v>-8.2045889999999996E-2</v>
      </c>
      <c r="Q6653">
        <v>0.33260600000000001</v>
      </c>
      <c r="R6653">
        <v>0.93949009999999999</v>
      </c>
      <c r="S6653">
        <v>-0.51205440000000002</v>
      </c>
      <c r="T6653">
        <v>1.536764</v>
      </c>
      <c r="U6653">
        <v>2.5989070000000001</v>
      </c>
      <c r="V6653">
        <v>-7.0774229999999994E-2</v>
      </c>
      <c r="W6653">
        <v>0.34371079999999998</v>
      </c>
      <c r="X6653">
        <v>0.93640480000000004</v>
      </c>
      <c r="Y6653">
        <v>-0.154532</v>
      </c>
      <c r="Z6653">
        <v>0.51252619999999904</v>
      </c>
      <c r="AA6653">
        <v>0.84465190000000001</v>
      </c>
      <c r="AB6653">
        <v>32</v>
      </c>
      <c r="AC6653">
        <v>-0.51205440000000002</v>
      </c>
      <c r="AD6653">
        <v>1.536764</v>
      </c>
      <c r="AE6653">
        <v>2.5989070000000001</v>
      </c>
      <c r="AF6653">
        <v>-0.35926005706804298</v>
      </c>
      <c r="AG6653">
        <v>1.536764</v>
      </c>
      <c r="AH6653">
        <v>1.9489874373586</v>
      </c>
      <c r="AI6653">
        <v>52.2089357592574</v>
      </c>
      <c r="AJ6653">
        <v>100.444186944471</v>
      </c>
      <c r="AK6653">
        <v>2.5078403879198898</v>
      </c>
      <c r="AL6653">
        <v>69.896882516492994</v>
      </c>
      <c r="AM6653">
        <v>94.322243512911101</v>
      </c>
      <c r="AN6653">
        <v>1.00000002756588</v>
      </c>
    </row>
    <row r="6654" spans="1:40" x14ac:dyDescent="0.25">
      <c r="A6654" t="str">
        <f>"20190303162949581"</f>
        <v>20190303162949581</v>
      </c>
      <c r="B6654" t="str">
        <f>"1551601789578601"</f>
        <v>1551601789578601</v>
      </c>
      <c r="C6654" t="s">
        <v>40</v>
      </c>
      <c r="D6654">
        <v>4.7146780000000001</v>
      </c>
      <c r="E6654">
        <v>0.46290540000000002</v>
      </c>
      <c r="F6654" t="s">
        <v>45</v>
      </c>
      <c r="G6654">
        <v>0</v>
      </c>
      <c r="H6654">
        <v>0</v>
      </c>
      <c r="I6654">
        <v>0</v>
      </c>
      <c r="J6654">
        <v>-188.11089999999999</v>
      </c>
      <c r="K6654">
        <v>1.122185</v>
      </c>
      <c r="L6654">
        <v>38.177669999999999</v>
      </c>
      <c r="M6654">
        <v>-1.263388E-2</v>
      </c>
      <c r="N6654">
        <v>-1.1886900000000001E-2</v>
      </c>
      <c r="O6654">
        <v>0.99984960000000001</v>
      </c>
      <c r="P6654">
        <v>-8.0055360000000006E-2</v>
      </c>
      <c r="Q6654">
        <v>0.32392399999999999</v>
      </c>
      <c r="R6654">
        <v>0.94269000000000003</v>
      </c>
      <c r="S6654">
        <v>-0.50430299999999995</v>
      </c>
      <c r="T6654">
        <v>1.518273</v>
      </c>
      <c r="U6654">
        <v>2.6116640000000002</v>
      </c>
      <c r="V6654">
        <v>-6.837472E-2</v>
      </c>
      <c r="W6654">
        <v>0.33506989999999998</v>
      </c>
      <c r="X6654">
        <v>0.93970900000000002</v>
      </c>
      <c r="Y6654">
        <v>-0.15161160000000001</v>
      </c>
      <c r="Z6654">
        <v>0.50647259999999905</v>
      </c>
      <c r="AA6654">
        <v>0.84882239999999998</v>
      </c>
      <c r="AB6654">
        <v>32</v>
      </c>
      <c r="AC6654">
        <v>-0.50430299999999995</v>
      </c>
      <c r="AD6654">
        <v>1.518273</v>
      </c>
      <c r="AE6654">
        <v>2.6116640000000002</v>
      </c>
      <c r="AF6654">
        <v>-0.355453952277411</v>
      </c>
      <c r="AG6654">
        <v>1.518273</v>
      </c>
      <c r="AH6654">
        <v>1.9745092895174801</v>
      </c>
      <c r="AI6654">
        <v>52.882583152522599</v>
      </c>
      <c r="AJ6654">
        <v>100.205162088503</v>
      </c>
      <c r="AK6654">
        <v>2.51598635709923</v>
      </c>
      <c r="AL6654">
        <v>70.423210856622703</v>
      </c>
      <c r="AM6654">
        <v>94.161598119271503</v>
      </c>
      <c r="AN6654">
        <v>0.999999972451043</v>
      </c>
    </row>
    <row r="6655" spans="1:40" x14ac:dyDescent="0.25">
      <c r="A6655" t="str">
        <f>"20190303162949605"</f>
        <v>20190303162949605</v>
      </c>
      <c r="B6655" t="str">
        <f>"1551601789598122"</f>
        <v>1551601789598122</v>
      </c>
      <c r="C6655" t="s">
        <v>40</v>
      </c>
      <c r="D6655">
        <v>4.6965000000000003</v>
      </c>
      <c r="E6655">
        <v>0.4627946</v>
      </c>
      <c r="F6655" t="s">
        <v>45</v>
      </c>
      <c r="G6655">
        <v>0</v>
      </c>
      <c r="H6655">
        <v>0</v>
      </c>
      <c r="I6655">
        <v>0</v>
      </c>
      <c r="J6655">
        <v>-188.11539999999999</v>
      </c>
      <c r="K6655">
        <v>1.1221299999999901</v>
      </c>
      <c r="L6655">
        <v>38.505740000000003</v>
      </c>
      <c r="M6655">
        <v>-1.3002619999999999E-2</v>
      </c>
      <c r="N6655">
        <v>-1.1887450000000001E-2</v>
      </c>
      <c r="O6655">
        <v>0.99984479999999998</v>
      </c>
      <c r="P6655">
        <v>-7.711556E-2</v>
      </c>
      <c r="Q6655">
        <v>0.31268089999999998</v>
      </c>
      <c r="R6655">
        <v>0.94672270000000003</v>
      </c>
      <c r="S6655">
        <v>-0.49990839999999998</v>
      </c>
      <c r="T6655">
        <v>1.49722</v>
      </c>
      <c r="U6655">
        <v>2.6254580000000001</v>
      </c>
      <c r="V6655">
        <v>-6.5027039999999994E-2</v>
      </c>
      <c r="W6655">
        <v>0.3238782</v>
      </c>
      <c r="X6655">
        <v>0.94386139999999996</v>
      </c>
      <c r="Y6655">
        <v>-0.1497841</v>
      </c>
      <c r="Z6655">
        <v>0.49953219999999998</v>
      </c>
      <c r="AA6655">
        <v>0.85324809999999995</v>
      </c>
      <c r="AB6655">
        <v>32</v>
      </c>
      <c r="AC6655">
        <v>-0.49990839999999998</v>
      </c>
      <c r="AD6655">
        <v>1.49722</v>
      </c>
      <c r="AE6655">
        <v>2.6254580000000001</v>
      </c>
      <c r="AF6655">
        <v>-0.35447958631245202</v>
      </c>
      <c r="AG6655">
        <v>1.49722</v>
      </c>
      <c r="AH6655">
        <v>2.0031029498936799</v>
      </c>
      <c r="AI6655">
        <v>53.646395670230902</v>
      </c>
      <c r="AJ6655">
        <v>100.035462760323</v>
      </c>
      <c r="AK6655">
        <v>2.5258156966384102</v>
      </c>
      <c r="AL6655">
        <v>71.102374550502901</v>
      </c>
      <c r="AM6655">
        <v>93.9411474045977</v>
      </c>
      <c r="AN6655">
        <v>0.99999997338818003</v>
      </c>
    </row>
    <row r="6656" spans="1:40" x14ac:dyDescent="0.25">
      <c r="A6656" t="str">
        <f>"20190303162949622"</f>
        <v>20190303162949622</v>
      </c>
      <c r="B6656" t="str">
        <f>"1551601789618149"</f>
        <v>1551601789618149</v>
      </c>
      <c r="C6656" t="s">
        <v>40</v>
      </c>
      <c r="D6656">
        <v>4.9243050000000004</v>
      </c>
      <c r="E6656">
        <v>0.47932609999999998</v>
      </c>
      <c r="F6656" t="s">
        <v>45</v>
      </c>
      <c r="G6656">
        <v>0</v>
      </c>
      <c r="H6656">
        <v>0</v>
      </c>
      <c r="I6656">
        <v>0</v>
      </c>
      <c r="J6656">
        <v>-188.1191</v>
      </c>
      <c r="K6656">
        <v>1.1220559999999999</v>
      </c>
      <c r="L6656">
        <v>38.767299999999999</v>
      </c>
      <c r="M6656">
        <v>-1.329702E-2</v>
      </c>
      <c r="N6656">
        <v>-1.188783E-2</v>
      </c>
      <c r="O6656">
        <v>0.99984090000000003</v>
      </c>
      <c r="P6656">
        <v>-7.3278549999999998E-2</v>
      </c>
      <c r="Q6656">
        <v>0.29630210000000001</v>
      </c>
      <c r="R6656">
        <v>0.95227899999999999</v>
      </c>
      <c r="S6656">
        <v>-0.49284359999999999</v>
      </c>
      <c r="T6656">
        <v>1.4674370000000001</v>
      </c>
      <c r="U6656">
        <v>2.644012</v>
      </c>
      <c r="V6656">
        <v>-6.0825709999999998E-2</v>
      </c>
      <c r="W6656">
        <v>0.3075695</v>
      </c>
      <c r="X6656">
        <v>0.94957950000000002</v>
      </c>
      <c r="Y6656">
        <v>-0.14717939999999999</v>
      </c>
      <c r="Z6656">
        <v>0.48980269999999998</v>
      </c>
      <c r="AA6656">
        <v>0.85932039999999998</v>
      </c>
      <c r="AB6656">
        <v>32</v>
      </c>
      <c r="AC6656">
        <v>-0.49284359999999999</v>
      </c>
      <c r="AD6656">
        <v>1.4674370000000001</v>
      </c>
      <c r="AE6656">
        <v>2.644012</v>
      </c>
      <c r="AF6656">
        <v>-0.35265847566630798</v>
      </c>
      <c r="AG6656">
        <v>1.4674370000000001</v>
      </c>
      <c r="AH6656">
        <v>2.04235193083252</v>
      </c>
      <c r="AI6656">
        <v>54.700520885777202</v>
      </c>
      <c r="AJ6656">
        <v>99.796813893585295</v>
      </c>
      <c r="AK6656">
        <v>2.53947647337076</v>
      </c>
      <c r="AL6656">
        <v>72.087181754787593</v>
      </c>
      <c r="AM6656">
        <v>93.665097721250504</v>
      </c>
      <c r="AN6656">
        <v>0.99999999557375197</v>
      </c>
    </row>
    <row r="6657" spans="1:40" x14ac:dyDescent="0.25">
      <c r="A6657" t="str">
        <f>"20190303162949646"</f>
        <v>20190303162949646</v>
      </c>
      <c r="B6657" t="str">
        <f>"1551601789638645"</f>
        <v>1551601789638645</v>
      </c>
      <c r="C6657" t="s">
        <v>40</v>
      </c>
      <c r="D6657">
        <v>4.7842209999999996</v>
      </c>
      <c r="E6657">
        <v>0.48872019999999999</v>
      </c>
      <c r="F6657" t="s">
        <v>45</v>
      </c>
      <c r="G6657">
        <v>0</v>
      </c>
      <c r="H6657">
        <v>0</v>
      </c>
      <c r="I6657">
        <v>0</v>
      </c>
      <c r="J6657">
        <v>-188.12389999999999</v>
      </c>
      <c r="K6657">
        <v>1.1219619999999999</v>
      </c>
      <c r="L6657">
        <v>39.101349999999996</v>
      </c>
      <c r="M6657">
        <v>-1.367296E-2</v>
      </c>
      <c r="N6657">
        <v>-1.188815E-2</v>
      </c>
      <c r="O6657">
        <v>0.99983580000000005</v>
      </c>
      <c r="P6657">
        <v>-6.8601060000000005E-2</v>
      </c>
      <c r="Q6657">
        <v>0.2758968</v>
      </c>
      <c r="R6657">
        <v>0.95873609999999998</v>
      </c>
      <c r="S6657">
        <v>-0.3560333</v>
      </c>
      <c r="T6657">
        <v>1.3509910000000001</v>
      </c>
      <c r="U6657">
        <v>2.7025760000000001</v>
      </c>
      <c r="V6657">
        <v>-5.5687729999999998E-2</v>
      </c>
      <c r="W6657">
        <v>0.28724529999999998</v>
      </c>
      <c r="X6657">
        <v>0.95623689999999995</v>
      </c>
      <c r="Y6657">
        <v>-0.10306079999999999</v>
      </c>
      <c r="Z6657">
        <v>0.45496550000000002</v>
      </c>
      <c r="AA6657">
        <v>0.88452520000000001</v>
      </c>
      <c r="AB6657">
        <v>32</v>
      </c>
      <c r="AC6657">
        <v>-0.3560333</v>
      </c>
      <c r="AD6657">
        <v>1.3509910000000001</v>
      </c>
      <c r="AE6657">
        <v>2.7025760000000001</v>
      </c>
      <c r="AF6657">
        <v>-0.25613215126926397</v>
      </c>
      <c r="AG6657">
        <v>1.3509910000000001</v>
      </c>
      <c r="AH6657">
        <v>2.1733561998286901</v>
      </c>
      <c r="AI6657">
        <v>58.311191810224898</v>
      </c>
      <c r="AJ6657">
        <v>96.721360675536403</v>
      </c>
      <c r="AK6657">
        <v>2.57181988722551</v>
      </c>
      <c r="AL6657">
        <v>73.306892140581795</v>
      </c>
      <c r="AM6657">
        <v>93.332931618387704</v>
      </c>
      <c r="AN6657">
        <v>0.99999999728312605</v>
      </c>
    </row>
    <row r="6658" spans="1:40" x14ac:dyDescent="0.25">
      <c r="A6658" t="str">
        <f>"20190303162949668"</f>
        <v>20190303162949668</v>
      </c>
      <c r="B6658" t="str">
        <f>"1551601789659141"</f>
        <v>1551601789659141</v>
      </c>
      <c r="C6658" t="s">
        <v>40</v>
      </c>
      <c r="D6658">
        <v>4.8275579999999998</v>
      </c>
      <c r="E6658">
        <v>0.52235390000000004</v>
      </c>
      <c r="F6658" t="s">
        <v>45</v>
      </c>
      <c r="G6658">
        <v>0</v>
      </c>
      <c r="H6658">
        <v>0</v>
      </c>
      <c r="I6658">
        <v>0</v>
      </c>
      <c r="J6658">
        <v>-188.12880000000001</v>
      </c>
      <c r="K6658">
        <v>1.121861</v>
      </c>
      <c r="L6658">
        <v>39.423400000000001</v>
      </c>
      <c r="M6658">
        <v>-1.403542E-2</v>
      </c>
      <c r="N6658">
        <v>-1.1888309999999999E-2</v>
      </c>
      <c r="O6658">
        <v>0.99983080000000002</v>
      </c>
      <c r="P6658">
        <v>-6.3297759999999995E-2</v>
      </c>
      <c r="Q6658">
        <v>0.25337330000000002</v>
      </c>
      <c r="R6658">
        <v>0.96529549999999997</v>
      </c>
      <c r="S6658">
        <v>-0.27388000000000001</v>
      </c>
      <c r="T6658">
        <v>1.218979</v>
      </c>
      <c r="U6658">
        <v>2.7587280000000001</v>
      </c>
      <c r="V6658">
        <v>-4.9929040000000001E-2</v>
      </c>
      <c r="W6658">
        <v>0.26480520000000002</v>
      </c>
      <c r="X6658">
        <v>0.96300850000000005</v>
      </c>
      <c r="Y6658">
        <v>-7.6177980000000006E-2</v>
      </c>
      <c r="Z6658">
        <v>0.41354459999999998</v>
      </c>
      <c r="AA6658">
        <v>0.90729150000000003</v>
      </c>
      <c r="AB6658">
        <v>32</v>
      </c>
      <c r="AC6658">
        <v>-0.27388000000000001</v>
      </c>
      <c r="AD6658">
        <v>1.218979</v>
      </c>
      <c r="AE6658">
        <v>2.7587280000000001</v>
      </c>
      <c r="AF6658">
        <v>-0.197036004482014</v>
      </c>
      <c r="AG6658">
        <v>1.218979</v>
      </c>
      <c r="AH6658">
        <v>2.3147696528734398</v>
      </c>
      <c r="AI6658">
        <v>62.313477879926197</v>
      </c>
      <c r="AJ6658">
        <v>94.865358117869405</v>
      </c>
      <c r="AK6658">
        <v>2.6235265455807801</v>
      </c>
      <c r="AL6658">
        <v>74.644622507629094</v>
      </c>
      <c r="AM6658">
        <v>92.967953123501601</v>
      </c>
      <c r="AN6658">
        <v>1.0000000370272999</v>
      </c>
    </row>
    <row r="6659" spans="1:40" x14ac:dyDescent="0.25">
      <c r="A6659" t="str">
        <f>"20190303162949690"</f>
        <v>20190303162949690</v>
      </c>
      <c r="B6659" t="str">
        <f>"1551601789678661"</f>
        <v>1551601789678661</v>
      </c>
      <c r="C6659" t="s">
        <v>40</v>
      </c>
      <c r="D6659">
        <v>4.8834019999999896</v>
      </c>
      <c r="E6659">
        <v>0.537520199999999</v>
      </c>
      <c r="F6659" t="s">
        <v>71</v>
      </c>
      <c r="G6659">
        <v>-190.4573</v>
      </c>
      <c r="H6659">
        <v>73.79092</v>
      </c>
      <c r="I6659">
        <v>391.87</v>
      </c>
      <c r="J6659">
        <v>-188.13329999999999</v>
      </c>
      <c r="K6659">
        <v>1.1217790000000001</v>
      </c>
      <c r="L6659">
        <v>39.725650000000002</v>
      </c>
      <c r="M6659">
        <v>-1.437539E-2</v>
      </c>
      <c r="N6659">
        <v>-1.188842E-2</v>
      </c>
      <c r="O6659">
        <v>0.99982599999999999</v>
      </c>
      <c r="P6659">
        <v>-5.7853389999999998E-2</v>
      </c>
      <c r="Q6659">
        <v>0.23233409999999999</v>
      </c>
      <c r="R6659">
        <v>0.9709139</v>
      </c>
      <c r="S6659">
        <v>-1.9470210000000002E-2</v>
      </c>
      <c r="T6659">
        <v>0.60764280000000004</v>
      </c>
      <c r="U6659">
        <v>2.9470830000000001</v>
      </c>
      <c r="V6659">
        <v>-4.4061620000000003E-2</v>
      </c>
      <c r="W6659">
        <v>0.24383769999999999</v>
      </c>
      <c r="X6659">
        <v>0.96881459999999997</v>
      </c>
      <c r="Y6659">
        <v>7.9315749999999997E-3</v>
      </c>
      <c r="Z6659">
        <v>0.2135292</v>
      </c>
      <c r="AA6659">
        <v>0.97690449999999995</v>
      </c>
      <c r="AB6659">
        <v>32</v>
      </c>
      <c r="AC6659">
        <v>-2.3240000000000101</v>
      </c>
      <c r="AD6659">
        <v>72.669140999999996</v>
      </c>
      <c r="AE6659">
        <v>352.14434999999997</v>
      </c>
      <c r="AF6659">
        <v>2.6269461397871399</v>
      </c>
      <c r="AG6659">
        <v>72.669140999999996</v>
      </c>
      <c r="AH6659">
        <v>337.758484814018</v>
      </c>
      <c r="AI6659">
        <v>77.858196432514802</v>
      </c>
      <c r="AJ6659">
        <v>89.554386051544299</v>
      </c>
      <c r="AK6659">
        <v>345.49746592928898</v>
      </c>
      <c r="AL6659">
        <v>75.886844030885499</v>
      </c>
      <c r="AM6659">
        <v>92.604013618057195</v>
      </c>
      <c r="AN6659">
        <v>0.999999989735737</v>
      </c>
    </row>
    <row r="6660" spans="1:40" x14ac:dyDescent="0.25">
      <c r="A6660" t="str">
        <f>"20190303162949712"</f>
        <v>20190303162949712</v>
      </c>
      <c r="B6660" t="str">
        <f>"1551601789708918"</f>
        <v>1551601789708918</v>
      </c>
      <c r="C6660" t="s">
        <v>40</v>
      </c>
      <c r="D6660">
        <v>4.8555070000000002</v>
      </c>
      <c r="E6660">
        <v>0.53262469999999995</v>
      </c>
      <c r="F6660" t="s">
        <v>41</v>
      </c>
      <c r="G6660">
        <v>-187.24109999999999</v>
      </c>
      <c r="H6660" s="1">
        <v>-1.2878489999999899E-6</v>
      </c>
      <c r="I6660">
        <v>71.275329999999997</v>
      </c>
      <c r="J6660">
        <v>-188.13839999999999</v>
      </c>
      <c r="K6660">
        <v>1.121715</v>
      </c>
      <c r="L6660">
        <v>40.047519999999999</v>
      </c>
      <c r="M6660">
        <v>-1.473752E-2</v>
      </c>
      <c r="N6660">
        <v>-1.1888579999999999E-2</v>
      </c>
      <c r="O6660">
        <v>0.99982070000000001</v>
      </c>
      <c r="P6660">
        <v>-5.2118640000000001E-2</v>
      </c>
      <c r="Q6660">
        <v>0.21728819999999999</v>
      </c>
      <c r="R6660">
        <v>0.97471509999999995</v>
      </c>
      <c r="S6660">
        <v>8.8287350000000001E-2</v>
      </c>
      <c r="T6660">
        <v>-0.11099530000000001</v>
      </c>
      <c r="U6660">
        <v>3.1217039999999998</v>
      </c>
      <c r="V6660">
        <v>-3.7908940000000002E-2</v>
      </c>
      <c r="W6660">
        <v>0.2288422</v>
      </c>
      <c r="X6660">
        <v>0.97272510000000001</v>
      </c>
      <c r="Y6660">
        <v>4.2980070000000002E-2</v>
      </c>
      <c r="Z6660">
        <v>-2.3618190000000001E-2</v>
      </c>
      <c r="AA6660">
        <v>0.99879669999999998</v>
      </c>
      <c r="AB6660">
        <v>32</v>
      </c>
      <c r="AC6660">
        <v>0.89730000000000099</v>
      </c>
      <c r="AD6660">
        <v>-1.1217162878489999</v>
      </c>
      <c r="AE6660">
        <v>31.227810000000002</v>
      </c>
      <c r="AF6660">
        <v>1.3557077503217201</v>
      </c>
      <c r="AG6660">
        <v>-1.1217162878489999</v>
      </c>
      <c r="AH6660">
        <v>31.171007112618401</v>
      </c>
      <c r="AI6660">
        <v>92.0590052119653</v>
      </c>
      <c r="AJ6660">
        <v>87.509627779150193</v>
      </c>
      <c r="AK6660">
        <v>31.220632206116701</v>
      </c>
      <c r="AL6660">
        <v>76.771082922981293</v>
      </c>
      <c r="AM6660">
        <v>92.231795643117394</v>
      </c>
      <c r="AN6660">
        <v>0.99999998020138603</v>
      </c>
    </row>
    <row r="6661" spans="1:40" x14ac:dyDescent="0.25">
      <c r="A6661" t="str">
        <f>"20190303162949736"</f>
        <v>20190303162949736</v>
      </c>
      <c r="B6661" t="str">
        <f>"1551601789728437"</f>
        <v>1551601789728437</v>
      </c>
      <c r="C6661" t="s">
        <v>40</v>
      </c>
      <c r="D6661">
        <v>4.9322910000000002</v>
      </c>
      <c r="E6661">
        <v>0.53029729999999997</v>
      </c>
      <c r="F6661" t="s">
        <v>44</v>
      </c>
      <c r="G6661">
        <v>-188.12209999999999</v>
      </c>
      <c r="H6661">
        <v>1.0175190000000001</v>
      </c>
      <c r="I6661">
        <v>40.913879999999999</v>
      </c>
      <c r="J6661">
        <v>-188.1438</v>
      </c>
      <c r="K6661">
        <v>1.1216630000000001</v>
      </c>
      <c r="L6661">
        <v>40.386229999999998</v>
      </c>
      <c r="M6661">
        <v>-1.511879E-2</v>
      </c>
      <c r="N6661">
        <v>-1.188883E-2</v>
      </c>
      <c r="O6661">
        <v>0.99981500000000001</v>
      </c>
      <c r="P6661">
        <v>-4.6138169999999999E-2</v>
      </c>
      <c r="Q6661">
        <v>0.20835870000000001</v>
      </c>
      <c r="R6661">
        <v>0.97696360000000004</v>
      </c>
      <c r="S6661">
        <v>5.9051510000000001E-2</v>
      </c>
      <c r="T6661">
        <v>-0.38076199999999999</v>
      </c>
      <c r="U6661">
        <v>3.1658629999999999</v>
      </c>
      <c r="V6661">
        <v>-3.1516889999999999E-2</v>
      </c>
      <c r="W6661">
        <v>0.21994369999999999</v>
      </c>
      <c r="X6661">
        <v>0.97500330000000002</v>
      </c>
      <c r="Y6661">
        <v>3.3629829999999999E-2</v>
      </c>
      <c r="Z6661">
        <v>-0.10753219999999999</v>
      </c>
      <c r="AA6661">
        <v>0.99363270000000004</v>
      </c>
      <c r="AB6661">
        <v>32</v>
      </c>
      <c r="AC6661">
        <v>2.1700000000009802E-2</v>
      </c>
      <c r="AD6661">
        <v>-0.104143999999999</v>
      </c>
      <c r="AE6661">
        <v>0.52765000000000095</v>
      </c>
      <c r="AF6661">
        <v>2.8564622630762398E-2</v>
      </c>
      <c r="AG6661">
        <v>-0.104143999999999</v>
      </c>
      <c r="AH6661">
        <v>0.50752376662200605</v>
      </c>
      <c r="AI6661">
        <v>101.578308250313</v>
      </c>
      <c r="AJ6661">
        <v>86.778658293462399</v>
      </c>
      <c r="AK6661">
        <v>0.518885617538419</v>
      </c>
      <c r="AL6661">
        <v>77.294273627007598</v>
      </c>
      <c r="AM6661">
        <v>91.851436010354604</v>
      </c>
      <c r="AN6661">
        <v>0.99999999026792596</v>
      </c>
    </row>
    <row r="6662" spans="1:40" x14ac:dyDescent="0.25">
      <c r="A6662" t="str">
        <f>"20190303162949757"</f>
        <v>20190303162949757</v>
      </c>
      <c r="B6662" t="str">
        <f>"1551601789748933"</f>
        <v>1551601789748933</v>
      </c>
      <c r="C6662" t="s">
        <v>40</v>
      </c>
      <c r="D6662">
        <v>4.9795639999999999</v>
      </c>
      <c r="E6662">
        <v>0.52939029999999998</v>
      </c>
      <c r="F6662" t="s">
        <v>44</v>
      </c>
      <c r="G6662">
        <v>-188.12870000000001</v>
      </c>
      <c r="H6662">
        <v>1.0058020000000001</v>
      </c>
      <c r="I6662">
        <v>41.192030000000003</v>
      </c>
      <c r="J6662">
        <v>-188.14859999999999</v>
      </c>
      <c r="K6662">
        <v>1.121661</v>
      </c>
      <c r="L6662">
        <v>40.686</v>
      </c>
      <c r="M6662">
        <v>-1.545625E-2</v>
      </c>
      <c r="N6662">
        <v>-1.188912E-2</v>
      </c>
      <c r="O6662">
        <v>0.99980990000000003</v>
      </c>
      <c r="P6662">
        <v>-4.1359680000000003E-2</v>
      </c>
      <c r="Q6662">
        <v>0.2045612</v>
      </c>
      <c r="R6662">
        <v>0.97797959999999995</v>
      </c>
      <c r="S6662">
        <v>5.8456420000000002E-2</v>
      </c>
      <c r="T6662">
        <v>-0.45592300000000002</v>
      </c>
      <c r="U6662">
        <v>3.170715</v>
      </c>
      <c r="V6662">
        <v>-2.6390340000000002E-2</v>
      </c>
      <c r="W6662">
        <v>0.2161622</v>
      </c>
      <c r="X6662">
        <v>0.97600070000000005</v>
      </c>
      <c r="Y6662">
        <v>3.3696909999999997E-2</v>
      </c>
      <c r="Z6662">
        <v>-0.13047039999999999</v>
      </c>
      <c r="AA6662">
        <v>0.99087939999999997</v>
      </c>
      <c r="AB6662">
        <v>32</v>
      </c>
      <c r="AC6662">
        <v>1.98999999999784E-2</v>
      </c>
      <c r="AD6662">
        <v>-0.115858999999999</v>
      </c>
      <c r="AE6662">
        <v>0.50602999999999498</v>
      </c>
      <c r="AF6662">
        <v>2.63408159789674E-2</v>
      </c>
      <c r="AG6662">
        <v>-0.115858999999999</v>
      </c>
      <c r="AH6662">
        <v>0.48051182726099001</v>
      </c>
      <c r="AI6662">
        <v>103.536593206232</v>
      </c>
      <c r="AJ6662">
        <v>86.862286283682806</v>
      </c>
      <c r="AK6662">
        <v>0.49498359831931099</v>
      </c>
      <c r="AL6662">
        <v>77.516279498799506</v>
      </c>
      <c r="AM6662">
        <v>91.548858279182696</v>
      </c>
      <c r="AN6662">
        <v>0.99999995657732099</v>
      </c>
    </row>
    <row r="6663" spans="1:40" x14ac:dyDescent="0.25">
      <c r="A6663" t="str">
        <f>"20190303162949785"</f>
        <v>20190303162949785</v>
      </c>
      <c r="B6663" t="str">
        <f>"1551601789778214"</f>
        <v>1551601789778214</v>
      </c>
      <c r="C6663" t="s">
        <v>40</v>
      </c>
      <c r="D6663">
        <v>4.9430870000000002</v>
      </c>
      <c r="E6663">
        <v>0.52793330000000005</v>
      </c>
      <c r="F6663" t="s">
        <v>44</v>
      </c>
      <c r="G6663">
        <v>-188.1319</v>
      </c>
      <c r="H6663">
        <v>1.004499</v>
      </c>
      <c r="I6663">
        <v>41.475320000000004</v>
      </c>
      <c r="J6663">
        <v>-188.15479999999999</v>
      </c>
      <c r="K6663">
        <v>1.121675</v>
      </c>
      <c r="L6663">
        <v>41.054659999999998</v>
      </c>
      <c r="M6663">
        <v>-1.586912E-2</v>
      </c>
      <c r="N6663">
        <v>-1.1889520000000001E-2</v>
      </c>
      <c r="O6663">
        <v>0.99980340000000001</v>
      </c>
      <c r="P6663">
        <v>-3.8261469999999999E-2</v>
      </c>
      <c r="Q6663">
        <v>0.20334279999999999</v>
      </c>
      <c r="R6663">
        <v>0.9783598</v>
      </c>
      <c r="S6663">
        <v>6.7016599999999996E-2</v>
      </c>
      <c r="T6663">
        <v>-0.47035959999999899</v>
      </c>
      <c r="U6663">
        <v>3.1687620000000001</v>
      </c>
      <c r="V6663">
        <v>-2.2881329999999998E-2</v>
      </c>
      <c r="W6663">
        <v>0.21495010000000001</v>
      </c>
      <c r="X6663">
        <v>0.97635689999999997</v>
      </c>
      <c r="Y6663">
        <v>3.6779840000000001E-2</v>
      </c>
      <c r="Z6663">
        <v>-0.1349611</v>
      </c>
      <c r="AA6663">
        <v>0.99016800000000005</v>
      </c>
      <c r="AB6663">
        <v>32</v>
      </c>
      <c r="AC6663">
        <v>2.2899999999992801E-2</v>
      </c>
      <c r="AD6663">
        <v>-0.117175999999999</v>
      </c>
      <c r="AE6663">
        <v>0.42066000000000497</v>
      </c>
      <c r="AF6663">
        <v>2.7449531010234101E-2</v>
      </c>
      <c r="AG6663">
        <v>-0.117175999999999</v>
      </c>
      <c r="AH6663">
        <v>0.39006707989559403</v>
      </c>
      <c r="AI6663">
        <v>106.68129461746901</v>
      </c>
      <c r="AJ6663">
        <v>85.974656905637701</v>
      </c>
      <c r="AK6663">
        <v>0.40821075261065498</v>
      </c>
      <c r="AL6663">
        <v>77.587399551038303</v>
      </c>
      <c r="AM6663">
        <v>91.342504680880396</v>
      </c>
      <c r="AN6663">
        <v>0.99999994846509299</v>
      </c>
    </row>
    <row r="6664" spans="1:40" x14ac:dyDescent="0.25">
      <c r="A6664" t="str">
        <f>"20190303162949804"</f>
        <v>20190303162949804</v>
      </c>
      <c r="B6664" t="str">
        <f>"1551601789798709"</f>
        <v>1551601789798709</v>
      </c>
      <c r="C6664" t="s">
        <v>40</v>
      </c>
      <c r="D6664">
        <v>4.9405469999999996</v>
      </c>
      <c r="E6664">
        <v>0.52722429999999998</v>
      </c>
      <c r="F6664" t="s">
        <v>44</v>
      </c>
      <c r="G6664">
        <v>-188.1344</v>
      </c>
      <c r="H6664">
        <v>0.97687400000000002</v>
      </c>
      <c r="I6664">
        <v>42.029730000000001</v>
      </c>
      <c r="J6664">
        <v>-188.15979999999999</v>
      </c>
      <c r="K6664">
        <v>1.1216889999999999</v>
      </c>
      <c r="L6664">
        <v>41.34796</v>
      </c>
      <c r="M6664">
        <v>-1.6194210000000001E-2</v>
      </c>
      <c r="N6664">
        <v>-1.188995E-2</v>
      </c>
      <c r="O6664">
        <v>0.99979819999999997</v>
      </c>
      <c r="P6664">
        <v>-3.8240660000000003E-2</v>
      </c>
      <c r="Q6664">
        <v>0.20609620000000001</v>
      </c>
      <c r="R6664">
        <v>0.97778419999999999</v>
      </c>
      <c r="S6664">
        <v>6.640625E-2</v>
      </c>
      <c r="T6664">
        <v>-0.47025640000000002</v>
      </c>
      <c r="U6664">
        <v>3.166687</v>
      </c>
      <c r="V6664">
        <v>-2.2552550000000001E-2</v>
      </c>
      <c r="W6664">
        <v>0.21769730000000001</v>
      </c>
      <c r="X6664">
        <v>0.97575579999999995</v>
      </c>
      <c r="Y6664">
        <v>3.6927399999999999E-2</v>
      </c>
      <c r="Z6664">
        <v>-0.13502210000000001</v>
      </c>
      <c r="AA6664">
        <v>0.99015419999999998</v>
      </c>
      <c r="AB6664">
        <v>32</v>
      </c>
      <c r="AC6664">
        <v>2.53999999999905E-2</v>
      </c>
      <c r="AD6664">
        <v>-0.144814999999999</v>
      </c>
      <c r="AE6664">
        <v>0.68176999999999999</v>
      </c>
      <c r="AF6664">
        <v>3.4867211683383602E-2</v>
      </c>
      <c r="AG6664">
        <v>-0.144814999999999</v>
      </c>
      <c r="AH6664">
        <v>0.65189757441582896</v>
      </c>
      <c r="AI6664">
        <v>102.507212085742</v>
      </c>
      <c r="AJ6664">
        <v>86.938411159543605</v>
      </c>
      <c r="AK6664">
        <v>0.66869840302247996</v>
      </c>
      <c r="AL6664">
        <v>77.426180472377098</v>
      </c>
      <c r="AM6664">
        <v>91.324036107779904</v>
      </c>
      <c r="AN6664">
        <v>1.0000000565862099</v>
      </c>
    </row>
    <row r="6665" spans="1:40" x14ac:dyDescent="0.25">
      <c r="A6665" t="str">
        <f>"20190303162949827"</f>
        <v>20190303162949827</v>
      </c>
      <c r="B6665" t="str">
        <f>"1551601789818229"</f>
        <v>1551601789818229</v>
      </c>
      <c r="C6665" t="s">
        <v>40</v>
      </c>
      <c r="D6665">
        <v>4.952623</v>
      </c>
      <c r="E6665">
        <v>0.52620849999999997</v>
      </c>
      <c r="F6665" t="s">
        <v>44</v>
      </c>
      <c r="G6665">
        <v>-188.1414</v>
      </c>
      <c r="H6665">
        <v>0.98499639999999999</v>
      </c>
      <c r="I6665">
        <v>42.317709999999998</v>
      </c>
      <c r="J6665">
        <v>-188.16550000000001</v>
      </c>
      <c r="K6665">
        <v>1.1216930000000001</v>
      </c>
      <c r="L6665">
        <v>41.679200000000002</v>
      </c>
      <c r="M6665">
        <v>-1.6557800000000001E-2</v>
      </c>
      <c r="N6665">
        <v>-1.1890360000000001E-2</v>
      </c>
      <c r="O6665">
        <v>0.99979220000000002</v>
      </c>
      <c r="P6665">
        <v>-3.898919E-2</v>
      </c>
      <c r="Q6665">
        <v>0.2074511</v>
      </c>
      <c r="R6665">
        <v>0.97746809999999995</v>
      </c>
      <c r="S6665">
        <v>5.9768679999999998E-2</v>
      </c>
      <c r="T6665">
        <v>-0.44606639999999997</v>
      </c>
      <c r="U6665">
        <v>3.16452</v>
      </c>
      <c r="V6665">
        <v>-2.2949750000000001E-2</v>
      </c>
      <c r="W6665">
        <v>0.2190491</v>
      </c>
      <c r="X6665">
        <v>0.97544390000000003</v>
      </c>
      <c r="Y6665">
        <v>3.5250440000000001E-2</v>
      </c>
      <c r="Z6665">
        <v>-0.12770879999999901</v>
      </c>
      <c r="AA6665">
        <v>0.99118510000000004</v>
      </c>
      <c r="AB6665">
        <v>32</v>
      </c>
      <c r="AC6665">
        <v>2.4100000000004201E-2</v>
      </c>
      <c r="AD6665">
        <v>-0.1366966</v>
      </c>
      <c r="AE6665">
        <v>0.63850999999999603</v>
      </c>
      <c r="AF6665">
        <v>3.3152443656265101E-2</v>
      </c>
      <c r="AG6665">
        <v>-0.1366966</v>
      </c>
      <c r="AH6665">
        <v>0.61010032321275398</v>
      </c>
      <c r="AI6665">
        <v>102.61088029788699</v>
      </c>
      <c r="AJ6665">
        <v>86.889644622531307</v>
      </c>
      <c r="AK6665">
        <v>0.626104982695593</v>
      </c>
      <c r="AL6665">
        <v>77.346811796186103</v>
      </c>
      <c r="AM6665">
        <v>91.3477774315472</v>
      </c>
      <c r="AN6665">
        <v>1.0000000006415399</v>
      </c>
    </row>
    <row r="6666" spans="1:40" x14ac:dyDescent="0.25">
      <c r="A6666" t="str">
        <f>"20190303162949848"</f>
        <v>20190303162949848</v>
      </c>
      <c r="B6666" t="str">
        <f>"1551601789838726"</f>
        <v>1551601789838726</v>
      </c>
      <c r="C6666" t="s">
        <v>40</v>
      </c>
      <c r="D6666">
        <v>4.9249869999999998</v>
      </c>
      <c r="E6666">
        <v>0.51102230000000004</v>
      </c>
      <c r="F6666" t="s">
        <v>44</v>
      </c>
      <c r="G6666">
        <v>-188.15119999999999</v>
      </c>
      <c r="H6666">
        <v>0.99794459999999996</v>
      </c>
      <c r="I6666">
        <v>42.60812</v>
      </c>
      <c r="J6666">
        <v>-188.17070000000001</v>
      </c>
      <c r="K6666">
        <v>1.121705</v>
      </c>
      <c r="L6666">
        <v>41.971040000000002</v>
      </c>
      <c r="M6666">
        <v>-1.6873010000000001E-2</v>
      </c>
      <c r="N6666">
        <v>-1.189074E-2</v>
      </c>
      <c r="O6666">
        <v>0.99978690000000003</v>
      </c>
      <c r="P6666">
        <v>-4.1894029999999999E-2</v>
      </c>
      <c r="Q6666">
        <v>0.21123910000000001</v>
      </c>
      <c r="R6666">
        <v>0.97653619999999997</v>
      </c>
      <c r="S6666">
        <v>4.8645019999999997E-2</v>
      </c>
      <c r="T6666">
        <v>-0.42103160000000001</v>
      </c>
      <c r="U6666">
        <v>3.1604610000000002</v>
      </c>
      <c r="V6666">
        <v>-2.556172E-2</v>
      </c>
      <c r="W6666">
        <v>0.22282540000000001</v>
      </c>
      <c r="X6666">
        <v>0.97452320000000003</v>
      </c>
      <c r="Y6666">
        <v>3.2120629999999997E-2</v>
      </c>
      <c r="Z6666">
        <v>-0.1201844</v>
      </c>
      <c r="AA6666">
        <v>0.9922318</v>
      </c>
      <c r="AB6666">
        <v>32</v>
      </c>
      <c r="AC6666">
        <v>1.9500000000022E-2</v>
      </c>
      <c r="AD6666">
        <v>-0.12376040000000001</v>
      </c>
      <c r="AE6666">
        <v>0.63707999999999698</v>
      </c>
      <c r="AF6666">
        <v>2.91484742976846E-2</v>
      </c>
      <c r="AG6666">
        <v>-0.12376040000000001</v>
      </c>
      <c r="AH6666">
        <v>0.61352875120149897</v>
      </c>
      <c r="AI6666">
        <v>101.392090768356</v>
      </c>
      <c r="AJ6666">
        <v>87.279948650475603</v>
      </c>
      <c r="AK6666">
        <v>0.62656507939152895</v>
      </c>
      <c r="AL6666">
        <v>77.124963446340203</v>
      </c>
      <c r="AM6666">
        <v>91.502522391763904</v>
      </c>
      <c r="AN6666">
        <v>1.0000000138763701</v>
      </c>
    </row>
    <row r="6667" spans="1:40" x14ac:dyDescent="0.25">
      <c r="A6667" t="str">
        <f>"20190303162949870"</f>
        <v>20190303162949870</v>
      </c>
      <c r="B6667" t="str">
        <f>"1551601789858245"</f>
        <v>1551601789858245</v>
      </c>
      <c r="C6667" t="s">
        <v>40</v>
      </c>
      <c r="D6667">
        <v>4.9389609999999999</v>
      </c>
      <c r="E6667">
        <v>0.51019950000000003</v>
      </c>
      <c r="F6667" t="s">
        <v>41</v>
      </c>
      <c r="G6667">
        <v>-188.6277</v>
      </c>
      <c r="H6667" s="1">
        <v>-1.1411340000000001E-6</v>
      </c>
      <c r="I6667">
        <v>61.725369999999998</v>
      </c>
      <c r="J6667">
        <v>-188.17660000000001</v>
      </c>
      <c r="K6667">
        <v>1.1217189999999999</v>
      </c>
      <c r="L6667">
        <v>42.292909999999999</v>
      </c>
      <c r="M6667">
        <v>-1.7212209999999999E-2</v>
      </c>
      <c r="N6667">
        <v>-1.189114E-2</v>
      </c>
      <c r="O6667">
        <v>0.99978109999999998</v>
      </c>
      <c r="P6667">
        <v>-4.3936549999999998E-2</v>
      </c>
      <c r="Q6667">
        <v>0.2150984</v>
      </c>
      <c r="R6667">
        <v>0.97560349999999996</v>
      </c>
      <c r="S6667">
        <v>-7.1884160000000002E-2</v>
      </c>
      <c r="T6667">
        <v>-0.17643249999999999</v>
      </c>
      <c r="U6667">
        <v>3.1071469999999999</v>
      </c>
      <c r="V6667">
        <v>-2.7288219999999998E-2</v>
      </c>
      <c r="W6667">
        <v>0.2266735</v>
      </c>
      <c r="X6667">
        <v>0.97358849999999997</v>
      </c>
      <c r="Y6667">
        <v>-5.8910280000000004E-3</v>
      </c>
      <c r="Z6667">
        <v>-4.4797169999999997E-2</v>
      </c>
      <c r="AA6667">
        <v>0.9989787</v>
      </c>
      <c r="AB6667">
        <v>32</v>
      </c>
      <c r="AC6667">
        <v>-0.451099999999996</v>
      </c>
      <c r="AD6667">
        <v>-1.1217201411339901</v>
      </c>
      <c r="AE6667">
        <v>19.432459999999999</v>
      </c>
      <c r="AF6667">
        <v>-0.11614711516389099</v>
      </c>
      <c r="AG6667">
        <v>-1.1217201411339901</v>
      </c>
      <c r="AH6667">
        <v>19.3728290646952</v>
      </c>
      <c r="AI6667">
        <v>93.313764796368602</v>
      </c>
      <c r="AJ6667">
        <v>90.343504799818106</v>
      </c>
      <c r="AK6667">
        <v>19.405624241371001</v>
      </c>
      <c r="AL6667">
        <v>76.898695080858104</v>
      </c>
      <c r="AM6667">
        <v>91.605494110326703</v>
      </c>
      <c r="AN6667">
        <v>1.0000000449426301</v>
      </c>
    </row>
    <row r="6668" spans="1:40" x14ac:dyDescent="0.25">
      <c r="A6668" t="str">
        <f>"20190303162949892"</f>
        <v>20190303162949892</v>
      </c>
      <c r="B6668" t="str">
        <f>"1551601789878741"</f>
        <v>1551601789878741</v>
      </c>
      <c r="C6668" t="s">
        <v>40</v>
      </c>
      <c r="D6668">
        <v>4.9025100000000004</v>
      </c>
      <c r="E6668">
        <v>0.51011609999999996</v>
      </c>
      <c r="F6668" t="s">
        <v>41</v>
      </c>
      <c r="G6668">
        <v>-188.78309999999999</v>
      </c>
      <c r="H6668" s="1">
        <v>-2.298013E-6</v>
      </c>
      <c r="I6668">
        <v>64.486339999999998</v>
      </c>
      <c r="J6668">
        <v>-188.18199999999999</v>
      </c>
      <c r="K6668">
        <v>1.1217220000000001</v>
      </c>
      <c r="L6668">
        <v>42.590820000000001</v>
      </c>
      <c r="M6668">
        <v>-1.7516529999999999E-2</v>
      </c>
      <c r="N6668">
        <v>-1.1891519999999999E-2</v>
      </c>
      <c r="O6668">
        <v>0.99977579999999999</v>
      </c>
      <c r="P6668">
        <v>-4.5044420000000002E-2</v>
      </c>
      <c r="Q6668">
        <v>0.21940989999999999</v>
      </c>
      <c r="R6668">
        <v>0.97459240000000003</v>
      </c>
      <c r="S6668">
        <v>-8.4884639999999997E-2</v>
      </c>
      <c r="T6668">
        <v>-0.15697649999999999</v>
      </c>
      <c r="U6668">
        <v>3.105804</v>
      </c>
      <c r="V6668">
        <v>-2.8115999999999999E-2</v>
      </c>
      <c r="W6668">
        <v>0.23097319999999999</v>
      </c>
      <c r="X6668">
        <v>0.97255380000000002</v>
      </c>
      <c r="Y6668">
        <v>-9.7813669999999991E-3</v>
      </c>
      <c r="Z6668">
        <v>-3.8579200000000001E-2</v>
      </c>
      <c r="AA6668">
        <v>0.99920770000000003</v>
      </c>
      <c r="AB6668">
        <v>32</v>
      </c>
      <c r="AC6668">
        <v>-0.60109999999997399</v>
      </c>
      <c r="AD6668">
        <v>-1.12172429801299</v>
      </c>
      <c r="AE6668">
        <v>21.895520000000001</v>
      </c>
      <c r="AF6668">
        <v>-0.21687829936104</v>
      </c>
      <c r="AG6668">
        <v>-1.12172429801299</v>
      </c>
      <c r="AH6668">
        <v>21.845398042021099</v>
      </c>
      <c r="AI6668">
        <v>92.939315296482803</v>
      </c>
      <c r="AJ6668">
        <v>90.568806435490799</v>
      </c>
      <c r="AK6668">
        <v>21.875253534801001</v>
      </c>
      <c r="AL6668">
        <v>76.645625292547606</v>
      </c>
      <c r="AM6668">
        <v>91.655928525949705</v>
      </c>
      <c r="AN6668">
        <v>1.0000000112343399</v>
      </c>
    </row>
    <row r="6669" spans="1:40" x14ac:dyDescent="0.25">
      <c r="A6669" t="str">
        <f>"20190303162949914"</f>
        <v>20190303162949914</v>
      </c>
      <c r="B6669" t="str">
        <f>"1551601789908997"</f>
        <v>1551601789908997</v>
      </c>
      <c r="C6669" t="s">
        <v>40</v>
      </c>
      <c r="D6669">
        <v>4.8824329999999998</v>
      </c>
      <c r="E6669">
        <v>0.51043609999999995</v>
      </c>
      <c r="F6669" t="s">
        <v>41</v>
      </c>
      <c r="G6669">
        <v>-188.89359999999999</v>
      </c>
      <c r="H6669" s="1">
        <v>-3.3577850000000001E-6</v>
      </c>
      <c r="I6669">
        <v>67.002369999999999</v>
      </c>
      <c r="J6669">
        <v>-188.18799999999999</v>
      </c>
      <c r="K6669">
        <v>1.1217159999999999</v>
      </c>
      <c r="L6669">
        <v>42.912570000000002</v>
      </c>
      <c r="M6669">
        <v>-1.7834200000000001E-2</v>
      </c>
      <c r="N6669">
        <v>-1.189194E-2</v>
      </c>
      <c r="O6669">
        <v>0.99977020000000005</v>
      </c>
      <c r="P6669">
        <v>-4.5596530000000003E-2</v>
      </c>
      <c r="Q6669">
        <v>0.22019710000000001</v>
      </c>
      <c r="R6669">
        <v>0.97438910000000001</v>
      </c>
      <c r="S6669">
        <v>-9.0545650000000005E-2</v>
      </c>
      <c r="T6669">
        <v>-0.14272889999999999</v>
      </c>
      <c r="U6669">
        <v>3.1061399999999999</v>
      </c>
      <c r="V6669">
        <v>-2.835681E-2</v>
      </c>
      <c r="W6669">
        <v>0.23175860000000001</v>
      </c>
      <c r="X6669">
        <v>0.97236</v>
      </c>
      <c r="Y6669">
        <v>-1.128491E-2</v>
      </c>
      <c r="Z6669">
        <v>-3.400044E-2</v>
      </c>
      <c r="AA6669">
        <v>0.99935810000000003</v>
      </c>
      <c r="AB6669">
        <v>32</v>
      </c>
      <c r="AC6669">
        <v>-0.705600000000004</v>
      </c>
      <c r="AD6669">
        <v>-1.121719357785</v>
      </c>
      <c r="AE6669">
        <v>24.0898</v>
      </c>
      <c r="AF6669">
        <v>-0.27523879148856401</v>
      </c>
      <c r="AG6669">
        <v>-1.121719357785</v>
      </c>
      <c r="AH6669">
        <v>24.0464597039152</v>
      </c>
      <c r="AI6669">
        <v>92.670622960929805</v>
      </c>
      <c r="AJ6669">
        <v>90.655786035123498</v>
      </c>
      <c r="AK6669">
        <v>24.074181917606001</v>
      </c>
      <c r="AL6669">
        <v>76.5993708493383</v>
      </c>
      <c r="AM6669">
        <v>91.670436024960793</v>
      </c>
      <c r="AN6669">
        <v>1.0000000634736601</v>
      </c>
    </row>
    <row r="6670" spans="1:40" x14ac:dyDescent="0.25">
      <c r="A6670" t="str">
        <f>"20190303162949937"</f>
        <v>20190303162949937</v>
      </c>
      <c r="B6670" t="str">
        <f>"1551601789928517"</f>
        <v>1551601789928517</v>
      </c>
      <c r="C6670" t="s">
        <v>40</v>
      </c>
      <c r="D6670">
        <v>4.8634919999999999</v>
      </c>
      <c r="E6670">
        <v>0.51017400000000002</v>
      </c>
      <c r="F6670" t="s">
        <v>41</v>
      </c>
      <c r="G6670">
        <v>-188.93860000000001</v>
      </c>
      <c r="H6670" s="1">
        <v>-4.1116319999999998E-6</v>
      </c>
      <c r="I6670">
        <v>68.778199999999998</v>
      </c>
      <c r="J6670">
        <v>-188.19409999999999</v>
      </c>
      <c r="K6670">
        <v>1.121713</v>
      </c>
      <c r="L6670">
        <v>43.234310000000001</v>
      </c>
      <c r="M6670">
        <v>-1.8139280000000001E-2</v>
      </c>
      <c r="N6670">
        <v>-1.1892359999999999E-2</v>
      </c>
      <c r="O6670">
        <v>0.99976469999999995</v>
      </c>
      <c r="P6670">
        <v>-4.6003849999999999E-2</v>
      </c>
      <c r="Q6670">
        <v>0.2206071</v>
      </c>
      <c r="R6670">
        <v>0.97427730000000001</v>
      </c>
      <c r="S6670">
        <v>-9.0103150000000007E-2</v>
      </c>
      <c r="T6670">
        <v>-0.13465829999999901</v>
      </c>
      <c r="U6670">
        <v>3.1050719999999998</v>
      </c>
      <c r="V6670">
        <v>-2.8463370000000002E-2</v>
      </c>
      <c r="W6670">
        <v>0.2321686</v>
      </c>
      <c r="X6670">
        <v>0.97225899999999998</v>
      </c>
      <c r="Y6670">
        <v>-1.0850250000000001E-2</v>
      </c>
      <c r="Z6670">
        <v>-3.1424309999999997E-2</v>
      </c>
      <c r="AA6670">
        <v>0.99944719999999998</v>
      </c>
      <c r="AB6670">
        <v>32</v>
      </c>
      <c r="AC6670">
        <v>-0.74450000000001604</v>
      </c>
      <c r="AD6670">
        <v>-1.1217171116319999</v>
      </c>
      <c r="AE6670">
        <v>25.543890000000001</v>
      </c>
      <c r="AF6670">
        <v>-0.28045656116374901</v>
      </c>
      <c r="AG6670">
        <v>-1.1217171116319999</v>
      </c>
      <c r="AH6670">
        <v>25.504052549997098</v>
      </c>
      <c r="AI6670">
        <v>92.518203133498503</v>
      </c>
      <c r="AJ6670">
        <v>90.630030447048298</v>
      </c>
      <c r="AK6670">
        <v>25.5302487577822</v>
      </c>
      <c r="AL6670">
        <v>76.575219909440705</v>
      </c>
      <c r="AM6670">
        <v>91.676883739014002</v>
      </c>
      <c r="AN6670">
        <v>0.99999999266935802</v>
      </c>
    </row>
    <row r="6671" spans="1:40" x14ac:dyDescent="0.25">
      <c r="A6671" t="str">
        <f>"20190303162949958"</f>
        <v>20190303162949958</v>
      </c>
      <c r="B6671" t="str">
        <f>"1551601789949989"</f>
        <v>1551601789949989</v>
      </c>
      <c r="C6671" t="s">
        <v>40</v>
      </c>
      <c r="D6671">
        <v>4.7547110000000004</v>
      </c>
      <c r="E6671">
        <v>0.51202209999999904</v>
      </c>
      <c r="F6671" t="s">
        <v>41</v>
      </c>
      <c r="G6671">
        <v>-188.95490000000001</v>
      </c>
      <c r="H6671" s="1">
        <v>-4.1726380000000003E-6</v>
      </c>
      <c r="I6671">
        <v>68.927169999999904</v>
      </c>
      <c r="J6671">
        <v>-188.2</v>
      </c>
      <c r="K6671">
        <v>1.1217060000000001</v>
      </c>
      <c r="L6671">
        <v>43.544649999999997</v>
      </c>
      <c r="M6671">
        <v>-1.8419319999999999E-2</v>
      </c>
      <c r="N6671">
        <v>-1.18928E-2</v>
      </c>
      <c r="O6671">
        <v>0.99975959999999997</v>
      </c>
      <c r="P6671">
        <v>-4.6875710000000001E-2</v>
      </c>
      <c r="Q6671">
        <v>0.22154779999999999</v>
      </c>
      <c r="R6671">
        <v>0.97402219999999995</v>
      </c>
      <c r="S6671">
        <v>-9.196472E-2</v>
      </c>
      <c r="T6671">
        <v>-0.13558480000000001</v>
      </c>
      <c r="U6671">
        <v>3.1055600000000001</v>
      </c>
      <c r="V6671">
        <v>-2.906166E-2</v>
      </c>
      <c r="W6671">
        <v>0.23310729999999999</v>
      </c>
      <c r="X6671">
        <v>0.97201669999999996</v>
      </c>
      <c r="Y6671">
        <v>-1.116379E-2</v>
      </c>
      <c r="Z6671">
        <v>-3.171388E-2</v>
      </c>
      <c r="AA6671">
        <v>0.99943459999999995</v>
      </c>
      <c r="AB6671">
        <v>32</v>
      </c>
      <c r="AC6671">
        <v>-0.75490000000002</v>
      </c>
      <c r="AD6671">
        <v>-1.1217101726380001</v>
      </c>
      <c r="AE6671">
        <v>25.3825199999999</v>
      </c>
      <c r="AF6671">
        <v>-0.28665075960605302</v>
      </c>
      <c r="AG6671">
        <v>-1.1217101726380001</v>
      </c>
      <c r="AH6671">
        <v>25.342669663324799</v>
      </c>
      <c r="AI6671">
        <v>92.534193755188994</v>
      </c>
      <c r="AJ6671">
        <v>90.648044526317605</v>
      </c>
      <c r="AK6671">
        <v>25.369101443168699</v>
      </c>
      <c r="AL6671">
        <v>76.519919594679095</v>
      </c>
      <c r="AM6671">
        <v>91.712537014118297</v>
      </c>
      <c r="AN6671">
        <v>1.0000000292370601</v>
      </c>
    </row>
    <row r="6672" spans="1:40" x14ac:dyDescent="0.25">
      <c r="A6672" t="str">
        <f>"20190303162949984"</f>
        <v>20190303162949984</v>
      </c>
      <c r="B6672" t="str">
        <f>"1551601789978293"</f>
        <v>1551601789978293</v>
      </c>
      <c r="C6672" t="s">
        <v>40</v>
      </c>
      <c r="D6672">
        <v>4.7213539999999998</v>
      </c>
      <c r="E6672">
        <v>0.51291129999999996</v>
      </c>
      <c r="F6672" t="s">
        <v>41</v>
      </c>
      <c r="G6672">
        <v>-188.8158</v>
      </c>
      <c r="H6672" s="1">
        <v>-3.669885E-6</v>
      </c>
      <c r="I6672">
        <v>67.697730000000007</v>
      </c>
      <c r="J6672">
        <v>-188.20660000000001</v>
      </c>
      <c r="K6672">
        <v>1.1216900000000001</v>
      </c>
      <c r="L6672">
        <v>43.884740000000001</v>
      </c>
      <c r="M6672">
        <v>-1.8709279999999998E-2</v>
      </c>
      <c r="N6672">
        <v>-1.1893239999999999E-2</v>
      </c>
      <c r="O6672">
        <v>0.99975429999999998</v>
      </c>
      <c r="P6672">
        <v>-4.7575409999999999E-2</v>
      </c>
      <c r="Q6672">
        <v>0.2218165</v>
      </c>
      <c r="R6672">
        <v>0.97392710000000005</v>
      </c>
      <c r="S6672">
        <v>-7.9269409999999998E-2</v>
      </c>
      <c r="T6672">
        <v>-0.14438899999999999</v>
      </c>
      <c r="U6672">
        <v>3.1090390000000001</v>
      </c>
      <c r="V6672">
        <v>-2.9472680000000001E-2</v>
      </c>
      <c r="W6672">
        <v>0.23337669999999999</v>
      </c>
      <c r="X6672">
        <v>0.97193960000000001</v>
      </c>
      <c r="Y6672">
        <v>-6.7616500000000001E-3</v>
      </c>
      <c r="Z6672">
        <v>-3.449058E-2</v>
      </c>
      <c r="AA6672">
        <v>0.99938210000000005</v>
      </c>
      <c r="AB6672">
        <v>32</v>
      </c>
      <c r="AC6672">
        <v>-0.60919999999998697</v>
      </c>
      <c r="AD6672">
        <v>-1.12169366988499</v>
      </c>
      <c r="AE6672">
        <v>23.812989999999999</v>
      </c>
      <c r="AF6672">
        <v>-0.16317615602598101</v>
      </c>
      <c r="AG6672">
        <v>-1.12169366988499</v>
      </c>
      <c r="AH6672">
        <v>23.767518644132501</v>
      </c>
      <c r="AI6672">
        <v>92.701971182307702</v>
      </c>
      <c r="AJ6672">
        <v>90.393358612974495</v>
      </c>
      <c r="AK6672">
        <v>23.794532263655501</v>
      </c>
      <c r="AL6672">
        <v>76.504045278905906</v>
      </c>
      <c r="AM6672">
        <v>91.736880435035403</v>
      </c>
      <c r="AN6672">
        <v>0.99999995450871504</v>
      </c>
    </row>
    <row r="6673" spans="1:40" x14ac:dyDescent="0.25">
      <c r="A6673" t="str">
        <f>"20190303162950005"</f>
        <v>20190303162950005</v>
      </c>
      <c r="B6673" t="str">
        <f>"1551601789998789"</f>
        <v>1551601789998789</v>
      </c>
      <c r="C6673" t="s">
        <v>40</v>
      </c>
      <c r="D6673">
        <v>4.6674610000000003</v>
      </c>
      <c r="E6673">
        <v>0.51197899999999996</v>
      </c>
      <c r="F6673" t="s">
        <v>41</v>
      </c>
      <c r="G6673">
        <v>-188.785</v>
      </c>
      <c r="H6673" s="1">
        <v>-4.0060210000000002E-6</v>
      </c>
      <c r="I6673">
        <v>68.468530000000001</v>
      </c>
      <c r="J6673">
        <v>-188.21270000000001</v>
      </c>
      <c r="K6673">
        <v>1.121664</v>
      </c>
      <c r="L6673">
        <v>44.197049999999997</v>
      </c>
      <c r="M6673">
        <v>-1.8959E-2</v>
      </c>
      <c r="N6673">
        <v>-1.189365E-2</v>
      </c>
      <c r="O6673">
        <v>0.99974949999999996</v>
      </c>
      <c r="P6673">
        <v>-4.8107249999999997E-2</v>
      </c>
      <c r="Q6673">
        <v>0.22105569999999999</v>
      </c>
      <c r="R6673">
        <v>0.97407390000000005</v>
      </c>
      <c r="S6673">
        <v>-7.3150629999999994E-2</v>
      </c>
      <c r="T6673">
        <v>-0.14185729999999999</v>
      </c>
      <c r="U6673">
        <v>3.1090390000000001</v>
      </c>
      <c r="V6673">
        <v>-2.9751199999999998E-2</v>
      </c>
      <c r="W6673">
        <v>0.23261899999999999</v>
      </c>
      <c r="X6673">
        <v>0.9721128</v>
      </c>
      <c r="Y6673">
        <v>-4.5476329999999997E-3</v>
      </c>
      <c r="Z6673">
        <v>-3.3679269999999997E-2</v>
      </c>
      <c r="AA6673">
        <v>0.99942240000000004</v>
      </c>
      <c r="AB6673">
        <v>32</v>
      </c>
      <c r="AC6673">
        <v>-0.57229999999998404</v>
      </c>
      <c r="AD6673">
        <v>-1.121668006021</v>
      </c>
      <c r="AE6673">
        <v>24.27148</v>
      </c>
      <c r="AF6673">
        <v>-0.111763016173602</v>
      </c>
      <c r="AG6673">
        <v>-1.121668006021</v>
      </c>
      <c r="AH6673">
        <v>24.2262571000424</v>
      </c>
      <c r="AI6673">
        <v>92.650855101671397</v>
      </c>
      <c r="AJ6673">
        <v>90.264320801954398</v>
      </c>
      <c r="AK6673">
        <v>24.2524671562477</v>
      </c>
      <c r="AL6673">
        <v>76.548687778165103</v>
      </c>
      <c r="AM6673">
        <v>91.752971760272004</v>
      </c>
      <c r="AN6673">
        <v>1.00000001449314</v>
      </c>
    </row>
    <row r="6674" spans="1:40" x14ac:dyDescent="0.25">
      <c r="A6674" t="str">
        <f>"20190303162950028"</f>
        <v>20190303162950028</v>
      </c>
      <c r="B6674" t="str">
        <f>"1551601790018310"</f>
        <v>1551601790018310</v>
      </c>
      <c r="C6674" t="s">
        <v>40</v>
      </c>
      <c r="D6674">
        <v>4.6488990000000001</v>
      </c>
      <c r="E6674">
        <v>0.51153899999999997</v>
      </c>
      <c r="F6674" t="s">
        <v>41</v>
      </c>
      <c r="G6674">
        <v>-188.8948</v>
      </c>
      <c r="H6674" s="1">
        <v>-4.7211070000000001E-7</v>
      </c>
      <c r="I6674">
        <v>70.171289999999999</v>
      </c>
      <c r="J6674">
        <v>-188.21899999999999</v>
      </c>
      <c r="K6674">
        <v>1.121637</v>
      </c>
      <c r="L6674">
        <v>44.514620000000001</v>
      </c>
      <c r="M6674">
        <v>-1.9198420000000001E-2</v>
      </c>
      <c r="N6674">
        <v>-1.1894129999999999E-2</v>
      </c>
      <c r="O6674">
        <v>0.99974499999999999</v>
      </c>
      <c r="P6674">
        <v>-4.8469289999999998E-2</v>
      </c>
      <c r="Q6674">
        <v>0.2188869</v>
      </c>
      <c r="R6674">
        <v>0.97454569999999996</v>
      </c>
      <c r="S6674">
        <v>-8.1573489999999999E-2</v>
      </c>
      <c r="T6674">
        <v>-0.13414000000000001</v>
      </c>
      <c r="U6674">
        <v>3.1062620000000001</v>
      </c>
      <c r="V6674">
        <v>-2.986202E-2</v>
      </c>
      <c r="W6674">
        <v>0.23045679999999999</v>
      </c>
      <c r="X6674">
        <v>0.97262420000000005</v>
      </c>
      <c r="Y6674">
        <v>-7.038809E-3</v>
      </c>
      <c r="Z6674">
        <v>-3.1240540000000001E-2</v>
      </c>
      <c r="AA6674">
        <v>0.99948709999999996</v>
      </c>
      <c r="AB6674">
        <v>32</v>
      </c>
      <c r="AC6674">
        <v>-0.67579999999998097</v>
      </c>
      <c r="AD6674">
        <v>-1.1216374721107001</v>
      </c>
      <c r="AE6674">
        <v>25.656669999999998</v>
      </c>
      <c r="AF6674">
        <v>-0.18272410537658901</v>
      </c>
      <c r="AG6674">
        <v>-1.1216374721107001</v>
      </c>
      <c r="AH6674">
        <v>25.6159926945063</v>
      </c>
      <c r="AI6674">
        <v>92.507122731052604</v>
      </c>
      <c r="AJ6674">
        <v>90.408695560422402</v>
      </c>
      <c r="AK6674">
        <v>25.6411883586259</v>
      </c>
      <c r="AL6674">
        <v>76.676032442658794</v>
      </c>
      <c r="AM6674">
        <v>91.758572741466295</v>
      </c>
      <c r="AN6674">
        <v>0.99999995566517896</v>
      </c>
    </row>
    <row r="6675" spans="1:40" x14ac:dyDescent="0.25">
      <c r="A6675" t="str">
        <f>"20190303162950048"</f>
        <v>20190303162950048</v>
      </c>
      <c r="B6675" t="str">
        <f>"1551601790038805"</f>
        <v>1551601790038805</v>
      </c>
      <c r="C6675" t="s">
        <v>40</v>
      </c>
      <c r="D6675">
        <v>4.5778650000000001</v>
      </c>
      <c r="E6675">
        <v>0.51120109999999996</v>
      </c>
      <c r="F6675" t="s">
        <v>41</v>
      </c>
      <c r="G6675">
        <v>-188.9101</v>
      </c>
      <c r="H6675" s="1">
        <v>-4.3872629999999999E-6</v>
      </c>
      <c r="I6675">
        <v>69.408940000000001</v>
      </c>
      <c r="J6675">
        <v>-188.2251</v>
      </c>
      <c r="K6675">
        <v>1.1216120000000001</v>
      </c>
      <c r="L6675">
        <v>44.819670000000002</v>
      </c>
      <c r="M6675">
        <v>-1.941855E-2</v>
      </c>
      <c r="N6675">
        <v>-1.189458E-2</v>
      </c>
      <c r="O6675">
        <v>0.99974070000000004</v>
      </c>
      <c r="P6675">
        <v>-4.8634480000000001E-2</v>
      </c>
      <c r="Q6675">
        <v>0.2173446</v>
      </c>
      <c r="R6675">
        <v>0.97488249999999999</v>
      </c>
      <c r="S6675">
        <v>-8.6212159999999996E-2</v>
      </c>
      <c r="T6675">
        <v>-0.13992170000000001</v>
      </c>
      <c r="U6675">
        <v>3.105499</v>
      </c>
      <c r="V6675">
        <v>-2.9800299999999998E-2</v>
      </c>
      <c r="W6675">
        <v>0.2289207</v>
      </c>
      <c r="X6675">
        <v>0.97298879999999999</v>
      </c>
      <c r="Y6675">
        <v>-8.3147229999999996E-3</v>
      </c>
      <c r="Z6675">
        <v>-3.310577E-2</v>
      </c>
      <c r="AA6675">
        <v>0.99941720000000001</v>
      </c>
      <c r="AB6675">
        <v>32</v>
      </c>
      <c r="AC6675">
        <v>-0.68500000000000205</v>
      </c>
      <c r="AD6675">
        <v>-1.1216163872630001</v>
      </c>
      <c r="AE6675">
        <v>24.589269999999999</v>
      </c>
      <c r="AF6675">
        <v>-0.20691888576745199</v>
      </c>
      <c r="AG6675">
        <v>-1.1216163872630001</v>
      </c>
      <c r="AH6675">
        <v>24.546901775447399</v>
      </c>
      <c r="AI6675">
        <v>92.616091406948996</v>
      </c>
      <c r="AJ6675">
        <v>90.482965148479494</v>
      </c>
      <c r="AK6675">
        <v>24.573384494589401</v>
      </c>
      <c r="AL6675">
        <v>76.766462481119007</v>
      </c>
      <c r="AM6675">
        <v>91.754283126024006</v>
      </c>
      <c r="AN6675">
        <v>0.99999997484700898</v>
      </c>
    </row>
    <row r="6676" spans="1:40" x14ac:dyDescent="0.25">
      <c r="A6676" t="str">
        <f>"20190303162950071"</f>
        <v>20190303162950071</v>
      </c>
      <c r="B6676" t="str">
        <f>"1551601790058325"</f>
        <v>1551601790058325</v>
      </c>
      <c r="C6676" t="s">
        <v>40</v>
      </c>
      <c r="D6676">
        <v>4.9752519999999896</v>
      </c>
      <c r="E6676">
        <v>0.510690799999999</v>
      </c>
      <c r="F6676" t="s">
        <v>41</v>
      </c>
      <c r="G6676">
        <v>-188.89320000000001</v>
      </c>
      <c r="H6676" s="1">
        <v>-3.6838519999999999E-6</v>
      </c>
      <c r="I6676">
        <v>67.762299999999996</v>
      </c>
      <c r="J6676">
        <v>-188.23150000000001</v>
      </c>
      <c r="K6676">
        <v>1.1216010000000001</v>
      </c>
      <c r="L6676">
        <v>45.13382</v>
      </c>
      <c r="M6676">
        <v>-1.96372E-2</v>
      </c>
      <c r="N6676">
        <v>-1.1894999999999999E-2</v>
      </c>
      <c r="O6676">
        <v>0.99973639999999997</v>
      </c>
      <c r="P6676">
        <v>-4.8180599999999997E-2</v>
      </c>
      <c r="Q6676">
        <v>0.2163252</v>
      </c>
      <c r="R6676">
        <v>0.97513179999999999</v>
      </c>
      <c r="S6676">
        <v>-9.0469359999999999E-2</v>
      </c>
      <c r="T6676">
        <v>-0.15187629999999999</v>
      </c>
      <c r="U6676">
        <v>3.1066280000000002</v>
      </c>
      <c r="V6676">
        <v>-2.9122619999999998E-2</v>
      </c>
      <c r="W6676">
        <v>0.22790489999999999</v>
      </c>
      <c r="X6676">
        <v>0.9732478</v>
      </c>
      <c r="Y6676">
        <v>-9.4499049999999998E-3</v>
      </c>
      <c r="Z6676">
        <v>-3.6923119999999997E-2</v>
      </c>
      <c r="AA6676">
        <v>0.99927339999999998</v>
      </c>
      <c r="AB6676">
        <v>32</v>
      </c>
      <c r="AC6676">
        <v>-0.66169999999999596</v>
      </c>
      <c r="AD6676">
        <v>-1.121604683852</v>
      </c>
      <c r="AE6676">
        <v>22.62848</v>
      </c>
      <c r="AF6676">
        <v>-0.21664914797135701</v>
      </c>
      <c r="AG6676">
        <v>-1.121604683852</v>
      </c>
      <c r="AH6676">
        <v>22.5816796714888</v>
      </c>
      <c r="AI6676">
        <v>92.843344607867493</v>
      </c>
      <c r="AJ6676">
        <v>90.549680146043499</v>
      </c>
      <c r="AK6676">
        <v>22.6105548517918</v>
      </c>
      <c r="AL6676">
        <v>76.826244574581906</v>
      </c>
      <c r="AM6676">
        <v>91.713957599309097</v>
      </c>
      <c r="AN6676">
        <v>1.0000000253222501</v>
      </c>
    </row>
    <row r="6677" spans="1:40" x14ac:dyDescent="0.25">
      <c r="A6677" t="str">
        <f>"20190303162950092"</f>
        <v>20190303162950092</v>
      </c>
      <c r="B6677" t="str">
        <f>"1551601790078821"</f>
        <v>1551601790078821</v>
      </c>
      <c r="C6677" t="s">
        <v>40</v>
      </c>
      <c r="D6677">
        <v>4.5922199999999904</v>
      </c>
      <c r="E6677">
        <v>0.51018809999999903</v>
      </c>
      <c r="F6677" t="s">
        <v>41</v>
      </c>
      <c r="G6677">
        <v>-188.93299999999999</v>
      </c>
      <c r="H6677" s="1">
        <v>-4.0651299999999998E-6</v>
      </c>
      <c r="I6677">
        <v>68.667490000000001</v>
      </c>
      <c r="J6677">
        <v>-188.23759999999999</v>
      </c>
      <c r="K6677">
        <v>1.1215850000000001</v>
      </c>
      <c r="L6677">
        <v>45.435699999999997</v>
      </c>
      <c r="M6677">
        <v>-1.9839059999999999E-2</v>
      </c>
      <c r="N6677">
        <v>-1.189543E-2</v>
      </c>
      <c r="O6677">
        <v>0.99973239999999997</v>
      </c>
      <c r="P6677">
        <v>-4.8051789999999997E-2</v>
      </c>
      <c r="Q6677">
        <v>0.21384020000000001</v>
      </c>
      <c r="R6677">
        <v>0.9756861</v>
      </c>
      <c r="S6677">
        <v>-9.2544559999999998E-2</v>
      </c>
      <c r="T6677">
        <v>-0.14797199999999999</v>
      </c>
      <c r="U6677">
        <v>3.1047669999999998</v>
      </c>
      <c r="V6677">
        <v>-2.8781379999999999E-2</v>
      </c>
      <c r="W6677">
        <v>0.2254282</v>
      </c>
      <c r="X6677">
        <v>0.97383459999999999</v>
      </c>
      <c r="Y6677">
        <v>-9.9339760000000006E-3</v>
      </c>
      <c r="Z6677">
        <v>-3.5698010000000002E-2</v>
      </c>
      <c r="AA6677">
        <v>0.99931320000000001</v>
      </c>
      <c r="AB6677">
        <v>32</v>
      </c>
      <c r="AC6677">
        <v>-0.69540000000000601</v>
      </c>
      <c r="AD6677">
        <v>-1.12158906513</v>
      </c>
      <c r="AE6677">
        <v>23.23179</v>
      </c>
      <c r="AF6677">
        <v>-0.233789195116063</v>
      </c>
      <c r="AG6677">
        <v>-1.12158906513</v>
      </c>
      <c r="AH6677">
        <v>23.187018509264199</v>
      </c>
      <c r="AI6677">
        <v>92.769179277804994</v>
      </c>
      <c r="AJ6677">
        <v>90.577680147727705</v>
      </c>
      <c r="AK6677">
        <v>23.215306303551898</v>
      </c>
      <c r="AL6677">
        <v>76.971941326969898</v>
      </c>
      <c r="AM6677">
        <v>91.692866238609597</v>
      </c>
      <c r="AN6677">
        <v>1.00000003467355</v>
      </c>
    </row>
    <row r="6678" spans="1:40" x14ac:dyDescent="0.25">
      <c r="A6678" t="str">
        <f>"20190303162950114"</f>
        <v>20190303162950114</v>
      </c>
      <c r="B6678" t="str">
        <f>"1551601790109078"</f>
        <v>1551601790109078</v>
      </c>
      <c r="C6678" t="s">
        <v>40</v>
      </c>
      <c r="D6678">
        <v>4.4837850000000001</v>
      </c>
      <c r="E6678">
        <v>0.50959719999999997</v>
      </c>
      <c r="F6678" t="s">
        <v>41</v>
      </c>
      <c r="G6678">
        <v>-188.94049999999999</v>
      </c>
      <c r="H6678" s="1">
        <v>-3.9881720000000003E-6</v>
      </c>
      <c r="I6678">
        <v>68.491209999999995</v>
      </c>
      <c r="J6678">
        <v>-188.24440000000001</v>
      </c>
      <c r="K6678">
        <v>1.121572</v>
      </c>
      <c r="L6678">
        <v>45.764279999999999</v>
      </c>
      <c r="M6678">
        <v>-2.0048159999999999E-2</v>
      </c>
      <c r="N6678">
        <v>-1.1895930000000001E-2</v>
      </c>
      <c r="O6678">
        <v>0.99972830000000001</v>
      </c>
      <c r="P6678">
        <v>-4.8319529999999999E-2</v>
      </c>
      <c r="Q6678">
        <v>0.21154419999999999</v>
      </c>
      <c r="R6678">
        <v>0.97617330000000002</v>
      </c>
      <c r="S6678">
        <v>-9.4604489999999999E-2</v>
      </c>
      <c r="T6678">
        <v>-0.1509614</v>
      </c>
      <c r="U6678">
        <v>3.10318</v>
      </c>
      <c r="V6678">
        <v>-2.8829919999999998E-2</v>
      </c>
      <c r="W6678">
        <v>0.22313910000000001</v>
      </c>
      <c r="X6678">
        <v>0.97436020000000001</v>
      </c>
      <c r="Y6678">
        <v>-1.0401489999999999E-2</v>
      </c>
      <c r="Z6678">
        <v>-3.668097E-2</v>
      </c>
      <c r="AA6678">
        <v>0.99927290000000002</v>
      </c>
      <c r="AB6678">
        <v>32</v>
      </c>
      <c r="AC6678">
        <v>-0.69609999999997196</v>
      </c>
      <c r="AD6678">
        <v>-1.121575988172</v>
      </c>
      <c r="AE6678">
        <v>22.726929999999999</v>
      </c>
      <c r="AF6678">
        <v>-0.239711476182976</v>
      </c>
      <c r="AG6678">
        <v>-1.121575988172</v>
      </c>
      <c r="AH6678">
        <v>22.6811315405863</v>
      </c>
      <c r="AI6678">
        <v>92.830797401324503</v>
      </c>
      <c r="AJ6678">
        <v>90.605522900040896</v>
      </c>
      <c r="AK6678">
        <v>22.7101105732763</v>
      </c>
      <c r="AL6678">
        <v>77.106525499709704</v>
      </c>
      <c r="AM6678">
        <v>91.694805414023406</v>
      </c>
      <c r="AN6678">
        <v>1.00000001079002</v>
      </c>
    </row>
    <row r="6679" spans="1:40" x14ac:dyDescent="0.25">
      <c r="A6679" t="str">
        <f>"20190303162950137"</f>
        <v>20190303162950137</v>
      </c>
      <c r="B6679" t="str">
        <f>"1551601790128597"</f>
        <v>1551601790128597</v>
      </c>
      <c r="C6679" t="s">
        <v>40</v>
      </c>
      <c r="D6679">
        <v>4.5440079999999998</v>
      </c>
      <c r="E6679">
        <v>0.50927</v>
      </c>
      <c r="F6679" t="s">
        <v>41</v>
      </c>
      <c r="G6679">
        <v>-188.9829</v>
      </c>
      <c r="H6679" s="1">
        <v>-4.0595130000000004E-6</v>
      </c>
      <c r="I6679">
        <v>68.675030000000007</v>
      </c>
      <c r="J6679">
        <v>-188.2509</v>
      </c>
      <c r="K6679">
        <v>1.1215520000000001</v>
      </c>
      <c r="L6679">
        <v>46.079560000000001</v>
      </c>
      <c r="M6679">
        <v>-2.023527E-2</v>
      </c>
      <c r="N6679">
        <v>-1.189638E-2</v>
      </c>
      <c r="O6679">
        <v>0.99972439999999996</v>
      </c>
      <c r="P6679">
        <v>-4.819553E-2</v>
      </c>
      <c r="Q6679">
        <v>0.2101558</v>
      </c>
      <c r="R6679">
        <v>0.97647930000000005</v>
      </c>
      <c r="S6679">
        <v>-9.996033E-2</v>
      </c>
      <c r="T6679">
        <v>-0.1518148</v>
      </c>
      <c r="U6679">
        <v>3.1011660000000001</v>
      </c>
      <c r="V6679">
        <v>-2.8510669999999998E-2</v>
      </c>
      <c r="W6679">
        <v>0.2217556</v>
      </c>
      <c r="X6679">
        <v>0.97468540000000004</v>
      </c>
      <c r="Y6679">
        <v>-1.1957239999999999E-2</v>
      </c>
      <c r="Z6679">
        <v>-3.6984410000000002E-2</v>
      </c>
      <c r="AA6679">
        <v>0.99924429999999997</v>
      </c>
      <c r="AB6679">
        <v>32</v>
      </c>
      <c r="AC6679">
        <v>-0.73199999999999898</v>
      </c>
      <c r="AD6679">
        <v>-1.1215560595129901</v>
      </c>
      <c r="AE6679">
        <v>22.595469999999999</v>
      </c>
      <c r="AF6679">
        <v>-0.27391811211969602</v>
      </c>
      <c r="AG6679">
        <v>-1.1215560595129901</v>
      </c>
      <c r="AH6679">
        <v>22.550156067912901</v>
      </c>
      <c r="AI6679">
        <v>92.847110764170907</v>
      </c>
      <c r="AJ6679">
        <v>90.695941077814595</v>
      </c>
      <c r="AK6679">
        <v>22.579691269235902</v>
      </c>
      <c r="AL6679">
        <v>77.187831436883698</v>
      </c>
      <c r="AM6679">
        <v>91.675489751837404</v>
      </c>
      <c r="AN6679">
        <v>1.00000001670418</v>
      </c>
    </row>
    <row r="6680" spans="1:40" x14ac:dyDescent="0.25">
      <c r="A6680" t="str">
        <f>"20190303162950160"</f>
        <v>20190303162950160</v>
      </c>
      <c r="B6680" t="str">
        <f>"1551601790149094"</f>
        <v>1551601790149094</v>
      </c>
      <c r="C6680" t="s">
        <v>40</v>
      </c>
      <c r="D6680">
        <v>4.5703909999999999</v>
      </c>
      <c r="E6680">
        <v>0.5091907</v>
      </c>
      <c r="F6680" t="s">
        <v>41</v>
      </c>
      <c r="G6680">
        <v>-189.00829999999999</v>
      </c>
      <c r="H6680" s="1">
        <v>-4.1802750000000004E-6</v>
      </c>
      <c r="I6680">
        <v>68.967060000000004</v>
      </c>
      <c r="J6680">
        <v>-188.25790000000001</v>
      </c>
      <c r="K6680">
        <v>1.121534</v>
      </c>
      <c r="L6680">
        <v>46.411990000000003</v>
      </c>
      <c r="M6680">
        <v>-2.0412E-2</v>
      </c>
      <c r="N6680">
        <v>-1.1896840000000001E-2</v>
      </c>
      <c r="O6680">
        <v>0.99972090000000002</v>
      </c>
      <c r="P6680">
        <v>-4.841318E-2</v>
      </c>
      <c r="Q6680">
        <v>0.20901549999999999</v>
      </c>
      <c r="R6680">
        <v>0.97671319999999995</v>
      </c>
      <c r="S6680">
        <v>-0.1025848</v>
      </c>
      <c r="T6680">
        <v>-0.1519036</v>
      </c>
      <c r="U6680">
        <v>3.0998839999999999</v>
      </c>
      <c r="V6680">
        <v>-2.8541440000000001E-2</v>
      </c>
      <c r="W6680">
        <v>0.22062000000000001</v>
      </c>
      <c r="X6680">
        <v>0.97494210000000003</v>
      </c>
      <c r="Y6680">
        <v>-1.263858E-2</v>
      </c>
      <c r="Z6680">
        <v>-3.7031649999999999E-2</v>
      </c>
      <c r="AA6680">
        <v>0.99923410000000001</v>
      </c>
      <c r="AB6680">
        <v>32</v>
      </c>
      <c r="AC6680">
        <v>-0.75039999999998397</v>
      </c>
      <c r="AD6680">
        <v>-1.121538180275</v>
      </c>
      <c r="AE6680">
        <v>22.555070000000001</v>
      </c>
      <c r="AF6680">
        <v>-0.28910295336390801</v>
      </c>
      <c r="AG6680">
        <v>-1.121538180275</v>
      </c>
      <c r="AH6680">
        <v>22.510093198756898</v>
      </c>
      <c r="AI6680">
        <v>92.8520994584742</v>
      </c>
      <c r="AJ6680">
        <v>90.735824070362497</v>
      </c>
      <c r="AK6680">
        <v>22.5398696585446</v>
      </c>
      <c r="AL6680">
        <v>77.2545481531494</v>
      </c>
      <c r="AM6680">
        <v>91.676855607270298</v>
      </c>
      <c r="AN6680">
        <v>0.99999994827483996</v>
      </c>
    </row>
    <row r="6681" spans="1:40" x14ac:dyDescent="0.25">
      <c r="A6681" t="str">
        <f>"20190303162950183"</f>
        <v>20190303162950183</v>
      </c>
      <c r="B6681" t="str">
        <f>"1551601790178373"</f>
        <v>1551601790178373</v>
      </c>
      <c r="C6681" t="s">
        <v>40</v>
      </c>
      <c r="D6681">
        <v>4.5781489999999998</v>
      </c>
      <c r="E6681">
        <v>0.50890199999999997</v>
      </c>
      <c r="F6681" t="s">
        <v>41</v>
      </c>
      <c r="G6681">
        <v>-189.01390000000001</v>
      </c>
      <c r="H6681" s="1">
        <v>-4.1125970000000004E-6</v>
      </c>
      <c r="I6681">
        <v>68.811580000000006</v>
      </c>
      <c r="J6681">
        <v>-188.2645</v>
      </c>
      <c r="K6681">
        <v>1.121507</v>
      </c>
      <c r="L6681">
        <v>46.725520000000003</v>
      </c>
      <c r="M6681">
        <v>-2.055011E-2</v>
      </c>
      <c r="N6681">
        <v>-1.189729E-2</v>
      </c>
      <c r="O6681">
        <v>0.999718</v>
      </c>
      <c r="P6681">
        <v>-4.8693479999999997E-2</v>
      </c>
      <c r="Q6681">
        <v>0.20930119999999999</v>
      </c>
      <c r="R6681">
        <v>0.97663809999999995</v>
      </c>
      <c r="S6681">
        <v>-0.10461429999999999</v>
      </c>
      <c r="T6681">
        <v>-0.1551931</v>
      </c>
      <c r="U6681">
        <v>3.099548</v>
      </c>
      <c r="V6681">
        <v>-2.8676690000000001E-2</v>
      </c>
      <c r="W6681">
        <v>0.22090699999999999</v>
      </c>
      <c r="X6681">
        <v>0.9748732</v>
      </c>
      <c r="Y6681">
        <v>-1.315591E-2</v>
      </c>
      <c r="Z6681">
        <v>-3.8092929999999997E-2</v>
      </c>
      <c r="AA6681">
        <v>0.99918759999999995</v>
      </c>
      <c r="AB6681">
        <v>32</v>
      </c>
      <c r="AC6681">
        <v>-0.74940000000000795</v>
      </c>
      <c r="AD6681">
        <v>-1.1215111125970001</v>
      </c>
      <c r="AE6681">
        <v>22.08606</v>
      </c>
      <c r="AF6681">
        <v>-0.29457991245855902</v>
      </c>
      <c r="AG6681">
        <v>-1.1215111125970001</v>
      </c>
      <c r="AH6681">
        <v>22.040031312212498</v>
      </c>
      <c r="AI6681">
        <v>92.912734267838701</v>
      </c>
      <c r="AJ6681">
        <v>90.765751215816906</v>
      </c>
      <c r="AK6681">
        <v>22.0705130149666</v>
      </c>
      <c r="AL6681">
        <v>77.237689030636503</v>
      </c>
      <c r="AM6681">
        <v>91.684916199689397</v>
      </c>
      <c r="AN6681">
        <v>1.0000000056382901</v>
      </c>
    </row>
    <row r="6682" spans="1:40" x14ac:dyDescent="0.25">
      <c r="A6682" t="str">
        <f>"20190303162950208"</f>
        <v>20190303162950208</v>
      </c>
      <c r="B6682" t="str">
        <f>"1551601790198869"</f>
        <v>1551601790198869</v>
      </c>
      <c r="C6682" t="s">
        <v>40</v>
      </c>
      <c r="D6682">
        <v>4.5744119999999997</v>
      </c>
      <c r="E6682">
        <v>0.50880249999999905</v>
      </c>
      <c r="F6682" t="s">
        <v>41</v>
      </c>
      <c r="G6682">
        <v>-189.06020000000001</v>
      </c>
      <c r="H6682" s="1">
        <v>-2.6379509999999998E-7</v>
      </c>
      <c r="I6682">
        <v>69.688459999999907</v>
      </c>
      <c r="J6682">
        <v>-188.27189999999999</v>
      </c>
      <c r="K6682">
        <v>1.1214770000000001</v>
      </c>
      <c r="L6682">
        <v>47.081389999999999</v>
      </c>
      <c r="M6682">
        <v>-2.0655949999999999E-2</v>
      </c>
      <c r="N6682">
        <v>-1.189775E-2</v>
      </c>
      <c r="O6682">
        <v>0.99971589999999999</v>
      </c>
      <c r="P6682">
        <v>-4.9175730000000001E-2</v>
      </c>
      <c r="Q6682">
        <v>0.210143</v>
      </c>
      <c r="R6682">
        <v>0.9764332</v>
      </c>
      <c r="S6682">
        <v>-0.1073914</v>
      </c>
      <c r="T6682">
        <v>-0.15134729999999999</v>
      </c>
      <c r="U6682">
        <v>3.098846</v>
      </c>
      <c r="V6682">
        <v>-2.9041480000000001E-2</v>
      </c>
      <c r="W6682">
        <v>0.22174859999999999</v>
      </c>
      <c r="X6682">
        <v>0.97467130000000002</v>
      </c>
      <c r="Y6682">
        <v>-1.3953470000000001E-2</v>
      </c>
      <c r="Z6682">
        <v>-3.6866370000000002E-2</v>
      </c>
      <c r="AA6682">
        <v>0.99922279999999997</v>
      </c>
      <c r="AB6682">
        <v>32</v>
      </c>
      <c r="AC6682">
        <v>-0.78830000000001998</v>
      </c>
      <c r="AD6682">
        <v>-1.1214772637951</v>
      </c>
      <c r="AE6682">
        <v>22.60707</v>
      </c>
      <c r="AF6682">
        <v>-0.320340882503094</v>
      </c>
      <c r="AG6682">
        <v>-1.1214772637951</v>
      </c>
      <c r="AH6682">
        <v>22.563072348037799</v>
      </c>
      <c r="AI6682">
        <v>92.845207315333198</v>
      </c>
      <c r="AJ6682">
        <v>90.813406402055506</v>
      </c>
      <c r="AK6682">
        <v>22.593197279645899</v>
      </c>
      <c r="AL6682">
        <v>77.188242479283602</v>
      </c>
      <c r="AM6682">
        <v>91.706690317687901</v>
      </c>
      <c r="AN6682">
        <v>0.99999999610311996</v>
      </c>
    </row>
    <row r="6683" spans="1:40" x14ac:dyDescent="0.25">
      <c r="A6683" t="str">
        <f>"20190303162950227"</f>
        <v>20190303162950227</v>
      </c>
      <c r="B6683" t="str">
        <f>"1551601790218390"</f>
        <v>1551601790218390</v>
      </c>
      <c r="C6683" t="s">
        <v>40</v>
      </c>
      <c r="D6683">
        <v>4.612609</v>
      </c>
      <c r="E6683">
        <v>0.50867640000000003</v>
      </c>
      <c r="F6683" t="s">
        <v>41</v>
      </c>
      <c r="G6683">
        <v>-189.10499999999999</v>
      </c>
      <c r="H6683" s="1">
        <v>-5.9376039999999996E-7</v>
      </c>
      <c r="I6683">
        <v>70.646769999999904</v>
      </c>
      <c r="J6683">
        <v>-188.27770000000001</v>
      </c>
      <c r="K6683">
        <v>1.1214519999999999</v>
      </c>
      <c r="L6683">
        <v>47.35519</v>
      </c>
      <c r="M6683">
        <v>-2.070725E-2</v>
      </c>
      <c r="N6683">
        <v>-1.189814E-2</v>
      </c>
      <c r="O6683">
        <v>0.99971480000000001</v>
      </c>
      <c r="P6683">
        <v>-4.9735370000000001E-2</v>
      </c>
      <c r="Q6683">
        <v>0.21035590000000001</v>
      </c>
      <c r="R6683">
        <v>0.97635899999999998</v>
      </c>
      <c r="S6683">
        <v>-0.1095428</v>
      </c>
      <c r="T6683">
        <v>-0.14746400000000001</v>
      </c>
      <c r="U6683">
        <v>3.098633</v>
      </c>
      <c r="V6683">
        <v>-2.9537290000000001E-2</v>
      </c>
      <c r="W6683">
        <v>0.22196340000000001</v>
      </c>
      <c r="X6683">
        <v>0.97460749999999996</v>
      </c>
      <c r="Y6683">
        <v>-1.4598959999999999E-2</v>
      </c>
      <c r="Z6683">
        <v>-3.5619909999999998E-2</v>
      </c>
      <c r="AA6683">
        <v>0.9992588</v>
      </c>
      <c r="AB6683">
        <v>32</v>
      </c>
      <c r="AC6683">
        <v>-0.82729999999997905</v>
      </c>
      <c r="AD6683">
        <v>-1.1214525937604001</v>
      </c>
      <c r="AE6683">
        <v>23.2915799999999</v>
      </c>
      <c r="AF6683">
        <v>-0.34398743252585801</v>
      </c>
      <c r="AG6683">
        <v>-1.1214525937604001</v>
      </c>
      <c r="AH6683">
        <v>23.249885888694202</v>
      </c>
      <c r="AI6683">
        <v>92.761205961414603</v>
      </c>
      <c r="AJ6683">
        <v>90.847642447703706</v>
      </c>
      <c r="AK6683">
        <v>23.279458264982999</v>
      </c>
      <c r="AL6683">
        <v>77.175620736776096</v>
      </c>
      <c r="AM6683">
        <v>91.735923633490202</v>
      </c>
      <c r="AN6683">
        <v>0.99999999074817703</v>
      </c>
    </row>
    <row r="6684" spans="1:40" x14ac:dyDescent="0.25">
      <c r="A6684" t="str">
        <f>"20190303162950249"</f>
        <v>20190303162950249</v>
      </c>
      <c r="B6684" t="str">
        <f>"1551601790238886"</f>
        <v>1551601790238886</v>
      </c>
      <c r="C6684" t="s">
        <v>40</v>
      </c>
      <c r="D6684">
        <v>4.6049220000000002</v>
      </c>
      <c r="E6684">
        <v>0.50857399999999997</v>
      </c>
      <c r="F6684" t="s">
        <v>41</v>
      </c>
      <c r="G6684">
        <v>-189.15979999999999</v>
      </c>
      <c r="H6684" s="1">
        <v>-1.012291E-6</v>
      </c>
      <c r="I6684">
        <v>71.645049999999998</v>
      </c>
      <c r="J6684">
        <v>-188.28440000000001</v>
      </c>
      <c r="K6684">
        <v>1.121426</v>
      </c>
      <c r="L6684">
        <v>47.675629999999998</v>
      </c>
      <c r="M6684">
        <v>-2.0737390000000001E-2</v>
      </c>
      <c r="N6684">
        <v>-1.1898560000000001E-2</v>
      </c>
      <c r="O6684">
        <v>0.99971410000000005</v>
      </c>
      <c r="P6684">
        <v>-5.0827190000000001E-2</v>
      </c>
      <c r="Q6684">
        <v>0.21032290000000001</v>
      </c>
      <c r="R6684">
        <v>0.97630980000000001</v>
      </c>
      <c r="S6684">
        <v>-0.11250309999999999</v>
      </c>
      <c r="T6684">
        <v>-0.14302039999999999</v>
      </c>
      <c r="U6684">
        <v>3.0977169999999998</v>
      </c>
      <c r="V6684">
        <v>-3.058545E-2</v>
      </c>
      <c r="W6684">
        <v>0.22193270000000001</v>
      </c>
      <c r="X6684">
        <v>0.97458210000000001</v>
      </c>
      <c r="Y6684">
        <v>-1.553452E-2</v>
      </c>
      <c r="Z6684">
        <v>-3.4202980000000001E-2</v>
      </c>
      <c r="AA6684">
        <v>0.99929420000000002</v>
      </c>
      <c r="AB6684">
        <v>32</v>
      </c>
      <c r="AC6684">
        <v>-0.87539999999998397</v>
      </c>
      <c r="AD6684">
        <v>-1.1214270122909999</v>
      </c>
      <c r="AE6684">
        <v>23.96942</v>
      </c>
      <c r="AF6684">
        <v>-0.37728854997368899</v>
      </c>
      <c r="AG6684">
        <v>-1.1214270122909999</v>
      </c>
      <c r="AH6684">
        <v>23.9301086474374</v>
      </c>
      <c r="AI6684">
        <v>92.682733094166494</v>
      </c>
      <c r="AJ6684">
        <v>90.903265881643605</v>
      </c>
      <c r="AK6684">
        <v>23.959341499131298</v>
      </c>
      <c r="AL6684">
        <v>77.177423936589605</v>
      </c>
      <c r="AM6684">
        <v>91.797531700703502</v>
      </c>
      <c r="AN6684">
        <v>0.99999993136069798</v>
      </c>
    </row>
    <row r="6685" spans="1:40" x14ac:dyDescent="0.25">
      <c r="A6685" t="str">
        <f>"20190303162950272"</f>
        <v>20190303162950272</v>
      </c>
      <c r="B6685" t="str">
        <f>"1551601790258406"</f>
        <v>1551601790258406</v>
      </c>
      <c r="C6685" t="s">
        <v>40</v>
      </c>
      <c r="D6685">
        <v>4.5975929999999998</v>
      </c>
      <c r="E6685">
        <v>0.5084938</v>
      </c>
      <c r="F6685" t="s">
        <v>41</v>
      </c>
      <c r="G6685">
        <v>-189.21600000000001</v>
      </c>
      <c r="H6685" s="1">
        <v>-1.3921350000000001E-6</v>
      </c>
      <c r="I6685">
        <v>72.553690000000003</v>
      </c>
      <c r="J6685">
        <v>-188.291</v>
      </c>
      <c r="K6685">
        <v>1.1213959999999901</v>
      </c>
      <c r="L6685">
        <v>47.996670000000002</v>
      </c>
      <c r="M6685">
        <v>-2.0733020000000001E-2</v>
      </c>
      <c r="N6685">
        <v>-1.189891E-2</v>
      </c>
      <c r="O6685">
        <v>0.99971429999999994</v>
      </c>
      <c r="P6685">
        <v>-5.2008459999999999E-2</v>
      </c>
      <c r="Q6685">
        <v>0.21042430000000001</v>
      </c>
      <c r="R6685">
        <v>0.97622580000000003</v>
      </c>
      <c r="S6685">
        <v>-0.11596679999999999</v>
      </c>
      <c r="T6685">
        <v>-0.13959569999999999</v>
      </c>
      <c r="U6685">
        <v>3.096832</v>
      </c>
      <c r="V6685">
        <v>-3.1758550000000003E-2</v>
      </c>
      <c r="W6685">
        <v>0.2220355</v>
      </c>
      <c r="X6685">
        <v>0.97452119999999998</v>
      </c>
      <c r="Y6685">
        <v>-1.6666500000000001E-2</v>
      </c>
      <c r="Z6685">
        <v>-3.311244E-2</v>
      </c>
      <c r="AA6685">
        <v>0.9993126</v>
      </c>
      <c r="AB6685">
        <v>32</v>
      </c>
      <c r="AC6685">
        <v>-0.92499999999998195</v>
      </c>
      <c r="AD6685">
        <v>-1.12139739213499</v>
      </c>
      <c r="AE6685">
        <v>24.557020000000001</v>
      </c>
      <c r="AF6685">
        <v>-0.414760266268624</v>
      </c>
      <c r="AG6685">
        <v>-1.12139739213499</v>
      </c>
      <c r="AH6685">
        <v>24.5198613385095</v>
      </c>
      <c r="AI6685">
        <v>92.618180650658601</v>
      </c>
      <c r="AJ6685">
        <v>90.969081607857404</v>
      </c>
      <c r="AK6685">
        <v>24.548995055791899</v>
      </c>
      <c r="AL6685">
        <v>77.171383706912806</v>
      </c>
      <c r="AM6685">
        <v>91.866544430416397</v>
      </c>
      <c r="AN6685">
        <v>0.99999996900389498</v>
      </c>
    </row>
    <row r="6686" spans="1:40" x14ac:dyDescent="0.25">
      <c r="A6686" t="str">
        <f>"20190303162950294"</f>
        <v>20190303162950294</v>
      </c>
      <c r="B6686" t="str">
        <f>"1551601790288662"</f>
        <v>1551601790288662</v>
      </c>
      <c r="C6686" t="s">
        <v>40</v>
      </c>
      <c r="D6686">
        <v>4.5908470000000001</v>
      </c>
      <c r="E6686">
        <v>0.50834799999999902</v>
      </c>
      <c r="F6686" t="s">
        <v>41</v>
      </c>
      <c r="G6686">
        <v>-189.27539999999999</v>
      </c>
      <c r="H6686" s="1">
        <v>-1.7788199999999999E-6</v>
      </c>
      <c r="I6686">
        <v>73.479650000000007</v>
      </c>
      <c r="J6686">
        <v>-188.29759999999999</v>
      </c>
      <c r="K6686">
        <v>1.121367</v>
      </c>
      <c r="L6686">
        <v>48.311920000000001</v>
      </c>
      <c r="M6686">
        <v>-2.0684560000000001E-2</v>
      </c>
      <c r="N6686">
        <v>-1.189922E-2</v>
      </c>
      <c r="O6686">
        <v>0.99971520000000003</v>
      </c>
      <c r="P6686">
        <v>-5.3341689999999997E-2</v>
      </c>
      <c r="Q6686">
        <v>0.21142230000000001</v>
      </c>
      <c r="R6686">
        <v>0.97593810000000003</v>
      </c>
      <c r="S6686">
        <v>-0.11959839999999999</v>
      </c>
      <c r="T6686">
        <v>-0.13624359999999999</v>
      </c>
      <c r="U6686">
        <v>3.0960390000000002</v>
      </c>
      <c r="V6686">
        <v>-3.3129039999999998E-2</v>
      </c>
      <c r="W6686">
        <v>0.22303319999999999</v>
      </c>
      <c r="X6686">
        <v>0.9742478</v>
      </c>
      <c r="Y6686">
        <v>-1.789605E-2</v>
      </c>
      <c r="Z6686">
        <v>-3.2043170000000003E-2</v>
      </c>
      <c r="AA6686">
        <v>0.99932619999999905</v>
      </c>
      <c r="AB6686">
        <v>32</v>
      </c>
      <c r="AC6686">
        <v>-0.977800000000002</v>
      </c>
      <c r="AD6686">
        <v>-1.12136877882</v>
      </c>
      <c r="AE6686">
        <v>25.167729999999999</v>
      </c>
      <c r="AF6686">
        <v>-0.45606644342409203</v>
      </c>
      <c r="AG6686">
        <v>-1.12136877882</v>
      </c>
      <c r="AH6686">
        <v>25.132752570475699</v>
      </c>
      <c r="AI6686">
        <v>92.554298787103406</v>
      </c>
      <c r="AJ6686">
        <v>91.039592249363494</v>
      </c>
      <c r="AK6686">
        <v>25.1618901576906</v>
      </c>
      <c r="AL6686">
        <v>77.112750615723002</v>
      </c>
      <c r="AM6686">
        <v>91.947577456793695</v>
      </c>
      <c r="AN6686">
        <v>1.00000005869919</v>
      </c>
    </row>
    <row r="6687" spans="1:40" x14ac:dyDescent="0.25">
      <c r="A6687" t="str">
        <f>"20190303162950316"</f>
        <v>20190303162950316</v>
      </c>
      <c r="B6687" t="str">
        <f>"1551601790308182"</f>
        <v>1551601790308182</v>
      </c>
      <c r="C6687" t="s">
        <v>40</v>
      </c>
      <c r="D6687">
        <v>4.637518</v>
      </c>
      <c r="E6687">
        <v>0.50830339999999996</v>
      </c>
      <c r="F6687" t="s">
        <v>41</v>
      </c>
      <c r="G6687">
        <v>-189.3974</v>
      </c>
      <c r="H6687" s="1">
        <v>-2.687981E-6</v>
      </c>
      <c r="I6687">
        <v>75.649339999999995</v>
      </c>
      <c r="J6687">
        <v>-188.30430000000001</v>
      </c>
      <c r="K6687">
        <v>1.1213200000000001</v>
      </c>
      <c r="L6687">
        <v>48.637819999999998</v>
      </c>
      <c r="M6687">
        <v>-2.0575110000000001E-2</v>
      </c>
      <c r="N6687">
        <v>-1.1899750000000001E-2</v>
      </c>
      <c r="O6687">
        <v>0.99971750000000004</v>
      </c>
      <c r="P6687">
        <v>-5.4906610000000002E-2</v>
      </c>
      <c r="Q6687">
        <v>0.21173629999999999</v>
      </c>
      <c r="R6687">
        <v>0.97578330000000002</v>
      </c>
      <c r="S6687">
        <v>-0.1244965</v>
      </c>
      <c r="T6687">
        <v>-0.1269419</v>
      </c>
      <c r="U6687">
        <v>3.0946660000000001</v>
      </c>
      <c r="V6687">
        <v>-3.4781159999999998E-2</v>
      </c>
      <c r="W6687">
        <v>0.2233492</v>
      </c>
      <c r="X6687">
        <v>0.97411780000000003</v>
      </c>
      <c r="Y6687">
        <v>-1.9605259999999999E-2</v>
      </c>
      <c r="Z6687">
        <v>-2.9063909999999998E-2</v>
      </c>
      <c r="AA6687">
        <v>0.99938530000000003</v>
      </c>
      <c r="AB6687">
        <v>32</v>
      </c>
      <c r="AC6687">
        <v>-1.09309999999999</v>
      </c>
      <c r="AD6687">
        <v>-1.1213226879809901</v>
      </c>
      <c r="AE6687">
        <v>27.011520000000001</v>
      </c>
      <c r="AF6687">
        <v>-0.53614179805588702</v>
      </c>
      <c r="AG6687">
        <v>-1.1213226879809901</v>
      </c>
      <c r="AH6687">
        <v>26.9818712870523</v>
      </c>
      <c r="AI6687">
        <v>92.379280896627705</v>
      </c>
      <c r="AJ6687">
        <v>91.138342850637898</v>
      </c>
      <c r="AK6687">
        <v>27.010482978822498</v>
      </c>
      <c r="AL6687">
        <v>77.094176386403404</v>
      </c>
      <c r="AM6687">
        <v>92.044893814420604</v>
      </c>
      <c r="AN6687">
        <v>1.00000004125421</v>
      </c>
    </row>
    <row r="6688" spans="1:40" x14ac:dyDescent="0.25">
      <c r="A6688" t="str">
        <f>"20190303162950338"</f>
        <v>20190303162950338</v>
      </c>
      <c r="B6688" t="str">
        <f>"1551601790328677"</f>
        <v>1551601790328677</v>
      </c>
      <c r="C6688" t="s">
        <v>40</v>
      </c>
      <c r="D6688">
        <v>4.6125850000000002</v>
      </c>
      <c r="E6688">
        <v>0.5083162</v>
      </c>
      <c r="F6688" t="s">
        <v>41</v>
      </c>
      <c r="G6688">
        <v>-189.4907</v>
      </c>
      <c r="H6688" s="1">
        <v>-3.2453359999999998E-6</v>
      </c>
      <c r="I6688">
        <v>76.987139999999997</v>
      </c>
      <c r="J6688">
        <v>-188.31059999999999</v>
      </c>
      <c r="K6688">
        <v>1.1212580000000001</v>
      </c>
      <c r="L6688">
        <v>48.950130000000001</v>
      </c>
      <c r="M6688">
        <v>-2.040426E-2</v>
      </c>
      <c r="N6688">
        <v>-1.1900300000000001E-2</v>
      </c>
      <c r="O6688">
        <v>0.99972099999999997</v>
      </c>
      <c r="P6688">
        <v>-5.644855E-2</v>
      </c>
      <c r="Q6688">
        <v>0.21063090000000001</v>
      </c>
      <c r="R6688">
        <v>0.97593450000000004</v>
      </c>
      <c r="S6688">
        <v>-0.1294708</v>
      </c>
      <c r="T6688">
        <v>-0.1223683</v>
      </c>
      <c r="U6688">
        <v>3.0937190000000001</v>
      </c>
      <c r="V6688">
        <v>-3.645756E-2</v>
      </c>
      <c r="W6688">
        <v>0.22225220000000001</v>
      </c>
      <c r="X6688">
        <v>0.97430740000000005</v>
      </c>
      <c r="Y6688">
        <v>-2.1393929999999999E-2</v>
      </c>
      <c r="Z6688">
        <v>-2.7600039999999999E-2</v>
      </c>
      <c r="AA6688">
        <v>0.99939009999999995</v>
      </c>
      <c r="AB6688">
        <v>32</v>
      </c>
      <c r="AC6688">
        <v>-1.1801000000000099</v>
      </c>
      <c r="AD6688">
        <v>-1.121261245336</v>
      </c>
      <c r="AE6688">
        <v>28.037009999999899</v>
      </c>
      <c r="AF6688">
        <v>-0.606770599045106</v>
      </c>
      <c r="AG6688">
        <v>-1.121261245336</v>
      </c>
      <c r="AH6688">
        <v>28.010532849246999</v>
      </c>
      <c r="AI6688">
        <v>92.291788305884396</v>
      </c>
      <c r="AJ6688">
        <v>91.240960258161493</v>
      </c>
      <c r="AK6688">
        <v>28.039531876243998</v>
      </c>
      <c r="AL6688">
        <v>77.158650616326497</v>
      </c>
      <c r="AM6688">
        <v>92.142948119249695</v>
      </c>
      <c r="AN6688">
        <v>1.00000005189037</v>
      </c>
    </row>
    <row r="6689" spans="1:40" x14ac:dyDescent="0.25">
      <c r="A6689" t="str">
        <f>"20190303162950361"</f>
        <v>20190303162950361</v>
      </c>
      <c r="B6689" t="str">
        <f>"1551601790348197"</f>
        <v>1551601790348197</v>
      </c>
      <c r="C6689" t="s">
        <v>40</v>
      </c>
      <c r="D6689">
        <v>4.6261929999999998</v>
      </c>
      <c r="E6689">
        <v>0.50833300000000003</v>
      </c>
      <c r="F6689" t="s">
        <v>41</v>
      </c>
      <c r="G6689">
        <v>-189.53630000000001</v>
      </c>
      <c r="H6689" s="1">
        <v>-3.3612760000000001E-6</v>
      </c>
      <c r="I6689">
        <v>77.276240000000001</v>
      </c>
      <c r="J6689">
        <v>-188.31700000000001</v>
      </c>
      <c r="K6689">
        <v>1.121186</v>
      </c>
      <c r="L6689">
        <v>49.272640000000003</v>
      </c>
      <c r="M6689">
        <v>-2.0153299999999999E-2</v>
      </c>
      <c r="N6689">
        <v>-1.190078E-2</v>
      </c>
      <c r="O6689">
        <v>0.99972609999999995</v>
      </c>
      <c r="P6689">
        <v>-5.8587599999999997E-2</v>
      </c>
      <c r="Q6689">
        <v>0.20794650000000001</v>
      </c>
      <c r="R6689">
        <v>0.97638400000000003</v>
      </c>
      <c r="S6689">
        <v>-0.13381960000000001</v>
      </c>
      <c r="T6689">
        <v>-0.1224196</v>
      </c>
      <c r="U6689">
        <v>3.092651</v>
      </c>
      <c r="V6689">
        <v>-3.8797949999999998E-2</v>
      </c>
      <c r="W6689">
        <v>0.2195809</v>
      </c>
      <c r="X6689">
        <v>0.97482250000000004</v>
      </c>
      <c r="Y6689">
        <v>-2.3061499999999999E-2</v>
      </c>
      <c r="Z6689">
        <v>-2.762821E-2</v>
      </c>
      <c r="AA6689">
        <v>0.99935220000000002</v>
      </c>
      <c r="AB6689">
        <v>32</v>
      </c>
      <c r="AC6689">
        <v>-1.2193000000000001</v>
      </c>
      <c r="AD6689">
        <v>-1.121189361276</v>
      </c>
      <c r="AE6689">
        <v>28.003599999999999</v>
      </c>
      <c r="AF6689">
        <v>-0.65360168953614595</v>
      </c>
      <c r="AG6689">
        <v>-1.121189361276</v>
      </c>
      <c r="AH6689">
        <v>27.977723281411802</v>
      </c>
      <c r="AI6689">
        <v>92.294238454478204</v>
      </c>
      <c r="AJ6689">
        <v>91.3382721494348</v>
      </c>
      <c r="AK6689">
        <v>28.007807139504099</v>
      </c>
      <c r="AL6689">
        <v>77.315581300298405</v>
      </c>
      <c r="AM6689">
        <v>92.279169951765894</v>
      </c>
      <c r="AN6689">
        <v>0.99999997953763098</v>
      </c>
    </row>
    <row r="6690" spans="1:40" x14ac:dyDescent="0.25">
      <c r="A6690" t="str">
        <f>"20190303162950385"</f>
        <v>20190303162950385</v>
      </c>
      <c r="B6690" t="str">
        <f>"1551601790368693"</f>
        <v>1551601790368693</v>
      </c>
      <c r="C6690" t="s">
        <v>40</v>
      </c>
      <c r="D6690">
        <v>4.6064080000000001</v>
      </c>
      <c r="E6690">
        <v>0.50835220000000003</v>
      </c>
      <c r="F6690" t="s">
        <v>41</v>
      </c>
      <c r="G6690">
        <v>-189.54179999999999</v>
      </c>
      <c r="H6690" s="1">
        <v>-3.0081160000000001E-6</v>
      </c>
      <c r="I6690">
        <v>76.455309999999997</v>
      </c>
      <c r="J6690">
        <v>-188.32320000000001</v>
      </c>
      <c r="K6690">
        <v>1.1210979999999999</v>
      </c>
      <c r="L6690">
        <v>49.595059999999997</v>
      </c>
      <c r="M6690">
        <v>-1.9815010000000001E-2</v>
      </c>
      <c r="N6690">
        <v>-1.190132E-2</v>
      </c>
      <c r="O6690">
        <v>0.99973290000000004</v>
      </c>
      <c r="P6690">
        <v>-6.0291930000000001E-2</v>
      </c>
      <c r="Q6690">
        <v>0.2044975</v>
      </c>
      <c r="R6690">
        <v>0.97700849999999995</v>
      </c>
      <c r="S6690">
        <v>-0.13929749999999999</v>
      </c>
      <c r="T6690">
        <v>-0.12750799999999901</v>
      </c>
      <c r="U6690">
        <v>3.09137</v>
      </c>
      <c r="V6690">
        <v>-4.078449E-2</v>
      </c>
      <c r="W6690">
        <v>0.2161478</v>
      </c>
      <c r="X6690">
        <v>0.9755085</v>
      </c>
      <c r="Y6690">
        <v>-2.5182019999999999E-2</v>
      </c>
      <c r="Z6690">
        <v>-2.9283070000000001E-2</v>
      </c>
      <c r="AA6690">
        <v>0.99925390000000003</v>
      </c>
      <c r="AB6690">
        <v>32</v>
      </c>
      <c r="AC6690">
        <v>-1.2185999999999799</v>
      </c>
      <c r="AD6690">
        <v>-1.121101008116</v>
      </c>
      <c r="AE6690">
        <v>26.860250000000001</v>
      </c>
      <c r="AF6690">
        <v>-0.68489623310936398</v>
      </c>
      <c r="AG6690">
        <v>-1.121101008116</v>
      </c>
      <c r="AH6690">
        <v>26.832475440921002</v>
      </c>
      <c r="AI6690">
        <v>92.391733824082806</v>
      </c>
      <c r="AJ6690">
        <v>91.462151515936498</v>
      </c>
      <c r="AK6690">
        <v>26.864617782655198</v>
      </c>
      <c r="AL6690">
        <v>77.517125591401197</v>
      </c>
      <c r="AM6690">
        <v>92.394053000719694</v>
      </c>
      <c r="AN6690">
        <v>1.00000003982082</v>
      </c>
    </row>
    <row r="6691" spans="1:40" x14ac:dyDescent="0.25">
      <c r="A6691" t="str">
        <f>"20190303162950418"</f>
        <v>20190303162950418</v>
      </c>
      <c r="B6691" t="str">
        <f>"1551601790408710"</f>
        <v>1551601790408710</v>
      </c>
      <c r="C6691" t="s">
        <v>40</v>
      </c>
      <c r="D6691">
        <v>4.6036760000000001</v>
      </c>
      <c r="E6691">
        <v>0.50841429999999999</v>
      </c>
      <c r="F6691" t="s">
        <v>41</v>
      </c>
      <c r="G6691">
        <v>-189.49700000000001</v>
      </c>
      <c r="H6691" s="1">
        <v>-2.3798379999999998E-6</v>
      </c>
      <c r="I6691">
        <v>74.972250000000003</v>
      </c>
      <c r="J6691">
        <v>-188.3321</v>
      </c>
      <c r="K6691">
        <v>1.120962</v>
      </c>
      <c r="L6691">
        <v>50.081910000000001</v>
      </c>
      <c r="M6691">
        <v>-1.9134849999999998E-2</v>
      </c>
      <c r="N6691">
        <v>-1.190226E-2</v>
      </c>
      <c r="O6691">
        <v>0.99974609999999997</v>
      </c>
      <c r="P6691">
        <v>-6.1612269999999997E-2</v>
      </c>
      <c r="Q6691">
        <v>0.19995569999999999</v>
      </c>
      <c r="R6691">
        <v>0.97786589999999995</v>
      </c>
      <c r="S6691">
        <v>-0.1429443</v>
      </c>
      <c r="T6691">
        <v>-0.13652439999999999</v>
      </c>
      <c r="U6691">
        <v>3.090363</v>
      </c>
      <c r="V6691">
        <v>-4.270177E-2</v>
      </c>
      <c r="W6691">
        <v>0.21162990000000001</v>
      </c>
      <c r="X6691">
        <v>0.97641659999999997</v>
      </c>
      <c r="Y6691">
        <v>-2.7048260000000001E-2</v>
      </c>
      <c r="Z6691">
        <v>-3.2202189999999999E-2</v>
      </c>
      <c r="AA6691">
        <v>0.99911530000000004</v>
      </c>
      <c r="AB6691">
        <v>32</v>
      </c>
      <c r="AC6691">
        <v>-1.16490000000001</v>
      </c>
      <c r="AD6691">
        <v>-1.120964379838</v>
      </c>
      <c r="AE6691">
        <v>24.890339999999998</v>
      </c>
      <c r="AF6691">
        <v>-0.68698970312170804</v>
      </c>
      <c r="AG6691">
        <v>-1.120964379838</v>
      </c>
      <c r="AH6691">
        <v>24.857766368183398</v>
      </c>
      <c r="AI6691">
        <v>92.581027574494001</v>
      </c>
      <c r="AJ6691">
        <v>91.583070384421603</v>
      </c>
      <c r="AK6691">
        <v>24.8925102150878</v>
      </c>
      <c r="AL6691">
        <v>77.782114534098596</v>
      </c>
      <c r="AM6691">
        <v>92.504129064400701</v>
      </c>
      <c r="AN6691">
        <v>1.00000001624535</v>
      </c>
    </row>
    <row r="6692" spans="1:40" x14ac:dyDescent="0.25">
      <c r="A6692" t="str">
        <f>"20190303162950439"</f>
        <v>20190303162950439</v>
      </c>
      <c r="B6692" t="str">
        <f>"1551601790428230"</f>
        <v>1551601790428230</v>
      </c>
      <c r="C6692" t="s">
        <v>40</v>
      </c>
      <c r="D6692">
        <v>4.624377</v>
      </c>
      <c r="E6692">
        <v>0.50844100000000003</v>
      </c>
      <c r="F6692" t="s">
        <v>41</v>
      </c>
      <c r="G6692">
        <v>-189.4555</v>
      </c>
      <c r="H6692" s="1">
        <v>-2.0102260000000001E-6</v>
      </c>
      <c r="I6692">
        <v>74.093509999999995</v>
      </c>
      <c r="J6692">
        <v>-188.33750000000001</v>
      </c>
      <c r="K6692">
        <v>1.1208910000000001</v>
      </c>
      <c r="L6692">
        <v>50.389530000000001</v>
      </c>
      <c r="M6692">
        <v>-1.8624419999999999E-2</v>
      </c>
      <c r="N6692">
        <v>-1.190281E-2</v>
      </c>
      <c r="O6692">
        <v>0.99975570000000002</v>
      </c>
      <c r="P6692">
        <v>-6.2106340000000003E-2</v>
      </c>
      <c r="Q6692">
        <v>0.1967139</v>
      </c>
      <c r="R6692">
        <v>0.97849189999999997</v>
      </c>
      <c r="S6692">
        <v>-0.14448549999999999</v>
      </c>
      <c r="T6692">
        <v>-0.14417449999999901</v>
      </c>
      <c r="U6692">
        <v>3.0882869999999998</v>
      </c>
      <c r="V6692">
        <v>-4.3658280000000001E-2</v>
      </c>
      <c r="W6692">
        <v>0.2084029</v>
      </c>
      <c r="X6692">
        <v>0.97706820000000005</v>
      </c>
      <c r="Y6692">
        <v>-2.8082449999999998E-2</v>
      </c>
      <c r="Z6692">
        <v>-3.4698769999999997E-2</v>
      </c>
      <c r="AA6692">
        <v>0.99900319999999998</v>
      </c>
      <c r="AB6692">
        <v>32</v>
      </c>
      <c r="AC6692">
        <v>-1.1179999999999899</v>
      </c>
      <c r="AD6692">
        <v>-1.120893010226</v>
      </c>
      <c r="AE6692">
        <v>23.703979999999898</v>
      </c>
      <c r="AF6692">
        <v>-0.67479635731772503</v>
      </c>
      <c r="AG6692">
        <v>-1.120893010226</v>
      </c>
      <c r="AH6692">
        <v>23.667885921465601</v>
      </c>
      <c r="AI6692">
        <v>92.7103586861666</v>
      </c>
      <c r="AJ6692">
        <v>91.633120609752197</v>
      </c>
      <c r="AK6692">
        <v>23.704020234039</v>
      </c>
      <c r="AL6692">
        <v>77.971225989584994</v>
      </c>
      <c r="AM6692">
        <v>92.558442099336901</v>
      </c>
      <c r="AN6692">
        <v>1.0000000407961001</v>
      </c>
    </row>
    <row r="6693" spans="1:40" x14ac:dyDescent="0.25">
      <c r="A6693" t="str">
        <f>"20190303162950461"</f>
        <v>20190303162950461</v>
      </c>
      <c r="B6693" t="str">
        <f>"1551601790448726"</f>
        <v>1551601790448726</v>
      </c>
      <c r="C6693" t="s">
        <v>40</v>
      </c>
      <c r="D6693">
        <v>4.6394780000000004</v>
      </c>
      <c r="E6693">
        <v>0.50852779999999997</v>
      </c>
      <c r="F6693" t="s">
        <v>41</v>
      </c>
      <c r="G6693">
        <v>-189.4074</v>
      </c>
      <c r="H6693" s="1">
        <v>-1.6742009999999901E-6</v>
      </c>
      <c r="I6693">
        <v>73.29034</v>
      </c>
      <c r="J6693">
        <v>-188.3426</v>
      </c>
      <c r="K6693">
        <v>1.120833</v>
      </c>
      <c r="L6693">
        <v>50.69</v>
      </c>
      <c r="M6693">
        <v>-1.806178E-2</v>
      </c>
      <c r="N6693">
        <v>-1.190334E-2</v>
      </c>
      <c r="O6693">
        <v>0.99976600000000004</v>
      </c>
      <c r="P6693">
        <v>-6.1862849999999997E-2</v>
      </c>
      <c r="Q6693">
        <v>0.1946388</v>
      </c>
      <c r="R6693">
        <v>0.97892219999999996</v>
      </c>
      <c r="S6693">
        <v>-0.1442261</v>
      </c>
      <c r="T6693">
        <v>-0.15110270000000001</v>
      </c>
      <c r="U6693">
        <v>3.0871580000000001</v>
      </c>
      <c r="V6693">
        <v>-4.3935109999999999E-2</v>
      </c>
      <c r="W6693">
        <v>0.2063392</v>
      </c>
      <c r="X6693">
        <v>0.97749359999999996</v>
      </c>
      <c r="Y6693">
        <v>-2.8573959999999999E-2</v>
      </c>
      <c r="Z6693">
        <v>-3.6950959999999998E-2</v>
      </c>
      <c r="AA6693">
        <v>0.99890849999999998</v>
      </c>
      <c r="AB6693">
        <v>32</v>
      </c>
      <c r="AC6693">
        <v>-1.06479999999999</v>
      </c>
      <c r="AD6693">
        <v>-1.120834674201</v>
      </c>
      <c r="AE6693">
        <v>22.600339999999999</v>
      </c>
      <c r="AF6693">
        <v>-0.654788072883428</v>
      </c>
      <c r="AG6693">
        <v>-1.120834674201</v>
      </c>
      <c r="AH6693">
        <v>22.560520779138098</v>
      </c>
      <c r="AI6693">
        <v>92.842991738401494</v>
      </c>
      <c r="AJ6693">
        <v>91.662464463759804</v>
      </c>
      <c r="AK6693">
        <v>22.597834312455799</v>
      </c>
      <c r="AL6693">
        <v>78.092093597369399</v>
      </c>
      <c r="AM6693">
        <v>92.573524036432303</v>
      </c>
      <c r="AN6693">
        <v>0.99999994869415398</v>
      </c>
    </row>
    <row r="6694" spans="1:40" x14ac:dyDescent="0.25">
      <c r="A6694" t="str">
        <f>"20190303162950482"</f>
        <v>20190303162950482</v>
      </c>
      <c r="B6694" t="str">
        <f>"1551601790468246"</f>
        <v>1551601790468246</v>
      </c>
      <c r="C6694" t="s">
        <v>40</v>
      </c>
      <c r="D6694">
        <v>4.6173209999999996</v>
      </c>
      <c r="E6694">
        <v>0.50857299999999905</v>
      </c>
      <c r="F6694" t="s">
        <v>41</v>
      </c>
      <c r="G6694">
        <v>-189.375</v>
      </c>
      <c r="H6694" s="1">
        <v>-1.605064E-6</v>
      </c>
      <c r="I6694">
        <v>73.115799999999993</v>
      </c>
      <c r="J6694">
        <v>-188.3475</v>
      </c>
      <c r="K6694">
        <v>1.120773</v>
      </c>
      <c r="L6694">
        <v>50.999180000000003</v>
      </c>
      <c r="M6694">
        <v>-1.7423230000000001E-2</v>
      </c>
      <c r="N6694">
        <v>-1.190395E-2</v>
      </c>
      <c r="O6694">
        <v>0.99977729999999998</v>
      </c>
      <c r="P6694">
        <v>-6.0313369999999998E-2</v>
      </c>
      <c r="Q6694">
        <v>0.19327759999999999</v>
      </c>
      <c r="R6694">
        <v>0.97928859999999995</v>
      </c>
      <c r="S6694">
        <v>-0.14208979999999999</v>
      </c>
      <c r="T6694">
        <v>-0.154251</v>
      </c>
      <c r="U6694">
        <v>3.0862729999999998</v>
      </c>
      <c r="V6694">
        <v>-4.2981800000000001E-2</v>
      </c>
      <c r="W6694">
        <v>0.20498640000000001</v>
      </c>
      <c r="X6694">
        <v>0.97782060000000004</v>
      </c>
      <c r="Y6694">
        <v>-2.8533880000000001E-2</v>
      </c>
      <c r="Z6694">
        <v>-3.7981630000000002E-2</v>
      </c>
      <c r="AA6694">
        <v>0.99887099999999995</v>
      </c>
      <c r="AB6694">
        <v>32</v>
      </c>
      <c r="AC6694">
        <v>-1.0275000000000001</v>
      </c>
      <c r="AD6694">
        <v>-1.120774605064</v>
      </c>
      <c r="AE6694">
        <v>22.116620000000001</v>
      </c>
      <c r="AF6694">
        <v>-0.64033288171965197</v>
      </c>
      <c r="AG6694">
        <v>-1.120774605064</v>
      </c>
      <c r="AH6694">
        <v>22.074599939153501</v>
      </c>
      <c r="AI6694">
        <v>92.905313386650306</v>
      </c>
      <c r="AJ6694">
        <v>91.661551578698194</v>
      </c>
      <c r="AK6694">
        <v>22.1123070797337</v>
      </c>
      <c r="AL6694">
        <v>78.171296991617695</v>
      </c>
      <c r="AM6694">
        <v>92.516915116487894</v>
      </c>
      <c r="AN6694">
        <v>0.99999999255027905</v>
      </c>
    </row>
    <row r="6695" spans="1:40" x14ac:dyDescent="0.25">
      <c r="A6695" t="str">
        <f>"20190303162950506"</f>
        <v>20190303162950506</v>
      </c>
      <c r="B6695" t="str">
        <f>"1551601790498503"</f>
        <v>1551601790498503</v>
      </c>
      <c r="C6695" t="s">
        <v>40</v>
      </c>
      <c r="D6695">
        <v>4.6407970000000001</v>
      </c>
      <c r="E6695">
        <v>0.52300599999999997</v>
      </c>
      <c r="F6695" t="s">
        <v>41</v>
      </c>
      <c r="G6695">
        <v>-189.33359999999999</v>
      </c>
      <c r="H6695" s="1">
        <v>-1.6958670000000001E-6</v>
      </c>
      <c r="I6695">
        <v>73.310319999999905</v>
      </c>
      <c r="J6695">
        <v>-188.3526</v>
      </c>
      <c r="K6695">
        <v>1.120716</v>
      </c>
      <c r="L6695">
        <v>51.338259999999998</v>
      </c>
      <c r="M6695">
        <v>-1.6664990000000001E-2</v>
      </c>
      <c r="N6695">
        <v>-1.190483E-2</v>
      </c>
      <c r="O6695">
        <v>0.99979030000000002</v>
      </c>
      <c r="P6695">
        <v>-5.7016629999999999E-2</v>
      </c>
      <c r="Q6695">
        <v>0.19159209999999999</v>
      </c>
      <c r="R6695">
        <v>0.97981719999999894</v>
      </c>
      <c r="S6695">
        <v>-0.13636779999999901</v>
      </c>
      <c r="T6695">
        <v>-0.15500320000000001</v>
      </c>
      <c r="U6695">
        <v>3.0856319999999999</v>
      </c>
      <c r="V6695">
        <v>-4.0397130000000003E-2</v>
      </c>
      <c r="W6695">
        <v>0.2033092</v>
      </c>
      <c r="X6695">
        <v>0.97828079999999995</v>
      </c>
      <c r="Y6695">
        <v>-2.7452850000000001E-2</v>
      </c>
      <c r="Z6695">
        <v>-3.8237269999999997E-2</v>
      </c>
      <c r="AA6695">
        <v>0.99889150000000004</v>
      </c>
      <c r="AB6695">
        <v>32</v>
      </c>
      <c r="AC6695">
        <v>-0.98099999999999399</v>
      </c>
      <c r="AD6695">
        <v>-1.120717695867</v>
      </c>
      <c r="AE6695">
        <v>21.9720599999999</v>
      </c>
      <c r="AF6695">
        <v>-0.61308179654051997</v>
      </c>
      <c r="AG6695">
        <v>-1.120717695867</v>
      </c>
      <c r="AH6695">
        <v>21.928420962522001</v>
      </c>
      <c r="AI6695">
        <v>92.924586181239107</v>
      </c>
      <c r="AJ6695">
        <v>91.601476514984995</v>
      </c>
      <c r="AK6695">
        <v>21.9655986340608</v>
      </c>
      <c r="AL6695">
        <v>78.269460199482893</v>
      </c>
      <c r="AM6695">
        <v>92.3646286340269</v>
      </c>
      <c r="AN6695">
        <v>0.99999994128275604</v>
      </c>
    </row>
    <row r="6696" spans="1:40" x14ac:dyDescent="0.25">
      <c r="A6696" t="str">
        <f>"20190303162950527"</f>
        <v>20190303162950527</v>
      </c>
      <c r="B6696" t="str">
        <f>"1551601790518998"</f>
        <v>1551601790518998</v>
      </c>
      <c r="C6696" t="s">
        <v>40</v>
      </c>
      <c r="D6696">
        <v>4.6379099999999998</v>
      </c>
      <c r="E6696">
        <v>0.57450780000000001</v>
      </c>
      <c r="F6696" t="s">
        <v>71</v>
      </c>
      <c r="G6696">
        <v>-188.96209999999999</v>
      </c>
      <c r="H6696">
        <v>1.4134789999999999</v>
      </c>
      <c r="I6696">
        <v>391.87</v>
      </c>
      <c r="J6696">
        <v>-188.3571</v>
      </c>
      <c r="K6696">
        <v>1.120671</v>
      </c>
      <c r="L6696">
        <v>51.653199999999998</v>
      </c>
      <c r="M6696">
        <v>-1.5922490000000001E-2</v>
      </c>
      <c r="N6696">
        <v>-1.190562E-2</v>
      </c>
      <c r="O6696">
        <v>0.99980239999999998</v>
      </c>
      <c r="P6696">
        <v>-5.2641359999999998E-2</v>
      </c>
      <c r="Q6696">
        <v>0.19010869999999999</v>
      </c>
      <c r="R6696">
        <v>0.98035070000000002</v>
      </c>
      <c r="S6696">
        <v>-5.4779049999999999E-3</v>
      </c>
      <c r="T6696">
        <v>2.6315449999999999E-3</v>
      </c>
      <c r="U6696">
        <v>3.0609739999999999</v>
      </c>
      <c r="V6696">
        <v>-3.6724069999999998E-2</v>
      </c>
      <c r="W6696">
        <v>0.20183039999999999</v>
      </c>
      <c r="X6696">
        <v>0.97873180000000004</v>
      </c>
      <c r="Y6696">
        <v>1.4133440000000001E-2</v>
      </c>
      <c r="Z6696">
        <v>1.2764889999999999E-2</v>
      </c>
      <c r="AA6696">
        <v>0.9998186</v>
      </c>
      <c r="AB6696">
        <v>32</v>
      </c>
      <c r="AC6696">
        <v>-0.60499999999998899</v>
      </c>
      <c r="AD6696">
        <v>0.29280800000000001</v>
      </c>
      <c r="AE6696">
        <v>340.21679999999998</v>
      </c>
      <c r="AF6696">
        <v>4.8125554051894799</v>
      </c>
      <c r="AG6696">
        <v>0.29280800000000001</v>
      </c>
      <c r="AH6696">
        <v>340.18304611613502</v>
      </c>
      <c r="AI6696">
        <v>89.950688371749806</v>
      </c>
      <c r="AJ6696">
        <v>89.189493057930704</v>
      </c>
      <c r="AK6696">
        <v>340.21721192630099</v>
      </c>
      <c r="AL6696">
        <v>78.355984325906903</v>
      </c>
      <c r="AM6696">
        <v>92.148849741279093</v>
      </c>
      <c r="AN6696">
        <v>1.0000000520063801</v>
      </c>
    </row>
    <row r="6697" spans="1:40" x14ac:dyDescent="0.25">
      <c r="A6697" t="str">
        <f>"20190303162950549"</f>
        <v>20190303162950549</v>
      </c>
      <c r="B6697" t="str">
        <f>"1551601790538517"</f>
        <v>1551601790538517</v>
      </c>
      <c r="C6697" t="s">
        <v>40</v>
      </c>
      <c r="D6697">
        <v>4.5812710000000001</v>
      </c>
      <c r="E6697">
        <v>0.57625289999999996</v>
      </c>
      <c r="F6697" t="s">
        <v>41</v>
      </c>
      <c r="G6697">
        <v>-183.279</v>
      </c>
      <c r="H6697" s="1">
        <v>-5.4144619999999998E-6</v>
      </c>
      <c r="I6697">
        <v>89.474980000000002</v>
      </c>
      <c r="J6697">
        <v>-188.3612</v>
      </c>
      <c r="K6697">
        <v>1.1206339999999999</v>
      </c>
      <c r="L6697">
        <v>51.955750000000002</v>
      </c>
      <c r="M6697">
        <v>-1.5184420000000001E-2</v>
      </c>
      <c r="N6697">
        <v>-1.190632E-2</v>
      </c>
      <c r="O6697">
        <v>0.99981379999999997</v>
      </c>
      <c r="P6697">
        <v>-4.6670690000000001E-2</v>
      </c>
      <c r="Q6697">
        <v>0.1896417</v>
      </c>
      <c r="R6697">
        <v>0.98074349999999999</v>
      </c>
      <c r="S6697">
        <v>0.41625980000000001</v>
      </c>
      <c r="T6697">
        <v>-9.1862680000000002E-2</v>
      </c>
      <c r="U6697">
        <v>3.1002809999999998</v>
      </c>
      <c r="V6697">
        <v>-3.1457659999999998E-2</v>
      </c>
      <c r="W6697">
        <v>0.20136190000000001</v>
      </c>
      <c r="X6697">
        <v>0.97901170000000004</v>
      </c>
      <c r="Y6697">
        <v>0.14804979999999901</v>
      </c>
      <c r="Z6697">
        <v>-1.7402399999999998E-2</v>
      </c>
      <c r="AA6697">
        <v>0.98882680000000001</v>
      </c>
      <c r="AB6697">
        <v>32</v>
      </c>
      <c r="AC6697">
        <v>5.0821999999999701</v>
      </c>
      <c r="AD6697">
        <v>-1.120639414462</v>
      </c>
      <c r="AE6697">
        <v>37.51923</v>
      </c>
      <c r="AF6697">
        <v>5.6464156051180803</v>
      </c>
      <c r="AG6697">
        <v>-1.120639414462</v>
      </c>
      <c r="AH6697">
        <v>37.404959546946003</v>
      </c>
      <c r="AI6697">
        <v>91.696835493466907</v>
      </c>
      <c r="AJ6697">
        <v>81.415803461039502</v>
      </c>
      <c r="AK6697">
        <v>37.845327856838999</v>
      </c>
      <c r="AL6697">
        <v>78.383390095011706</v>
      </c>
      <c r="AM6697">
        <v>91.840398057499499</v>
      </c>
      <c r="AN6697">
        <v>1.00000005394058</v>
      </c>
    </row>
    <row r="6698" spans="1:40" x14ac:dyDescent="0.25">
      <c r="A6698" t="str">
        <f>"20190303162950572"</f>
        <v>20190303162950572</v>
      </c>
      <c r="B6698" t="str">
        <f>"1551601790568774"</f>
        <v>1551601790568774</v>
      </c>
      <c r="C6698" t="s">
        <v>40</v>
      </c>
      <c r="D6698">
        <v>4.5887469999999997</v>
      </c>
      <c r="E6698">
        <v>0.57548459999999901</v>
      </c>
      <c r="F6698" t="s">
        <v>41</v>
      </c>
      <c r="G6698">
        <v>-182.2646</v>
      </c>
      <c r="H6698" s="1">
        <v>-3.4924510000000001E-6</v>
      </c>
      <c r="I6698">
        <v>93.862660000000005</v>
      </c>
      <c r="J6698">
        <v>-188.36529999999999</v>
      </c>
      <c r="K6698">
        <v>1.1206119999999999</v>
      </c>
      <c r="L6698">
        <v>52.284759999999999</v>
      </c>
      <c r="M6698">
        <v>-1.436073E-2</v>
      </c>
      <c r="N6698">
        <v>-1.1906989999999999E-2</v>
      </c>
      <c r="O6698">
        <v>0.99982599999999999</v>
      </c>
      <c r="P6698">
        <v>-3.9879900000000003E-2</v>
      </c>
      <c r="Q6698">
        <v>0.18993550000000001</v>
      </c>
      <c r="R6698">
        <v>0.98098629999999998</v>
      </c>
      <c r="S6698">
        <v>0.45045469999999999</v>
      </c>
      <c r="T6698">
        <v>-8.2799670000000006E-2</v>
      </c>
      <c r="U6698">
        <v>3.0963440000000002</v>
      </c>
      <c r="V6698">
        <v>-2.546054E-2</v>
      </c>
      <c r="W6698">
        <v>0.2016501</v>
      </c>
      <c r="X6698">
        <v>0.97912659999999996</v>
      </c>
      <c r="Y6698">
        <v>0.15811029999999901</v>
      </c>
      <c r="Z6698">
        <v>-1.450331E-2</v>
      </c>
      <c r="AA6698">
        <v>0.9873149</v>
      </c>
      <c r="AB6698">
        <v>32</v>
      </c>
      <c r="AC6698">
        <v>6.1006999999999802</v>
      </c>
      <c r="AD6698">
        <v>-1.1206154924509999</v>
      </c>
      <c r="AE6698">
        <v>41.5778999999999</v>
      </c>
      <c r="AF6698">
        <v>6.6924430507942203</v>
      </c>
      <c r="AG6698">
        <v>-1.1206154924509999</v>
      </c>
      <c r="AH6698">
        <v>41.4565149669397</v>
      </c>
      <c r="AI6698">
        <v>91.528610744976802</v>
      </c>
      <c r="AJ6698">
        <v>80.829694386736605</v>
      </c>
      <c r="AK6698">
        <v>42.008180230452098</v>
      </c>
      <c r="AL6698">
        <v>78.366530417806899</v>
      </c>
      <c r="AM6698">
        <v>91.489544685502807</v>
      </c>
      <c r="AN6698">
        <v>0.99999995037732903</v>
      </c>
    </row>
    <row r="6699" spans="1:40" x14ac:dyDescent="0.25">
      <c r="A6699" t="str">
        <f>"20190303162950597"</f>
        <v>20190303162950597</v>
      </c>
      <c r="B6699" t="str">
        <f>"1551601790588294"</f>
        <v>1551601790588294</v>
      </c>
      <c r="C6699" t="s">
        <v>40</v>
      </c>
      <c r="D6699">
        <v>4.6280769999999896</v>
      </c>
      <c r="E6699">
        <v>0.57512169999999996</v>
      </c>
      <c r="F6699" t="s">
        <v>41</v>
      </c>
      <c r="G6699">
        <v>-181.15989999999999</v>
      </c>
      <c r="H6699" s="1">
        <v>-2.4546160000000002E-6</v>
      </c>
      <c r="I6699">
        <v>99.949190000000002</v>
      </c>
      <c r="J6699">
        <v>-188.36940000000001</v>
      </c>
      <c r="K6699">
        <v>1.1205989999999999</v>
      </c>
      <c r="L6699">
        <v>52.639499999999998</v>
      </c>
      <c r="M6699">
        <v>-1.3458090000000001E-2</v>
      </c>
      <c r="N6699">
        <v>-1.190769E-2</v>
      </c>
      <c r="O6699">
        <v>0.99983849999999996</v>
      </c>
      <c r="P6699">
        <v>-3.367361E-2</v>
      </c>
      <c r="Q6699">
        <v>0.19095999999999999</v>
      </c>
      <c r="R6699">
        <v>0.98102009999999995</v>
      </c>
      <c r="S6699">
        <v>0.4673004</v>
      </c>
      <c r="T6699">
        <v>-7.2676060000000001E-2</v>
      </c>
      <c r="U6699">
        <v>3.0912169999999999</v>
      </c>
      <c r="V6699">
        <v>-2.0130140000000001E-2</v>
      </c>
      <c r="W6699">
        <v>0.20266670000000001</v>
      </c>
      <c r="X6699">
        <v>0.97904089999999999</v>
      </c>
      <c r="Y6699">
        <v>0.16272300000000001</v>
      </c>
      <c r="Z6699">
        <v>-1.129425E-2</v>
      </c>
      <c r="AA6699">
        <v>0.98660709999999996</v>
      </c>
      <c r="AB6699">
        <v>32</v>
      </c>
      <c r="AC6699">
        <v>7.20950000000001</v>
      </c>
      <c r="AD6699">
        <v>-1.1206014546159999</v>
      </c>
      <c r="AE6699">
        <v>47.309690000000003</v>
      </c>
      <c r="AF6699">
        <v>7.8412906981289199</v>
      </c>
      <c r="AG6699">
        <v>-1.1206014546159999</v>
      </c>
      <c r="AH6699">
        <v>47.182500858148103</v>
      </c>
      <c r="AI6699">
        <v>91.342138329366094</v>
      </c>
      <c r="AJ6699">
        <v>80.564216205965593</v>
      </c>
      <c r="AK6699">
        <v>47.842763033313602</v>
      </c>
      <c r="AL6699">
        <v>78.307056702528399</v>
      </c>
      <c r="AM6699">
        <v>91.177897237763801</v>
      </c>
      <c r="AN6699">
        <v>1.0000000488490499</v>
      </c>
    </row>
    <row r="6700" spans="1:40" x14ac:dyDescent="0.25">
      <c r="A6700" t="str">
        <f>"20190303162950619"</f>
        <v>20190303162950619</v>
      </c>
      <c r="B6700" t="str">
        <f>"1551601790608790"</f>
        <v>1551601790608790</v>
      </c>
      <c r="C6700" t="s">
        <v>40</v>
      </c>
      <c r="D6700">
        <v>4.6265460000000003</v>
      </c>
      <c r="E6700">
        <v>0.57447019999999904</v>
      </c>
      <c r="F6700" t="s">
        <v>41</v>
      </c>
      <c r="G6700">
        <v>-180.1001</v>
      </c>
      <c r="H6700" s="1">
        <v>-4.5981290000000002E-6</v>
      </c>
      <c r="I6700">
        <v>105.4194</v>
      </c>
      <c r="J6700">
        <v>-188.37270000000001</v>
      </c>
      <c r="K6700">
        <v>1.120587</v>
      </c>
      <c r="L6700">
        <v>52.947719999999997</v>
      </c>
      <c r="M6700">
        <v>-1.2667970000000001E-2</v>
      </c>
      <c r="N6700">
        <v>-1.190824E-2</v>
      </c>
      <c r="O6700">
        <v>0.99984879999999998</v>
      </c>
      <c r="P6700">
        <v>-2.852975E-2</v>
      </c>
      <c r="Q6700">
        <v>0.19177720000000001</v>
      </c>
      <c r="R6700">
        <v>0.98102370000000005</v>
      </c>
      <c r="S6700">
        <v>0.48371890000000001</v>
      </c>
      <c r="T6700">
        <v>-6.5550570000000002E-2</v>
      </c>
      <c r="U6700">
        <v>3.087402</v>
      </c>
      <c r="V6700">
        <v>-1.5756200000000001E-2</v>
      </c>
      <c r="W6700">
        <v>0.20347589999999999</v>
      </c>
      <c r="X6700">
        <v>0.97895319999999997</v>
      </c>
      <c r="Y6700">
        <v>0.1672517</v>
      </c>
      <c r="Z6700">
        <v>-9.0282550000000007E-3</v>
      </c>
      <c r="AA6700">
        <v>0.98587290000000005</v>
      </c>
      <c r="AB6700">
        <v>32</v>
      </c>
      <c r="AC6700">
        <v>8.2726000000000095</v>
      </c>
      <c r="AD6700">
        <v>-1.120591598129</v>
      </c>
      <c r="AE6700">
        <v>52.471679999999999</v>
      </c>
      <c r="AF6700">
        <v>8.9327176709547</v>
      </c>
      <c r="AG6700">
        <v>-1.120591598129</v>
      </c>
      <c r="AH6700">
        <v>52.339372294837098</v>
      </c>
      <c r="AI6700">
        <v>91.209044610414395</v>
      </c>
      <c r="AJ6700">
        <v>80.314694641440298</v>
      </c>
      <c r="AK6700">
        <v>53.1079943392362</v>
      </c>
      <c r="AL6700">
        <v>78.259706185027994</v>
      </c>
      <c r="AM6700">
        <v>90.922092925823804</v>
      </c>
      <c r="AN6700">
        <v>1.0000000337547399</v>
      </c>
    </row>
    <row r="6701" spans="1:40" x14ac:dyDescent="0.25">
      <c r="A6701" t="str">
        <f>"20190303162950640"</f>
        <v>20190303162950640</v>
      </c>
      <c r="B6701" t="str">
        <f>"1551601790628816"</f>
        <v>1551601790628816</v>
      </c>
      <c r="C6701" t="s">
        <v>40</v>
      </c>
      <c r="D6701">
        <v>4.6501650000000003</v>
      </c>
      <c r="E6701">
        <v>0.57379840000000004</v>
      </c>
      <c r="F6701" t="s">
        <v>41</v>
      </c>
      <c r="G6701">
        <v>-179.9307</v>
      </c>
      <c r="H6701">
        <v>7.7043139999999996E-2</v>
      </c>
      <c r="I6701">
        <v>105.7677</v>
      </c>
      <c r="J6701">
        <v>-188.3758</v>
      </c>
      <c r="K6701">
        <v>1.1205769999999999</v>
      </c>
      <c r="L6701">
        <v>53.255619999999901</v>
      </c>
      <c r="M6701">
        <v>-1.187825E-2</v>
      </c>
      <c r="N6701">
        <v>-1.1908759999999999E-2</v>
      </c>
      <c r="O6701">
        <v>0.99985860000000004</v>
      </c>
      <c r="P6701">
        <v>-2.4351910000000001E-2</v>
      </c>
      <c r="Q6701">
        <v>0.1918618</v>
      </c>
      <c r="R6701">
        <v>0.98111979999999999</v>
      </c>
      <c r="S6701">
        <v>0.49295040000000001</v>
      </c>
      <c r="T6701">
        <v>-6.0935139999999999E-2</v>
      </c>
      <c r="U6701">
        <v>3.0842900000000002</v>
      </c>
      <c r="V6701">
        <v>-1.2348720000000001E-2</v>
      </c>
      <c r="W6701">
        <v>0.20355619999999999</v>
      </c>
      <c r="X6701">
        <v>0.97898540000000001</v>
      </c>
      <c r="Y6701">
        <v>0.1695063</v>
      </c>
      <c r="Z6701">
        <v>-7.5650759999999996E-3</v>
      </c>
      <c r="AA6701">
        <v>0.98550009999999999</v>
      </c>
      <c r="AB6701">
        <v>32</v>
      </c>
      <c r="AC6701">
        <v>8.4450999999999894</v>
      </c>
      <c r="AD6701">
        <v>-1.0435338599999999</v>
      </c>
      <c r="AE6701">
        <v>52.512079999999997</v>
      </c>
      <c r="AF6701">
        <v>9.0648104268202694</v>
      </c>
      <c r="AG6701">
        <v>-1.0435338599999999</v>
      </c>
      <c r="AH6701">
        <v>52.3878879415253</v>
      </c>
      <c r="AI6701">
        <v>91.124440573587805</v>
      </c>
      <c r="AJ6701">
        <v>80.183167202314294</v>
      </c>
      <c r="AK6701">
        <v>53.176597803591797</v>
      </c>
      <c r="AL6701">
        <v>78.2550067691473</v>
      </c>
      <c r="AM6701">
        <v>90.722678823894995</v>
      </c>
      <c r="AN6701">
        <v>1.0000000154286099</v>
      </c>
    </row>
    <row r="6702" spans="1:40" x14ac:dyDescent="0.25">
      <c r="A6702" t="str">
        <f>"20190303162950662"</f>
        <v>20190303162950662</v>
      </c>
      <c r="B6702" t="str">
        <f>"1551601790659072"</f>
        <v>1551601790659072</v>
      </c>
      <c r="C6702" t="s">
        <v>40</v>
      </c>
      <c r="D6702">
        <v>4.6554200000000003</v>
      </c>
      <c r="E6702">
        <v>0.57284250000000003</v>
      </c>
      <c r="F6702" t="s">
        <v>41</v>
      </c>
      <c r="G6702">
        <v>-179.45930000000001</v>
      </c>
      <c r="H6702">
        <v>7.9986420000000003E-2</v>
      </c>
      <c r="I6702">
        <v>108.17610000000001</v>
      </c>
      <c r="J6702">
        <v>-188.37870000000001</v>
      </c>
      <c r="K6702">
        <v>1.120573</v>
      </c>
      <c r="L6702">
        <v>53.569699999999997</v>
      </c>
      <c r="M6702">
        <v>-1.107644E-2</v>
      </c>
      <c r="N6702">
        <v>-1.1909289999999999E-2</v>
      </c>
      <c r="O6702">
        <v>0.99986770000000003</v>
      </c>
      <c r="P6702">
        <v>-2.160867E-2</v>
      </c>
      <c r="Q6702">
        <v>0.1908067</v>
      </c>
      <c r="R6702">
        <v>0.98138979999999998</v>
      </c>
      <c r="S6702">
        <v>0.50030520000000001</v>
      </c>
      <c r="T6702">
        <v>-5.838728E-2</v>
      </c>
      <c r="U6702">
        <v>3.0815730000000001</v>
      </c>
      <c r="V6702">
        <v>-1.038945E-2</v>
      </c>
      <c r="W6702">
        <v>0.20250099999999999</v>
      </c>
      <c r="X6702">
        <v>0.97922690000000001</v>
      </c>
      <c r="Y6702">
        <v>0.17114499999999999</v>
      </c>
      <c r="Z6702">
        <v>-6.7609339999999997E-3</v>
      </c>
      <c r="AA6702">
        <v>0.98522259999999995</v>
      </c>
      <c r="AB6702">
        <v>32</v>
      </c>
      <c r="AC6702">
        <v>8.9193999999999907</v>
      </c>
      <c r="AD6702">
        <v>-1.04058658</v>
      </c>
      <c r="AE6702">
        <v>54.606400000000001</v>
      </c>
      <c r="AF6702">
        <v>9.5203728360957403</v>
      </c>
      <c r="AG6702">
        <v>-1.04058658</v>
      </c>
      <c r="AH6702">
        <v>54.484976149007203</v>
      </c>
      <c r="AI6702">
        <v>91.077809800422799</v>
      </c>
      <c r="AJ6702">
        <v>80.088548050123094</v>
      </c>
      <c r="AK6702">
        <v>55.3202760778236</v>
      </c>
      <c r="AL6702">
        <v>78.316750569644597</v>
      </c>
      <c r="AM6702">
        <v>90.607876786893598</v>
      </c>
      <c r="AN6702">
        <v>0.99999995867795499</v>
      </c>
    </row>
    <row r="6703" spans="1:40" x14ac:dyDescent="0.25">
      <c r="A6703" t="str">
        <f>"20190303162950685"</f>
        <v>20190303162950685</v>
      </c>
      <c r="B6703" t="str">
        <f>"1551601790678592"</f>
        <v>1551601790678592</v>
      </c>
      <c r="C6703" t="s">
        <v>40</v>
      </c>
      <c r="D6703">
        <v>4.6797069999999996</v>
      </c>
      <c r="E6703">
        <v>0.57231409999999905</v>
      </c>
      <c r="F6703" t="s">
        <v>41</v>
      </c>
      <c r="G6703">
        <v>-179.95779999999999</v>
      </c>
      <c r="H6703">
        <v>1.133699E-2</v>
      </c>
      <c r="I6703">
        <v>105.35899999999999</v>
      </c>
      <c r="J6703">
        <v>-188.38140000000001</v>
      </c>
      <c r="K6703">
        <v>1.1205750000000001</v>
      </c>
      <c r="L6703">
        <v>53.891969999999901</v>
      </c>
      <c r="M6703">
        <v>-1.0266809999999999E-2</v>
      </c>
      <c r="N6703">
        <v>-1.190982E-2</v>
      </c>
      <c r="O6703">
        <v>0.9998764</v>
      </c>
      <c r="P6703">
        <v>-1.9926650000000001E-2</v>
      </c>
      <c r="Q6703">
        <v>0.19050230000000001</v>
      </c>
      <c r="R6703">
        <v>0.98148449999999998</v>
      </c>
      <c r="S6703">
        <v>0.50093080000000001</v>
      </c>
      <c r="T6703">
        <v>-6.5984249999999994E-2</v>
      </c>
      <c r="U6703">
        <v>3.0807500000000001</v>
      </c>
      <c r="V6703">
        <v>-9.5028860000000003E-3</v>
      </c>
      <c r="W6703">
        <v>0.2021965</v>
      </c>
      <c r="X6703">
        <v>0.97929889999999997</v>
      </c>
      <c r="Y6703">
        <v>0.17057829999999999</v>
      </c>
      <c r="Z6703">
        <v>-9.19763E-3</v>
      </c>
      <c r="AA6703">
        <v>0.98530119999999999</v>
      </c>
      <c r="AB6703">
        <v>32</v>
      </c>
      <c r="AC6703">
        <v>8.42360000000002</v>
      </c>
      <c r="AD6703">
        <v>-1.1092380100000001</v>
      </c>
      <c r="AE6703">
        <v>51.467030000000001</v>
      </c>
      <c r="AF6703">
        <v>8.9475478919555105</v>
      </c>
      <c r="AG6703">
        <v>-1.1092380100000001</v>
      </c>
      <c r="AH6703">
        <v>51.354595233868999</v>
      </c>
      <c r="AI6703">
        <v>91.219014311362301</v>
      </c>
      <c r="AJ6703">
        <v>80.116527065987398</v>
      </c>
      <c r="AK6703">
        <v>52.140037148780301</v>
      </c>
      <c r="AL6703">
        <v>78.334566540113499</v>
      </c>
      <c r="AM6703">
        <v>90.555967306960895</v>
      </c>
      <c r="AN6703">
        <v>1.0000000324978899</v>
      </c>
    </row>
    <row r="6704" spans="1:40" x14ac:dyDescent="0.25">
      <c r="A6704" t="str">
        <f>"20190303162950707"</f>
        <v>20190303162950707</v>
      </c>
      <c r="B6704" t="str">
        <f>"1551601790699088"</f>
        <v>1551601790699088</v>
      </c>
      <c r="C6704" t="s">
        <v>40</v>
      </c>
      <c r="D6704">
        <v>4.6810349999999996</v>
      </c>
      <c r="E6704">
        <v>0.57187600000000005</v>
      </c>
      <c r="F6704" t="s">
        <v>41</v>
      </c>
      <c r="G6704">
        <v>-180.1781</v>
      </c>
      <c r="H6704" s="1">
        <v>-4.1831660000000004E-6</v>
      </c>
      <c r="I6704">
        <v>104.261</v>
      </c>
      <c r="J6704">
        <v>-188.38399999999999</v>
      </c>
      <c r="K6704">
        <v>1.120587</v>
      </c>
      <c r="L6704">
        <v>54.224850000000004</v>
      </c>
      <c r="M6704">
        <v>-9.4554530000000008E-3</v>
      </c>
      <c r="N6704">
        <v>-1.1910230000000001E-2</v>
      </c>
      <c r="O6704">
        <v>0.99988440000000001</v>
      </c>
      <c r="P6704">
        <v>-1.8667980000000001E-2</v>
      </c>
      <c r="Q6704">
        <v>0.19094340000000001</v>
      </c>
      <c r="R6704">
        <v>0.98142359999999995</v>
      </c>
      <c r="S6704">
        <v>0.50163270000000004</v>
      </c>
      <c r="T6704">
        <v>-6.8523650000000005E-2</v>
      </c>
      <c r="U6704">
        <v>3.0800779999999999</v>
      </c>
      <c r="V6704">
        <v>-9.0458210000000008E-3</v>
      </c>
      <c r="W6704">
        <v>0.20263590000000001</v>
      </c>
      <c r="X6704">
        <v>0.97921230000000004</v>
      </c>
      <c r="Y6704">
        <v>0.1700296</v>
      </c>
      <c r="Z6704">
        <v>-1.001603E-2</v>
      </c>
      <c r="AA6704">
        <v>0.98538800000000004</v>
      </c>
      <c r="AB6704">
        <v>32</v>
      </c>
      <c r="AC6704">
        <v>8.2059000000000104</v>
      </c>
      <c r="AD6704">
        <v>-1.120591183166</v>
      </c>
      <c r="AE6704">
        <v>50.036149999999999</v>
      </c>
      <c r="AF6704">
        <v>8.6744442821380101</v>
      </c>
      <c r="AG6704">
        <v>-1.120591183166</v>
      </c>
      <c r="AH6704">
        <v>49.931928739268002</v>
      </c>
      <c r="AI6704">
        <v>91.266671691373404</v>
      </c>
      <c r="AJ6704">
        <v>80.144628947866394</v>
      </c>
      <c r="AK6704">
        <v>50.692200739630998</v>
      </c>
      <c r="AL6704">
        <v>78.308857414897801</v>
      </c>
      <c r="AM6704">
        <v>90.529275033708302</v>
      </c>
      <c r="AN6704">
        <v>0.99999993165882906</v>
      </c>
    </row>
    <row r="6705" spans="1:40" x14ac:dyDescent="0.25">
      <c r="A6705" t="str">
        <f>"20190303162950730"</f>
        <v>20190303162950730</v>
      </c>
      <c r="B6705" t="str">
        <f>"1551601790718608"</f>
        <v>1551601790718608</v>
      </c>
      <c r="C6705" t="s">
        <v>40</v>
      </c>
      <c r="D6705">
        <v>4.9383819999999998</v>
      </c>
      <c r="E6705">
        <v>0.57142019999999905</v>
      </c>
      <c r="F6705" t="s">
        <v>41</v>
      </c>
      <c r="G6705">
        <v>-180.214</v>
      </c>
      <c r="H6705" s="1">
        <v>-4.2194020000000003E-6</v>
      </c>
      <c r="I6705">
        <v>104.3956</v>
      </c>
      <c r="J6705">
        <v>-188.3861</v>
      </c>
      <c r="K6705">
        <v>1.120598</v>
      </c>
      <c r="L6705">
        <v>54.54025</v>
      </c>
      <c r="M6705">
        <v>-8.7096810000000004E-3</v>
      </c>
      <c r="N6705">
        <v>-1.1910570000000001E-2</v>
      </c>
      <c r="O6705">
        <v>0.99989119999999998</v>
      </c>
      <c r="P6705">
        <v>-1.8151690000000002E-2</v>
      </c>
      <c r="Q6705">
        <v>0.1925973</v>
      </c>
      <c r="R6705">
        <v>0.98111000000000004</v>
      </c>
      <c r="S6705">
        <v>0.50151060000000003</v>
      </c>
      <c r="T6705">
        <v>-6.8787100000000004E-2</v>
      </c>
      <c r="U6705">
        <v>3.0797119999999998</v>
      </c>
      <c r="V6705">
        <v>-9.2699659999999993E-3</v>
      </c>
      <c r="W6705">
        <v>0.2042863</v>
      </c>
      <c r="X6705">
        <v>0.9788673</v>
      </c>
      <c r="Y6705">
        <v>0.16927500000000001</v>
      </c>
      <c r="Z6705">
        <v>-1.0105039999999999E-2</v>
      </c>
      <c r="AA6705">
        <v>0.98551710000000003</v>
      </c>
      <c r="AB6705">
        <v>32</v>
      </c>
      <c r="AC6705">
        <v>8.1720999999999702</v>
      </c>
      <c r="AD6705">
        <v>-1.120602219402</v>
      </c>
      <c r="AE6705">
        <v>49.855350000000001</v>
      </c>
      <c r="AF6705">
        <v>8.6018128707151096</v>
      </c>
      <c r="AG6705">
        <v>-1.120602219402</v>
      </c>
      <c r="AH6705">
        <v>49.757796484270401</v>
      </c>
      <c r="AI6705">
        <v>91.271297700015595</v>
      </c>
      <c r="AJ6705">
        <v>80.1920066081925</v>
      </c>
      <c r="AK6705">
        <v>50.508269075142501</v>
      </c>
      <c r="AL6705">
        <v>78.212277166543799</v>
      </c>
      <c r="AM6705">
        <v>90.542580236527797</v>
      </c>
      <c r="AN6705">
        <v>1.00000000782331</v>
      </c>
    </row>
    <row r="6706" spans="1:40" x14ac:dyDescent="0.25">
      <c r="A6706" t="str">
        <f>"20190303162950750"</f>
        <v>20190303162950750</v>
      </c>
      <c r="B6706" t="str">
        <f>"1551601790739104"</f>
        <v>1551601790739104</v>
      </c>
      <c r="C6706" t="s">
        <v>40</v>
      </c>
      <c r="D6706">
        <v>4.694267</v>
      </c>
      <c r="E6706">
        <v>0.57089160000000005</v>
      </c>
      <c r="F6706" t="s">
        <v>41</v>
      </c>
      <c r="G6706">
        <v>-179.9366</v>
      </c>
      <c r="H6706">
        <v>7.1164169999999999E-2</v>
      </c>
      <c r="I6706">
        <v>106.6202</v>
      </c>
      <c r="J6706">
        <v>-188.3879</v>
      </c>
      <c r="K6706">
        <v>1.1206149999999999</v>
      </c>
      <c r="L6706">
        <v>54.828830000000004</v>
      </c>
      <c r="M6706">
        <v>-8.0586049999999999E-3</v>
      </c>
      <c r="N6706">
        <v>-1.1910850000000001E-2</v>
      </c>
      <c r="O6706">
        <v>0.99989660000000002</v>
      </c>
      <c r="P6706">
        <v>-1.754669E-2</v>
      </c>
      <c r="Q6706">
        <v>0.19309129999999999</v>
      </c>
      <c r="R6706">
        <v>0.98102389999999995</v>
      </c>
      <c r="S6706">
        <v>0.49957279999999998</v>
      </c>
      <c r="T6706">
        <v>-6.2047119999999997E-2</v>
      </c>
      <c r="U6706">
        <v>3.0791930000000001</v>
      </c>
      <c r="V6706">
        <v>-9.3142610000000008E-3</v>
      </c>
      <c r="W6706">
        <v>0.20477919999999999</v>
      </c>
      <c r="X6706">
        <v>0.97876390000000002</v>
      </c>
      <c r="Y6706">
        <v>0.16806070000000001</v>
      </c>
      <c r="Z6706">
        <v>-7.954628E-3</v>
      </c>
      <c r="AA6706">
        <v>0.98574450000000002</v>
      </c>
      <c r="AB6706">
        <v>32</v>
      </c>
      <c r="AC6706">
        <v>8.4512999999999998</v>
      </c>
      <c r="AD6706">
        <v>-1.0494508299999901</v>
      </c>
      <c r="AE6706">
        <v>51.791369999999901</v>
      </c>
      <c r="AF6706">
        <v>8.8648759042981595</v>
      </c>
      <c r="AG6706">
        <v>-1.0494508299999901</v>
      </c>
      <c r="AH6706">
        <v>51.700900185566503</v>
      </c>
      <c r="AI6706">
        <v>91.146137129336793</v>
      </c>
      <c r="AJ6706">
        <v>80.270414241218205</v>
      </c>
      <c r="AK6706">
        <v>52.465897989466498</v>
      </c>
      <c r="AL6706">
        <v>78.183426353196197</v>
      </c>
      <c r="AM6706">
        <v>90.545230300829502</v>
      </c>
      <c r="AN6706">
        <v>1.00000002407691</v>
      </c>
    </row>
    <row r="6707" spans="1:40" x14ac:dyDescent="0.25">
      <c r="A6707" t="str">
        <f>"20190303162950773"</f>
        <v>20190303162950773</v>
      </c>
      <c r="B6707" t="str">
        <f>"1551601790768384"</f>
        <v>1551601790768384</v>
      </c>
      <c r="C6707" t="s">
        <v>40</v>
      </c>
      <c r="D6707">
        <v>4.6634669999999998</v>
      </c>
      <c r="E6707">
        <v>0.57035469999999999</v>
      </c>
      <c r="F6707" t="s">
        <v>41</v>
      </c>
      <c r="G6707">
        <v>-178.8706</v>
      </c>
      <c r="H6707">
        <v>7.9986589999999996E-2</v>
      </c>
      <c r="I6707">
        <v>113.6444</v>
      </c>
      <c r="J6707">
        <v>-188.38980000000001</v>
      </c>
      <c r="K6707">
        <v>1.120652</v>
      </c>
      <c r="L6707">
        <v>55.150089999999999</v>
      </c>
      <c r="M6707">
        <v>-7.3878049999999999E-3</v>
      </c>
      <c r="N6707">
        <v>-1.1911140000000001E-2</v>
      </c>
      <c r="O6707">
        <v>0.99990179999999995</v>
      </c>
      <c r="P6707">
        <v>-1.6783880000000001E-2</v>
      </c>
      <c r="Q6707">
        <v>0.19341249999999999</v>
      </c>
      <c r="R6707">
        <v>0.98097400000000001</v>
      </c>
      <c r="S6707">
        <v>0.49801640000000003</v>
      </c>
      <c r="T6707">
        <v>-5.4453370000000001E-2</v>
      </c>
      <c r="U6707">
        <v>3.0776669999999999</v>
      </c>
      <c r="V6707">
        <v>-9.2277560000000002E-3</v>
      </c>
      <c r="W6707">
        <v>0.20509849999999999</v>
      </c>
      <c r="X6707">
        <v>0.97869779999999995</v>
      </c>
      <c r="Y6707">
        <v>0.16699600000000001</v>
      </c>
      <c r="Z6707">
        <v>-5.5342830000000001E-3</v>
      </c>
      <c r="AA6707">
        <v>0.98594210000000004</v>
      </c>
      <c r="AB6707">
        <v>32</v>
      </c>
      <c r="AC6707">
        <v>9.5192000000000103</v>
      </c>
      <c r="AD6707">
        <v>-1.0406654099999999</v>
      </c>
      <c r="AE6707">
        <v>58.494309999999999</v>
      </c>
      <c r="AF6707">
        <v>9.9480479084465703</v>
      </c>
      <c r="AG6707">
        <v>-1.0406654099999999</v>
      </c>
      <c r="AH6707">
        <v>58.404373519773699</v>
      </c>
      <c r="AI6707">
        <v>91.006313733023106</v>
      </c>
      <c r="AJ6707">
        <v>80.333549638283003</v>
      </c>
      <c r="AK6707">
        <v>59.254683257288299</v>
      </c>
      <c r="AL6707">
        <v>78.164734375001004</v>
      </c>
      <c r="AM6707">
        <v>90.540203326065907</v>
      </c>
      <c r="AN6707">
        <v>0.99999996495394206</v>
      </c>
    </row>
    <row r="6708" spans="1:40" x14ac:dyDescent="0.25">
      <c r="A6708" t="str">
        <f>"20190303162950798"</f>
        <v>20190303162950798</v>
      </c>
      <c r="B6708" t="str">
        <f>"1551601790788880"</f>
        <v>1551601790788880</v>
      </c>
      <c r="C6708" t="s">
        <v>40</v>
      </c>
      <c r="D6708">
        <v>4.6256000000000004</v>
      </c>
      <c r="E6708">
        <v>0.57000589999999995</v>
      </c>
      <c r="F6708" t="s">
        <v>41</v>
      </c>
      <c r="G6708">
        <v>-178.61580000000001</v>
      </c>
      <c r="H6708">
        <v>7.9985749999999994E-2</v>
      </c>
      <c r="I6708">
        <v>115.726</v>
      </c>
      <c r="J6708">
        <v>-188.39169999999999</v>
      </c>
      <c r="K6708">
        <v>1.120706</v>
      </c>
      <c r="L6708">
        <v>55.507539999999999</v>
      </c>
      <c r="M6708">
        <v>-6.7252619999999897E-3</v>
      </c>
      <c r="N6708">
        <v>-1.1911400000000001E-2</v>
      </c>
      <c r="O6708">
        <v>0.99990639999999997</v>
      </c>
      <c r="P6708">
        <v>-1.5336819999999999E-2</v>
      </c>
      <c r="Q6708">
        <v>0.1928156</v>
      </c>
      <c r="R6708">
        <v>0.98111519999999997</v>
      </c>
      <c r="S6708">
        <v>0.4964905</v>
      </c>
      <c r="T6708">
        <v>-5.2863E-2</v>
      </c>
      <c r="U6708">
        <v>3.0770870000000001</v>
      </c>
      <c r="V6708">
        <v>-8.4592769999999994E-3</v>
      </c>
      <c r="W6708">
        <v>0.20450099999999999</v>
      </c>
      <c r="X6708">
        <v>0.97882979999999997</v>
      </c>
      <c r="Y6708">
        <v>0.1658965</v>
      </c>
      <c r="Z6708">
        <v>-5.0305769999999996E-3</v>
      </c>
      <c r="AA6708">
        <v>0.98613039999999996</v>
      </c>
      <c r="AB6708">
        <v>32</v>
      </c>
      <c r="AC6708">
        <v>9.7758999999999805</v>
      </c>
      <c r="AD6708">
        <v>-1.0407202499999999</v>
      </c>
      <c r="AE6708">
        <v>60.218459999999901</v>
      </c>
      <c r="AF6708">
        <v>10.177730713526801</v>
      </c>
      <c r="AG6708">
        <v>-1.0407202499999999</v>
      </c>
      <c r="AH6708">
        <v>60.133848131026099</v>
      </c>
      <c r="AI6708">
        <v>90.977602995352299</v>
      </c>
      <c r="AJ6708">
        <v>80.393653437341797</v>
      </c>
      <c r="AK6708">
        <v>60.997942523999498</v>
      </c>
      <c r="AL6708">
        <v>78.199710345126206</v>
      </c>
      <c r="AM6708">
        <v>90.495151254816506</v>
      </c>
      <c r="AN6708">
        <v>0.99999999786820104</v>
      </c>
    </row>
    <row r="6709" spans="1:40" x14ac:dyDescent="0.25">
      <c r="A6709" t="str">
        <f>"20190303162950822"</f>
        <v>20190303162950822</v>
      </c>
      <c r="B6709" t="str">
        <f>"1551601790808401"</f>
        <v>1551601790808401</v>
      </c>
      <c r="C6709" t="s">
        <v>40</v>
      </c>
      <c r="D6709">
        <v>4.6401159999999999</v>
      </c>
      <c r="E6709">
        <v>0.56969519999999996</v>
      </c>
      <c r="F6709" t="s">
        <v>41</v>
      </c>
      <c r="G6709">
        <v>-179.1979</v>
      </c>
      <c r="H6709">
        <v>7.9986210000000002E-2</v>
      </c>
      <c r="I6709">
        <v>112.3991</v>
      </c>
      <c r="J6709">
        <v>-188.39330000000001</v>
      </c>
      <c r="K6709">
        <v>1.1207659999999999</v>
      </c>
      <c r="L6709">
        <v>55.849369999999901</v>
      </c>
      <c r="M6709">
        <v>-6.1896019999999998E-3</v>
      </c>
      <c r="N6709">
        <v>-1.191156E-2</v>
      </c>
      <c r="O6709">
        <v>0.99990990000000002</v>
      </c>
      <c r="P6709">
        <v>-1.4058910000000001E-2</v>
      </c>
      <c r="Q6709">
        <v>0.1907778</v>
      </c>
      <c r="R6709">
        <v>0.98153259999999998</v>
      </c>
      <c r="S6709">
        <v>0.49717709999999998</v>
      </c>
      <c r="T6709">
        <v>-5.6279780000000001E-2</v>
      </c>
      <c r="U6709">
        <v>3.0765690000000001</v>
      </c>
      <c r="V6709">
        <v>-7.7410359999999998E-3</v>
      </c>
      <c r="W6709">
        <v>0.20246639999999999</v>
      </c>
      <c r="X6709">
        <v>0.97925859999999998</v>
      </c>
      <c r="Y6709">
        <v>0.1656069</v>
      </c>
      <c r="Z6709">
        <v>-6.1293650000000003E-3</v>
      </c>
      <c r="AA6709">
        <v>0.98617279999999996</v>
      </c>
      <c r="AB6709">
        <v>32</v>
      </c>
      <c r="AC6709">
        <v>9.1953999999999994</v>
      </c>
      <c r="AD6709">
        <v>-1.04077979</v>
      </c>
      <c r="AE6709">
        <v>56.549729999999997</v>
      </c>
      <c r="AF6709">
        <v>9.5421200229062197</v>
      </c>
      <c r="AG6709">
        <v>-1.04077979</v>
      </c>
      <c r="AH6709">
        <v>56.473090197888098</v>
      </c>
      <c r="AI6709">
        <v>91.041068773774001</v>
      </c>
      <c r="AJ6709">
        <v>80.409457613523102</v>
      </c>
      <c r="AK6709">
        <v>57.283027098798001</v>
      </c>
      <c r="AL6709">
        <v>78.318775263458605</v>
      </c>
      <c r="AM6709">
        <v>90.4529135140139</v>
      </c>
      <c r="AN6709">
        <v>0.99999998622063602</v>
      </c>
    </row>
    <row r="6710" spans="1:40" x14ac:dyDescent="0.25">
      <c r="A6710" t="str">
        <f>"20190303162950846"</f>
        <v>20190303162950846</v>
      </c>
      <c r="B6710" t="str">
        <f>"1551601790838657"</f>
        <v>1551601790838657</v>
      </c>
      <c r="C6710" t="s">
        <v>40</v>
      </c>
      <c r="D6710">
        <v>4.6438600000000001</v>
      </c>
      <c r="E6710">
        <v>0.54360839999999999</v>
      </c>
      <c r="F6710" t="s">
        <v>41</v>
      </c>
      <c r="G6710">
        <v>-179.95779999999999</v>
      </c>
      <c r="H6710">
        <v>3.8743050000000001E-2</v>
      </c>
      <c r="I6710">
        <v>107.9962</v>
      </c>
      <c r="J6710">
        <v>-188.39490000000001</v>
      </c>
      <c r="K6710">
        <v>1.1208419999999999</v>
      </c>
      <c r="L6710">
        <v>56.180390000000003</v>
      </c>
      <c r="M6710">
        <v>-5.7876630000000002E-3</v>
      </c>
      <c r="N6710">
        <v>-1.1911740000000001E-2</v>
      </c>
      <c r="O6710">
        <v>0.99991229999999998</v>
      </c>
      <c r="P6710">
        <v>-1.350756E-2</v>
      </c>
      <c r="Q6710">
        <v>0.189248</v>
      </c>
      <c r="R6710">
        <v>0.98183640000000005</v>
      </c>
      <c r="S6710">
        <v>0.49758910000000001</v>
      </c>
      <c r="T6710">
        <v>-6.3825370000000006E-2</v>
      </c>
      <c r="U6710">
        <v>3.0759889999999999</v>
      </c>
      <c r="V6710">
        <v>-7.6234789999999998E-3</v>
      </c>
      <c r="W6710">
        <v>0.20093829999999999</v>
      </c>
      <c r="X6710">
        <v>0.97957430000000001</v>
      </c>
      <c r="Y6710">
        <v>0.16536329999999999</v>
      </c>
      <c r="Z6710">
        <v>-8.55257699999999E-3</v>
      </c>
      <c r="AA6710">
        <v>0.98619559999999995</v>
      </c>
      <c r="AB6710">
        <v>32</v>
      </c>
      <c r="AC6710">
        <v>8.4371000000000098</v>
      </c>
      <c r="AD6710">
        <v>-1.08209895</v>
      </c>
      <c r="AE6710">
        <v>51.815809999999999</v>
      </c>
      <c r="AF6710">
        <v>8.7331620324633707</v>
      </c>
      <c r="AG6710">
        <v>-1.08209895</v>
      </c>
      <c r="AH6710">
        <v>51.744123517666502</v>
      </c>
      <c r="AI6710">
        <v>91.181321153580299</v>
      </c>
      <c r="AJ6710">
        <v>80.420133120123495</v>
      </c>
      <c r="AK6710">
        <v>52.487078179628</v>
      </c>
      <c r="AL6710">
        <v>78.4081671283476</v>
      </c>
      <c r="AM6710">
        <v>90.445892010334703</v>
      </c>
      <c r="AN6710">
        <v>1.0000000635297099</v>
      </c>
    </row>
    <row r="6711" spans="1:40" x14ac:dyDescent="0.25">
      <c r="A6711" t="str">
        <f>"20190303162950865"</f>
        <v>20190303162950865</v>
      </c>
      <c r="B6711" t="str">
        <f>"1551601790859154"</f>
        <v>1551601790859154</v>
      </c>
      <c r="C6711" t="s">
        <v>40</v>
      </c>
      <c r="D6711">
        <v>4.6480119999999996</v>
      </c>
      <c r="E6711">
        <v>0.53543929999999995</v>
      </c>
      <c r="F6711" t="s">
        <v>41</v>
      </c>
      <c r="G6711">
        <v>-185.47139999999999</v>
      </c>
      <c r="H6711" s="1">
        <v>-4.0724689999999998E-6</v>
      </c>
      <c r="I6711">
        <v>87.253270000000001</v>
      </c>
      <c r="J6711">
        <v>-188.39619999999999</v>
      </c>
      <c r="K6711">
        <v>1.120916</v>
      </c>
      <c r="L6711">
        <v>56.464660000000002</v>
      </c>
      <c r="M6711">
        <v>-5.5327730000000004E-3</v>
      </c>
      <c r="N6711">
        <v>-1.1911929999999999E-2</v>
      </c>
      <c r="O6711">
        <v>0.99991379999999996</v>
      </c>
      <c r="P6711">
        <v>-1.427465E-2</v>
      </c>
      <c r="Q6711">
        <v>0.18979750000000001</v>
      </c>
      <c r="R6711">
        <v>0.98171949999999997</v>
      </c>
      <c r="S6711">
        <v>0.2898712</v>
      </c>
      <c r="T6711">
        <v>-0.11113290000000001</v>
      </c>
      <c r="U6711">
        <v>3.080902</v>
      </c>
      <c r="V6711">
        <v>-8.6776500000000003E-3</v>
      </c>
      <c r="W6711">
        <v>0.2014862</v>
      </c>
      <c r="X6711">
        <v>0.97945289999999996</v>
      </c>
      <c r="Y6711">
        <v>9.9125080000000004E-2</v>
      </c>
      <c r="Z6711">
        <v>-2.3969509999999999E-2</v>
      </c>
      <c r="AA6711">
        <v>0.99478630000000001</v>
      </c>
      <c r="AB6711">
        <v>32</v>
      </c>
      <c r="AC6711">
        <v>2.9247999999999998</v>
      </c>
      <c r="AD6711">
        <v>-1.1209200724690001</v>
      </c>
      <c r="AE6711">
        <v>30.788609999999998</v>
      </c>
      <c r="AF6711">
        <v>3.0910532458367799</v>
      </c>
      <c r="AG6711">
        <v>-1.1209200724690001</v>
      </c>
      <c r="AH6711">
        <v>30.731585866044401</v>
      </c>
      <c r="AI6711">
        <v>92.078432639532295</v>
      </c>
      <c r="AJ6711">
        <v>84.256376401614006</v>
      </c>
      <c r="AK6711">
        <v>30.906980470753201</v>
      </c>
      <c r="AL6711">
        <v>78.376118416254599</v>
      </c>
      <c r="AM6711">
        <v>90.507609618391996</v>
      </c>
      <c r="AN6711">
        <v>0.99999998685918601</v>
      </c>
    </row>
    <row r="6712" spans="1:40" x14ac:dyDescent="0.25">
      <c r="A6712" t="str">
        <f>"20190303162950886"</f>
        <v>20190303162950886</v>
      </c>
      <c r="B6712" t="str">
        <f>"1551601790878672"</f>
        <v>1551601790878672</v>
      </c>
      <c r="C6712" t="s">
        <v>40</v>
      </c>
      <c r="D6712">
        <v>4.6064470000000002</v>
      </c>
      <c r="E6712">
        <v>0.53152730000000004</v>
      </c>
      <c r="F6712" t="s">
        <v>41</v>
      </c>
      <c r="G6712">
        <v>-185.05690000000001</v>
      </c>
      <c r="H6712" s="1">
        <v>-2.2722239999999998E-6</v>
      </c>
      <c r="I6712">
        <v>102.4602</v>
      </c>
      <c r="J6712">
        <v>-188.39769999999999</v>
      </c>
      <c r="K6712">
        <v>1.120995</v>
      </c>
      <c r="L6712">
        <v>56.769379999999998</v>
      </c>
      <c r="M6712">
        <v>-5.3363009999999999E-3</v>
      </c>
      <c r="N6712">
        <v>-1.191212E-2</v>
      </c>
      <c r="O6712">
        <v>0.99991479999999999</v>
      </c>
      <c r="P6712">
        <v>-1.550473E-2</v>
      </c>
      <c r="Q6712">
        <v>0.19035489999999999</v>
      </c>
      <c r="R6712">
        <v>0.98159289999999999</v>
      </c>
      <c r="S6712">
        <v>0.2231445</v>
      </c>
      <c r="T6712">
        <v>-7.4903490000000003E-2</v>
      </c>
      <c r="U6712">
        <v>3.0735779999999999</v>
      </c>
      <c r="V6712">
        <v>-1.0135959999999999E-2</v>
      </c>
      <c r="W6712">
        <v>0.20204150000000001</v>
      </c>
      <c r="X6712">
        <v>0.97932450000000004</v>
      </c>
      <c r="Y6712">
        <v>7.770966E-2</v>
      </c>
      <c r="Z6712">
        <v>-1.238097E-2</v>
      </c>
      <c r="AA6712">
        <v>0.99689910000000004</v>
      </c>
      <c r="AB6712">
        <v>32</v>
      </c>
      <c r="AC6712">
        <v>3.34079999999997</v>
      </c>
      <c r="AD6712">
        <v>-1.120997272224</v>
      </c>
      <c r="AE6712">
        <v>45.690820000000002</v>
      </c>
      <c r="AF6712">
        <v>3.5824447581084602</v>
      </c>
      <c r="AG6712">
        <v>-1.120997272224</v>
      </c>
      <c r="AH6712">
        <v>45.645011250704499</v>
      </c>
      <c r="AI6712">
        <v>91.402534697400498</v>
      </c>
      <c r="AJ6712">
        <v>85.512345090010299</v>
      </c>
      <c r="AK6712">
        <v>45.799100399529401</v>
      </c>
      <c r="AL6712">
        <v>78.343634048147393</v>
      </c>
      <c r="AM6712">
        <v>90.592987302773807</v>
      </c>
      <c r="AN6712">
        <v>0.99999999085380997</v>
      </c>
    </row>
    <row r="6713" spans="1:40" x14ac:dyDescent="0.25">
      <c r="A6713" t="str">
        <f>"20190303162950907"</f>
        <v>20190303162950907</v>
      </c>
      <c r="B6713" t="str">
        <f>"1551601790899169"</f>
        <v>1551601790899169</v>
      </c>
      <c r="C6713" t="s">
        <v>40</v>
      </c>
      <c r="D6713">
        <v>4.6103809999999896</v>
      </c>
      <c r="E6713">
        <v>0.53120489999999998</v>
      </c>
      <c r="F6713" t="s">
        <v>56</v>
      </c>
      <c r="G6713">
        <v>-183.8723</v>
      </c>
      <c r="H6713" s="1">
        <v>-5.3696689999999998E-6</v>
      </c>
      <c r="I6713">
        <v>130.1318</v>
      </c>
      <c r="J6713">
        <v>-188.39920000000001</v>
      </c>
      <c r="K6713">
        <v>1.1210599999999999</v>
      </c>
      <c r="L6713">
        <v>57.086939999999998</v>
      </c>
      <c r="M6713">
        <v>-5.2050880000000001E-3</v>
      </c>
      <c r="N6713">
        <v>-1.1912300000000001E-2</v>
      </c>
      <c r="O6713">
        <v>0.99991549999999996</v>
      </c>
      <c r="P6713">
        <v>-1.6415889999999999E-2</v>
      </c>
      <c r="Q6713">
        <v>0.190585</v>
      </c>
      <c r="R6713">
        <v>0.98153349999999995</v>
      </c>
      <c r="S6713">
        <v>0.18926999999999999</v>
      </c>
      <c r="T6713">
        <v>-4.6885009999999998E-2</v>
      </c>
      <c r="U6713">
        <v>3.0683289999999999</v>
      </c>
      <c r="V6713">
        <v>-1.120759E-2</v>
      </c>
      <c r="W6713">
        <v>0.20227029999999999</v>
      </c>
      <c r="X6713">
        <v>0.97926559999999996</v>
      </c>
      <c r="Y6713">
        <v>6.6751640000000001E-2</v>
      </c>
      <c r="Z6713">
        <v>-3.3327840000000001E-3</v>
      </c>
      <c r="AA6713">
        <v>0.99776410000000004</v>
      </c>
      <c r="AB6713">
        <v>32</v>
      </c>
      <c r="AC6713">
        <v>4.5269000000000101</v>
      </c>
      <c r="AD6713">
        <v>-1.1210653696690001</v>
      </c>
      <c r="AE6713">
        <v>73.04486</v>
      </c>
      <c r="AF6713">
        <v>4.90591940357948</v>
      </c>
      <c r="AG6713">
        <v>-1.1210653696690001</v>
      </c>
      <c r="AH6713">
        <v>73.003175685322802</v>
      </c>
      <c r="AI6713">
        <v>90.877807725547896</v>
      </c>
      <c r="AJ6713">
        <v>86.155420890585901</v>
      </c>
      <c r="AK6713">
        <v>73.176420334009194</v>
      </c>
      <c r="AL6713">
        <v>78.330248511337004</v>
      </c>
      <c r="AM6713">
        <v>90.655715436505005</v>
      </c>
      <c r="AN6713">
        <v>0.99999999983952803</v>
      </c>
    </row>
    <row r="6714" spans="1:40" x14ac:dyDescent="0.25">
      <c r="A6714" t="str">
        <f>"20190303162950931"</f>
        <v>20190303162950931</v>
      </c>
      <c r="B6714" t="str">
        <f>"1551601790918691"</f>
        <v>1551601790918691</v>
      </c>
      <c r="C6714" t="s">
        <v>40</v>
      </c>
      <c r="D6714">
        <v>4.6081589999999997</v>
      </c>
      <c r="E6714">
        <v>0.53132250000000003</v>
      </c>
      <c r="F6714" t="s">
        <v>56</v>
      </c>
      <c r="G6714">
        <v>-183.24459999999999</v>
      </c>
      <c r="H6714" s="1">
        <v>-9.4124229999999994E-6</v>
      </c>
      <c r="I6714">
        <v>142.54499999999999</v>
      </c>
      <c r="J6714">
        <v>-188.4008</v>
      </c>
      <c r="K6714">
        <v>1.1211180000000001</v>
      </c>
      <c r="L6714">
        <v>57.414369999999998</v>
      </c>
      <c r="M6714">
        <v>-5.1338520000000004E-3</v>
      </c>
      <c r="N6714">
        <v>-1.1912499999999999E-2</v>
      </c>
      <c r="O6714">
        <v>0.99991580000000002</v>
      </c>
      <c r="P6714">
        <v>-1.849203E-2</v>
      </c>
      <c r="Q6714">
        <v>0.1913453</v>
      </c>
      <c r="R6714">
        <v>0.98134860000000002</v>
      </c>
      <c r="S6714">
        <v>0.18501280000000001</v>
      </c>
      <c r="T6714">
        <v>-4.0238620000000003E-2</v>
      </c>
      <c r="U6714">
        <v>3.0673520000000001</v>
      </c>
      <c r="V6714">
        <v>-1.3380009999999999E-2</v>
      </c>
      <c r="W6714">
        <v>0.20302809999999999</v>
      </c>
      <c r="X6714">
        <v>0.97908150000000005</v>
      </c>
      <c r="Y6714">
        <v>6.5321699999999996E-2</v>
      </c>
      <c r="Z6714">
        <v>-1.176821E-3</v>
      </c>
      <c r="AA6714">
        <v>0.99786359999999996</v>
      </c>
      <c r="AB6714">
        <v>32</v>
      </c>
      <c r="AC6714">
        <v>5.1562000000000099</v>
      </c>
      <c r="AD6714">
        <v>-1.121127412423</v>
      </c>
      <c r="AE6714">
        <v>85.130629999999996</v>
      </c>
      <c r="AF6714">
        <v>5.5922447878604702</v>
      </c>
      <c r="AG6714">
        <v>-1.121127412423</v>
      </c>
      <c r="AH6714">
        <v>85.088331508890093</v>
      </c>
      <c r="AI6714">
        <v>90.753262988241701</v>
      </c>
      <c r="AJ6714">
        <v>86.239767874729495</v>
      </c>
      <c r="AK6714">
        <v>85.279272319884598</v>
      </c>
      <c r="AL6714">
        <v>78.285909909233197</v>
      </c>
      <c r="AM6714">
        <v>90.782948492654697</v>
      </c>
      <c r="AN6714">
        <v>1.0000000088497301</v>
      </c>
    </row>
    <row r="6715" spans="1:40" x14ac:dyDescent="0.25">
      <c r="A6715" t="str">
        <f>"20190303162950951"</f>
        <v>20190303162950951</v>
      </c>
      <c r="B6715" t="str">
        <f>"1551601790938209"</f>
        <v>1551601790938209</v>
      </c>
      <c r="C6715" t="s">
        <v>40</v>
      </c>
      <c r="D6715">
        <v>4.6020690000000002</v>
      </c>
      <c r="E6715">
        <v>0.53136149999999904</v>
      </c>
      <c r="F6715" t="s">
        <v>41</v>
      </c>
      <c r="G6715">
        <v>-182.1772</v>
      </c>
      <c r="H6715" s="1">
        <v>-3.3791660000000001E-6</v>
      </c>
      <c r="I6715">
        <v>163.02379999999999</v>
      </c>
      <c r="J6715">
        <v>-188.40219999999999</v>
      </c>
      <c r="K6715">
        <v>1.121162</v>
      </c>
      <c r="L6715">
        <v>57.70438</v>
      </c>
      <c r="M6715">
        <v>-5.1075259999999898E-3</v>
      </c>
      <c r="N6715">
        <v>-1.191265E-2</v>
      </c>
      <c r="O6715">
        <v>0.99991600000000003</v>
      </c>
      <c r="P6715">
        <v>-2.1998429999999999E-2</v>
      </c>
      <c r="Q6715">
        <v>0.1930086</v>
      </c>
      <c r="R6715">
        <v>0.9809504</v>
      </c>
      <c r="S6715">
        <v>0.1807251</v>
      </c>
      <c r="T6715">
        <v>-3.2556059999999998E-2</v>
      </c>
      <c r="U6715">
        <v>3.0667719999999998</v>
      </c>
      <c r="V6715">
        <v>-1.6932829999999999E-2</v>
      </c>
      <c r="W6715">
        <v>0.20468629999999999</v>
      </c>
      <c r="X6715">
        <v>0.97868109999999997</v>
      </c>
      <c r="Y6715">
        <v>6.3917669999999996E-2</v>
      </c>
      <c r="Z6715">
        <v>1.3196359999999999E-3</v>
      </c>
      <c r="AA6715">
        <v>0.99795429999999996</v>
      </c>
      <c r="AB6715">
        <v>32</v>
      </c>
      <c r="AC6715">
        <v>6.2249999999999899</v>
      </c>
      <c r="AD6715">
        <v>-1.1211653791659999</v>
      </c>
      <c r="AE6715">
        <v>105.319419999999</v>
      </c>
      <c r="AF6715">
        <v>6.7621149968340202</v>
      </c>
      <c r="AG6715">
        <v>-1.1211653791659999</v>
      </c>
      <c r="AH6715">
        <v>105.274360872382</v>
      </c>
      <c r="AI6715">
        <v>90.608918626846901</v>
      </c>
      <c r="AJ6715">
        <v>86.324754542911407</v>
      </c>
      <c r="AK6715">
        <v>105.497271377635</v>
      </c>
      <c r="AL6715">
        <v>78.188863416752497</v>
      </c>
      <c r="AM6715">
        <v>90.991214507366095</v>
      </c>
      <c r="AN6715">
        <v>0.99999994881835297</v>
      </c>
    </row>
    <row r="6716" spans="1:40" x14ac:dyDescent="0.25">
      <c r="A6716" t="str">
        <f>"20190303162950974"</f>
        <v>20190303162950974</v>
      </c>
      <c r="B6716" t="str">
        <f>"1551601790968465"</f>
        <v>1551601790968465</v>
      </c>
      <c r="C6716" t="s">
        <v>40</v>
      </c>
      <c r="D6716">
        <v>4.6288029999999996</v>
      </c>
      <c r="E6716">
        <v>0.53176269999999903</v>
      </c>
      <c r="F6716" t="s">
        <v>47</v>
      </c>
      <c r="G6716">
        <v>-180.26230000000001</v>
      </c>
      <c r="H6716" s="1">
        <v>4.2774729999999996E-6</v>
      </c>
      <c r="I6716">
        <v>203.72120000000001</v>
      </c>
      <c r="J6716">
        <v>-188.40379999999999</v>
      </c>
      <c r="K6716">
        <v>1.12121</v>
      </c>
      <c r="L6716">
        <v>58.029539999999997</v>
      </c>
      <c r="M6716">
        <v>-5.100739E-3</v>
      </c>
      <c r="N6716">
        <v>-1.1912819999999999E-2</v>
      </c>
      <c r="O6716">
        <v>0.99991600000000003</v>
      </c>
      <c r="P6716">
        <v>-2.6727009999999999E-2</v>
      </c>
      <c r="Q6716">
        <v>0.19636419999999999</v>
      </c>
      <c r="R6716">
        <v>0.98016669999999995</v>
      </c>
      <c r="S6716">
        <v>0.17095949999999999</v>
      </c>
      <c r="T6716">
        <v>-2.3547289999999998E-2</v>
      </c>
      <c r="U6716">
        <v>3.0667420000000001</v>
      </c>
      <c r="V6716">
        <v>-2.168774E-2</v>
      </c>
      <c r="W6716">
        <v>0.20803250000000001</v>
      </c>
      <c r="X6716">
        <v>0.97788140000000001</v>
      </c>
      <c r="Y6716">
        <v>6.074475E-2</v>
      </c>
      <c r="Z6716">
        <v>4.2498470000000002E-3</v>
      </c>
      <c r="AA6716">
        <v>0.99814429999999998</v>
      </c>
      <c r="AB6716">
        <v>32</v>
      </c>
      <c r="AC6716">
        <v>8.1414999999999793</v>
      </c>
      <c r="AD6716">
        <v>-1.121205722527</v>
      </c>
      <c r="AE6716">
        <v>145.69166000000001</v>
      </c>
      <c r="AF6716">
        <v>8.8840574488797195</v>
      </c>
      <c r="AG6716">
        <v>-1.121205722527</v>
      </c>
      <c r="AH6716">
        <v>145.63963525478499</v>
      </c>
      <c r="AI6716">
        <v>90.440264121894302</v>
      </c>
      <c r="AJ6716">
        <v>86.5092672550266</v>
      </c>
      <c r="AK6716">
        <v>145.91465634463901</v>
      </c>
      <c r="AL6716">
        <v>77.992922873745599</v>
      </c>
      <c r="AM6716">
        <v>91.270514288694798</v>
      </c>
      <c r="AN6716">
        <v>0.99999995579425704</v>
      </c>
    </row>
    <row r="6717" spans="1:40" x14ac:dyDescent="0.25">
      <c r="A6717" t="str">
        <f>"20190303162950997"</f>
        <v>20190303162950997</v>
      </c>
      <c r="B6717" t="str">
        <f>"1551601790988961"</f>
        <v>1551601790988961</v>
      </c>
      <c r="C6717" t="s">
        <v>40</v>
      </c>
      <c r="D6717">
        <v>4.6104810000000001</v>
      </c>
      <c r="E6717">
        <v>0.53156999999999999</v>
      </c>
      <c r="F6717" t="s">
        <v>42</v>
      </c>
      <c r="G6717">
        <v>-172.94980000000001</v>
      </c>
      <c r="H6717">
        <v>-0.05</v>
      </c>
      <c r="I6717">
        <v>354.89690000000002</v>
      </c>
      <c r="J6717">
        <v>-188.40549999999999</v>
      </c>
      <c r="K6717">
        <v>1.1212629999999999</v>
      </c>
      <c r="L6717">
        <v>58.357939999999999</v>
      </c>
      <c r="M6717">
        <v>-5.1040199999999999E-3</v>
      </c>
      <c r="N6717">
        <v>-1.1913E-2</v>
      </c>
      <c r="O6717">
        <v>0.99991600000000003</v>
      </c>
      <c r="P6717">
        <v>-3.1917630000000002E-2</v>
      </c>
      <c r="Q6717">
        <v>0.1997043</v>
      </c>
      <c r="R6717">
        <v>0.97933630000000005</v>
      </c>
      <c r="S6717">
        <v>0.1596832</v>
      </c>
      <c r="T6717">
        <v>-1.2101890000000001E-2</v>
      </c>
      <c r="U6717">
        <v>3.0674739999999998</v>
      </c>
      <c r="V6717">
        <v>-2.6890219999999999E-2</v>
      </c>
      <c r="W6717">
        <v>0.21136240000000001</v>
      </c>
      <c r="X6717">
        <v>0.97703779999999996</v>
      </c>
      <c r="Y6717">
        <v>5.707628E-2</v>
      </c>
      <c r="Z6717">
        <v>7.9755290000000003E-3</v>
      </c>
      <c r="AA6717">
        <v>0.99833799999999995</v>
      </c>
      <c r="AB6717">
        <v>32</v>
      </c>
      <c r="AC6717">
        <v>15.455699999999901</v>
      </c>
      <c r="AD6717">
        <v>-1.1712629999999999</v>
      </c>
      <c r="AE6717">
        <v>296.53895999999997</v>
      </c>
      <c r="AF6717">
        <v>16.968882853215501</v>
      </c>
      <c r="AG6717">
        <v>-1.1712629999999999</v>
      </c>
      <c r="AH6717">
        <v>296.45159271807898</v>
      </c>
      <c r="AI6717">
        <v>90.226001184185705</v>
      </c>
      <c r="AJ6717">
        <v>86.723965563269104</v>
      </c>
      <c r="AK6717">
        <v>296.939154823656</v>
      </c>
      <c r="AL6717">
        <v>77.797795750386598</v>
      </c>
      <c r="AM6717">
        <v>91.576507359320203</v>
      </c>
      <c r="AN6717">
        <v>1.0000000053471201</v>
      </c>
    </row>
    <row r="6718" spans="1:40" x14ac:dyDescent="0.25">
      <c r="A6718" t="str">
        <f>"20190303162951022"</f>
        <v>20190303162951022</v>
      </c>
      <c r="B6718" t="str">
        <f>"1551601791008480"</f>
        <v>1551601791008480</v>
      </c>
      <c r="C6718" t="s">
        <v>40</v>
      </c>
      <c r="D6718">
        <v>4.7444259999999998</v>
      </c>
      <c r="E6718">
        <v>0.48913299999999998</v>
      </c>
      <c r="F6718" t="s">
        <v>52</v>
      </c>
      <c r="G6718">
        <v>-177.55289999999999</v>
      </c>
      <c r="H6718">
        <v>0.80207259999999903</v>
      </c>
      <c r="I6718">
        <v>293.52670000000001</v>
      </c>
      <c r="J6718">
        <v>-188.40729999999999</v>
      </c>
      <c r="K6718">
        <v>1.121324</v>
      </c>
      <c r="L6718">
        <v>58.710019999999901</v>
      </c>
      <c r="M6718">
        <v>-5.1102839999999997E-3</v>
      </c>
      <c r="N6718">
        <v>-1.1913419999999999E-2</v>
      </c>
      <c r="O6718">
        <v>0.99991600000000003</v>
      </c>
      <c r="P6718">
        <v>-3.8564550000000003E-2</v>
      </c>
      <c r="Q6718">
        <v>0.2054378</v>
      </c>
      <c r="R6718">
        <v>0.97790999999999995</v>
      </c>
      <c r="S6718">
        <v>0.14161679999999999</v>
      </c>
      <c r="T6718">
        <v>-4.1651730000000003E-3</v>
      </c>
      <c r="U6718">
        <v>3.068756</v>
      </c>
      <c r="V6718">
        <v>-3.3546380000000001E-2</v>
      </c>
      <c r="W6718">
        <v>0.21707879999999999</v>
      </c>
      <c r="X6718">
        <v>0.97557749999999999</v>
      </c>
      <c r="Y6718">
        <v>5.1196899999999997E-2</v>
      </c>
      <c r="Z6718">
        <v>1.0559270000000001E-2</v>
      </c>
      <c r="AA6718">
        <v>0.99863270000000004</v>
      </c>
      <c r="AB6718">
        <v>32</v>
      </c>
      <c r="AC6718">
        <v>10.854399999999901</v>
      </c>
      <c r="AD6718">
        <v>-0.31925140000000002</v>
      </c>
      <c r="AE6718">
        <v>234.81667999999999</v>
      </c>
      <c r="AF6718">
        <v>12.0543010704928</v>
      </c>
      <c r="AG6718">
        <v>-0.31925140000000002</v>
      </c>
      <c r="AH6718">
        <v>234.75770741114201</v>
      </c>
      <c r="AI6718">
        <v>90.077815038931902</v>
      </c>
      <c r="AJ6718">
        <v>87.0605670686097</v>
      </c>
      <c r="AK6718">
        <v>235.06720163538299</v>
      </c>
      <c r="AL6718">
        <v>77.462485580329002</v>
      </c>
      <c r="AM6718">
        <v>91.969406810642397</v>
      </c>
      <c r="AN6718">
        <v>1.00000001176339</v>
      </c>
    </row>
    <row r="6719" spans="1:40" x14ac:dyDescent="0.25">
      <c r="A6719" t="str">
        <f>"20190303162951042"</f>
        <v>20190303162951042</v>
      </c>
      <c r="B6719" t="str">
        <f>"1551601791038737"</f>
        <v>1551601791038737</v>
      </c>
      <c r="C6719" t="s">
        <v>40</v>
      </c>
      <c r="D6719">
        <v>4.7655479999999999</v>
      </c>
      <c r="E6719">
        <v>0.42720269999999999</v>
      </c>
      <c r="F6719" t="s">
        <v>71</v>
      </c>
      <c r="G6719">
        <v>-211.6463</v>
      </c>
      <c r="H6719">
        <v>50.039990000000003</v>
      </c>
      <c r="I6719">
        <v>391.87</v>
      </c>
      <c r="J6719">
        <v>-188.40880000000001</v>
      </c>
      <c r="K6719">
        <v>1.1213919999999999</v>
      </c>
      <c r="L6719">
        <v>59.006259999999997</v>
      </c>
      <c r="M6719">
        <v>-5.1149100000000003E-3</v>
      </c>
      <c r="N6719">
        <v>-1.1913699999999999E-2</v>
      </c>
      <c r="O6719">
        <v>0.99991600000000003</v>
      </c>
      <c r="P6719">
        <v>-4.5998900000000002E-2</v>
      </c>
      <c r="Q6719">
        <v>0.21453990000000001</v>
      </c>
      <c r="R6719">
        <v>0.97563149999999998</v>
      </c>
      <c r="S6719">
        <v>-0.2070313</v>
      </c>
      <c r="T6719">
        <v>0.43580540000000001</v>
      </c>
      <c r="U6719">
        <v>2.968048</v>
      </c>
      <c r="V6719">
        <v>-4.0990899999999997E-2</v>
      </c>
      <c r="W6719">
        <v>0.22615379999999999</v>
      </c>
      <c r="X6719">
        <v>0.9732288</v>
      </c>
      <c r="Y6719">
        <v>-6.3671939999999996E-2</v>
      </c>
      <c r="Z6719">
        <v>0.15672730000000001</v>
      </c>
      <c r="AA6719">
        <v>0.9855874</v>
      </c>
      <c r="AB6719">
        <v>32</v>
      </c>
      <c r="AC6719">
        <v>-23.237499999999901</v>
      </c>
      <c r="AD6719">
        <v>48.918597999999903</v>
      </c>
      <c r="AE6719">
        <v>332.86374000000001</v>
      </c>
      <c r="AF6719">
        <v>-21.081397819555502</v>
      </c>
      <c r="AG6719">
        <v>48.918597999999903</v>
      </c>
      <c r="AH6719">
        <v>325.97202845460299</v>
      </c>
      <c r="AI6719">
        <v>81.482847390677804</v>
      </c>
      <c r="AJ6719">
        <v>93.700303221428001</v>
      </c>
      <c r="AK6719">
        <v>330.29565225585401</v>
      </c>
      <c r="AL6719">
        <v>76.929265590208004</v>
      </c>
      <c r="AM6719">
        <v>92.411784632290505</v>
      </c>
      <c r="AN6719">
        <v>1.00000004614334</v>
      </c>
    </row>
    <row r="6720" spans="1:40" x14ac:dyDescent="0.25">
      <c r="A6720" t="str">
        <f>"20190303162951065"</f>
        <v>20190303162951065</v>
      </c>
      <c r="B6720" t="str">
        <f>"1551601791058257"</f>
        <v>1551601791058257</v>
      </c>
      <c r="C6720" t="s">
        <v>40</v>
      </c>
      <c r="D6720">
        <v>4.7052129999999996</v>
      </c>
      <c r="E6720">
        <v>0.4202205</v>
      </c>
      <c r="F6720" t="s">
        <v>72</v>
      </c>
      <c r="G6720">
        <v>-232.86019999999999</v>
      </c>
      <c r="H6720">
        <v>71.326809999999995</v>
      </c>
      <c r="I6720">
        <v>235.5789</v>
      </c>
      <c r="J6720">
        <v>-188.41040000000001</v>
      </c>
      <c r="K6720">
        <v>1.1214459999999999</v>
      </c>
      <c r="L6720">
        <v>59.321469999999998</v>
      </c>
      <c r="M6720">
        <v>-5.1174810000000001E-3</v>
      </c>
      <c r="N6720">
        <v>-1.191388E-2</v>
      </c>
      <c r="O6720">
        <v>0.99991600000000003</v>
      </c>
      <c r="P6720">
        <v>-5.2991290000000003E-2</v>
      </c>
      <c r="Q6720">
        <v>0.22466729999999999</v>
      </c>
      <c r="R6720">
        <v>0.97299360000000001</v>
      </c>
      <c r="S6720">
        <v>-0.70417790000000002</v>
      </c>
      <c r="T6720">
        <v>1.112161</v>
      </c>
      <c r="U6720">
        <v>2.79718</v>
      </c>
      <c r="V6720">
        <v>-4.7995660000000002E-2</v>
      </c>
      <c r="W6720">
        <v>0.2362495</v>
      </c>
      <c r="X6720">
        <v>0.97050639999999999</v>
      </c>
      <c r="Y6720">
        <v>-0.22224640000000001</v>
      </c>
      <c r="Z6720">
        <v>0.37103930000000002</v>
      </c>
      <c r="AA6720">
        <v>0.90162989999999998</v>
      </c>
      <c r="AB6720">
        <v>32</v>
      </c>
      <c r="AC6720">
        <v>-44.449799999999897</v>
      </c>
      <c r="AD6720">
        <v>70.205363999999904</v>
      </c>
      <c r="AE6720">
        <v>176.25743</v>
      </c>
      <c r="AF6720">
        <v>-37.894596703436598</v>
      </c>
      <c r="AG6720">
        <v>70.205363999999904</v>
      </c>
      <c r="AH6720">
        <v>153.57459148515599</v>
      </c>
      <c r="AI6720">
        <v>66.066917777711694</v>
      </c>
      <c r="AJ6720">
        <v>103.860875513796</v>
      </c>
      <c r="AK6720">
        <v>173.06053491053601</v>
      </c>
      <c r="AL6720">
        <v>76.334712606480693</v>
      </c>
      <c r="AM6720">
        <v>92.831212825334504</v>
      </c>
      <c r="AN6720">
        <v>1.00000004103502</v>
      </c>
    </row>
    <row r="6721" spans="1:40" x14ac:dyDescent="0.25">
      <c r="A6721" t="str">
        <f>"20190303162951086"</f>
        <v>20190303162951086</v>
      </c>
      <c r="B6721" t="str">
        <f>"1551601791078754"</f>
        <v>1551601791078754</v>
      </c>
      <c r="C6721" t="s">
        <v>40</v>
      </c>
      <c r="D6721">
        <v>5.1480759999999997</v>
      </c>
      <c r="E6721">
        <v>0.3798144</v>
      </c>
      <c r="F6721" t="s">
        <v>72</v>
      </c>
      <c r="G6721">
        <v>-236.63200000000001</v>
      </c>
      <c r="H6721">
        <v>75.524240000000006</v>
      </c>
      <c r="I6721">
        <v>230.86</v>
      </c>
      <c r="J6721">
        <v>-188.41200000000001</v>
      </c>
      <c r="K6721">
        <v>1.121483</v>
      </c>
      <c r="L6721">
        <v>59.632350000000002</v>
      </c>
      <c r="M6721">
        <v>-5.117145E-3</v>
      </c>
      <c r="N6721">
        <v>-1.1914050000000001E-2</v>
      </c>
      <c r="O6721">
        <v>0.99991600000000003</v>
      </c>
      <c r="P6721">
        <v>-5.9075999999999997E-2</v>
      </c>
      <c r="Q6721">
        <v>0.23151620000000001</v>
      </c>
      <c r="R6721">
        <v>0.97103569999999995</v>
      </c>
      <c r="S6721">
        <v>-0.77702329999999997</v>
      </c>
      <c r="T6721">
        <v>1.198895</v>
      </c>
      <c r="U6721">
        <v>2.7640989999999999</v>
      </c>
      <c r="V6721">
        <v>-5.409166E-2</v>
      </c>
      <c r="W6721">
        <v>0.2430755</v>
      </c>
      <c r="X6721">
        <v>0.96849799999999997</v>
      </c>
      <c r="Y6721">
        <v>-0.24412149999999999</v>
      </c>
      <c r="Z6721">
        <v>0.39650730000000001</v>
      </c>
      <c r="AA6721">
        <v>0.88497839999999905</v>
      </c>
      <c r="AB6721">
        <v>32</v>
      </c>
      <c r="AC6721">
        <v>-48.22</v>
      </c>
      <c r="AD6721">
        <v>74.402756999999994</v>
      </c>
      <c r="AE6721">
        <v>171.22765000000001</v>
      </c>
      <c r="AF6721">
        <v>-40.294114080801002</v>
      </c>
      <c r="AG6721">
        <v>74.402756999999994</v>
      </c>
      <c r="AH6721">
        <v>145.941392162151</v>
      </c>
      <c r="AI6721">
        <v>63.829305857984799</v>
      </c>
      <c r="AJ6721">
        <v>105.43471792484399</v>
      </c>
      <c r="AK6721">
        <v>168.69580855784301</v>
      </c>
      <c r="AL6721">
        <v>75.931869635912605</v>
      </c>
      <c r="AM6721">
        <v>93.196710089697703</v>
      </c>
      <c r="AN6721">
        <v>0.99999999119290195</v>
      </c>
    </row>
    <row r="6722" spans="1:40" x14ac:dyDescent="0.25">
      <c r="A6722" t="str">
        <f>"20190303162951109"</f>
        <v>20190303162951109</v>
      </c>
      <c r="B6722" t="str">
        <f>"1551601791098273"</f>
        <v>1551601791098273</v>
      </c>
      <c r="C6722" t="s">
        <v>40</v>
      </c>
      <c r="D6722">
        <v>4.8131320000000004</v>
      </c>
      <c r="E6722">
        <v>0.38671440000000001</v>
      </c>
      <c r="F6722" t="s">
        <v>45</v>
      </c>
      <c r="G6722">
        <v>0</v>
      </c>
      <c r="H6722">
        <v>0</v>
      </c>
      <c r="I6722">
        <v>0</v>
      </c>
      <c r="J6722">
        <v>-188.41370000000001</v>
      </c>
      <c r="K6722">
        <v>1.1215059999999999</v>
      </c>
      <c r="L6722">
        <v>59.962739999999997</v>
      </c>
      <c r="M6722">
        <v>-5.1140650000000001E-3</v>
      </c>
      <c r="N6722">
        <v>-1.1914279999999999E-2</v>
      </c>
      <c r="O6722">
        <v>0.99991600000000003</v>
      </c>
      <c r="P6722">
        <v>-6.4924460000000003E-2</v>
      </c>
      <c r="Q6722">
        <v>0.23646420000000001</v>
      </c>
      <c r="R6722">
        <v>0.96946869999999996</v>
      </c>
      <c r="S6722">
        <v>-1.1039890000000001</v>
      </c>
      <c r="T6722">
        <v>1.5414909999999999</v>
      </c>
      <c r="U6722">
        <v>2.654785</v>
      </c>
      <c r="V6722">
        <v>-5.9951360000000002E-2</v>
      </c>
      <c r="W6722">
        <v>0.24800530000000001</v>
      </c>
      <c r="X6722">
        <v>0.96690180000000003</v>
      </c>
      <c r="Y6722">
        <v>-0.33249580000000001</v>
      </c>
      <c r="Z6722">
        <v>0.48335729999999999</v>
      </c>
      <c r="AA6722">
        <v>0.80982240000000005</v>
      </c>
      <c r="AB6722">
        <v>32</v>
      </c>
      <c r="AC6722">
        <v>-1.1039890000000001</v>
      </c>
      <c r="AD6722">
        <v>1.5414909999999999</v>
      </c>
      <c r="AE6722">
        <v>2.654785</v>
      </c>
      <c r="AF6722">
        <v>-0.84694794448764099</v>
      </c>
      <c r="AG6722">
        <v>1.5414909999999999</v>
      </c>
      <c r="AH6722">
        <v>2.0664195603576898</v>
      </c>
      <c r="AI6722">
        <v>55.384805761160401</v>
      </c>
      <c r="AJ6722">
        <v>112.286885766707</v>
      </c>
      <c r="AK6722">
        <v>2.7135963449234102</v>
      </c>
      <c r="AL6722">
        <v>75.640491706302299</v>
      </c>
      <c r="AM6722">
        <v>93.548000629262305</v>
      </c>
      <c r="AN6722">
        <v>0.99999994261858804</v>
      </c>
    </row>
    <row r="6723" spans="1:40" x14ac:dyDescent="0.25">
      <c r="A6723" t="str">
        <f>"20190303162951132"</f>
        <v>20190303162951132</v>
      </c>
      <c r="B6723" t="str">
        <f>"1551601791128467"</f>
        <v>1551601791128467</v>
      </c>
      <c r="C6723" t="s">
        <v>40</v>
      </c>
      <c r="D6723">
        <v>4.8022280000000004</v>
      </c>
      <c r="E6723">
        <v>0.39224249999999999</v>
      </c>
      <c r="F6723" t="s">
        <v>45</v>
      </c>
      <c r="G6723">
        <v>0</v>
      </c>
      <c r="H6723">
        <v>0</v>
      </c>
      <c r="I6723">
        <v>0</v>
      </c>
      <c r="J6723">
        <v>-188.41540000000001</v>
      </c>
      <c r="K6723">
        <v>1.1215269999999999</v>
      </c>
      <c r="L6723">
        <v>60.289400000000001</v>
      </c>
      <c r="M6723">
        <v>-5.1091649999999997E-3</v>
      </c>
      <c r="N6723">
        <v>-1.191453E-2</v>
      </c>
      <c r="O6723">
        <v>0.99991600000000003</v>
      </c>
      <c r="P6723">
        <v>-7.016559E-2</v>
      </c>
      <c r="Q6723">
        <v>0.24192520000000001</v>
      </c>
      <c r="R6723">
        <v>0.96775460000000002</v>
      </c>
      <c r="S6723">
        <v>-1.065796</v>
      </c>
      <c r="T6723">
        <v>1.536859</v>
      </c>
      <c r="U6723">
        <v>2.6482540000000001</v>
      </c>
      <c r="V6723">
        <v>-6.5206429999999996E-2</v>
      </c>
      <c r="W6723">
        <v>0.2534457</v>
      </c>
      <c r="X6723">
        <v>0.96514940000000005</v>
      </c>
      <c r="Y6723">
        <v>-0.32284559999999901</v>
      </c>
      <c r="Z6723">
        <v>0.4848616</v>
      </c>
      <c r="AA6723">
        <v>0.8128223</v>
      </c>
      <c r="AB6723">
        <v>32</v>
      </c>
      <c r="AC6723">
        <v>-1.065796</v>
      </c>
      <c r="AD6723">
        <v>1.536859</v>
      </c>
      <c r="AE6723">
        <v>2.6482540000000001</v>
      </c>
      <c r="AF6723">
        <v>-0.81580099709340304</v>
      </c>
      <c r="AG6723">
        <v>1.536859</v>
      </c>
      <c r="AH6723">
        <v>2.0573638447566802</v>
      </c>
      <c r="AI6723">
        <v>55.223724052021801</v>
      </c>
      <c r="AJ6723">
        <v>111.62967918683</v>
      </c>
      <c r="AK6723">
        <v>2.69447821339338</v>
      </c>
      <c r="AL6723">
        <v>75.318494662427696</v>
      </c>
      <c r="AM6723">
        <v>93.865084894991796</v>
      </c>
      <c r="AN6723">
        <v>0.99999998284109703</v>
      </c>
    </row>
    <row r="6724" spans="1:40" x14ac:dyDescent="0.25">
      <c r="A6724" t="str">
        <f>"20190303162951153"</f>
        <v>20190303162951153</v>
      </c>
      <c r="B6724" t="str">
        <f>"1551601791148963"</f>
        <v>1551601791148963</v>
      </c>
      <c r="C6724" t="s">
        <v>40</v>
      </c>
      <c r="D6724">
        <v>4.8414129999999904</v>
      </c>
      <c r="E6724">
        <v>0.39431339999999998</v>
      </c>
      <c r="F6724" t="s">
        <v>45</v>
      </c>
      <c r="G6724">
        <v>0</v>
      </c>
      <c r="H6724">
        <v>0</v>
      </c>
      <c r="I6724">
        <v>0</v>
      </c>
      <c r="J6724">
        <v>-188.417</v>
      </c>
      <c r="K6724">
        <v>1.12155</v>
      </c>
      <c r="L6724">
        <v>60.588439999999999</v>
      </c>
      <c r="M6724">
        <v>-5.1039900000000001E-3</v>
      </c>
      <c r="N6724">
        <v>-1.191475E-2</v>
      </c>
      <c r="O6724">
        <v>0.99991600000000003</v>
      </c>
      <c r="P6724">
        <v>-7.5155410000000006E-2</v>
      </c>
      <c r="Q6724">
        <v>0.24823509999999999</v>
      </c>
      <c r="R6724">
        <v>0.96577999999999997</v>
      </c>
      <c r="S6724">
        <v>-1.0376590000000001</v>
      </c>
      <c r="T6724">
        <v>1.540422</v>
      </c>
      <c r="U6724">
        <v>2.639618</v>
      </c>
      <c r="V6724">
        <v>-7.0210990000000001E-2</v>
      </c>
      <c r="W6724">
        <v>0.25973249999999998</v>
      </c>
      <c r="X6724">
        <v>0.9631248</v>
      </c>
      <c r="Y6724">
        <v>-0.31561450000000002</v>
      </c>
      <c r="Z6724">
        <v>0.48807020000000001</v>
      </c>
      <c r="AA6724">
        <v>0.8137413</v>
      </c>
      <c r="AB6724">
        <v>32</v>
      </c>
      <c r="AC6724">
        <v>-1.0376590000000001</v>
      </c>
      <c r="AD6724">
        <v>1.540422</v>
      </c>
      <c r="AE6724">
        <v>2.639618</v>
      </c>
      <c r="AF6724">
        <v>-0.79087959570997501</v>
      </c>
      <c r="AG6724">
        <v>1.540422</v>
      </c>
      <c r="AH6724">
        <v>2.0424126942436001</v>
      </c>
      <c r="AI6724">
        <v>54.880227795096602</v>
      </c>
      <c r="AJ6724">
        <v>111.16780359706399</v>
      </c>
      <c r="AK6724">
        <v>2.6776557072562199</v>
      </c>
      <c r="AL6724">
        <v>74.945809261099001</v>
      </c>
      <c r="AM6724">
        <v>94.169438835734795</v>
      </c>
      <c r="AN6724">
        <v>0.99999996752403397</v>
      </c>
    </row>
    <row r="6725" spans="1:40" x14ac:dyDescent="0.25">
      <c r="A6725" t="str">
        <f>"20190303162951175"</f>
        <v>20190303162951175</v>
      </c>
      <c r="B6725" t="str">
        <f>"1551601791168484"</f>
        <v>1551601791168484</v>
      </c>
      <c r="C6725" t="s">
        <v>40</v>
      </c>
      <c r="D6725">
        <v>4.8241750000000003</v>
      </c>
      <c r="E6725">
        <v>0.39493830000000002</v>
      </c>
      <c r="F6725" t="s">
        <v>45</v>
      </c>
      <c r="G6725">
        <v>0</v>
      </c>
      <c r="H6725">
        <v>0</v>
      </c>
      <c r="I6725">
        <v>0</v>
      </c>
      <c r="J6725">
        <v>-188.4187</v>
      </c>
      <c r="K6725">
        <v>1.1215869999999999</v>
      </c>
      <c r="L6725">
        <v>60.91724</v>
      </c>
      <c r="M6725">
        <v>-5.0976909999999997E-3</v>
      </c>
      <c r="N6725">
        <v>-1.1914950000000001E-2</v>
      </c>
      <c r="O6725">
        <v>0.99991600000000003</v>
      </c>
      <c r="P6725">
        <v>-7.9786869999999996E-2</v>
      </c>
      <c r="Q6725">
        <v>0.25607459999999999</v>
      </c>
      <c r="R6725">
        <v>0.96335859999999995</v>
      </c>
      <c r="S6725">
        <v>-1.036591</v>
      </c>
      <c r="T6725">
        <v>1.5481450000000001</v>
      </c>
      <c r="U6725">
        <v>2.6277159999999999</v>
      </c>
      <c r="V6725">
        <v>-7.4860880000000005E-2</v>
      </c>
      <c r="W6725">
        <v>0.26754319999999998</v>
      </c>
      <c r="X6725">
        <v>0.96063339999999997</v>
      </c>
      <c r="Y6725">
        <v>-0.31591580000000002</v>
      </c>
      <c r="Z6725">
        <v>0.49139149999999998</v>
      </c>
      <c r="AA6725">
        <v>0.81162290000000004</v>
      </c>
      <c r="AB6725">
        <v>32</v>
      </c>
      <c r="AC6725">
        <v>-1.036591</v>
      </c>
      <c r="AD6725">
        <v>1.5481450000000001</v>
      </c>
      <c r="AE6725">
        <v>2.6277159999999999</v>
      </c>
      <c r="AF6725">
        <v>-0.78684034101268396</v>
      </c>
      <c r="AG6725">
        <v>1.5481450000000001</v>
      </c>
      <c r="AH6725">
        <v>2.0247870346460899</v>
      </c>
      <c r="AI6725">
        <v>54.523438446662198</v>
      </c>
      <c r="AJ6725">
        <v>111.23632551601899</v>
      </c>
      <c r="AK6725">
        <v>2.6675144233801</v>
      </c>
      <c r="AL6725">
        <v>74.481875261287897</v>
      </c>
      <c r="AM6725">
        <v>94.455978061022705</v>
      </c>
      <c r="AN6725">
        <v>1.00000002220808</v>
      </c>
    </row>
    <row r="6726" spans="1:40" x14ac:dyDescent="0.25">
      <c r="A6726" t="str">
        <f>"20190303162951198"</f>
        <v>20190303162951198</v>
      </c>
      <c r="B6726" t="str">
        <f>"1551601791188980"</f>
        <v>1551601791188980</v>
      </c>
      <c r="C6726" t="s">
        <v>40</v>
      </c>
      <c r="D6726">
        <v>4.7942140000000002</v>
      </c>
      <c r="E6726">
        <v>0.39741850000000001</v>
      </c>
      <c r="F6726" t="s">
        <v>45</v>
      </c>
      <c r="G6726">
        <v>0</v>
      </c>
      <c r="H6726">
        <v>0</v>
      </c>
      <c r="I6726">
        <v>0</v>
      </c>
      <c r="J6726">
        <v>-188.4203</v>
      </c>
      <c r="K6726">
        <v>1.121629</v>
      </c>
      <c r="L6726">
        <v>61.239409999999999</v>
      </c>
      <c r="M6726">
        <v>-5.0908510000000004E-3</v>
      </c>
      <c r="N6726">
        <v>-1.1915210000000001E-2</v>
      </c>
      <c r="O6726">
        <v>0.99991609999999997</v>
      </c>
      <c r="P6726">
        <v>-8.3921930000000006E-2</v>
      </c>
      <c r="Q6726">
        <v>0.26455450000000003</v>
      </c>
      <c r="R6726">
        <v>0.96071229999999996</v>
      </c>
      <c r="S6726">
        <v>-1.0448459999999999</v>
      </c>
      <c r="T6726">
        <v>1.569828</v>
      </c>
      <c r="U6726">
        <v>2.6102910000000001</v>
      </c>
      <c r="V6726">
        <v>-7.9015580000000002E-2</v>
      </c>
      <c r="W6726">
        <v>0.27599179999999901</v>
      </c>
      <c r="X6726">
        <v>0.95790660000000005</v>
      </c>
      <c r="Y6726">
        <v>-0.3185654</v>
      </c>
      <c r="Z6726">
        <v>0.4982374</v>
      </c>
      <c r="AA6726">
        <v>0.80639669999999997</v>
      </c>
      <c r="AB6726">
        <v>32</v>
      </c>
      <c r="AC6726">
        <v>-1.0448459999999999</v>
      </c>
      <c r="AD6726">
        <v>1.569828</v>
      </c>
      <c r="AE6726">
        <v>2.6102910000000001</v>
      </c>
      <c r="AF6726">
        <v>-0.78639624540096698</v>
      </c>
      <c r="AG6726">
        <v>1.569828</v>
      </c>
      <c r="AH6726">
        <v>1.9939836454375199</v>
      </c>
      <c r="AI6726">
        <v>53.781593211325699</v>
      </c>
      <c r="AJ6726">
        <v>111.523507692313</v>
      </c>
      <c r="AK6726">
        <v>2.65683077794522</v>
      </c>
      <c r="AL6726">
        <v>73.978872236255398</v>
      </c>
      <c r="AM6726">
        <v>94.715525284792193</v>
      </c>
      <c r="AN6726">
        <v>0.99999999493676806</v>
      </c>
    </row>
    <row r="6727" spans="1:40" x14ac:dyDescent="0.25">
      <c r="A6727" t="str">
        <f>"20190303162951222"</f>
        <v>20190303162951222</v>
      </c>
      <c r="B6727" t="str">
        <f>"1551601791218259"</f>
        <v>1551601791218259</v>
      </c>
      <c r="C6727" t="s">
        <v>40</v>
      </c>
      <c r="D6727">
        <v>4.1213569999999997</v>
      </c>
      <c r="E6727">
        <v>0.40132590000000001</v>
      </c>
      <c r="F6727" t="s">
        <v>45</v>
      </c>
      <c r="G6727">
        <v>0</v>
      </c>
      <c r="H6727">
        <v>0</v>
      </c>
      <c r="I6727">
        <v>0</v>
      </c>
      <c r="J6727">
        <v>-188.422</v>
      </c>
      <c r="K6727">
        <v>1.1216600000000001</v>
      </c>
      <c r="L6727">
        <v>61.57056</v>
      </c>
      <c r="M6727">
        <v>-5.0836739999999998E-3</v>
      </c>
      <c r="N6727">
        <v>-1.1915520000000001E-2</v>
      </c>
      <c r="O6727">
        <v>0.99991609999999997</v>
      </c>
      <c r="P6727">
        <v>-8.7611610000000006E-2</v>
      </c>
      <c r="Q6727">
        <v>0.27331689999999997</v>
      </c>
      <c r="R6727">
        <v>0.9579259</v>
      </c>
      <c r="S6727">
        <v>-1.037766</v>
      </c>
      <c r="T6727">
        <v>1.5855159999999999</v>
      </c>
      <c r="U6727">
        <v>2.5954280000000001</v>
      </c>
      <c r="V6727">
        <v>-8.2725320000000005E-2</v>
      </c>
      <c r="W6727">
        <v>0.28472180000000002</v>
      </c>
      <c r="X6727">
        <v>0.9550341</v>
      </c>
      <c r="Y6727">
        <v>-0.31702619999999998</v>
      </c>
      <c r="Z6727">
        <v>0.50408649999999999</v>
      </c>
      <c r="AA6727">
        <v>0.80336249999999998</v>
      </c>
      <c r="AB6727">
        <v>32</v>
      </c>
      <c r="AC6727">
        <v>-1.037766</v>
      </c>
      <c r="AD6727">
        <v>1.5855159999999999</v>
      </c>
      <c r="AE6727">
        <v>2.5954280000000001</v>
      </c>
      <c r="AF6727">
        <v>-0.77515496651733795</v>
      </c>
      <c r="AG6727">
        <v>1.5855159999999999</v>
      </c>
      <c r="AH6727">
        <v>1.96760353857107</v>
      </c>
      <c r="AI6727">
        <v>53.140075762320301</v>
      </c>
      <c r="AJ6727">
        <v>111.502402821026</v>
      </c>
      <c r="AK6727">
        <v>2.64314015772336</v>
      </c>
      <c r="AL6727">
        <v>73.457781013511195</v>
      </c>
      <c r="AM6727">
        <v>94.950619452429294</v>
      </c>
      <c r="AN6727">
        <v>1.0000000570635701</v>
      </c>
    </row>
    <row r="6728" spans="1:40" x14ac:dyDescent="0.25">
      <c r="A6728" t="str">
        <f>"20190303162951246"</f>
        <v>20190303162951246</v>
      </c>
      <c r="B6728" t="str">
        <f>"1551601791238755"</f>
        <v>1551601791238755</v>
      </c>
      <c r="C6728" t="s">
        <v>40</v>
      </c>
      <c r="D6728">
        <v>4.8535629999999896</v>
      </c>
      <c r="E6728">
        <v>0.43059399999999998</v>
      </c>
      <c r="F6728" t="s">
        <v>45</v>
      </c>
      <c r="G6728">
        <v>0</v>
      </c>
      <c r="H6728">
        <v>0</v>
      </c>
      <c r="I6728">
        <v>0</v>
      </c>
      <c r="J6728">
        <v>-188.4238</v>
      </c>
      <c r="K6728">
        <v>1.1216820000000001</v>
      </c>
      <c r="L6728">
        <v>61.91281</v>
      </c>
      <c r="M6728">
        <v>-5.0761089999999997E-3</v>
      </c>
      <c r="N6728">
        <v>-1.191585E-2</v>
      </c>
      <c r="O6728">
        <v>0.99991609999999997</v>
      </c>
      <c r="P6728">
        <v>-9.0084769999999995E-2</v>
      </c>
      <c r="Q6728">
        <v>0.27965489999999998</v>
      </c>
      <c r="R6728">
        <v>0.95586499999999996</v>
      </c>
      <c r="S6728">
        <v>-1.0173190000000001</v>
      </c>
      <c r="T6728">
        <v>1.6017030000000001</v>
      </c>
      <c r="U6728">
        <v>2.5817260000000002</v>
      </c>
      <c r="V6728">
        <v>-8.5215479999999996E-2</v>
      </c>
      <c r="W6728">
        <v>0.29103489999999999</v>
      </c>
      <c r="X6728">
        <v>0.95290980000000003</v>
      </c>
      <c r="Y6728">
        <v>-0.31160939999999998</v>
      </c>
      <c r="Z6728">
        <v>0.51056469999999998</v>
      </c>
      <c r="AA6728">
        <v>0.8013884</v>
      </c>
      <c r="AB6728">
        <v>32</v>
      </c>
      <c r="AC6728">
        <v>-1.0173190000000001</v>
      </c>
      <c r="AD6728">
        <v>1.6017030000000001</v>
      </c>
      <c r="AE6728">
        <v>2.5817260000000002</v>
      </c>
      <c r="AF6728">
        <v>-0.75324499931792899</v>
      </c>
      <c r="AG6728">
        <v>1.6017030000000001</v>
      </c>
      <c r="AH6728">
        <v>1.9403878763592699</v>
      </c>
      <c r="AI6728">
        <v>52.4214039564092</v>
      </c>
      <c r="AJ6728">
        <v>111.215863898517</v>
      </c>
      <c r="AK6728">
        <v>2.6263921336937699</v>
      </c>
      <c r="AL6728">
        <v>73.080076547699704</v>
      </c>
      <c r="AM6728">
        <v>95.110173257382797</v>
      </c>
      <c r="AN6728">
        <v>1.0000000389928301</v>
      </c>
    </row>
    <row r="6729" spans="1:40" x14ac:dyDescent="0.25">
      <c r="A6729" t="str">
        <f>"20190303162951266"</f>
        <v>20190303162951266</v>
      </c>
      <c r="B6729" t="str">
        <f>"1551601791258275"</f>
        <v>1551601791258275</v>
      </c>
      <c r="C6729" t="s">
        <v>40</v>
      </c>
      <c r="D6729">
        <v>4.8162719999999997</v>
      </c>
      <c r="E6729">
        <v>0.4308072</v>
      </c>
      <c r="F6729" t="s">
        <v>45</v>
      </c>
      <c r="G6729">
        <v>0</v>
      </c>
      <c r="H6729">
        <v>0</v>
      </c>
      <c r="I6729">
        <v>0</v>
      </c>
      <c r="J6729">
        <v>-188.42529999999999</v>
      </c>
      <c r="K6729">
        <v>1.1216999999999999</v>
      </c>
      <c r="L6729">
        <v>62.213410000000003</v>
      </c>
      <c r="M6729">
        <v>-5.0695760000000001E-3</v>
      </c>
      <c r="N6729">
        <v>-1.191613E-2</v>
      </c>
      <c r="O6729">
        <v>0.99991609999999997</v>
      </c>
      <c r="P6729">
        <v>-9.2055079999999997E-2</v>
      </c>
      <c r="Q6729">
        <v>0.28421109999999999</v>
      </c>
      <c r="R6729">
        <v>0.95433219999999996</v>
      </c>
      <c r="S6729">
        <v>-0.7960663</v>
      </c>
      <c r="T6729">
        <v>1.5000290000000001</v>
      </c>
      <c r="U6729">
        <v>2.6246339999999999</v>
      </c>
      <c r="V6729">
        <v>-8.719971E-2</v>
      </c>
      <c r="W6729">
        <v>0.29557309999999998</v>
      </c>
      <c r="X6729">
        <v>0.95133210000000001</v>
      </c>
      <c r="Y6729">
        <v>-0.24891450000000001</v>
      </c>
      <c r="Z6729">
        <v>0.4905504</v>
      </c>
      <c r="AA6729">
        <v>0.83510589999999996</v>
      </c>
      <c r="AB6729">
        <v>32</v>
      </c>
      <c r="AC6729">
        <v>-0.7960663</v>
      </c>
      <c r="AD6729">
        <v>1.5000290000000001</v>
      </c>
      <c r="AE6729">
        <v>2.6246339999999999</v>
      </c>
      <c r="AF6729">
        <v>-0.60252402361554003</v>
      </c>
      <c r="AG6729">
        <v>1.5000290000000001</v>
      </c>
      <c r="AH6729">
        <v>2.0234018979050798</v>
      </c>
      <c r="AI6729">
        <v>54.605896041581197</v>
      </c>
      <c r="AJ6729">
        <v>106.58235941554901</v>
      </c>
      <c r="AK6729">
        <v>2.5898411998268802</v>
      </c>
      <c r="AL6729">
        <v>72.808093970741197</v>
      </c>
      <c r="AM6729">
        <v>95.237133692834107</v>
      </c>
      <c r="AN6729">
        <v>1.0000000056790499</v>
      </c>
    </row>
    <row r="6730" spans="1:40" x14ac:dyDescent="0.25">
      <c r="A6730" t="str">
        <f>"20190303162951288"</f>
        <v>20190303162951288</v>
      </c>
      <c r="B6730" t="str">
        <f>"1551601791278771"</f>
        <v>1551601791278771</v>
      </c>
      <c r="C6730" t="s">
        <v>40</v>
      </c>
      <c r="D6730">
        <v>4.7501959999999999</v>
      </c>
      <c r="E6730">
        <v>0.43202469999999998</v>
      </c>
      <c r="F6730" t="s">
        <v>45</v>
      </c>
      <c r="G6730">
        <v>0</v>
      </c>
      <c r="H6730">
        <v>0</v>
      </c>
      <c r="I6730">
        <v>0</v>
      </c>
      <c r="J6730">
        <v>-188.42689999999999</v>
      </c>
      <c r="K6730">
        <v>1.1217170000000001</v>
      </c>
      <c r="L6730">
        <v>62.533450000000002</v>
      </c>
      <c r="M6730">
        <v>-5.0623309999999998E-3</v>
      </c>
      <c r="N6730">
        <v>-1.191645E-2</v>
      </c>
      <c r="O6730">
        <v>0.99991620000000003</v>
      </c>
      <c r="P6730">
        <v>-9.32674E-2</v>
      </c>
      <c r="Q6730">
        <v>0.28752840000000002</v>
      </c>
      <c r="R6730">
        <v>0.95322010000000001</v>
      </c>
      <c r="S6730">
        <v>-0.79978939999999998</v>
      </c>
      <c r="T6730">
        <v>1.500327</v>
      </c>
      <c r="U6730">
        <v>2.6195979999999999</v>
      </c>
      <c r="V6730">
        <v>-8.8423920000000003E-2</v>
      </c>
      <c r="W6730">
        <v>0.29887760000000002</v>
      </c>
      <c r="X6730">
        <v>0.95018599999999998</v>
      </c>
      <c r="Y6730">
        <v>-0.25036520000000001</v>
      </c>
      <c r="Z6730">
        <v>0.49112499999999998</v>
      </c>
      <c r="AA6730">
        <v>0.83433409999999997</v>
      </c>
      <c r="AB6730">
        <v>32</v>
      </c>
      <c r="AC6730">
        <v>-0.79978939999999998</v>
      </c>
      <c r="AD6730">
        <v>1.500327</v>
      </c>
      <c r="AE6730">
        <v>2.6195979999999999</v>
      </c>
      <c r="AF6730">
        <v>-0.60498858208849005</v>
      </c>
      <c r="AG6730">
        <v>1.500327</v>
      </c>
      <c r="AH6730">
        <v>2.0180826961026401</v>
      </c>
      <c r="AI6730">
        <v>54.544174930933103</v>
      </c>
      <c r="AJ6730">
        <v>106.687881174135</v>
      </c>
      <c r="AK6730">
        <v>2.5864357830217499</v>
      </c>
      <c r="AL6730">
        <v>72.609798740960102</v>
      </c>
      <c r="AM6730">
        <v>95.316609623517195</v>
      </c>
      <c r="AN6730">
        <v>1.0000000220029599</v>
      </c>
    </row>
    <row r="6731" spans="1:40" x14ac:dyDescent="0.25">
      <c r="A6731" t="str">
        <f>"20190303162951310"</f>
        <v>20190303162951310</v>
      </c>
      <c r="B6731" t="str">
        <f>"1551601791298291"</f>
        <v>1551601791298291</v>
      </c>
      <c r="C6731" t="s">
        <v>40</v>
      </c>
      <c r="D6731">
        <v>4.7261509999999998</v>
      </c>
      <c r="E6731">
        <v>0.43322100000000002</v>
      </c>
      <c r="F6731" t="s">
        <v>45</v>
      </c>
      <c r="G6731">
        <v>0</v>
      </c>
      <c r="H6731">
        <v>0</v>
      </c>
      <c r="I6731">
        <v>0</v>
      </c>
      <c r="J6731">
        <v>-188.42850000000001</v>
      </c>
      <c r="K6731">
        <v>1.1217269999999999</v>
      </c>
      <c r="L6731">
        <v>62.840269999999997</v>
      </c>
      <c r="M6731">
        <v>-5.0551570000000002E-3</v>
      </c>
      <c r="N6731">
        <v>-1.191681E-2</v>
      </c>
      <c r="O6731">
        <v>0.99991620000000003</v>
      </c>
      <c r="P6731">
        <v>-9.3895850000000003E-2</v>
      </c>
      <c r="Q6731">
        <v>0.28998620000000003</v>
      </c>
      <c r="R6731">
        <v>0.95241359999999997</v>
      </c>
      <c r="S6731">
        <v>-0.79295349999999998</v>
      </c>
      <c r="T6731">
        <v>1.507342</v>
      </c>
      <c r="U6731">
        <v>2.61496</v>
      </c>
      <c r="V6731">
        <v>-8.9063279999999995E-2</v>
      </c>
      <c r="W6731">
        <v>0.30132599999999998</v>
      </c>
      <c r="X6731">
        <v>0.94935259999999999</v>
      </c>
      <c r="Y6731">
        <v>-0.24836559999999999</v>
      </c>
      <c r="Z6731">
        <v>0.49370190000000003</v>
      </c>
      <c r="AA6731">
        <v>0.833410399999999</v>
      </c>
      <c r="AB6731">
        <v>32</v>
      </c>
      <c r="AC6731">
        <v>-0.79295349999999998</v>
      </c>
      <c r="AD6731">
        <v>1.507342</v>
      </c>
      <c r="AE6731">
        <v>2.61496</v>
      </c>
      <c r="AF6731">
        <v>-0.59781382162414898</v>
      </c>
      <c r="AG6731">
        <v>1.507342</v>
      </c>
      <c r="AH6731">
        <v>2.0079373974495001</v>
      </c>
      <c r="AI6731">
        <v>54.265696394566298</v>
      </c>
      <c r="AJ6731">
        <v>106.57960155387499</v>
      </c>
      <c r="AK6731">
        <v>2.5809443741322902</v>
      </c>
      <c r="AL6731">
        <v>72.462736696181807</v>
      </c>
      <c r="AM6731">
        <v>95.3595027895676</v>
      </c>
      <c r="AN6731">
        <v>0.99999999262355899</v>
      </c>
    </row>
    <row r="6732" spans="1:40" x14ac:dyDescent="0.25">
      <c r="A6732" t="str">
        <f>"20190303162951331"</f>
        <v>20190303162951331</v>
      </c>
      <c r="B6732" t="str">
        <f>"1551601791329054"</f>
        <v>1551601791329054</v>
      </c>
      <c r="C6732" t="s">
        <v>40</v>
      </c>
      <c r="D6732">
        <v>4.6875439999999999</v>
      </c>
      <c r="E6732">
        <v>0.43459930000000002</v>
      </c>
      <c r="F6732" t="s">
        <v>45</v>
      </c>
      <c r="G6732">
        <v>0</v>
      </c>
      <c r="H6732">
        <v>0</v>
      </c>
      <c r="I6732">
        <v>0</v>
      </c>
      <c r="J6732">
        <v>-188.43010000000001</v>
      </c>
      <c r="K6732">
        <v>1.1217330000000001</v>
      </c>
      <c r="L6732">
        <v>63.149230000000003</v>
      </c>
      <c r="M6732">
        <v>-5.0472889999999999E-3</v>
      </c>
      <c r="N6732">
        <v>-1.1917199999999999E-2</v>
      </c>
      <c r="O6732">
        <v>0.99991629999999998</v>
      </c>
      <c r="P6732">
        <v>-9.3304750000000006E-2</v>
      </c>
      <c r="Q6732">
        <v>0.29036469999999998</v>
      </c>
      <c r="R6732">
        <v>0.95235630000000004</v>
      </c>
      <c r="S6732">
        <v>-0.78564449999999997</v>
      </c>
      <c r="T6732">
        <v>1.5081389999999999</v>
      </c>
      <c r="U6732">
        <v>2.613251</v>
      </c>
      <c r="V6732">
        <v>-8.8479539999999995E-2</v>
      </c>
      <c r="W6732">
        <v>0.30170390000000002</v>
      </c>
      <c r="X6732">
        <v>0.9492872</v>
      </c>
      <c r="Y6732">
        <v>-0.24626790000000001</v>
      </c>
      <c r="Z6732">
        <v>0.4943997</v>
      </c>
      <c r="AA6732">
        <v>0.83361919999999901</v>
      </c>
      <c r="AB6732">
        <v>32</v>
      </c>
      <c r="AC6732">
        <v>-0.78564449999999997</v>
      </c>
      <c r="AD6732">
        <v>1.5081389999999999</v>
      </c>
      <c r="AE6732">
        <v>2.613251</v>
      </c>
      <c r="AF6732">
        <v>-0.59170653340118196</v>
      </c>
      <c r="AG6732">
        <v>1.5081389999999999</v>
      </c>
      <c r="AH6732">
        <v>2.0048120678296799</v>
      </c>
      <c r="AI6732">
        <v>54.189881603572701</v>
      </c>
      <c r="AJ6732">
        <v>106.443603789373</v>
      </c>
      <c r="AK6732">
        <v>2.5775708122777399</v>
      </c>
      <c r="AL6732">
        <v>72.440028461650002</v>
      </c>
      <c r="AM6732">
        <v>95.324942727345302</v>
      </c>
      <c r="AN6732">
        <v>1.0000000301788301</v>
      </c>
    </row>
    <row r="6733" spans="1:40" x14ac:dyDescent="0.25">
      <c r="A6733" t="str">
        <f>"20190303162951354"</f>
        <v>20190303162951354</v>
      </c>
      <c r="B6733" t="str">
        <f>"1551601791348573"</f>
        <v>1551601791348573</v>
      </c>
      <c r="C6733" t="s">
        <v>40</v>
      </c>
      <c r="D6733">
        <v>4.6510249999999997</v>
      </c>
      <c r="E6733">
        <v>0.43526490000000001</v>
      </c>
      <c r="F6733" t="s">
        <v>45</v>
      </c>
      <c r="G6733">
        <v>0</v>
      </c>
      <c r="H6733">
        <v>0</v>
      </c>
      <c r="I6733">
        <v>0</v>
      </c>
      <c r="J6733">
        <v>-188.43170000000001</v>
      </c>
      <c r="K6733">
        <v>1.121721</v>
      </c>
      <c r="L6733">
        <v>63.474980000000002</v>
      </c>
      <c r="M6733">
        <v>-5.0385120000000002E-3</v>
      </c>
      <c r="N6733">
        <v>-1.191765E-2</v>
      </c>
      <c r="O6733">
        <v>0.99991629999999998</v>
      </c>
      <c r="P6733">
        <v>-9.1316289999999994E-2</v>
      </c>
      <c r="Q6733">
        <v>0.28979569999999999</v>
      </c>
      <c r="R6733">
        <v>0.95272230000000002</v>
      </c>
      <c r="S6733">
        <v>-0.77394099999999999</v>
      </c>
      <c r="T6733">
        <v>1.5043629999999999</v>
      </c>
      <c r="U6733">
        <v>2.6156009999999998</v>
      </c>
      <c r="V6733">
        <v>-8.649751E-2</v>
      </c>
      <c r="W6733">
        <v>0.30113959999999901</v>
      </c>
      <c r="X6733">
        <v>0.94964890000000002</v>
      </c>
      <c r="Y6733">
        <v>-0.24275289999999999</v>
      </c>
      <c r="Z6733">
        <v>0.49362020000000001</v>
      </c>
      <c r="AA6733">
        <v>0.83511080000000004</v>
      </c>
      <c r="AB6733">
        <v>32</v>
      </c>
      <c r="AC6733">
        <v>-0.77394099999999999</v>
      </c>
      <c r="AD6733">
        <v>1.5043629999999999</v>
      </c>
      <c r="AE6733">
        <v>2.6156009999999998</v>
      </c>
      <c r="AF6733">
        <v>-0.58332380009034501</v>
      </c>
      <c r="AG6733">
        <v>1.5043629999999999</v>
      </c>
      <c r="AH6733">
        <v>2.0085373222641598</v>
      </c>
      <c r="AI6733">
        <v>54.273853401759403</v>
      </c>
      <c r="AJ6733">
        <v>106.194469459125</v>
      </c>
      <c r="AK6733">
        <v>2.5763534048047299</v>
      </c>
      <c r="AL6733">
        <v>72.473936200720004</v>
      </c>
      <c r="AM6733">
        <v>95.204349585793395</v>
      </c>
      <c r="AN6733">
        <v>0.99999995559778398</v>
      </c>
    </row>
    <row r="6734" spans="1:40" x14ac:dyDescent="0.25">
      <c r="A6734" t="str">
        <f>"20190303162951376"</f>
        <v>20190303162951376</v>
      </c>
      <c r="B6734" t="str">
        <f>"1551601791369070"</f>
        <v>1551601791369070</v>
      </c>
      <c r="C6734" t="s">
        <v>40</v>
      </c>
      <c r="D6734">
        <v>4.6155299999999997</v>
      </c>
      <c r="E6734">
        <v>0.43587979999999998</v>
      </c>
      <c r="F6734" t="s">
        <v>45</v>
      </c>
      <c r="G6734">
        <v>0</v>
      </c>
      <c r="H6734">
        <v>0</v>
      </c>
      <c r="I6734">
        <v>0</v>
      </c>
      <c r="J6734">
        <v>-188.4333</v>
      </c>
      <c r="K6734">
        <v>1.1217140000000001</v>
      </c>
      <c r="L6734">
        <v>63.800020000000004</v>
      </c>
      <c r="M6734">
        <v>-5.0296000000000004E-3</v>
      </c>
      <c r="N6734">
        <v>-1.1918130000000001E-2</v>
      </c>
      <c r="O6734">
        <v>0.99991629999999998</v>
      </c>
      <c r="P6734">
        <v>-8.8531670000000007E-2</v>
      </c>
      <c r="Q6734">
        <v>0.289805599999999</v>
      </c>
      <c r="R6734">
        <v>0.95298210000000005</v>
      </c>
      <c r="S6734">
        <v>-0.76354979999999995</v>
      </c>
      <c r="T6734">
        <v>1.4996389999999999</v>
      </c>
      <c r="U6734">
        <v>2.6195369999999998</v>
      </c>
      <c r="V6734">
        <v>-8.3720020000000006E-2</v>
      </c>
      <c r="W6734">
        <v>0.3011528</v>
      </c>
      <c r="X6734">
        <v>0.94989369999999995</v>
      </c>
      <c r="Y6734">
        <v>-0.2395552</v>
      </c>
      <c r="Z6734">
        <v>0.49234489999999997</v>
      </c>
      <c r="AA6734">
        <v>0.83678539999999901</v>
      </c>
      <c r="AB6734">
        <v>32</v>
      </c>
      <c r="AC6734">
        <v>-0.76354979999999995</v>
      </c>
      <c r="AD6734">
        <v>1.4996389999999999</v>
      </c>
      <c r="AE6734">
        <v>2.6195369999999998</v>
      </c>
      <c r="AF6734">
        <v>-0.57628476714073795</v>
      </c>
      <c r="AG6734">
        <v>1.4996389999999999</v>
      </c>
      <c r="AH6734">
        <v>2.0147468470804601</v>
      </c>
      <c r="AI6734">
        <v>54.411279377971098</v>
      </c>
      <c r="AJ6734">
        <v>105.962295209335</v>
      </c>
      <c r="AK6734">
        <v>2.5768636209508902</v>
      </c>
      <c r="AL6734">
        <v>72.473144713815998</v>
      </c>
      <c r="AM6734">
        <v>95.036817140306695</v>
      </c>
      <c r="AN6734">
        <v>1.0000000459981599</v>
      </c>
    </row>
    <row r="6735" spans="1:40" x14ac:dyDescent="0.25">
      <c r="A6735" t="str">
        <f>"20190303162951399"</f>
        <v>20190303162951399</v>
      </c>
      <c r="B6735" t="str">
        <f>"1551601791388589"</f>
        <v>1551601791388589</v>
      </c>
      <c r="C6735" t="s">
        <v>40</v>
      </c>
      <c r="D6735">
        <v>4.6181919999999996</v>
      </c>
      <c r="E6735">
        <v>0.4361835</v>
      </c>
      <c r="F6735" t="s">
        <v>45</v>
      </c>
      <c r="G6735">
        <v>0</v>
      </c>
      <c r="H6735">
        <v>0</v>
      </c>
      <c r="I6735">
        <v>0</v>
      </c>
      <c r="J6735">
        <v>-188.4349</v>
      </c>
      <c r="K6735">
        <v>1.1217060000000001</v>
      </c>
      <c r="L6735">
        <v>64.119749999999996</v>
      </c>
      <c r="M6735">
        <v>-5.0206579999999999E-3</v>
      </c>
      <c r="N6735">
        <v>-1.191862E-2</v>
      </c>
      <c r="O6735">
        <v>0.99991640000000004</v>
      </c>
      <c r="P6735">
        <v>-8.6392280000000002E-2</v>
      </c>
      <c r="Q6735">
        <v>0.2895586</v>
      </c>
      <c r="R6735">
        <v>0.95325349999999998</v>
      </c>
      <c r="S6735">
        <v>-0.75096130000000005</v>
      </c>
      <c r="T6735">
        <v>1.4955259999999999</v>
      </c>
      <c r="U6735">
        <v>2.6234440000000001</v>
      </c>
      <c r="V6735">
        <v>-8.1587580000000007E-2</v>
      </c>
      <c r="W6735">
        <v>0.30090909999999998</v>
      </c>
      <c r="X6735">
        <v>0.95015640000000001</v>
      </c>
      <c r="Y6735">
        <v>-0.2356663</v>
      </c>
      <c r="Z6735">
        <v>0.49129610000000001</v>
      </c>
      <c r="AA6735">
        <v>0.83850429999999998</v>
      </c>
      <c r="AB6735">
        <v>32</v>
      </c>
      <c r="AC6735">
        <v>-0.75096130000000005</v>
      </c>
      <c r="AD6735">
        <v>1.4955259999999999</v>
      </c>
      <c r="AE6735">
        <v>2.6234440000000001</v>
      </c>
      <c r="AF6735">
        <v>-0.56736574330720302</v>
      </c>
      <c r="AG6735">
        <v>1.4955259999999999</v>
      </c>
      <c r="AH6735">
        <v>2.0203500205629399</v>
      </c>
      <c r="AI6735">
        <v>54.523933705899303</v>
      </c>
      <c r="AJ6735">
        <v>105.686094547929</v>
      </c>
      <c r="AK6735">
        <v>2.5768810816456398</v>
      </c>
      <c r="AL6735">
        <v>72.487786086542201</v>
      </c>
      <c r="AM6735">
        <v>94.907808362931604</v>
      </c>
      <c r="AN6735">
        <v>1.0000000020670099</v>
      </c>
    </row>
    <row r="6736" spans="1:40" x14ac:dyDescent="0.25">
      <c r="A6736" t="str">
        <f>"20190303162951423"</f>
        <v>20190303162951423</v>
      </c>
      <c r="B6736" t="str">
        <f>"1551601791418375"</f>
        <v>1551601791418375</v>
      </c>
      <c r="C6736" t="s">
        <v>40</v>
      </c>
      <c r="D6736">
        <v>4.6486320000000001</v>
      </c>
      <c r="E6736">
        <v>0.43725979999999998</v>
      </c>
      <c r="F6736" t="s">
        <v>45</v>
      </c>
      <c r="G6736">
        <v>0</v>
      </c>
      <c r="H6736">
        <v>0</v>
      </c>
      <c r="I6736">
        <v>0</v>
      </c>
      <c r="J6736">
        <v>-188.4366</v>
      </c>
      <c r="K6736">
        <v>1.1217170000000001</v>
      </c>
      <c r="L6736">
        <v>64.455410000000001</v>
      </c>
      <c r="M6736">
        <v>-5.0111039999999997E-3</v>
      </c>
      <c r="N6736">
        <v>-1.191913E-2</v>
      </c>
      <c r="O6736">
        <v>0.99991640000000004</v>
      </c>
      <c r="P6736">
        <v>-8.4364239999999993E-2</v>
      </c>
      <c r="Q6736">
        <v>0.28991909999999999</v>
      </c>
      <c r="R6736">
        <v>0.9533256</v>
      </c>
      <c r="S6736">
        <v>-0.74314880000000005</v>
      </c>
      <c r="T6736">
        <v>1.4918469999999999</v>
      </c>
      <c r="U6736">
        <v>2.626617</v>
      </c>
      <c r="V6736">
        <v>-7.9568059999999996E-2</v>
      </c>
      <c r="W6736">
        <v>0.301270599999999</v>
      </c>
      <c r="X6736">
        <v>0.95021310000000003</v>
      </c>
      <c r="Y6736">
        <v>-0.2332458</v>
      </c>
      <c r="Z6736">
        <v>0.49026589999999998</v>
      </c>
      <c r="AA6736">
        <v>0.83978319999999995</v>
      </c>
      <c r="AB6736">
        <v>32</v>
      </c>
      <c r="AC6736">
        <v>-0.74314880000000005</v>
      </c>
      <c r="AD6736">
        <v>1.4918469999999999</v>
      </c>
      <c r="AE6736">
        <v>2.626617</v>
      </c>
      <c r="AF6736">
        <v>-0.56208937531865699</v>
      </c>
      <c r="AG6736">
        <v>1.4918469999999999</v>
      </c>
      <c r="AH6736">
        <v>2.0253648961637798</v>
      </c>
      <c r="AI6736">
        <v>54.634542326100799</v>
      </c>
      <c r="AJ6736">
        <v>105.51066403261299</v>
      </c>
      <c r="AK6736">
        <v>2.5775288358944901</v>
      </c>
      <c r="AL6736">
        <v>72.466065582530703</v>
      </c>
      <c r="AM6736">
        <v>94.786613743057501</v>
      </c>
      <c r="AN6736">
        <v>0.99999999300406595</v>
      </c>
    </row>
    <row r="6737" spans="1:40" x14ac:dyDescent="0.25">
      <c r="A6737" t="str">
        <f>"20190303162951455"</f>
        <v>20190303162951455</v>
      </c>
      <c r="B6737" t="str">
        <f>"1551601791448631"</f>
        <v>1551601791448631</v>
      </c>
      <c r="C6737" t="s">
        <v>40</v>
      </c>
      <c r="D6737">
        <v>4.5828290000000003</v>
      </c>
      <c r="E6737">
        <v>0.43778600000000001</v>
      </c>
      <c r="F6737" t="s">
        <v>45</v>
      </c>
      <c r="G6737">
        <v>0</v>
      </c>
      <c r="H6737">
        <v>0</v>
      </c>
      <c r="I6737">
        <v>0</v>
      </c>
      <c r="J6737">
        <v>-188.43889999999999</v>
      </c>
      <c r="K6737">
        <v>1.1217029999999999</v>
      </c>
      <c r="L6737">
        <v>64.921390000000002</v>
      </c>
      <c r="M6737">
        <v>-4.9977329999999999E-3</v>
      </c>
      <c r="N6737">
        <v>-1.191973E-2</v>
      </c>
      <c r="O6737">
        <v>0.99991649999999999</v>
      </c>
      <c r="P6737">
        <v>-8.1587000000000007E-2</v>
      </c>
      <c r="Q6737">
        <v>0.28648770000000001</v>
      </c>
      <c r="R6737">
        <v>0.9546038</v>
      </c>
      <c r="S6737">
        <v>-0.72937010000000002</v>
      </c>
      <c r="T6737">
        <v>1.4874529999999999</v>
      </c>
      <c r="U6737">
        <v>2.6299739999999998</v>
      </c>
      <c r="V6737">
        <v>-7.6797660000000004E-2</v>
      </c>
      <c r="W6737">
        <v>0.29785529999999999</v>
      </c>
      <c r="X6737">
        <v>0.9515169</v>
      </c>
      <c r="Y6737">
        <v>-0.2290307</v>
      </c>
      <c r="Z6737">
        <v>0.48924390000000001</v>
      </c>
      <c r="AA6737">
        <v>0.84153750000000005</v>
      </c>
      <c r="AB6737">
        <v>32</v>
      </c>
      <c r="AC6737">
        <v>-0.72937010000000002</v>
      </c>
      <c r="AD6737">
        <v>1.4874529999999999</v>
      </c>
      <c r="AE6737">
        <v>2.6299739999999998</v>
      </c>
      <c r="AF6737">
        <v>-0.55219614215652801</v>
      </c>
      <c r="AG6737">
        <v>1.4874529999999999</v>
      </c>
      <c r="AH6737">
        <v>2.0304713415809301</v>
      </c>
      <c r="AI6737">
        <v>54.743852368761402</v>
      </c>
      <c r="AJ6737">
        <v>105.21390781765299</v>
      </c>
      <c r="AK6737">
        <v>2.57686842419302</v>
      </c>
      <c r="AL6737">
        <v>72.671167723118799</v>
      </c>
      <c r="AM6737">
        <v>94.614384011573904</v>
      </c>
      <c r="AN6737">
        <v>1.00000003565258</v>
      </c>
    </row>
    <row r="6738" spans="1:40" x14ac:dyDescent="0.25">
      <c r="A6738" t="str">
        <f>"20190303162951477"</f>
        <v>20190303162951477</v>
      </c>
      <c r="B6738" t="str">
        <f>"1551601791468152"</f>
        <v>1551601791468152</v>
      </c>
      <c r="C6738" t="s">
        <v>40</v>
      </c>
      <c r="D6738">
        <v>4.5528230000000001</v>
      </c>
      <c r="E6738">
        <v>0.43799589999999999</v>
      </c>
      <c r="F6738" t="s">
        <v>45</v>
      </c>
      <c r="G6738">
        <v>0</v>
      </c>
      <c r="H6738">
        <v>0</v>
      </c>
      <c r="I6738">
        <v>0</v>
      </c>
      <c r="J6738">
        <v>-188.44049999999999</v>
      </c>
      <c r="K6738">
        <v>1.1216919999999999</v>
      </c>
      <c r="L6738">
        <v>65.241389999999996</v>
      </c>
      <c r="M6738">
        <v>-4.9881700000000001E-3</v>
      </c>
      <c r="N6738">
        <v>-1.1920139999999999E-2</v>
      </c>
      <c r="O6738">
        <v>0.99991649999999999</v>
      </c>
      <c r="P6738">
        <v>-8.0239909999999998E-2</v>
      </c>
      <c r="Q6738">
        <v>0.28421859999999999</v>
      </c>
      <c r="R6738">
        <v>0.95539589999999996</v>
      </c>
      <c r="S6738">
        <v>-0.71684269999999894</v>
      </c>
      <c r="T6738">
        <v>1.4755780000000001</v>
      </c>
      <c r="U6738">
        <v>2.63855</v>
      </c>
      <c r="V6738">
        <v>-7.5455579999999994E-2</v>
      </c>
      <c r="W6738">
        <v>0.29559590000000002</v>
      </c>
      <c r="X6738">
        <v>0.95232850000000002</v>
      </c>
      <c r="Y6738">
        <v>-0.22512090000000001</v>
      </c>
      <c r="Z6738">
        <v>0.48564020000000002</v>
      </c>
      <c r="AA6738">
        <v>0.84467409999999998</v>
      </c>
      <c r="AB6738">
        <v>32</v>
      </c>
      <c r="AC6738">
        <v>-0.71684269999999894</v>
      </c>
      <c r="AD6738">
        <v>1.4755780000000001</v>
      </c>
      <c r="AE6738">
        <v>2.63855</v>
      </c>
      <c r="AF6738">
        <v>-0.54495352846729594</v>
      </c>
      <c r="AG6738">
        <v>1.4755780000000001</v>
      </c>
      <c r="AH6738">
        <v>2.0461513341013702</v>
      </c>
      <c r="AI6738">
        <v>55.129032381396001</v>
      </c>
      <c r="AJ6738">
        <v>104.913460161611</v>
      </c>
      <c r="AK6738">
        <v>2.5808990806146901</v>
      </c>
      <c r="AL6738">
        <v>72.806726890088399</v>
      </c>
      <c r="AM6738">
        <v>94.530236421327601</v>
      </c>
      <c r="AN6738">
        <v>1.00000002628109</v>
      </c>
    </row>
    <row r="6739" spans="1:40" x14ac:dyDescent="0.25">
      <c r="A6739" t="str">
        <f>"20190303162951500"</f>
        <v>20190303162951500</v>
      </c>
      <c r="B6739" t="str">
        <f>"1551601791488647"</f>
        <v>1551601791488647</v>
      </c>
      <c r="C6739" t="s">
        <v>40</v>
      </c>
      <c r="D6739">
        <v>4.6050559999999896</v>
      </c>
      <c r="E6739">
        <v>0.43827080000000002</v>
      </c>
      <c r="F6739" t="s">
        <v>45</v>
      </c>
      <c r="G6739">
        <v>0</v>
      </c>
      <c r="H6739">
        <v>0</v>
      </c>
      <c r="I6739">
        <v>0</v>
      </c>
      <c r="J6739">
        <v>-188.44200000000001</v>
      </c>
      <c r="K6739">
        <v>1.1216930000000001</v>
      </c>
      <c r="L6739">
        <v>65.560299999999998</v>
      </c>
      <c r="M6739">
        <v>-4.9785769999999997E-3</v>
      </c>
      <c r="N6739">
        <v>-1.192054E-2</v>
      </c>
      <c r="O6739">
        <v>0.99991660000000004</v>
      </c>
      <c r="P6739">
        <v>-8.0345E-2</v>
      </c>
      <c r="Q6739">
        <v>0.28186630000000001</v>
      </c>
      <c r="R6739">
        <v>0.95608369999999998</v>
      </c>
      <c r="S6739">
        <v>-0.71104429999999996</v>
      </c>
      <c r="T6739">
        <v>1.468208</v>
      </c>
      <c r="U6739">
        <v>2.6435550000000001</v>
      </c>
      <c r="V6739">
        <v>-7.5567140000000005E-2</v>
      </c>
      <c r="W6739">
        <v>0.29325220000000002</v>
      </c>
      <c r="X6739">
        <v>0.95304390000000005</v>
      </c>
      <c r="Y6739">
        <v>-0.2233135</v>
      </c>
      <c r="Z6739">
        <v>0.48336580000000001</v>
      </c>
      <c r="AA6739">
        <v>0.84645649999999995</v>
      </c>
      <c r="AB6739">
        <v>32</v>
      </c>
      <c r="AC6739">
        <v>-0.71104429999999996</v>
      </c>
      <c r="AD6739">
        <v>1.468208</v>
      </c>
      <c r="AE6739">
        <v>2.6435550000000001</v>
      </c>
      <c r="AF6739">
        <v>-0.54197473173100397</v>
      </c>
      <c r="AG6739">
        <v>1.468208</v>
      </c>
      <c r="AH6739">
        <v>2.05573239142926</v>
      </c>
      <c r="AI6739">
        <v>55.370872857826797</v>
      </c>
      <c r="AJ6739">
        <v>104.76943097034101</v>
      </c>
      <c r="AK6739">
        <v>2.5836809025633101</v>
      </c>
      <c r="AL6739">
        <v>72.947238118064007</v>
      </c>
      <c r="AM6739">
        <v>94.533514953918697</v>
      </c>
      <c r="AN6739">
        <v>0.99999996038991401</v>
      </c>
    </row>
    <row r="6740" spans="1:40" x14ac:dyDescent="0.25">
      <c r="A6740" t="str">
        <f>"20190303162951521"</f>
        <v>20190303162951521</v>
      </c>
      <c r="B6740" t="str">
        <f>"1551601791508167"</f>
        <v>1551601791508167</v>
      </c>
      <c r="C6740" t="s">
        <v>40</v>
      </c>
      <c r="D6740">
        <v>4.6060499999999998</v>
      </c>
      <c r="E6740">
        <v>0.43843569999999998</v>
      </c>
      <c r="F6740" t="s">
        <v>45</v>
      </c>
      <c r="G6740">
        <v>0</v>
      </c>
      <c r="H6740">
        <v>0</v>
      </c>
      <c r="I6740">
        <v>0</v>
      </c>
      <c r="J6740">
        <v>-188.4436</v>
      </c>
      <c r="K6740">
        <v>1.1216839999999999</v>
      </c>
      <c r="L6740">
        <v>65.86627</v>
      </c>
      <c r="M6740">
        <v>-4.969785E-3</v>
      </c>
      <c r="N6740">
        <v>-1.192091E-2</v>
      </c>
      <c r="O6740">
        <v>0.99991660000000004</v>
      </c>
      <c r="P6740">
        <v>-8.0701250000000002E-2</v>
      </c>
      <c r="Q6740">
        <v>0.28096529999999997</v>
      </c>
      <c r="R6740">
        <v>0.95631889999999997</v>
      </c>
      <c r="S6740">
        <v>-0.70922850000000004</v>
      </c>
      <c r="T6740">
        <v>1.460863</v>
      </c>
      <c r="U6740">
        <v>2.6475219999999999</v>
      </c>
      <c r="V6740">
        <v>-7.5930709999999998E-2</v>
      </c>
      <c r="W6740">
        <v>0.29235440000000001</v>
      </c>
      <c r="X6740">
        <v>0.95329079999999999</v>
      </c>
      <c r="Y6740">
        <v>-0.22277920000000001</v>
      </c>
      <c r="Z6740">
        <v>0.48108990000000001</v>
      </c>
      <c r="AA6740">
        <v>0.84789269999999906</v>
      </c>
      <c r="AB6740">
        <v>32</v>
      </c>
      <c r="AC6740">
        <v>-0.70922850000000004</v>
      </c>
      <c r="AD6740">
        <v>1.460863</v>
      </c>
      <c r="AE6740">
        <v>2.6475219999999999</v>
      </c>
      <c r="AF6740">
        <v>-0.54206970855802505</v>
      </c>
      <c r="AG6740">
        <v>1.460863</v>
      </c>
      <c r="AH6740">
        <v>2.0645232769280799</v>
      </c>
      <c r="AI6740">
        <v>55.612073438460499</v>
      </c>
      <c r="AJ6740">
        <v>104.711740072304</v>
      </c>
      <c r="AK6740">
        <v>2.5865453088401602</v>
      </c>
      <c r="AL6740">
        <v>73.001036063104806</v>
      </c>
      <c r="AM6740">
        <v>94.554060273939598</v>
      </c>
      <c r="AN6740">
        <v>0.99999995864255098</v>
      </c>
    </row>
    <row r="6741" spans="1:40" x14ac:dyDescent="0.25">
      <c r="A6741" t="str">
        <f>"20190303162951545"</f>
        <v>20190303162951545</v>
      </c>
      <c r="B6741" t="str">
        <f>"1551601791538929"</f>
        <v>1551601791538929</v>
      </c>
      <c r="C6741" t="s">
        <v>40</v>
      </c>
      <c r="D6741">
        <v>4.6155619999999997</v>
      </c>
      <c r="E6741">
        <v>0.43866430000000001</v>
      </c>
      <c r="F6741" t="s">
        <v>45</v>
      </c>
      <c r="G6741">
        <v>0</v>
      </c>
      <c r="H6741">
        <v>0</v>
      </c>
      <c r="I6741">
        <v>0</v>
      </c>
      <c r="J6741">
        <v>-188.4453</v>
      </c>
      <c r="K6741">
        <v>1.1216759999999999</v>
      </c>
      <c r="L6741">
        <v>66.216639999999998</v>
      </c>
      <c r="M6741">
        <v>-4.9597440000000003E-3</v>
      </c>
      <c r="N6741">
        <v>-1.192142E-2</v>
      </c>
      <c r="O6741">
        <v>0.99991660000000004</v>
      </c>
      <c r="P6741">
        <v>-8.0836770000000002E-2</v>
      </c>
      <c r="Q6741">
        <v>0.27997030000000001</v>
      </c>
      <c r="R6741">
        <v>0.95659919999999998</v>
      </c>
      <c r="S6741">
        <v>-0.70855709999999905</v>
      </c>
      <c r="T6741">
        <v>1.4584029999999999</v>
      </c>
      <c r="U6741">
        <v>2.6487729999999998</v>
      </c>
      <c r="V6741">
        <v>-7.6073829999999995E-2</v>
      </c>
      <c r="W6741">
        <v>0.29136339999999999</v>
      </c>
      <c r="X6741">
        <v>0.95358279999999995</v>
      </c>
      <c r="Y6741">
        <v>-0.22259219999999999</v>
      </c>
      <c r="Z6741">
        <v>0.4803386</v>
      </c>
      <c r="AA6741">
        <v>0.8483676</v>
      </c>
      <c r="AB6741">
        <v>32</v>
      </c>
      <c r="AC6741">
        <v>-0.70855709999999905</v>
      </c>
      <c r="AD6741">
        <v>1.4584029999999999</v>
      </c>
      <c r="AE6741">
        <v>2.6487729999999998</v>
      </c>
      <c r="AF6741">
        <v>-0.54205648439342402</v>
      </c>
      <c r="AG6741">
        <v>1.4584029999999999</v>
      </c>
      <c r="AH6741">
        <v>2.0673725433229002</v>
      </c>
      <c r="AI6741">
        <v>55.691453462684201</v>
      </c>
      <c r="AJ6741">
        <v>104.691999120661</v>
      </c>
      <c r="AK6741">
        <v>2.58742995568331</v>
      </c>
      <c r="AL6741">
        <v>73.060401698806004</v>
      </c>
      <c r="AM6741">
        <v>94.5612166694264</v>
      </c>
      <c r="AN6741">
        <v>1.0000000074631299</v>
      </c>
    </row>
    <row r="6742" spans="1:40" x14ac:dyDescent="0.25">
      <c r="A6742" t="str">
        <f>"20190303162951567"</f>
        <v>20190303162951567</v>
      </c>
      <c r="B6742" t="str">
        <f>"1551601791558449"</f>
        <v>1551601791558449</v>
      </c>
      <c r="C6742" t="s">
        <v>40</v>
      </c>
      <c r="D6742">
        <v>4.6162390000000002</v>
      </c>
      <c r="E6742">
        <v>0.43881009999999998</v>
      </c>
      <c r="F6742" t="s">
        <v>45</v>
      </c>
      <c r="G6742">
        <v>0</v>
      </c>
      <c r="H6742">
        <v>0</v>
      </c>
      <c r="I6742">
        <v>0</v>
      </c>
      <c r="J6742">
        <v>-188.4468</v>
      </c>
      <c r="K6742">
        <v>1.121672</v>
      </c>
      <c r="L6742">
        <v>66.524050000000003</v>
      </c>
      <c r="M6742">
        <v>-4.9510719999999999E-3</v>
      </c>
      <c r="N6742">
        <v>-1.192177E-2</v>
      </c>
      <c r="O6742">
        <v>0.99991669999999999</v>
      </c>
      <c r="P6742">
        <v>-8.1353430000000004E-2</v>
      </c>
      <c r="Q6742">
        <v>0.27833629999999998</v>
      </c>
      <c r="R6742">
        <v>0.95703210000000005</v>
      </c>
      <c r="S6742">
        <v>-0.70716859999999904</v>
      </c>
      <c r="T6742">
        <v>1.4523360000000001</v>
      </c>
      <c r="U6742">
        <v>2.6512760000000002</v>
      </c>
      <c r="V6742">
        <v>-7.6597209999999999E-2</v>
      </c>
      <c r="W6742">
        <v>0.28973539999999998</v>
      </c>
      <c r="X6742">
        <v>0.95403680000000002</v>
      </c>
      <c r="Y6742">
        <v>-0.2222325</v>
      </c>
      <c r="Z6742">
        <v>0.47854920000000001</v>
      </c>
      <c r="AA6742">
        <v>0.84947240000000002</v>
      </c>
      <c r="AB6742">
        <v>32</v>
      </c>
      <c r="AC6742">
        <v>-0.70716859999999904</v>
      </c>
      <c r="AD6742">
        <v>1.4523360000000001</v>
      </c>
      <c r="AE6742">
        <v>2.6512760000000002</v>
      </c>
      <c r="AF6742">
        <v>-0.54215306126478202</v>
      </c>
      <c r="AG6742">
        <v>1.4523360000000001</v>
      </c>
      <c r="AH6742">
        <v>2.0737911481370102</v>
      </c>
      <c r="AI6742">
        <v>55.880105471620702</v>
      </c>
      <c r="AJ6742">
        <v>104.650982057664</v>
      </c>
      <c r="AK6742">
        <v>2.5891735215752099</v>
      </c>
      <c r="AL6742">
        <v>73.157884096906201</v>
      </c>
      <c r="AM6742">
        <v>94.590287499831206</v>
      </c>
      <c r="AN6742">
        <v>0.99999997517359096</v>
      </c>
    </row>
    <row r="6743" spans="1:40" x14ac:dyDescent="0.25">
      <c r="A6743" t="str">
        <f>"20190303162951589"</f>
        <v>20190303162951589</v>
      </c>
      <c r="B6743" t="str">
        <f>"1551601791578945"</f>
        <v>1551601791578945</v>
      </c>
      <c r="C6743" t="s">
        <v>40</v>
      </c>
      <c r="D6743">
        <v>4.6113980000000003</v>
      </c>
      <c r="E6743">
        <v>0.43893739999999998</v>
      </c>
      <c r="F6743" t="s">
        <v>45</v>
      </c>
      <c r="G6743">
        <v>0</v>
      </c>
      <c r="H6743">
        <v>0</v>
      </c>
      <c r="I6743">
        <v>0</v>
      </c>
      <c r="J6743">
        <v>-188.44839999999999</v>
      </c>
      <c r="K6743">
        <v>1.1216619999999999</v>
      </c>
      <c r="L6743">
        <v>66.846769999999907</v>
      </c>
      <c r="M6743">
        <v>-4.9420380000000002E-3</v>
      </c>
      <c r="N6743">
        <v>-1.1922139999999999E-2</v>
      </c>
      <c r="O6743">
        <v>0.99991669999999999</v>
      </c>
      <c r="P6743">
        <v>-8.1413170000000007E-2</v>
      </c>
      <c r="Q6743">
        <v>0.27641120000000002</v>
      </c>
      <c r="R6743">
        <v>0.95758489999999996</v>
      </c>
      <c r="S6743">
        <v>-0.70779419999999904</v>
      </c>
      <c r="T6743">
        <v>1.4458959999999901</v>
      </c>
      <c r="U6743">
        <v>2.6539920000000001</v>
      </c>
      <c r="V6743">
        <v>-7.6662629999999996E-2</v>
      </c>
      <c r="W6743">
        <v>0.28781709999999999</v>
      </c>
      <c r="X6743">
        <v>0.95461200000000002</v>
      </c>
      <c r="Y6743">
        <v>-0.2224855</v>
      </c>
      <c r="Z6743">
        <v>0.47656799999999999</v>
      </c>
      <c r="AA6743">
        <v>0.85051929999999998</v>
      </c>
      <c r="AB6743">
        <v>32</v>
      </c>
      <c r="AC6743">
        <v>-0.70779419999999904</v>
      </c>
      <c r="AD6743">
        <v>1.4458959999999901</v>
      </c>
      <c r="AE6743">
        <v>2.6539920000000001</v>
      </c>
      <c r="AF6743">
        <v>-0.54394247995671696</v>
      </c>
      <c r="AG6743">
        <v>1.4458959999999901</v>
      </c>
      <c r="AH6743">
        <v>2.0808546646003201</v>
      </c>
      <c r="AI6743">
        <v>56.088334273551702</v>
      </c>
      <c r="AJ6743">
        <v>104.649507749474</v>
      </c>
      <c r="AK6743">
        <v>2.5916104644615001</v>
      </c>
      <c r="AL6743">
        <v>73.272685221175394</v>
      </c>
      <c r="AM6743">
        <v>94.591434804976203</v>
      </c>
      <c r="AN6743">
        <v>0.99999995621746196</v>
      </c>
    </row>
    <row r="6744" spans="1:40" x14ac:dyDescent="0.25">
      <c r="A6744" t="str">
        <f>"20190303162951611"</f>
        <v>20190303162951611</v>
      </c>
      <c r="B6744" t="str">
        <f>"1551601791598465"</f>
        <v>1551601791598465</v>
      </c>
      <c r="C6744" t="s">
        <v>40</v>
      </c>
      <c r="D6744">
        <v>4.6600210000000004</v>
      </c>
      <c r="E6744">
        <v>0.43892979999999998</v>
      </c>
      <c r="F6744" t="s">
        <v>45</v>
      </c>
      <c r="G6744">
        <v>0</v>
      </c>
      <c r="H6744">
        <v>0</v>
      </c>
      <c r="I6744">
        <v>0</v>
      </c>
      <c r="J6744">
        <v>-188.44990000000001</v>
      </c>
      <c r="K6744">
        <v>1.1216489999999999</v>
      </c>
      <c r="L6744">
        <v>67.151759999999996</v>
      </c>
      <c r="M6744">
        <v>-4.9330809999999998E-3</v>
      </c>
      <c r="N6744">
        <v>-1.1922550000000001E-2</v>
      </c>
      <c r="O6744">
        <v>0.99991669999999999</v>
      </c>
      <c r="P6744">
        <v>-8.1147700000000003E-2</v>
      </c>
      <c r="Q6744">
        <v>0.2734994</v>
      </c>
      <c r="R6744">
        <v>0.95844309999999999</v>
      </c>
      <c r="S6744">
        <v>-0.70724489999999995</v>
      </c>
      <c r="T6744">
        <v>1.4401139999999999</v>
      </c>
      <c r="U6744">
        <v>2.6570740000000002</v>
      </c>
      <c r="V6744">
        <v>-7.6401730000000001E-2</v>
      </c>
      <c r="W6744">
        <v>0.284916</v>
      </c>
      <c r="X6744">
        <v>0.95550279999999999</v>
      </c>
      <c r="Y6744">
        <v>-0.22233359999999999</v>
      </c>
      <c r="Z6744">
        <v>0.474742</v>
      </c>
      <c r="AA6744">
        <v>0.85157959999999999</v>
      </c>
      <c r="AB6744">
        <v>32</v>
      </c>
      <c r="AC6744">
        <v>-0.70724489999999995</v>
      </c>
      <c r="AD6744">
        <v>1.4401139999999999</v>
      </c>
      <c r="AE6744">
        <v>2.6570740000000002</v>
      </c>
      <c r="AF6744">
        <v>-0.54470424572403897</v>
      </c>
      <c r="AG6744">
        <v>1.4401139999999999</v>
      </c>
      <c r="AH6744">
        <v>2.0878034689948901</v>
      </c>
      <c r="AI6744">
        <v>56.279536332143699</v>
      </c>
      <c r="AJ6744">
        <v>104.622412115321</v>
      </c>
      <c r="AK6744">
        <v>2.5941384645875898</v>
      </c>
      <c r="AL6744">
        <v>73.446172023395505</v>
      </c>
      <c r="AM6744">
        <v>94.571627676838304</v>
      </c>
      <c r="AN6744">
        <v>0.99999997610541602</v>
      </c>
    </row>
    <row r="6745" spans="1:40" x14ac:dyDescent="0.25">
      <c r="A6745" t="str">
        <f>"20190303162951634"</f>
        <v>20190303162951634</v>
      </c>
      <c r="B6745" t="str">
        <f>"1551601791628721"</f>
        <v>1551601791628721</v>
      </c>
      <c r="C6745" t="s">
        <v>40</v>
      </c>
      <c r="D6745">
        <v>4.7057650000000004</v>
      </c>
      <c r="E6745">
        <v>0.43897429999999898</v>
      </c>
      <c r="F6745" t="s">
        <v>45</v>
      </c>
      <c r="G6745">
        <v>0</v>
      </c>
      <c r="H6745">
        <v>0</v>
      </c>
      <c r="I6745">
        <v>0</v>
      </c>
      <c r="J6745">
        <v>-188.45150000000001</v>
      </c>
      <c r="K6745">
        <v>1.121623</v>
      </c>
      <c r="L6745">
        <v>67.487269999999995</v>
      </c>
      <c r="M6745">
        <v>-4.9232030000000001E-3</v>
      </c>
      <c r="N6745">
        <v>-1.192301E-2</v>
      </c>
      <c r="O6745">
        <v>0.99991680000000005</v>
      </c>
      <c r="P6745">
        <v>-7.9518560000000002E-2</v>
      </c>
      <c r="Q6745">
        <v>0.26909240000000001</v>
      </c>
      <c r="R6745">
        <v>0.95982610000000002</v>
      </c>
      <c r="S6745">
        <v>-0.70620729999999998</v>
      </c>
      <c r="T6745">
        <v>1.432666</v>
      </c>
      <c r="U6745">
        <v>2.6614689999999999</v>
      </c>
      <c r="V6745">
        <v>-7.4775610000000006E-2</v>
      </c>
      <c r="W6745">
        <v>0.280526</v>
      </c>
      <c r="X6745">
        <v>0.95692929999999998</v>
      </c>
      <c r="Y6745">
        <v>-0.2220075</v>
      </c>
      <c r="Z6745">
        <v>0.47234369999999998</v>
      </c>
      <c r="AA6745">
        <v>0.85299709999999995</v>
      </c>
      <c r="AB6745">
        <v>32</v>
      </c>
      <c r="AC6745">
        <v>-0.70620729999999998</v>
      </c>
      <c r="AD6745">
        <v>1.432666</v>
      </c>
      <c r="AE6745">
        <v>2.6614689999999999</v>
      </c>
      <c r="AF6745">
        <v>-0.54544079889755803</v>
      </c>
      <c r="AG6745">
        <v>1.432666</v>
      </c>
      <c r="AH6745">
        <v>2.0971915931792</v>
      </c>
      <c r="AI6745">
        <v>56.529683778182203</v>
      </c>
      <c r="AJ6745">
        <v>104.57859166604</v>
      </c>
      <c r="AK6745">
        <v>2.5977394232600601</v>
      </c>
      <c r="AL6745">
        <v>73.7083987463743</v>
      </c>
      <c r="AM6745">
        <v>94.468081988941194</v>
      </c>
      <c r="AN6745">
        <v>0.99999995686267995</v>
      </c>
    </row>
    <row r="6746" spans="1:40" x14ac:dyDescent="0.25">
      <c r="A6746" t="str">
        <f>"20190303162951657"</f>
        <v>20190303162951657</v>
      </c>
      <c r="B6746" t="str">
        <f>"1551601791648241"</f>
        <v>1551601791648241</v>
      </c>
      <c r="C6746" t="s">
        <v>40</v>
      </c>
      <c r="D6746">
        <v>4.7424970000000002</v>
      </c>
      <c r="E6746">
        <v>0.43126019999999998</v>
      </c>
      <c r="F6746" t="s">
        <v>45</v>
      </c>
      <c r="G6746">
        <v>0</v>
      </c>
      <c r="H6746">
        <v>0</v>
      </c>
      <c r="I6746">
        <v>0</v>
      </c>
      <c r="J6746">
        <v>-188.45310000000001</v>
      </c>
      <c r="K6746">
        <v>1.121597</v>
      </c>
      <c r="L6746">
        <v>67.818759999999997</v>
      </c>
      <c r="M6746">
        <v>-4.913728E-3</v>
      </c>
      <c r="N6746">
        <v>-1.1923380000000001E-2</v>
      </c>
      <c r="O6746">
        <v>0.9999169</v>
      </c>
      <c r="P6746">
        <v>-7.6914999999999997E-2</v>
      </c>
      <c r="Q6746">
        <v>0.262320099999999</v>
      </c>
      <c r="R6746">
        <v>0.96191070000000001</v>
      </c>
      <c r="S6746">
        <v>-0.70129390000000003</v>
      </c>
      <c r="T6746">
        <v>1.418825</v>
      </c>
      <c r="U6746">
        <v>2.669708</v>
      </c>
      <c r="V6746">
        <v>-7.2171680000000002E-2</v>
      </c>
      <c r="W6746">
        <v>0.273779299999999</v>
      </c>
      <c r="X6746">
        <v>0.95908090000000001</v>
      </c>
      <c r="Y6746">
        <v>-0.2204729</v>
      </c>
      <c r="Z6746">
        <v>0.46796599999999999</v>
      </c>
      <c r="AA6746">
        <v>0.85580339999999999</v>
      </c>
      <c r="AB6746">
        <v>32</v>
      </c>
      <c r="AC6746">
        <v>-0.70129390000000003</v>
      </c>
      <c r="AD6746">
        <v>1.418825</v>
      </c>
      <c r="AE6746">
        <v>2.669708</v>
      </c>
      <c r="AF6746">
        <v>-0.54434447622175897</v>
      </c>
      <c r="AG6746">
        <v>1.418825</v>
      </c>
      <c r="AH6746">
        <v>2.1144587021325201</v>
      </c>
      <c r="AI6746">
        <v>56.983265365721302</v>
      </c>
      <c r="AJ6746">
        <v>104.43669606428899</v>
      </c>
      <c r="AK6746">
        <v>2.6039030113355</v>
      </c>
      <c r="AL6746">
        <v>74.110718616755307</v>
      </c>
      <c r="AM6746">
        <v>94.303446920758205</v>
      </c>
      <c r="AN6746">
        <v>1.0000000146236601</v>
      </c>
    </row>
    <row r="6747" spans="1:40" x14ac:dyDescent="0.25">
      <c r="A6747" t="str">
        <f>"20190303162951679"</f>
        <v>20190303162951679</v>
      </c>
      <c r="B6747" t="str">
        <f>"1551601791668738"</f>
        <v>1551601791668738</v>
      </c>
      <c r="C6747" t="s">
        <v>40</v>
      </c>
      <c r="D6747">
        <v>4.9015209999999998</v>
      </c>
      <c r="E6747">
        <v>0.43468479999999998</v>
      </c>
      <c r="F6747" t="s">
        <v>45</v>
      </c>
      <c r="G6747">
        <v>0</v>
      </c>
      <c r="H6747">
        <v>0</v>
      </c>
      <c r="I6747">
        <v>0</v>
      </c>
      <c r="J6747">
        <v>-188.4547</v>
      </c>
      <c r="K6747">
        <v>1.121559</v>
      </c>
      <c r="L6747">
        <v>68.135159999999999</v>
      </c>
      <c r="M6747">
        <v>-4.9047450000000003E-3</v>
      </c>
      <c r="N6747">
        <v>-1.192376E-2</v>
      </c>
      <c r="O6747">
        <v>0.9999169</v>
      </c>
      <c r="P6747">
        <v>-7.3567579999999994E-2</v>
      </c>
      <c r="Q6747">
        <v>0.25449480000000002</v>
      </c>
      <c r="R6747">
        <v>0.96427180000000001</v>
      </c>
      <c r="S6747">
        <v>-0.75555419999999995</v>
      </c>
      <c r="T6747">
        <v>1.415502</v>
      </c>
      <c r="U6747">
        <v>2.6723629999999998</v>
      </c>
      <c r="V6747">
        <v>-6.8821359999999998E-2</v>
      </c>
      <c r="W6747">
        <v>0.26598260000000001</v>
      </c>
      <c r="X6747">
        <v>0.96151799999999998</v>
      </c>
      <c r="Y6747">
        <v>-0.23688609999999999</v>
      </c>
      <c r="Z6747">
        <v>0.46495789999999998</v>
      </c>
      <c r="AA6747">
        <v>0.85305280000000006</v>
      </c>
      <c r="AB6747">
        <v>32</v>
      </c>
      <c r="AC6747">
        <v>-0.75555419999999995</v>
      </c>
      <c r="AD6747">
        <v>1.415502</v>
      </c>
      <c r="AE6747">
        <v>2.6723629999999998</v>
      </c>
      <c r="AF6747">
        <v>-0.58933113670144099</v>
      </c>
      <c r="AG6747">
        <v>1.415502</v>
      </c>
      <c r="AH6747">
        <v>2.1241829908929302</v>
      </c>
      <c r="AI6747">
        <v>57.294663744077198</v>
      </c>
      <c r="AJ6747">
        <v>105.506087619841</v>
      </c>
      <c r="AK6747">
        <v>2.6197538967408098</v>
      </c>
      <c r="AL6747">
        <v>74.574652681151207</v>
      </c>
      <c r="AM6747">
        <v>94.094005886760499</v>
      </c>
      <c r="AN6747">
        <v>0.99999999370950399</v>
      </c>
    </row>
    <row r="6748" spans="1:40" x14ac:dyDescent="0.25">
      <c r="A6748" t="str">
        <f>"20190303162951700"</f>
        <v>20190303162951700</v>
      </c>
      <c r="B6748" t="str">
        <f>"1551601791688257"</f>
        <v>1551601791688257</v>
      </c>
      <c r="C6748" t="s">
        <v>40</v>
      </c>
      <c r="D6748">
        <v>4.7976190000000001</v>
      </c>
      <c r="E6748">
        <v>0.47612480000000001</v>
      </c>
      <c r="F6748" t="s">
        <v>45</v>
      </c>
      <c r="G6748">
        <v>0</v>
      </c>
      <c r="H6748">
        <v>0</v>
      </c>
      <c r="I6748">
        <v>0</v>
      </c>
      <c r="J6748">
        <v>-188.45609999999999</v>
      </c>
      <c r="K6748">
        <v>1.1215120000000001</v>
      </c>
      <c r="L6748">
        <v>68.447479999999999</v>
      </c>
      <c r="M6748">
        <v>-4.8958919999999998E-3</v>
      </c>
      <c r="N6748">
        <v>-1.1924209999999999E-2</v>
      </c>
      <c r="O6748">
        <v>0.9999169</v>
      </c>
      <c r="P6748">
        <v>-6.9626270000000004E-2</v>
      </c>
      <c r="Q6748">
        <v>0.24478510000000001</v>
      </c>
      <c r="R6748">
        <v>0.96707419999999999</v>
      </c>
      <c r="S6748">
        <v>-0.72053529999999999</v>
      </c>
      <c r="T6748">
        <v>1.38205</v>
      </c>
      <c r="U6748">
        <v>2.6914370000000001</v>
      </c>
      <c r="V6748">
        <v>-6.4875539999999995E-2</v>
      </c>
      <c r="W6748">
        <v>0.2563068</v>
      </c>
      <c r="X6748">
        <v>0.96441580000000005</v>
      </c>
      <c r="Y6748">
        <v>-0.22620950000000001</v>
      </c>
      <c r="Z6748">
        <v>0.45525209999999999</v>
      </c>
      <c r="AA6748">
        <v>0.86114740000000001</v>
      </c>
      <c r="AB6748">
        <v>32</v>
      </c>
      <c r="AC6748">
        <v>-0.72053529999999999</v>
      </c>
      <c r="AD6748">
        <v>1.38205</v>
      </c>
      <c r="AE6748">
        <v>2.6914370000000001</v>
      </c>
      <c r="AF6748">
        <v>-0.56767430576947198</v>
      </c>
      <c r="AG6748">
        <v>1.38205</v>
      </c>
      <c r="AH6748">
        <v>2.1627860962829502</v>
      </c>
      <c r="AI6748">
        <v>58.2807065119542</v>
      </c>
      <c r="AJ6748">
        <v>104.70689010587699</v>
      </c>
      <c r="AK6748">
        <v>2.6286802807123002</v>
      </c>
      <c r="AL6748">
        <v>75.148965845438795</v>
      </c>
      <c r="AM6748">
        <v>93.848446905765101</v>
      </c>
      <c r="AN6748">
        <v>0.99999992335308296</v>
      </c>
    </row>
    <row r="6749" spans="1:40" x14ac:dyDescent="0.25">
      <c r="A6749" t="str">
        <f>"20190303162951722"</f>
        <v>20190303162951722</v>
      </c>
      <c r="B6749" t="str">
        <f>"1551601791718513"</f>
        <v>1551601791718513</v>
      </c>
      <c r="C6749" t="s">
        <v>40</v>
      </c>
      <c r="D6749">
        <v>4.8528789999999997</v>
      </c>
      <c r="E6749">
        <v>0.5250764</v>
      </c>
      <c r="F6749" t="s">
        <v>71</v>
      </c>
      <c r="G6749">
        <v>-233.173</v>
      </c>
      <c r="H6749">
        <v>146.1498</v>
      </c>
      <c r="I6749">
        <v>390.11860000000001</v>
      </c>
      <c r="J6749">
        <v>-188.45760000000001</v>
      </c>
      <c r="K6749">
        <v>1.121456</v>
      </c>
      <c r="L6749">
        <v>68.755919999999904</v>
      </c>
      <c r="M6749">
        <v>-4.8871110000000004E-3</v>
      </c>
      <c r="N6749">
        <v>-1.1924809999999999E-2</v>
      </c>
      <c r="O6749">
        <v>0.99991699999999994</v>
      </c>
      <c r="P6749">
        <v>-6.4281489999999997E-2</v>
      </c>
      <c r="Q6749">
        <v>0.23226869999999999</v>
      </c>
      <c r="R6749">
        <v>0.97052519999999998</v>
      </c>
      <c r="S6749">
        <v>-0.3836212</v>
      </c>
      <c r="T6749">
        <v>1.2441819999999999</v>
      </c>
      <c r="U6749">
        <v>2.7595830000000001</v>
      </c>
      <c r="V6749">
        <v>-5.9522989999999998E-2</v>
      </c>
      <c r="W6749">
        <v>0.24383260000000001</v>
      </c>
      <c r="X6749">
        <v>0.96798899999999999</v>
      </c>
      <c r="Y6749">
        <v>-0.1205243</v>
      </c>
      <c r="Z6749">
        <v>0.41872819999999999</v>
      </c>
      <c r="AA6749">
        <v>0.90007809999999899</v>
      </c>
      <c r="AB6749">
        <v>32</v>
      </c>
      <c r="AC6749">
        <v>-44.715399999999903</v>
      </c>
      <c r="AD6749">
        <v>145.028344</v>
      </c>
      <c r="AE6749">
        <v>321.36267999999899</v>
      </c>
      <c r="AF6749">
        <v>-35.959626741861896</v>
      </c>
      <c r="AG6749">
        <v>145.028344</v>
      </c>
      <c r="AH6749">
        <v>268.02670177819999</v>
      </c>
      <c r="AI6749">
        <v>61.79571849445</v>
      </c>
      <c r="AJ6749">
        <v>97.641420020457801</v>
      </c>
      <c r="AK6749">
        <v>306.86255585342502</v>
      </c>
      <c r="AL6749">
        <v>75.887145678045002</v>
      </c>
      <c r="AM6749">
        <v>93.518766595845506</v>
      </c>
      <c r="AN6749">
        <v>1.00000001364115</v>
      </c>
    </row>
    <row r="6750" spans="1:40" x14ac:dyDescent="0.25">
      <c r="A6750" t="str">
        <f>"20190303162951745"</f>
        <v>20190303162951745</v>
      </c>
      <c r="B6750" t="str">
        <f>"1551601791739010"</f>
        <v>1551601791739010</v>
      </c>
      <c r="C6750" t="s">
        <v>40</v>
      </c>
      <c r="D6750">
        <v>4.9420970000000004</v>
      </c>
      <c r="E6750">
        <v>0.54774829999999997</v>
      </c>
      <c r="F6750" t="s">
        <v>71</v>
      </c>
      <c r="G6750">
        <v>-187.6405</v>
      </c>
      <c r="H6750">
        <v>80.456109999999995</v>
      </c>
      <c r="I6750">
        <v>391.87</v>
      </c>
      <c r="J6750">
        <v>-188.45920000000001</v>
      </c>
      <c r="K6750">
        <v>1.1214139999999999</v>
      </c>
      <c r="L6750">
        <v>69.089419999999905</v>
      </c>
      <c r="M6750">
        <v>-4.8775059999999898E-3</v>
      </c>
      <c r="N6750">
        <v>-1.192521E-2</v>
      </c>
      <c r="O6750">
        <v>0.99991699999999994</v>
      </c>
      <c r="P6750">
        <v>-5.9467279999999997E-2</v>
      </c>
      <c r="Q6750">
        <v>0.22366630000000001</v>
      </c>
      <c r="R6750">
        <v>0.97284999999999999</v>
      </c>
      <c r="S6750">
        <v>7.385254E-3</v>
      </c>
      <c r="T6750">
        <v>0.7169548</v>
      </c>
      <c r="U6750">
        <v>2.920013</v>
      </c>
      <c r="V6750">
        <v>-5.4707110000000003E-2</v>
      </c>
      <c r="W6750">
        <v>0.2352583</v>
      </c>
      <c r="X6750">
        <v>0.97039200000000003</v>
      </c>
      <c r="Y6750">
        <v>7.3368309999999898E-3</v>
      </c>
      <c r="Z6750">
        <v>0.25000559999999999</v>
      </c>
      <c r="AA6750">
        <v>0.96821659999999998</v>
      </c>
      <c r="AB6750">
        <v>32</v>
      </c>
      <c r="AC6750">
        <v>0.81870000000000598</v>
      </c>
      <c r="AD6750">
        <v>79.334695999999994</v>
      </c>
      <c r="AE6750">
        <v>322.78057999999999</v>
      </c>
      <c r="AF6750">
        <v>2.2568312813912601</v>
      </c>
      <c r="AG6750">
        <v>79.334695999999994</v>
      </c>
      <c r="AH6750">
        <v>304.38486125954603</v>
      </c>
      <c r="AI6750">
        <v>75.391856803668105</v>
      </c>
      <c r="AJ6750">
        <v>89.575193925339804</v>
      </c>
      <c r="AK6750">
        <v>314.56196693312802</v>
      </c>
      <c r="AL6750">
        <v>76.393150628201695</v>
      </c>
      <c r="AM6750">
        <v>93.2267084483031</v>
      </c>
      <c r="AN6750">
        <v>0.99999998463371997</v>
      </c>
    </row>
    <row r="6751" spans="1:40" x14ac:dyDescent="0.25">
      <c r="A6751" t="str">
        <f>"20190303162951767"</f>
        <v>20190303162951767</v>
      </c>
      <c r="B6751" t="str">
        <f>"1551601791758529"</f>
        <v>1551601791758529</v>
      </c>
      <c r="C6751" t="s">
        <v>40</v>
      </c>
      <c r="D6751">
        <v>4.9013090000000004</v>
      </c>
      <c r="E6751">
        <v>0.54640310000000003</v>
      </c>
      <c r="F6751" t="s">
        <v>45</v>
      </c>
      <c r="G6751">
        <v>0</v>
      </c>
      <c r="H6751">
        <v>0</v>
      </c>
      <c r="I6751">
        <v>0</v>
      </c>
      <c r="J6751">
        <v>-188.46080000000001</v>
      </c>
      <c r="K6751">
        <v>1.121383</v>
      </c>
      <c r="L6751">
        <v>69.405850000000001</v>
      </c>
      <c r="M6751">
        <v>-4.8681590000000004E-3</v>
      </c>
      <c r="N6751">
        <v>-1.1925409999999999E-2</v>
      </c>
      <c r="O6751">
        <v>0.99991699999999994</v>
      </c>
      <c r="P6751">
        <v>-5.5100509999999998E-2</v>
      </c>
      <c r="Q6751">
        <v>0.2188959</v>
      </c>
      <c r="R6751">
        <v>0.97419120000000003</v>
      </c>
      <c r="S6751">
        <v>0.18780520000000001</v>
      </c>
      <c r="T6751">
        <v>9.3893530000000003E-2</v>
      </c>
      <c r="U6751">
        <v>3.0736080000000001</v>
      </c>
      <c r="V6751">
        <v>-5.034371E-2</v>
      </c>
      <c r="W6751">
        <v>0.23050419999999999</v>
      </c>
      <c r="X6751">
        <v>0.97176810000000002</v>
      </c>
      <c r="Y6751">
        <v>6.5799940000000001E-2</v>
      </c>
      <c r="Z6751">
        <v>4.2391499999999999E-2</v>
      </c>
      <c r="AA6751">
        <v>0.99693200000000004</v>
      </c>
      <c r="AB6751">
        <v>32</v>
      </c>
      <c r="AC6751">
        <v>0.18780520000000001</v>
      </c>
      <c r="AD6751">
        <v>9.3893530000000003E-2</v>
      </c>
      <c r="AE6751">
        <v>3.0736080000000001</v>
      </c>
      <c r="AF6751">
        <v>0.202578508467401</v>
      </c>
      <c r="AG6751">
        <v>9.3893530000000003E-2</v>
      </c>
      <c r="AH6751">
        <v>3.0698031610763299</v>
      </c>
      <c r="AI6751">
        <v>88.251887379193207</v>
      </c>
      <c r="AJ6751">
        <v>86.224484644454407</v>
      </c>
      <c r="AK6751">
        <v>3.0779125222824302</v>
      </c>
      <c r="AL6751">
        <v>76.673241509887703</v>
      </c>
      <c r="AM6751">
        <v>92.965631109680601</v>
      </c>
      <c r="AN6751">
        <v>0.999999957765906</v>
      </c>
    </row>
    <row r="6752" spans="1:40" x14ac:dyDescent="0.25">
      <c r="A6752" t="str">
        <f>"20190303162951792"</f>
        <v>20190303162951792</v>
      </c>
      <c r="B6752" t="str">
        <f>"1551601791788787"</f>
        <v>1551601791788787</v>
      </c>
      <c r="C6752" t="s">
        <v>40</v>
      </c>
      <c r="D6752">
        <v>4.930053</v>
      </c>
      <c r="E6752">
        <v>0.54436200000000001</v>
      </c>
      <c r="F6752" t="s">
        <v>43</v>
      </c>
      <c r="G6752">
        <v>-169.2955</v>
      </c>
      <c r="H6752">
        <v>0.80596829999999997</v>
      </c>
      <c r="I6752">
        <v>383.01510000000002</v>
      </c>
      <c r="J6752">
        <v>-188.4624</v>
      </c>
      <c r="K6752">
        <v>1.1213610000000001</v>
      </c>
      <c r="L6752">
        <v>69.753019999999907</v>
      </c>
      <c r="M6752">
        <v>-4.8581700000000002E-3</v>
      </c>
      <c r="N6752">
        <v>-1.192562E-2</v>
      </c>
      <c r="O6752">
        <v>0.9999171</v>
      </c>
      <c r="P6752">
        <v>-5.1480579999999998E-2</v>
      </c>
      <c r="Q6752">
        <v>0.21607750000000001</v>
      </c>
      <c r="R6752">
        <v>0.9750181</v>
      </c>
      <c r="S6752">
        <v>0.18888849999999999</v>
      </c>
      <c r="T6752">
        <v>-3.107786E-3</v>
      </c>
      <c r="U6752">
        <v>3.0908509999999998</v>
      </c>
      <c r="V6752">
        <v>-4.6729720000000002E-2</v>
      </c>
      <c r="W6752">
        <v>0.2276956</v>
      </c>
      <c r="X6752">
        <v>0.97261039999999999</v>
      </c>
      <c r="Y6752">
        <v>6.5838399999999894E-2</v>
      </c>
      <c r="Z6752">
        <v>1.092402E-2</v>
      </c>
      <c r="AA6752">
        <v>0.9977705</v>
      </c>
      <c r="AB6752">
        <v>32</v>
      </c>
      <c r="AC6752">
        <v>19.166899999999998</v>
      </c>
      <c r="AD6752">
        <v>-0.31539270000000003</v>
      </c>
      <c r="AE6752">
        <v>313.262079999999</v>
      </c>
      <c r="AF6752">
        <v>20.6886415366913</v>
      </c>
      <c r="AG6752">
        <v>-0.31539270000000003</v>
      </c>
      <c r="AH6752">
        <v>313.164943740664</v>
      </c>
      <c r="AI6752">
        <v>90.057577836549001</v>
      </c>
      <c r="AJ6752">
        <v>86.220356340836901</v>
      </c>
      <c r="AK6752">
        <v>313.84773593142597</v>
      </c>
      <c r="AL6752">
        <v>76.838559669855698</v>
      </c>
      <c r="AM6752">
        <v>92.750698956496095</v>
      </c>
      <c r="AN6752">
        <v>0.99999997158939802</v>
      </c>
    </row>
    <row r="6753" spans="1:40" x14ac:dyDescent="0.25">
      <c r="A6753" t="str">
        <f>"20190303162951814"</f>
        <v>20190303162951814</v>
      </c>
      <c r="B6753" t="str">
        <f>"1551601791808306"</f>
        <v>1551601791808306</v>
      </c>
      <c r="C6753" t="s">
        <v>40</v>
      </c>
      <c r="D6753">
        <v>4.9229379999999896</v>
      </c>
      <c r="E6753">
        <v>0.54360710000000001</v>
      </c>
      <c r="F6753" t="s">
        <v>56</v>
      </c>
      <c r="G6753">
        <v>-184.04900000000001</v>
      </c>
      <c r="H6753" s="1">
        <v>-9.7627370000000001E-6</v>
      </c>
      <c r="I6753">
        <v>144.12540000000001</v>
      </c>
      <c r="J6753">
        <v>-188.4639</v>
      </c>
      <c r="K6753">
        <v>1.121346</v>
      </c>
      <c r="L6753">
        <v>70.062869999999904</v>
      </c>
      <c r="M6753">
        <v>-4.849412E-3</v>
      </c>
      <c r="N6753">
        <v>-1.192587E-2</v>
      </c>
      <c r="O6753">
        <v>0.9999171</v>
      </c>
      <c r="P6753">
        <v>-4.8823949999999998E-2</v>
      </c>
      <c r="Q6753">
        <v>0.2136063</v>
      </c>
      <c r="R6753">
        <v>0.97569899999999998</v>
      </c>
      <c r="S6753">
        <v>0.18377689999999999</v>
      </c>
      <c r="T6753">
        <v>-4.6694760000000002E-2</v>
      </c>
      <c r="U6753">
        <v>3.096924</v>
      </c>
      <c r="V6753">
        <v>-4.4078529999999998E-2</v>
      </c>
      <c r="W6753">
        <v>0.22523260000000001</v>
      </c>
      <c r="X6753">
        <v>0.97330740000000004</v>
      </c>
      <c r="Y6753">
        <v>6.4067499999999999E-2</v>
      </c>
      <c r="Z6753">
        <v>-3.1197909999999998E-3</v>
      </c>
      <c r="AA6753">
        <v>0.99794070000000001</v>
      </c>
      <c r="AB6753">
        <v>32</v>
      </c>
      <c r="AC6753">
        <v>4.4148999999999798</v>
      </c>
      <c r="AD6753">
        <v>-1.1213557627370001</v>
      </c>
      <c r="AE6753">
        <v>74.062529999999995</v>
      </c>
      <c r="AF6753">
        <v>4.7729430809227598</v>
      </c>
      <c r="AG6753">
        <v>-1.1213557627370001</v>
      </c>
      <c r="AH6753">
        <v>74.023338821644998</v>
      </c>
      <c r="AI6753">
        <v>90.866090704099705</v>
      </c>
      <c r="AJ6753">
        <v>86.310738536718503</v>
      </c>
      <c r="AK6753">
        <v>74.185531707364703</v>
      </c>
      <c r="AL6753">
        <v>76.983443323039893</v>
      </c>
      <c r="AM6753">
        <v>92.593003293585994</v>
      </c>
      <c r="AN6753">
        <v>0.999999967902239</v>
      </c>
    </row>
    <row r="6754" spans="1:40" x14ac:dyDescent="0.25">
      <c r="A6754" t="str">
        <f>"20190303162951837"</f>
        <v>20190303162951837</v>
      </c>
      <c r="B6754" t="str">
        <f>"1551601791828801"</f>
        <v>1551601791828801</v>
      </c>
      <c r="C6754" t="s">
        <v>40</v>
      </c>
      <c r="D6754">
        <v>4.9577839999999904</v>
      </c>
      <c r="E6754">
        <v>0.5431049</v>
      </c>
      <c r="F6754" t="s">
        <v>56</v>
      </c>
      <c r="G6754">
        <v>-184.80590000000001</v>
      </c>
      <c r="H6754" s="1">
        <v>-5.5072119999999999E-6</v>
      </c>
      <c r="I6754">
        <v>130.7312</v>
      </c>
      <c r="J6754">
        <v>-188.46549999999999</v>
      </c>
      <c r="K6754">
        <v>1.1213489999999999</v>
      </c>
      <c r="L6754">
        <v>70.398899999999998</v>
      </c>
      <c r="M6754">
        <v>-4.8398950000000003E-3</v>
      </c>
      <c r="N6754">
        <v>-1.192609E-2</v>
      </c>
      <c r="O6754">
        <v>0.9999171</v>
      </c>
      <c r="P6754">
        <v>-4.6997539999999997E-2</v>
      </c>
      <c r="Q6754">
        <v>0.2126065</v>
      </c>
      <c r="R6754">
        <v>0.97600699999999996</v>
      </c>
      <c r="S6754">
        <v>0.1867065</v>
      </c>
      <c r="T6754">
        <v>-5.723524E-2</v>
      </c>
      <c r="U6754">
        <v>3.0965880000000001</v>
      </c>
      <c r="V6754">
        <v>-4.2259819999999997E-2</v>
      </c>
      <c r="W6754">
        <v>0.2242364</v>
      </c>
      <c r="X6754">
        <v>0.97361810000000004</v>
      </c>
      <c r="Y6754">
        <v>6.5002699999999997E-2</v>
      </c>
      <c r="Z6754">
        <v>-6.5164480000000002E-3</v>
      </c>
      <c r="AA6754">
        <v>0.99786379999999997</v>
      </c>
      <c r="AB6754">
        <v>32</v>
      </c>
      <c r="AC6754">
        <v>3.6595999999999802</v>
      </c>
      <c r="AD6754">
        <v>-1.1213545072119999</v>
      </c>
      <c r="AE6754">
        <v>60.332299999999996</v>
      </c>
      <c r="AF6754">
        <v>3.9502203125865201</v>
      </c>
      <c r="AG6754">
        <v>-1.1213545072119999</v>
      </c>
      <c r="AH6754">
        <v>60.293127973626298</v>
      </c>
      <c r="AI6754">
        <v>91.063206920261806</v>
      </c>
      <c r="AJ6754">
        <v>86.251514032584296</v>
      </c>
      <c r="AK6754">
        <v>60.4327970335057</v>
      </c>
      <c r="AL6754">
        <v>77.042020586238195</v>
      </c>
      <c r="AM6754">
        <v>92.485358965058893</v>
      </c>
      <c r="AN6754">
        <v>1.0000000300595</v>
      </c>
    </row>
    <row r="6755" spans="1:40" x14ac:dyDescent="0.25">
      <c r="A6755" t="str">
        <f>"20190303162951860"</f>
        <v>20190303162951860</v>
      </c>
      <c r="B6755" t="str">
        <f>"1551601791848322"</f>
        <v>1551601791848322</v>
      </c>
      <c r="C6755" t="s">
        <v>40</v>
      </c>
      <c r="D6755">
        <v>4.9219530000000002</v>
      </c>
      <c r="E6755">
        <v>0.54273590000000005</v>
      </c>
      <c r="F6755" t="s">
        <v>56</v>
      </c>
      <c r="G6755">
        <v>-185.04830000000001</v>
      </c>
      <c r="H6755" s="1">
        <v>-3.978733E-6</v>
      </c>
      <c r="I6755">
        <v>126.7499</v>
      </c>
      <c r="J6755">
        <v>-188.46709999999999</v>
      </c>
      <c r="K6755">
        <v>1.121367</v>
      </c>
      <c r="L6755">
        <v>70.721710000000002</v>
      </c>
      <c r="M6755">
        <v>-4.830394E-3</v>
      </c>
      <c r="N6755">
        <v>-1.1926279999999999E-2</v>
      </c>
      <c r="O6755">
        <v>0.99991719999999895</v>
      </c>
      <c r="P6755">
        <v>-4.5499770000000002E-2</v>
      </c>
      <c r="Q6755">
        <v>0.21399879999999999</v>
      </c>
      <c r="R6755">
        <v>0.97577369999999997</v>
      </c>
      <c r="S6755">
        <v>0.18775939999999999</v>
      </c>
      <c r="T6755">
        <v>-6.1612489999999999E-2</v>
      </c>
      <c r="U6755">
        <v>3.0961910000000001</v>
      </c>
      <c r="V6755">
        <v>-4.0772339999999997E-2</v>
      </c>
      <c r="W6755">
        <v>0.22562560000000001</v>
      </c>
      <c r="X6755">
        <v>0.97336049999999996</v>
      </c>
      <c r="Y6755">
        <v>6.5337740000000005E-2</v>
      </c>
      <c r="Z6755">
        <v>-7.9285840000000007E-3</v>
      </c>
      <c r="AA6755">
        <v>0.99783169999999999</v>
      </c>
      <c r="AB6755">
        <v>32</v>
      </c>
      <c r="AC6755">
        <v>3.4187999999999699</v>
      </c>
      <c r="AD6755">
        <v>-1.121370978733</v>
      </c>
      <c r="AE6755">
        <v>56.028190000000002</v>
      </c>
      <c r="AF6755">
        <v>3.6879457703912601</v>
      </c>
      <c r="AG6755">
        <v>-1.121370978733</v>
      </c>
      <c r="AH6755">
        <v>55.9886763828422</v>
      </c>
      <c r="AI6755">
        <v>91.144916503156907</v>
      </c>
      <c r="AJ6755">
        <v>86.231400104355103</v>
      </c>
      <c r="AK6755">
        <v>56.1212107850492</v>
      </c>
      <c r="AL6755">
        <v>76.960331311530993</v>
      </c>
      <c r="AM6755">
        <v>92.398616056888102</v>
      </c>
      <c r="AN6755">
        <v>0.99999997902234194</v>
      </c>
    </row>
    <row r="6756" spans="1:40" x14ac:dyDescent="0.25">
      <c r="A6756" t="str">
        <f>"20190303162951881"</f>
        <v>20190303162951881</v>
      </c>
      <c r="B6756" t="str">
        <f>"1551601791868817"</f>
        <v>1551601791868817</v>
      </c>
      <c r="C6756" t="s">
        <v>40</v>
      </c>
      <c r="D6756">
        <v>4.9495870000000002</v>
      </c>
      <c r="E6756">
        <v>0.54235809999999995</v>
      </c>
      <c r="F6756" t="s">
        <v>56</v>
      </c>
      <c r="G6756">
        <v>-184.52080000000001</v>
      </c>
      <c r="H6756" s="1">
        <v>-7.1624539999999996E-6</v>
      </c>
      <c r="I6756">
        <v>135.71129999999999</v>
      </c>
      <c r="J6756">
        <v>-188.46850000000001</v>
      </c>
      <c r="K6756">
        <v>1.1213799999999901</v>
      </c>
      <c r="L6756">
        <v>71.033259999999999</v>
      </c>
      <c r="M6756">
        <v>-4.820647E-3</v>
      </c>
      <c r="N6756">
        <v>-1.1926610000000001E-2</v>
      </c>
      <c r="O6756">
        <v>0.99991730000000001</v>
      </c>
      <c r="P6756">
        <v>-4.3873339999999997E-2</v>
      </c>
      <c r="Q6756">
        <v>0.21557999999999999</v>
      </c>
      <c r="R6756">
        <v>0.97550000000000003</v>
      </c>
      <c r="S6756">
        <v>0.18792719999999999</v>
      </c>
      <c r="T6756">
        <v>-5.3402190000000002E-2</v>
      </c>
      <c r="U6756">
        <v>3.0949399999999998</v>
      </c>
      <c r="V6756">
        <v>-3.9156730000000001E-2</v>
      </c>
      <c r="W6756">
        <v>0.22720380000000001</v>
      </c>
      <c r="X6756">
        <v>0.97305969999999997</v>
      </c>
      <c r="Y6756">
        <v>6.5408380000000002E-2</v>
      </c>
      <c r="Z6756">
        <v>-5.2896769999999996E-3</v>
      </c>
      <c r="AA6756">
        <v>0.99784459999999997</v>
      </c>
      <c r="AB6756">
        <v>32</v>
      </c>
      <c r="AC6756">
        <v>3.94769999999999</v>
      </c>
      <c r="AD6756">
        <v>-1.1213871624539899</v>
      </c>
      <c r="AE6756">
        <v>64.678039999999996</v>
      </c>
      <c r="AF6756">
        <v>4.2581910004151604</v>
      </c>
      <c r="AG6756">
        <v>-1.1213871624539899</v>
      </c>
      <c r="AH6756">
        <v>64.638897840102103</v>
      </c>
      <c r="AI6756">
        <v>90.991746263691297</v>
      </c>
      <c r="AJ6756">
        <v>86.230994545222501</v>
      </c>
      <c r="AK6756">
        <v>64.788708998924307</v>
      </c>
      <c r="AL6756">
        <v>76.867496518938907</v>
      </c>
      <c r="AM6756">
        <v>92.3043864119619</v>
      </c>
      <c r="AN6756">
        <v>0.99999999800141104</v>
      </c>
    </row>
    <row r="6757" spans="1:40" x14ac:dyDescent="0.25">
      <c r="A6757" t="str">
        <f>"20190303162951902"</f>
        <v>20190303162951902</v>
      </c>
      <c r="B6757" t="str">
        <f>"1551601791888337"</f>
        <v>1551601791888337</v>
      </c>
      <c r="C6757" t="s">
        <v>40</v>
      </c>
      <c r="D6757">
        <v>4.9665559999999997</v>
      </c>
      <c r="E6757">
        <v>0.54206140000000003</v>
      </c>
      <c r="F6757" t="s">
        <v>56</v>
      </c>
      <c r="G6757">
        <v>-183.77010000000001</v>
      </c>
      <c r="H6757" s="1">
        <v>-1.0922790000000001E-5</v>
      </c>
      <c r="I6757">
        <v>148.2627</v>
      </c>
      <c r="J6757">
        <v>-188.4699</v>
      </c>
      <c r="K6757">
        <v>1.1213900000000001</v>
      </c>
      <c r="L6757">
        <v>71.326229999999995</v>
      </c>
      <c r="M6757">
        <v>-4.8110760000000001E-3</v>
      </c>
      <c r="N6757">
        <v>-1.192697E-2</v>
      </c>
      <c r="O6757">
        <v>0.99991730000000001</v>
      </c>
      <c r="P6757">
        <v>-4.1899279999999997E-2</v>
      </c>
      <c r="Q6757">
        <v>0.2168166</v>
      </c>
      <c r="R6757">
        <v>0.97531279999999998</v>
      </c>
      <c r="S6757">
        <v>0.1882172</v>
      </c>
      <c r="T6757">
        <v>-4.4921990000000002E-2</v>
      </c>
      <c r="U6757">
        <v>3.09375</v>
      </c>
      <c r="V6757">
        <v>-3.7192219999999998E-2</v>
      </c>
      <c r="W6757">
        <v>0.22843840000000001</v>
      </c>
      <c r="X6757">
        <v>0.97284769999999998</v>
      </c>
      <c r="Y6757">
        <v>6.5516920000000006E-2</v>
      </c>
      <c r="Z6757">
        <v>-2.5609790000000001E-3</v>
      </c>
      <c r="AA6757">
        <v>0.99784819999999996</v>
      </c>
      <c r="AB6757">
        <v>32</v>
      </c>
      <c r="AC6757">
        <v>4.6997999999999802</v>
      </c>
      <c r="AD6757">
        <v>-1.1214009227899999</v>
      </c>
      <c r="AE6757">
        <v>76.9364699999999</v>
      </c>
      <c r="AF6757">
        <v>5.0688462590874002</v>
      </c>
      <c r="AG6757">
        <v>-1.1214009227899999</v>
      </c>
      <c r="AH6757">
        <v>76.896690773612093</v>
      </c>
      <c r="AI6757">
        <v>90.833688384301098</v>
      </c>
      <c r="AJ6757">
        <v>86.228655027796606</v>
      </c>
      <c r="AK6757">
        <v>77.071731486715805</v>
      </c>
      <c r="AL6757">
        <v>76.794848827667806</v>
      </c>
      <c r="AM6757">
        <v>92.189366308189904</v>
      </c>
      <c r="AN6757">
        <v>1.00000000560918</v>
      </c>
    </row>
    <row r="6758" spans="1:40" x14ac:dyDescent="0.25">
      <c r="A6758" t="str">
        <f>"20190303162951924"</f>
        <v>20190303162951924</v>
      </c>
      <c r="B6758" t="str">
        <f>"1551601791918593"</f>
        <v>1551601791918593</v>
      </c>
      <c r="C6758" t="s">
        <v>40</v>
      </c>
      <c r="D6758">
        <v>4.977392</v>
      </c>
      <c r="E6758">
        <v>0.54169639999999997</v>
      </c>
      <c r="F6758" t="s">
        <v>41</v>
      </c>
      <c r="G6758">
        <v>-182.66890000000001</v>
      </c>
      <c r="H6758" s="1">
        <v>-4.1405490000000003E-6</v>
      </c>
      <c r="I6758">
        <v>165.34710000000001</v>
      </c>
      <c r="J6758">
        <v>-188.47149999999999</v>
      </c>
      <c r="K6758">
        <v>1.1213919999999999</v>
      </c>
      <c r="L6758">
        <v>71.649839999999998</v>
      </c>
      <c r="M6758">
        <v>-4.8002080000000003E-3</v>
      </c>
      <c r="N6758">
        <v>-1.192735E-2</v>
      </c>
      <c r="O6758">
        <v>0.99991730000000001</v>
      </c>
      <c r="P6758">
        <v>-3.9293679999999997E-2</v>
      </c>
      <c r="Q6758">
        <v>0.21836340000000001</v>
      </c>
      <c r="R6758">
        <v>0.9750761</v>
      </c>
      <c r="S6758">
        <v>0.19079589999999999</v>
      </c>
      <c r="T6758">
        <v>-3.6882640000000001E-2</v>
      </c>
      <c r="U6758">
        <v>3.092346</v>
      </c>
      <c r="V6758">
        <v>-3.4598089999999998E-2</v>
      </c>
      <c r="W6758">
        <v>0.22998209999999999</v>
      </c>
      <c r="X6758">
        <v>0.97257969999999905</v>
      </c>
      <c r="Y6758">
        <v>6.6363599999999995E-2</v>
      </c>
      <c r="Z6758" s="1">
        <v>2.7553030000000001E-5</v>
      </c>
      <c r="AA6758">
        <v>0.99779549999999995</v>
      </c>
      <c r="AB6758">
        <v>32</v>
      </c>
      <c r="AC6758">
        <v>5.8025999999999804</v>
      </c>
      <c r="AD6758">
        <v>-1.1213961405490001</v>
      </c>
      <c r="AE6758">
        <v>93.69726</v>
      </c>
      <c r="AF6758">
        <v>6.2514394561120197</v>
      </c>
      <c r="AG6758">
        <v>-1.1213961405490001</v>
      </c>
      <c r="AH6758">
        <v>93.654960800827894</v>
      </c>
      <c r="AI6758">
        <v>90.684486499088194</v>
      </c>
      <c r="AJ6758">
        <v>86.181189441277198</v>
      </c>
      <c r="AK6758">
        <v>93.870068217627704</v>
      </c>
      <c r="AL6758">
        <v>76.703982551557104</v>
      </c>
      <c r="AM6758">
        <v>92.037353829171906</v>
      </c>
      <c r="AN6758">
        <v>1.00000003350207</v>
      </c>
    </row>
    <row r="6759" spans="1:40" x14ac:dyDescent="0.25">
      <c r="A6759" t="str">
        <f>"20190303162951946"</f>
        <v>20190303162951946</v>
      </c>
      <c r="B6759" t="str">
        <f>"1551601791939090"</f>
        <v>1551601791939090</v>
      </c>
      <c r="C6759" t="s">
        <v>40</v>
      </c>
      <c r="D6759">
        <v>4.9176960000000003</v>
      </c>
      <c r="E6759">
        <v>0.54110130000000001</v>
      </c>
      <c r="F6759" t="s">
        <v>47</v>
      </c>
      <c r="G6759">
        <v>-179.95779999999999</v>
      </c>
      <c r="H6759">
        <v>8.5949649999999995E-3</v>
      </c>
      <c r="I6759">
        <v>205.92760000000001</v>
      </c>
      <c r="J6759">
        <v>-188.47309999999999</v>
      </c>
      <c r="K6759">
        <v>1.121394</v>
      </c>
      <c r="L6759">
        <v>71.98621</v>
      </c>
      <c r="M6759">
        <v>-4.788863E-3</v>
      </c>
      <c r="N6759">
        <v>-1.1927699999999999E-2</v>
      </c>
      <c r="O6759">
        <v>0.99991739999999996</v>
      </c>
      <c r="P6759">
        <v>-3.7725130000000003E-2</v>
      </c>
      <c r="Q6759">
        <v>0.21968389999999999</v>
      </c>
      <c r="R6759">
        <v>0.97484139999999997</v>
      </c>
      <c r="S6759">
        <v>0.1959381</v>
      </c>
      <c r="T6759">
        <v>-2.561045E-2</v>
      </c>
      <c r="U6759">
        <v>3.0903320000000001</v>
      </c>
      <c r="V6759">
        <v>-3.3041710000000002E-2</v>
      </c>
      <c r="W6759">
        <v>0.23130029999999999</v>
      </c>
      <c r="X6759">
        <v>0.9723212</v>
      </c>
      <c r="Y6759">
        <v>6.8046789999999996E-2</v>
      </c>
      <c r="Z6759">
        <v>3.6607380000000002E-3</v>
      </c>
      <c r="AA6759">
        <v>0.99767539999999999</v>
      </c>
      <c r="AB6759">
        <v>32</v>
      </c>
      <c r="AC6759">
        <v>8.5152999999999892</v>
      </c>
      <c r="AD6759">
        <v>-1.1127990350000001</v>
      </c>
      <c r="AE6759">
        <v>133.94138999999899</v>
      </c>
      <c r="AF6759">
        <v>9.1560454919994996</v>
      </c>
      <c r="AG6759">
        <v>-1.1127990350000001</v>
      </c>
      <c r="AH6759">
        <v>133.88986792193799</v>
      </c>
      <c r="AI6759">
        <v>90.475082010390196</v>
      </c>
      <c r="AJ6759">
        <v>86.0879244156677</v>
      </c>
      <c r="AK6759">
        <v>134.20718394668</v>
      </c>
      <c r="AL6759">
        <v>76.626362747432495</v>
      </c>
      <c r="AM6759">
        <v>91.946293365571506</v>
      </c>
      <c r="AN6759">
        <v>1.00000004967462</v>
      </c>
    </row>
    <row r="6760" spans="1:40" x14ac:dyDescent="0.25">
      <c r="A6760" t="str">
        <f>"20190303162951970"</f>
        <v>20190303162951970</v>
      </c>
      <c r="B6760" t="str">
        <f>"1551601791958609"</f>
        <v>1551601791958609</v>
      </c>
      <c r="C6760" t="s">
        <v>40</v>
      </c>
      <c r="D6760">
        <v>4.9561409999999997</v>
      </c>
      <c r="E6760">
        <v>0.54060259999999905</v>
      </c>
      <c r="F6760" t="s">
        <v>42</v>
      </c>
      <c r="G6760">
        <v>-171.77099999999999</v>
      </c>
      <c r="H6760">
        <v>-0.05</v>
      </c>
      <c r="I6760">
        <v>334.69189999999998</v>
      </c>
      <c r="J6760">
        <v>-188.47450000000001</v>
      </c>
      <c r="K6760">
        <v>1.121394</v>
      </c>
      <c r="L6760">
        <v>72.307649999999995</v>
      </c>
      <c r="M6760">
        <v>-4.7775980000000001E-3</v>
      </c>
      <c r="N6760">
        <v>-1.1928100000000001E-2</v>
      </c>
      <c r="O6760">
        <v>0.99991739999999996</v>
      </c>
      <c r="P6760">
        <v>-3.4891119999999998E-2</v>
      </c>
      <c r="Q6760">
        <v>0.2193667</v>
      </c>
      <c r="R6760">
        <v>0.97501839999999995</v>
      </c>
      <c r="S6760">
        <v>0.1963348</v>
      </c>
      <c r="T6760">
        <v>-1.376987E-2</v>
      </c>
      <c r="U6760">
        <v>3.0881349999999999</v>
      </c>
      <c r="V6760">
        <v>-3.0217560000000001E-2</v>
      </c>
      <c r="W6760">
        <v>0.2309853</v>
      </c>
      <c r="X6760">
        <v>0.97248789999999996</v>
      </c>
      <c r="Y6760">
        <v>6.8208210000000005E-2</v>
      </c>
      <c r="Z6760">
        <v>7.4809489999999998E-3</v>
      </c>
      <c r="AA6760">
        <v>0.9976431</v>
      </c>
      <c r="AB6760">
        <v>32</v>
      </c>
      <c r="AC6760">
        <v>16.703499999999998</v>
      </c>
      <c r="AD6760">
        <v>-1.171394</v>
      </c>
      <c r="AE6760">
        <v>262.38424999999899</v>
      </c>
      <c r="AF6760">
        <v>17.9566086009138</v>
      </c>
      <c r="AG6760">
        <v>-1.171394</v>
      </c>
      <c r="AH6760">
        <v>262.29624000692797</v>
      </c>
      <c r="AI6760">
        <v>90.255279163685998</v>
      </c>
      <c r="AJ6760">
        <v>86.083683407992595</v>
      </c>
      <c r="AK6760">
        <v>262.91277922178199</v>
      </c>
      <c r="AL6760">
        <v>76.644912765307296</v>
      </c>
      <c r="AM6760">
        <v>91.779746336893893</v>
      </c>
      <c r="AN6760">
        <v>1.00000001269742</v>
      </c>
    </row>
    <row r="6761" spans="1:40" x14ac:dyDescent="0.25">
      <c r="A6761" t="str">
        <f>"20190303162951991"</f>
        <v>20190303162951991</v>
      </c>
      <c r="B6761" t="str">
        <f>"1551601791979105"</f>
        <v>1551601791979105</v>
      </c>
      <c r="C6761" t="s">
        <v>40</v>
      </c>
      <c r="D6761">
        <v>4.9244070000000004</v>
      </c>
      <c r="E6761">
        <v>0.54060259999999905</v>
      </c>
      <c r="F6761" t="s">
        <v>42</v>
      </c>
      <c r="G6761">
        <v>-167.64959999999999</v>
      </c>
      <c r="H6761">
        <v>-0.05</v>
      </c>
      <c r="I6761">
        <v>392.07029999999997</v>
      </c>
      <c r="J6761">
        <v>-188.476</v>
      </c>
      <c r="K6761">
        <v>1.121381</v>
      </c>
      <c r="L6761">
        <v>72.618650000000002</v>
      </c>
      <c r="M6761">
        <v>-4.7664550000000002E-3</v>
      </c>
      <c r="N6761">
        <v>-1.192848E-2</v>
      </c>
      <c r="O6761">
        <v>0.99991750000000001</v>
      </c>
      <c r="P6761">
        <v>-3.2296199999999997E-2</v>
      </c>
      <c r="Q6761">
        <v>0.2177664</v>
      </c>
      <c r="R6761">
        <v>0.97546639999999996</v>
      </c>
      <c r="S6761">
        <v>0.20101930000000001</v>
      </c>
      <c r="T6761">
        <v>-1.130724E-2</v>
      </c>
      <c r="U6761">
        <v>3.0866090000000002</v>
      </c>
      <c r="V6761">
        <v>-2.7631800000000001E-2</v>
      </c>
      <c r="W6761">
        <v>0.22939039999999999</v>
      </c>
      <c r="X6761">
        <v>0.97294219999999998</v>
      </c>
      <c r="Y6761">
        <v>6.9735859999999997E-2</v>
      </c>
      <c r="Z6761">
        <v>8.2756069999999904E-3</v>
      </c>
      <c r="AA6761">
        <v>0.99753119999999995</v>
      </c>
      <c r="AB6761">
        <v>32</v>
      </c>
      <c r="AC6761">
        <v>20.8264</v>
      </c>
      <c r="AD6761">
        <v>-1.171381</v>
      </c>
      <c r="AE6761">
        <v>319.45164999999997</v>
      </c>
      <c r="AF6761">
        <v>22.348624406497699</v>
      </c>
      <c r="AG6761">
        <v>-1.171381</v>
      </c>
      <c r="AH6761">
        <v>319.34446981283099</v>
      </c>
      <c r="AI6761">
        <v>90.209651786049903</v>
      </c>
      <c r="AJ6761">
        <v>85.996806984711199</v>
      </c>
      <c r="AK6761">
        <v>320.12766757396599</v>
      </c>
      <c r="AL6761">
        <v>76.738815262657297</v>
      </c>
      <c r="AM6761">
        <v>91.626777083034895</v>
      </c>
      <c r="AN6761">
        <v>0.99999999826211905</v>
      </c>
    </row>
    <row r="6762" spans="1:40" x14ac:dyDescent="0.25">
      <c r="A6762" t="str">
        <f>"20190303162952012"</f>
        <v>20190303162952012</v>
      </c>
      <c r="B6762" t="str">
        <f>"1551601791998625"</f>
        <v>1551601791998625</v>
      </c>
      <c r="C6762" t="s">
        <v>40</v>
      </c>
      <c r="D6762">
        <v>5.2219150000000001</v>
      </c>
      <c r="E6762">
        <v>0.5103105</v>
      </c>
      <c r="F6762" t="s">
        <v>47</v>
      </c>
      <c r="G6762">
        <v>-175.10640000000001</v>
      </c>
      <c r="H6762">
        <v>8.0001160000000002E-2</v>
      </c>
      <c r="I6762">
        <v>269.62759999999997</v>
      </c>
      <c r="J6762">
        <v>-188.47739999999999</v>
      </c>
      <c r="K6762">
        <v>1.121372</v>
      </c>
      <c r="L6762">
        <v>72.923400000000001</v>
      </c>
      <c r="M6762">
        <v>-4.7556020000000003E-3</v>
      </c>
      <c r="N6762">
        <v>-1.192884E-2</v>
      </c>
      <c r="O6762">
        <v>0.99991759999999996</v>
      </c>
      <c r="P6762">
        <v>-2.9870190000000001E-2</v>
      </c>
      <c r="Q6762">
        <v>0.21549409999999999</v>
      </c>
      <c r="R6762">
        <v>0.97604820000000003</v>
      </c>
      <c r="S6762">
        <v>0.2094269</v>
      </c>
      <c r="T6762">
        <v>-1.63126E-2</v>
      </c>
      <c r="U6762">
        <v>3.0860289999999999</v>
      </c>
      <c r="V6762">
        <v>-2.5213989999999999E-2</v>
      </c>
      <c r="W6762">
        <v>0.22712489999999999</v>
      </c>
      <c r="X6762">
        <v>0.97353920000000005</v>
      </c>
      <c r="Y6762">
        <v>7.2442519999999996E-2</v>
      </c>
      <c r="Z6762">
        <v>6.6581950000000004E-3</v>
      </c>
      <c r="AA6762">
        <v>0.99735030000000002</v>
      </c>
      <c r="AB6762">
        <v>32</v>
      </c>
      <c r="AC6762">
        <v>13.370999999999899</v>
      </c>
      <c r="AD6762">
        <v>-1.0413708399999999</v>
      </c>
      <c r="AE6762">
        <v>196.70419999999999</v>
      </c>
      <c r="AF6762">
        <v>14.305963058320099</v>
      </c>
      <c r="AG6762">
        <v>-1.0413708399999999</v>
      </c>
      <c r="AH6762">
        <v>196.63289791874001</v>
      </c>
      <c r="AI6762">
        <v>90.302636596776694</v>
      </c>
      <c r="AJ6762">
        <v>85.838795797480401</v>
      </c>
      <c r="AK6762">
        <v>197.155374200588</v>
      </c>
      <c r="AL6762">
        <v>76.872138804392094</v>
      </c>
      <c r="AM6762">
        <v>91.483589288654201</v>
      </c>
      <c r="AN6762">
        <v>1.0000000197141801</v>
      </c>
    </row>
    <row r="6763" spans="1:40" x14ac:dyDescent="0.25">
      <c r="A6763" t="str">
        <f>"20190303162952037"</f>
        <v>20190303162952037</v>
      </c>
      <c r="B6763" t="str">
        <f>"1551601792028881"</f>
        <v>1551601792028881</v>
      </c>
      <c r="C6763" t="s">
        <v>40</v>
      </c>
      <c r="D6763">
        <v>4.747312</v>
      </c>
      <c r="E6763">
        <v>0.50891279999999905</v>
      </c>
      <c r="F6763" t="s">
        <v>41</v>
      </c>
      <c r="G6763">
        <v>-188.74299999999999</v>
      </c>
      <c r="H6763" s="1">
        <v>-2.169027E-6</v>
      </c>
      <c r="I6763">
        <v>104.1691</v>
      </c>
      <c r="J6763">
        <v>-188.47909999999999</v>
      </c>
      <c r="K6763">
        <v>1.1213649999999999</v>
      </c>
      <c r="L6763">
        <v>73.271969999999996</v>
      </c>
      <c r="M6763">
        <v>-4.7432519999999999E-3</v>
      </c>
      <c r="N6763">
        <v>-1.192929E-2</v>
      </c>
      <c r="O6763">
        <v>0.99991759999999996</v>
      </c>
      <c r="P6763">
        <v>-2.7357650000000001E-2</v>
      </c>
      <c r="Q6763">
        <v>0.21414730000000001</v>
      </c>
      <c r="R6763">
        <v>0.97641820000000001</v>
      </c>
      <c r="S6763">
        <v>-2.632141E-2</v>
      </c>
      <c r="T6763">
        <v>-0.1111608</v>
      </c>
      <c r="U6763">
        <v>3.0973510000000002</v>
      </c>
      <c r="V6763">
        <v>-2.2711140000000001E-2</v>
      </c>
      <c r="W6763">
        <v>0.22578309999999999</v>
      </c>
      <c r="X6763">
        <v>0.97391280000000002</v>
      </c>
      <c r="Y6763">
        <v>-3.7507119999999998E-3</v>
      </c>
      <c r="Z6763">
        <v>-2.3940579999999999E-2</v>
      </c>
      <c r="AA6763">
        <v>0.99970630000000005</v>
      </c>
      <c r="AB6763">
        <v>32</v>
      </c>
      <c r="AC6763">
        <v>-0.26390000000000602</v>
      </c>
      <c r="AD6763">
        <v>-1.121367169027</v>
      </c>
      <c r="AE6763">
        <v>30.897130000000001</v>
      </c>
      <c r="AF6763">
        <v>-0.117179389100114</v>
      </c>
      <c r="AG6763">
        <v>-1.121367169027</v>
      </c>
      <c r="AH6763">
        <v>30.8573911047561</v>
      </c>
      <c r="AI6763">
        <v>92.081215567841696</v>
      </c>
      <c r="AJ6763">
        <v>90.217576792089901</v>
      </c>
      <c r="AK6763">
        <v>30.877982141469001</v>
      </c>
      <c r="AL6763">
        <v>76.951068120159206</v>
      </c>
      <c r="AM6763">
        <v>91.335865668844505</v>
      </c>
      <c r="AN6763">
        <v>0.99999997306477395</v>
      </c>
    </row>
    <row r="6764" spans="1:40" x14ac:dyDescent="0.25">
      <c r="A6764" t="str">
        <f>"20190303162952061"</f>
        <v>20190303162952061</v>
      </c>
      <c r="B6764" t="str">
        <f>"1551601792048402"</f>
        <v>1551601792048402</v>
      </c>
      <c r="C6764" t="s">
        <v>40</v>
      </c>
      <c r="D6764">
        <v>4.7283160000000004</v>
      </c>
      <c r="E6764">
        <v>0.5096522</v>
      </c>
      <c r="F6764" t="s">
        <v>41</v>
      </c>
      <c r="G6764">
        <v>-188.77209999999999</v>
      </c>
      <c r="H6764" s="1">
        <v>-2.4180770000000002E-6</v>
      </c>
      <c r="I6764">
        <v>104.7617</v>
      </c>
      <c r="J6764">
        <v>-188.48060000000001</v>
      </c>
      <c r="K6764">
        <v>1.1213500000000001</v>
      </c>
      <c r="L6764">
        <v>73.608059999999995</v>
      </c>
      <c r="M6764">
        <v>-4.7317009999999996E-3</v>
      </c>
      <c r="N6764">
        <v>-1.1929759999999999E-2</v>
      </c>
      <c r="O6764">
        <v>0.99991759999999996</v>
      </c>
      <c r="P6764">
        <v>-2.4675260000000001E-2</v>
      </c>
      <c r="Q6764">
        <v>0.2124876</v>
      </c>
      <c r="R6764">
        <v>0.97685219999999995</v>
      </c>
      <c r="S6764">
        <v>-2.8808589999999999E-2</v>
      </c>
      <c r="T6764">
        <v>-0.1102443</v>
      </c>
      <c r="U6764">
        <v>3.095825</v>
      </c>
      <c r="V6764">
        <v>-2.003841E-2</v>
      </c>
      <c r="W6764">
        <v>0.22412860000000001</v>
      </c>
      <c r="X6764">
        <v>0.97435360000000004</v>
      </c>
      <c r="Y6764">
        <v>-4.5693849999999996E-3</v>
      </c>
      <c r="Z6764">
        <v>-2.366205E-2</v>
      </c>
      <c r="AA6764">
        <v>0.99970950000000003</v>
      </c>
      <c r="AB6764">
        <v>32</v>
      </c>
      <c r="AC6764">
        <v>-0.29149999999998499</v>
      </c>
      <c r="AD6764">
        <v>-1.121352418077</v>
      </c>
      <c r="AE6764">
        <v>31.153639999999999</v>
      </c>
      <c r="AF6764">
        <v>-0.14389012389128999</v>
      </c>
      <c r="AG6764">
        <v>-1.121352418077</v>
      </c>
      <c r="AH6764">
        <v>31.114362746503001</v>
      </c>
      <c r="AI6764">
        <v>92.064007552929894</v>
      </c>
      <c r="AJ6764">
        <v>90.264965672227603</v>
      </c>
      <c r="AK6764">
        <v>31.134895290240699</v>
      </c>
      <c r="AL6764">
        <v>77.048358681950702</v>
      </c>
      <c r="AM6764">
        <v>91.178170322713797</v>
      </c>
      <c r="AN6764">
        <v>1.0000000525231201</v>
      </c>
    </row>
    <row r="6765" spans="1:40" x14ac:dyDescent="0.25">
      <c r="A6765" t="str">
        <f>"20190303162952081"</f>
        <v>20190303162952081</v>
      </c>
      <c r="B6765" t="str">
        <f>"1551601792068898"</f>
        <v>1551601792068898</v>
      </c>
      <c r="C6765" t="s">
        <v>40</v>
      </c>
      <c r="D6765">
        <v>4.677746</v>
      </c>
      <c r="E6765">
        <v>0.50989030000000002</v>
      </c>
      <c r="F6765" t="s">
        <v>41</v>
      </c>
      <c r="G6765">
        <v>-188.60659999999999</v>
      </c>
      <c r="H6765" s="1">
        <v>-7.8722119999999904E-7</v>
      </c>
      <c r="I6765">
        <v>100.8719</v>
      </c>
      <c r="J6765">
        <v>-188.4821</v>
      </c>
      <c r="K6765">
        <v>1.1213379999999999</v>
      </c>
      <c r="L6765">
        <v>73.918149999999997</v>
      </c>
      <c r="M6765">
        <v>-4.720798E-3</v>
      </c>
      <c r="N6765">
        <v>-1.193022E-2</v>
      </c>
      <c r="O6765">
        <v>0.99991770000000002</v>
      </c>
      <c r="P6765">
        <v>-2.2644109999999999E-2</v>
      </c>
      <c r="Q6765">
        <v>0.2107348</v>
      </c>
      <c r="R6765">
        <v>0.97728099999999996</v>
      </c>
      <c r="S6765">
        <v>-1.4312739999999999E-2</v>
      </c>
      <c r="T6765">
        <v>-0.1274382</v>
      </c>
      <c r="U6765">
        <v>3.0984500000000001</v>
      </c>
      <c r="V6765">
        <v>-1.801589E-2</v>
      </c>
      <c r="W6765">
        <v>0.22238140000000001</v>
      </c>
      <c r="X6765">
        <v>0.97479329999999997</v>
      </c>
      <c r="Y6765">
        <v>1.037934E-4</v>
      </c>
      <c r="Z6765">
        <v>-2.917107E-2</v>
      </c>
      <c r="AA6765">
        <v>0.99957439999999997</v>
      </c>
      <c r="AB6765">
        <v>32</v>
      </c>
      <c r="AC6765">
        <v>-0.124499999999983</v>
      </c>
      <c r="AD6765">
        <v>-1.1213387872212</v>
      </c>
      <c r="AE6765">
        <v>26.953749999999999</v>
      </c>
      <c r="AF6765">
        <v>2.7488938248543399E-3</v>
      </c>
      <c r="AG6765">
        <v>-1.1213387872212</v>
      </c>
      <c r="AH6765">
        <v>26.907468182371499</v>
      </c>
      <c r="AI6765">
        <v>92.3863569927844</v>
      </c>
      <c r="AJ6765">
        <v>89.994146605957894</v>
      </c>
      <c r="AK6765">
        <v>26.930823459699099</v>
      </c>
      <c r="AL6765">
        <v>77.151057556844606</v>
      </c>
      <c r="AM6765">
        <v>91.058805960892201</v>
      </c>
      <c r="AN6765">
        <v>1.00000001854167</v>
      </c>
    </row>
    <row r="6766" spans="1:40" x14ac:dyDescent="0.25">
      <c r="A6766" t="str">
        <f>"20190303162952103"</f>
        <v>20190303162952103</v>
      </c>
      <c r="B6766" t="str">
        <f>"1551601792088417"</f>
        <v>1551601792088417</v>
      </c>
      <c r="C6766" t="s">
        <v>40</v>
      </c>
      <c r="D6766">
        <v>4.6443310000000002</v>
      </c>
      <c r="E6766">
        <v>0.50943509999999903</v>
      </c>
      <c r="F6766" t="s">
        <v>41</v>
      </c>
      <c r="G6766">
        <v>-188.5284</v>
      </c>
      <c r="H6766" s="1">
        <v>-4.0213930000000002E-6</v>
      </c>
      <c r="I6766">
        <v>98.398229999999998</v>
      </c>
      <c r="J6766">
        <v>-188.48349999999999</v>
      </c>
      <c r="K6766">
        <v>1.121326</v>
      </c>
      <c r="L6766">
        <v>74.219149999999999</v>
      </c>
      <c r="M6766">
        <v>-4.7100620000000001E-3</v>
      </c>
      <c r="N6766">
        <v>-1.1930649999999999E-2</v>
      </c>
      <c r="O6766">
        <v>0.99991770000000002</v>
      </c>
      <c r="P6766">
        <v>-2.0990209999999999E-2</v>
      </c>
      <c r="Q6766">
        <v>0.2084848</v>
      </c>
      <c r="R6766">
        <v>0.97780040000000001</v>
      </c>
      <c r="S6766">
        <v>-5.859375E-3</v>
      </c>
      <c r="T6766">
        <v>-0.14200960000000001</v>
      </c>
      <c r="U6766">
        <v>3.1002200000000002</v>
      </c>
      <c r="V6766">
        <v>-1.6370119999999998E-2</v>
      </c>
      <c r="W6766">
        <v>0.2201381</v>
      </c>
      <c r="X6766">
        <v>0.97533139999999996</v>
      </c>
      <c r="Y6766">
        <v>2.820538E-3</v>
      </c>
      <c r="Z6766">
        <v>-3.3836079999999998E-2</v>
      </c>
      <c r="AA6766">
        <v>0.99942339999999996</v>
      </c>
      <c r="AB6766">
        <v>32</v>
      </c>
      <c r="AC6766">
        <v>-4.4900000000012603E-2</v>
      </c>
      <c r="AD6766">
        <v>-1.121330021393</v>
      </c>
      <c r="AE6766">
        <v>24.179079999999999</v>
      </c>
      <c r="AF6766">
        <v>6.8845505902257798E-2</v>
      </c>
      <c r="AG6766">
        <v>-1.121330021393</v>
      </c>
      <c r="AH6766">
        <v>24.1271323115106</v>
      </c>
      <c r="AI6766">
        <v>92.660946909757499</v>
      </c>
      <c r="AJ6766">
        <v>89.836509943659095</v>
      </c>
      <c r="AK6766">
        <v>24.153273780125598</v>
      </c>
      <c r="AL6766">
        <v>77.282856272274799</v>
      </c>
      <c r="AM6766">
        <v>90.961571344905295</v>
      </c>
      <c r="AN6766">
        <v>1.00000005186319</v>
      </c>
    </row>
    <row r="6767" spans="1:40" x14ac:dyDescent="0.25">
      <c r="A6767" t="str">
        <f>"20190303162952125"</f>
        <v>20190303162952125</v>
      </c>
      <c r="B6767" t="str">
        <f>"1551601792118674"</f>
        <v>1551601792118674</v>
      </c>
      <c r="C6767" t="s">
        <v>40</v>
      </c>
      <c r="D6767">
        <v>4.6294399999999998</v>
      </c>
      <c r="E6767">
        <v>0.50877859999999997</v>
      </c>
      <c r="F6767" t="s">
        <v>41</v>
      </c>
      <c r="G6767">
        <v>-188.5204</v>
      </c>
      <c r="H6767" s="1">
        <v>-4.3521439999999997E-6</v>
      </c>
      <c r="I6767">
        <v>99.16592</v>
      </c>
      <c r="J6767">
        <v>-188.48500000000001</v>
      </c>
      <c r="K6767">
        <v>1.1213089999999999</v>
      </c>
      <c r="L6767">
        <v>74.541600000000003</v>
      </c>
      <c r="M6767">
        <v>-4.6986040000000003E-3</v>
      </c>
      <c r="N6767">
        <v>-1.193109E-2</v>
      </c>
      <c r="O6767">
        <v>0.99991779999999997</v>
      </c>
      <c r="P6767">
        <v>-1.9546669999999999E-2</v>
      </c>
      <c r="Q6767">
        <v>0.2060158</v>
      </c>
      <c r="R6767">
        <v>0.97835340000000004</v>
      </c>
      <c r="S6767">
        <v>-4.5776369999999999E-3</v>
      </c>
      <c r="T6767">
        <v>-0.1392391</v>
      </c>
      <c r="U6767">
        <v>3.0977169999999998</v>
      </c>
      <c r="V6767">
        <v>-1.493543E-2</v>
      </c>
      <c r="W6767">
        <v>0.21767590000000001</v>
      </c>
      <c r="X6767">
        <v>0.97590679999999996</v>
      </c>
      <c r="Y6767">
        <v>3.2209180000000001E-3</v>
      </c>
      <c r="Z6767">
        <v>-3.2980500000000003E-2</v>
      </c>
      <c r="AA6767">
        <v>0.99945079999999997</v>
      </c>
      <c r="AB6767">
        <v>32</v>
      </c>
      <c r="AC6767">
        <v>-3.5399999999981398E-2</v>
      </c>
      <c r="AD6767">
        <v>-1.121313352144</v>
      </c>
      <c r="AE6767">
        <v>24.624320000000001</v>
      </c>
      <c r="AF6767">
        <v>8.0142370072831801E-2</v>
      </c>
      <c r="AG6767">
        <v>-1.121313352144</v>
      </c>
      <c r="AH6767">
        <v>24.573259422844</v>
      </c>
      <c r="AI6767">
        <v>92.612662982910393</v>
      </c>
      <c r="AJ6767">
        <v>89.813138208239295</v>
      </c>
      <c r="AK6767">
        <v>24.598960244196601</v>
      </c>
      <c r="AL6767">
        <v>77.427435665613501</v>
      </c>
      <c r="AM6767">
        <v>90.876795103950997</v>
      </c>
      <c r="AN6767">
        <v>0.99999997339816604</v>
      </c>
    </row>
    <row r="6768" spans="1:40" x14ac:dyDescent="0.25">
      <c r="A6768" t="str">
        <f>"20190303162952146"</f>
        <v>20190303162952146</v>
      </c>
      <c r="B6768" t="str">
        <f>"1551601792139170"</f>
        <v>1551601792139170</v>
      </c>
      <c r="C6768" t="s">
        <v>40</v>
      </c>
      <c r="D6768">
        <v>4.6228999999999996</v>
      </c>
      <c r="E6768">
        <v>0.50840090000000004</v>
      </c>
      <c r="F6768" t="s">
        <v>41</v>
      </c>
      <c r="G6768">
        <v>-188.52379999999999</v>
      </c>
      <c r="H6768" s="1">
        <v>-6.892359E-7</v>
      </c>
      <c r="I6768">
        <v>100.5192</v>
      </c>
      <c r="J6768">
        <v>-188.48650000000001</v>
      </c>
      <c r="K6768">
        <v>1.121299</v>
      </c>
      <c r="L6768">
        <v>74.86703</v>
      </c>
      <c r="M6768">
        <v>-4.6855070000000002E-3</v>
      </c>
      <c r="N6768">
        <v>-1.1931539999999999E-2</v>
      </c>
      <c r="O6768">
        <v>0.99991790000000003</v>
      </c>
      <c r="P6768">
        <v>-1.7796289999999999E-2</v>
      </c>
      <c r="Q6768">
        <v>0.2051403</v>
      </c>
      <c r="R6768">
        <v>0.97857079999999996</v>
      </c>
      <c r="S6768">
        <v>-4.6234129999999998E-3</v>
      </c>
      <c r="T6768">
        <v>-0.1335691</v>
      </c>
      <c r="U6768">
        <v>3.0944210000000001</v>
      </c>
      <c r="V6768">
        <v>-1.31967E-2</v>
      </c>
      <c r="W6768">
        <v>0.2168032</v>
      </c>
      <c r="X6768">
        <v>0.9761261</v>
      </c>
      <c r="Y6768">
        <v>3.1914199999999999E-3</v>
      </c>
      <c r="Z6768">
        <v>-3.1200019999999998E-2</v>
      </c>
      <c r="AA6768">
        <v>0.99950810000000001</v>
      </c>
      <c r="AB6768">
        <v>32</v>
      </c>
      <c r="AC6768">
        <v>-3.72999999999876E-2</v>
      </c>
      <c r="AD6768">
        <v>-1.1212996892359</v>
      </c>
      <c r="AE6768">
        <v>25.652170000000002</v>
      </c>
      <c r="AF6768">
        <v>8.2744280488972893E-2</v>
      </c>
      <c r="AG6768">
        <v>-1.1212996892359</v>
      </c>
      <c r="AH6768">
        <v>25.603143032697901</v>
      </c>
      <c r="AI6768">
        <v>92.507675592816696</v>
      </c>
      <c r="AJ6768">
        <v>89.814832048572697</v>
      </c>
      <c r="AK6768">
        <v>25.627818728128599</v>
      </c>
      <c r="AL6768">
        <v>77.478661022874803</v>
      </c>
      <c r="AM6768">
        <v>90.774560942500401</v>
      </c>
      <c r="AN6768">
        <v>0.99999997176116895</v>
      </c>
    </row>
    <row r="6769" spans="1:40" x14ac:dyDescent="0.25">
      <c r="A6769" t="str">
        <f>"20190303162952171"</f>
        <v>20190303162952171</v>
      </c>
      <c r="B6769" t="str">
        <f>"1551601792158689"</f>
        <v>1551601792158689</v>
      </c>
      <c r="C6769" t="s">
        <v>40</v>
      </c>
      <c r="D6769">
        <v>4.5962430000000003</v>
      </c>
      <c r="E6769">
        <v>0.50800009999999995</v>
      </c>
      <c r="F6769" t="s">
        <v>41</v>
      </c>
      <c r="G6769">
        <v>-188.506</v>
      </c>
      <c r="H6769" s="1">
        <v>-1.2127959999999999E-6</v>
      </c>
      <c r="I6769">
        <v>101.8421</v>
      </c>
      <c r="J6769">
        <v>-188.4881</v>
      </c>
      <c r="K6769">
        <v>1.1212959999999901</v>
      </c>
      <c r="L6769">
        <v>75.204160000000002</v>
      </c>
      <c r="M6769">
        <v>-4.6702130000000003E-3</v>
      </c>
      <c r="N6769">
        <v>-1.193192E-2</v>
      </c>
      <c r="O6769">
        <v>0.99991790000000003</v>
      </c>
      <c r="P6769">
        <v>-1.6866289999999999E-2</v>
      </c>
      <c r="Q6769">
        <v>0.20538699999999999</v>
      </c>
      <c r="R6769">
        <v>0.9785355</v>
      </c>
      <c r="S6769">
        <v>-2.2430420000000002E-3</v>
      </c>
      <c r="T6769">
        <v>-0.1285541</v>
      </c>
      <c r="U6769">
        <v>3.0926209999999998</v>
      </c>
      <c r="V6769">
        <v>-1.2280920000000001E-2</v>
      </c>
      <c r="W6769">
        <v>0.21704989999999999</v>
      </c>
      <c r="X6769">
        <v>0.97608329999999999</v>
      </c>
      <c r="Y6769">
        <v>3.9443239999999999E-3</v>
      </c>
      <c r="Z6769">
        <v>-2.9606750000000001E-2</v>
      </c>
      <c r="AA6769">
        <v>0.9995539</v>
      </c>
      <c r="AB6769">
        <v>32</v>
      </c>
      <c r="AC6769">
        <v>-1.7899999999968899E-2</v>
      </c>
      <c r="AD6769">
        <v>-1.1212972127959999</v>
      </c>
      <c r="AE6769">
        <v>26.63794</v>
      </c>
      <c r="AF6769">
        <v>0.10632550787437201</v>
      </c>
      <c r="AG6769">
        <v>-1.1212972127959999</v>
      </c>
      <c r="AH6769">
        <v>26.5906170591741</v>
      </c>
      <c r="AI6769">
        <v>92.414650429361402</v>
      </c>
      <c r="AJ6769">
        <v>89.770897742822697</v>
      </c>
      <c r="AK6769">
        <v>26.6144608839009</v>
      </c>
      <c r="AL6769">
        <v>77.4641822871952</v>
      </c>
      <c r="AM6769">
        <v>90.720848065385198</v>
      </c>
      <c r="AN6769">
        <v>1.0000000443124699</v>
      </c>
    </row>
    <row r="6770" spans="1:40" x14ac:dyDescent="0.25">
      <c r="A6770" t="str">
        <f>"20190303162952191"</f>
        <v>20190303162952191</v>
      </c>
      <c r="B6770" t="str">
        <f>"1551601792179186"</f>
        <v>1551601792179186</v>
      </c>
      <c r="C6770" t="s">
        <v>40</v>
      </c>
      <c r="D6770">
        <v>4.6276479999999998</v>
      </c>
      <c r="E6770">
        <v>0.50762099999999999</v>
      </c>
      <c r="F6770" t="s">
        <v>41</v>
      </c>
      <c r="G6770">
        <v>-188.52199999999999</v>
      </c>
      <c r="H6770" s="1">
        <v>-2.0161219999999998E-6</v>
      </c>
      <c r="I6770">
        <v>103.7213</v>
      </c>
      <c r="J6770">
        <v>-188.48939999999999</v>
      </c>
      <c r="K6770">
        <v>1.121289</v>
      </c>
      <c r="L6770">
        <v>75.501530000000002</v>
      </c>
      <c r="M6770">
        <v>-4.6535489999999999E-3</v>
      </c>
      <c r="N6770">
        <v>-1.193224E-2</v>
      </c>
      <c r="O6770">
        <v>0.99991799999999997</v>
      </c>
      <c r="P6770">
        <v>-1.6032350000000001E-2</v>
      </c>
      <c r="Q6770">
        <v>0.2055835</v>
      </c>
      <c r="R6770">
        <v>0.97850820000000005</v>
      </c>
      <c r="S6770">
        <v>-3.6773679999999999E-3</v>
      </c>
      <c r="T6770">
        <v>-0.1215484</v>
      </c>
      <c r="U6770">
        <v>3.0912480000000002</v>
      </c>
      <c r="V6770">
        <v>-1.1462180000000001E-2</v>
      </c>
      <c r="W6770">
        <v>0.2172463</v>
      </c>
      <c r="X6770">
        <v>0.97604950000000001</v>
      </c>
      <c r="Y6770">
        <v>3.4636710000000002E-3</v>
      </c>
      <c r="Z6770">
        <v>-2.736326E-2</v>
      </c>
      <c r="AA6770">
        <v>0.99961949999999999</v>
      </c>
      <c r="AB6770">
        <v>32</v>
      </c>
      <c r="AC6770">
        <v>-3.2600000000030598E-2</v>
      </c>
      <c r="AD6770">
        <v>-1.121291016122</v>
      </c>
      <c r="AE6770">
        <v>28.21977</v>
      </c>
      <c r="AF6770">
        <v>9.8576149784749004E-2</v>
      </c>
      <c r="AG6770">
        <v>-1.121291016122</v>
      </c>
      <c r="AH6770">
        <v>28.175133004689599</v>
      </c>
      <c r="AI6770">
        <v>92.278994206791296</v>
      </c>
      <c r="AJ6770">
        <v>89.7995404565754</v>
      </c>
      <c r="AK6770">
        <v>28.197608597753302</v>
      </c>
      <c r="AL6770">
        <v>77.452653522352506</v>
      </c>
      <c r="AM6770">
        <v>90.672818694930598</v>
      </c>
      <c r="AN6770">
        <v>0.99999998144214597</v>
      </c>
    </row>
    <row r="6771" spans="1:40" x14ac:dyDescent="0.25">
      <c r="A6771" t="str">
        <f>"20190303162952214"</f>
        <v>20190303162952214</v>
      </c>
      <c r="B6771" t="str">
        <f>"1551601792208465"</f>
        <v>1551601792208465</v>
      </c>
      <c r="C6771" t="s">
        <v>40</v>
      </c>
      <c r="D6771">
        <v>4.64649</v>
      </c>
      <c r="E6771">
        <v>0.50710770000000005</v>
      </c>
      <c r="F6771" t="s">
        <v>41</v>
      </c>
      <c r="G6771">
        <v>-188.52860000000001</v>
      </c>
      <c r="H6771" s="1">
        <v>-2.7908719999999999E-6</v>
      </c>
      <c r="I6771">
        <v>105.5299</v>
      </c>
      <c r="J6771">
        <v>-188.49090000000001</v>
      </c>
      <c r="K6771">
        <v>1.121281</v>
      </c>
      <c r="L6771">
        <v>75.823639999999997</v>
      </c>
      <c r="M6771">
        <v>-4.6258640000000004E-3</v>
      </c>
      <c r="N6771">
        <v>-1.193265E-2</v>
      </c>
      <c r="O6771">
        <v>0.99991810000000003</v>
      </c>
      <c r="P6771">
        <v>-1.530655E-2</v>
      </c>
      <c r="Q6771">
        <v>0.20546449999999999</v>
      </c>
      <c r="R6771">
        <v>0.97854490000000005</v>
      </c>
      <c r="S6771">
        <v>-4.0283200000000002E-3</v>
      </c>
      <c r="T6771">
        <v>-0.1153859</v>
      </c>
      <c r="U6771">
        <v>3.0900569999999998</v>
      </c>
      <c r="V6771">
        <v>-1.076061E-2</v>
      </c>
      <c r="W6771">
        <v>0.21712809999999999</v>
      </c>
      <c r="X6771">
        <v>0.97608379999999995</v>
      </c>
      <c r="Y6771">
        <v>3.3220089999999999E-3</v>
      </c>
      <c r="Z6771">
        <v>-2.5387340000000001E-2</v>
      </c>
      <c r="AA6771">
        <v>0.99967220000000001</v>
      </c>
      <c r="AB6771">
        <v>32</v>
      </c>
      <c r="AC6771">
        <v>-3.7700000000000899E-2</v>
      </c>
      <c r="AD6771">
        <v>-1.1212837908719999</v>
      </c>
      <c r="AE6771">
        <v>29.706259999999901</v>
      </c>
      <c r="AF6771">
        <v>9.95854239601284E-2</v>
      </c>
      <c r="AG6771">
        <v>-1.1212837908719999</v>
      </c>
      <c r="AH6771">
        <v>29.663853360893299</v>
      </c>
      <c r="AI6771">
        <v>92.164718614863304</v>
      </c>
      <c r="AJ6771">
        <v>89.807651319295303</v>
      </c>
      <c r="AK6771">
        <v>29.685204914450502</v>
      </c>
      <c r="AL6771">
        <v>77.459591647882604</v>
      </c>
      <c r="AM6771">
        <v>90.631618476761204</v>
      </c>
      <c r="AN6771">
        <v>0.99999999357981095</v>
      </c>
    </row>
    <row r="6772" spans="1:40" x14ac:dyDescent="0.25">
      <c r="A6772" t="str">
        <f>"20190303162952238"</f>
        <v>20190303162952238</v>
      </c>
      <c r="B6772" t="str">
        <f>"1551601792228962"</f>
        <v>1551601792228962</v>
      </c>
      <c r="C6772" t="s">
        <v>40</v>
      </c>
      <c r="D6772">
        <v>4.651821</v>
      </c>
      <c r="E6772">
        <v>0.5067739</v>
      </c>
      <c r="F6772" t="s">
        <v>41</v>
      </c>
      <c r="G6772">
        <v>-188.53970000000001</v>
      </c>
      <c r="H6772" s="1">
        <v>-3.620212E-6</v>
      </c>
      <c r="I6772">
        <v>107.4678</v>
      </c>
      <c r="J6772">
        <v>-188.49250000000001</v>
      </c>
      <c r="K6772">
        <v>1.1212789999999999</v>
      </c>
      <c r="L6772">
        <v>76.170100000000005</v>
      </c>
      <c r="M6772">
        <v>-4.5727090000000003E-3</v>
      </c>
      <c r="N6772">
        <v>-1.193317E-2</v>
      </c>
      <c r="O6772">
        <v>0.99991830000000004</v>
      </c>
      <c r="P6772">
        <v>-1.4394570000000001E-2</v>
      </c>
      <c r="Q6772">
        <v>0.2040775</v>
      </c>
      <c r="R6772">
        <v>0.97884890000000002</v>
      </c>
      <c r="S6772">
        <v>-4.7607420000000001E-3</v>
      </c>
      <c r="T6772">
        <v>-0.1094451</v>
      </c>
      <c r="U6772">
        <v>3.0886840000000002</v>
      </c>
      <c r="V6772">
        <v>-9.8919579999999993E-3</v>
      </c>
      <c r="W6772">
        <v>0.21574550000000001</v>
      </c>
      <c r="X6772">
        <v>0.97639949999999998</v>
      </c>
      <c r="Y6772">
        <v>3.031265E-3</v>
      </c>
      <c r="Z6772">
        <v>-2.3483170000000001E-2</v>
      </c>
      <c r="AA6772">
        <v>0.99971960000000004</v>
      </c>
      <c r="AB6772">
        <v>32</v>
      </c>
      <c r="AC6772">
        <v>-4.72000000000036E-2</v>
      </c>
      <c r="AD6772">
        <v>-1.1212826202120001</v>
      </c>
      <c r="AE6772">
        <v>31.297699999999899</v>
      </c>
      <c r="AF6772">
        <v>9.5802999344989606E-2</v>
      </c>
      <c r="AG6772">
        <v>-1.1212826202120001</v>
      </c>
      <c r="AH6772">
        <v>31.257468842589201</v>
      </c>
      <c r="AI6772">
        <v>92.054450555234098</v>
      </c>
      <c r="AJ6772">
        <v>89.8243910802031</v>
      </c>
      <c r="AK6772">
        <v>31.277720687008301</v>
      </c>
      <c r="AL6772">
        <v>77.540731900644303</v>
      </c>
      <c r="AM6772">
        <v>90.580446891905694</v>
      </c>
      <c r="AN6772">
        <v>0.99999997760178605</v>
      </c>
    </row>
    <row r="6773" spans="1:40" x14ac:dyDescent="0.25">
      <c r="A6773" t="str">
        <f>"20190303162952262"</f>
        <v>20190303162952262</v>
      </c>
      <c r="B6773" t="str">
        <f>"1551601792248482"</f>
        <v>1551601792248482</v>
      </c>
      <c r="C6773" t="s">
        <v>40</v>
      </c>
      <c r="D6773">
        <v>4.679583</v>
      </c>
      <c r="E6773">
        <v>0.50646950000000002</v>
      </c>
      <c r="F6773" t="s">
        <v>41</v>
      </c>
      <c r="G6773">
        <v>-188.5264</v>
      </c>
      <c r="H6773" s="1">
        <v>-3.7106079999999999E-6</v>
      </c>
      <c r="I6773">
        <v>107.673</v>
      </c>
      <c r="J6773">
        <v>-188.494</v>
      </c>
      <c r="K6773">
        <v>1.1212569999999999</v>
      </c>
      <c r="L6773">
        <v>76.519840000000002</v>
      </c>
      <c r="M6773">
        <v>-4.4781359999999997E-3</v>
      </c>
      <c r="N6773">
        <v>-1.193368E-2</v>
      </c>
      <c r="O6773">
        <v>0.9999188</v>
      </c>
      <c r="P6773">
        <v>-1.2616E-2</v>
      </c>
      <c r="Q6773">
        <v>0.20299639999999999</v>
      </c>
      <c r="R6773">
        <v>0.97909820000000003</v>
      </c>
      <c r="S6773">
        <v>-3.326416E-3</v>
      </c>
      <c r="T6773">
        <v>-0.10990080000000001</v>
      </c>
      <c r="U6773">
        <v>3.0877080000000001</v>
      </c>
      <c r="V6773">
        <v>-8.1912949999999995E-3</v>
      </c>
      <c r="W6773">
        <v>0.21466840000000001</v>
      </c>
      <c r="X6773">
        <v>0.97665259999999998</v>
      </c>
      <c r="Y6773">
        <v>3.4004920000000002E-3</v>
      </c>
      <c r="Z6773">
        <v>-2.3641209999999999E-2</v>
      </c>
      <c r="AA6773">
        <v>0.99971469999999996</v>
      </c>
      <c r="AB6773">
        <v>32</v>
      </c>
      <c r="AC6773">
        <v>-3.2399999999967101E-2</v>
      </c>
      <c r="AD6773">
        <v>-1.1212607106079999</v>
      </c>
      <c r="AE6773">
        <v>31.1531599999999</v>
      </c>
      <c r="AF6773">
        <v>0.106979758998696</v>
      </c>
      <c r="AG6773">
        <v>-1.1212607106079999</v>
      </c>
      <c r="AH6773">
        <v>31.1126888804442</v>
      </c>
      <c r="AI6773">
        <v>92.063959697712903</v>
      </c>
      <c r="AJ6773">
        <v>89.802991488413696</v>
      </c>
      <c r="AK6773">
        <v>31.133070513865199</v>
      </c>
      <c r="AL6773">
        <v>77.603925703268999</v>
      </c>
      <c r="AM6773">
        <v>90.480534867766195</v>
      </c>
      <c r="AN6773">
        <v>0.99999996017954695</v>
      </c>
    </row>
    <row r="6774" spans="1:40" x14ac:dyDescent="0.25">
      <c r="A6774" t="str">
        <f>"20190303162952280"</f>
        <v>20190303162952280</v>
      </c>
      <c r="B6774" t="str">
        <f>"1551601792268978"</f>
        <v>1551601792268978</v>
      </c>
      <c r="C6774" t="s">
        <v>40</v>
      </c>
      <c r="D6774">
        <v>4.6694879999999896</v>
      </c>
      <c r="E6774">
        <v>0.50622</v>
      </c>
      <c r="F6774" t="s">
        <v>41</v>
      </c>
      <c r="G6774">
        <v>-188.4889</v>
      </c>
      <c r="H6774" s="1">
        <v>-3.8975579999999999E-6</v>
      </c>
      <c r="I6774">
        <v>108.0932</v>
      </c>
      <c r="J6774">
        <v>-188.49510000000001</v>
      </c>
      <c r="K6774">
        <v>1.121221</v>
      </c>
      <c r="L6774">
        <v>76.788089999999997</v>
      </c>
      <c r="M6774">
        <v>-4.3586830000000003E-3</v>
      </c>
      <c r="N6774">
        <v>-1.193408E-2</v>
      </c>
      <c r="O6774">
        <v>0.99991929999999996</v>
      </c>
      <c r="P6774">
        <v>-1.0736900000000001E-2</v>
      </c>
      <c r="Q6774">
        <v>0.20190440000000001</v>
      </c>
      <c r="R6774">
        <v>0.97934639999999995</v>
      </c>
      <c r="S6774">
        <v>5.0354000000000002E-4</v>
      </c>
      <c r="T6774">
        <v>-0.1096196</v>
      </c>
      <c r="U6774">
        <v>3.0867610000000001</v>
      </c>
      <c r="V6774">
        <v>-6.4110629999999998E-3</v>
      </c>
      <c r="W6774">
        <v>0.21357989999999999</v>
      </c>
      <c r="X6774">
        <v>0.97690460000000001</v>
      </c>
      <c r="Y6774">
        <v>4.5207959999999997E-3</v>
      </c>
      <c r="Z6774">
        <v>-2.3560669999999999E-2</v>
      </c>
      <c r="AA6774">
        <v>0.99971220000000005</v>
      </c>
      <c r="AB6774">
        <v>32</v>
      </c>
      <c r="AC6774">
        <v>6.2000000000068597E-3</v>
      </c>
      <c r="AD6774">
        <v>-1.1212248975579999</v>
      </c>
      <c r="AE6774">
        <v>31.305109999999999</v>
      </c>
      <c r="AF6774">
        <v>0.142475941294958</v>
      </c>
      <c r="AG6774">
        <v>-1.1212248975579999</v>
      </c>
      <c r="AH6774">
        <v>31.264679597087799</v>
      </c>
      <c r="AI6774">
        <v>92.053859815686707</v>
      </c>
      <c r="AJ6774">
        <v>89.738899815536001</v>
      </c>
      <c r="AK6774">
        <v>31.285102444667</v>
      </c>
      <c r="AL6774">
        <v>77.667773966510893</v>
      </c>
      <c r="AM6774">
        <v>90.376005578099793</v>
      </c>
      <c r="AN6774">
        <v>1.0000000364569701</v>
      </c>
    </row>
    <row r="6775" spans="1:40" x14ac:dyDescent="0.25">
      <c r="A6775" t="str">
        <f>"20190303162952304"</f>
        <v>20190303162952304</v>
      </c>
      <c r="B6775" t="str">
        <f>"1551601792288498"</f>
        <v>1551601792288498</v>
      </c>
      <c r="C6775" t="s">
        <v>40</v>
      </c>
      <c r="D6775">
        <v>4.6976519999999997</v>
      </c>
      <c r="E6775">
        <v>0.50593529999999998</v>
      </c>
      <c r="F6775" t="s">
        <v>41</v>
      </c>
      <c r="G6775">
        <v>-188.4418</v>
      </c>
      <c r="H6775" s="1">
        <v>-3.9073309999999996E-6</v>
      </c>
      <c r="I6775">
        <v>108.0966</v>
      </c>
      <c r="J6775">
        <v>-188.49629999999999</v>
      </c>
      <c r="K6775">
        <v>1.1211709999999999</v>
      </c>
      <c r="L6775">
        <v>77.111050000000006</v>
      </c>
      <c r="M6775">
        <v>-4.1530990000000004E-3</v>
      </c>
      <c r="N6775">
        <v>-1.193467E-2</v>
      </c>
      <c r="O6775">
        <v>0.99992009999999998</v>
      </c>
      <c r="P6775">
        <v>-9.2535989999999995E-3</v>
      </c>
      <c r="Q6775">
        <v>0.2011955</v>
      </c>
      <c r="R6775">
        <v>0.97950740000000003</v>
      </c>
      <c r="S6775">
        <v>5.2490230000000002E-3</v>
      </c>
      <c r="T6775">
        <v>-0.1105206</v>
      </c>
      <c r="U6775">
        <v>3.0861209999999999</v>
      </c>
      <c r="V6775">
        <v>-5.1019630000000002E-3</v>
      </c>
      <c r="W6775">
        <v>0.2128736</v>
      </c>
      <c r="X6775">
        <v>0.9770664</v>
      </c>
      <c r="Y6775">
        <v>5.85207E-3</v>
      </c>
      <c r="Z6775">
        <v>-2.3858799999999999E-2</v>
      </c>
      <c r="AA6775">
        <v>0.99969819999999998</v>
      </c>
      <c r="AB6775">
        <v>32</v>
      </c>
      <c r="AC6775">
        <v>5.4499999999990202E-2</v>
      </c>
      <c r="AD6775">
        <v>-1.121174907331</v>
      </c>
      <c r="AE6775">
        <v>30.9855499999999</v>
      </c>
      <c r="AF6775">
        <v>0.182955222869501</v>
      </c>
      <c r="AG6775">
        <v>-1.121174907331</v>
      </c>
      <c r="AH6775">
        <v>30.944541826471902</v>
      </c>
      <c r="AI6775">
        <v>92.074982463440094</v>
      </c>
      <c r="AJ6775">
        <v>89.661250761801796</v>
      </c>
      <c r="AK6775">
        <v>30.965386718668199</v>
      </c>
      <c r="AL6775">
        <v>77.709193765056995</v>
      </c>
      <c r="AM6775">
        <v>90.299179554569605</v>
      </c>
      <c r="AN6775">
        <v>0.99999997480618597</v>
      </c>
    </row>
    <row r="6776" spans="1:40" x14ac:dyDescent="0.25">
      <c r="A6776" t="str">
        <f>"20190303162952326"</f>
        <v>20190303162952326</v>
      </c>
      <c r="B6776" t="str">
        <f>"1551601792318754"</f>
        <v>1551601792318754</v>
      </c>
      <c r="C6776" t="s">
        <v>40</v>
      </c>
      <c r="D6776">
        <v>4.7445279999999999</v>
      </c>
      <c r="E6776">
        <v>0.50066980000000005</v>
      </c>
      <c r="F6776" t="s">
        <v>41</v>
      </c>
      <c r="G6776">
        <v>-188.40559999999999</v>
      </c>
      <c r="H6776" s="1">
        <v>-4.011491E-6</v>
      </c>
      <c r="I6776">
        <v>108.3244</v>
      </c>
      <c r="J6776">
        <v>-188.4974</v>
      </c>
      <c r="K6776">
        <v>1.1211040000000001</v>
      </c>
      <c r="L6776">
        <v>77.443539999999999</v>
      </c>
      <c r="M6776">
        <v>-3.8487730000000002E-3</v>
      </c>
      <c r="N6776">
        <v>-1.1935319999999999E-2</v>
      </c>
      <c r="O6776">
        <v>0.99992139999999996</v>
      </c>
      <c r="P6776">
        <v>-7.9230780000000001E-3</v>
      </c>
      <c r="Q6776">
        <v>0.2010045</v>
      </c>
      <c r="R6776">
        <v>0.97955829999999999</v>
      </c>
      <c r="S6776">
        <v>8.9721680000000009E-3</v>
      </c>
      <c r="T6776">
        <v>-0.110834</v>
      </c>
      <c r="U6776">
        <v>3.0856020000000002</v>
      </c>
      <c r="V6776">
        <v>-4.0352160000000003E-3</v>
      </c>
      <c r="W6776">
        <v>0.21268400000000001</v>
      </c>
      <c r="X6776">
        <v>0.97711269999999995</v>
      </c>
      <c r="Y6776">
        <v>6.7539870000000004E-3</v>
      </c>
      <c r="Z6776">
        <v>-2.3965460000000001E-2</v>
      </c>
      <c r="AA6776">
        <v>0.99968999999999997</v>
      </c>
      <c r="AB6776">
        <v>32</v>
      </c>
      <c r="AC6776">
        <v>9.1800000000006293E-2</v>
      </c>
      <c r="AD6776">
        <v>-1.1211080114909999</v>
      </c>
      <c r="AE6776">
        <v>30.880859999999998</v>
      </c>
      <c r="AF6776">
        <v>0.21038391827127201</v>
      </c>
      <c r="AG6776">
        <v>-1.1211080114909999</v>
      </c>
      <c r="AH6776">
        <v>30.839631560724001</v>
      </c>
      <c r="AI6776">
        <v>92.081898775384303</v>
      </c>
      <c r="AJ6776">
        <v>89.609141776389606</v>
      </c>
      <c r="AK6776">
        <v>30.860719683243001</v>
      </c>
      <c r="AL6776">
        <v>77.720311925152899</v>
      </c>
      <c r="AM6776">
        <v>90.236615010615296</v>
      </c>
      <c r="AN6776">
        <v>0.99999999766272796</v>
      </c>
    </row>
    <row r="6777" spans="1:40" x14ac:dyDescent="0.25">
      <c r="A6777" t="str">
        <f>"20190303162952349"</f>
        <v>20190303162952349</v>
      </c>
      <c r="B6777" t="str">
        <f>"1551601792339250"</f>
        <v>1551601792339250</v>
      </c>
      <c r="C6777" t="s">
        <v>40</v>
      </c>
      <c r="D6777">
        <v>4.8396030000000003</v>
      </c>
      <c r="E6777">
        <v>0.50132189999999999</v>
      </c>
      <c r="F6777" t="s">
        <v>56</v>
      </c>
      <c r="G6777">
        <v>-188.9554</v>
      </c>
      <c r="H6777" s="1">
        <v>-5.093746E-6</v>
      </c>
      <c r="I6777">
        <v>130.19149999999999</v>
      </c>
      <c r="J6777">
        <v>-188.4983</v>
      </c>
      <c r="K6777">
        <v>1.1210249999999999</v>
      </c>
      <c r="L6777">
        <v>77.768860000000004</v>
      </c>
      <c r="M6777">
        <v>-3.4620580000000001E-3</v>
      </c>
      <c r="N6777">
        <v>-1.193605E-2</v>
      </c>
      <c r="O6777">
        <v>0.9999228</v>
      </c>
      <c r="P6777">
        <v>-6.4114050000000002E-3</v>
      </c>
      <c r="Q6777">
        <v>0.19979830000000001</v>
      </c>
      <c r="R6777">
        <v>0.97981609999999997</v>
      </c>
      <c r="S6777">
        <v>-2.6702879999999998E-2</v>
      </c>
      <c r="T6777">
        <v>-6.5373420000000002E-2</v>
      </c>
      <c r="U6777">
        <v>3.075806</v>
      </c>
      <c r="V6777">
        <v>-2.8651129999999999E-3</v>
      </c>
      <c r="W6777">
        <v>0.2114818</v>
      </c>
      <c r="X6777">
        <v>0.97737779999999996</v>
      </c>
      <c r="Y6777">
        <v>-5.217625E-3</v>
      </c>
      <c r="Z6777">
        <v>-9.3138539999999999E-3</v>
      </c>
      <c r="AA6777">
        <v>0.99994300000000003</v>
      </c>
      <c r="AB6777">
        <v>32</v>
      </c>
      <c r="AC6777">
        <v>-0.45709999999999701</v>
      </c>
      <c r="AD6777">
        <v>-1.1210300937459901</v>
      </c>
      <c r="AE6777">
        <v>52.422639999999902</v>
      </c>
      <c r="AF6777">
        <v>-0.275468155091737</v>
      </c>
      <c r="AG6777">
        <v>-1.1210300937459901</v>
      </c>
      <c r="AH6777">
        <v>52.399947979098101</v>
      </c>
      <c r="AI6777">
        <v>91.225566282114301</v>
      </c>
      <c r="AJ6777">
        <v>90.301202918927402</v>
      </c>
      <c r="AK6777">
        <v>52.412662013942203</v>
      </c>
      <c r="AL6777">
        <v>77.790797118966793</v>
      </c>
      <c r="AM6777">
        <v>90.167957991791695</v>
      </c>
      <c r="AN6777">
        <v>1.0000000622682801</v>
      </c>
    </row>
    <row r="6778" spans="1:40" x14ac:dyDescent="0.25">
      <c r="A6778" t="str">
        <f>"20190303162952371"</f>
        <v>20190303162952371</v>
      </c>
      <c r="B6778" t="str">
        <f>"1551601792358770"</f>
        <v>1551601792358770</v>
      </c>
      <c r="C6778" t="s">
        <v>40</v>
      </c>
      <c r="D6778">
        <v>4.8685669999999996</v>
      </c>
      <c r="E6778">
        <v>0.52500930000000001</v>
      </c>
      <c r="F6778" t="s">
        <v>56</v>
      </c>
      <c r="G6778">
        <v>-188.73859999999999</v>
      </c>
      <c r="H6778" s="1">
        <v>-2.9360759999999999E-6</v>
      </c>
      <c r="I6778">
        <v>124.7137</v>
      </c>
      <c r="J6778">
        <v>-188.49889999999999</v>
      </c>
      <c r="K6778">
        <v>1.120946</v>
      </c>
      <c r="L6778">
        <v>78.084779999999995</v>
      </c>
      <c r="M6778">
        <v>-3.0122389999999999E-3</v>
      </c>
      <c r="N6778">
        <v>-1.1936799999999999E-2</v>
      </c>
      <c r="O6778">
        <v>0.99992420000000004</v>
      </c>
      <c r="P6778">
        <v>-4.9876230000000001E-3</v>
      </c>
      <c r="Q6778">
        <v>0.1974176</v>
      </c>
      <c r="R6778">
        <v>0.98030680000000003</v>
      </c>
      <c r="S6778">
        <v>-1.5747069999999998E-2</v>
      </c>
      <c r="T6778">
        <v>-7.3470350000000004E-2</v>
      </c>
      <c r="U6778">
        <v>3.0766909999999998</v>
      </c>
      <c r="V6778">
        <v>-1.849156E-3</v>
      </c>
      <c r="W6778">
        <v>0.20910699999999999</v>
      </c>
      <c r="X6778">
        <v>0.97789099999999995</v>
      </c>
      <c r="Y6778">
        <v>-2.1048659999999999E-3</v>
      </c>
      <c r="Z6778">
        <v>-1.193751E-2</v>
      </c>
      <c r="AA6778">
        <v>0.99992650000000005</v>
      </c>
      <c r="AB6778">
        <v>32</v>
      </c>
      <c r="AC6778">
        <v>-0.239699999999999</v>
      </c>
      <c r="AD6778">
        <v>-1.1209489360760001</v>
      </c>
      <c r="AE6778">
        <v>46.628920000000001</v>
      </c>
      <c r="AF6778">
        <v>-9.9174138597558206E-2</v>
      </c>
      <c r="AG6778">
        <v>-1.1209489360760001</v>
      </c>
      <c r="AH6778">
        <v>46.602499124602403</v>
      </c>
      <c r="AI6778">
        <v>91.377889962496496</v>
      </c>
      <c r="AJ6778">
        <v>90.121930177724295</v>
      </c>
      <c r="AK6778">
        <v>46.616083991318099</v>
      </c>
      <c r="AL6778">
        <v>77.929974477596801</v>
      </c>
      <c r="AM6778">
        <v>90.108344087612593</v>
      </c>
      <c r="AN6778">
        <v>0.99999998235395604</v>
      </c>
    </row>
    <row r="6779" spans="1:40" x14ac:dyDescent="0.25">
      <c r="A6779" t="str">
        <f>"20190303162952392"</f>
        <v>20190303162952392</v>
      </c>
      <c r="B6779" t="str">
        <f>"1551601792389026"</f>
        <v>1551601792389026</v>
      </c>
      <c r="C6779" t="s">
        <v>40</v>
      </c>
      <c r="D6779">
        <v>4.8245839999999998</v>
      </c>
      <c r="E6779">
        <v>0.54212609999999894</v>
      </c>
      <c r="F6779" t="s">
        <v>41</v>
      </c>
      <c r="G6779">
        <v>-186.4016</v>
      </c>
      <c r="H6779" s="1">
        <v>-2.6954090000000001E-6</v>
      </c>
      <c r="I6779">
        <v>114.42789999999999</v>
      </c>
      <c r="J6779">
        <v>-188.49930000000001</v>
      </c>
      <c r="K6779">
        <v>1.1208689999999999</v>
      </c>
      <c r="L6779">
        <v>78.395690000000002</v>
      </c>
      <c r="M6779">
        <v>-2.4925939999999999E-3</v>
      </c>
      <c r="N6779">
        <v>-1.193761E-2</v>
      </c>
      <c r="O6779">
        <v>0.99992559999999997</v>
      </c>
      <c r="P6779">
        <v>-2.7040549999999999E-3</v>
      </c>
      <c r="Q6779">
        <v>0.19607250000000001</v>
      </c>
      <c r="R6779">
        <v>0.9805857</v>
      </c>
      <c r="S6779">
        <v>0.177764899999999</v>
      </c>
      <c r="T6779">
        <v>-9.500778E-2</v>
      </c>
      <c r="U6779">
        <v>3.0803219999999998</v>
      </c>
      <c r="V6779" s="1">
        <v>-4.4679389999999997E-5</v>
      </c>
      <c r="W6779">
        <v>0.2077648</v>
      </c>
      <c r="X6779">
        <v>0.97817880000000001</v>
      </c>
      <c r="Y6779">
        <v>6.0076900000000003E-2</v>
      </c>
      <c r="Z6779">
        <v>-1.8840240000000001E-2</v>
      </c>
      <c r="AA6779">
        <v>0.99801589999999996</v>
      </c>
      <c r="AB6779">
        <v>32</v>
      </c>
      <c r="AC6779">
        <v>2.0977000000000001</v>
      </c>
      <c r="AD6779">
        <v>-1.1208716954089999</v>
      </c>
      <c r="AE6779">
        <v>36.0322099999999</v>
      </c>
      <c r="AF6779">
        <v>2.1854059347844199</v>
      </c>
      <c r="AG6779">
        <v>-1.1208716954089999</v>
      </c>
      <c r="AH6779">
        <v>35.992157856960503</v>
      </c>
      <c r="AI6779">
        <v>91.780457955282898</v>
      </c>
      <c r="AJ6779">
        <v>86.525326526425104</v>
      </c>
      <c r="AK6779">
        <v>36.075861454131903</v>
      </c>
      <c r="AL6779">
        <v>78.008603981585495</v>
      </c>
      <c r="AM6779">
        <v>90.002617047595393</v>
      </c>
      <c r="AN6779">
        <v>0.99999998944236301</v>
      </c>
    </row>
    <row r="6780" spans="1:40" x14ac:dyDescent="0.25">
      <c r="A6780" t="str">
        <f>"20190303162952415"</f>
        <v>20190303162952415</v>
      </c>
      <c r="B6780" t="str">
        <f>"1551601792408546"</f>
        <v>1551601792408546</v>
      </c>
      <c r="C6780" t="s">
        <v>40</v>
      </c>
      <c r="D6780">
        <v>4.8493969999999997</v>
      </c>
      <c r="E6780">
        <v>0.54523149999999998</v>
      </c>
      <c r="F6780" t="s">
        <v>41</v>
      </c>
      <c r="G6780">
        <v>-185.95920000000001</v>
      </c>
      <c r="H6780" s="1">
        <v>-2.13117E-6</v>
      </c>
      <c r="I6780">
        <v>102.7512</v>
      </c>
      <c r="J6780">
        <v>-188.49950000000001</v>
      </c>
      <c r="K6780">
        <v>1.1208009999999999</v>
      </c>
      <c r="L6780">
        <v>78.726039999999998</v>
      </c>
      <c r="M6780">
        <v>-1.8565610000000001E-3</v>
      </c>
      <c r="N6780">
        <v>-1.1938529999999999E-2</v>
      </c>
      <c r="O6780">
        <v>0.99992700000000001</v>
      </c>
      <c r="P6780">
        <v>4.115686E-4</v>
      </c>
      <c r="Q6780">
        <v>0.19627459999999999</v>
      </c>
      <c r="R6780">
        <v>0.98054889999999995</v>
      </c>
      <c r="S6780">
        <v>0.32212829999999998</v>
      </c>
      <c r="T6780">
        <v>-0.14214489999999999</v>
      </c>
      <c r="U6780">
        <v>3.0886840000000002</v>
      </c>
      <c r="V6780">
        <v>2.4797109999999999E-3</v>
      </c>
      <c r="W6780">
        <v>0.2079645</v>
      </c>
      <c r="X6780">
        <v>0.97813329999999998</v>
      </c>
      <c r="Y6780">
        <v>0.1054814</v>
      </c>
      <c r="Z6780">
        <v>-3.379008E-2</v>
      </c>
      <c r="AA6780">
        <v>0.99384700000000004</v>
      </c>
      <c r="AB6780">
        <v>32</v>
      </c>
      <c r="AC6780">
        <v>2.5402999999999998</v>
      </c>
      <c r="AD6780">
        <v>-1.12080313117</v>
      </c>
      <c r="AE6780">
        <v>24.02516</v>
      </c>
      <c r="AF6780">
        <v>2.5793515033200101</v>
      </c>
      <c r="AG6780">
        <v>-1.12080313117</v>
      </c>
      <c r="AH6780">
        <v>23.968814561134899</v>
      </c>
      <c r="AI6780">
        <v>92.661905054217002</v>
      </c>
      <c r="AJ6780">
        <v>83.857877002605207</v>
      </c>
      <c r="AK6780">
        <v>24.133241085742998</v>
      </c>
      <c r="AL6780">
        <v>77.996907463112194</v>
      </c>
      <c r="AM6780">
        <v>89.854747128700396</v>
      </c>
      <c r="AN6780">
        <v>1.0000000673978799</v>
      </c>
    </row>
    <row r="6781" spans="1:40" x14ac:dyDescent="0.25">
      <c r="A6781" t="str">
        <f>"20190303162952439"</f>
        <v>20190303162952439</v>
      </c>
      <c r="B6781" t="str">
        <f>"1551601792429042"</f>
        <v>1551601792429042</v>
      </c>
      <c r="C6781" t="s">
        <v>40</v>
      </c>
      <c r="D6781">
        <v>4.8629610000000003</v>
      </c>
      <c r="E6781">
        <v>0.54647279999999998</v>
      </c>
      <c r="F6781" t="s">
        <v>41</v>
      </c>
      <c r="G6781">
        <v>-185.7561</v>
      </c>
      <c r="H6781" s="1">
        <v>-2.06185E-6</v>
      </c>
      <c r="I6781">
        <v>102.3887</v>
      </c>
      <c r="J6781">
        <v>-188.49940000000001</v>
      </c>
      <c r="K6781">
        <v>1.120727</v>
      </c>
      <c r="L6781">
        <v>79.077579999999998</v>
      </c>
      <c r="M6781">
        <v>-1.096192E-3</v>
      </c>
      <c r="N6781">
        <v>-1.193935E-2</v>
      </c>
      <c r="O6781">
        <v>0.99992809999999999</v>
      </c>
      <c r="P6781">
        <v>3.7016269999999999E-3</v>
      </c>
      <c r="Q6781">
        <v>0.19495960000000001</v>
      </c>
      <c r="R6781">
        <v>0.98080429999999996</v>
      </c>
      <c r="S6781">
        <v>0.3580933</v>
      </c>
      <c r="T6781">
        <v>-0.1462966</v>
      </c>
      <c r="U6781">
        <v>3.088654</v>
      </c>
      <c r="V6781">
        <v>5.0565999999999996E-3</v>
      </c>
      <c r="W6781">
        <v>0.206649</v>
      </c>
      <c r="X6781">
        <v>0.97840210000000005</v>
      </c>
      <c r="Y6781">
        <v>0.1161442</v>
      </c>
      <c r="Z6781">
        <v>-3.5065449999999998E-2</v>
      </c>
      <c r="AA6781">
        <v>0.99261319999999997</v>
      </c>
      <c r="AB6781">
        <v>32</v>
      </c>
      <c r="AC6781">
        <v>2.7433000000000001</v>
      </c>
      <c r="AD6781">
        <v>-1.1207290618500001</v>
      </c>
      <c r="AE6781">
        <v>23.311119999999899</v>
      </c>
      <c r="AF6781">
        <v>2.7625554912865602</v>
      </c>
      <c r="AG6781">
        <v>-1.1207290618500001</v>
      </c>
      <c r="AH6781">
        <v>23.255081058052198</v>
      </c>
      <c r="AI6781">
        <v>92.739878136914299</v>
      </c>
      <c r="AJ6781">
        <v>83.225375001340694</v>
      </c>
      <c r="AK6781">
        <v>23.4453948887429</v>
      </c>
      <c r="AL6781">
        <v>78.073953290975993</v>
      </c>
      <c r="AM6781">
        <v>89.703885284806404</v>
      </c>
      <c r="AN6781">
        <v>1.0000000238444799</v>
      </c>
    </row>
    <row r="6782" spans="1:40" x14ac:dyDescent="0.25">
      <c r="A6782" t="str">
        <f>"20190303162952462"</f>
        <v>20190303162952462</v>
      </c>
      <c r="B6782" t="str">
        <f>"1551601792448562"</f>
        <v>1551601792448562</v>
      </c>
      <c r="C6782" t="s">
        <v>40</v>
      </c>
      <c r="D6782">
        <v>4.8652329999999999</v>
      </c>
      <c r="E6782">
        <v>0.54684549999999998</v>
      </c>
      <c r="F6782" t="s">
        <v>41</v>
      </c>
      <c r="G6782">
        <v>-185.61429999999999</v>
      </c>
      <c r="H6782" s="1">
        <v>-2.149663E-6</v>
      </c>
      <c r="I6782">
        <v>102.5359</v>
      </c>
      <c r="J6782">
        <v>-188.499</v>
      </c>
      <c r="K6782">
        <v>1.1206700000000001</v>
      </c>
      <c r="L6782">
        <v>79.396000000000001</v>
      </c>
      <c r="M6782">
        <v>-3.4597289999999998E-4</v>
      </c>
      <c r="N6782">
        <v>-1.1940050000000001E-2</v>
      </c>
      <c r="O6782">
        <v>0.9999287</v>
      </c>
      <c r="P6782">
        <v>7.1054539999999998E-3</v>
      </c>
      <c r="Q6782">
        <v>0.19344</v>
      </c>
      <c r="R6782">
        <v>0.98108640000000003</v>
      </c>
      <c r="S6782">
        <v>0.37960820000000001</v>
      </c>
      <c r="T6782">
        <v>-0.1474636</v>
      </c>
      <c r="U6782">
        <v>3.0866090000000002</v>
      </c>
      <c r="V6782">
        <v>7.7503329999999999E-3</v>
      </c>
      <c r="W6782">
        <v>0.20512929999999999</v>
      </c>
      <c r="X6782">
        <v>0.97870420000000002</v>
      </c>
      <c r="Y6782">
        <v>0.12228940000000001</v>
      </c>
      <c r="Z6782">
        <v>-3.5433579999999999E-2</v>
      </c>
      <c r="AA6782">
        <v>0.99186180000000002</v>
      </c>
      <c r="AB6782">
        <v>32</v>
      </c>
      <c r="AC6782">
        <v>2.8847000000000298</v>
      </c>
      <c r="AD6782">
        <v>-1.1206721496629899</v>
      </c>
      <c r="AE6782">
        <v>23.139900000000001</v>
      </c>
      <c r="AF6782">
        <v>2.88604057700914</v>
      </c>
      <c r="AG6782">
        <v>-1.1206721496629899</v>
      </c>
      <c r="AH6782">
        <v>23.0855820579689</v>
      </c>
      <c r="AI6782">
        <v>92.757765535412105</v>
      </c>
      <c r="AJ6782">
        <v>82.8741459029482</v>
      </c>
      <c r="AK6782">
        <v>23.292256980258301</v>
      </c>
      <c r="AL6782">
        <v>78.162931800505703</v>
      </c>
      <c r="AM6782">
        <v>89.546285702375101</v>
      </c>
      <c r="AN6782">
        <v>1.0000000042388699</v>
      </c>
    </row>
    <row r="6783" spans="1:40" x14ac:dyDescent="0.25">
      <c r="A6783" t="str">
        <f>"20190303162952493"</f>
        <v>20190303162952493</v>
      </c>
      <c r="B6783" t="str">
        <f>"1551601792488578"</f>
        <v>1551601792488578</v>
      </c>
      <c r="C6783" t="s">
        <v>40</v>
      </c>
      <c r="D6783">
        <v>4.9485780000000004</v>
      </c>
      <c r="E6783">
        <v>0.5466529</v>
      </c>
      <c r="F6783" t="s">
        <v>41</v>
      </c>
      <c r="G6783">
        <v>-185.57830000000001</v>
      </c>
      <c r="H6783" s="1">
        <v>-2.0408699999999998E-6</v>
      </c>
      <c r="I6783">
        <v>102.188</v>
      </c>
      <c r="J6783">
        <v>-188.49780000000001</v>
      </c>
      <c r="K6783">
        <v>1.1206149999999999</v>
      </c>
      <c r="L6783">
        <v>79.852999999999994</v>
      </c>
      <c r="M6783">
        <v>8.0570429999999996E-4</v>
      </c>
      <c r="N6783">
        <v>-1.194083E-2</v>
      </c>
      <c r="O6783">
        <v>0.99992840000000005</v>
      </c>
      <c r="P6783">
        <v>1.2483090000000001E-2</v>
      </c>
      <c r="Q6783">
        <v>0.1953367</v>
      </c>
      <c r="R6783">
        <v>0.9806568</v>
      </c>
      <c r="S6783">
        <v>0.39530939999999998</v>
      </c>
      <c r="T6783">
        <v>-0.15168129999999999</v>
      </c>
      <c r="U6783">
        <v>3.0848689999999999</v>
      </c>
      <c r="V6783">
        <v>1.203166E-2</v>
      </c>
      <c r="W6783">
        <v>0.20701339999999999</v>
      </c>
      <c r="X6783">
        <v>0.97826420000000003</v>
      </c>
      <c r="Y6783">
        <v>0.12617439999999999</v>
      </c>
      <c r="Z6783">
        <v>-3.6785789999999999E-2</v>
      </c>
      <c r="AA6783">
        <v>0.99132580000000003</v>
      </c>
      <c r="AB6783">
        <v>32</v>
      </c>
      <c r="AC6783">
        <v>2.9195000000000002</v>
      </c>
      <c r="AD6783">
        <v>-1.12061704087</v>
      </c>
      <c r="AE6783">
        <v>22.334999999999901</v>
      </c>
      <c r="AF6783">
        <v>2.89433871775468</v>
      </c>
      <c r="AG6783">
        <v>-1.12061704087</v>
      </c>
      <c r="AH6783">
        <v>22.282195521246798</v>
      </c>
      <c r="AI6783">
        <v>92.855149845964107</v>
      </c>
      <c r="AJ6783">
        <v>82.599021902695299</v>
      </c>
      <c r="AK6783">
        <v>22.497315760162401</v>
      </c>
      <c r="AL6783">
        <v>78.052613908478804</v>
      </c>
      <c r="AM6783">
        <v>89.295355403155895</v>
      </c>
      <c r="AN6783">
        <v>1.0000000768117701</v>
      </c>
    </row>
    <row r="6784" spans="1:40" x14ac:dyDescent="0.25">
      <c r="A6784" t="str">
        <f>"20190303162952515"</f>
        <v>20190303162952515</v>
      </c>
      <c r="B6784" t="str">
        <f>"1551601792509074"</f>
        <v>1551601792509074</v>
      </c>
      <c r="C6784" t="s">
        <v>40</v>
      </c>
      <c r="D6784">
        <v>4.9495440000000004</v>
      </c>
      <c r="E6784">
        <v>0.54632840000000005</v>
      </c>
      <c r="F6784" t="s">
        <v>41</v>
      </c>
      <c r="G6784">
        <v>-185.42240000000001</v>
      </c>
      <c r="H6784" s="1">
        <v>-2.3312950000000001E-6</v>
      </c>
      <c r="I6784">
        <v>102.9196</v>
      </c>
      <c r="J6784">
        <v>-188.4966</v>
      </c>
      <c r="K6784">
        <v>1.1205969999999901</v>
      </c>
      <c r="L6784">
        <v>80.180109999999999</v>
      </c>
      <c r="M6784">
        <v>1.661954E-3</v>
      </c>
      <c r="N6784">
        <v>-1.1941240000000001E-2</v>
      </c>
      <c r="O6784">
        <v>0.99992729999999996</v>
      </c>
      <c r="P6784">
        <v>1.7008559999999999E-2</v>
      </c>
      <c r="Q6784">
        <v>0.1974186</v>
      </c>
      <c r="R6784">
        <v>0.98017169999999998</v>
      </c>
      <c r="S6784">
        <v>0.41114810000000002</v>
      </c>
      <c r="T6784">
        <v>-0.14981520000000001</v>
      </c>
      <c r="U6784">
        <v>3.083771</v>
      </c>
      <c r="V6784">
        <v>1.573623E-2</v>
      </c>
      <c r="W6784">
        <v>0.20908280000000001</v>
      </c>
      <c r="X6784">
        <v>0.97777130000000001</v>
      </c>
      <c r="Y6784">
        <v>0.1303762</v>
      </c>
      <c r="Z6784">
        <v>-3.6175690000000003E-2</v>
      </c>
      <c r="AA6784">
        <v>0.99080440000000003</v>
      </c>
      <c r="AB6784">
        <v>32</v>
      </c>
      <c r="AC6784">
        <v>3.0741999999999901</v>
      </c>
      <c r="AD6784">
        <v>-1.12059933129499</v>
      </c>
      <c r="AE6784">
        <v>22.73949</v>
      </c>
      <c r="AF6784">
        <v>3.0291767349905201</v>
      </c>
      <c r="AG6784">
        <v>-1.12059933129499</v>
      </c>
      <c r="AH6784">
        <v>22.690453272921001</v>
      </c>
      <c r="AI6784">
        <v>92.802510866509493</v>
      </c>
      <c r="AJ6784">
        <v>82.395971305434401</v>
      </c>
      <c r="AK6784">
        <v>22.919169362865599</v>
      </c>
      <c r="AL6784">
        <v>77.931392356756206</v>
      </c>
      <c r="AM6784">
        <v>89.077962574815601</v>
      </c>
      <c r="AN6784">
        <v>0.99999998064707096</v>
      </c>
    </row>
    <row r="6785" spans="1:40" x14ac:dyDescent="0.25">
      <c r="A6785" t="str">
        <f>"20190303162952538"</f>
        <v>20190303162952538</v>
      </c>
      <c r="B6785" t="str">
        <f>"1551601792528594"</f>
        <v>1551601792528594</v>
      </c>
      <c r="C6785" t="s">
        <v>40</v>
      </c>
      <c r="D6785">
        <v>4.9755279999999997</v>
      </c>
      <c r="E6785">
        <v>0.54594489999999996</v>
      </c>
      <c r="F6785" t="s">
        <v>41</v>
      </c>
      <c r="G6785">
        <v>-185.2861</v>
      </c>
      <c r="H6785" s="1">
        <v>-2.65707E-6</v>
      </c>
      <c r="I6785">
        <v>103.77030000000001</v>
      </c>
      <c r="J6785">
        <v>-188.49520000000001</v>
      </c>
      <c r="K6785">
        <v>1.1205750000000001</v>
      </c>
      <c r="L6785">
        <v>80.507419999999996</v>
      </c>
      <c r="M6785">
        <v>2.5328880000000001E-3</v>
      </c>
      <c r="N6785">
        <v>-1.194161E-2</v>
      </c>
      <c r="O6785">
        <v>0.99992550000000002</v>
      </c>
      <c r="P6785">
        <v>2.2843459999999999E-2</v>
      </c>
      <c r="Q6785">
        <v>0.1980113</v>
      </c>
      <c r="R6785">
        <v>0.97993350000000001</v>
      </c>
      <c r="S6785">
        <v>0.41957090000000002</v>
      </c>
      <c r="T6785">
        <v>-0.14644689999999999</v>
      </c>
      <c r="U6785">
        <v>3.082916</v>
      </c>
      <c r="V6785">
        <v>2.072825E-2</v>
      </c>
      <c r="W6785">
        <v>0.2096642</v>
      </c>
      <c r="X6785">
        <v>0.97755369999999997</v>
      </c>
      <c r="Y6785">
        <v>0.13221250000000001</v>
      </c>
      <c r="Z6785">
        <v>-3.5094920000000002E-2</v>
      </c>
      <c r="AA6785">
        <v>0.99059989999999998</v>
      </c>
      <c r="AB6785">
        <v>32</v>
      </c>
      <c r="AC6785">
        <v>3.2090999999999998</v>
      </c>
      <c r="AD6785">
        <v>-1.1205776570699999</v>
      </c>
      <c r="AE6785">
        <v>23.262879999999999</v>
      </c>
      <c r="AF6785">
        <v>3.1430064937135298</v>
      </c>
      <c r="AG6785">
        <v>-1.1205776570699999</v>
      </c>
      <c r="AH6785">
        <v>23.218065856784101</v>
      </c>
      <c r="AI6785">
        <v>92.738196363179398</v>
      </c>
      <c r="AJ6785">
        <v>82.290789191632896</v>
      </c>
      <c r="AK6785">
        <v>23.456614551870299</v>
      </c>
      <c r="AL6785">
        <v>77.897325598152193</v>
      </c>
      <c r="AM6785">
        <v>88.785270523147901</v>
      </c>
      <c r="AN6785">
        <v>0.99999998674669599</v>
      </c>
    </row>
    <row r="6786" spans="1:40" x14ac:dyDescent="0.25">
      <c r="A6786" t="str">
        <f>"20190303162952559"</f>
        <v>20190303162952559</v>
      </c>
      <c r="B6786" t="str">
        <f>"1551601792549091"</f>
        <v>1551601792549091</v>
      </c>
      <c r="C6786" t="s">
        <v>40</v>
      </c>
      <c r="D6786">
        <v>5.0222509999999998</v>
      </c>
      <c r="E6786">
        <v>0.54552100000000003</v>
      </c>
      <c r="F6786" t="s">
        <v>41</v>
      </c>
      <c r="G6786">
        <v>-185.21190000000001</v>
      </c>
      <c r="H6786" s="1">
        <v>-2.7460040000000002E-6</v>
      </c>
      <c r="I6786">
        <v>103.9736</v>
      </c>
      <c r="J6786">
        <v>-188.49350000000001</v>
      </c>
      <c r="K6786">
        <v>1.120566</v>
      </c>
      <c r="L6786">
        <v>80.815060000000003</v>
      </c>
      <c r="M6786">
        <v>3.3494969999999999E-3</v>
      </c>
      <c r="N6786">
        <v>-1.194195E-2</v>
      </c>
      <c r="O6786">
        <v>0.99992309999999995</v>
      </c>
      <c r="P6786">
        <v>2.7459709999999998E-2</v>
      </c>
      <c r="Q6786">
        <v>0.1968009</v>
      </c>
      <c r="R6786">
        <v>0.98005880000000001</v>
      </c>
      <c r="S6786">
        <v>0.43109130000000001</v>
      </c>
      <c r="T6786">
        <v>-0.14713180000000001</v>
      </c>
      <c r="U6786">
        <v>3.0811160000000002</v>
      </c>
      <c r="V6786">
        <v>2.4545379999999999E-2</v>
      </c>
      <c r="W6786">
        <v>0.2084491</v>
      </c>
      <c r="X6786">
        <v>0.97772510000000001</v>
      </c>
      <c r="Y6786">
        <v>0.13511210000000001</v>
      </c>
      <c r="Z6786">
        <v>-3.5320690000000002E-2</v>
      </c>
      <c r="AA6786">
        <v>0.99020059999999999</v>
      </c>
      <c r="AB6786">
        <v>32</v>
      </c>
      <c r="AC6786">
        <v>3.2815999999999899</v>
      </c>
      <c r="AD6786">
        <v>-1.1205687460039999</v>
      </c>
      <c r="AE6786">
        <v>23.158539999999999</v>
      </c>
      <c r="AF6786">
        <v>3.1966695992805199</v>
      </c>
      <c r="AG6786">
        <v>-1.1205687460039999</v>
      </c>
      <c r="AH6786">
        <v>23.116345905584801</v>
      </c>
      <c r="AI6786">
        <v>92.749129404343606</v>
      </c>
      <c r="AJ6786">
        <v>82.126723040573296</v>
      </c>
      <c r="AK6786">
        <v>23.363215079867199</v>
      </c>
      <c r="AL6786">
        <v>77.968518218153406</v>
      </c>
      <c r="AM6786">
        <v>88.561915463880396</v>
      </c>
      <c r="AN6786">
        <v>0.99999993707007995</v>
      </c>
    </row>
    <row r="6787" spans="1:40" x14ac:dyDescent="0.25">
      <c r="A6787" t="str">
        <f>"20190303162952582"</f>
        <v>20190303162952582</v>
      </c>
      <c r="B6787" t="str">
        <f>"1551601792568610"</f>
        <v>1551601792568610</v>
      </c>
      <c r="C6787" t="s">
        <v>40</v>
      </c>
      <c r="D6787">
        <v>5.0520110000000003</v>
      </c>
      <c r="E6787">
        <v>0.54508230000000002</v>
      </c>
      <c r="F6787" t="s">
        <v>41</v>
      </c>
      <c r="G6787">
        <v>-185.31209999999999</v>
      </c>
      <c r="H6787" s="1">
        <v>-2.4075140000000002E-6</v>
      </c>
      <c r="I6787">
        <v>103.0573</v>
      </c>
      <c r="J6787">
        <v>-188.49160000000001</v>
      </c>
      <c r="K6787">
        <v>1.120563</v>
      </c>
      <c r="L6787">
        <v>81.132689999999997</v>
      </c>
      <c r="M6787">
        <v>4.1772069999999996E-3</v>
      </c>
      <c r="N6787">
        <v>-1.1942390000000001E-2</v>
      </c>
      <c r="O6787">
        <v>0.99992000000000003</v>
      </c>
      <c r="P6787">
        <v>3.0581179999999999E-2</v>
      </c>
      <c r="Q6787">
        <v>0.19634070000000001</v>
      </c>
      <c r="R6787">
        <v>0.98005869999999995</v>
      </c>
      <c r="S6787">
        <v>0.4405365</v>
      </c>
      <c r="T6787">
        <v>-0.15516440000000001</v>
      </c>
      <c r="U6787">
        <v>3.0798649999999999</v>
      </c>
      <c r="V6787">
        <v>2.6853829999999999E-2</v>
      </c>
      <c r="W6787">
        <v>0.207985</v>
      </c>
      <c r="X6787">
        <v>0.9777633</v>
      </c>
      <c r="Y6787">
        <v>0.1373077</v>
      </c>
      <c r="Z6787">
        <v>-3.7897210000000001E-2</v>
      </c>
      <c r="AA6787">
        <v>0.98980319999999999</v>
      </c>
      <c r="AB6787">
        <v>32</v>
      </c>
      <c r="AC6787">
        <v>3.1795000000000102</v>
      </c>
      <c r="AD6787">
        <v>-1.1205654075139999</v>
      </c>
      <c r="AE6787">
        <v>21.924610000000001</v>
      </c>
      <c r="AF6787">
        <v>3.0800021543061402</v>
      </c>
      <c r="AG6787">
        <v>-1.1205654075139999</v>
      </c>
      <c r="AH6787">
        <v>21.881718437210399</v>
      </c>
      <c r="AI6787">
        <v>92.902995757824101</v>
      </c>
      <c r="AJ6787">
        <v>81.987862311182198</v>
      </c>
      <c r="AK6787">
        <v>22.125814829479101</v>
      </c>
      <c r="AL6787">
        <v>77.9957055733923</v>
      </c>
      <c r="AM6787">
        <v>88.426792620638494</v>
      </c>
      <c r="AN6787">
        <v>0.99999997961877896</v>
      </c>
    </row>
    <row r="6788" spans="1:40" x14ac:dyDescent="0.25">
      <c r="A6788" t="str">
        <f>"20190303162952605"</f>
        <v>20190303162952605</v>
      </c>
      <c r="B6788" t="str">
        <f>"1551601792598866"</f>
        <v>1551601792598866</v>
      </c>
      <c r="C6788" t="s">
        <v>40</v>
      </c>
      <c r="D6788">
        <v>5.0673510000000004</v>
      </c>
      <c r="E6788">
        <v>0.54455969999999998</v>
      </c>
      <c r="F6788" t="s">
        <v>41</v>
      </c>
      <c r="G6788">
        <v>-185.33949999999999</v>
      </c>
      <c r="H6788" s="1">
        <v>-2.3336629999999998E-6</v>
      </c>
      <c r="I6788">
        <v>102.8617</v>
      </c>
      <c r="J6788">
        <v>-188.48929999999999</v>
      </c>
      <c r="K6788">
        <v>1.1205799999999999</v>
      </c>
      <c r="L6788">
        <v>81.464389999999995</v>
      </c>
      <c r="M6788">
        <v>5.015383E-3</v>
      </c>
      <c r="N6788">
        <v>-1.19428E-2</v>
      </c>
      <c r="O6788">
        <v>0.99991609999999997</v>
      </c>
      <c r="P6788">
        <v>3.334964E-2</v>
      </c>
      <c r="Q6788">
        <v>0.19771130000000001</v>
      </c>
      <c r="R6788">
        <v>0.97969280000000003</v>
      </c>
      <c r="S6788">
        <v>0.44663999999999998</v>
      </c>
      <c r="T6788">
        <v>-0.1587797</v>
      </c>
      <c r="U6788">
        <v>3.0789179999999998</v>
      </c>
      <c r="V6788">
        <v>2.879959E-2</v>
      </c>
      <c r="W6788">
        <v>0.20934949999999999</v>
      </c>
      <c r="X6788">
        <v>0.97741670000000003</v>
      </c>
      <c r="Y6788">
        <v>0.13843440000000001</v>
      </c>
      <c r="Z6788">
        <v>-3.9060110000000002E-2</v>
      </c>
      <c r="AA6788">
        <v>0.98960110000000001</v>
      </c>
      <c r="AB6788">
        <v>32</v>
      </c>
      <c r="AC6788">
        <v>3.1497999999999902</v>
      </c>
      <c r="AD6788">
        <v>-1.1205823336630001</v>
      </c>
      <c r="AE6788">
        <v>21.397309999999901</v>
      </c>
      <c r="AF6788">
        <v>3.0342915506843702</v>
      </c>
      <c r="AG6788">
        <v>-1.1205823336630001</v>
      </c>
      <c r="AH6788">
        <v>21.355511166063501</v>
      </c>
      <c r="AI6788">
        <v>92.973897963380296</v>
      </c>
      <c r="AJ6788">
        <v>81.913274486598795</v>
      </c>
      <c r="AK6788">
        <v>21.599085331211</v>
      </c>
      <c r="AL6788">
        <v>77.915766197937103</v>
      </c>
      <c r="AM6788">
        <v>88.312267759319099</v>
      </c>
      <c r="AN6788">
        <v>1.0000000174866499</v>
      </c>
    </row>
    <row r="6789" spans="1:40" x14ac:dyDescent="0.25">
      <c r="A6789" t="str">
        <f>"20190303162952628"</f>
        <v>20190303162952628</v>
      </c>
      <c r="B6789" t="str">
        <f>"1551601792618386"</f>
        <v>1551601792618386</v>
      </c>
      <c r="C6789" t="s">
        <v>40</v>
      </c>
      <c r="D6789">
        <v>5.0839860000000003</v>
      </c>
      <c r="E6789">
        <v>0.54408919999999905</v>
      </c>
      <c r="F6789" t="s">
        <v>41</v>
      </c>
      <c r="G6789">
        <v>-185.292</v>
      </c>
      <c r="H6789" s="1">
        <v>-2.495036E-6</v>
      </c>
      <c r="I6789">
        <v>103.2988</v>
      </c>
      <c r="J6789">
        <v>-188.48670000000001</v>
      </c>
      <c r="K6789">
        <v>1.120611</v>
      </c>
      <c r="L6789">
        <v>81.802309999999906</v>
      </c>
      <c r="M6789">
        <v>5.8375509999999999E-3</v>
      </c>
      <c r="N6789">
        <v>-1.194305E-2</v>
      </c>
      <c r="O6789">
        <v>0.99991169999999996</v>
      </c>
      <c r="P6789">
        <v>3.5786400000000003E-2</v>
      </c>
      <c r="Q6789">
        <v>0.1996222</v>
      </c>
      <c r="R6789">
        <v>0.97921930000000001</v>
      </c>
      <c r="S6789">
        <v>0.45083620000000002</v>
      </c>
      <c r="T6789">
        <v>-0.15800510000000001</v>
      </c>
      <c r="U6789">
        <v>3.0787049999999998</v>
      </c>
      <c r="V6789">
        <v>3.042837E-2</v>
      </c>
      <c r="W6789">
        <v>0.21125379999999999</v>
      </c>
      <c r="X6789">
        <v>0.97695750000000003</v>
      </c>
      <c r="Y6789">
        <v>0.13895189999999999</v>
      </c>
      <c r="Z6789">
        <v>-3.880873E-2</v>
      </c>
      <c r="AA6789">
        <v>0.98953840000000004</v>
      </c>
      <c r="AB6789">
        <v>32</v>
      </c>
      <c r="AC6789">
        <v>3.1947000000000099</v>
      </c>
      <c r="AD6789">
        <v>-1.1206134950360001</v>
      </c>
      <c r="AE6789">
        <v>21.496490000000001</v>
      </c>
      <c r="AF6789">
        <v>3.0610110810815598</v>
      </c>
      <c r="AG6789">
        <v>-1.1206134950360001</v>
      </c>
      <c r="AH6789">
        <v>21.4577220041099</v>
      </c>
      <c r="AI6789">
        <v>92.9596052861706</v>
      </c>
      <c r="AJ6789">
        <v>81.8813535954081</v>
      </c>
      <c r="AK6789">
        <v>21.7039028068554</v>
      </c>
      <c r="AL6789">
        <v>77.804161819973899</v>
      </c>
      <c r="AM6789">
        <v>88.216039329292201</v>
      </c>
      <c r="AN6789">
        <v>1.00000000526077</v>
      </c>
    </row>
    <row r="6790" spans="1:40" x14ac:dyDescent="0.25">
      <c r="A6790" t="str">
        <f>"20190303162952651"</f>
        <v>20190303162952651</v>
      </c>
      <c r="B6790" t="str">
        <f>"1551601792638882"</f>
        <v>1551601792638882</v>
      </c>
      <c r="C6790" t="s">
        <v>40</v>
      </c>
      <c r="D6790">
        <v>5.0897300000000003</v>
      </c>
      <c r="E6790">
        <v>0.54368539999999999</v>
      </c>
      <c r="F6790" t="s">
        <v>41</v>
      </c>
      <c r="G6790">
        <v>-185.19220000000001</v>
      </c>
      <c r="H6790" s="1">
        <v>-2.808343E-6</v>
      </c>
      <c r="I6790">
        <v>104.14149999999999</v>
      </c>
      <c r="J6790">
        <v>-188.48390000000001</v>
      </c>
      <c r="K6790">
        <v>1.1206309999999999</v>
      </c>
      <c r="L6790">
        <v>82.133150000000001</v>
      </c>
      <c r="M6790">
        <v>6.6167769999999999E-3</v>
      </c>
      <c r="N6790">
        <v>-1.194337E-2</v>
      </c>
      <c r="O6790">
        <v>0.99990679999999998</v>
      </c>
      <c r="P6790">
        <v>3.7008920000000001E-2</v>
      </c>
      <c r="Q6790">
        <v>0.20177890000000001</v>
      </c>
      <c r="R6790">
        <v>0.97873160000000003</v>
      </c>
      <c r="S6790">
        <v>0.45401000000000002</v>
      </c>
      <c r="T6790">
        <v>-0.1544315</v>
      </c>
      <c r="U6790">
        <v>3.0785520000000002</v>
      </c>
      <c r="V6790">
        <v>3.0886170000000001E-2</v>
      </c>
      <c r="W6790">
        <v>0.2134057</v>
      </c>
      <c r="X6790">
        <v>0.97647539999999999</v>
      </c>
      <c r="Y6790">
        <v>0.13919309999999999</v>
      </c>
      <c r="Z6790">
        <v>-3.7661430000000003E-2</v>
      </c>
      <c r="AA6790">
        <v>0.98954889999999995</v>
      </c>
      <c r="AB6790">
        <v>32</v>
      </c>
      <c r="AC6790">
        <v>3.2916999999999899</v>
      </c>
      <c r="AD6790">
        <v>-1.1206338083430001</v>
      </c>
      <c r="AE6790">
        <v>22.00835</v>
      </c>
      <c r="AF6790">
        <v>3.1380352336141799</v>
      </c>
      <c r="AG6790">
        <v>-1.1206338083430001</v>
      </c>
      <c r="AH6790">
        <v>21.973924892687702</v>
      </c>
      <c r="AI6790">
        <v>92.890188792791506</v>
      </c>
      <c r="AJ6790">
        <v>81.8727005531358</v>
      </c>
      <c r="AK6790">
        <v>22.225131280811102</v>
      </c>
      <c r="AL6790">
        <v>77.6779909496003</v>
      </c>
      <c r="AM6790">
        <v>88.188323660022206</v>
      </c>
      <c r="AN6790">
        <v>1.00000007754745</v>
      </c>
    </row>
    <row r="6791" spans="1:40" x14ac:dyDescent="0.25">
      <c r="A6791" t="str">
        <f>"20190303162952673"</f>
        <v>20190303162952673</v>
      </c>
      <c r="B6791" t="str">
        <f>"1551601792658402"</f>
        <v>1551601792658402</v>
      </c>
      <c r="C6791" t="s">
        <v>40</v>
      </c>
      <c r="D6791">
        <v>5.183948</v>
      </c>
      <c r="E6791">
        <v>0.54350269999999901</v>
      </c>
      <c r="F6791" t="s">
        <v>41</v>
      </c>
      <c r="G6791">
        <v>-185.08320000000001</v>
      </c>
      <c r="H6791" s="1">
        <v>-3.2551130000000001E-6</v>
      </c>
      <c r="I6791">
        <v>105.1875</v>
      </c>
      <c r="J6791">
        <v>-188.4811</v>
      </c>
      <c r="K6791">
        <v>1.1206480000000001</v>
      </c>
      <c r="L6791">
        <v>82.443330000000003</v>
      </c>
      <c r="M6791">
        <v>7.3251540000000004E-3</v>
      </c>
      <c r="N6791">
        <v>-1.194372E-2</v>
      </c>
      <c r="O6791">
        <v>0.99990179999999995</v>
      </c>
      <c r="P6791">
        <v>3.8047560000000001E-2</v>
      </c>
      <c r="Q6791">
        <v>0.203233</v>
      </c>
      <c r="R6791">
        <v>0.97839089999999995</v>
      </c>
      <c r="S6791">
        <v>0.45416260000000003</v>
      </c>
      <c r="T6791">
        <v>-0.14965829999999999</v>
      </c>
      <c r="U6791">
        <v>3.0788570000000002</v>
      </c>
      <c r="V6791">
        <v>3.1228840000000001E-2</v>
      </c>
      <c r="W6791">
        <v>0.21485660000000001</v>
      </c>
      <c r="X6791">
        <v>0.97614619999999996</v>
      </c>
      <c r="Y6791">
        <v>0.1385352</v>
      </c>
      <c r="Z6791">
        <v>-3.6128889999999997E-2</v>
      </c>
      <c r="AA6791">
        <v>0.98969830000000003</v>
      </c>
      <c r="AB6791">
        <v>32</v>
      </c>
      <c r="AC6791">
        <v>3.3978999999999902</v>
      </c>
      <c r="AD6791">
        <v>-1.1206512551129999</v>
      </c>
      <c r="AE6791">
        <v>22.74417</v>
      </c>
      <c r="AF6791">
        <v>3.22353735430461</v>
      </c>
      <c r="AG6791">
        <v>-1.1206512551129999</v>
      </c>
      <c r="AH6791">
        <v>22.7145107934839</v>
      </c>
      <c r="AI6791">
        <v>92.796499788885001</v>
      </c>
      <c r="AJ6791">
        <v>81.922787121765296</v>
      </c>
      <c r="AK6791">
        <v>22.9694591337602</v>
      </c>
      <c r="AL6791">
        <v>77.592885536559507</v>
      </c>
      <c r="AM6791">
        <v>88.167620105474597</v>
      </c>
      <c r="AN6791">
        <v>1.00000000139287</v>
      </c>
    </row>
    <row r="6792" spans="1:40" x14ac:dyDescent="0.25">
      <c r="A6792" t="str">
        <f>"20190303162952694"</f>
        <v>20190303162952694</v>
      </c>
      <c r="B6792" t="str">
        <f>"1551601792688659"</f>
        <v>1551601792688659</v>
      </c>
      <c r="C6792" t="s">
        <v>40</v>
      </c>
      <c r="D6792">
        <v>5.1360140000000003</v>
      </c>
      <c r="E6792">
        <v>0.52573259999999999</v>
      </c>
      <c r="F6792" t="s">
        <v>41</v>
      </c>
      <c r="G6792">
        <v>-184.9847</v>
      </c>
      <c r="H6792" s="1">
        <v>-3.655769E-6</v>
      </c>
      <c r="I6792">
        <v>106.08069999999999</v>
      </c>
      <c r="J6792">
        <v>-188.47810000000001</v>
      </c>
      <c r="K6792">
        <v>1.1206590000000001</v>
      </c>
      <c r="L6792">
        <v>82.755709999999993</v>
      </c>
      <c r="M6792">
        <v>8.0155969999999993E-3</v>
      </c>
      <c r="N6792">
        <v>-1.1944069999999999E-2</v>
      </c>
      <c r="O6792">
        <v>0.99989649999999997</v>
      </c>
      <c r="P6792">
        <v>3.8992949999999998E-2</v>
      </c>
      <c r="Q6792">
        <v>0.20198769999999999</v>
      </c>
      <c r="R6792">
        <v>0.97861149999999997</v>
      </c>
      <c r="S6792">
        <v>0.45542909999999998</v>
      </c>
      <c r="T6792">
        <v>-0.14597060000000001</v>
      </c>
      <c r="U6792">
        <v>3.0788880000000001</v>
      </c>
      <c r="V6792">
        <v>3.1487349999999997E-2</v>
      </c>
      <c r="W6792">
        <v>0.21361569999999999</v>
      </c>
      <c r="X6792">
        <v>0.97641020000000001</v>
      </c>
      <c r="Y6792">
        <v>0.13825560000000001</v>
      </c>
      <c r="Z6792">
        <v>-3.4945770000000001E-2</v>
      </c>
      <c r="AA6792">
        <v>0.98977990000000005</v>
      </c>
      <c r="AB6792">
        <v>32</v>
      </c>
      <c r="AC6792">
        <v>3.4933999999999998</v>
      </c>
      <c r="AD6792">
        <v>-1.120662655769</v>
      </c>
      <c r="AE6792">
        <v>23.32499</v>
      </c>
      <c r="AF6792">
        <v>3.29886273807936</v>
      </c>
      <c r="AG6792">
        <v>-1.120662655769</v>
      </c>
      <c r="AH6792">
        <v>23.299639867291301</v>
      </c>
      <c r="AI6792">
        <v>92.726530917145595</v>
      </c>
      <c r="AJ6792">
        <v>81.941381415710396</v>
      </c>
      <c r="AK6792">
        <v>23.558684133418701</v>
      </c>
      <c r="AL6792">
        <v>77.665673859404507</v>
      </c>
      <c r="AM6792">
        <v>88.152961458842398</v>
      </c>
      <c r="AN6792">
        <v>0.99999999958027597</v>
      </c>
    </row>
    <row r="6793" spans="1:40" x14ac:dyDescent="0.25">
      <c r="A6793" t="str">
        <f>"20190303162952715"</f>
        <v>20190303162952715</v>
      </c>
      <c r="B6793" t="str">
        <f>"1551601792709154"</f>
        <v>1551601792709154</v>
      </c>
      <c r="C6793" t="s">
        <v>40</v>
      </c>
      <c r="D6793">
        <v>5.066662</v>
      </c>
      <c r="E6793">
        <v>0.51989810000000003</v>
      </c>
      <c r="F6793" t="s">
        <v>41</v>
      </c>
      <c r="G6793">
        <v>-186.28749999999999</v>
      </c>
      <c r="H6793" s="1">
        <v>-2.6180979999999999E-6</v>
      </c>
      <c r="I6793">
        <v>104.20059999999999</v>
      </c>
      <c r="J6793">
        <v>-188.47470000000001</v>
      </c>
      <c r="K6793">
        <v>1.120668</v>
      </c>
      <c r="L6793">
        <v>83.078699999999998</v>
      </c>
      <c r="M6793">
        <v>8.7068149999999997E-3</v>
      </c>
      <c r="N6793">
        <v>-1.194447E-2</v>
      </c>
      <c r="O6793">
        <v>0.99989070000000002</v>
      </c>
      <c r="P6793">
        <v>4.143442E-2</v>
      </c>
      <c r="Q6793">
        <v>0.20033690000000001</v>
      </c>
      <c r="R6793">
        <v>0.97885049999999996</v>
      </c>
      <c r="S6793">
        <v>0.31526179999999998</v>
      </c>
      <c r="T6793">
        <v>-0.1612836</v>
      </c>
      <c r="U6793">
        <v>3.0863040000000002</v>
      </c>
      <c r="V6793">
        <v>3.3239280000000003E-2</v>
      </c>
      <c r="W6793">
        <v>0.21196680000000001</v>
      </c>
      <c r="X6793">
        <v>0.97671149999999995</v>
      </c>
      <c r="Y6793">
        <v>9.2836959999999996E-2</v>
      </c>
      <c r="Z6793">
        <v>-4.0009580000000003E-2</v>
      </c>
      <c r="AA6793">
        <v>0.99487720000000002</v>
      </c>
      <c r="AB6793">
        <v>32</v>
      </c>
      <c r="AC6793">
        <v>2.18720000000001</v>
      </c>
      <c r="AD6793">
        <v>-1.1206706180979999</v>
      </c>
      <c r="AE6793">
        <v>21.1219</v>
      </c>
      <c r="AF6793">
        <v>1.99763564186812</v>
      </c>
      <c r="AG6793">
        <v>-1.1206706180979999</v>
      </c>
      <c r="AH6793">
        <v>21.081427965056498</v>
      </c>
      <c r="AI6793">
        <v>93.029385561593202</v>
      </c>
      <c r="AJ6793">
        <v>84.586924821021796</v>
      </c>
      <c r="AK6793">
        <v>21.2054958875712</v>
      </c>
      <c r="AL6793">
        <v>77.762364097338505</v>
      </c>
      <c r="AM6793">
        <v>88.050871994544806</v>
      </c>
      <c r="AN6793">
        <v>1.0000000641347</v>
      </c>
    </row>
    <row r="6794" spans="1:40" x14ac:dyDescent="0.25">
      <c r="A6794" t="str">
        <f>"20190303162952740"</f>
        <v>20190303162952740</v>
      </c>
      <c r="B6794" t="str">
        <f>"1551601792728674"</f>
        <v>1551601792728674</v>
      </c>
      <c r="C6794" t="s">
        <v>40</v>
      </c>
      <c r="D6794">
        <v>5.2808099999999998</v>
      </c>
      <c r="E6794">
        <v>0.51954699999999998</v>
      </c>
      <c r="F6794" t="s">
        <v>41</v>
      </c>
      <c r="G6794">
        <v>-187.0017</v>
      </c>
      <c r="H6794" s="1">
        <v>-8.4592109999999895E-7</v>
      </c>
      <c r="I6794">
        <v>99.789519999999996</v>
      </c>
      <c r="J6794">
        <v>-188.471</v>
      </c>
      <c r="K6794">
        <v>1.120679</v>
      </c>
      <c r="L6794">
        <v>83.413939999999997</v>
      </c>
      <c r="M6794">
        <v>9.4014860000000006E-3</v>
      </c>
      <c r="N6794">
        <v>-1.194479E-2</v>
      </c>
      <c r="O6794">
        <v>0.99988449999999995</v>
      </c>
      <c r="P6794">
        <v>4.5506270000000001E-2</v>
      </c>
      <c r="Q6794">
        <v>0.19821469999999999</v>
      </c>
      <c r="R6794">
        <v>0.97910169999999996</v>
      </c>
      <c r="S6794">
        <v>0.27288820000000003</v>
      </c>
      <c r="T6794">
        <v>-0.20760970000000001</v>
      </c>
      <c r="U6794">
        <v>3.095764</v>
      </c>
      <c r="V6794">
        <v>3.6615679999999998E-2</v>
      </c>
      <c r="W6794">
        <v>0.20984520000000001</v>
      </c>
      <c r="X6794">
        <v>0.97704880000000005</v>
      </c>
      <c r="Y6794">
        <v>7.8270179999999995E-2</v>
      </c>
      <c r="Z6794">
        <v>-5.475853E-2</v>
      </c>
      <c r="AA6794">
        <v>0.99542719999999996</v>
      </c>
      <c r="AB6794">
        <v>32</v>
      </c>
      <c r="AC6794">
        <v>1.4692999999999701</v>
      </c>
      <c r="AD6794">
        <v>-1.1206798459211</v>
      </c>
      <c r="AE6794">
        <v>16.375579999999999</v>
      </c>
      <c r="AF6794">
        <v>1.30918669458774</v>
      </c>
      <c r="AG6794">
        <v>-1.1206798459211</v>
      </c>
      <c r="AH6794">
        <v>16.312879695665799</v>
      </c>
      <c r="AI6794">
        <v>93.917436433109401</v>
      </c>
      <c r="AJ6794">
        <v>85.411573616576703</v>
      </c>
      <c r="AK6794">
        <v>16.403656210845401</v>
      </c>
      <c r="AL6794">
        <v>77.886719725715096</v>
      </c>
      <c r="AM6794">
        <v>87.853799501047206</v>
      </c>
      <c r="AN6794">
        <v>1.0000000367831701</v>
      </c>
    </row>
    <row r="6795" spans="1:40" x14ac:dyDescent="0.25">
      <c r="A6795" t="str">
        <f>"20190303162952760"</f>
        <v>20190303162952760</v>
      </c>
      <c r="B6795" t="str">
        <f>"1551601792749170"</f>
        <v>1551601792749170</v>
      </c>
      <c r="C6795" t="s">
        <v>40</v>
      </c>
      <c r="D6795">
        <v>5.128571</v>
      </c>
      <c r="E6795">
        <v>0.51947549999999998</v>
      </c>
      <c r="F6795" t="s">
        <v>41</v>
      </c>
      <c r="G6795">
        <v>-186.94149999999999</v>
      </c>
      <c r="H6795" s="1">
        <v>-1.0319720000000001E-6</v>
      </c>
      <c r="I6795">
        <v>100.28919999999999</v>
      </c>
      <c r="J6795">
        <v>-188.4674</v>
      </c>
      <c r="K6795">
        <v>1.120695</v>
      </c>
      <c r="L6795">
        <v>83.720209999999994</v>
      </c>
      <c r="M6795">
        <v>1.001443E-2</v>
      </c>
      <c r="N6795">
        <v>-1.1945040000000001E-2</v>
      </c>
      <c r="O6795">
        <v>0.9998785</v>
      </c>
      <c r="P6795">
        <v>4.9642560000000002E-2</v>
      </c>
      <c r="Q6795">
        <v>0.19763939999999999</v>
      </c>
      <c r="R6795">
        <v>0.97901700000000003</v>
      </c>
      <c r="S6795">
        <v>0.2802887</v>
      </c>
      <c r="T6795">
        <v>-0.20537749999999999</v>
      </c>
      <c r="U6795">
        <v>3.09259</v>
      </c>
      <c r="V6795">
        <v>4.0141839999999998E-2</v>
      </c>
      <c r="W6795">
        <v>0.20926649999999999</v>
      </c>
      <c r="X6795">
        <v>0.97703439999999997</v>
      </c>
      <c r="Y6795">
        <v>8.0114130000000006E-2</v>
      </c>
      <c r="Z6795">
        <v>-5.4099250000000002E-2</v>
      </c>
      <c r="AA6795">
        <v>0.99531650000000005</v>
      </c>
      <c r="AB6795">
        <v>32</v>
      </c>
      <c r="AC6795">
        <v>1.5259</v>
      </c>
      <c r="AD6795">
        <v>-1.1206960319720001</v>
      </c>
      <c r="AE6795">
        <v>16.568989999999999</v>
      </c>
      <c r="AF6795">
        <v>1.3537414659239999</v>
      </c>
      <c r="AG6795">
        <v>-1.1206960319720001</v>
      </c>
      <c r="AH6795">
        <v>16.5085509738641</v>
      </c>
      <c r="AI6795">
        <v>93.870658314898407</v>
      </c>
      <c r="AJ6795">
        <v>85.312095266509004</v>
      </c>
      <c r="AK6795">
        <v>16.6018321521845</v>
      </c>
      <c r="AL6795">
        <v>77.920629587588806</v>
      </c>
      <c r="AM6795">
        <v>87.647303711985899</v>
      </c>
      <c r="AN6795">
        <v>1.0000000270620899</v>
      </c>
    </row>
    <row r="6796" spans="1:40" x14ac:dyDescent="0.25">
      <c r="A6796" t="str">
        <f>"20190303162952786"</f>
        <v>20190303162952786</v>
      </c>
      <c r="B6796" t="str">
        <f>"1551601792778450"</f>
        <v>1551601792778450</v>
      </c>
      <c r="C6796" t="s">
        <v>40</v>
      </c>
      <c r="D6796">
        <v>5.1006119999999999</v>
      </c>
      <c r="E6796">
        <v>0.51845669999999999</v>
      </c>
      <c r="F6796" t="s">
        <v>41</v>
      </c>
      <c r="G6796">
        <v>-186.7894</v>
      </c>
      <c r="H6796" s="1">
        <v>-1.4875229999999999E-6</v>
      </c>
      <c r="I6796">
        <v>101.5089</v>
      </c>
      <c r="J6796">
        <v>-188.4632</v>
      </c>
      <c r="K6796">
        <v>1.1207210000000001</v>
      </c>
      <c r="L6796">
        <v>84.068389999999994</v>
      </c>
      <c r="M6796">
        <v>1.068392E-2</v>
      </c>
      <c r="N6796">
        <v>-1.1945280000000001E-2</v>
      </c>
      <c r="O6796">
        <v>0.99987159999999997</v>
      </c>
      <c r="P6796">
        <v>5.2982809999999998E-2</v>
      </c>
      <c r="Q6796">
        <v>0.19837550000000001</v>
      </c>
      <c r="R6796">
        <v>0.97869300000000004</v>
      </c>
      <c r="S6796">
        <v>0.29136659999999998</v>
      </c>
      <c r="T6796">
        <v>-0.19459580000000001</v>
      </c>
      <c r="U6796">
        <v>3.0888059999999999</v>
      </c>
      <c r="V6796">
        <v>4.2818769999999999E-2</v>
      </c>
      <c r="W6796">
        <v>0.2099985</v>
      </c>
      <c r="X6796">
        <v>0.97676359999999995</v>
      </c>
      <c r="Y6796">
        <v>8.3112340000000007E-2</v>
      </c>
      <c r="Z6796">
        <v>-5.0702909999999997E-2</v>
      </c>
      <c r="AA6796">
        <v>0.99524950000000001</v>
      </c>
      <c r="AB6796">
        <v>32</v>
      </c>
      <c r="AC6796">
        <v>1.6738</v>
      </c>
      <c r="AD6796">
        <v>-1.120722487523</v>
      </c>
      <c r="AE6796">
        <v>17.4405099999999</v>
      </c>
      <c r="AF6796">
        <v>1.4812972354205001</v>
      </c>
      <c r="AG6796">
        <v>-1.120722487523</v>
      </c>
      <c r="AH6796">
        <v>17.3862603802983</v>
      </c>
      <c r="AI6796">
        <v>93.674919770079299</v>
      </c>
      <c r="AJ6796">
        <v>85.130200063735799</v>
      </c>
      <c r="AK6796">
        <v>17.485202612644699</v>
      </c>
      <c r="AL6796">
        <v>77.877735335040896</v>
      </c>
      <c r="AM6796">
        <v>87.489909456030503</v>
      </c>
      <c r="AN6796">
        <v>0.99999997367576099</v>
      </c>
    </row>
    <row r="6797" spans="1:40" x14ac:dyDescent="0.25">
      <c r="A6797" t="str">
        <f>"20190303162952807"</f>
        <v>20190303162952807</v>
      </c>
      <c r="B6797" t="str">
        <f>"1551601792798946"</f>
        <v>1551601792798946</v>
      </c>
      <c r="C6797" t="s">
        <v>40</v>
      </c>
      <c r="D6797">
        <v>5.081969</v>
      </c>
      <c r="E6797">
        <v>0.51770569999999905</v>
      </c>
      <c r="F6797" t="s">
        <v>41</v>
      </c>
      <c r="G6797">
        <v>-186.66800000000001</v>
      </c>
      <c r="H6797" s="1">
        <v>-2.0266350000000001E-6</v>
      </c>
      <c r="I6797">
        <v>102.97920000000001</v>
      </c>
      <c r="J6797">
        <v>-188.4589</v>
      </c>
      <c r="K6797">
        <v>1.1207469999999999</v>
      </c>
      <c r="L6797">
        <v>84.398830000000004</v>
      </c>
      <c r="M6797">
        <v>1.1292780000000001E-2</v>
      </c>
      <c r="N6797">
        <v>-1.194546E-2</v>
      </c>
      <c r="O6797">
        <v>0.99986489999999995</v>
      </c>
      <c r="P6797">
        <v>5.5714670000000001E-2</v>
      </c>
      <c r="Q6797">
        <v>0.19944890000000001</v>
      </c>
      <c r="R6797">
        <v>0.97832300000000005</v>
      </c>
      <c r="S6797">
        <v>0.29299930000000002</v>
      </c>
      <c r="T6797">
        <v>-0.1829201</v>
      </c>
      <c r="U6797">
        <v>3.0865480000000001</v>
      </c>
      <c r="V6797">
        <v>4.494882E-2</v>
      </c>
      <c r="W6797">
        <v>0.21106739999999999</v>
      </c>
      <c r="X6797">
        <v>0.97643749999999996</v>
      </c>
      <c r="Y6797">
        <v>8.3114339999999995E-2</v>
      </c>
      <c r="Z6797">
        <v>-4.699747E-2</v>
      </c>
      <c r="AA6797">
        <v>0.99543119999999996</v>
      </c>
      <c r="AB6797">
        <v>32</v>
      </c>
      <c r="AC6797">
        <v>1.7908999999999899</v>
      </c>
      <c r="AD6797">
        <v>-1.120749026635</v>
      </c>
      <c r="AE6797">
        <v>18.580369999999998</v>
      </c>
      <c r="AF6797">
        <v>1.5752681209942501</v>
      </c>
      <c r="AG6797">
        <v>-1.120749026635</v>
      </c>
      <c r="AH6797">
        <v>18.532602753051901</v>
      </c>
      <c r="AI6797">
        <v>93.448311882035597</v>
      </c>
      <c r="AJ6797">
        <v>85.141546636191606</v>
      </c>
      <c r="AK6797">
        <v>18.6331670103649</v>
      </c>
      <c r="AL6797">
        <v>77.815088278826707</v>
      </c>
      <c r="AM6797">
        <v>87.3643363304285</v>
      </c>
      <c r="AN6797">
        <v>1.0000000175842001</v>
      </c>
    </row>
    <row r="6798" spans="1:40" x14ac:dyDescent="0.25">
      <c r="A6798" t="str">
        <f>"20190303162952831"</f>
        <v>20190303162952831</v>
      </c>
      <c r="B6798" t="str">
        <f>"1551601792818466"</f>
        <v>1551601792818466</v>
      </c>
      <c r="C6798" t="s">
        <v>40</v>
      </c>
      <c r="D6798">
        <v>4.9848339999999904</v>
      </c>
      <c r="E6798">
        <v>0.51658019999999905</v>
      </c>
      <c r="F6798" t="s">
        <v>41</v>
      </c>
      <c r="G6798">
        <v>-186.57509999999999</v>
      </c>
      <c r="H6798" s="1">
        <v>-2.522594E-6</v>
      </c>
      <c r="I6798">
        <v>104.09690000000001</v>
      </c>
      <c r="J6798">
        <v>-188.4545</v>
      </c>
      <c r="K6798">
        <v>1.1207720000000001</v>
      </c>
      <c r="L6798">
        <v>84.731750000000005</v>
      </c>
      <c r="M6798">
        <v>1.188727E-2</v>
      </c>
      <c r="N6798">
        <v>-1.194564E-2</v>
      </c>
      <c r="O6798">
        <v>0.99985800000000002</v>
      </c>
      <c r="P6798">
        <v>5.7213050000000001E-2</v>
      </c>
      <c r="Q6798">
        <v>0.19907079999999999</v>
      </c>
      <c r="R6798">
        <v>0.97831360000000001</v>
      </c>
      <c r="S6798">
        <v>0.29507450000000002</v>
      </c>
      <c r="T6798">
        <v>-0.17555129999999999</v>
      </c>
      <c r="U6798">
        <v>3.0854490000000001</v>
      </c>
      <c r="V6798">
        <v>4.5855159999999999E-2</v>
      </c>
      <c r="W6798">
        <v>0.2106903</v>
      </c>
      <c r="X6798">
        <v>0.97647680000000003</v>
      </c>
      <c r="Y6798">
        <v>8.3230059999999995E-2</v>
      </c>
      <c r="Z6798">
        <v>-4.4647779999999998E-2</v>
      </c>
      <c r="AA6798">
        <v>0.99552969999999996</v>
      </c>
      <c r="AB6798">
        <v>32</v>
      </c>
      <c r="AC6798">
        <v>1.8794</v>
      </c>
      <c r="AD6798">
        <v>-1.12077452259399</v>
      </c>
      <c r="AE6798">
        <v>19.36515</v>
      </c>
      <c r="AF6798">
        <v>1.64359795199541</v>
      </c>
      <c r="AG6798">
        <v>-1.12077452259399</v>
      </c>
      <c r="AH6798">
        <v>19.3220067130841</v>
      </c>
      <c r="AI6798">
        <v>93.307807289121698</v>
      </c>
      <c r="AJ6798">
        <v>85.137923638783803</v>
      </c>
      <c r="AK6798">
        <v>19.4241471673473</v>
      </c>
      <c r="AL6798">
        <v>77.837191595940695</v>
      </c>
      <c r="AM6798">
        <v>87.311376550963203</v>
      </c>
      <c r="AN6798">
        <v>1.0000000195754699</v>
      </c>
    </row>
    <row r="6799" spans="1:40" x14ac:dyDescent="0.25">
      <c r="A6799" t="str">
        <f>"20190303162952854"</f>
        <v>20190303162952854</v>
      </c>
      <c r="B6799" t="str">
        <f>"1551601792838963"</f>
        <v>1551601792838963</v>
      </c>
      <c r="C6799" t="s">
        <v>40</v>
      </c>
      <c r="D6799">
        <v>5.0642459999999998</v>
      </c>
      <c r="E6799">
        <v>0.51582810000000001</v>
      </c>
      <c r="F6799" t="s">
        <v>41</v>
      </c>
      <c r="G6799">
        <v>-186.62970000000001</v>
      </c>
      <c r="H6799" s="1">
        <v>-2.5270710000000002E-6</v>
      </c>
      <c r="I6799">
        <v>104.12990000000001</v>
      </c>
      <c r="J6799">
        <v>-188.45009999999999</v>
      </c>
      <c r="K6799">
        <v>1.1207879999999999</v>
      </c>
      <c r="L6799">
        <v>85.055210000000002</v>
      </c>
      <c r="M6799">
        <v>1.24482E-2</v>
      </c>
      <c r="N6799">
        <v>-1.1945819999999999E-2</v>
      </c>
      <c r="O6799">
        <v>0.99985119999999905</v>
      </c>
      <c r="P6799">
        <v>5.7973999999999998E-2</v>
      </c>
      <c r="Q6799">
        <v>0.19822719999999999</v>
      </c>
      <c r="R6799">
        <v>0.97844010000000003</v>
      </c>
      <c r="S6799">
        <v>0.29028320000000002</v>
      </c>
      <c r="T6799">
        <v>-0.1782888</v>
      </c>
      <c r="U6799">
        <v>3.085785</v>
      </c>
      <c r="V6799">
        <v>4.605658E-2</v>
      </c>
      <c r="W6799">
        <v>0.20985029999999999</v>
      </c>
      <c r="X6799">
        <v>0.97664819999999997</v>
      </c>
      <c r="Y6799">
        <v>8.1125269999999999E-2</v>
      </c>
      <c r="Z6799">
        <v>-4.5529979999999998E-2</v>
      </c>
      <c r="AA6799">
        <v>0.99566350000000003</v>
      </c>
      <c r="AB6799">
        <v>32</v>
      </c>
      <c r="AC6799">
        <v>1.82039999999997</v>
      </c>
      <c r="AD6799">
        <v>-1.1207905270709999</v>
      </c>
      <c r="AE6799">
        <v>19.07469</v>
      </c>
      <c r="AF6799">
        <v>1.5773996203726399</v>
      </c>
      <c r="AG6799">
        <v>-1.1207905270709999</v>
      </c>
      <c r="AH6799">
        <v>19.030763442046599</v>
      </c>
      <c r="AI6799">
        <v>93.358970440111193</v>
      </c>
      <c r="AJ6799">
        <v>85.261765671314706</v>
      </c>
      <c r="AK6799">
        <v>19.128887007744702</v>
      </c>
      <c r="AL6799">
        <v>77.886420801109693</v>
      </c>
      <c r="AM6799">
        <v>87.300057361589396</v>
      </c>
      <c r="AN6799">
        <v>1.0000000317673099</v>
      </c>
    </row>
    <row r="6800" spans="1:40" x14ac:dyDescent="0.25">
      <c r="A6800" t="str">
        <f>"20190303162952874"</f>
        <v>20190303162952874</v>
      </c>
      <c r="B6800" t="str">
        <f>"1551601792858483"</f>
        <v>1551601792858483</v>
      </c>
      <c r="C6800" t="s">
        <v>40</v>
      </c>
      <c r="D6800">
        <v>5.6948949999999998</v>
      </c>
      <c r="E6800">
        <v>0.51503880000000002</v>
      </c>
      <c r="F6800" t="s">
        <v>41</v>
      </c>
      <c r="G6800">
        <v>-186.59110000000001</v>
      </c>
      <c r="H6800" s="1">
        <v>-2.9454140000000002E-6</v>
      </c>
      <c r="I6800">
        <v>105.0891</v>
      </c>
      <c r="J6800">
        <v>-188.44579999999999</v>
      </c>
      <c r="K6800">
        <v>1.120798</v>
      </c>
      <c r="L6800">
        <v>85.352080000000001</v>
      </c>
      <c r="M6800">
        <v>1.2949520000000001E-2</v>
      </c>
      <c r="N6800">
        <v>-1.194606E-2</v>
      </c>
      <c r="O6800">
        <v>0.99984479999999998</v>
      </c>
      <c r="P6800">
        <v>5.7944089999999997E-2</v>
      </c>
      <c r="Q6800">
        <v>0.19726369999999999</v>
      </c>
      <c r="R6800">
        <v>0.97863659999999997</v>
      </c>
      <c r="S6800">
        <v>0.28617859999999901</v>
      </c>
      <c r="T6800">
        <v>-0.17253969999999999</v>
      </c>
      <c r="U6800">
        <v>3.0841059999999998</v>
      </c>
      <c r="V6800">
        <v>4.5525870000000003E-2</v>
      </c>
      <c r="W6800">
        <v>0.2088921</v>
      </c>
      <c r="X6800">
        <v>0.97687849999999998</v>
      </c>
      <c r="Y6800">
        <v>7.9371330000000004E-2</v>
      </c>
      <c r="Z6800">
        <v>-4.3718899999999998E-2</v>
      </c>
      <c r="AA6800">
        <v>0.99588600000000005</v>
      </c>
      <c r="AB6800">
        <v>32</v>
      </c>
      <c r="AC6800">
        <v>1.85469999999998</v>
      </c>
      <c r="AD6800">
        <v>-1.120800945414</v>
      </c>
      <c r="AE6800">
        <v>19.737020000000001</v>
      </c>
      <c r="AF6800">
        <v>1.5938465513433799</v>
      </c>
      <c r="AG6800">
        <v>-1.120800945414</v>
      </c>
      <c r="AH6800">
        <v>19.6964242793083</v>
      </c>
      <c r="AI6800">
        <v>93.246245773077504</v>
      </c>
      <c r="AJ6800">
        <v>85.373671292511403</v>
      </c>
      <c r="AK6800">
        <v>19.792566053420099</v>
      </c>
      <c r="AL6800">
        <v>77.9425663404744</v>
      </c>
      <c r="AM6800">
        <v>87.331751837984996</v>
      </c>
      <c r="AN6800">
        <v>1.00000005902195</v>
      </c>
    </row>
    <row r="6801" spans="1:40" x14ac:dyDescent="0.25">
      <c r="A6801" t="str">
        <f>"20190303162952895"</f>
        <v>20190303162952895</v>
      </c>
      <c r="B6801" t="str">
        <f>"1551601792888738"</f>
        <v>1551601792888738</v>
      </c>
      <c r="C6801" t="s">
        <v>40</v>
      </c>
      <c r="D6801">
        <v>5.1127580000000004</v>
      </c>
      <c r="E6801">
        <v>0.51402570000000003</v>
      </c>
      <c r="F6801" t="s">
        <v>41</v>
      </c>
      <c r="G6801">
        <v>-186.59030000000001</v>
      </c>
      <c r="H6801" s="1">
        <v>-3.2542460000000001E-6</v>
      </c>
      <c r="I6801">
        <v>105.8087</v>
      </c>
      <c r="J6801">
        <v>-188.44110000000001</v>
      </c>
      <c r="K6801">
        <v>1.120806</v>
      </c>
      <c r="L6801">
        <v>85.673609999999996</v>
      </c>
      <c r="M6801">
        <v>1.347925E-2</v>
      </c>
      <c r="N6801">
        <v>-1.194635E-2</v>
      </c>
      <c r="O6801">
        <v>0.9998378</v>
      </c>
      <c r="P6801">
        <v>5.871154E-2</v>
      </c>
      <c r="Q6801">
        <v>0.1962006</v>
      </c>
      <c r="R6801">
        <v>0.97880449999999997</v>
      </c>
      <c r="S6801">
        <v>0.27963259999999901</v>
      </c>
      <c r="T6801">
        <v>-0.16891410000000001</v>
      </c>
      <c r="U6801">
        <v>3.0829770000000001</v>
      </c>
      <c r="V6801">
        <v>4.5764649999999997E-2</v>
      </c>
      <c r="W6801">
        <v>0.2078325</v>
      </c>
      <c r="X6801">
        <v>0.97709330000000005</v>
      </c>
      <c r="Y6801">
        <v>7.6785619999999999E-2</v>
      </c>
      <c r="Z6801">
        <v>-4.258236E-2</v>
      </c>
      <c r="AA6801">
        <v>0.99613790000000002</v>
      </c>
      <c r="AB6801">
        <v>32</v>
      </c>
      <c r="AC6801">
        <v>1.85079999999999</v>
      </c>
      <c r="AD6801">
        <v>-1.120809254246</v>
      </c>
      <c r="AE6801">
        <v>20.135090000000002</v>
      </c>
      <c r="AF6801">
        <v>1.5743691907883299</v>
      </c>
      <c r="AG6801">
        <v>-1.120809254246</v>
      </c>
      <c r="AH6801">
        <v>20.0964618029486</v>
      </c>
      <c r="AI6801">
        <v>93.182432378641295</v>
      </c>
      <c r="AJ6801">
        <v>85.520562220080095</v>
      </c>
      <c r="AK6801">
        <v>20.189171075868298</v>
      </c>
      <c r="AL6801">
        <v>78.004639040525007</v>
      </c>
      <c r="AM6801">
        <v>87.3183662350595</v>
      </c>
      <c r="AN6801">
        <v>1.0000000340753801</v>
      </c>
    </row>
    <row r="6802" spans="1:40" x14ac:dyDescent="0.25">
      <c r="A6802" t="str">
        <f>"20190303162952919"</f>
        <v>20190303162952919</v>
      </c>
      <c r="B6802" t="str">
        <f>"1551601792909234"</f>
        <v>1551601792909234</v>
      </c>
      <c r="C6802" t="s">
        <v>40</v>
      </c>
      <c r="D6802">
        <v>5.339931</v>
      </c>
      <c r="E6802">
        <v>0.51356190000000002</v>
      </c>
      <c r="F6802" t="s">
        <v>41</v>
      </c>
      <c r="G6802">
        <v>-186.58179999999999</v>
      </c>
      <c r="H6802" s="1">
        <v>-3.591391E-6</v>
      </c>
      <c r="I6802">
        <v>106.59099999999999</v>
      </c>
      <c r="J6802">
        <v>-188.4359</v>
      </c>
      <c r="K6802">
        <v>1.1208100000000001</v>
      </c>
      <c r="L6802">
        <v>86.009769999999904</v>
      </c>
      <c r="M6802">
        <v>1.401998E-2</v>
      </c>
      <c r="N6802">
        <v>-1.194661E-2</v>
      </c>
      <c r="O6802">
        <v>0.99983040000000001</v>
      </c>
      <c r="P6802">
        <v>5.9337279999999999E-2</v>
      </c>
      <c r="Q6802">
        <v>0.19553090000000001</v>
      </c>
      <c r="R6802">
        <v>0.97890080000000002</v>
      </c>
      <c r="S6802">
        <v>0.2739105</v>
      </c>
      <c r="T6802">
        <v>-0.16512199999999999</v>
      </c>
      <c r="U6802">
        <v>3.0816349999999999</v>
      </c>
      <c r="V6802">
        <v>4.5852070000000002E-2</v>
      </c>
      <c r="W6802">
        <v>0.2071664</v>
      </c>
      <c r="X6802">
        <v>0.97723059999999995</v>
      </c>
      <c r="Y6802">
        <v>7.4456270000000005E-2</v>
      </c>
      <c r="Z6802">
        <v>-4.1392989999999998E-2</v>
      </c>
      <c r="AA6802">
        <v>0.99636480000000005</v>
      </c>
      <c r="AB6802">
        <v>32</v>
      </c>
      <c r="AC6802">
        <v>1.8541000000000101</v>
      </c>
      <c r="AD6802">
        <v>-1.120813591391</v>
      </c>
      <c r="AE6802">
        <v>20.581230000000001</v>
      </c>
      <c r="AF6802">
        <v>1.56075729155089</v>
      </c>
      <c r="AG6802">
        <v>-1.120813591391</v>
      </c>
      <c r="AH6802">
        <v>20.544764514265601</v>
      </c>
      <c r="AI6802">
        <v>93.113704671818297</v>
      </c>
      <c r="AJ6802">
        <v>85.655663589854299</v>
      </c>
      <c r="AK6802">
        <v>20.634425976421198</v>
      </c>
      <c r="AL6802">
        <v>78.043652325969902</v>
      </c>
      <c r="AM6802">
        <v>87.313628188362799</v>
      </c>
      <c r="AN6802">
        <v>0.99999998759430198</v>
      </c>
    </row>
    <row r="6803" spans="1:40" x14ac:dyDescent="0.25">
      <c r="A6803" t="str">
        <f>"20190303162952940"</f>
        <v>20190303162952940</v>
      </c>
      <c r="B6803" t="str">
        <f>"1551601792928754"</f>
        <v>1551601792928754</v>
      </c>
      <c r="C6803" t="s">
        <v>40</v>
      </c>
      <c r="D6803">
        <v>5.1264560000000001</v>
      </c>
      <c r="E6803">
        <v>0.51352100000000001</v>
      </c>
      <c r="F6803" t="s">
        <v>41</v>
      </c>
      <c r="G6803">
        <v>-186.56399999999999</v>
      </c>
      <c r="H6803" s="1">
        <v>-3.8583160000000004E-6</v>
      </c>
      <c r="I6803">
        <v>107.2059</v>
      </c>
      <c r="J6803">
        <v>-188.43109999999999</v>
      </c>
      <c r="K6803">
        <v>1.1208149999999999</v>
      </c>
      <c r="L6803">
        <v>86.314850000000007</v>
      </c>
      <c r="M6803">
        <v>1.450039E-2</v>
      </c>
      <c r="N6803">
        <v>-1.194689E-2</v>
      </c>
      <c r="O6803">
        <v>0.99982349999999998</v>
      </c>
      <c r="P6803">
        <v>5.9057030000000003E-2</v>
      </c>
      <c r="Q6803">
        <v>0.19510330000000001</v>
      </c>
      <c r="R6803">
        <v>0.97900310000000001</v>
      </c>
      <c r="S6803">
        <v>0.27206419999999998</v>
      </c>
      <c r="T6803">
        <v>-0.1629031</v>
      </c>
      <c r="U6803">
        <v>3.0807190000000002</v>
      </c>
      <c r="V6803">
        <v>4.5093500000000002E-2</v>
      </c>
      <c r="W6803">
        <v>0.20674229999999999</v>
      </c>
      <c r="X6803">
        <v>0.97735570000000005</v>
      </c>
      <c r="Y6803">
        <v>7.3413950000000006E-2</v>
      </c>
      <c r="Z6803">
        <v>-4.0696419999999997E-2</v>
      </c>
      <c r="AA6803">
        <v>0.99647090000000005</v>
      </c>
      <c r="AB6803">
        <v>32</v>
      </c>
      <c r="AC6803">
        <v>1.86709999999996</v>
      </c>
      <c r="AD6803">
        <v>-1.1208188583159999</v>
      </c>
      <c r="AE6803">
        <v>20.89105</v>
      </c>
      <c r="AF6803">
        <v>1.5595003958209099</v>
      </c>
      <c r="AG6803">
        <v>-1.1208188583159999</v>
      </c>
      <c r="AH6803">
        <v>20.856371741754</v>
      </c>
      <c r="AI6803">
        <v>93.067562124586303</v>
      </c>
      <c r="AJ6803">
        <v>85.723761399915503</v>
      </c>
      <c r="AK6803">
        <v>20.944605955423398</v>
      </c>
      <c r="AL6803">
        <v>78.068489117799601</v>
      </c>
      <c r="AM6803">
        <v>87.358345326017002</v>
      </c>
      <c r="AN6803">
        <v>0.99999998333701401</v>
      </c>
    </row>
    <row r="6804" spans="1:40" x14ac:dyDescent="0.25">
      <c r="A6804" t="str">
        <f>"20190303162952961"</f>
        <v>20190303162952961</v>
      </c>
      <c r="B6804" t="str">
        <f>"1551601792948275"</f>
        <v>1551601792948275</v>
      </c>
      <c r="C6804" t="s">
        <v>40</v>
      </c>
      <c r="D6804">
        <v>5.1012029999999999</v>
      </c>
      <c r="E6804">
        <v>0.51339509999999999</v>
      </c>
      <c r="F6804" t="s">
        <v>41</v>
      </c>
      <c r="G6804">
        <v>-186.54409999999999</v>
      </c>
      <c r="H6804" s="1">
        <v>-4.0806079999999997E-6</v>
      </c>
      <c r="I6804">
        <v>107.7158</v>
      </c>
      <c r="J6804">
        <v>-188.42609999999999</v>
      </c>
      <c r="K6804">
        <v>1.1208149999999999</v>
      </c>
      <c r="L6804">
        <v>86.622990000000001</v>
      </c>
      <c r="M6804">
        <v>1.4975870000000001E-2</v>
      </c>
      <c r="N6804">
        <v>-1.194722E-2</v>
      </c>
      <c r="O6804">
        <v>0.9998165</v>
      </c>
      <c r="P6804">
        <v>5.8058680000000001E-2</v>
      </c>
      <c r="Q6804">
        <v>0.19515370000000001</v>
      </c>
      <c r="R6804">
        <v>0.9790527</v>
      </c>
      <c r="S6804">
        <v>0.27157589999999998</v>
      </c>
      <c r="T6804">
        <v>-0.1613125</v>
      </c>
      <c r="U6804">
        <v>3.0801090000000002</v>
      </c>
      <c r="V6804">
        <v>4.3623170000000003E-2</v>
      </c>
      <c r="W6804">
        <v>0.20679690000000001</v>
      </c>
      <c r="X6804">
        <v>0.97741089999999997</v>
      </c>
      <c r="Y6804">
        <v>7.2802420000000007E-2</v>
      </c>
      <c r="Z6804">
        <v>-4.0194870000000001E-2</v>
      </c>
      <c r="AA6804">
        <v>0.99653610000000004</v>
      </c>
      <c r="AB6804">
        <v>32</v>
      </c>
      <c r="AC6804">
        <v>1.8819999999999999</v>
      </c>
      <c r="AD6804">
        <v>-1.1208190806079901</v>
      </c>
      <c r="AE6804">
        <v>21.09281</v>
      </c>
      <c r="AF6804">
        <v>1.5615089514268701</v>
      </c>
      <c r="AG6804">
        <v>-1.1208190806079901</v>
      </c>
      <c r="AH6804">
        <v>21.059636621285399</v>
      </c>
      <c r="AI6804">
        <v>93.0381513870188</v>
      </c>
      <c r="AJ6804">
        <v>85.759449474276494</v>
      </c>
      <c r="AK6804">
        <v>21.147170974800101</v>
      </c>
      <c r="AL6804">
        <v>78.065291909899599</v>
      </c>
      <c r="AM6804">
        <v>87.444507802434799</v>
      </c>
      <c r="AN6804">
        <v>1.0000000031246301</v>
      </c>
    </row>
    <row r="6805" spans="1:40" x14ac:dyDescent="0.25">
      <c r="A6805" t="str">
        <f>"20190303162952984"</f>
        <v>20190303162952984</v>
      </c>
      <c r="B6805" t="str">
        <f>"1551601792978530"</f>
        <v>1551601792978530</v>
      </c>
      <c r="C6805" t="s">
        <v>40</v>
      </c>
      <c r="D6805">
        <v>5.0870569999999997</v>
      </c>
      <c r="E6805">
        <v>0.51333059999999997</v>
      </c>
      <c r="F6805" t="s">
        <v>41</v>
      </c>
      <c r="G6805">
        <v>-186.49029999999999</v>
      </c>
      <c r="H6805" s="1">
        <v>-4.5661460000000002E-6</v>
      </c>
      <c r="I6805">
        <v>108.8254</v>
      </c>
      <c r="J6805">
        <v>-188.42080000000001</v>
      </c>
      <c r="K6805">
        <v>1.120827</v>
      </c>
      <c r="L6805">
        <v>86.944310000000002</v>
      </c>
      <c r="M6805">
        <v>1.5460410000000001E-2</v>
      </c>
      <c r="N6805">
        <v>-1.1947559999999999E-2</v>
      </c>
      <c r="O6805">
        <v>0.99980910000000001</v>
      </c>
      <c r="P6805">
        <v>5.835394E-2</v>
      </c>
      <c r="Q6805">
        <v>0.19608809999999999</v>
      </c>
      <c r="R6805">
        <v>0.97884850000000001</v>
      </c>
      <c r="S6805">
        <v>0.26847840000000001</v>
      </c>
      <c r="T6805">
        <v>-0.1554468</v>
      </c>
      <c r="U6805">
        <v>3.0792540000000002</v>
      </c>
      <c r="V6805">
        <v>4.34422E-2</v>
      </c>
      <c r="W6805">
        <v>0.20773030000000001</v>
      </c>
      <c r="X6805">
        <v>0.97722100000000001</v>
      </c>
      <c r="Y6805">
        <v>7.1356149999999993E-2</v>
      </c>
      <c r="Z6805">
        <v>-3.8321420000000002E-2</v>
      </c>
      <c r="AA6805">
        <v>0.99671449999999995</v>
      </c>
      <c r="AB6805">
        <v>32</v>
      </c>
      <c r="AC6805">
        <v>1.9305000000000201</v>
      </c>
      <c r="AD6805">
        <v>-1.120831566146</v>
      </c>
      <c r="AE6805">
        <v>21.88109</v>
      </c>
      <c r="AF6805">
        <v>1.5878204065985</v>
      </c>
      <c r="AG6805">
        <v>-1.120831566146</v>
      </c>
      <c r="AH6805">
        <v>21.8514303396543</v>
      </c>
      <c r="AI6805">
        <v>92.928607187924698</v>
      </c>
      <c r="AJ6805">
        <v>85.8439428538328</v>
      </c>
      <c r="AK6805">
        <v>21.9376946129725</v>
      </c>
      <c r="AL6805">
        <v>78.010624812637303</v>
      </c>
      <c r="AM6805">
        <v>87.454601360447896</v>
      </c>
      <c r="AN6805">
        <v>0.99999999255996497</v>
      </c>
    </row>
    <row r="6806" spans="1:40" x14ac:dyDescent="0.25">
      <c r="A6806" t="str">
        <f>"20190303162953007"</f>
        <v>20190303162953007</v>
      </c>
      <c r="B6806" t="str">
        <f>"1551601792999027"</f>
        <v>1551601792999027</v>
      </c>
      <c r="C6806" t="s">
        <v>40</v>
      </c>
      <c r="D6806">
        <v>5.1476480000000002</v>
      </c>
      <c r="E6806">
        <v>0.51303759999999998</v>
      </c>
      <c r="F6806" t="s">
        <v>41</v>
      </c>
      <c r="G6806">
        <v>-186.37049999999999</v>
      </c>
      <c r="H6806" s="1">
        <v>-1.2676210000000001E-6</v>
      </c>
      <c r="I6806">
        <v>110.5352</v>
      </c>
      <c r="J6806">
        <v>-188.41499999999999</v>
      </c>
      <c r="K6806">
        <v>1.1208400000000001</v>
      </c>
      <c r="L6806">
        <v>87.28546</v>
      </c>
      <c r="M6806">
        <v>1.596096E-2</v>
      </c>
      <c r="N6806">
        <v>-1.1947889999999999E-2</v>
      </c>
      <c r="O6806">
        <v>0.99980119999999895</v>
      </c>
      <c r="P6806">
        <v>5.9538760000000003E-2</v>
      </c>
      <c r="Q6806">
        <v>0.1964882</v>
      </c>
      <c r="R6806">
        <v>0.97869680000000003</v>
      </c>
      <c r="S6806">
        <v>0.2675323</v>
      </c>
      <c r="T6806">
        <v>-0.14624799999999999</v>
      </c>
      <c r="U6806">
        <v>3.0781860000000001</v>
      </c>
      <c r="V6806">
        <v>4.4133480000000003E-2</v>
      </c>
      <c r="W6806">
        <v>0.20813000000000001</v>
      </c>
      <c r="X6806">
        <v>0.977105</v>
      </c>
      <c r="Y6806">
        <v>7.0593630000000004E-2</v>
      </c>
      <c r="Z6806">
        <v>-3.5370770000000003E-2</v>
      </c>
      <c r="AA6806">
        <v>0.99687780000000004</v>
      </c>
      <c r="AB6806">
        <v>32</v>
      </c>
      <c r="AC6806">
        <v>2.0445000000000002</v>
      </c>
      <c r="AD6806">
        <v>-1.120841267621</v>
      </c>
      <c r="AE6806">
        <v>23.249739999999999</v>
      </c>
      <c r="AF6806">
        <v>1.6692750877496501</v>
      </c>
      <c r="AG6806">
        <v>-1.120841267621</v>
      </c>
      <c r="AH6806">
        <v>23.225847798979402</v>
      </c>
      <c r="AI6806">
        <v>92.755759491888099</v>
      </c>
      <c r="AJ6806">
        <v>85.889138415919604</v>
      </c>
      <c r="AK6806">
        <v>23.312716925471001</v>
      </c>
      <c r="AL6806">
        <v>77.987212317196096</v>
      </c>
      <c r="AM6806">
        <v>87.413845331952601</v>
      </c>
      <c r="AN6806">
        <v>1.0000000209909501</v>
      </c>
    </row>
    <row r="6807" spans="1:40" x14ac:dyDescent="0.25">
      <c r="A6807" t="str">
        <f>"20190303162953028"</f>
        <v>20190303162953028</v>
      </c>
      <c r="B6807" t="str">
        <f>"1551601793018547"</f>
        <v>1551601793018547</v>
      </c>
      <c r="C6807" t="s">
        <v>40</v>
      </c>
      <c r="D6807">
        <v>5.1427209999999999</v>
      </c>
      <c r="E6807">
        <v>0.51298149999999998</v>
      </c>
      <c r="F6807" t="s">
        <v>41</v>
      </c>
      <c r="G6807">
        <v>-186.30420000000001</v>
      </c>
      <c r="H6807" s="1">
        <v>-1.632491E-6</v>
      </c>
      <c r="I6807">
        <v>111.5556</v>
      </c>
      <c r="J6807">
        <v>-188.40950000000001</v>
      </c>
      <c r="K6807">
        <v>1.120857</v>
      </c>
      <c r="L6807">
        <v>87.594149999999999</v>
      </c>
      <c r="M6807">
        <v>1.6404390000000001E-2</v>
      </c>
      <c r="N6807">
        <v>-1.1948200000000001E-2</v>
      </c>
      <c r="O6807">
        <v>0.99979410000000002</v>
      </c>
      <c r="P6807">
        <v>6.0492459999999998E-2</v>
      </c>
      <c r="Q6807">
        <v>0.19656019999999999</v>
      </c>
      <c r="R6807">
        <v>0.97862389999999999</v>
      </c>
      <c r="S6807">
        <v>0.26765440000000001</v>
      </c>
      <c r="T6807">
        <v>-0.14212720000000001</v>
      </c>
      <c r="U6807">
        <v>3.0775450000000002</v>
      </c>
      <c r="V6807">
        <v>4.4649090000000002E-2</v>
      </c>
      <c r="W6807">
        <v>0.20820230000000001</v>
      </c>
      <c r="X6807">
        <v>0.9770662</v>
      </c>
      <c r="Y6807">
        <v>7.0213029999999996E-2</v>
      </c>
      <c r="Z6807">
        <v>-3.4049699999999898E-2</v>
      </c>
      <c r="AA6807">
        <v>0.99695069999999997</v>
      </c>
      <c r="AB6807">
        <v>32</v>
      </c>
      <c r="AC6807">
        <v>2.1053000000000002</v>
      </c>
      <c r="AD6807">
        <v>-1.1208586324909999</v>
      </c>
      <c r="AE6807">
        <v>23.961449999999999</v>
      </c>
      <c r="AF6807">
        <v>1.7082064932298899</v>
      </c>
      <c r="AG6807">
        <v>-1.1208586324909999</v>
      </c>
      <c r="AH6807">
        <v>23.940779370362002</v>
      </c>
      <c r="AI6807">
        <v>92.673727150912399</v>
      </c>
      <c r="AJ6807">
        <v>85.918786282459195</v>
      </c>
      <c r="AK6807">
        <v>24.027800780718401</v>
      </c>
      <c r="AL6807">
        <v>77.982977395009897</v>
      </c>
      <c r="AM6807">
        <v>87.383569361079793</v>
      </c>
      <c r="AN6807">
        <v>1.0000000490727701</v>
      </c>
    </row>
    <row r="6808" spans="1:40" x14ac:dyDescent="0.25">
      <c r="A6808" t="str">
        <f>"20190303162953075"</f>
        <v>20190303162953075</v>
      </c>
      <c r="B6808" t="str">
        <f>"1551601793068323"</f>
        <v>1551601793068323</v>
      </c>
      <c r="C6808" t="s">
        <v>40</v>
      </c>
      <c r="D6808">
        <v>6.1352370000000001</v>
      </c>
      <c r="E6808">
        <v>0.4960754</v>
      </c>
      <c r="F6808" t="s">
        <v>41</v>
      </c>
      <c r="G6808">
        <v>-186.2321</v>
      </c>
      <c r="H6808" s="1">
        <v>-1.9463930000000001E-6</v>
      </c>
      <c r="I6808">
        <v>112.4216</v>
      </c>
      <c r="J6808">
        <v>-188.3974</v>
      </c>
      <c r="K6808">
        <v>1.120879</v>
      </c>
      <c r="L6808">
        <v>88.259979999999999</v>
      </c>
      <c r="M6808">
        <v>1.7324429999999998E-2</v>
      </c>
      <c r="N6808">
        <v>-1.194871E-2</v>
      </c>
      <c r="O6808">
        <v>0.99977850000000001</v>
      </c>
      <c r="P6808">
        <v>6.1951880000000001E-2</v>
      </c>
      <c r="Q6808">
        <v>0.19554730000000001</v>
      </c>
      <c r="R6808">
        <v>0.97873549999999998</v>
      </c>
      <c r="S6808">
        <v>0.26983639999999998</v>
      </c>
      <c r="T6808">
        <v>-0.13890279999999999</v>
      </c>
      <c r="U6808">
        <v>3.0767519999999999</v>
      </c>
      <c r="V6808">
        <v>4.5193499999999998E-2</v>
      </c>
      <c r="W6808">
        <v>0.20719389999999999</v>
      </c>
      <c r="X6808">
        <v>0.97725550000000005</v>
      </c>
      <c r="Y6808">
        <v>7.0022440000000005E-2</v>
      </c>
      <c r="Z6808">
        <v>-3.3017650000000003E-2</v>
      </c>
      <c r="AA6808">
        <v>0.99699879999999996</v>
      </c>
      <c r="AB6808">
        <v>32</v>
      </c>
      <c r="AC6808">
        <v>2.1652999999999998</v>
      </c>
      <c r="AD6808">
        <v>-1.1208809463930001</v>
      </c>
      <c r="AE6808">
        <v>24.161619999999999</v>
      </c>
      <c r="AF6808">
        <v>1.7426383094123501</v>
      </c>
      <c r="AG6808">
        <v>-1.1208809463930001</v>
      </c>
      <c r="AH6808">
        <v>24.143961828632001</v>
      </c>
      <c r="AI6808">
        <v>92.651155400126498</v>
      </c>
      <c r="AJ6808">
        <v>85.871722372471893</v>
      </c>
      <c r="AK6808">
        <v>24.232706311013999</v>
      </c>
      <c r="AL6808">
        <v>78.042042364208299</v>
      </c>
      <c r="AM6808">
        <v>87.352224412479202</v>
      </c>
      <c r="AN6808">
        <v>1.00000003845985</v>
      </c>
    </row>
    <row r="6809" spans="1:40" x14ac:dyDescent="0.25">
      <c r="A6809" t="str">
        <f>"20190303162953096"</f>
        <v>20190303162953096</v>
      </c>
      <c r="B6809" t="str">
        <f>"1551601793088819"</f>
        <v>1551601793088819</v>
      </c>
      <c r="C6809" t="s">
        <v>40</v>
      </c>
      <c r="D6809">
        <v>5.0634579999999998</v>
      </c>
      <c r="E6809">
        <v>0.49567850000000002</v>
      </c>
      <c r="F6809" t="s">
        <v>56</v>
      </c>
      <c r="G6809">
        <v>-186.38759999999999</v>
      </c>
      <c r="H6809" s="1">
        <v>-5.8658219999999898E-6</v>
      </c>
      <c r="I6809">
        <v>132.13919999999999</v>
      </c>
      <c r="J6809">
        <v>-188.39160000000001</v>
      </c>
      <c r="K6809">
        <v>1.120889</v>
      </c>
      <c r="L6809">
        <v>88.571259999999995</v>
      </c>
      <c r="M6809">
        <v>1.7736430000000001E-2</v>
      </c>
      <c r="N6809">
        <v>-1.1949059999999999E-2</v>
      </c>
      <c r="O6809">
        <v>0.99977130000000003</v>
      </c>
      <c r="P6809">
        <v>6.3570340000000003E-2</v>
      </c>
      <c r="Q6809">
        <v>0.1953994</v>
      </c>
      <c r="R6809">
        <v>0.97866129999999996</v>
      </c>
      <c r="S6809">
        <v>0.1407013</v>
      </c>
      <c r="T6809">
        <v>-7.8472500000000001E-2</v>
      </c>
      <c r="U6809">
        <v>3.0719599999999998</v>
      </c>
      <c r="V6809">
        <v>4.6403880000000002E-2</v>
      </c>
      <c r="W6809">
        <v>0.20704549999999999</v>
      </c>
      <c r="X6809">
        <v>0.97723020000000005</v>
      </c>
      <c r="Y6809">
        <v>2.8017029999999998E-2</v>
      </c>
      <c r="Z6809">
        <v>-1.3569889999999999E-2</v>
      </c>
      <c r="AA6809">
        <v>0.99951540000000005</v>
      </c>
      <c r="AB6809">
        <v>32</v>
      </c>
      <c r="AC6809">
        <v>2.0040000000000102</v>
      </c>
      <c r="AD6809">
        <v>-1.1208948658219999</v>
      </c>
      <c r="AE6809">
        <v>43.567939999999901</v>
      </c>
      <c r="AF6809">
        <v>1.23007735989259</v>
      </c>
      <c r="AG6809">
        <v>-1.1208948658219999</v>
      </c>
      <c r="AH6809">
        <v>43.567855103698797</v>
      </c>
      <c r="AI6809">
        <v>91.473169058153204</v>
      </c>
      <c r="AJ6809">
        <v>88.382763552095398</v>
      </c>
      <c r="AK6809">
        <v>43.599627222585703</v>
      </c>
      <c r="AL6809">
        <v>78.050733192720301</v>
      </c>
      <c r="AM6809">
        <v>87.281345960156202</v>
      </c>
      <c r="AN6809">
        <v>1.00000001147067</v>
      </c>
    </row>
    <row r="6810" spans="1:40" x14ac:dyDescent="0.25">
      <c r="A6810" t="str">
        <f>"20190303162953118"</f>
        <v>20190303162953118</v>
      </c>
      <c r="B6810" t="str">
        <f>"1551601793108338"</f>
        <v>1551601793108338</v>
      </c>
      <c r="C6810" t="s">
        <v>40</v>
      </c>
      <c r="D6810">
        <v>5.1170249999999999</v>
      </c>
      <c r="E6810">
        <v>0.49542079999999999</v>
      </c>
      <c r="F6810" t="s">
        <v>56</v>
      </c>
      <c r="G6810">
        <v>-186.29490000000001</v>
      </c>
      <c r="H6810" s="1">
        <v>-6.483108E-6</v>
      </c>
      <c r="I6810">
        <v>134.0522</v>
      </c>
      <c r="J6810">
        <v>-188.3854</v>
      </c>
      <c r="K6810">
        <v>1.1209009999999999</v>
      </c>
      <c r="L6810">
        <v>88.894649999999999</v>
      </c>
      <c r="M6810">
        <v>1.8153610000000001E-2</v>
      </c>
      <c r="N6810">
        <v>-1.194947E-2</v>
      </c>
      <c r="O6810">
        <v>0.99976379999999998</v>
      </c>
      <c r="P6810">
        <v>6.4569790000000002E-2</v>
      </c>
      <c r="Q6810">
        <v>0.19512479999999999</v>
      </c>
      <c r="R6810">
        <v>0.97865060000000004</v>
      </c>
      <c r="S6810">
        <v>0.141586299999999</v>
      </c>
      <c r="T6810">
        <v>-7.5693960000000005E-2</v>
      </c>
      <c r="U6810">
        <v>3.0713200000000001</v>
      </c>
      <c r="V6810">
        <v>4.698894E-2</v>
      </c>
      <c r="W6810">
        <v>0.2067726</v>
      </c>
      <c r="X6810">
        <v>0.97726000000000002</v>
      </c>
      <c r="Y6810">
        <v>2.789757E-2</v>
      </c>
      <c r="Z6810">
        <v>-1.2671389999999999E-2</v>
      </c>
      <c r="AA6810">
        <v>0.99953049999999999</v>
      </c>
      <c r="AB6810">
        <v>32</v>
      </c>
      <c r="AC6810">
        <v>2.0904999999999898</v>
      </c>
      <c r="AD6810">
        <v>-1.1209074831079999</v>
      </c>
      <c r="AE6810">
        <v>45.157550000000001</v>
      </c>
      <c r="AF6810">
        <v>1.26954382824106</v>
      </c>
      <c r="AG6810">
        <v>-1.1209074831079999</v>
      </c>
      <c r="AH6810">
        <v>45.160294718903401</v>
      </c>
      <c r="AI6810">
        <v>91.421264810903693</v>
      </c>
      <c r="AJ6810">
        <v>88.389728161981097</v>
      </c>
      <c r="AK6810">
        <v>45.192039057955</v>
      </c>
      <c r="AL6810">
        <v>78.066714772390895</v>
      </c>
      <c r="AM6810">
        <v>87.247205392580298</v>
      </c>
      <c r="AN6810">
        <v>0.999999988096541</v>
      </c>
    </row>
    <row r="6811" spans="1:40" x14ac:dyDescent="0.25">
      <c r="A6811" t="str">
        <f>"20190303162953141"</f>
        <v>20190303162953141</v>
      </c>
      <c r="B6811" t="str">
        <f>"1551601793128834"</f>
        <v>1551601793128834</v>
      </c>
      <c r="C6811" t="s">
        <v>40</v>
      </c>
      <c r="D6811">
        <v>5.169073</v>
      </c>
      <c r="E6811">
        <v>0.49534099999999998</v>
      </c>
      <c r="F6811" t="s">
        <v>56</v>
      </c>
      <c r="G6811">
        <v>-186.3886</v>
      </c>
      <c r="H6811" s="1">
        <v>-5.7933269999999998E-6</v>
      </c>
      <c r="I6811">
        <v>131.9128</v>
      </c>
      <c r="J6811">
        <v>-188.37909999999999</v>
      </c>
      <c r="K6811">
        <v>1.1209089999999999</v>
      </c>
      <c r="L6811">
        <v>89.214749999999995</v>
      </c>
      <c r="M6811">
        <v>1.8556119999999999E-2</v>
      </c>
      <c r="N6811">
        <v>-1.1949619999999999E-2</v>
      </c>
      <c r="O6811">
        <v>0.99975639999999999</v>
      </c>
      <c r="P6811">
        <v>6.4262089999999994E-2</v>
      </c>
      <c r="Q6811">
        <v>0.1949591</v>
      </c>
      <c r="R6811">
        <v>0.97870389999999996</v>
      </c>
      <c r="S6811">
        <v>0.14259340000000001</v>
      </c>
      <c r="T6811">
        <v>-8.0046530000000005E-2</v>
      </c>
      <c r="U6811">
        <v>3.0720209999999999</v>
      </c>
      <c r="V6811">
        <v>4.6280790000000002E-2</v>
      </c>
      <c r="W6811">
        <v>0.20660980000000001</v>
      </c>
      <c r="X6811">
        <v>0.97732819999999998</v>
      </c>
      <c r="Y6811">
        <v>2.7810499999999998E-2</v>
      </c>
      <c r="Z6811">
        <v>-1.407974E-2</v>
      </c>
      <c r="AA6811">
        <v>0.99951400000000001</v>
      </c>
      <c r="AB6811">
        <v>32</v>
      </c>
      <c r="AC6811">
        <v>1.9904999999999899</v>
      </c>
      <c r="AD6811">
        <v>-1.1209147933269901</v>
      </c>
      <c r="AE6811">
        <v>42.698050000000002</v>
      </c>
      <c r="AF6811">
        <v>1.1969673761828401</v>
      </c>
      <c r="AG6811">
        <v>-1.1209147933269901</v>
      </c>
      <c r="AH6811">
        <v>42.698273067378999</v>
      </c>
      <c r="AI6811">
        <v>91.503192789792394</v>
      </c>
      <c r="AJ6811">
        <v>88.3942389846016</v>
      </c>
      <c r="AK6811">
        <v>42.7297519745903</v>
      </c>
      <c r="AL6811">
        <v>78.076248121829295</v>
      </c>
      <c r="AM6811">
        <v>87.288818111807998</v>
      </c>
      <c r="AN6811">
        <v>0.999999965747151</v>
      </c>
    </row>
    <row r="6812" spans="1:40" x14ac:dyDescent="0.25">
      <c r="A6812" t="str">
        <f>"20190303162953162"</f>
        <v>20190303162953162</v>
      </c>
      <c r="B6812" t="str">
        <f>"1551601793148355"</f>
        <v>1551601793148355</v>
      </c>
      <c r="C6812" t="s">
        <v>40</v>
      </c>
      <c r="D6812">
        <v>5.178051</v>
      </c>
      <c r="E6812">
        <v>0.4952646</v>
      </c>
      <c r="F6812" t="s">
        <v>56</v>
      </c>
      <c r="G6812">
        <v>-186.4726</v>
      </c>
      <c r="H6812" s="1">
        <v>-5.3334130000000002E-6</v>
      </c>
      <c r="I6812">
        <v>130.49019999999999</v>
      </c>
      <c r="J6812">
        <v>-188.37289999999999</v>
      </c>
      <c r="K6812">
        <v>1.1209070000000001</v>
      </c>
      <c r="L6812">
        <v>89.527799999999999</v>
      </c>
      <c r="M6812">
        <v>1.8941099999999999E-2</v>
      </c>
      <c r="N6812">
        <v>-1.194975E-2</v>
      </c>
      <c r="O6812">
        <v>0.9997492</v>
      </c>
      <c r="P6812">
        <v>6.3828010000000004E-2</v>
      </c>
      <c r="Q6812">
        <v>0.19516359999999999</v>
      </c>
      <c r="R6812">
        <v>0.97869159999999999</v>
      </c>
      <c r="S6812">
        <v>0.14192199999999999</v>
      </c>
      <c r="T6812">
        <v>-8.3441500000000002E-2</v>
      </c>
      <c r="U6812">
        <v>3.0725709999999999</v>
      </c>
      <c r="V6812">
        <v>4.5465709999999999E-2</v>
      </c>
      <c r="W6812">
        <v>0.206816</v>
      </c>
      <c r="X6812">
        <v>0.97732289999999999</v>
      </c>
      <c r="Y6812">
        <v>2.7198569999999998E-2</v>
      </c>
      <c r="Z6812">
        <v>-1.517805E-2</v>
      </c>
      <c r="AA6812">
        <v>0.99951480000000004</v>
      </c>
      <c r="AB6812">
        <v>32</v>
      </c>
      <c r="AC6812">
        <v>1.9002999999999799</v>
      </c>
      <c r="AD6812">
        <v>-1.12091233341299</v>
      </c>
      <c r="AE6812">
        <v>40.962399999999903</v>
      </c>
      <c r="AF6812">
        <v>1.1231914804477099</v>
      </c>
      <c r="AG6812">
        <v>-1.12091233341299</v>
      </c>
      <c r="AH6812">
        <v>40.960440909312098</v>
      </c>
      <c r="AI6812">
        <v>91.5669608409831</v>
      </c>
      <c r="AJ6812">
        <v>88.429264742013302</v>
      </c>
      <c r="AK6812">
        <v>40.991166402606702</v>
      </c>
      <c r="AL6812">
        <v>78.064173581390904</v>
      </c>
      <c r="AM6812">
        <v>87.336482636408206</v>
      </c>
      <c r="AN6812">
        <v>1.0000000197531</v>
      </c>
    </row>
    <row r="6813" spans="1:40" x14ac:dyDescent="0.25">
      <c r="A6813" t="str">
        <f>"20190303162953185"</f>
        <v>20190303162953185</v>
      </c>
      <c r="B6813" t="str">
        <f>"1551601793178611"</f>
        <v>1551601793178611</v>
      </c>
      <c r="C6813" t="s">
        <v>40</v>
      </c>
      <c r="D6813">
        <v>5.0378559999999997</v>
      </c>
      <c r="E6813">
        <v>0.49535010000000002</v>
      </c>
      <c r="F6813" t="s">
        <v>56</v>
      </c>
      <c r="G6813">
        <v>-186.4546</v>
      </c>
      <c r="H6813" s="1">
        <v>-5.6572370000000002E-6</v>
      </c>
      <c r="I6813">
        <v>131.49930000000001</v>
      </c>
      <c r="J6813">
        <v>-188.36619999999999</v>
      </c>
      <c r="K6813">
        <v>1.1209150000000001</v>
      </c>
      <c r="L6813">
        <v>89.857479999999995</v>
      </c>
      <c r="M6813">
        <v>1.9339100000000001E-2</v>
      </c>
      <c r="N6813">
        <v>-1.1949939999999999E-2</v>
      </c>
      <c r="O6813">
        <v>0.99974160000000001</v>
      </c>
      <c r="P6813">
        <v>6.3799159999999994E-2</v>
      </c>
      <c r="Q6813">
        <v>0.19520889999999999</v>
      </c>
      <c r="R6813">
        <v>0.97868440000000001</v>
      </c>
      <c r="S6813">
        <v>0.14042660000000001</v>
      </c>
      <c r="T6813">
        <v>-8.2056050000000005E-2</v>
      </c>
      <c r="U6813">
        <v>3.0725099999999999</v>
      </c>
      <c r="V6813">
        <v>4.5043510000000002E-2</v>
      </c>
      <c r="W6813">
        <v>0.20686270000000001</v>
      </c>
      <c r="X6813">
        <v>0.97733250000000005</v>
      </c>
      <c r="Y6813">
        <v>2.631667E-2</v>
      </c>
      <c r="Z6813">
        <v>-1.4728669999999999E-2</v>
      </c>
      <c r="AA6813">
        <v>0.99954520000000002</v>
      </c>
      <c r="AB6813">
        <v>32</v>
      </c>
      <c r="AC6813">
        <v>1.91159999999999</v>
      </c>
      <c r="AD6813">
        <v>-1.1209206572370001</v>
      </c>
      <c r="AE6813">
        <v>41.641820000000003</v>
      </c>
      <c r="AF6813">
        <v>1.10507061035681</v>
      </c>
      <c r="AG6813">
        <v>-1.1209206572370001</v>
      </c>
      <c r="AH6813">
        <v>41.640893398909597</v>
      </c>
      <c r="AI6813">
        <v>91.541415767428404</v>
      </c>
      <c r="AJ6813">
        <v>88.479835102089794</v>
      </c>
      <c r="AK6813">
        <v>41.670632911356797</v>
      </c>
      <c r="AL6813">
        <v>78.061437942657903</v>
      </c>
      <c r="AM6813">
        <v>87.361207134734698</v>
      </c>
      <c r="AN6813">
        <v>0.99999995500032901</v>
      </c>
    </row>
    <row r="6814" spans="1:40" x14ac:dyDescent="0.25">
      <c r="A6814" t="str">
        <f>"20190303162953208"</f>
        <v>20190303162953208</v>
      </c>
      <c r="B6814" t="str">
        <f>"1551601793199106"</f>
        <v>1551601793199106</v>
      </c>
      <c r="C6814" t="s">
        <v>40</v>
      </c>
      <c r="D6814">
        <v>5.3738760000000001</v>
      </c>
      <c r="E6814">
        <v>0.49560559999999998</v>
      </c>
      <c r="F6814" t="s">
        <v>56</v>
      </c>
      <c r="G6814">
        <v>-186.50460000000001</v>
      </c>
      <c r="H6814" s="1">
        <v>-5.3698319999999999E-6</v>
      </c>
      <c r="I6814">
        <v>130.60990000000001</v>
      </c>
      <c r="J6814">
        <v>-188.35910000000001</v>
      </c>
      <c r="K6814">
        <v>1.1209249999999999</v>
      </c>
      <c r="L6814">
        <v>90.198790000000002</v>
      </c>
      <c r="M6814">
        <v>1.974422E-2</v>
      </c>
      <c r="N6814">
        <v>-1.195011E-2</v>
      </c>
      <c r="O6814">
        <v>0.9997336</v>
      </c>
      <c r="P6814">
        <v>6.3575950000000006E-2</v>
      </c>
      <c r="Q6814">
        <v>0.1961562</v>
      </c>
      <c r="R6814">
        <v>0.97850950000000003</v>
      </c>
      <c r="S6814">
        <v>0.1403809</v>
      </c>
      <c r="T6814">
        <v>-8.4526420000000005E-2</v>
      </c>
      <c r="U6814">
        <v>3.0730590000000002</v>
      </c>
      <c r="V6814">
        <v>4.4424489999999997E-2</v>
      </c>
      <c r="W6814">
        <v>0.2078091</v>
      </c>
      <c r="X6814">
        <v>0.97716009999999998</v>
      </c>
      <c r="Y6814">
        <v>2.5888000000000001E-2</v>
      </c>
      <c r="Z6814">
        <v>-1.5526099999999999E-2</v>
      </c>
      <c r="AA6814">
        <v>0.99954430000000005</v>
      </c>
      <c r="AB6814">
        <v>32</v>
      </c>
      <c r="AC6814">
        <v>1.8545</v>
      </c>
      <c r="AD6814">
        <v>-1.1209303698319999</v>
      </c>
      <c r="AE6814">
        <v>40.411110000000001</v>
      </c>
      <c r="AF6814">
        <v>1.0553852665147101</v>
      </c>
      <c r="AG6814">
        <v>-1.1209303698319999</v>
      </c>
      <c r="AH6814">
        <v>40.408824098460997</v>
      </c>
      <c r="AI6814">
        <v>91.588421292602703</v>
      </c>
      <c r="AJ6814">
        <v>88.503906531328099</v>
      </c>
      <c r="AK6814">
        <v>40.438142736470397</v>
      </c>
      <c r="AL6814">
        <v>78.006009384288802</v>
      </c>
      <c r="AM6814">
        <v>87.396962556797405</v>
      </c>
      <c r="AN6814">
        <v>1.0000000091932899</v>
      </c>
    </row>
    <row r="6815" spans="1:40" x14ac:dyDescent="0.25">
      <c r="A6815" t="str">
        <f>"20190303162953230"</f>
        <v>20190303162953230</v>
      </c>
      <c r="B6815" t="str">
        <f>"1551601793218626"</f>
        <v>1551601793218626</v>
      </c>
      <c r="C6815" t="s">
        <v>40</v>
      </c>
      <c r="D6815">
        <v>5.2012269999999896</v>
      </c>
      <c r="E6815">
        <v>0.49553839999999999</v>
      </c>
      <c r="F6815" t="s">
        <v>56</v>
      </c>
      <c r="G6815">
        <v>-186.4802</v>
      </c>
      <c r="H6815" s="1">
        <v>-5.4403119999999997E-6</v>
      </c>
      <c r="I6815">
        <v>130.82579999999999</v>
      </c>
      <c r="J6815">
        <v>-188.3528</v>
      </c>
      <c r="K6815">
        <v>1.1209260000000001</v>
      </c>
      <c r="L6815">
        <v>90.501649999999998</v>
      </c>
      <c r="M6815">
        <v>2.009961E-2</v>
      </c>
      <c r="N6815">
        <v>-1.1950219999999999E-2</v>
      </c>
      <c r="O6815">
        <v>0.99972649999999996</v>
      </c>
      <c r="P6815">
        <v>6.3053650000000003E-2</v>
      </c>
      <c r="Q6815">
        <v>0.19615940000000001</v>
      </c>
      <c r="R6815">
        <v>0.97854269999999999</v>
      </c>
      <c r="S6815">
        <v>0.1421509</v>
      </c>
      <c r="T6815">
        <v>-8.4804889999999994E-2</v>
      </c>
      <c r="U6815">
        <v>3.0736690000000002</v>
      </c>
      <c r="V6815">
        <v>4.3551140000000002E-2</v>
      </c>
      <c r="W6815">
        <v>0.20781430000000001</v>
      </c>
      <c r="X6815">
        <v>0.97719829999999996</v>
      </c>
      <c r="Y6815">
        <v>2.6097849999999999E-2</v>
      </c>
      <c r="Z6815">
        <v>-1.5610399999999899E-2</v>
      </c>
      <c r="AA6815">
        <v>0.99953749999999997</v>
      </c>
      <c r="AB6815">
        <v>32</v>
      </c>
      <c r="AC6815">
        <v>1.8726</v>
      </c>
      <c r="AD6815">
        <v>-1.1209314403120001</v>
      </c>
      <c r="AE6815">
        <v>40.324149999999896</v>
      </c>
      <c r="AF6815">
        <v>1.0608460469885701</v>
      </c>
      <c r="AG6815">
        <v>-1.1209314403120001</v>
      </c>
      <c r="AH6815">
        <v>40.322552480981798</v>
      </c>
      <c r="AI6815">
        <v>91.591811579383602</v>
      </c>
      <c r="AJ6815">
        <v>88.492952960724097</v>
      </c>
      <c r="AK6815">
        <v>40.352077024743302</v>
      </c>
      <c r="AL6815">
        <v>78.005704700675693</v>
      </c>
      <c r="AM6815">
        <v>87.448167492890704</v>
      </c>
      <c r="AN6815">
        <v>1.0000000013013299</v>
      </c>
    </row>
    <row r="6816" spans="1:40" x14ac:dyDescent="0.25">
      <c r="A6816" t="str">
        <f>"20190303162953253"</f>
        <v>20190303162953253</v>
      </c>
      <c r="B6816" t="str">
        <f>"1551601793239123"</f>
        <v>1551601793239123</v>
      </c>
      <c r="C6816" t="s">
        <v>40</v>
      </c>
      <c r="D6816">
        <v>5.4339389999999996</v>
      </c>
      <c r="E6816">
        <v>0.4955639</v>
      </c>
      <c r="F6816" t="s">
        <v>56</v>
      </c>
      <c r="G6816">
        <v>-186.5181</v>
      </c>
      <c r="H6816" s="1">
        <v>-5.3692269999999999E-6</v>
      </c>
      <c r="I6816">
        <v>130.6105</v>
      </c>
      <c r="J6816">
        <v>-188.34569999999999</v>
      </c>
      <c r="K6816">
        <v>1.1209290000000001</v>
      </c>
      <c r="L6816">
        <v>90.836939999999998</v>
      </c>
      <c r="M6816">
        <v>2.0490000000000001E-2</v>
      </c>
      <c r="N6816">
        <v>-1.195045E-2</v>
      </c>
      <c r="O6816">
        <v>0.99971860000000001</v>
      </c>
      <c r="P6816">
        <v>6.2281429999999999E-2</v>
      </c>
      <c r="Q6816">
        <v>0.19595570000000001</v>
      </c>
      <c r="R6816">
        <v>0.97863290000000003</v>
      </c>
      <c r="S6816">
        <v>0.1406097</v>
      </c>
      <c r="T6816">
        <v>-8.5908289999999998E-2</v>
      </c>
      <c r="U6816">
        <v>3.073944</v>
      </c>
      <c r="V6816">
        <v>4.23925E-2</v>
      </c>
      <c r="W6816">
        <v>0.2076133</v>
      </c>
      <c r="X6816">
        <v>0.97729200000000005</v>
      </c>
      <c r="Y6816">
        <v>2.520319E-2</v>
      </c>
      <c r="Z6816">
        <v>-1.5966350000000001E-2</v>
      </c>
      <c r="AA6816">
        <v>0.99955479999999997</v>
      </c>
      <c r="AB6816">
        <v>32</v>
      </c>
      <c r="AC6816">
        <v>1.8275999999999799</v>
      </c>
      <c r="AD6816">
        <v>-1.120934369227</v>
      </c>
      <c r="AE6816">
        <v>39.773559999999897</v>
      </c>
      <c r="AF6816">
        <v>1.0113961482092599</v>
      </c>
      <c r="AG6816">
        <v>-1.120934369227</v>
      </c>
      <c r="AH6816">
        <v>39.771136160423602</v>
      </c>
      <c r="AI6816">
        <v>91.6139108882887</v>
      </c>
      <c r="AJ6816">
        <v>88.543259025910501</v>
      </c>
      <c r="AK6816">
        <v>39.799782505934402</v>
      </c>
      <c r="AL6816">
        <v>78.017478277618196</v>
      </c>
      <c r="AM6816">
        <v>87.516208430894395</v>
      </c>
      <c r="AN6816">
        <v>1.0000000298285601</v>
      </c>
    </row>
    <row r="6817" spans="1:40" x14ac:dyDescent="0.25">
      <c r="A6817" t="str">
        <f>"20190303162953320"</f>
        <v>20190303162953320</v>
      </c>
      <c r="B6817" t="str">
        <f>"1551601793308418"</f>
        <v>1551601793308418</v>
      </c>
      <c r="C6817" t="s">
        <v>40</v>
      </c>
      <c r="D6817">
        <v>5.4815870000000002</v>
      </c>
      <c r="E6817">
        <v>0.4956354</v>
      </c>
      <c r="F6817" t="s">
        <v>56</v>
      </c>
      <c r="G6817">
        <v>-186.56489999999999</v>
      </c>
      <c r="H6817" s="1">
        <v>-5.1920819999999997E-6</v>
      </c>
      <c r="I6817">
        <v>130.0652</v>
      </c>
      <c r="J6817">
        <v>-188.32419999999999</v>
      </c>
      <c r="K6817">
        <v>1.1209499999999999</v>
      </c>
      <c r="L6817">
        <v>91.808040000000005</v>
      </c>
      <c r="M6817">
        <v>2.1610420000000002E-2</v>
      </c>
      <c r="N6817">
        <v>-1.19515E-2</v>
      </c>
      <c r="O6817">
        <v>0.999695</v>
      </c>
      <c r="P6817">
        <v>5.949774E-2</v>
      </c>
      <c r="Q6817">
        <v>0.19613639999999999</v>
      </c>
      <c r="R6817">
        <v>0.97876989999999997</v>
      </c>
      <c r="S6817">
        <v>0.13955689999999901</v>
      </c>
      <c r="T6817">
        <v>-8.7844850000000002E-2</v>
      </c>
      <c r="U6817">
        <v>3.0742189999999998</v>
      </c>
      <c r="V6817">
        <v>3.8504879999999998E-2</v>
      </c>
      <c r="W6817">
        <v>0.20780080000000001</v>
      </c>
      <c r="X6817">
        <v>0.97741299999999998</v>
      </c>
      <c r="Y6817">
        <v>2.3736879999999998E-2</v>
      </c>
      <c r="Z6817">
        <v>-1.659151E-2</v>
      </c>
      <c r="AA6817">
        <v>0.99958060000000004</v>
      </c>
      <c r="AB6817">
        <v>32</v>
      </c>
      <c r="AC6817">
        <v>1.7592999999999901</v>
      </c>
      <c r="AD6817">
        <v>-1.12095519208199</v>
      </c>
      <c r="AE6817">
        <v>38.257159999999999</v>
      </c>
      <c r="AF6817">
        <v>0.93127888011833004</v>
      </c>
      <c r="AG6817">
        <v>-1.12095519208199</v>
      </c>
      <c r="AH6817">
        <v>38.2534742487994</v>
      </c>
      <c r="AI6817">
        <v>91.677981440077502</v>
      </c>
      <c r="AJ6817">
        <v>88.605412638693295</v>
      </c>
      <c r="AK6817">
        <v>38.281224026913797</v>
      </c>
      <c r="AL6817">
        <v>78.006495262757497</v>
      </c>
      <c r="AM6817">
        <v>87.744017221494403</v>
      </c>
      <c r="AN6817">
        <v>0.99999998541672697</v>
      </c>
    </row>
    <row r="6818" spans="1:40" x14ac:dyDescent="0.25">
      <c r="A6818" t="str">
        <f>"20190303162953340"</f>
        <v>20190303162953340</v>
      </c>
      <c r="B6818" t="str">
        <f>"1551601793328915"</f>
        <v>1551601793328915</v>
      </c>
      <c r="C6818" t="s">
        <v>40</v>
      </c>
      <c r="D6818">
        <v>5.4206310000000002</v>
      </c>
      <c r="E6818">
        <v>0.49562309999999998</v>
      </c>
      <c r="F6818" t="s">
        <v>56</v>
      </c>
      <c r="G6818">
        <v>-186.66149999999999</v>
      </c>
      <c r="H6818" s="1">
        <v>-5.1012539999999998E-6</v>
      </c>
      <c r="I6818">
        <v>129.7988</v>
      </c>
      <c r="J6818">
        <v>-188.31729999999999</v>
      </c>
      <c r="K6818">
        <v>1.1209450000000001</v>
      </c>
      <c r="L6818">
        <v>92.111760000000004</v>
      </c>
      <c r="M6818">
        <v>2.1952780000000002E-2</v>
      </c>
      <c r="N6818">
        <v>-1.19518E-2</v>
      </c>
      <c r="O6818">
        <v>0.99968760000000001</v>
      </c>
      <c r="P6818">
        <v>5.8656460000000001E-2</v>
      </c>
      <c r="Q6818">
        <v>0.19411709999999999</v>
      </c>
      <c r="R6818">
        <v>0.97922310000000001</v>
      </c>
      <c r="S6818">
        <v>0.13458249999999999</v>
      </c>
      <c r="T6818">
        <v>-9.0733170000000002E-2</v>
      </c>
      <c r="U6818">
        <v>3.0750730000000002</v>
      </c>
      <c r="V6818">
        <v>3.7314630000000001E-2</v>
      </c>
      <c r="W6818">
        <v>0.20578859999999999</v>
      </c>
      <c r="X6818">
        <v>0.9778848</v>
      </c>
      <c r="Y6818">
        <v>2.176778E-2</v>
      </c>
      <c r="Z6818">
        <v>-1.752196E-2</v>
      </c>
      <c r="AA6818">
        <v>0.99960950000000004</v>
      </c>
      <c r="AB6818">
        <v>32</v>
      </c>
      <c r="AC6818">
        <v>1.6557999999999899</v>
      </c>
      <c r="AD6818">
        <v>-1.120950101254</v>
      </c>
      <c r="AE6818">
        <v>37.687040000000003</v>
      </c>
      <c r="AF6818">
        <v>0.82727607429981598</v>
      </c>
      <c r="AG6818">
        <v>-1.120950101254</v>
      </c>
      <c r="AH6818">
        <v>37.681036851396698</v>
      </c>
      <c r="AI6818">
        <v>91.703544275256903</v>
      </c>
      <c r="AJ6818">
        <v>88.742290073218399</v>
      </c>
      <c r="AK6818">
        <v>37.706782586544399</v>
      </c>
      <c r="AL6818">
        <v>78.124333238714996</v>
      </c>
      <c r="AM6818">
        <v>87.814738465297495</v>
      </c>
      <c r="AN6818">
        <v>1.0000000057865099</v>
      </c>
    </row>
    <row r="6819" spans="1:40" x14ac:dyDescent="0.25">
      <c r="A6819" t="str">
        <f>"20190303162953365"</f>
        <v>20190303162953365</v>
      </c>
      <c r="B6819" t="str">
        <f>"1551601793359171"</f>
        <v>1551601793359171</v>
      </c>
      <c r="C6819" t="s">
        <v>40</v>
      </c>
      <c r="D6819">
        <v>5.4737660000000004</v>
      </c>
      <c r="E6819">
        <v>0.49560340000000003</v>
      </c>
      <c r="F6819" t="s">
        <v>56</v>
      </c>
      <c r="G6819">
        <v>-186.80099999999999</v>
      </c>
      <c r="H6819" s="1">
        <v>-4.0302150000000002E-6</v>
      </c>
      <c r="I6819">
        <v>127.2364</v>
      </c>
      <c r="J6819">
        <v>-188.30950000000001</v>
      </c>
      <c r="K6819">
        <v>1.1209389999999999</v>
      </c>
      <c r="L6819">
        <v>92.449309999999997</v>
      </c>
      <c r="M6819">
        <v>2.232137E-2</v>
      </c>
      <c r="N6819">
        <v>-1.195207E-2</v>
      </c>
      <c r="O6819">
        <v>0.9996794</v>
      </c>
      <c r="P6819">
        <v>5.7635609999999997E-2</v>
      </c>
      <c r="Q6819">
        <v>0.1896967</v>
      </c>
      <c r="R6819">
        <v>0.98014959999999995</v>
      </c>
      <c r="S6819">
        <v>0.13275149999999999</v>
      </c>
      <c r="T6819">
        <v>-9.8139169999999998E-2</v>
      </c>
      <c r="U6819">
        <v>3.0751650000000001</v>
      </c>
      <c r="V6819">
        <v>3.5904289999999998E-2</v>
      </c>
      <c r="W6819">
        <v>0.20138159999999999</v>
      </c>
      <c r="X6819">
        <v>0.97885460000000002</v>
      </c>
      <c r="Y6819">
        <v>2.0801770000000001E-2</v>
      </c>
      <c r="Z6819">
        <v>-1.9924520000000001E-2</v>
      </c>
      <c r="AA6819">
        <v>0.9995851</v>
      </c>
      <c r="AB6819">
        <v>32</v>
      </c>
      <c r="AC6819">
        <v>1.5085000000000199</v>
      </c>
      <c r="AD6819">
        <v>-1.1209430302150001</v>
      </c>
      <c r="AE6819">
        <v>34.787089999999999</v>
      </c>
      <c r="AF6819">
        <v>0.73081572782768101</v>
      </c>
      <c r="AG6819">
        <v>-1.1209430302150001</v>
      </c>
      <c r="AH6819">
        <v>34.776054778887598</v>
      </c>
      <c r="AI6819">
        <v>91.845779047653494</v>
      </c>
      <c r="AJ6819">
        <v>88.796111442771902</v>
      </c>
      <c r="AK6819">
        <v>34.801790052944398</v>
      </c>
      <c r="AL6819">
        <v>78.382237096533501</v>
      </c>
      <c r="AM6819">
        <v>87.899338218921898</v>
      </c>
      <c r="AN6819">
        <v>0.99999999740006196</v>
      </c>
    </row>
    <row r="6820" spans="1:40" x14ac:dyDescent="0.25">
      <c r="A6820" t="str">
        <f>"20190303162953386"</f>
        <v>20190303162953386</v>
      </c>
      <c r="B6820" t="str">
        <f>"1551601793378690"</f>
        <v>1551601793378690</v>
      </c>
      <c r="C6820" t="s">
        <v>40</v>
      </c>
      <c r="D6820">
        <v>5.0765690000000001</v>
      </c>
      <c r="E6820">
        <v>0.49570449999999999</v>
      </c>
      <c r="F6820" t="s">
        <v>56</v>
      </c>
      <c r="G6820">
        <v>-187.0147</v>
      </c>
      <c r="H6820" s="1">
        <v>-2.2721459999999998E-6</v>
      </c>
      <c r="I6820">
        <v>123.01349999999999</v>
      </c>
      <c r="J6820">
        <v>-188.30170000000001</v>
      </c>
      <c r="K6820">
        <v>1.1209340000000001</v>
      </c>
      <c r="L6820">
        <v>92.780640000000005</v>
      </c>
      <c r="M6820">
        <v>2.2663409999999998E-2</v>
      </c>
      <c r="N6820">
        <v>-1.195237E-2</v>
      </c>
      <c r="O6820">
        <v>0.99967169999999905</v>
      </c>
      <c r="P6820">
        <v>5.6968100000000001E-2</v>
      </c>
      <c r="Q6820">
        <v>0.1835116</v>
      </c>
      <c r="R6820">
        <v>0.98136540000000005</v>
      </c>
      <c r="S6820">
        <v>0.1302643</v>
      </c>
      <c r="T6820">
        <v>-0.1127726</v>
      </c>
      <c r="U6820">
        <v>3.0749209999999998</v>
      </c>
      <c r="V6820">
        <v>3.4862289999999997E-2</v>
      </c>
      <c r="W6820">
        <v>0.19521369999999999</v>
      </c>
      <c r="X6820">
        <v>0.98014089999999998</v>
      </c>
      <c r="Y6820">
        <v>1.9651310000000002E-2</v>
      </c>
      <c r="Z6820">
        <v>-2.4675039999999999E-2</v>
      </c>
      <c r="AA6820">
        <v>0.99950240000000001</v>
      </c>
      <c r="AB6820">
        <v>32</v>
      </c>
      <c r="AC6820">
        <v>1.2869999999999999</v>
      </c>
      <c r="AD6820">
        <v>-1.1209362721459999</v>
      </c>
      <c r="AE6820">
        <v>30.232859999999899</v>
      </c>
      <c r="AF6820">
        <v>0.60061657389455703</v>
      </c>
      <c r="AG6820">
        <v>-1.1209362721459999</v>
      </c>
      <c r="AH6820">
        <v>30.212805551737599</v>
      </c>
      <c r="AI6820">
        <v>92.124357614260504</v>
      </c>
      <c r="AJ6820">
        <v>88.8611364628335</v>
      </c>
      <c r="AK6820">
        <v>30.2395578291442</v>
      </c>
      <c r="AL6820">
        <v>78.742792106474198</v>
      </c>
      <c r="AM6820">
        <v>87.962925156017505</v>
      </c>
      <c r="AN6820">
        <v>0.99999997589227096</v>
      </c>
    </row>
    <row r="6821" spans="1:40" x14ac:dyDescent="0.25">
      <c r="A6821" t="str">
        <f>"20190303162953408"</f>
        <v>20190303162953408</v>
      </c>
      <c r="B6821" t="str">
        <f>"1551601793399187"</f>
        <v>1551601793399187</v>
      </c>
      <c r="C6821" t="s">
        <v>40</v>
      </c>
      <c r="D6821">
        <v>5.4713390000000004</v>
      </c>
      <c r="E6821">
        <v>0.49585109999999899</v>
      </c>
      <c r="F6821" t="s">
        <v>41</v>
      </c>
      <c r="G6821">
        <v>-187.20429999999999</v>
      </c>
      <c r="H6821" s="1">
        <v>-4.4174609999999996E-6</v>
      </c>
      <c r="I6821">
        <v>118.774</v>
      </c>
      <c r="J6821">
        <v>-188.29429999999999</v>
      </c>
      <c r="K6821">
        <v>1.1209209999999901</v>
      </c>
      <c r="L6821">
        <v>93.096249999999998</v>
      </c>
      <c r="M6821">
        <v>2.2971789999999999E-2</v>
      </c>
      <c r="N6821">
        <v>-1.195268E-2</v>
      </c>
      <c r="O6821">
        <v>0.99966469999999996</v>
      </c>
      <c r="P6821">
        <v>5.5009420000000003E-2</v>
      </c>
      <c r="Q6821">
        <v>0.1749105</v>
      </c>
      <c r="R6821">
        <v>0.98304639999999999</v>
      </c>
      <c r="S6821">
        <v>0.1297913</v>
      </c>
      <c r="T6821">
        <v>-0.13257269999999999</v>
      </c>
      <c r="U6821">
        <v>3.0742189999999998</v>
      </c>
      <c r="V6821">
        <v>3.2548920000000002E-2</v>
      </c>
      <c r="W6821">
        <v>0.186636</v>
      </c>
      <c r="X6821">
        <v>0.98188980000000003</v>
      </c>
      <c r="Y6821">
        <v>1.9190840000000001E-2</v>
      </c>
      <c r="Z6821">
        <v>-3.1104949999999999E-2</v>
      </c>
      <c r="AA6821">
        <v>0.99933190000000005</v>
      </c>
      <c r="AB6821">
        <v>32</v>
      </c>
      <c r="AC6821">
        <v>1.0900000000000001</v>
      </c>
      <c r="AD6821">
        <v>-1.1209254174609999</v>
      </c>
      <c r="AE6821">
        <v>25.67775</v>
      </c>
      <c r="AF6821">
        <v>0.498857396158706</v>
      </c>
      <c r="AG6821">
        <v>-1.1209254174609999</v>
      </c>
      <c r="AH6821">
        <v>25.647227742052099</v>
      </c>
      <c r="AI6821">
        <v>92.502076537635205</v>
      </c>
      <c r="AJ6821">
        <v>88.885695563477896</v>
      </c>
      <c r="AK6821">
        <v>25.6765578562607</v>
      </c>
      <c r="AL6821">
        <v>79.243470316022595</v>
      </c>
      <c r="AM6821">
        <v>88.101382566936195</v>
      </c>
      <c r="AN6821">
        <v>1.0000000040165999</v>
      </c>
    </row>
    <row r="6822" spans="1:40" x14ac:dyDescent="0.25">
      <c r="A6822" t="str">
        <f>"20190303162953430"</f>
        <v>20190303162953430</v>
      </c>
      <c r="B6822" t="str">
        <f>"1551601793418706"</f>
        <v>1551601793418706</v>
      </c>
      <c r="C6822" t="s">
        <v>40</v>
      </c>
      <c r="D6822">
        <v>5.4721830000000002</v>
      </c>
      <c r="E6822">
        <v>0.4959288</v>
      </c>
      <c r="F6822" t="s">
        <v>41</v>
      </c>
      <c r="G6822">
        <v>-187.4136</v>
      </c>
      <c r="H6822" s="1">
        <v>-2.6328329999999999E-6</v>
      </c>
      <c r="I6822">
        <v>114.70050000000001</v>
      </c>
      <c r="J6822">
        <v>-188.2867</v>
      </c>
      <c r="K6822">
        <v>1.1209100000000001</v>
      </c>
      <c r="L6822">
        <v>93.413730000000001</v>
      </c>
      <c r="M6822">
        <v>2.325404E-2</v>
      </c>
      <c r="N6822">
        <v>-1.195303E-2</v>
      </c>
      <c r="O6822">
        <v>0.99965809999999999</v>
      </c>
      <c r="P6822">
        <v>5.2946269999999997E-2</v>
      </c>
      <c r="Q6822">
        <v>0.16739660000000001</v>
      </c>
      <c r="R6822">
        <v>0.98446690000000003</v>
      </c>
      <c r="S6822">
        <v>0.12527469999999999</v>
      </c>
      <c r="T6822">
        <v>-0.15944529999999901</v>
      </c>
      <c r="U6822">
        <v>3.0730900000000001</v>
      </c>
      <c r="V6822">
        <v>3.0161259999999999E-2</v>
      </c>
      <c r="W6822">
        <v>0.17914279999999999</v>
      </c>
      <c r="X6822">
        <v>0.98336060000000003</v>
      </c>
      <c r="Y6822">
        <v>1.7444810000000002E-2</v>
      </c>
      <c r="Z6822">
        <v>-3.9833260000000002E-2</v>
      </c>
      <c r="AA6822">
        <v>0.99905409999999994</v>
      </c>
      <c r="AB6822">
        <v>32</v>
      </c>
      <c r="AC6822">
        <v>0.87309999999999299</v>
      </c>
      <c r="AD6822">
        <v>-1.1209126328329999</v>
      </c>
      <c r="AE6822">
        <v>21.286770000000001</v>
      </c>
      <c r="AF6822">
        <v>0.376782088989155</v>
      </c>
      <c r="AG6822">
        <v>-1.1209126328329999</v>
      </c>
      <c r="AH6822">
        <v>21.242514480429598</v>
      </c>
      <c r="AI6822">
        <v>93.020074779658799</v>
      </c>
      <c r="AJ6822">
        <v>88.983841577394898</v>
      </c>
      <c r="AK6822">
        <v>21.275404375106199</v>
      </c>
      <c r="AL6822">
        <v>79.6801652315946</v>
      </c>
      <c r="AM6822">
        <v>88.243196542392397</v>
      </c>
      <c r="AN6822">
        <v>0.99999995701449296</v>
      </c>
    </row>
    <row r="6823" spans="1:40" x14ac:dyDescent="0.25">
      <c r="A6823" t="str">
        <f>"20190303162953453"</f>
        <v>20190303162953453</v>
      </c>
      <c r="B6823" t="str">
        <f>"1551601793439202"</f>
        <v>1551601793439202</v>
      </c>
      <c r="C6823" t="s">
        <v>40</v>
      </c>
      <c r="D6823">
        <v>5.2178990000000001</v>
      </c>
      <c r="E6823">
        <v>0.49609819999999999</v>
      </c>
      <c r="F6823" t="s">
        <v>41</v>
      </c>
      <c r="G6823">
        <v>-187.54570000000001</v>
      </c>
      <c r="H6823" s="1">
        <v>-1.609337E-6</v>
      </c>
      <c r="I6823">
        <v>112.3694</v>
      </c>
      <c r="J6823">
        <v>-188.27869999999999</v>
      </c>
      <c r="K6823">
        <v>1.1208979999999999</v>
      </c>
      <c r="L6823">
        <v>93.744380000000007</v>
      </c>
      <c r="M6823">
        <v>2.3507190000000001E-2</v>
      </c>
      <c r="N6823">
        <v>-1.195332E-2</v>
      </c>
      <c r="O6823">
        <v>0.99965219999999999</v>
      </c>
      <c r="P6823">
        <v>5.0774060000000003E-2</v>
      </c>
      <c r="Q6823">
        <v>0.16083229999999901</v>
      </c>
      <c r="R6823">
        <v>0.98567490000000002</v>
      </c>
      <c r="S6823">
        <v>0.12007139999999999</v>
      </c>
      <c r="T6823">
        <v>-0.18164279999999999</v>
      </c>
      <c r="U6823">
        <v>3.0717469999999998</v>
      </c>
      <c r="V6823">
        <v>2.7695359999999999E-2</v>
      </c>
      <c r="W6823">
        <v>0.1725969</v>
      </c>
      <c r="X6823">
        <v>0.98460309999999995</v>
      </c>
      <c r="Y6823">
        <v>1.550755E-2</v>
      </c>
      <c r="Z6823">
        <v>-4.7048609999999998E-2</v>
      </c>
      <c r="AA6823">
        <v>0.9987722</v>
      </c>
      <c r="AB6823">
        <v>32</v>
      </c>
      <c r="AC6823">
        <v>0.732999999999975</v>
      </c>
      <c r="AD6823">
        <v>-1.1208996093370001</v>
      </c>
      <c r="AE6823">
        <v>18.6250199999999</v>
      </c>
      <c r="AF6823">
        <v>0.29388148012628101</v>
      </c>
      <c r="AG6823">
        <v>-1.1208996093370001</v>
      </c>
      <c r="AH6823">
        <v>18.5699495479783</v>
      </c>
      <c r="AI6823">
        <v>93.453804639478804</v>
      </c>
      <c r="AJ6823">
        <v>89.093332863224106</v>
      </c>
      <c r="AK6823">
        <v>18.606069130072399</v>
      </c>
      <c r="AL6823">
        <v>80.061157169524705</v>
      </c>
      <c r="AM6823">
        <v>88.388783323694497</v>
      </c>
      <c r="AN6823">
        <v>0.99999999369237402</v>
      </c>
    </row>
    <row r="6824" spans="1:40" x14ac:dyDescent="0.25">
      <c r="A6824" t="str">
        <f>"20190303162953477"</f>
        <v>20190303162953477</v>
      </c>
      <c r="B6824" t="str">
        <f>"1551601793468482"</f>
        <v>1551601793468482</v>
      </c>
      <c r="C6824" t="s">
        <v>40</v>
      </c>
      <c r="D6824">
        <v>5.4228480000000001</v>
      </c>
      <c r="E6824">
        <v>0.49889109999999998</v>
      </c>
      <c r="F6824" t="s">
        <v>41</v>
      </c>
      <c r="G6824">
        <v>-187.63849999999999</v>
      </c>
      <c r="H6824" s="1">
        <v>-1.0100920000000001E-6</v>
      </c>
      <c r="I6824">
        <v>110.76990000000001</v>
      </c>
      <c r="J6824">
        <v>-188.2704</v>
      </c>
      <c r="K6824">
        <v>1.1208940000000001</v>
      </c>
      <c r="L6824">
        <v>94.089420000000004</v>
      </c>
      <c r="M6824">
        <v>2.3719090000000002E-2</v>
      </c>
      <c r="N6824">
        <v>-1.1953699999999999E-2</v>
      </c>
      <c r="O6824">
        <v>0.99964719999999996</v>
      </c>
      <c r="P6824">
        <v>4.6965769999999997E-2</v>
      </c>
      <c r="Q6824">
        <v>0.1513999</v>
      </c>
      <c r="R6824">
        <v>0.98735620000000002</v>
      </c>
      <c r="S6824">
        <v>0.1154633</v>
      </c>
      <c r="T6824">
        <v>-0.2021608</v>
      </c>
      <c r="U6824">
        <v>3.0706479999999998</v>
      </c>
      <c r="V6824">
        <v>2.3618219999999999E-2</v>
      </c>
      <c r="W6824">
        <v>0.16318949999999999</v>
      </c>
      <c r="X6824">
        <v>0.98631199999999997</v>
      </c>
      <c r="Y6824">
        <v>1.3800400000000001E-2</v>
      </c>
      <c r="Z6824">
        <v>-5.3713150000000001E-2</v>
      </c>
      <c r="AA6824">
        <v>0.99846109999999999</v>
      </c>
      <c r="AB6824">
        <v>32</v>
      </c>
      <c r="AC6824">
        <v>0.63190000000000102</v>
      </c>
      <c r="AD6824">
        <v>-1.1208950100920001</v>
      </c>
      <c r="AE6824">
        <v>16.680479999999999</v>
      </c>
      <c r="AF6824">
        <v>0.234988536152309</v>
      </c>
      <c r="AG6824">
        <v>-1.1208950100920001</v>
      </c>
      <c r="AH6824">
        <v>16.615853091341499</v>
      </c>
      <c r="AI6824">
        <v>93.858905411063702</v>
      </c>
      <c r="AJ6824">
        <v>89.189752475437402</v>
      </c>
      <c r="AK6824">
        <v>16.6552754161801</v>
      </c>
      <c r="AL6824">
        <v>80.607925011404404</v>
      </c>
      <c r="AM6824">
        <v>88.628257829652696</v>
      </c>
      <c r="AN6824">
        <v>0.99999999728510902</v>
      </c>
    </row>
    <row r="6825" spans="1:40" x14ac:dyDescent="0.25">
      <c r="A6825" t="str">
        <f>"20190303162953498"</f>
        <v>20190303162953498</v>
      </c>
      <c r="B6825" t="str">
        <f>"1551601793488979"</f>
        <v>1551601793488979</v>
      </c>
      <c r="C6825" t="s">
        <v>40</v>
      </c>
      <c r="D6825">
        <v>5.0829639999999996</v>
      </c>
      <c r="E6825">
        <v>0.49888579999999999</v>
      </c>
      <c r="F6825" t="s">
        <v>41</v>
      </c>
      <c r="G6825">
        <v>-187.43819999999999</v>
      </c>
      <c r="H6825" s="1">
        <v>-2.3504599999999999E-6</v>
      </c>
      <c r="I6825">
        <v>114.05249999999999</v>
      </c>
      <c r="J6825">
        <v>-188.2628</v>
      </c>
      <c r="K6825">
        <v>1.1208640000000001</v>
      </c>
      <c r="L6825">
        <v>94.400909999999996</v>
      </c>
      <c r="M6825">
        <v>2.385845E-2</v>
      </c>
      <c r="N6825">
        <v>-1.1954040000000001E-2</v>
      </c>
      <c r="O6825">
        <v>0.99964390000000003</v>
      </c>
      <c r="P6825">
        <v>4.2280390000000001E-2</v>
      </c>
      <c r="Q6825">
        <v>0.1338802</v>
      </c>
      <c r="R6825">
        <v>0.99009519999999995</v>
      </c>
      <c r="S6825">
        <v>0.12750239999999999</v>
      </c>
      <c r="T6825">
        <v>-0.17174049999999999</v>
      </c>
      <c r="U6825">
        <v>3.0586850000000001</v>
      </c>
      <c r="V6825">
        <v>1.870761E-2</v>
      </c>
      <c r="W6825">
        <v>0.14570669999999999</v>
      </c>
      <c r="X6825">
        <v>0.98915090000000006</v>
      </c>
      <c r="Y6825">
        <v>1.7750180000000001E-2</v>
      </c>
      <c r="Z6825">
        <v>-4.407428E-2</v>
      </c>
      <c r="AA6825">
        <v>0.99887060000000005</v>
      </c>
      <c r="AB6825">
        <v>32</v>
      </c>
      <c r="AC6825">
        <v>0.824600000000003</v>
      </c>
      <c r="AD6825">
        <v>-1.1208663504599901</v>
      </c>
      <c r="AE6825">
        <v>19.651589999999999</v>
      </c>
      <c r="AF6825">
        <v>0.35432460598938498</v>
      </c>
      <c r="AG6825">
        <v>-1.1208663504599901</v>
      </c>
      <c r="AH6825">
        <v>19.602012986096501</v>
      </c>
      <c r="AI6825">
        <v>93.272143489005501</v>
      </c>
      <c r="AJ6825">
        <v>88.964438301767203</v>
      </c>
      <c r="AK6825">
        <v>19.637229957636599</v>
      </c>
      <c r="AL6825">
        <v>81.621794908161206</v>
      </c>
      <c r="AM6825">
        <v>88.916505737298394</v>
      </c>
      <c r="AN6825">
        <v>0.99999996003380498</v>
      </c>
    </row>
    <row r="6826" spans="1:40" x14ac:dyDescent="0.25">
      <c r="A6826" t="str">
        <f>"20190303162953530"</f>
        <v>20190303162953530</v>
      </c>
      <c r="B6826" t="str">
        <f>"1551601793519235"</f>
        <v>1551601793519235</v>
      </c>
      <c r="C6826" t="s">
        <v>40</v>
      </c>
      <c r="D6826">
        <v>5.4938159999999998</v>
      </c>
      <c r="E6826">
        <v>0.50047659999999905</v>
      </c>
      <c r="F6826" t="s">
        <v>41</v>
      </c>
      <c r="G6826">
        <v>-187.65260000000001</v>
      </c>
      <c r="H6826" s="1">
        <v>-9.0522680000000005E-7</v>
      </c>
      <c r="I6826">
        <v>110.47280000000001</v>
      </c>
      <c r="J6826">
        <v>-188.2517</v>
      </c>
      <c r="K6826">
        <v>1.1208340000000001</v>
      </c>
      <c r="L6826">
        <v>94.863799999999998</v>
      </c>
      <c r="M6826">
        <v>2.3975639999999999E-2</v>
      </c>
      <c r="N6826">
        <v>-1.195452E-2</v>
      </c>
      <c r="O6826">
        <v>0.99964109999999995</v>
      </c>
      <c r="P6826">
        <v>3.3710919999999998E-2</v>
      </c>
      <c r="Q6826">
        <v>0.1143512</v>
      </c>
      <c r="R6826">
        <v>0.99286819999999998</v>
      </c>
      <c r="S6826">
        <v>0.1159515</v>
      </c>
      <c r="T6826">
        <v>-0.21297920000000001</v>
      </c>
      <c r="U6826">
        <v>3.0538639999999999</v>
      </c>
      <c r="V6826">
        <v>9.9306859999999993E-3</v>
      </c>
      <c r="W6826">
        <v>0.12621579999999999</v>
      </c>
      <c r="X6826">
        <v>0.99195310000000003</v>
      </c>
      <c r="Y6826">
        <v>1.390067E-2</v>
      </c>
      <c r="Z6826">
        <v>-5.7588569999999999E-2</v>
      </c>
      <c r="AA6826">
        <v>0.99824360000000001</v>
      </c>
      <c r="AB6826">
        <v>32</v>
      </c>
      <c r="AC6826">
        <v>0.59909999999999197</v>
      </c>
      <c r="AD6826">
        <v>-1.1208349052268001</v>
      </c>
      <c r="AE6826">
        <v>15.609</v>
      </c>
      <c r="AF6826">
        <v>0.22351446545426201</v>
      </c>
      <c r="AG6826">
        <v>-1.1208349052268001</v>
      </c>
      <c r="AH6826">
        <v>15.5388729734644</v>
      </c>
      <c r="AI6826">
        <v>94.125233083399294</v>
      </c>
      <c r="AJ6826">
        <v>89.175902112006895</v>
      </c>
      <c r="AK6826">
        <v>15.580847309646099</v>
      </c>
      <c r="AL6826">
        <v>82.749027886828998</v>
      </c>
      <c r="AM6826">
        <v>89.426417047621896</v>
      </c>
      <c r="AN6826">
        <v>0.99999999964684005</v>
      </c>
    </row>
    <row r="6827" spans="1:40" x14ac:dyDescent="0.25">
      <c r="A6827" t="str">
        <f>"20190303162953553"</f>
        <v>20190303162953553</v>
      </c>
      <c r="B6827" t="str">
        <f>"1551601793538755"</f>
        <v>1551601793538755</v>
      </c>
      <c r="C6827" t="s">
        <v>40</v>
      </c>
      <c r="D6827">
        <v>5.4973489999999998</v>
      </c>
      <c r="E6827">
        <v>0.4995811</v>
      </c>
      <c r="F6827" t="s">
        <v>41</v>
      </c>
      <c r="G6827">
        <v>-187.7587</v>
      </c>
      <c r="H6827" s="1">
        <v>-4.6327760000000001E-6</v>
      </c>
      <c r="I6827">
        <v>109.5051</v>
      </c>
      <c r="J6827">
        <v>-188.2439</v>
      </c>
      <c r="K6827">
        <v>1.1208</v>
      </c>
      <c r="L6827">
        <v>95.187129999999996</v>
      </c>
      <c r="M6827">
        <v>2.401002E-2</v>
      </c>
      <c r="N6827">
        <v>-1.195485E-2</v>
      </c>
      <c r="O6827">
        <v>0.99964019999999998</v>
      </c>
      <c r="P6827">
        <v>2.793027E-2</v>
      </c>
      <c r="Q6827">
        <v>9.6525340000000001E-2</v>
      </c>
      <c r="R6827">
        <v>0.99493860000000001</v>
      </c>
      <c r="S6827">
        <v>0.1025238</v>
      </c>
      <c r="T6827">
        <v>-0.23309550000000001</v>
      </c>
      <c r="U6827">
        <v>3.0448909999999998</v>
      </c>
      <c r="V6827">
        <v>4.0534899999999999E-3</v>
      </c>
      <c r="W6827">
        <v>0.108417</v>
      </c>
      <c r="X6827">
        <v>0.99409720000000001</v>
      </c>
      <c r="Y6827">
        <v>9.5689899999999994E-3</v>
      </c>
      <c r="Z6827">
        <v>-6.4352850000000003E-2</v>
      </c>
      <c r="AA6827">
        <v>0.99788140000000003</v>
      </c>
      <c r="AB6827">
        <v>32</v>
      </c>
      <c r="AC6827">
        <v>0.48519999999999103</v>
      </c>
      <c r="AD6827">
        <v>-1.120804632776</v>
      </c>
      <c r="AE6827">
        <v>14.317969999999899</v>
      </c>
      <c r="AF6827">
        <v>0.14040142885558499</v>
      </c>
      <c r="AG6827">
        <v>-1.120804632776</v>
      </c>
      <c r="AH6827">
        <v>14.238344177790999</v>
      </c>
      <c r="AI6827">
        <v>94.500672504524005</v>
      </c>
      <c r="AJ6827">
        <v>89.435036230884293</v>
      </c>
      <c r="AK6827">
        <v>14.283079517782999</v>
      </c>
      <c r="AL6827">
        <v>83.775929157264201</v>
      </c>
      <c r="AM6827">
        <v>89.766374372490006</v>
      </c>
      <c r="AN6827">
        <v>0.99999995985900902</v>
      </c>
    </row>
    <row r="6828" spans="1:40" x14ac:dyDescent="0.25">
      <c r="A6828" t="str">
        <f>"20190303162953576"</f>
        <v>20190303162953576</v>
      </c>
      <c r="B6828" t="str">
        <f>"1551601793569011"</f>
        <v>1551601793569011</v>
      </c>
      <c r="C6828" t="s">
        <v>40</v>
      </c>
      <c r="D6828">
        <v>5.5032639999999997</v>
      </c>
      <c r="E6828">
        <v>0.50003529999999996</v>
      </c>
      <c r="F6828" t="s">
        <v>44</v>
      </c>
      <c r="G6828">
        <v>-188.22059999999999</v>
      </c>
      <c r="H6828">
        <v>1.040335</v>
      </c>
      <c r="I6828">
        <v>96.068510000000003</v>
      </c>
      <c r="J6828">
        <v>-188.23570000000001</v>
      </c>
      <c r="K6828">
        <v>1.120757</v>
      </c>
      <c r="L6828">
        <v>95.530060000000006</v>
      </c>
      <c r="M6828">
        <v>2.401967E-2</v>
      </c>
      <c r="N6828">
        <v>-1.195514E-2</v>
      </c>
      <c r="O6828">
        <v>0.99963999999999997</v>
      </c>
      <c r="P6828">
        <v>2.3618440000000001E-2</v>
      </c>
      <c r="Q6828">
        <v>7.9185690000000003E-2</v>
      </c>
      <c r="R6828">
        <v>0.99658009999999997</v>
      </c>
      <c r="S6828">
        <v>8.0154420000000004E-2</v>
      </c>
      <c r="T6828">
        <v>-0.27755249999999998</v>
      </c>
      <c r="U6828">
        <v>3.0399479999999999</v>
      </c>
      <c r="V6828">
        <v>-3.1560410000000002E-4</v>
      </c>
      <c r="W6828">
        <v>9.1097559999999994E-2</v>
      </c>
      <c r="X6828">
        <v>0.99584189999999995</v>
      </c>
      <c r="Y6828">
        <v>2.2534709999999999E-3</v>
      </c>
      <c r="Z6828">
        <v>-7.8960169999999996E-2</v>
      </c>
      <c r="AA6828">
        <v>0.99687519999999996</v>
      </c>
      <c r="AB6828">
        <v>32</v>
      </c>
      <c r="AC6828">
        <v>1.5100000000018101E-2</v>
      </c>
      <c r="AD6828">
        <v>-8.0421999999999993E-2</v>
      </c>
      <c r="AE6828">
        <v>0.53845000000001098</v>
      </c>
      <c r="AF6828">
        <v>2.1142007994565102E-3</v>
      </c>
      <c r="AG6828">
        <v>-8.0421999999999993E-2</v>
      </c>
      <c r="AH6828">
        <v>0.52691227310498001</v>
      </c>
      <c r="AI6828">
        <v>98.677945776488301</v>
      </c>
      <c r="AJ6828">
        <v>89.770105691276498</v>
      </c>
      <c r="AK6828">
        <v>0.53301849074650098</v>
      </c>
      <c r="AL6828">
        <v>84.773247833652107</v>
      </c>
      <c r="AM6828">
        <v>90.018158286291794</v>
      </c>
      <c r="AN6828">
        <v>0.99999997741975499</v>
      </c>
    </row>
    <row r="6829" spans="1:40" x14ac:dyDescent="0.25">
      <c r="A6829" t="str">
        <f>"20190303162953598"</f>
        <v>20190303162953598</v>
      </c>
      <c r="B6829" t="str">
        <f>"1551601793588531"</f>
        <v>1551601793588531</v>
      </c>
      <c r="C6829" t="s">
        <v>40</v>
      </c>
      <c r="D6829">
        <v>5.5193310000000002</v>
      </c>
      <c r="E6829">
        <v>0.50050399999999995</v>
      </c>
      <c r="F6829" t="s">
        <v>41</v>
      </c>
      <c r="G6829">
        <v>-187.91650000000001</v>
      </c>
      <c r="H6829" s="1">
        <v>-4.3763940000000004E-6</v>
      </c>
      <c r="I6829">
        <v>108.9727</v>
      </c>
      <c r="J6829">
        <v>-188.22810000000001</v>
      </c>
      <c r="K6829">
        <v>1.120717</v>
      </c>
      <c r="L6829">
        <v>95.847049999999996</v>
      </c>
      <c r="M6829">
        <v>2.401379E-2</v>
      </c>
      <c r="N6829">
        <v>-1.195541E-2</v>
      </c>
      <c r="O6829">
        <v>0.99964019999999998</v>
      </c>
      <c r="P6829">
        <v>2.0807699999999998E-2</v>
      </c>
      <c r="Q6829">
        <v>6.692062E-2</v>
      </c>
      <c r="R6829">
        <v>0.99754129999999996</v>
      </c>
      <c r="S6829">
        <v>7.191467E-2</v>
      </c>
      <c r="T6829">
        <v>-0.25250909999999999</v>
      </c>
      <c r="U6829">
        <v>3.0286559999999998</v>
      </c>
      <c r="V6829">
        <v>-3.1471310000000001E-3</v>
      </c>
      <c r="W6829">
        <v>7.884447E-2</v>
      </c>
      <c r="X6829">
        <v>0.99688200000000005</v>
      </c>
      <c r="Y6829">
        <v>-3.3750089999999902E-4</v>
      </c>
      <c r="Z6829">
        <v>-7.1120939999999994E-2</v>
      </c>
      <c r="AA6829">
        <v>0.99746760000000001</v>
      </c>
      <c r="AB6829">
        <v>32</v>
      </c>
      <c r="AC6829">
        <v>0.31159999999999799</v>
      </c>
      <c r="AD6829">
        <v>-1.120721376394</v>
      </c>
      <c r="AE6829">
        <v>13.12565</v>
      </c>
      <c r="AF6829">
        <v>-3.6821518572805398E-3</v>
      </c>
      <c r="AG6829">
        <v>-1.120721376394</v>
      </c>
      <c r="AH6829">
        <v>13.034374824054</v>
      </c>
      <c r="AI6829">
        <v>94.914317892047194</v>
      </c>
      <c r="AJ6829">
        <v>90.016185797798798</v>
      </c>
      <c r="AK6829">
        <v>13.0824675430777</v>
      </c>
      <c r="AL6829">
        <v>85.477851240491006</v>
      </c>
      <c r="AM6829">
        <v>90.180880710891401</v>
      </c>
      <c r="AN6829">
        <v>1.0000000384035499</v>
      </c>
    </row>
    <row r="6830" spans="1:40" x14ac:dyDescent="0.25">
      <c r="A6830" t="str">
        <f>"20190303162953619"</f>
        <v>20190303162953619</v>
      </c>
      <c r="B6830" t="str">
        <f>"1551601793609027"</f>
        <v>1551601793609027</v>
      </c>
      <c r="C6830" t="s">
        <v>40</v>
      </c>
      <c r="D6830">
        <v>5.2793239999999999</v>
      </c>
      <c r="E6830">
        <v>0.50087139999999997</v>
      </c>
      <c r="F6830" t="s">
        <v>41</v>
      </c>
      <c r="G6830">
        <v>-187.94499999999999</v>
      </c>
      <c r="H6830" s="1">
        <v>-4.1905659999999996E-6</v>
      </c>
      <c r="I6830">
        <v>108.5514</v>
      </c>
      <c r="J6830">
        <v>-188.2208</v>
      </c>
      <c r="K6830">
        <v>1.120714</v>
      </c>
      <c r="L6830">
        <v>96.153750000000002</v>
      </c>
      <c r="M6830">
        <v>2.4002349999999999E-2</v>
      </c>
      <c r="N6830">
        <v>-1.195562E-2</v>
      </c>
      <c r="O6830">
        <v>0.99964039999999998</v>
      </c>
      <c r="P6830">
        <v>1.8601659999999999E-2</v>
      </c>
      <c r="Q6830">
        <v>6.3314040000000002E-2</v>
      </c>
      <c r="R6830">
        <v>0.99782029999999999</v>
      </c>
      <c r="S6830">
        <v>6.7382810000000001E-2</v>
      </c>
      <c r="T6830">
        <v>-0.26675510000000002</v>
      </c>
      <c r="U6830">
        <v>3.023895</v>
      </c>
      <c r="V6830">
        <v>-5.3499630000000001E-3</v>
      </c>
      <c r="W6830">
        <v>7.5241269999999999E-2</v>
      </c>
      <c r="X6830">
        <v>0.99715100000000001</v>
      </c>
      <c r="Y6830">
        <v>-1.789882E-3</v>
      </c>
      <c r="Z6830">
        <v>-7.5913209999999995E-2</v>
      </c>
      <c r="AA6830">
        <v>0.99711280000000002</v>
      </c>
      <c r="AB6830">
        <v>32</v>
      </c>
      <c r="AC6830">
        <v>0.27580000000000299</v>
      </c>
      <c r="AD6830">
        <v>-1.120718190566</v>
      </c>
      <c r="AE6830">
        <v>12.397650000000001</v>
      </c>
      <c r="AF6830">
        <v>-2.1696267329646801E-2</v>
      </c>
      <c r="AG6830">
        <v>-1.120718190566</v>
      </c>
      <c r="AH6830">
        <v>12.300233583951799</v>
      </c>
      <c r="AI6830">
        <v>95.206040382577001</v>
      </c>
      <c r="AJ6830">
        <v>90.101063386436195</v>
      </c>
      <c r="AK6830">
        <v>12.351203431668401</v>
      </c>
      <c r="AL6830">
        <v>85.684914745465804</v>
      </c>
      <c r="AM6830">
        <v>90.307403150829202</v>
      </c>
      <c r="AN6830">
        <v>0.99999999380815696</v>
      </c>
    </row>
    <row r="6831" spans="1:40" x14ac:dyDescent="0.25">
      <c r="A6831" t="str">
        <f>"20190303162953642"</f>
        <v>20190303162953642</v>
      </c>
      <c r="B6831" t="str">
        <f>"1551601793628547"</f>
        <v>1551601793628547</v>
      </c>
      <c r="C6831" t="s">
        <v>40</v>
      </c>
      <c r="D6831">
        <v>5.2775100000000004</v>
      </c>
      <c r="E6831">
        <v>0.50195649999999903</v>
      </c>
      <c r="F6831" t="s">
        <v>41</v>
      </c>
      <c r="G6831">
        <v>-187.78790000000001</v>
      </c>
      <c r="H6831" s="1">
        <v>-3.4697009999999998E-6</v>
      </c>
      <c r="I6831">
        <v>116.8061</v>
      </c>
      <c r="J6831">
        <v>-188.21289999999999</v>
      </c>
      <c r="K6831">
        <v>1.1207370000000001</v>
      </c>
      <c r="L6831">
        <v>96.481260000000006</v>
      </c>
      <c r="M6831">
        <v>2.399018E-2</v>
      </c>
      <c r="N6831">
        <v>-1.195586E-2</v>
      </c>
      <c r="O6831">
        <v>0.99964070000000005</v>
      </c>
      <c r="P6831">
        <v>1.7795350000000001E-2</v>
      </c>
      <c r="Q6831">
        <v>6.7487340000000007E-2</v>
      </c>
      <c r="R6831">
        <v>0.99756140000000004</v>
      </c>
      <c r="S6831">
        <v>6.3201900000000005E-2</v>
      </c>
      <c r="T6831">
        <v>-0.1636523</v>
      </c>
      <c r="U6831">
        <v>3.0157470000000002</v>
      </c>
      <c r="V6831">
        <v>-6.1382160000000002E-3</v>
      </c>
      <c r="W6831">
        <v>7.941107E-2</v>
      </c>
      <c r="X6831">
        <v>0.99682309999999996</v>
      </c>
      <c r="Y6831">
        <v>-3.0574489999999998E-3</v>
      </c>
      <c r="Z6831">
        <v>-4.2217589999999999E-2</v>
      </c>
      <c r="AA6831">
        <v>0.99910379999999999</v>
      </c>
      <c r="AB6831">
        <v>32</v>
      </c>
      <c r="AC6831">
        <v>0.424999999999982</v>
      </c>
      <c r="AD6831">
        <v>-1.1207404697009999</v>
      </c>
      <c r="AE6831">
        <v>20.324839999999998</v>
      </c>
      <c r="AF6831">
        <v>-6.2563611546086806E-2</v>
      </c>
      <c r="AG6831">
        <v>-1.1207404697009999</v>
      </c>
      <c r="AH6831">
        <v>20.267587907991398</v>
      </c>
      <c r="AI6831">
        <v>93.165056618032494</v>
      </c>
      <c r="AJ6831">
        <v>90.176864633485096</v>
      </c>
      <c r="AK6831">
        <v>20.2986475661329</v>
      </c>
      <c r="AL6831">
        <v>85.445285368195599</v>
      </c>
      <c r="AM6831">
        <v>90.352810268378406</v>
      </c>
      <c r="AN6831">
        <v>1.0000000442139001</v>
      </c>
    </row>
    <row r="6832" spans="1:40" x14ac:dyDescent="0.25">
      <c r="A6832" t="str">
        <f>"20190303162953666"</f>
        <v>20190303162953666</v>
      </c>
      <c r="B6832" t="str">
        <f>"1551601793658802"</f>
        <v>1551601793658802</v>
      </c>
      <c r="C6832" t="s">
        <v>40</v>
      </c>
      <c r="D6832">
        <v>5.3486029999999998</v>
      </c>
      <c r="E6832">
        <v>0.50308439999999999</v>
      </c>
      <c r="F6832" t="s">
        <v>56</v>
      </c>
      <c r="G6832">
        <v>-187.61940000000001</v>
      </c>
      <c r="H6832" s="1">
        <v>-1.6028729999999901E-6</v>
      </c>
      <c r="I6832">
        <v>121.94629999999999</v>
      </c>
      <c r="J6832">
        <v>-188.2046</v>
      </c>
      <c r="K6832">
        <v>1.1208070000000001</v>
      </c>
      <c r="L6832">
        <v>96.828000000000003</v>
      </c>
      <c r="M6832">
        <v>2.3981740000000001E-2</v>
      </c>
      <c r="N6832">
        <v>-1.1956120000000001E-2</v>
      </c>
      <c r="O6832">
        <v>0.99964090000000005</v>
      </c>
      <c r="P6832">
        <v>2.2003330000000001E-2</v>
      </c>
      <c r="Q6832">
        <v>7.811013E-2</v>
      </c>
      <c r="R6832">
        <v>0.99670190000000003</v>
      </c>
      <c r="S6832">
        <v>7.0266720000000005E-2</v>
      </c>
      <c r="T6832">
        <v>-0.13269629999999999</v>
      </c>
      <c r="U6832">
        <v>3.0150760000000001</v>
      </c>
      <c r="V6832">
        <v>-1.9027530000000001E-3</v>
      </c>
      <c r="W6832">
        <v>9.002433E-2</v>
      </c>
      <c r="X6832">
        <v>0.99593779999999998</v>
      </c>
      <c r="Y6832">
        <v>-6.9654759999999896E-4</v>
      </c>
      <c r="Z6832">
        <v>-3.1999079999999999E-2</v>
      </c>
      <c r="AA6832">
        <v>0.99948760000000003</v>
      </c>
      <c r="AB6832">
        <v>32</v>
      </c>
      <c r="AC6832">
        <v>0.58519999999998595</v>
      </c>
      <c r="AD6832">
        <v>-1.120808602873</v>
      </c>
      <c r="AE6832">
        <v>25.118300000000001</v>
      </c>
      <c r="AF6832">
        <v>-1.7357387571167799E-2</v>
      </c>
      <c r="AG6832">
        <v>-1.120808602873</v>
      </c>
      <c r="AH6832">
        <v>25.075211034599999</v>
      </c>
      <c r="AI6832">
        <v>92.559295375691903</v>
      </c>
      <c r="AJ6832">
        <v>90.039660878266801</v>
      </c>
      <c r="AK6832">
        <v>25.100253417702898</v>
      </c>
      <c r="AL6832">
        <v>84.834993484985702</v>
      </c>
      <c r="AM6832">
        <v>90.109464249387003</v>
      </c>
      <c r="AN6832">
        <v>1.0000000509648801</v>
      </c>
    </row>
    <row r="6833" spans="1:40" x14ac:dyDescent="0.25">
      <c r="A6833" t="str">
        <f>"20190303162953691"</f>
        <v>20190303162953691</v>
      </c>
      <c r="B6833" t="str">
        <f>"1551601793678324"</f>
        <v>1551601793678324</v>
      </c>
      <c r="C6833" t="s">
        <v>40</v>
      </c>
      <c r="D6833">
        <v>5.3621059999999998</v>
      </c>
      <c r="E6833">
        <v>0.50391809999999904</v>
      </c>
      <c r="F6833" t="s">
        <v>56</v>
      </c>
      <c r="G6833">
        <v>-186.94290000000001</v>
      </c>
      <c r="H6833" s="1">
        <v>-7.6095120000000001E-6</v>
      </c>
      <c r="I6833">
        <v>137.59819999999999</v>
      </c>
      <c r="J6833">
        <v>-188.1961</v>
      </c>
      <c r="K6833">
        <v>1.1209089999999999</v>
      </c>
      <c r="L6833">
        <v>97.180419999999998</v>
      </c>
      <c r="M6833">
        <v>2.397755E-2</v>
      </c>
      <c r="N6833">
        <v>-1.195646E-2</v>
      </c>
      <c r="O6833">
        <v>0.999641</v>
      </c>
      <c r="P6833">
        <v>2.7004819999999999E-2</v>
      </c>
      <c r="Q6833">
        <v>9.7491309999999998E-2</v>
      </c>
      <c r="R6833">
        <v>0.99486989999999997</v>
      </c>
      <c r="S6833">
        <v>9.3276979999999995E-2</v>
      </c>
      <c r="T6833">
        <v>-8.2867380000000004E-2</v>
      </c>
      <c r="U6833">
        <v>3.0143430000000002</v>
      </c>
      <c r="V6833">
        <v>3.1457239999999999E-3</v>
      </c>
      <c r="W6833">
        <v>0.10938339999999901</v>
      </c>
      <c r="X6833">
        <v>0.99399470000000001</v>
      </c>
      <c r="Y6833">
        <v>6.9475240000000001E-3</v>
      </c>
      <c r="Z6833">
        <v>-1.5512420000000001E-2</v>
      </c>
      <c r="AA6833">
        <v>0.99985550000000001</v>
      </c>
      <c r="AB6833">
        <v>32</v>
      </c>
      <c r="AC6833">
        <v>1.2531999999999901</v>
      </c>
      <c r="AD6833">
        <v>-1.120916609512</v>
      </c>
      <c r="AE6833">
        <v>40.417779999999901</v>
      </c>
      <c r="AF6833">
        <v>0.28343324617849802</v>
      </c>
      <c r="AG6833">
        <v>-1.120916609512</v>
      </c>
      <c r="AH6833">
        <v>40.405161814622602</v>
      </c>
      <c r="AI6833">
        <v>91.589048055502801</v>
      </c>
      <c r="AJ6833">
        <v>89.598089410077904</v>
      </c>
      <c r="AK6833">
        <v>40.421700727658099</v>
      </c>
      <c r="AL6833">
        <v>83.720227763350493</v>
      </c>
      <c r="AM6833">
        <v>89.818674981872903</v>
      </c>
      <c r="AN6833">
        <v>1.0000000437015599</v>
      </c>
    </row>
    <row r="6834" spans="1:40" x14ac:dyDescent="0.25">
      <c r="A6834" t="str">
        <f>"20190303162953709"</f>
        <v>20190303162953709</v>
      </c>
      <c r="B6834" t="str">
        <f>"1551601793698819"</f>
        <v>1551601793698819</v>
      </c>
      <c r="C6834" t="s">
        <v>40</v>
      </c>
      <c r="D6834">
        <v>5.3626050000000003</v>
      </c>
      <c r="E6834">
        <v>0.50501890000000005</v>
      </c>
      <c r="F6834" t="s">
        <v>47</v>
      </c>
      <c r="G6834">
        <v>-184.0684</v>
      </c>
      <c r="H6834" s="1">
        <v>4.3693020000000003E-6</v>
      </c>
      <c r="I6834">
        <v>206.5103</v>
      </c>
      <c r="J6834">
        <v>-188.1893</v>
      </c>
      <c r="K6834">
        <v>1.120995</v>
      </c>
      <c r="L6834">
        <v>97.463009999999997</v>
      </c>
      <c r="M6834">
        <v>2.3976310000000001E-2</v>
      </c>
      <c r="N6834">
        <v>-1.1956710000000001E-2</v>
      </c>
      <c r="O6834">
        <v>0.999641</v>
      </c>
      <c r="P6834">
        <v>3.166766E-2</v>
      </c>
      <c r="Q6834">
        <v>0.1155122</v>
      </c>
      <c r="R6834">
        <v>0.99280109999999999</v>
      </c>
      <c r="S6834">
        <v>0.1138458</v>
      </c>
      <c r="T6834">
        <v>-3.0915499999999999E-2</v>
      </c>
      <c r="U6834">
        <v>3.0154109999999998</v>
      </c>
      <c r="V6834">
        <v>7.8584540000000008E-3</v>
      </c>
      <c r="W6834">
        <v>0.12737989999999999</v>
      </c>
      <c r="X6834">
        <v>0.99182289999999995</v>
      </c>
      <c r="Y6834">
        <v>1.375409E-2</v>
      </c>
      <c r="Z6834">
        <v>1.7080039999999999E-3</v>
      </c>
      <c r="AA6834">
        <v>0.99990400000000002</v>
      </c>
      <c r="AB6834">
        <v>32</v>
      </c>
      <c r="AC6834">
        <v>4.1208999999999998</v>
      </c>
      <c r="AD6834">
        <v>-1.120990630698</v>
      </c>
      <c r="AE6834">
        <v>109.04728999999899</v>
      </c>
      <c r="AF6834">
        <v>1.5048177870891399</v>
      </c>
      <c r="AG6834">
        <v>-1.120990630698</v>
      </c>
      <c r="AH6834">
        <v>109.103235306526</v>
      </c>
      <c r="AI6834">
        <v>90.588613748516195</v>
      </c>
      <c r="AJ6834">
        <v>89.209792073024104</v>
      </c>
      <c r="AK6834">
        <v>109.119370649384</v>
      </c>
      <c r="AL6834">
        <v>82.681787357799806</v>
      </c>
      <c r="AM6834">
        <v>89.546041106710604</v>
      </c>
      <c r="AN6834">
        <v>1.00000002959384</v>
      </c>
    </row>
    <row r="6835" spans="1:40" x14ac:dyDescent="0.25">
      <c r="A6835" t="str">
        <f>"20190303162953732"</f>
        <v>20190303162953732</v>
      </c>
      <c r="B6835" t="str">
        <f>"1551601793718339"</f>
        <v>1551601793718339</v>
      </c>
      <c r="C6835" t="s">
        <v>40</v>
      </c>
      <c r="D6835">
        <v>5.4254369999999996</v>
      </c>
      <c r="E6835">
        <v>0.5053242</v>
      </c>
      <c r="F6835" t="s">
        <v>71</v>
      </c>
      <c r="G6835">
        <v>-174.9134</v>
      </c>
      <c r="H6835">
        <v>2.9571320000000001</v>
      </c>
      <c r="I6835">
        <v>391.00349999999997</v>
      </c>
      <c r="J6835">
        <v>-188.18180000000001</v>
      </c>
      <c r="K6835">
        <v>1.121081</v>
      </c>
      <c r="L6835">
        <v>97.773859999999999</v>
      </c>
      <c r="M6835">
        <v>2.3976029999999999E-2</v>
      </c>
      <c r="N6835">
        <v>-1.1957010000000001E-2</v>
      </c>
      <c r="O6835">
        <v>0.999641</v>
      </c>
      <c r="P6835">
        <v>3.806155E-2</v>
      </c>
      <c r="Q6835">
        <v>0.13190750000000001</v>
      </c>
      <c r="R6835">
        <v>0.99053100000000005</v>
      </c>
      <c r="S6835">
        <v>0.13636779999999901</v>
      </c>
      <c r="T6835">
        <v>1.8860459999999999E-2</v>
      </c>
      <c r="U6835">
        <v>3.0151979999999998</v>
      </c>
      <c r="V6835">
        <v>1.430563E-2</v>
      </c>
      <c r="W6835">
        <v>0.14374909999999999</v>
      </c>
      <c r="X6835">
        <v>0.98951080000000002</v>
      </c>
      <c r="Y6835">
        <v>2.1206180000000002E-2</v>
      </c>
      <c r="Z6835">
        <v>1.8198280000000001E-2</v>
      </c>
      <c r="AA6835">
        <v>0.99960950000000004</v>
      </c>
      <c r="AB6835">
        <v>32</v>
      </c>
      <c r="AC6835">
        <v>13.2684</v>
      </c>
      <c r="AD6835">
        <v>1.8360509999999901</v>
      </c>
      <c r="AE6835">
        <v>293.22964000000002</v>
      </c>
      <c r="AF6835">
        <v>6.2333558966948699</v>
      </c>
      <c r="AG6835">
        <v>1.8360509999999901</v>
      </c>
      <c r="AH6835">
        <v>293.451998998943</v>
      </c>
      <c r="AI6835">
        <v>89.641601089091793</v>
      </c>
      <c r="AJ6835">
        <v>88.783135619599605</v>
      </c>
      <c r="AK6835">
        <v>293.52393688672998</v>
      </c>
      <c r="AL6835">
        <v>81.735151274275296</v>
      </c>
      <c r="AM6835">
        <v>89.171716848872407</v>
      </c>
      <c r="AN6835">
        <v>1.0000000390585699</v>
      </c>
    </row>
    <row r="6836" spans="1:40" x14ac:dyDescent="0.25">
      <c r="A6836" t="str">
        <f>"20190303162953755"</f>
        <v>20190303162953755</v>
      </c>
      <c r="B6836" t="str">
        <f>"1551601793748595"</f>
        <v>1551601793748595</v>
      </c>
      <c r="C6836" t="s">
        <v>40</v>
      </c>
      <c r="D6836">
        <v>5.4103309999999896</v>
      </c>
      <c r="E6836">
        <v>0.51527789999999996</v>
      </c>
      <c r="F6836" t="s">
        <v>71</v>
      </c>
      <c r="G6836">
        <v>-172.82329999999999</v>
      </c>
      <c r="H6836">
        <v>7.4258920000000002</v>
      </c>
      <c r="I6836">
        <v>390.11860000000001</v>
      </c>
      <c r="J6836">
        <v>-188.17339999999999</v>
      </c>
      <c r="K6836">
        <v>1.1211530000000001</v>
      </c>
      <c r="L6836">
        <v>98.121769999999998</v>
      </c>
      <c r="M6836">
        <v>2.397606E-2</v>
      </c>
      <c r="N6836">
        <v>-1.195738E-2</v>
      </c>
      <c r="O6836">
        <v>0.999641</v>
      </c>
      <c r="P6836">
        <v>4.4383249999999999E-2</v>
      </c>
      <c r="Q6836">
        <v>0.14914340000000001</v>
      </c>
      <c r="R6836">
        <v>0.987819</v>
      </c>
      <c r="S6836">
        <v>0.1583405</v>
      </c>
      <c r="T6836">
        <v>6.499982E-2</v>
      </c>
      <c r="U6836">
        <v>3.0139469999999999</v>
      </c>
      <c r="V6836">
        <v>2.06911E-2</v>
      </c>
      <c r="W6836">
        <v>0.16095299999999901</v>
      </c>
      <c r="X6836">
        <v>0.98674519999999999</v>
      </c>
      <c r="Y6836">
        <v>2.8475940000000002E-2</v>
      </c>
      <c r="Z6836">
        <v>3.3478359999999999E-2</v>
      </c>
      <c r="AA6836">
        <v>0.99903370000000002</v>
      </c>
      <c r="AB6836">
        <v>32</v>
      </c>
      <c r="AC6836">
        <v>15.3500999999999</v>
      </c>
      <c r="AD6836">
        <v>6.3047389999999996</v>
      </c>
      <c r="AE6836">
        <v>291.99682999999999</v>
      </c>
      <c r="AF6836">
        <v>8.34037489795538</v>
      </c>
      <c r="AG6836">
        <v>6.3047389999999996</v>
      </c>
      <c r="AH6836">
        <v>292.14511528698603</v>
      </c>
      <c r="AI6836">
        <v>88.764203807070899</v>
      </c>
      <c r="AJ6836">
        <v>88.364721866248999</v>
      </c>
      <c r="AK6836">
        <v>292.33213982274202</v>
      </c>
      <c r="AL6836">
        <v>80.737784306225507</v>
      </c>
      <c r="AM6836">
        <v>88.798738527023403</v>
      </c>
      <c r="AN6836">
        <v>1.0000000397756199</v>
      </c>
    </row>
    <row r="6837" spans="1:40" x14ac:dyDescent="0.25">
      <c r="A6837" t="str">
        <f>"20190303162953777"</f>
        <v>20190303162953777</v>
      </c>
      <c r="B6837" t="str">
        <f>"1551601793769092"</f>
        <v>1551601793769092</v>
      </c>
      <c r="C6837" t="s">
        <v>40</v>
      </c>
      <c r="D6837">
        <v>5.3635199999999896</v>
      </c>
      <c r="E6837">
        <v>0.5177119</v>
      </c>
      <c r="F6837" t="s">
        <v>47</v>
      </c>
      <c r="G6837">
        <v>-177.57310000000001</v>
      </c>
      <c r="H6837">
        <v>8.0000500000000002E-2</v>
      </c>
      <c r="I6837">
        <v>222.6953</v>
      </c>
      <c r="J6837">
        <v>-188.16550000000001</v>
      </c>
      <c r="K6837">
        <v>1.1212040000000001</v>
      </c>
      <c r="L6837">
        <v>98.450810000000004</v>
      </c>
      <c r="M6837">
        <v>2.3976049999999999E-2</v>
      </c>
      <c r="N6837">
        <v>-1.19579E-2</v>
      </c>
      <c r="O6837">
        <v>0.999641</v>
      </c>
      <c r="P6837">
        <v>5.2368669999999999E-2</v>
      </c>
      <c r="Q6837">
        <v>0.15859409999999999</v>
      </c>
      <c r="R6837">
        <v>0.98595410000000006</v>
      </c>
      <c r="S6837">
        <v>0.25776670000000002</v>
      </c>
      <c r="T6837">
        <v>-2.5317550000000001E-2</v>
      </c>
      <c r="U6837">
        <v>3.029236</v>
      </c>
      <c r="V6837">
        <v>2.8719330000000001E-2</v>
      </c>
      <c r="W6837">
        <v>0.1703829</v>
      </c>
      <c r="X6837">
        <v>0.98495929999999998</v>
      </c>
      <c r="Y6837">
        <v>6.0862850000000003E-2</v>
      </c>
      <c r="Z6837">
        <v>3.6148700000000001E-3</v>
      </c>
      <c r="AA6837">
        <v>0.99813960000000002</v>
      </c>
      <c r="AB6837">
        <v>32</v>
      </c>
      <c r="AC6837">
        <v>10.5923999999999</v>
      </c>
      <c r="AD6837">
        <v>-1.0412034999999999</v>
      </c>
      <c r="AE6837">
        <v>124.244489999999</v>
      </c>
      <c r="AF6837">
        <v>7.6097188856860596</v>
      </c>
      <c r="AG6837">
        <v>-1.0412034999999999</v>
      </c>
      <c r="AH6837">
        <v>124.45407357287201</v>
      </c>
      <c r="AI6837">
        <v>90.478441352567103</v>
      </c>
      <c r="AJ6837">
        <v>86.501017468488598</v>
      </c>
      <c r="AK6837">
        <v>124.690851128418</v>
      </c>
      <c r="AL6837">
        <v>80.189917367450704</v>
      </c>
      <c r="AM6837">
        <v>88.329849453447096</v>
      </c>
      <c r="AN6837">
        <v>0.99999997759227399</v>
      </c>
    </row>
    <row r="6838" spans="1:40" x14ac:dyDescent="0.25">
      <c r="A6838" t="str">
        <f>"20190303162953826"</f>
        <v>20190303162953826</v>
      </c>
      <c r="B6838" t="str">
        <f>"1551601793818869"</f>
        <v>1551601793818869</v>
      </c>
      <c r="C6838" t="s">
        <v>40</v>
      </c>
      <c r="D6838">
        <v>5.6051250000000001</v>
      </c>
      <c r="E6838">
        <v>0.50826959999999999</v>
      </c>
      <c r="F6838" t="s">
        <v>56</v>
      </c>
      <c r="G6838">
        <v>-183.714</v>
      </c>
      <c r="H6838" s="1">
        <v>-9.5261410000000007E-6</v>
      </c>
      <c r="I6838">
        <v>143.1326</v>
      </c>
      <c r="J6838">
        <v>-188.1489</v>
      </c>
      <c r="K6838">
        <v>1.1212500000000001</v>
      </c>
      <c r="L6838">
        <v>99.142330000000001</v>
      </c>
      <c r="M6838">
        <v>2.3976040000000001E-2</v>
      </c>
      <c r="N6838">
        <v>-1.195861E-2</v>
      </c>
      <c r="O6838">
        <v>0.999641</v>
      </c>
      <c r="P6838">
        <v>6.5726229999999997E-2</v>
      </c>
      <c r="Q6838">
        <v>0.16893329999999901</v>
      </c>
      <c r="R6838">
        <v>0.98343349999999996</v>
      </c>
      <c r="S6838">
        <v>0.3027649</v>
      </c>
      <c r="T6838">
        <v>-7.6257110000000003E-2</v>
      </c>
      <c r="U6838">
        <v>3.0389400000000002</v>
      </c>
      <c r="V6838">
        <v>4.2133959999999998E-2</v>
      </c>
      <c r="W6838">
        <v>0.18069579999999999</v>
      </c>
      <c r="X6838">
        <v>0.98263619999999996</v>
      </c>
      <c r="Y6838">
        <v>7.5224509999999994E-2</v>
      </c>
      <c r="Z6838">
        <v>-1.303487E-2</v>
      </c>
      <c r="AA6838">
        <v>0.99708140000000001</v>
      </c>
      <c r="AB6838">
        <v>32</v>
      </c>
      <c r="AC6838">
        <v>4.4348999999999696</v>
      </c>
      <c r="AD6838">
        <v>-1.1212595261409899</v>
      </c>
      <c r="AE6838">
        <v>43.990270000000002</v>
      </c>
      <c r="AF6838">
        <v>3.3766653508904398</v>
      </c>
      <c r="AG6838">
        <v>-1.1212595261409899</v>
      </c>
      <c r="AH6838">
        <v>44.055627354327299</v>
      </c>
      <c r="AI6838">
        <v>91.453658137852699</v>
      </c>
      <c r="AJ6838">
        <v>85.617105718013704</v>
      </c>
      <c r="AK6838">
        <v>44.199065526323302</v>
      </c>
      <c r="AL6838">
        <v>79.589709958154202</v>
      </c>
      <c r="AM6838">
        <v>87.544747262651697</v>
      </c>
      <c r="AN6838">
        <v>1.00000007213667</v>
      </c>
    </row>
    <row r="6839" spans="1:40" x14ac:dyDescent="0.25">
      <c r="A6839" t="str">
        <f>"20190303162953868"</f>
        <v>20190303162953868</v>
      </c>
      <c r="B6839" t="str">
        <f>"1551601793858883"</f>
        <v>1551601793858883</v>
      </c>
      <c r="C6839" t="s">
        <v>40</v>
      </c>
      <c r="D6839">
        <v>5.6064879999999997</v>
      </c>
      <c r="E6839">
        <v>0.50693509999999997</v>
      </c>
      <c r="F6839" t="s">
        <v>73</v>
      </c>
      <c r="G6839">
        <v>-168.982</v>
      </c>
      <c r="H6839">
        <v>0.64142809999999995</v>
      </c>
      <c r="I6839">
        <v>317.05509999999998</v>
      </c>
      <c r="J6839">
        <v>-188.13399999999999</v>
      </c>
      <c r="K6839">
        <v>1.121281</v>
      </c>
      <c r="L6839">
        <v>99.760990000000007</v>
      </c>
      <c r="M6839">
        <v>2.3976040000000001E-2</v>
      </c>
      <c r="N6839">
        <v>-1.195886E-2</v>
      </c>
      <c r="O6839">
        <v>0.999641</v>
      </c>
      <c r="P6839">
        <v>7.8842280000000001E-2</v>
      </c>
      <c r="Q6839">
        <v>0.17478650000000001</v>
      </c>
      <c r="R6839">
        <v>0.98144469999999995</v>
      </c>
      <c r="S6839">
        <v>0.26684570000000002</v>
      </c>
      <c r="T6839">
        <v>-6.6801309999999997E-3</v>
      </c>
      <c r="U6839">
        <v>3.0338440000000002</v>
      </c>
      <c r="V6839">
        <v>5.5294139999999999E-2</v>
      </c>
      <c r="W6839">
        <v>0.18652820000000001</v>
      </c>
      <c r="X6839">
        <v>0.9808924</v>
      </c>
      <c r="Y6839">
        <v>6.3697749999999997E-2</v>
      </c>
      <c r="Z6839">
        <v>9.7519649999999996E-3</v>
      </c>
      <c r="AA6839">
        <v>0.99792159999999996</v>
      </c>
      <c r="AB6839">
        <v>32</v>
      </c>
      <c r="AC6839">
        <v>19.152000000000001</v>
      </c>
      <c r="AD6839">
        <v>-0.47985290000000003</v>
      </c>
      <c r="AE6839">
        <v>217.29410999999999</v>
      </c>
      <c r="AF6839">
        <v>13.9362013435509</v>
      </c>
      <c r="AG6839">
        <v>-0.47985290000000003</v>
      </c>
      <c r="AH6839">
        <v>217.68980481992099</v>
      </c>
      <c r="AI6839">
        <v>90.126038675789502</v>
      </c>
      <c r="AJ6839">
        <v>86.3370018121133</v>
      </c>
      <c r="AK6839">
        <v>218.135964685397</v>
      </c>
      <c r="AL6839">
        <v>79.249757766515899</v>
      </c>
      <c r="AM6839">
        <v>86.773579407461995</v>
      </c>
      <c r="AN6839">
        <v>1.0000000558456601</v>
      </c>
    </row>
    <row r="6840" spans="1:40" x14ac:dyDescent="0.25">
      <c r="A6840" t="str">
        <f>"20190303162953910"</f>
        <v>20190303162953910</v>
      </c>
      <c r="B6840" t="str">
        <f>"1551601793898899"</f>
        <v>1551601793898899</v>
      </c>
      <c r="C6840" t="s">
        <v>40</v>
      </c>
      <c r="D6840">
        <v>5.6036010000000003</v>
      </c>
      <c r="E6840">
        <v>0.50463659999999999</v>
      </c>
      <c r="F6840" t="s">
        <v>42</v>
      </c>
      <c r="G6840">
        <v>-167.92500000000001</v>
      </c>
      <c r="H6840">
        <v>-0.05</v>
      </c>
      <c r="I6840">
        <v>307.34879999999998</v>
      </c>
      <c r="J6840">
        <v>-188.11940000000001</v>
      </c>
      <c r="K6840">
        <v>1.121286</v>
      </c>
      <c r="L6840">
        <v>100.3677</v>
      </c>
      <c r="M6840">
        <v>2.397583E-2</v>
      </c>
      <c r="N6840">
        <v>-1.195916E-2</v>
      </c>
      <c r="O6840">
        <v>0.999641</v>
      </c>
      <c r="P6840">
        <v>8.773997E-2</v>
      </c>
      <c r="Q6840">
        <v>0.17797669999999999</v>
      </c>
      <c r="R6840">
        <v>0.98011530000000002</v>
      </c>
      <c r="S6840">
        <v>0.29556270000000001</v>
      </c>
      <c r="T6840">
        <v>-1.7130369999999999E-2</v>
      </c>
      <c r="U6840">
        <v>3.036041</v>
      </c>
      <c r="V6840">
        <v>6.4221429999999996E-2</v>
      </c>
      <c r="W6840">
        <v>0.18970490000000001</v>
      </c>
      <c r="X6840">
        <v>0.97973860000000002</v>
      </c>
      <c r="Y6840">
        <v>7.2991120000000007E-2</v>
      </c>
      <c r="Z6840">
        <v>6.3264460000000003E-3</v>
      </c>
      <c r="AA6840">
        <v>0.99731250000000005</v>
      </c>
      <c r="AB6840">
        <v>32</v>
      </c>
      <c r="AC6840">
        <v>20.194400000000002</v>
      </c>
      <c r="AD6840">
        <v>-1.171286</v>
      </c>
      <c r="AE6840">
        <v>206.9811</v>
      </c>
      <c r="AF6840">
        <v>15.2252124910462</v>
      </c>
      <c r="AG6840">
        <v>-1.171286</v>
      </c>
      <c r="AH6840">
        <v>207.399225557704</v>
      </c>
      <c r="AI6840">
        <v>90.322705811035803</v>
      </c>
      <c r="AJ6840">
        <v>85.801438344674494</v>
      </c>
      <c r="AK6840">
        <v>207.96061590653801</v>
      </c>
      <c r="AL6840">
        <v>79.064437356329606</v>
      </c>
      <c r="AM6840">
        <v>86.249652392889601</v>
      </c>
      <c r="AN6840">
        <v>1.0000000327426</v>
      </c>
    </row>
    <row r="6841" spans="1:40" x14ac:dyDescent="0.25">
      <c r="A6841" t="str">
        <f>"20190303162953933"</f>
        <v>20190303162953933</v>
      </c>
      <c r="B6841" t="str">
        <f>"1551601793918419"</f>
        <v>1551601793918419</v>
      </c>
      <c r="C6841" t="s">
        <v>40</v>
      </c>
      <c r="D6841">
        <v>5.6088040000000001</v>
      </c>
      <c r="E6841">
        <v>0.50305059999999902</v>
      </c>
      <c r="F6841" t="s">
        <v>52</v>
      </c>
      <c r="G6841">
        <v>-177.65450000000001</v>
      </c>
      <c r="H6841">
        <v>0.1078783</v>
      </c>
      <c r="I6841">
        <v>205.11959999999999</v>
      </c>
      <c r="J6841">
        <v>-188.11150000000001</v>
      </c>
      <c r="K6841">
        <v>1.1212819999999999</v>
      </c>
      <c r="L6841">
        <v>100.6949</v>
      </c>
      <c r="M6841">
        <v>2.397562E-2</v>
      </c>
      <c r="N6841">
        <v>-1.195937E-2</v>
      </c>
      <c r="O6841">
        <v>0.999641</v>
      </c>
      <c r="P6841">
        <v>9.0475029999999998E-2</v>
      </c>
      <c r="Q6841">
        <v>0.1763615</v>
      </c>
      <c r="R6841">
        <v>0.98015859999999999</v>
      </c>
      <c r="S6841">
        <v>0.30360409999999999</v>
      </c>
      <c r="T6841">
        <v>-2.940071E-2</v>
      </c>
      <c r="U6841">
        <v>3.0390320000000002</v>
      </c>
      <c r="V6841">
        <v>6.6954749999999993E-2</v>
      </c>
      <c r="W6841">
        <v>0.18809119999999999</v>
      </c>
      <c r="X6841">
        <v>0.97986669999999998</v>
      </c>
      <c r="Y6841">
        <v>7.550962E-2</v>
      </c>
      <c r="Z6841">
        <v>2.3132579999999999E-3</v>
      </c>
      <c r="AA6841">
        <v>0.99714239999999998</v>
      </c>
      <c r="AB6841">
        <v>32</v>
      </c>
      <c r="AC6841">
        <v>10.456999999999899</v>
      </c>
      <c r="AD6841">
        <v>-1.01340369999999</v>
      </c>
      <c r="AE6841">
        <v>104.4247</v>
      </c>
      <c r="AF6841">
        <v>7.9494263869729398</v>
      </c>
      <c r="AG6841">
        <v>-1.01340369999999</v>
      </c>
      <c r="AH6841">
        <v>104.635652396007</v>
      </c>
      <c r="AI6841">
        <v>90.553301950244204</v>
      </c>
      <c r="AJ6841">
        <v>85.655445345247202</v>
      </c>
      <c r="AK6841">
        <v>104.94207983110999</v>
      </c>
      <c r="AL6841">
        <v>79.1585902074427</v>
      </c>
      <c r="AM6841">
        <v>86.091028757290303</v>
      </c>
      <c r="AN6841">
        <v>0.99999999391694605</v>
      </c>
    </row>
    <row r="6842" spans="1:40" x14ac:dyDescent="0.25">
      <c r="A6842" t="str">
        <f>"20190303162953956"</f>
        <v>20190303162953956</v>
      </c>
      <c r="B6842" t="str">
        <f>"1551601793948676"</f>
        <v>1551601793948676</v>
      </c>
      <c r="C6842" t="s">
        <v>40</v>
      </c>
      <c r="D6842">
        <v>5.6142089999999998</v>
      </c>
      <c r="E6842">
        <v>0.50121439999999995</v>
      </c>
      <c r="F6842" t="s">
        <v>41</v>
      </c>
      <c r="G6842">
        <v>-180.2354</v>
      </c>
      <c r="H6842" s="1">
        <v>-3.0402699999999999E-6</v>
      </c>
      <c r="I6842">
        <v>180.94739999999999</v>
      </c>
      <c r="J6842">
        <v>-188.10329999999999</v>
      </c>
      <c r="K6842">
        <v>1.121267</v>
      </c>
      <c r="L6842">
        <v>101.0381</v>
      </c>
      <c r="M6842">
        <v>2.3975369999999999E-2</v>
      </c>
      <c r="N6842">
        <v>-1.195965E-2</v>
      </c>
      <c r="O6842">
        <v>0.999641</v>
      </c>
      <c r="P6842">
        <v>9.3757400000000005E-2</v>
      </c>
      <c r="Q6842">
        <v>0.17375979999999999</v>
      </c>
      <c r="R6842">
        <v>0.98031480000000004</v>
      </c>
      <c r="S6842">
        <v>0.29843140000000001</v>
      </c>
      <c r="T6842">
        <v>-4.2486429999999999E-2</v>
      </c>
      <c r="U6842">
        <v>3.0408330000000001</v>
      </c>
      <c r="V6842">
        <v>7.0232559999999999E-2</v>
      </c>
      <c r="W6842">
        <v>0.18549280000000001</v>
      </c>
      <c r="X6842">
        <v>0.98013249999999996</v>
      </c>
      <c r="Y6842">
        <v>7.3770000000000002E-2</v>
      </c>
      <c r="Z6842">
        <v>-1.9666879999999999E-3</v>
      </c>
      <c r="AA6842">
        <v>0.99727330000000003</v>
      </c>
      <c r="AB6842">
        <v>32</v>
      </c>
      <c r="AC6842">
        <v>7.8678999999999899</v>
      </c>
      <c r="AD6842">
        <v>-1.12127004027</v>
      </c>
      <c r="AE6842">
        <v>79.909299999999902</v>
      </c>
      <c r="AF6842">
        <v>5.9484860038055203</v>
      </c>
      <c r="AG6842">
        <v>-1.12127004027</v>
      </c>
      <c r="AH6842">
        <v>80.059364433251403</v>
      </c>
      <c r="AI6842">
        <v>90.800197116595001</v>
      </c>
      <c r="AJ6842">
        <v>85.750677910995904</v>
      </c>
      <c r="AK6842">
        <v>80.2878793199624</v>
      </c>
      <c r="AL6842">
        <v>79.310134447199999</v>
      </c>
      <c r="AM6842">
        <v>85.901408085104705</v>
      </c>
      <c r="AN6842">
        <v>0.99999995444612</v>
      </c>
    </row>
    <row r="6843" spans="1:40" x14ac:dyDescent="0.25">
      <c r="A6843" t="str">
        <f>"20190303162953977"</f>
        <v>20190303162953977</v>
      </c>
      <c r="B6843" t="str">
        <f>"1551601793969172"</f>
        <v>1551601793969172</v>
      </c>
      <c r="C6843" t="s">
        <v>40</v>
      </c>
      <c r="D6843">
        <v>5.4622250000000001</v>
      </c>
      <c r="E6843">
        <v>0.50073080000000003</v>
      </c>
      <c r="F6843" t="s">
        <v>56</v>
      </c>
      <c r="G6843">
        <v>-182.8408</v>
      </c>
      <c r="H6843" s="1">
        <v>-1.33186999999999E-5</v>
      </c>
      <c r="I6843">
        <v>155.8329</v>
      </c>
      <c r="J6843">
        <v>-188.09540000000001</v>
      </c>
      <c r="K6843">
        <v>1.1212530000000001</v>
      </c>
      <c r="L6843">
        <v>101.3622</v>
      </c>
      <c r="M6843">
        <v>2.3975139999999999E-2</v>
      </c>
      <c r="N6843">
        <v>-1.195996E-2</v>
      </c>
      <c r="O6843">
        <v>0.999641</v>
      </c>
      <c r="P6843">
        <v>9.6855129999999998E-2</v>
      </c>
      <c r="Q6843">
        <v>0.1711985</v>
      </c>
      <c r="R6843">
        <v>0.98046420000000001</v>
      </c>
      <c r="S6843">
        <v>0.29228209999999999</v>
      </c>
      <c r="T6843">
        <v>-6.2276600000000001E-2</v>
      </c>
      <c r="U6843">
        <v>3.0433349999999999</v>
      </c>
      <c r="V6843">
        <v>7.3325979999999999E-2</v>
      </c>
      <c r="W6843">
        <v>0.18293429999999999</v>
      </c>
      <c r="X6843">
        <v>0.98038689999999995</v>
      </c>
      <c r="Y6843">
        <v>7.1688470000000004E-2</v>
      </c>
      <c r="Z6843">
        <v>-8.4317999999999997E-3</v>
      </c>
      <c r="AA6843">
        <v>0.99739140000000004</v>
      </c>
      <c r="AB6843">
        <v>32</v>
      </c>
      <c r="AC6843">
        <v>5.2546000000000097</v>
      </c>
      <c r="AD6843">
        <v>-1.1212663187</v>
      </c>
      <c r="AE6843">
        <v>54.470700000000001</v>
      </c>
      <c r="AF6843">
        <v>3.9453969120220398</v>
      </c>
      <c r="AG6843">
        <v>-1.1212663187</v>
      </c>
      <c r="AH6843">
        <v>54.558124318179502</v>
      </c>
      <c r="AI6843">
        <v>91.174298600749296</v>
      </c>
      <c r="AJ6843">
        <v>85.863828289011195</v>
      </c>
      <c r="AK6843">
        <v>54.712085722158101</v>
      </c>
      <c r="AL6843">
        <v>79.459279345699997</v>
      </c>
      <c r="AM6843">
        <v>85.722646400111302</v>
      </c>
      <c r="AN6843">
        <v>1.0000000655755199</v>
      </c>
    </row>
    <row r="6844" spans="1:40" x14ac:dyDescent="0.25">
      <c r="A6844" t="str">
        <f>"20190303162953999"</f>
        <v>20190303162953999</v>
      </c>
      <c r="B6844" t="str">
        <f>"1551601793988691"</f>
        <v>1551601793988691</v>
      </c>
      <c r="C6844" t="s">
        <v>40</v>
      </c>
      <c r="D6844">
        <v>5.6229800000000001</v>
      </c>
      <c r="E6844">
        <v>0.49967739999999999</v>
      </c>
      <c r="F6844" t="s">
        <v>56</v>
      </c>
      <c r="G6844">
        <v>-183.5479</v>
      </c>
      <c r="H6844" s="1">
        <v>-1.085761E-5</v>
      </c>
      <c r="I6844">
        <v>147.9452</v>
      </c>
      <c r="J6844">
        <v>-188.0882</v>
      </c>
      <c r="K6844">
        <v>1.121235</v>
      </c>
      <c r="L6844">
        <v>101.6632</v>
      </c>
      <c r="M6844">
        <v>2.397494E-2</v>
      </c>
      <c r="N6844">
        <v>-1.196024E-2</v>
      </c>
      <c r="O6844">
        <v>0.999641</v>
      </c>
      <c r="P6844">
        <v>0.1009019</v>
      </c>
      <c r="Q6844">
        <v>0.16885799999999901</v>
      </c>
      <c r="R6844">
        <v>0.98046199999999994</v>
      </c>
      <c r="S6844">
        <v>0.29708859999999998</v>
      </c>
      <c r="T6844">
        <v>-7.3251609999999995E-2</v>
      </c>
      <c r="U6844">
        <v>3.0432429999999999</v>
      </c>
      <c r="V6844">
        <v>7.7371750000000003E-2</v>
      </c>
      <c r="W6844">
        <v>0.18059500000000001</v>
      </c>
      <c r="X6844">
        <v>0.98050959999999998</v>
      </c>
      <c r="Y6844">
        <v>7.3246629999999993E-2</v>
      </c>
      <c r="Z6844">
        <v>-1.20191E-2</v>
      </c>
      <c r="AA6844">
        <v>0.99724139999999994</v>
      </c>
      <c r="AB6844">
        <v>32</v>
      </c>
      <c r="AC6844">
        <v>4.5403000000000002</v>
      </c>
      <c r="AD6844">
        <v>-1.12124585761</v>
      </c>
      <c r="AE6844">
        <v>46.281999999999996</v>
      </c>
      <c r="AF6844">
        <v>3.4273148105128599</v>
      </c>
      <c r="AG6844">
        <v>-1.12124585761</v>
      </c>
      <c r="AH6844">
        <v>46.350611296307697</v>
      </c>
      <c r="AI6844">
        <v>91.381973593733093</v>
      </c>
      <c r="AJ6844">
        <v>85.771060070697203</v>
      </c>
      <c r="AK6844">
        <v>46.490674835121197</v>
      </c>
      <c r="AL6844">
        <v>79.595581309757705</v>
      </c>
      <c r="AM6844">
        <v>85.488154585470596</v>
      </c>
      <c r="AN6844">
        <v>1.00000000870761</v>
      </c>
    </row>
    <row r="6845" spans="1:40" x14ac:dyDescent="0.25">
      <c r="A6845" t="str">
        <f>"20190303162954021"</f>
        <v>20190303162954021</v>
      </c>
      <c r="B6845" t="str">
        <f>"1551601794009188"</f>
        <v>1551601794009188</v>
      </c>
      <c r="C6845" t="s">
        <v>40</v>
      </c>
      <c r="D6845">
        <v>5.6186639999999999</v>
      </c>
      <c r="E6845">
        <v>0.49237979999999998</v>
      </c>
      <c r="F6845" t="s">
        <v>56</v>
      </c>
      <c r="G6845">
        <v>-184.15719999999999</v>
      </c>
      <c r="H6845" s="1">
        <v>-9.0412579999999994E-6</v>
      </c>
      <c r="I6845">
        <v>141.44149999999999</v>
      </c>
      <c r="J6845">
        <v>-188.0805</v>
      </c>
      <c r="K6845">
        <v>1.1212260000000001</v>
      </c>
      <c r="L6845">
        <v>101.9825</v>
      </c>
      <c r="M6845">
        <v>2.397473E-2</v>
      </c>
      <c r="N6845">
        <v>-1.196055E-2</v>
      </c>
      <c r="O6845">
        <v>0.999641</v>
      </c>
      <c r="P6845">
        <v>0.10481269999999999</v>
      </c>
      <c r="Q6845">
        <v>0.1663763</v>
      </c>
      <c r="R6845">
        <v>0.98047600000000001</v>
      </c>
      <c r="S6845">
        <v>0.30078129999999997</v>
      </c>
      <c r="T6845">
        <v>-8.5791110000000004E-2</v>
      </c>
      <c r="U6845">
        <v>3.0436100000000001</v>
      </c>
      <c r="V6845">
        <v>8.1281129999999993E-2</v>
      </c>
      <c r="W6845">
        <v>0.17811479999999999</v>
      </c>
      <c r="X6845">
        <v>0.98064700000000005</v>
      </c>
      <c r="Y6845">
        <v>7.4425790000000006E-2</v>
      </c>
      <c r="Z6845">
        <v>-1.6112899999999999E-2</v>
      </c>
      <c r="AA6845">
        <v>0.99709639999999999</v>
      </c>
      <c r="AB6845">
        <v>32</v>
      </c>
      <c r="AC6845">
        <v>3.92330000000001</v>
      </c>
      <c r="AD6845">
        <v>-1.1212350412579899</v>
      </c>
      <c r="AE6845">
        <v>39.458999999999897</v>
      </c>
      <c r="AF6845">
        <v>2.9737080493369099</v>
      </c>
      <c r="AG6845">
        <v>-1.1212350412579899</v>
      </c>
      <c r="AH6845">
        <v>39.510134148982402</v>
      </c>
      <c r="AI6845">
        <v>91.620945048841705</v>
      </c>
      <c r="AJ6845">
        <v>85.695780525462396</v>
      </c>
      <c r="AK6845">
        <v>39.637744739717697</v>
      </c>
      <c r="AL6845">
        <v>79.740028767868097</v>
      </c>
      <c r="AM6845">
        <v>85.261857902890995</v>
      </c>
      <c r="AN6845">
        <v>1.00000002134105</v>
      </c>
    </row>
    <row r="6846" spans="1:40" x14ac:dyDescent="0.25">
      <c r="A6846" t="str">
        <f>"20190303162954045"</f>
        <v>20190303162954045</v>
      </c>
      <c r="B6846" t="str">
        <f>"1551601794038468"</f>
        <v>1551601794038468</v>
      </c>
      <c r="C6846" t="s">
        <v>40</v>
      </c>
      <c r="D6846">
        <v>5.6738390000000001</v>
      </c>
      <c r="E6846">
        <v>0.49207420000000002</v>
      </c>
      <c r="F6846" t="s">
        <v>56</v>
      </c>
      <c r="G6846">
        <v>-185.79159999999999</v>
      </c>
      <c r="H6846" s="1">
        <v>-5.0258750000000004E-6</v>
      </c>
      <c r="I6846">
        <v>129.4564</v>
      </c>
      <c r="J6846">
        <v>-188.07230000000001</v>
      </c>
      <c r="K6846">
        <v>1.1212230000000001</v>
      </c>
      <c r="L6846">
        <v>102.32250000000001</v>
      </c>
      <c r="M6846">
        <v>2.3974510000000001E-2</v>
      </c>
      <c r="N6846">
        <v>-1.196089E-2</v>
      </c>
      <c r="O6846">
        <v>0.999641</v>
      </c>
      <c r="P6846">
        <v>0.1059857</v>
      </c>
      <c r="Q6846">
        <v>0.16637950000000001</v>
      </c>
      <c r="R6846">
        <v>0.98034940000000004</v>
      </c>
      <c r="S6846">
        <v>0.25440980000000002</v>
      </c>
      <c r="T6846">
        <v>-0.12462289999999999</v>
      </c>
      <c r="U6846">
        <v>3.0536799999999999</v>
      </c>
      <c r="V6846">
        <v>8.2457100000000005E-2</v>
      </c>
      <c r="W6846">
        <v>0.17811759999999999</v>
      </c>
      <c r="X6846">
        <v>0.98054830000000004</v>
      </c>
      <c r="Y6846">
        <v>5.9054769999999999E-2</v>
      </c>
      <c r="Z6846">
        <v>-2.871137E-2</v>
      </c>
      <c r="AA6846">
        <v>0.9978418</v>
      </c>
      <c r="AB6846">
        <v>33</v>
      </c>
      <c r="AC6846">
        <v>2.2807000000000199</v>
      </c>
      <c r="AD6846">
        <v>-1.12122802587499</v>
      </c>
      <c r="AE6846">
        <v>27.133900000000001</v>
      </c>
      <c r="AF6846">
        <v>1.6267177084200499</v>
      </c>
      <c r="AG6846">
        <v>-1.12122802587499</v>
      </c>
      <c r="AH6846">
        <v>27.134774493709301</v>
      </c>
      <c r="AI6846">
        <v>92.361920296913894</v>
      </c>
      <c r="AJ6846">
        <v>86.569249453674104</v>
      </c>
      <c r="AK6846">
        <v>27.206604889499701</v>
      </c>
      <c r="AL6846">
        <v>79.739865622323293</v>
      </c>
      <c r="AM6846">
        <v>85.193144116609901</v>
      </c>
      <c r="AN6846">
        <v>1.0000000107015199</v>
      </c>
    </row>
    <row r="6847" spans="1:40" x14ac:dyDescent="0.25">
      <c r="A6847" t="str">
        <f>"20190303162954068"</f>
        <v>20190303162954068</v>
      </c>
      <c r="B6847" t="str">
        <f>"1551601794058963"</f>
        <v>1551601794058963</v>
      </c>
      <c r="C6847" t="s">
        <v>40</v>
      </c>
      <c r="D6847">
        <v>5.6785519999999998</v>
      </c>
      <c r="E6847">
        <v>0.49157319999999999</v>
      </c>
      <c r="F6847" t="s">
        <v>56</v>
      </c>
      <c r="G6847">
        <v>-185.82980000000001</v>
      </c>
      <c r="H6847" s="1">
        <v>-4.8823989999999998E-6</v>
      </c>
      <c r="I6847">
        <v>129.1217</v>
      </c>
      <c r="J6847">
        <v>-188.06389999999999</v>
      </c>
      <c r="K6847">
        <v>1.121229</v>
      </c>
      <c r="L6847">
        <v>102.6704</v>
      </c>
      <c r="M6847">
        <v>2.3974269999999999E-2</v>
      </c>
      <c r="N6847">
        <v>-1.1961309999999999E-2</v>
      </c>
      <c r="O6847">
        <v>0.999641</v>
      </c>
      <c r="P6847">
        <v>0.1093914</v>
      </c>
      <c r="Q6847">
        <v>0.16758970000000001</v>
      </c>
      <c r="R6847">
        <v>0.97976890000000005</v>
      </c>
      <c r="S6847">
        <v>0.25556950000000001</v>
      </c>
      <c r="T6847">
        <v>-0.1277819</v>
      </c>
      <c r="U6847">
        <v>3.0541990000000001</v>
      </c>
      <c r="V6847">
        <v>8.5875919999999994E-2</v>
      </c>
      <c r="W6847">
        <v>0.17932200000000001</v>
      </c>
      <c r="X6847">
        <v>0.9800352</v>
      </c>
      <c r="Y6847">
        <v>5.941428E-2</v>
      </c>
      <c r="Z6847">
        <v>-2.9732000000000001E-2</v>
      </c>
      <c r="AA6847">
        <v>0.99779050000000002</v>
      </c>
      <c r="AB6847">
        <v>33</v>
      </c>
      <c r="AC6847">
        <v>2.2340999999999802</v>
      </c>
      <c r="AD6847">
        <v>-1.121233882399</v>
      </c>
      <c r="AE6847">
        <v>26.4513</v>
      </c>
      <c r="AF6847">
        <v>1.5964136759641101</v>
      </c>
      <c r="AG6847">
        <v>-1.121233882399</v>
      </c>
      <c r="AH6847">
        <v>26.450072205400801</v>
      </c>
      <c r="AI6847">
        <v>92.422944140823603</v>
      </c>
      <c r="AJ6847">
        <v>86.546060794046696</v>
      </c>
      <c r="AK6847">
        <v>26.521915875644499</v>
      </c>
      <c r="AL6847">
        <v>79.669729520331202</v>
      </c>
      <c r="AM6847">
        <v>84.9922284537286</v>
      </c>
      <c r="AN6847">
        <v>1.0000000232794399</v>
      </c>
    </row>
    <row r="6848" spans="1:40" x14ac:dyDescent="0.25">
      <c r="A6848" t="str">
        <f>"20190303162954091"</f>
        <v>20190303162954091</v>
      </c>
      <c r="B6848" t="str">
        <f>"1551601794078483"</f>
        <v>1551601794078483</v>
      </c>
      <c r="C6848" t="s">
        <v>40</v>
      </c>
      <c r="D6848">
        <v>5.6229849999999999</v>
      </c>
      <c r="E6848">
        <v>0.49099229999999999</v>
      </c>
      <c r="F6848" t="s">
        <v>56</v>
      </c>
      <c r="G6848">
        <v>-185.71449999999999</v>
      </c>
      <c r="H6848" s="1">
        <v>-5.2536329999999901E-6</v>
      </c>
      <c r="I6848">
        <v>130.10329999999999</v>
      </c>
      <c r="J6848">
        <v>-188.05600000000001</v>
      </c>
      <c r="K6848">
        <v>1.1212310000000001</v>
      </c>
      <c r="L6848">
        <v>103.0008</v>
      </c>
      <c r="M6848">
        <v>2.3974039999999999E-2</v>
      </c>
      <c r="N6848">
        <v>-1.196172E-2</v>
      </c>
      <c r="O6848">
        <v>0.999641</v>
      </c>
      <c r="P6848">
        <v>0.113078</v>
      </c>
      <c r="Q6848">
        <v>0.16836409999999999</v>
      </c>
      <c r="R6848">
        <v>0.97921749999999996</v>
      </c>
      <c r="S6848">
        <v>0.26156620000000003</v>
      </c>
      <c r="T6848">
        <v>-0.1248261</v>
      </c>
      <c r="U6848">
        <v>3.0540769999999999</v>
      </c>
      <c r="V6848">
        <v>8.9574920000000002E-2</v>
      </c>
      <c r="W6848">
        <v>0.18009120000000001</v>
      </c>
      <c r="X6848">
        <v>0.97956290000000001</v>
      </c>
      <c r="Y6848">
        <v>6.1365080000000002E-2</v>
      </c>
      <c r="Z6848">
        <v>-2.8764959999999999E-2</v>
      </c>
      <c r="AA6848">
        <v>0.99770080000000005</v>
      </c>
      <c r="AB6848">
        <v>33</v>
      </c>
      <c r="AC6848">
        <v>2.3414999999999901</v>
      </c>
      <c r="AD6848">
        <v>-1.1212362536329901</v>
      </c>
      <c r="AE6848">
        <v>27.1024999999999</v>
      </c>
      <c r="AF6848">
        <v>1.6881561288537801</v>
      </c>
      <c r="AG6848">
        <v>-1.1212362536329901</v>
      </c>
      <c r="AH6848">
        <v>27.104802314913901</v>
      </c>
      <c r="AI6848">
        <v>92.364210965603405</v>
      </c>
      <c r="AJ6848">
        <v>86.436076442826405</v>
      </c>
      <c r="AK6848">
        <v>27.1804589803486</v>
      </c>
      <c r="AL6848">
        <v>79.624927912944301</v>
      </c>
      <c r="AM6848">
        <v>84.775189072533294</v>
      </c>
      <c r="AN6848">
        <v>0.99999999083342805</v>
      </c>
    </row>
    <row r="6849" spans="1:40" x14ac:dyDescent="0.25">
      <c r="A6849" t="str">
        <f>"20190303162954110"</f>
        <v>20190303162954110</v>
      </c>
      <c r="B6849" t="str">
        <f>"1551601794098980"</f>
        <v>1551601794098980</v>
      </c>
      <c r="C6849" t="s">
        <v>40</v>
      </c>
      <c r="D6849">
        <v>5.6208150000000003</v>
      </c>
      <c r="E6849">
        <v>0.49029299999999998</v>
      </c>
      <c r="F6849" t="s">
        <v>56</v>
      </c>
      <c r="G6849">
        <v>-185.66659999999999</v>
      </c>
      <c r="H6849" s="1">
        <v>-5.317902E-6</v>
      </c>
      <c r="I6849">
        <v>130.2955</v>
      </c>
      <c r="J6849">
        <v>-188.04929999999999</v>
      </c>
      <c r="K6849">
        <v>1.1212329999999999</v>
      </c>
      <c r="L6849">
        <v>103.2818</v>
      </c>
      <c r="M6849">
        <v>2.397386E-2</v>
      </c>
      <c r="N6849">
        <v>-1.196209E-2</v>
      </c>
      <c r="O6849">
        <v>0.999641</v>
      </c>
      <c r="P6849">
        <v>0.1160465</v>
      </c>
      <c r="Q6849">
        <v>0.16865520000000001</v>
      </c>
      <c r="R6849">
        <v>0.97882000000000002</v>
      </c>
      <c r="S6849">
        <v>0.2673798</v>
      </c>
      <c r="T6849">
        <v>-0.12546940000000001</v>
      </c>
      <c r="U6849">
        <v>3.0543520000000002</v>
      </c>
      <c r="V6849">
        <v>9.2552339999999997E-2</v>
      </c>
      <c r="W6849">
        <v>0.18037829999999999</v>
      </c>
      <c r="X6849">
        <v>0.97923329999999997</v>
      </c>
      <c r="Y6849">
        <v>6.3241220000000001E-2</v>
      </c>
      <c r="Z6849">
        <v>-2.8964989999999999E-2</v>
      </c>
      <c r="AA6849">
        <v>0.99757779999999996</v>
      </c>
      <c r="AB6849">
        <v>33</v>
      </c>
      <c r="AC6849">
        <v>2.3826999999999998</v>
      </c>
      <c r="AD6849">
        <v>-1.121238317902</v>
      </c>
      <c r="AE6849">
        <v>27.0137</v>
      </c>
      <c r="AF6849">
        <v>1.73138631070695</v>
      </c>
      <c r="AG6849">
        <v>-1.121238317902</v>
      </c>
      <c r="AH6849">
        <v>27.016876768922899</v>
      </c>
      <c r="AI6849">
        <v>92.371632018057198</v>
      </c>
      <c r="AJ6849">
        <v>86.3331935561949</v>
      </c>
      <c r="AK6849">
        <v>27.095507086408301</v>
      </c>
      <c r="AL6849">
        <v>79.608205164599795</v>
      </c>
      <c r="AM6849">
        <v>84.600722593356906</v>
      </c>
      <c r="AN6849">
        <v>1.00000006128962</v>
      </c>
    </row>
    <row r="6850" spans="1:40" x14ac:dyDescent="0.25">
      <c r="A6850" t="str">
        <f>"20190303162954133"</f>
        <v>20190303162954133</v>
      </c>
      <c r="B6850" t="str">
        <f>"1551601794118499"</f>
        <v>1551601794118499</v>
      </c>
      <c r="C6850" t="s">
        <v>40</v>
      </c>
      <c r="D6850">
        <v>5.6304059999999998</v>
      </c>
      <c r="E6850">
        <v>0.48969839999999998</v>
      </c>
      <c r="F6850" t="s">
        <v>56</v>
      </c>
      <c r="G6850">
        <v>-185.5806</v>
      </c>
      <c r="H6850" s="1">
        <v>-5.6002759999999997E-6</v>
      </c>
      <c r="I6850">
        <v>131.1626</v>
      </c>
      <c r="J6850">
        <v>-188.04140000000001</v>
      </c>
      <c r="K6850">
        <v>1.121229</v>
      </c>
      <c r="L6850">
        <v>103.61</v>
      </c>
      <c r="M6850">
        <v>2.3973629999999999E-2</v>
      </c>
      <c r="N6850">
        <v>-1.1962499999999999E-2</v>
      </c>
      <c r="O6850">
        <v>0.999641</v>
      </c>
      <c r="P6850">
        <v>0.1181234</v>
      </c>
      <c r="Q6850">
        <v>0.16781009999999999</v>
      </c>
      <c r="R6850">
        <v>0.9787169</v>
      </c>
      <c r="S6850">
        <v>0.2704163</v>
      </c>
      <c r="T6850">
        <v>-0.1228182</v>
      </c>
      <c r="U6850">
        <v>3.0540159999999998</v>
      </c>
      <c r="V6850">
        <v>9.4631279999999998E-2</v>
      </c>
      <c r="W6850">
        <v>0.1795331</v>
      </c>
      <c r="X6850">
        <v>0.97918989999999995</v>
      </c>
      <c r="Y6850">
        <v>6.4237359999999993E-2</v>
      </c>
      <c r="Z6850">
        <v>-2.8102749999999999E-2</v>
      </c>
      <c r="AA6850">
        <v>0.99753890000000001</v>
      </c>
      <c r="AB6850">
        <v>33</v>
      </c>
      <c r="AC6850">
        <v>2.4607999999999999</v>
      </c>
      <c r="AD6850">
        <v>-1.1212346002760001</v>
      </c>
      <c r="AE6850">
        <v>27.552600000000002</v>
      </c>
      <c r="AF6850">
        <v>1.7965579201180699</v>
      </c>
      <c r="AG6850">
        <v>-1.1212346002760001</v>
      </c>
      <c r="AH6850">
        <v>27.558402198300701</v>
      </c>
      <c r="AI6850">
        <v>92.324907886698099</v>
      </c>
      <c r="AJ6850">
        <v>86.270112596662202</v>
      </c>
      <c r="AK6850">
        <v>27.639651211846001</v>
      </c>
      <c r="AL6850">
        <v>79.657434994126902</v>
      </c>
      <c r="AM6850">
        <v>84.479940050138097</v>
      </c>
      <c r="AN6850">
        <v>1.00000003670602</v>
      </c>
    </row>
    <row r="6851" spans="1:40" x14ac:dyDescent="0.25">
      <c r="A6851" t="str">
        <f>"20190303162954157"</f>
        <v>20190303162954157</v>
      </c>
      <c r="B6851" t="str">
        <f>"1551601794148755"</f>
        <v>1551601794148755</v>
      </c>
      <c r="C6851" t="s">
        <v>40</v>
      </c>
      <c r="D6851">
        <v>5.6323629999999998</v>
      </c>
      <c r="E6851">
        <v>0.4894481</v>
      </c>
      <c r="F6851" t="s">
        <v>56</v>
      </c>
      <c r="G6851">
        <v>-185.63310000000001</v>
      </c>
      <c r="H6851" s="1">
        <v>-5.44753299999999E-6</v>
      </c>
      <c r="I6851">
        <v>130.69470000000001</v>
      </c>
      <c r="J6851">
        <v>-188.03290000000001</v>
      </c>
      <c r="K6851">
        <v>1.121235</v>
      </c>
      <c r="L6851">
        <v>103.96210000000001</v>
      </c>
      <c r="M6851">
        <v>2.3973390000000001E-2</v>
      </c>
      <c r="N6851">
        <v>-1.1962850000000001E-2</v>
      </c>
      <c r="O6851">
        <v>0.999641</v>
      </c>
      <c r="P6851">
        <v>0.11848069999999999</v>
      </c>
      <c r="Q6851">
        <v>0.16833199999999901</v>
      </c>
      <c r="R6851">
        <v>0.97858400000000001</v>
      </c>
      <c r="S6851">
        <v>0.27156069999999999</v>
      </c>
      <c r="T6851">
        <v>-0.126433399999999</v>
      </c>
      <c r="U6851">
        <v>3.054138</v>
      </c>
      <c r="V6851">
        <v>9.499196E-2</v>
      </c>
      <c r="W6851">
        <v>0.1800533</v>
      </c>
      <c r="X6851">
        <v>0.97905940000000002</v>
      </c>
      <c r="Y6851">
        <v>6.4601409999999998E-2</v>
      </c>
      <c r="Z6851">
        <v>-2.9276900000000002E-2</v>
      </c>
      <c r="AA6851">
        <v>0.99748159999999997</v>
      </c>
      <c r="AB6851">
        <v>33</v>
      </c>
      <c r="AC6851">
        <v>2.3997999999999902</v>
      </c>
      <c r="AD6851">
        <v>-1.121240447533</v>
      </c>
      <c r="AE6851">
        <v>26.732600000000001</v>
      </c>
      <c r="AF6851">
        <v>1.7551303303851999</v>
      </c>
      <c r="AG6851">
        <v>-1.121240447533</v>
      </c>
      <c r="AH6851">
        <v>26.735793734433798</v>
      </c>
      <c r="AI6851">
        <v>92.396299980438002</v>
      </c>
      <c r="AJ6851">
        <v>86.244081053512801</v>
      </c>
      <c r="AK6851">
        <v>26.816791926477901</v>
      </c>
      <c r="AL6851">
        <v>79.627135459226295</v>
      </c>
      <c r="AM6851">
        <v>84.458297480311998</v>
      </c>
      <c r="AN6851">
        <v>0.99999998601694495</v>
      </c>
    </row>
    <row r="6852" spans="1:40" x14ac:dyDescent="0.25">
      <c r="A6852" t="str">
        <f>"20190303162954178"</f>
        <v>20190303162954178</v>
      </c>
      <c r="B6852" t="str">
        <f>"1551601794169252"</f>
        <v>1551601794169252</v>
      </c>
      <c r="C6852" t="s">
        <v>40</v>
      </c>
      <c r="D6852">
        <v>5.5731140000000003</v>
      </c>
      <c r="E6852">
        <v>0.4894444</v>
      </c>
      <c r="F6852" t="s">
        <v>56</v>
      </c>
      <c r="G6852">
        <v>-185.64869999999999</v>
      </c>
      <c r="H6852" s="1">
        <v>-5.5253560000000001E-6</v>
      </c>
      <c r="I6852">
        <v>130.9408</v>
      </c>
      <c r="J6852">
        <v>-188.0256</v>
      </c>
      <c r="K6852">
        <v>1.1212470000000001</v>
      </c>
      <c r="L6852">
        <v>104.2657</v>
      </c>
      <c r="M6852">
        <v>2.3973169999999999E-2</v>
      </c>
      <c r="N6852">
        <v>-1.196318E-2</v>
      </c>
      <c r="O6852">
        <v>0.999641</v>
      </c>
      <c r="P6852">
        <v>0.1176735</v>
      </c>
      <c r="Q6852">
        <v>0.17088709999999999</v>
      </c>
      <c r="R6852">
        <v>0.97823850000000001</v>
      </c>
      <c r="S6852">
        <v>0.26995849999999999</v>
      </c>
      <c r="T6852">
        <v>-0.1269586</v>
      </c>
      <c r="U6852">
        <v>3.0548099999999998</v>
      </c>
      <c r="V6852">
        <v>9.4193620000000006E-2</v>
      </c>
      <c r="W6852">
        <v>0.18260419999999999</v>
      </c>
      <c r="X6852">
        <v>0.97866399999999998</v>
      </c>
      <c r="Y6852">
        <v>6.4062889999999997E-2</v>
      </c>
      <c r="Z6852">
        <v>-2.944014E-2</v>
      </c>
      <c r="AA6852">
        <v>0.9975115</v>
      </c>
      <c r="AB6852">
        <v>33</v>
      </c>
      <c r="AC6852">
        <v>2.3769</v>
      </c>
      <c r="AD6852">
        <v>-1.121252525356</v>
      </c>
      <c r="AE6852">
        <v>26.6751</v>
      </c>
      <c r="AF6852">
        <v>1.7336453725132701</v>
      </c>
      <c r="AG6852">
        <v>-1.121252525356</v>
      </c>
      <c r="AH6852">
        <v>26.677654859346799</v>
      </c>
      <c r="AI6852">
        <v>92.401645317234397</v>
      </c>
      <c r="AJ6852">
        <v>86.281866186870403</v>
      </c>
      <c r="AK6852">
        <v>26.757428917922599</v>
      </c>
      <c r="AL6852">
        <v>79.478515791111505</v>
      </c>
      <c r="AM6852">
        <v>84.502378593442501</v>
      </c>
      <c r="AN6852">
        <v>0.99999997840117105</v>
      </c>
    </row>
    <row r="6853" spans="1:40" x14ac:dyDescent="0.25">
      <c r="A6853" t="str">
        <f>"20190303162954199"</f>
        <v>20190303162954199</v>
      </c>
      <c r="B6853" t="str">
        <f>"1551601794188772"</f>
        <v>1551601794188772</v>
      </c>
      <c r="C6853" t="s">
        <v>40</v>
      </c>
      <c r="D6853">
        <v>5.6202800000000002</v>
      </c>
      <c r="E6853">
        <v>0.48962600000000001</v>
      </c>
      <c r="F6853" t="s">
        <v>56</v>
      </c>
      <c r="G6853">
        <v>-185.5137</v>
      </c>
      <c r="H6853" s="1">
        <v>-6.2050050000000002E-6</v>
      </c>
      <c r="I6853">
        <v>133.041</v>
      </c>
      <c r="J6853">
        <v>-188.0181</v>
      </c>
      <c r="K6853">
        <v>1.1212519999999999</v>
      </c>
      <c r="L6853">
        <v>104.58</v>
      </c>
      <c r="M6853">
        <v>2.3972940000000002E-2</v>
      </c>
      <c r="N6853">
        <v>-1.196352E-2</v>
      </c>
      <c r="O6853">
        <v>0.999641</v>
      </c>
      <c r="P6853">
        <v>0.1163898</v>
      </c>
      <c r="Q6853">
        <v>0.17304040000000001</v>
      </c>
      <c r="R6853">
        <v>0.97801349999999998</v>
      </c>
      <c r="S6853">
        <v>0.26672360000000001</v>
      </c>
      <c r="T6853">
        <v>-0.11905830000000001</v>
      </c>
      <c r="U6853">
        <v>3.05545</v>
      </c>
      <c r="V6853">
        <v>9.2915970000000001E-2</v>
      </c>
      <c r="W6853">
        <v>0.18475520000000001</v>
      </c>
      <c r="X6853">
        <v>0.97838239999999999</v>
      </c>
      <c r="Y6853">
        <v>6.3004350000000001E-2</v>
      </c>
      <c r="Z6853">
        <v>-2.6862420000000001E-2</v>
      </c>
      <c r="AA6853">
        <v>0.99765170000000003</v>
      </c>
      <c r="AB6853">
        <v>33</v>
      </c>
      <c r="AC6853">
        <v>2.5044</v>
      </c>
      <c r="AD6853">
        <v>-1.121258205005</v>
      </c>
      <c r="AE6853">
        <v>28.460999999999999</v>
      </c>
      <c r="AF6853">
        <v>1.8185366521169799</v>
      </c>
      <c r="AG6853">
        <v>-1.121258205005</v>
      </c>
      <c r="AH6853">
        <v>28.469015119458302</v>
      </c>
      <c r="AI6853">
        <v>92.250857958189997</v>
      </c>
      <c r="AJ6853">
        <v>86.3450402715889</v>
      </c>
      <c r="AK6853">
        <v>28.5490650878331</v>
      </c>
      <c r="AL6853">
        <v>79.353139540117098</v>
      </c>
      <c r="AM6853">
        <v>84.574949422701096</v>
      </c>
      <c r="AN6853">
        <v>0.99999999101892001</v>
      </c>
    </row>
    <row r="6854" spans="1:40" x14ac:dyDescent="0.25">
      <c r="A6854" t="str">
        <f>"20190303162954221"</f>
        <v>20190303162954221</v>
      </c>
      <c r="B6854" t="str">
        <f>"1551601794209268"</f>
        <v>1551601794209268</v>
      </c>
      <c r="C6854" t="s">
        <v>40</v>
      </c>
      <c r="D6854">
        <v>5.6262759999999998</v>
      </c>
      <c r="E6854">
        <v>0.48970910000000001</v>
      </c>
      <c r="F6854" t="s">
        <v>56</v>
      </c>
      <c r="G6854">
        <v>-185.3751</v>
      </c>
      <c r="H6854" s="1">
        <v>-6.8945319999999998E-6</v>
      </c>
      <c r="I6854">
        <v>135.15969999999999</v>
      </c>
      <c r="J6854">
        <v>-188.0104</v>
      </c>
      <c r="K6854">
        <v>1.1212719999999901</v>
      </c>
      <c r="L6854">
        <v>104.901</v>
      </c>
      <c r="M6854">
        <v>2.3972730000000001E-2</v>
      </c>
      <c r="N6854">
        <v>-1.19639E-2</v>
      </c>
      <c r="O6854">
        <v>0.999641</v>
      </c>
      <c r="P6854">
        <v>0.1164862</v>
      </c>
      <c r="Q6854">
        <v>0.17601549999999999</v>
      </c>
      <c r="R6854">
        <v>0.97747099999999998</v>
      </c>
      <c r="S6854">
        <v>0.26411440000000003</v>
      </c>
      <c r="T6854">
        <v>-0.11204799999999999</v>
      </c>
      <c r="U6854">
        <v>3.055847</v>
      </c>
      <c r="V6854">
        <v>9.3025640000000007E-2</v>
      </c>
      <c r="W6854">
        <v>0.18772359999999999</v>
      </c>
      <c r="X6854">
        <v>0.97780670000000003</v>
      </c>
      <c r="Y6854">
        <v>6.2154019999999997E-2</v>
      </c>
      <c r="Z6854">
        <v>-2.4576810000000001E-2</v>
      </c>
      <c r="AA6854">
        <v>0.99776390000000004</v>
      </c>
      <c r="AB6854">
        <v>33</v>
      </c>
      <c r="AC6854">
        <v>2.6353</v>
      </c>
      <c r="AD6854">
        <v>-1.12127889453199</v>
      </c>
      <c r="AE6854">
        <v>30.258699999999902</v>
      </c>
      <c r="AF6854">
        <v>1.9065086919594001</v>
      </c>
      <c r="AG6854">
        <v>-1.12127889453199</v>
      </c>
      <c r="AH6854">
        <v>30.271926841625302</v>
      </c>
      <c r="AI6854">
        <v>92.117088004307803</v>
      </c>
      <c r="AJ6854">
        <v>86.396304023111796</v>
      </c>
      <c r="AK6854">
        <v>30.352620915771901</v>
      </c>
      <c r="AL6854">
        <v>79.180033434555597</v>
      </c>
      <c r="AM6854">
        <v>84.565405734258803</v>
      </c>
      <c r="AN6854">
        <v>0.99999993112962704</v>
      </c>
    </row>
    <row r="6855" spans="1:40" x14ac:dyDescent="0.25">
      <c r="A6855" t="str">
        <f>"20190303162954246"</f>
        <v>20190303162954246</v>
      </c>
      <c r="B6855" t="str">
        <f>"1551601794238547"</f>
        <v>1551601794238547</v>
      </c>
      <c r="C6855" t="s">
        <v>40</v>
      </c>
      <c r="D6855">
        <v>5.7420669999999996</v>
      </c>
      <c r="E6855">
        <v>0.48999779999999998</v>
      </c>
      <c r="F6855" t="s">
        <v>56</v>
      </c>
      <c r="G6855">
        <v>-185.1337</v>
      </c>
      <c r="H6855" s="1">
        <v>-7.9404870000000007E-6</v>
      </c>
      <c r="I6855">
        <v>138.09020000000001</v>
      </c>
      <c r="J6855">
        <v>-188.00210000000001</v>
      </c>
      <c r="K6855">
        <v>1.121297</v>
      </c>
      <c r="L6855">
        <v>105.247</v>
      </c>
      <c r="M6855">
        <v>2.3972520000000001E-2</v>
      </c>
      <c r="N6855">
        <v>-1.1964310000000001E-2</v>
      </c>
      <c r="O6855">
        <v>0.999641</v>
      </c>
      <c r="P6855">
        <v>0.1166845</v>
      </c>
      <c r="Q6855">
        <v>0.18116270000000001</v>
      </c>
      <c r="R6855">
        <v>0.9765064</v>
      </c>
      <c r="S6855">
        <v>0.26489259999999998</v>
      </c>
      <c r="T6855">
        <v>-0.1032515</v>
      </c>
      <c r="U6855">
        <v>3.0561829999999999</v>
      </c>
      <c r="V6855">
        <v>9.3247430000000006E-2</v>
      </c>
      <c r="W6855">
        <v>0.1928599</v>
      </c>
      <c r="X6855">
        <v>0.97678549999999997</v>
      </c>
      <c r="Y6855">
        <v>6.2403729999999998E-2</v>
      </c>
      <c r="Z6855">
        <v>-2.1707199999999999E-2</v>
      </c>
      <c r="AA6855">
        <v>0.99781489999999995</v>
      </c>
      <c r="AB6855">
        <v>33</v>
      </c>
      <c r="AC6855">
        <v>2.8683999999999998</v>
      </c>
      <c r="AD6855">
        <v>-1.1213049404869999</v>
      </c>
      <c r="AE6855">
        <v>32.843200000000003</v>
      </c>
      <c r="AF6855">
        <v>2.07778134357785</v>
      </c>
      <c r="AG6855">
        <v>-1.1213049404869999</v>
      </c>
      <c r="AH6855">
        <v>32.864510290442603</v>
      </c>
      <c r="AI6855">
        <v>91.950227186388702</v>
      </c>
      <c r="AJ6855">
        <v>86.382423953374499</v>
      </c>
      <c r="AK6855">
        <v>32.949211473294604</v>
      </c>
      <c r="AL6855">
        <v>78.880267698083003</v>
      </c>
      <c r="AM6855">
        <v>84.546865668490796</v>
      </c>
      <c r="AN6855">
        <v>0.99999996861993201</v>
      </c>
    </row>
    <row r="6856" spans="1:40" x14ac:dyDescent="0.25">
      <c r="A6856" t="str">
        <f>"20190303162954269"</f>
        <v>20190303162954269</v>
      </c>
      <c r="B6856" t="str">
        <f>"1551601794259043"</f>
        <v>1551601794259043</v>
      </c>
      <c r="C6856" t="s">
        <v>40</v>
      </c>
      <c r="D6856">
        <v>5.4923010000000003</v>
      </c>
      <c r="E6856">
        <v>0.52649099999999904</v>
      </c>
      <c r="F6856" t="s">
        <v>56</v>
      </c>
      <c r="G6856">
        <v>-184.53</v>
      </c>
      <c r="H6856" s="1">
        <v>-9.9612679999999998E-6</v>
      </c>
      <c r="I6856">
        <v>145.02250000000001</v>
      </c>
      <c r="J6856">
        <v>-187.99369999999999</v>
      </c>
      <c r="K6856">
        <v>1.1212949999999999</v>
      </c>
      <c r="L6856">
        <v>105.5967</v>
      </c>
      <c r="M6856">
        <v>2.3972299999999998E-2</v>
      </c>
      <c r="N6856">
        <v>-1.196471E-2</v>
      </c>
      <c r="O6856">
        <v>0.999641</v>
      </c>
      <c r="P6856">
        <v>0.1174938</v>
      </c>
      <c r="Q6856">
        <v>0.18533469999999999</v>
      </c>
      <c r="R6856">
        <v>0.97562610000000005</v>
      </c>
      <c r="S6856">
        <v>0.26678469999999999</v>
      </c>
      <c r="T6856">
        <v>-8.6158990000000005E-2</v>
      </c>
      <c r="U6856">
        <v>3.0562740000000002</v>
      </c>
      <c r="V6856">
        <v>9.407799E-2</v>
      </c>
      <c r="W6856">
        <v>0.19702140000000001</v>
      </c>
      <c r="X6856">
        <v>0.97587500000000005</v>
      </c>
      <c r="Y6856">
        <v>6.3025540000000005E-2</v>
      </c>
      <c r="Z6856">
        <v>-1.6136649999999999E-2</v>
      </c>
      <c r="AA6856">
        <v>0.99788149999999998</v>
      </c>
      <c r="AB6856">
        <v>33</v>
      </c>
      <c r="AC6856">
        <v>3.4636999999999798</v>
      </c>
      <c r="AD6856">
        <v>-1.1213049612679999</v>
      </c>
      <c r="AE6856">
        <v>39.425800000000002</v>
      </c>
      <c r="AF6856">
        <v>2.5154905297844299</v>
      </c>
      <c r="AG6856">
        <v>-1.1213049612679999</v>
      </c>
      <c r="AH6856">
        <v>39.465828327523802</v>
      </c>
      <c r="AI6856">
        <v>91.624158515681401</v>
      </c>
      <c r="AJ6856">
        <v>86.352989536081907</v>
      </c>
      <c r="AK6856">
        <v>39.561807630582003</v>
      </c>
      <c r="AL6856">
        <v>78.637168259596095</v>
      </c>
      <c r="AM6856">
        <v>84.493489650688403</v>
      </c>
      <c r="AN6856">
        <v>1.00000005794269</v>
      </c>
    </row>
    <row r="6857" spans="1:40" x14ac:dyDescent="0.25">
      <c r="A6857" t="str">
        <f>"20190303162954293"</f>
        <v>20190303162954293</v>
      </c>
      <c r="B6857" t="str">
        <f>"1551601794289299"</f>
        <v>1551601794289299</v>
      </c>
      <c r="C6857" t="s">
        <v>40</v>
      </c>
      <c r="D6857">
        <v>5.6437739999999996</v>
      </c>
      <c r="E6857">
        <v>0.53725059999999902</v>
      </c>
      <c r="F6857" t="s">
        <v>56</v>
      </c>
      <c r="G6857">
        <v>-184.0737</v>
      </c>
      <c r="H6857" s="1">
        <v>-4.1764210000000003E-6</v>
      </c>
      <c r="I6857">
        <v>126.98860000000001</v>
      </c>
      <c r="J6857">
        <v>-187.98570000000001</v>
      </c>
      <c r="K6857">
        <v>1.1212949999999999</v>
      </c>
      <c r="L6857">
        <v>105.9267</v>
      </c>
      <c r="M6857">
        <v>2.3972070000000002E-2</v>
      </c>
      <c r="N6857">
        <v>-1.196505E-2</v>
      </c>
      <c r="O6857">
        <v>0.999641</v>
      </c>
      <c r="P6857">
        <v>0.1189167</v>
      </c>
      <c r="Q6857">
        <v>0.1805071</v>
      </c>
      <c r="R6857">
        <v>0.97635850000000002</v>
      </c>
      <c r="S6857">
        <v>0.55673219999999901</v>
      </c>
      <c r="T6857">
        <v>-0.15925120000000001</v>
      </c>
      <c r="U6857">
        <v>3.0381469999999999</v>
      </c>
      <c r="V6857">
        <v>9.5482940000000002E-2</v>
      </c>
      <c r="W6857">
        <v>0.1922034</v>
      </c>
      <c r="X6857">
        <v>0.97669899999999998</v>
      </c>
      <c r="Y6857">
        <v>0.15641250000000001</v>
      </c>
      <c r="Z6857">
        <v>-3.9645989999999999E-2</v>
      </c>
      <c r="AA6857">
        <v>0.98689579999999999</v>
      </c>
      <c r="AB6857">
        <v>33</v>
      </c>
      <c r="AC6857">
        <v>3.9119999999999999</v>
      </c>
      <c r="AD6857">
        <v>-1.1212991764210001</v>
      </c>
      <c r="AE6857">
        <v>21.061900000000001</v>
      </c>
      <c r="AF6857">
        <v>3.3966360594085501</v>
      </c>
      <c r="AG6857">
        <v>-1.1212991764210001</v>
      </c>
      <c r="AH6857">
        <v>21.091844682448102</v>
      </c>
      <c r="AI6857">
        <v>93.004495378458699</v>
      </c>
      <c r="AJ6857">
        <v>80.851618003294803</v>
      </c>
      <c r="AK6857">
        <v>21.392997930903299</v>
      </c>
      <c r="AL6857">
        <v>78.918600314005104</v>
      </c>
      <c r="AM6857">
        <v>84.416457525503006</v>
      </c>
      <c r="AN6857">
        <v>1.0000000377017999</v>
      </c>
    </row>
    <row r="6858" spans="1:40" x14ac:dyDescent="0.25">
      <c r="A6858" t="str">
        <f>"20190303162954335"</f>
        <v>20190303162954335</v>
      </c>
      <c r="B6858" t="str">
        <f>"1551601794329316"</f>
        <v>1551601794329316</v>
      </c>
      <c r="C6858" t="s">
        <v>40</v>
      </c>
      <c r="D6858">
        <v>5.4504199999999896</v>
      </c>
      <c r="E6858">
        <v>0.54042389999999996</v>
      </c>
      <c r="F6858" t="s">
        <v>56</v>
      </c>
      <c r="G6858">
        <v>-183.68109999999999</v>
      </c>
      <c r="H6858" s="1">
        <v>-4.0025920000000002E-6</v>
      </c>
      <c r="I6858">
        <v>126.1088</v>
      </c>
      <c r="J6858">
        <v>-187.9708</v>
      </c>
      <c r="K6858">
        <v>1.1212879999999901</v>
      </c>
      <c r="L6858">
        <v>106.54940000000001</v>
      </c>
      <c r="M6858">
        <v>2.3971610000000001E-2</v>
      </c>
      <c r="N6858">
        <v>-1.1965750000000001E-2</v>
      </c>
      <c r="O6858">
        <v>0.999641</v>
      </c>
      <c r="P6858">
        <v>0.12214369999999999</v>
      </c>
      <c r="Q6858">
        <v>0.18084620000000001</v>
      </c>
      <c r="R6858">
        <v>0.97589729999999997</v>
      </c>
      <c r="S6858">
        <v>0.64523319999999995</v>
      </c>
      <c r="T6858">
        <v>-0.16807320000000001</v>
      </c>
      <c r="U6858">
        <v>3.0251160000000001</v>
      </c>
      <c r="V6858">
        <v>9.8720559999999999E-2</v>
      </c>
      <c r="W6858">
        <v>0.1925384</v>
      </c>
      <c r="X6858">
        <v>0.97631100000000004</v>
      </c>
      <c r="Y6858">
        <v>0.18483359999999999</v>
      </c>
      <c r="Z6858">
        <v>-4.2441079999999999E-2</v>
      </c>
      <c r="AA6858">
        <v>0.98185299999999998</v>
      </c>
      <c r="AB6858">
        <v>33</v>
      </c>
      <c r="AC6858">
        <v>4.2897000000000096</v>
      </c>
      <c r="AD6858">
        <v>-1.1212920025919999</v>
      </c>
      <c r="AE6858">
        <v>19.5594</v>
      </c>
      <c r="AF6858">
        <v>3.8076239711519602</v>
      </c>
      <c r="AG6858">
        <v>-1.1212920025919999</v>
      </c>
      <c r="AH6858">
        <v>19.595173910796699</v>
      </c>
      <c r="AI6858">
        <v>93.215052122710503</v>
      </c>
      <c r="AJ6858">
        <v>79.003640253211103</v>
      </c>
      <c r="AK6858">
        <v>19.9931522440843</v>
      </c>
      <c r="AL6858">
        <v>78.899040216401303</v>
      </c>
      <c r="AM6858">
        <v>84.226110870772203</v>
      </c>
      <c r="AN6858">
        <v>0.99999997658113604</v>
      </c>
    </row>
    <row r="6859" spans="1:40" x14ac:dyDescent="0.25">
      <c r="A6859" t="str">
        <f>"20190303162954358"</f>
        <v>20190303162954358</v>
      </c>
      <c r="B6859" t="str">
        <f>"1551601794348836"</f>
        <v>1551601794348836</v>
      </c>
      <c r="C6859" t="s">
        <v>40</v>
      </c>
      <c r="D6859">
        <v>5.7412260000000002</v>
      </c>
      <c r="E6859">
        <v>0.54096959999999905</v>
      </c>
      <c r="F6859" t="s">
        <v>56</v>
      </c>
      <c r="G6859">
        <v>-183.3271</v>
      </c>
      <c r="H6859" s="1">
        <v>-4.3153750000000002E-6</v>
      </c>
      <c r="I6859">
        <v>127.1233</v>
      </c>
      <c r="J6859">
        <v>-187.96279999999999</v>
      </c>
      <c r="K6859">
        <v>1.121281</v>
      </c>
      <c r="L6859">
        <v>106.88249999999999</v>
      </c>
      <c r="M6859">
        <v>2.3971369999999999E-2</v>
      </c>
      <c r="N6859">
        <v>-1.196612E-2</v>
      </c>
      <c r="O6859">
        <v>0.999641</v>
      </c>
      <c r="P6859">
        <v>0.1252616</v>
      </c>
      <c r="Q6859">
        <v>0.1800765</v>
      </c>
      <c r="R6859">
        <v>0.97564439999999997</v>
      </c>
      <c r="S6859">
        <v>0.68148799999999998</v>
      </c>
      <c r="T6859">
        <v>-0.16455349999999999</v>
      </c>
      <c r="U6859">
        <v>3.0192869999999998</v>
      </c>
      <c r="V6859">
        <v>0.1018438</v>
      </c>
      <c r="W6859">
        <v>0.19176679999999999</v>
      </c>
      <c r="X6859">
        <v>0.97614199999999995</v>
      </c>
      <c r="Y6859">
        <v>0.19646159999999999</v>
      </c>
      <c r="Z6859">
        <v>-4.1278559999999999E-2</v>
      </c>
      <c r="AA6859">
        <v>0.97964220000000002</v>
      </c>
      <c r="AB6859">
        <v>33</v>
      </c>
      <c r="AC6859">
        <v>4.6356999999999804</v>
      </c>
      <c r="AD6859">
        <v>-1.121285315375</v>
      </c>
      <c r="AE6859">
        <v>20.2408</v>
      </c>
      <c r="AF6859">
        <v>4.1370699393835704</v>
      </c>
      <c r="AG6859">
        <v>-1.121285315375</v>
      </c>
      <c r="AH6859">
        <v>20.2869599909287</v>
      </c>
      <c r="AI6859">
        <v>93.099917152356298</v>
      </c>
      <c r="AJ6859">
        <v>78.473855191876098</v>
      </c>
      <c r="AK6859">
        <v>20.734834798362101</v>
      </c>
      <c r="AL6859">
        <v>78.944088656829706</v>
      </c>
      <c r="AM6859">
        <v>84.043710561043696</v>
      </c>
      <c r="AN6859">
        <v>0.99999993467233705</v>
      </c>
    </row>
    <row r="6860" spans="1:40" x14ac:dyDescent="0.25">
      <c r="A6860" t="str">
        <f>"20190303162954379"</f>
        <v>20190303162954379</v>
      </c>
      <c r="B6860" t="str">
        <f>"1551601794369331"</f>
        <v>1551601794369331</v>
      </c>
      <c r="C6860" t="s">
        <v>40</v>
      </c>
      <c r="D6860">
        <v>6.1261010000000002</v>
      </c>
      <c r="E6860">
        <v>0.5414658</v>
      </c>
      <c r="F6860" t="s">
        <v>56</v>
      </c>
      <c r="G6860">
        <v>-182.7379</v>
      </c>
      <c r="H6860" s="1">
        <v>-5.2588679999999997E-6</v>
      </c>
      <c r="I6860">
        <v>129.58850000000001</v>
      </c>
      <c r="J6860">
        <v>-187.9554</v>
      </c>
      <c r="K6860">
        <v>1.1212770000000001</v>
      </c>
      <c r="L6860">
        <v>107.19110000000001</v>
      </c>
      <c r="M6860">
        <v>2.3971159999999998E-2</v>
      </c>
      <c r="N6860">
        <v>-1.196646E-2</v>
      </c>
      <c r="O6860">
        <v>0.999641</v>
      </c>
      <c r="P6860">
        <v>0.129079</v>
      </c>
      <c r="Q6860">
        <v>0.17808759999999901</v>
      </c>
      <c r="R6860">
        <v>0.97551189999999999</v>
      </c>
      <c r="S6860">
        <v>0.69340519999999894</v>
      </c>
      <c r="T6860">
        <v>-0.14880699999999999</v>
      </c>
      <c r="U6860">
        <v>3.0133359999999998</v>
      </c>
      <c r="V6860">
        <v>0.1056634</v>
      </c>
      <c r="W6860">
        <v>0.1897779</v>
      </c>
      <c r="X6860">
        <v>0.97612480000000001</v>
      </c>
      <c r="Y6860">
        <v>0.20060629999999999</v>
      </c>
      <c r="Z6860">
        <v>-3.6249129999999997E-2</v>
      </c>
      <c r="AA6860">
        <v>0.97900109999999996</v>
      </c>
      <c r="AB6860">
        <v>33</v>
      </c>
      <c r="AC6860">
        <v>5.2175000000000002</v>
      </c>
      <c r="AD6860">
        <v>-1.121282258868</v>
      </c>
      <c r="AE6860">
        <v>22.397400000000001</v>
      </c>
      <c r="AF6860">
        <v>4.6679732367099103</v>
      </c>
      <c r="AG6860">
        <v>-1.121282258868</v>
      </c>
      <c r="AH6860">
        <v>22.462641195665999</v>
      </c>
      <c r="AI6860">
        <v>92.798018754580596</v>
      </c>
      <c r="AJ6860">
        <v>78.260422793839595</v>
      </c>
      <c r="AK6860">
        <v>22.969925936492</v>
      </c>
      <c r="AL6860">
        <v>79.060177185077094</v>
      </c>
      <c r="AM6860">
        <v>83.821911532055196</v>
      </c>
      <c r="AN6860">
        <v>1.0000000153015001</v>
      </c>
    </row>
    <row r="6861" spans="1:40" x14ac:dyDescent="0.25">
      <c r="A6861" t="str">
        <f>"20190303162954424"</f>
        <v>20190303162954424</v>
      </c>
      <c r="B6861" t="str">
        <f>"1551601794419108"</f>
        <v>1551601794419108</v>
      </c>
      <c r="C6861" t="s">
        <v>40</v>
      </c>
      <c r="D6861">
        <v>5.4890720000000002</v>
      </c>
      <c r="E6861">
        <v>0.54173039999999995</v>
      </c>
      <c r="F6861" t="s">
        <v>56</v>
      </c>
      <c r="G6861">
        <v>-182.31280000000001</v>
      </c>
      <c r="H6861" s="1">
        <v>-5.7775360000000003E-6</v>
      </c>
      <c r="I6861">
        <v>131.12389999999999</v>
      </c>
      <c r="J6861">
        <v>-187.93960000000001</v>
      </c>
      <c r="K6861">
        <v>1.1212759999999999</v>
      </c>
      <c r="L6861">
        <v>107.8479</v>
      </c>
      <c r="M6861">
        <v>2.3970709999999999E-2</v>
      </c>
      <c r="N6861">
        <v>-1.1967200000000001E-2</v>
      </c>
      <c r="O6861">
        <v>0.99964109999999995</v>
      </c>
      <c r="P6861">
        <v>0.1416992</v>
      </c>
      <c r="Q6861">
        <v>0.1786277</v>
      </c>
      <c r="R6861">
        <v>0.97365979999999996</v>
      </c>
      <c r="S6861">
        <v>0.70899959999999995</v>
      </c>
      <c r="T6861">
        <v>-0.14089170000000001</v>
      </c>
      <c r="U6861">
        <v>3.0072019999999999</v>
      </c>
      <c r="V6861">
        <v>0.1183249</v>
      </c>
      <c r="W6861">
        <v>0.19029989999999999</v>
      </c>
      <c r="X6861">
        <v>0.97456920000000002</v>
      </c>
      <c r="Y6861">
        <v>0.20587659999999999</v>
      </c>
      <c r="Z6861">
        <v>-3.3729849999999999E-2</v>
      </c>
      <c r="AA6861">
        <v>0.97799650000000005</v>
      </c>
      <c r="AB6861">
        <v>33</v>
      </c>
      <c r="AC6861">
        <v>5.6268000000000002</v>
      </c>
      <c r="AD6861">
        <v>-1.121281777536</v>
      </c>
      <c r="AE6861">
        <v>23.276</v>
      </c>
      <c r="AF6861">
        <v>5.0561150903351404</v>
      </c>
      <c r="AG6861">
        <v>-1.121281777536</v>
      </c>
      <c r="AH6861">
        <v>23.352996692573299</v>
      </c>
      <c r="AI6861">
        <v>92.686758969926899</v>
      </c>
      <c r="AJ6861">
        <v>77.783550402062801</v>
      </c>
      <c r="AK6861">
        <v>23.920368457753501</v>
      </c>
      <c r="AL6861">
        <v>79.029713242758007</v>
      </c>
      <c r="AM6861">
        <v>83.077457546564901</v>
      </c>
      <c r="AN6861">
        <v>0.99999997974432897</v>
      </c>
    </row>
    <row r="6862" spans="1:40" x14ac:dyDescent="0.25">
      <c r="A6862" t="str">
        <f>"20190303162954447"</f>
        <v>20190303162954447</v>
      </c>
      <c r="B6862" t="str">
        <f>"1551601794438627"</f>
        <v>1551601794438627</v>
      </c>
      <c r="C6862" t="s">
        <v>40</v>
      </c>
      <c r="D6862">
        <v>5.5622470000000002</v>
      </c>
      <c r="E6862">
        <v>0.54167010000000004</v>
      </c>
      <c r="F6862" t="s">
        <v>56</v>
      </c>
      <c r="G6862">
        <v>-181.7022</v>
      </c>
      <c r="H6862" s="1">
        <v>-6.3964430000000004E-6</v>
      </c>
      <c r="I6862">
        <v>132.8126</v>
      </c>
      <c r="J6862">
        <v>-187.9316</v>
      </c>
      <c r="K6862">
        <v>1.121283</v>
      </c>
      <c r="L6862">
        <v>108.1784</v>
      </c>
      <c r="M6862">
        <v>2.3970479999999999E-2</v>
      </c>
      <c r="N6862">
        <v>-1.196758E-2</v>
      </c>
      <c r="O6862">
        <v>0.99964109999999995</v>
      </c>
      <c r="P6862">
        <v>0.15079609999999999</v>
      </c>
      <c r="Q6862">
        <v>0.179112299999999</v>
      </c>
      <c r="R6862">
        <v>0.97220329999999999</v>
      </c>
      <c r="S6862">
        <v>0.74876399999999999</v>
      </c>
      <c r="T6862">
        <v>-0.134604</v>
      </c>
      <c r="U6862">
        <v>2.9968870000000001</v>
      </c>
      <c r="V6862">
        <v>0.1274544</v>
      </c>
      <c r="W6862">
        <v>0.19076940000000001</v>
      </c>
      <c r="X6862">
        <v>0.97332540000000001</v>
      </c>
      <c r="Y6862">
        <v>0.21887590000000001</v>
      </c>
      <c r="Z6862">
        <v>-3.1713030000000003E-2</v>
      </c>
      <c r="AA6862">
        <v>0.97523729999999997</v>
      </c>
      <c r="AB6862">
        <v>33</v>
      </c>
      <c r="AC6862">
        <v>6.2293999999999903</v>
      </c>
      <c r="AD6862">
        <v>-1.121289396443</v>
      </c>
      <c r="AE6862">
        <v>24.6342</v>
      </c>
      <c r="AF6862">
        <v>5.6261180918750702</v>
      </c>
      <c r="AG6862">
        <v>-1.121289396443</v>
      </c>
      <c r="AH6862">
        <v>24.728299080863199</v>
      </c>
      <c r="AI6862">
        <v>92.531652856847103</v>
      </c>
      <c r="AJ6862">
        <v>77.182404954902097</v>
      </c>
      <c r="AK6862">
        <v>25.385020585513001</v>
      </c>
      <c r="AL6862">
        <v>79.002310668138193</v>
      </c>
      <c r="AM6862">
        <v>82.539716214312193</v>
      </c>
      <c r="AN6862">
        <v>0.99999996117043899</v>
      </c>
    </row>
    <row r="6863" spans="1:40" x14ac:dyDescent="0.25">
      <c r="A6863" t="str">
        <f>"20190303162954469"</f>
        <v>20190303162954469</v>
      </c>
      <c r="B6863" t="str">
        <f>"1551601794459124"</f>
        <v>1551601794459124</v>
      </c>
      <c r="C6863" t="s">
        <v>40</v>
      </c>
      <c r="D6863">
        <v>5.5096689999999997</v>
      </c>
      <c r="E6863">
        <v>0.54139939999999998</v>
      </c>
      <c r="F6863" t="s">
        <v>56</v>
      </c>
      <c r="G6863">
        <v>-181.1985</v>
      </c>
      <c r="H6863" s="1">
        <v>-6.9076889999999999E-6</v>
      </c>
      <c r="I6863">
        <v>134.1481</v>
      </c>
      <c r="J6863">
        <v>-187.9238</v>
      </c>
      <c r="K6863">
        <v>1.121289</v>
      </c>
      <c r="L6863">
        <v>108.5039</v>
      </c>
      <c r="M6863">
        <v>2.397026E-2</v>
      </c>
      <c r="N6863">
        <v>-1.1968019999999999E-2</v>
      </c>
      <c r="O6863">
        <v>0.99964109999999995</v>
      </c>
      <c r="P6863">
        <v>0.1625682</v>
      </c>
      <c r="Q6863">
        <v>0.18101519999999999</v>
      </c>
      <c r="R6863">
        <v>0.96995109999999995</v>
      </c>
      <c r="S6863">
        <v>0.7750397</v>
      </c>
      <c r="T6863">
        <v>-0.12907099999999999</v>
      </c>
      <c r="U6863">
        <v>2.9893649999999998</v>
      </c>
      <c r="V6863">
        <v>0.13927729999999999</v>
      </c>
      <c r="W6863">
        <v>0.19264880000000001</v>
      </c>
      <c r="X6863">
        <v>0.97133329999999996</v>
      </c>
      <c r="Y6863">
        <v>0.22750680000000001</v>
      </c>
      <c r="Z6863">
        <v>-2.9937979999999999E-2</v>
      </c>
      <c r="AA6863">
        <v>0.97331619999999996</v>
      </c>
      <c r="AB6863">
        <v>33</v>
      </c>
      <c r="AC6863">
        <v>6.7252999999999998</v>
      </c>
      <c r="AD6863">
        <v>-1.1212959076889999</v>
      </c>
      <c r="AE6863">
        <v>25.644200000000001</v>
      </c>
      <c r="AF6863">
        <v>6.0977173021493503</v>
      </c>
      <c r="AG6863">
        <v>-1.1212959076889999</v>
      </c>
      <c r="AH6863">
        <v>25.751982831497202</v>
      </c>
      <c r="AI6863">
        <v>92.426200087901705</v>
      </c>
      <c r="AJ6863">
        <v>76.678495152135397</v>
      </c>
      <c r="AK6863">
        <v>26.487810037133301</v>
      </c>
      <c r="AL6863">
        <v>78.892594941881697</v>
      </c>
      <c r="AM6863">
        <v>81.840106133886707</v>
      </c>
      <c r="AN6863">
        <v>1.0000000530627999</v>
      </c>
    </row>
    <row r="6864" spans="1:40" x14ac:dyDescent="0.25">
      <c r="A6864" t="str">
        <f>"20190303162954493"</f>
        <v>20190303162954493</v>
      </c>
      <c r="B6864" t="str">
        <f>"1551601794488405"</f>
        <v>1551601794488405</v>
      </c>
      <c r="C6864" t="s">
        <v>40</v>
      </c>
      <c r="D6864">
        <v>5.4427110000000001</v>
      </c>
      <c r="E6864">
        <v>0.54091909999999999</v>
      </c>
      <c r="F6864" t="s">
        <v>56</v>
      </c>
      <c r="G6864">
        <v>-180.45169999999999</v>
      </c>
      <c r="H6864" s="1">
        <v>-7.639888E-6</v>
      </c>
      <c r="I6864">
        <v>136.05439999999999</v>
      </c>
      <c r="J6864">
        <v>-187.91560000000001</v>
      </c>
      <c r="K6864">
        <v>1.121291</v>
      </c>
      <c r="L6864">
        <v>108.8411</v>
      </c>
      <c r="M6864">
        <v>2.3970020000000002E-2</v>
      </c>
      <c r="N6864">
        <v>-1.1968589999999999E-2</v>
      </c>
      <c r="O6864">
        <v>0.99964109999999995</v>
      </c>
      <c r="P6864">
        <v>0.1777347</v>
      </c>
      <c r="Q6864">
        <v>0.1821641</v>
      </c>
      <c r="R6864">
        <v>0.96707120000000002</v>
      </c>
      <c r="S6864">
        <v>0.80824280000000004</v>
      </c>
      <c r="T6864">
        <v>-0.1212898</v>
      </c>
      <c r="U6864">
        <v>2.980118</v>
      </c>
      <c r="V6864">
        <v>0.1545088</v>
      </c>
      <c r="W6864">
        <v>0.19376750000000001</v>
      </c>
      <c r="X6864">
        <v>0.968804</v>
      </c>
      <c r="Y6864">
        <v>0.23837439999999999</v>
      </c>
      <c r="Z6864">
        <v>-2.7429100000000001E-2</v>
      </c>
      <c r="AA6864">
        <v>0.97078589999999998</v>
      </c>
      <c r="AB6864">
        <v>33</v>
      </c>
      <c r="AC6864">
        <v>7.4639000000000202</v>
      </c>
      <c r="AD6864">
        <v>-1.121298639888</v>
      </c>
      <c r="AE6864">
        <v>27.213299999999901</v>
      </c>
      <c r="AF6864">
        <v>6.7986700676719201</v>
      </c>
      <c r="AG6864">
        <v>-1.121298639888</v>
      </c>
      <c r="AH6864">
        <v>27.341230906321499</v>
      </c>
      <c r="AI6864">
        <v>92.2791287304983</v>
      </c>
      <c r="AJ6864">
        <v>76.036040181236501</v>
      </c>
      <c r="AK6864">
        <v>28.196136841802701</v>
      </c>
      <c r="AL6864">
        <v>78.827266655412402</v>
      </c>
      <c r="AM6864">
        <v>80.938548431589396</v>
      </c>
      <c r="AN6864">
        <v>1.0000000018748401</v>
      </c>
    </row>
    <row r="6865" spans="1:40" x14ac:dyDescent="0.25">
      <c r="A6865" t="str">
        <f>"20190303162954513"</f>
        <v>20190303162954513</v>
      </c>
      <c r="B6865" t="str">
        <f>"1551601794499140"</f>
        <v>1551601794499140</v>
      </c>
      <c r="C6865" t="s">
        <v>40</v>
      </c>
      <c r="D6865">
        <v>5.4496379999999904</v>
      </c>
      <c r="E6865">
        <v>0.54068249999999995</v>
      </c>
      <c r="F6865" t="s">
        <v>56</v>
      </c>
      <c r="G6865">
        <v>-179.61109999999999</v>
      </c>
      <c r="H6865" s="1">
        <v>-8.0867839999999998E-6</v>
      </c>
      <c r="I6865">
        <v>137.8254</v>
      </c>
      <c r="J6865">
        <v>-187.9083</v>
      </c>
      <c r="K6865">
        <v>1.1212799999999901</v>
      </c>
      <c r="L6865">
        <v>109.1421</v>
      </c>
      <c r="M6865">
        <v>2.3969830000000001E-2</v>
      </c>
      <c r="N6865">
        <v>-1.1968879999999999E-2</v>
      </c>
      <c r="O6865">
        <v>0.99964109999999995</v>
      </c>
      <c r="P6865">
        <v>0.19359489999999999</v>
      </c>
      <c r="Q6865">
        <v>0.17941840000000001</v>
      </c>
      <c r="R6865">
        <v>0.96453619999999995</v>
      </c>
      <c r="S6865">
        <v>0.85023499999999996</v>
      </c>
      <c r="T6865">
        <v>-0.1148025</v>
      </c>
      <c r="U6865">
        <v>2.967514</v>
      </c>
      <c r="V6865">
        <v>0.1704251</v>
      </c>
      <c r="W6865">
        <v>0.1909959</v>
      </c>
      <c r="X6865">
        <v>0.96668290000000001</v>
      </c>
      <c r="Y6865">
        <v>0.25214760000000003</v>
      </c>
      <c r="Z6865">
        <v>-2.5345019999999999E-2</v>
      </c>
      <c r="AA6865">
        <v>0.96735689999999996</v>
      </c>
      <c r="AB6865">
        <v>33</v>
      </c>
      <c r="AC6865">
        <v>8.2972000000000001</v>
      </c>
      <c r="AD6865">
        <v>-1.1212880867839901</v>
      </c>
      <c r="AE6865">
        <v>28.683299999999999</v>
      </c>
      <c r="AF6865">
        <v>7.59652019017512</v>
      </c>
      <c r="AG6865">
        <v>-1.1212880867839901</v>
      </c>
      <c r="AH6865">
        <v>28.833293998872399</v>
      </c>
      <c r="AI6865">
        <v>92.153615917684704</v>
      </c>
      <c r="AJ6865">
        <v>75.240063239205298</v>
      </c>
      <c r="AK6865">
        <v>29.838284950692302</v>
      </c>
      <c r="AL6865">
        <v>78.989090393324602</v>
      </c>
      <c r="AM6865">
        <v>80.001562233934393</v>
      </c>
      <c r="AN6865">
        <v>0.99999998883961405</v>
      </c>
    </row>
    <row r="6866" spans="1:40" x14ac:dyDescent="0.25">
      <c r="A6866" t="str">
        <f>"20190303162954558"</f>
        <v>20190303162954558</v>
      </c>
      <c r="B6866" t="str">
        <f>"1551601794548916"</f>
        <v>1551601794548916</v>
      </c>
      <c r="C6866" t="s">
        <v>40</v>
      </c>
      <c r="D6866">
        <v>5.4527320000000001</v>
      </c>
      <c r="E6866">
        <v>0.53972019999999998</v>
      </c>
      <c r="F6866" t="s">
        <v>56</v>
      </c>
      <c r="G6866">
        <v>-179.68109999999999</v>
      </c>
      <c r="H6866" s="1">
        <v>-7.5813029999999996E-6</v>
      </c>
      <c r="I6866">
        <v>136.25540000000001</v>
      </c>
      <c r="J6866">
        <v>-187.89230000000001</v>
      </c>
      <c r="K6866">
        <v>1.1211549999999999</v>
      </c>
      <c r="L6866">
        <v>109.79689999999999</v>
      </c>
      <c r="M6866">
        <v>2.3976319999999999E-2</v>
      </c>
      <c r="N6866">
        <v>-1.1969250000000001E-2</v>
      </c>
      <c r="O6866">
        <v>0.99964090000000005</v>
      </c>
      <c r="P6866">
        <v>0.2362069</v>
      </c>
      <c r="Q6866">
        <v>0.15604960000000001</v>
      </c>
      <c r="R6866">
        <v>0.95909069999999996</v>
      </c>
      <c r="S6866">
        <v>0.89610290000000004</v>
      </c>
      <c r="T6866">
        <v>-0.1221299</v>
      </c>
      <c r="U6866">
        <v>2.9531710000000002</v>
      </c>
      <c r="V6866">
        <v>0.21314949999999999</v>
      </c>
      <c r="W6866">
        <v>0.1675729</v>
      </c>
      <c r="X6866">
        <v>0.9625418</v>
      </c>
      <c r="Y6866">
        <v>0.26714379999999999</v>
      </c>
      <c r="Z6866">
        <v>-2.7740520000000001E-2</v>
      </c>
      <c r="AA6866">
        <v>0.96325729999999998</v>
      </c>
      <c r="AB6866">
        <v>33</v>
      </c>
      <c r="AC6866">
        <v>8.2112000000000194</v>
      </c>
      <c r="AD6866">
        <v>-1.1211625813029999</v>
      </c>
      <c r="AE6866">
        <v>26.458500000000001</v>
      </c>
      <c r="AF6866">
        <v>7.5620308477853797</v>
      </c>
      <c r="AG6866">
        <v>-1.1211625813029999</v>
      </c>
      <c r="AH6866">
        <v>26.604207730245101</v>
      </c>
      <c r="AI6866">
        <v>92.321302996052196</v>
      </c>
      <c r="AJ6866">
        <v>74.132628392864405</v>
      </c>
      <c r="AK6866">
        <v>27.680772840197299</v>
      </c>
      <c r="AL6866">
        <v>80.353268292350606</v>
      </c>
      <c r="AM6866">
        <v>77.513667500393694</v>
      </c>
      <c r="AN6866">
        <v>1.00000005145594</v>
      </c>
    </row>
    <row r="6867" spans="1:40" x14ac:dyDescent="0.25">
      <c r="A6867" t="str">
        <f>"20190303162954614"</f>
        <v>20190303162954614</v>
      </c>
      <c r="B6867" t="str">
        <f>"1551601794608453"</f>
        <v>1551601794608453</v>
      </c>
      <c r="C6867" t="s">
        <v>40</v>
      </c>
      <c r="D6867">
        <v>5.406568</v>
      </c>
      <c r="E6867">
        <v>0.55256539999999998</v>
      </c>
      <c r="F6867" t="s">
        <v>56</v>
      </c>
      <c r="G6867">
        <v>-181.96960000000001</v>
      </c>
      <c r="H6867" s="1">
        <v>-4.4064099999999997E-6</v>
      </c>
      <c r="I6867">
        <v>126.7461</v>
      </c>
      <c r="J6867">
        <v>-187.87280000000001</v>
      </c>
      <c r="K6867">
        <v>1.120995</v>
      </c>
      <c r="L6867">
        <v>110.59780000000001</v>
      </c>
      <c r="M6867">
        <v>2.4147080000000001E-2</v>
      </c>
      <c r="N6867">
        <v>-1.196969E-2</v>
      </c>
      <c r="O6867">
        <v>0.99963679999999999</v>
      </c>
      <c r="P6867">
        <v>0.277447099999999</v>
      </c>
      <c r="Q6867">
        <v>0.13784859999999999</v>
      </c>
      <c r="R6867">
        <v>0.95080010000000004</v>
      </c>
      <c r="S6867">
        <v>1.0164949999999999</v>
      </c>
      <c r="T6867">
        <v>-0.1924196</v>
      </c>
      <c r="U6867">
        <v>2.9089200000000002</v>
      </c>
      <c r="V6867">
        <v>0.25443539999999998</v>
      </c>
      <c r="W6867">
        <v>0.14924519999999999</v>
      </c>
      <c r="X6867">
        <v>0.95550429999999997</v>
      </c>
      <c r="Y6867">
        <v>0.30643169999999997</v>
      </c>
      <c r="Z6867">
        <v>-5.0641020000000002E-2</v>
      </c>
      <c r="AA6867">
        <v>0.95054470000000002</v>
      </c>
      <c r="AB6867">
        <v>33</v>
      </c>
      <c r="AC6867">
        <v>5.9031999999999902</v>
      </c>
      <c r="AD6867">
        <v>-1.12099940641</v>
      </c>
      <c r="AE6867">
        <v>16.1482999999999</v>
      </c>
      <c r="AF6867">
        <v>5.4881863816052601</v>
      </c>
      <c r="AG6867">
        <v>-1.12099940641</v>
      </c>
      <c r="AH6867">
        <v>16.2172078156377</v>
      </c>
      <c r="AI6867">
        <v>93.746168248458403</v>
      </c>
      <c r="AJ6867">
        <v>71.303282828476199</v>
      </c>
      <c r="AK6867">
        <v>17.157349992466401</v>
      </c>
      <c r="AL6867">
        <v>81.416812530790693</v>
      </c>
      <c r="AM6867">
        <v>75.089060334827494</v>
      </c>
      <c r="AN6867">
        <v>0.99999998490734399</v>
      </c>
    </row>
    <row r="6868" spans="1:40" x14ac:dyDescent="0.25">
      <c r="A6868" t="str">
        <f>"20190303162954636"</f>
        <v>20190303162954636</v>
      </c>
      <c r="B6868" t="str">
        <f>"1551601794628949"</f>
        <v>1551601794628949</v>
      </c>
      <c r="C6868" t="s">
        <v>40</v>
      </c>
      <c r="D6868">
        <v>5.3586130000000001</v>
      </c>
      <c r="E6868">
        <v>0.55342239999999998</v>
      </c>
      <c r="F6868" t="s">
        <v>56</v>
      </c>
      <c r="G6868">
        <v>-182.62950000000001</v>
      </c>
      <c r="H6868" s="1">
        <v>-2.8409440000000001E-6</v>
      </c>
      <c r="I6868">
        <v>122.6417</v>
      </c>
      <c r="J6868">
        <v>-187.86449999999999</v>
      </c>
      <c r="K6868">
        <v>1.1209549999999999</v>
      </c>
      <c r="L6868">
        <v>110.9323</v>
      </c>
      <c r="M6868">
        <v>2.4320310000000001E-2</v>
      </c>
      <c r="N6868">
        <v>-1.196998E-2</v>
      </c>
      <c r="O6868">
        <v>0.99963250000000003</v>
      </c>
      <c r="P6868">
        <v>0.28929899999999997</v>
      </c>
      <c r="Q6868">
        <v>0.1402545</v>
      </c>
      <c r="R6868">
        <v>0.94690799999999997</v>
      </c>
      <c r="S6868">
        <v>1.2335659999999999</v>
      </c>
      <c r="T6868">
        <v>-0.26373020000000003</v>
      </c>
      <c r="U6868">
        <v>2.8334959999999998</v>
      </c>
      <c r="V6868">
        <v>0.26623200000000002</v>
      </c>
      <c r="W6868">
        <v>0.1515735</v>
      </c>
      <c r="X6868">
        <v>0.95191700000000001</v>
      </c>
      <c r="Y6868">
        <v>0.37545849999999997</v>
      </c>
      <c r="Z6868">
        <v>-7.3538419999999993E-2</v>
      </c>
      <c r="AA6868">
        <v>0.92391719999999999</v>
      </c>
      <c r="AB6868">
        <v>33</v>
      </c>
      <c r="AC6868">
        <v>5.2349999999999799</v>
      </c>
      <c r="AD6868">
        <v>-1.120957840944</v>
      </c>
      <c r="AE6868">
        <v>11.7094</v>
      </c>
      <c r="AF6868">
        <v>4.9111440140254201</v>
      </c>
      <c r="AG6868">
        <v>-1.120957840944</v>
      </c>
      <c r="AH6868">
        <v>11.7435661727161</v>
      </c>
      <c r="AI6868">
        <v>95.032622865676998</v>
      </c>
      <c r="AJ6868">
        <v>67.305382160840693</v>
      </c>
      <c r="AK6868">
        <v>12.778389118376101</v>
      </c>
      <c r="AL6868">
        <v>81.281875702847998</v>
      </c>
      <c r="AM6868">
        <v>74.374764851472705</v>
      </c>
      <c r="AN6868">
        <v>0.99999998930762501</v>
      </c>
    </row>
    <row r="6869" spans="1:40" x14ac:dyDescent="0.25">
      <c r="A6869" t="str">
        <f>"20190303162954657"</f>
        <v>20190303162954657</v>
      </c>
      <c r="B6869" t="str">
        <f>"1551601794649444"</f>
        <v>1551601794649444</v>
      </c>
      <c r="C6869" t="s">
        <v>40</v>
      </c>
      <c r="D6869">
        <v>5.3671139999999999</v>
      </c>
      <c r="E6869">
        <v>0.55185299999999904</v>
      </c>
      <c r="F6869" t="s">
        <v>56</v>
      </c>
      <c r="G6869">
        <v>-181.85769999999999</v>
      </c>
      <c r="H6869" s="1">
        <v>-3.6396549999999999E-6</v>
      </c>
      <c r="I6869">
        <v>124.1982</v>
      </c>
      <c r="J6869">
        <v>-187.85659999999999</v>
      </c>
      <c r="K6869">
        <v>1.1209039999999999</v>
      </c>
      <c r="L6869">
        <v>111.2427</v>
      </c>
      <c r="M6869">
        <v>2.4558739999999999E-2</v>
      </c>
      <c r="N6869">
        <v>-1.197051E-2</v>
      </c>
      <c r="O6869">
        <v>0.99962669999999998</v>
      </c>
      <c r="P6869">
        <v>0.2985215</v>
      </c>
      <c r="Q6869">
        <v>0.1449136</v>
      </c>
      <c r="R6869">
        <v>0.94333710000000004</v>
      </c>
      <c r="S6869">
        <v>1.274246</v>
      </c>
      <c r="T6869">
        <v>-0.23779130000000001</v>
      </c>
      <c r="U6869">
        <v>2.814117</v>
      </c>
      <c r="V6869">
        <v>0.27533590000000002</v>
      </c>
      <c r="W6869">
        <v>0.15615079999999901</v>
      </c>
      <c r="X6869">
        <v>0.94858160000000002</v>
      </c>
      <c r="Y6869">
        <v>0.3889165</v>
      </c>
      <c r="Z6869">
        <v>-6.5232020000000002E-2</v>
      </c>
      <c r="AA6869">
        <v>0.91896069999999996</v>
      </c>
      <c r="AB6869">
        <v>33</v>
      </c>
      <c r="AC6869">
        <v>5.9988999999999901</v>
      </c>
      <c r="AD6869">
        <v>-1.120907639655</v>
      </c>
      <c r="AE6869">
        <v>12.955500000000001</v>
      </c>
      <c r="AF6869">
        <v>5.6441061630765601</v>
      </c>
      <c r="AG6869">
        <v>-1.120907639655</v>
      </c>
      <c r="AH6869">
        <v>13.0186798086851</v>
      </c>
      <c r="AI6869">
        <v>94.516732547536705</v>
      </c>
      <c r="AJ6869">
        <v>66.561384297207695</v>
      </c>
      <c r="AK6869">
        <v>14.2337062031567</v>
      </c>
      <c r="AL6869">
        <v>81.016454947502694</v>
      </c>
      <c r="AM6869">
        <v>73.814066986285297</v>
      </c>
      <c r="AN6869">
        <v>0.99999999101400405</v>
      </c>
    </row>
    <row r="6870" spans="1:40" x14ac:dyDescent="0.25">
      <c r="A6870" t="str">
        <f>"20190303162954682"</f>
        <v>20190303162954682</v>
      </c>
      <c r="B6870" t="str">
        <f>"1551601794678724"</f>
        <v>1551601794678724</v>
      </c>
      <c r="C6870" t="s">
        <v>40</v>
      </c>
      <c r="D6870">
        <v>5.7661290000000003</v>
      </c>
      <c r="E6870">
        <v>0.54893970000000003</v>
      </c>
      <c r="F6870" t="s">
        <v>56</v>
      </c>
      <c r="G6870">
        <v>-181.2415</v>
      </c>
      <c r="H6870" s="1">
        <v>-4.2265070000000001E-6</v>
      </c>
      <c r="I6870">
        <v>125.6631</v>
      </c>
      <c r="J6870">
        <v>-187.8476</v>
      </c>
      <c r="K6870">
        <v>1.1208100000000001</v>
      </c>
      <c r="L6870">
        <v>111.5933</v>
      </c>
      <c r="M6870">
        <v>2.493488E-2</v>
      </c>
      <c r="N6870">
        <v>-1.1971330000000001E-2</v>
      </c>
      <c r="O6870">
        <v>0.99961739999999999</v>
      </c>
      <c r="P6870">
        <v>0.30603029999999998</v>
      </c>
      <c r="Q6870">
        <v>0.1444946</v>
      </c>
      <c r="R6870">
        <v>0.94099250000000001</v>
      </c>
      <c r="S6870">
        <v>1.2873540000000001</v>
      </c>
      <c r="T6870">
        <v>-0.21813759999999999</v>
      </c>
      <c r="U6870">
        <v>2.8063199999999999</v>
      </c>
      <c r="V6870">
        <v>0.28257349999999998</v>
      </c>
      <c r="W6870">
        <v>0.15564919999999999</v>
      </c>
      <c r="X6870">
        <v>0.94653339999999997</v>
      </c>
      <c r="Y6870">
        <v>0.39325199999999999</v>
      </c>
      <c r="Z6870">
        <v>-5.8934449999999999E-2</v>
      </c>
      <c r="AA6870">
        <v>0.91754000000000002</v>
      </c>
      <c r="AB6870">
        <v>33</v>
      </c>
      <c r="AC6870">
        <v>6.6060999999999899</v>
      </c>
      <c r="AD6870">
        <v>-1.120814226507</v>
      </c>
      <c r="AE6870">
        <v>14.069800000000001</v>
      </c>
      <c r="AF6870">
        <v>6.2208458425350299</v>
      </c>
      <c r="AG6870">
        <v>-1.120814226507</v>
      </c>
      <c r="AH6870">
        <v>14.1565503511538</v>
      </c>
      <c r="AI6870">
        <v>94.145733911368595</v>
      </c>
      <c r="AJ6870">
        <v>66.2777609994356</v>
      </c>
      <c r="AK6870">
        <v>15.5036468410397</v>
      </c>
      <c r="AL6870">
        <v>81.045550045845999</v>
      </c>
      <c r="AM6870">
        <v>73.377785996329393</v>
      </c>
      <c r="AN6870">
        <v>0.99999996683922399</v>
      </c>
    </row>
    <row r="6871" spans="1:40" x14ac:dyDescent="0.25">
      <c r="A6871" t="str">
        <f>"20190303162954705"</f>
        <v>20190303162954705</v>
      </c>
      <c r="B6871" t="str">
        <f>"1551601794699221"</f>
        <v>1551601794699221</v>
      </c>
      <c r="C6871" t="s">
        <v>40</v>
      </c>
      <c r="D6871">
        <v>5.4238520000000001</v>
      </c>
      <c r="E6871">
        <v>0.54700000000000004</v>
      </c>
      <c r="F6871" t="s">
        <v>56</v>
      </c>
      <c r="G6871">
        <v>-180.86170000000001</v>
      </c>
      <c r="H6871" s="1">
        <v>-4.5790630000000004E-6</v>
      </c>
      <c r="I6871">
        <v>126.8169</v>
      </c>
      <c r="J6871">
        <v>-187.8391</v>
      </c>
      <c r="K6871">
        <v>1.1207</v>
      </c>
      <c r="L6871">
        <v>111.9145</v>
      </c>
      <c r="M6871">
        <v>2.5399580000000001E-2</v>
      </c>
      <c r="N6871">
        <v>-1.197224E-2</v>
      </c>
      <c r="O6871">
        <v>0.99960570000000004</v>
      </c>
      <c r="P6871">
        <v>0.31248860000000001</v>
      </c>
      <c r="Q6871">
        <v>0.14203840000000001</v>
      </c>
      <c r="R6871">
        <v>0.93924220000000003</v>
      </c>
      <c r="S6871">
        <v>1.28566</v>
      </c>
      <c r="T6871">
        <v>-0.20627019999999999</v>
      </c>
      <c r="U6871">
        <v>2.801682</v>
      </c>
      <c r="V6871">
        <v>0.28866459999999999</v>
      </c>
      <c r="W6871">
        <v>0.15310989999999999</v>
      </c>
      <c r="X6871">
        <v>0.94510850000000002</v>
      </c>
      <c r="Y6871">
        <v>0.39303929999999998</v>
      </c>
      <c r="Z6871">
        <v>-5.5208720000000003E-2</v>
      </c>
      <c r="AA6871">
        <v>0.91786279999999998</v>
      </c>
      <c r="AB6871">
        <v>33</v>
      </c>
      <c r="AC6871">
        <v>6.9773999999999798</v>
      </c>
      <c r="AD6871">
        <v>-1.1207045790629999</v>
      </c>
      <c r="AE6871">
        <v>14.9024</v>
      </c>
      <c r="AF6871">
        <v>6.5661489270789</v>
      </c>
      <c r="AG6871">
        <v>-1.1207045790629999</v>
      </c>
      <c r="AH6871">
        <v>15.005223684692</v>
      </c>
      <c r="AI6871">
        <v>93.914267415783698</v>
      </c>
      <c r="AJ6871">
        <v>66.3662522672481</v>
      </c>
      <c r="AK6871">
        <v>16.417278346722298</v>
      </c>
      <c r="AL6871">
        <v>81.192806794323005</v>
      </c>
      <c r="AM6871">
        <v>73.015750304951098</v>
      </c>
      <c r="AN6871">
        <v>0.99999998477170904</v>
      </c>
    </row>
    <row r="6872" spans="1:40" x14ac:dyDescent="0.25">
      <c r="A6872" t="str">
        <f>"20190303162954725"</f>
        <v>20190303162954725</v>
      </c>
      <c r="B6872" t="str">
        <f>"1551601794718740"</f>
        <v>1551601794718740</v>
      </c>
      <c r="C6872" t="s">
        <v>40</v>
      </c>
      <c r="D6872">
        <v>5.3603699999999996</v>
      </c>
      <c r="E6872">
        <v>0.54531759999999996</v>
      </c>
      <c r="F6872" t="s">
        <v>56</v>
      </c>
      <c r="G6872">
        <v>-180.93680000000001</v>
      </c>
      <c r="H6872" s="1">
        <v>-4.5927140000000001E-6</v>
      </c>
      <c r="I6872">
        <v>126.9097</v>
      </c>
      <c r="J6872">
        <v>-187.8304</v>
      </c>
      <c r="K6872">
        <v>1.12059</v>
      </c>
      <c r="L6872">
        <v>112.233</v>
      </c>
      <c r="M6872">
        <v>2.59911E-2</v>
      </c>
      <c r="N6872">
        <v>-1.197342E-2</v>
      </c>
      <c r="O6872">
        <v>0.99959050000000005</v>
      </c>
      <c r="P6872">
        <v>0.3182912</v>
      </c>
      <c r="Q6872">
        <v>0.14030399999999901</v>
      </c>
      <c r="R6872">
        <v>0.93755290000000002</v>
      </c>
      <c r="S6872">
        <v>1.287582</v>
      </c>
      <c r="T6872">
        <v>-0.20906130000000001</v>
      </c>
      <c r="U6872">
        <v>2.797272</v>
      </c>
      <c r="V6872">
        <v>0.29398439999999998</v>
      </c>
      <c r="W6872">
        <v>0.15128359999999999</v>
      </c>
      <c r="X6872">
        <v>0.94376179999999998</v>
      </c>
      <c r="Y6872">
        <v>0.39353909999999998</v>
      </c>
      <c r="Z6872">
        <v>-5.619184E-2</v>
      </c>
      <c r="AA6872">
        <v>0.91758890000000004</v>
      </c>
      <c r="AB6872">
        <v>33</v>
      </c>
      <c r="AC6872">
        <v>6.8935999999999904</v>
      </c>
      <c r="AD6872">
        <v>-1.120594592714</v>
      </c>
      <c r="AE6872">
        <v>14.6767</v>
      </c>
      <c r="AF6872">
        <v>6.4788371971581</v>
      </c>
      <c r="AG6872">
        <v>-1.120594592714</v>
      </c>
      <c r="AH6872">
        <v>14.780335789858499</v>
      </c>
      <c r="AI6872">
        <v>93.972153671709904</v>
      </c>
      <c r="AJ6872">
        <v>66.330157725468496</v>
      </c>
      <c r="AK6872">
        <v>16.1768164275136</v>
      </c>
      <c r="AL6872">
        <v>81.298679140223797</v>
      </c>
      <c r="AM6872">
        <v>72.698044658764303</v>
      </c>
      <c r="AN6872">
        <v>0.99999994510577805</v>
      </c>
    </row>
    <row r="6873" spans="1:40" x14ac:dyDescent="0.25">
      <c r="A6873" t="str">
        <f>"20190303162954748"</f>
        <v>20190303162954748</v>
      </c>
      <c r="B6873" t="str">
        <f>"1551601794739236"</f>
        <v>1551601794739236</v>
      </c>
      <c r="C6873" t="s">
        <v>40</v>
      </c>
      <c r="D6873">
        <v>5.404013</v>
      </c>
      <c r="E6873">
        <v>0.54322479999999995</v>
      </c>
      <c r="F6873" t="s">
        <v>56</v>
      </c>
      <c r="G6873">
        <v>-181.10220000000001</v>
      </c>
      <c r="H6873" s="1">
        <v>-4.5458450000000004E-6</v>
      </c>
      <c r="I6873">
        <v>126.81789999999999</v>
      </c>
      <c r="J6873">
        <v>-187.82130000000001</v>
      </c>
      <c r="K6873">
        <v>1.120511</v>
      </c>
      <c r="L6873">
        <v>112.5527</v>
      </c>
      <c r="M6873">
        <v>2.6694369999999999E-2</v>
      </c>
      <c r="N6873">
        <v>-1.197487E-2</v>
      </c>
      <c r="O6873">
        <v>0.99957189999999996</v>
      </c>
      <c r="P6873">
        <v>0.32395629999999997</v>
      </c>
      <c r="Q6873">
        <v>0.1421567</v>
      </c>
      <c r="R6873">
        <v>0.93533089999999997</v>
      </c>
      <c r="S6873">
        <v>1.2890469999999901</v>
      </c>
      <c r="T6873">
        <v>-0.21469450000000001</v>
      </c>
      <c r="U6873">
        <v>2.794327</v>
      </c>
      <c r="V6873">
        <v>0.29908000000000001</v>
      </c>
      <c r="W6873">
        <v>0.1530387</v>
      </c>
      <c r="X6873">
        <v>0.94187589999999999</v>
      </c>
      <c r="Y6873">
        <v>0.39360719999999999</v>
      </c>
      <c r="Z6873">
        <v>-5.8074779999999999E-2</v>
      </c>
      <c r="AA6873">
        <v>0.91744239999999999</v>
      </c>
      <c r="AB6873">
        <v>33</v>
      </c>
      <c r="AC6873">
        <v>6.7190999999999903</v>
      </c>
      <c r="AD6873">
        <v>-1.120515545845</v>
      </c>
      <c r="AE6873">
        <v>14.265199999999901</v>
      </c>
      <c r="AF6873">
        <v>6.3040442246258497</v>
      </c>
      <c r="AG6873">
        <v>-1.120515545845</v>
      </c>
      <c r="AH6873">
        <v>14.366942790750301</v>
      </c>
      <c r="AI6873">
        <v>94.085110390015103</v>
      </c>
      <c r="AJ6873">
        <v>66.308703389959703</v>
      </c>
      <c r="AK6873">
        <v>15.7291313754833</v>
      </c>
      <c r="AL6873">
        <v>81.196934601328095</v>
      </c>
      <c r="AM6873">
        <v>72.383455647883906</v>
      </c>
      <c r="AN6873">
        <v>0.99999995054924795</v>
      </c>
    </row>
    <row r="6874" spans="1:40" x14ac:dyDescent="0.25">
      <c r="A6874" t="str">
        <f>"20190303162954768"</f>
        <v>20190303162954768</v>
      </c>
      <c r="B6874" t="str">
        <f>"1551601794758756"</f>
        <v>1551601794758756</v>
      </c>
      <c r="C6874" t="s">
        <v>40</v>
      </c>
      <c r="D6874">
        <v>5.3579239999999997</v>
      </c>
      <c r="E6874">
        <v>0.54152659999999997</v>
      </c>
      <c r="F6874" t="s">
        <v>56</v>
      </c>
      <c r="G6874">
        <v>-180.89009999999999</v>
      </c>
      <c r="H6874" s="1">
        <v>-4.7703779999999999E-6</v>
      </c>
      <c r="I6874">
        <v>127.56870000000001</v>
      </c>
      <c r="J6874">
        <v>-187.81229999999999</v>
      </c>
      <c r="K6874">
        <v>1.1204369999999999</v>
      </c>
      <c r="L6874">
        <v>112.8567</v>
      </c>
      <c r="M6874">
        <v>2.7472469999999999E-2</v>
      </c>
      <c r="N6874">
        <v>-1.1976199999999999E-2</v>
      </c>
      <c r="O6874">
        <v>0.99955079999999996</v>
      </c>
      <c r="P6874">
        <v>0.331254299999999</v>
      </c>
      <c r="Q6874">
        <v>0.146886299999999</v>
      </c>
      <c r="R6874">
        <v>0.93203809999999998</v>
      </c>
      <c r="S6874">
        <v>1.289032</v>
      </c>
      <c r="T6874">
        <v>-0.2083893</v>
      </c>
      <c r="U6874">
        <v>2.7926329999999999</v>
      </c>
      <c r="V6874">
        <v>0.30577209999999899</v>
      </c>
      <c r="W6874">
        <v>0.15765879999999999</v>
      </c>
      <c r="X6874">
        <v>0.93896069999999998</v>
      </c>
      <c r="Y6874">
        <v>0.3931519</v>
      </c>
      <c r="Z6874">
        <v>-5.6071839999999998E-2</v>
      </c>
      <c r="AA6874">
        <v>0.91776219999999997</v>
      </c>
      <c r="AB6874">
        <v>33</v>
      </c>
      <c r="AC6874">
        <v>6.9222000000000001</v>
      </c>
      <c r="AD6874">
        <v>-1.1204417703780001</v>
      </c>
      <c r="AE6874">
        <v>14.712</v>
      </c>
      <c r="AF6874">
        <v>6.4845889735329001</v>
      </c>
      <c r="AG6874">
        <v>-1.1204417703780001</v>
      </c>
      <c r="AH6874">
        <v>14.8262232326841</v>
      </c>
      <c r="AI6874">
        <v>93.960765644644695</v>
      </c>
      <c r="AJ6874">
        <v>66.376732563149005</v>
      </c>
      <c r="AK6874">
        <v>16.221041250852299</v>
      </c>
      <c r="AL6874">
        <v>80.928969685922496</v>
      </c>
      <c r="AM6874">
        <v>71.962185419531806</v>
      </c>
      <c r="AN6874">
        <v>1.0000000352501599</v>
      </c>
    </row>
    <row r="6875" spans="1:40" x14ac:dyDescent="0.25">
      <c r="A6875" t="str">
        <f>"20190303162954791"</f>
        <v>20190303162954791</v>
      </c>
      <c r="B6875" t="str">
        <f>"1551601794779253"</f>
        <v>1551601794779253</v>
      </c>
      <c r="C6875" t="s">
        <v>40</v>
      </c>
      <c r="D6875">
        <v>5.3588630000000004</v>
      </c>
      <c r="E6875">
        <v>0.53994109999999995</v>
      </c>
      <c r="F6875" t="s">
        <v>56</v>
      </c>
      <c r="G6875">
        <v>-180.19820000000001</v>
      </c>
      <c r="H6875" s="1">
        <v>-5.2910139999999998E-6</v>
      </c>
      <c r="I6875">
        <v>129.20240000000001</v>
      </c>
      <c r="J6875">
        <v>-187.80179999999999</v>
      </c>
      <c r="K6875">
        <v>1.1203270000000001</v>
      </c>
      <c r="L6875">
        <v>113.1991</v>
      </c>
      <c r="M6875">
        <v>2.849318E-2</v>
      </c>
      <c r="N6875">
        <v>-1.197782E-2</v>
      </c>
      <c r="O6875">
        <v>0.99952220000000003</v>
      </c>
      <c r="P6875">
        <v>0.34036899999999998</v>
      </c>
      <c r="Q6875">
        <v>0.14772850000000001</v>
      </c>
      <c r="R6875">
        <v>0.92861470000000002</v>
      </c>
      <c r="S6875">
        <v>1.298416</v>
      </c>
      <c r="T6875">
        <v>-0.19106670000000001</v>
      </c>
      <c r="U6875">
        <v>2.7873990000000002</v>
      </c>
      <c r="V6875">
        <v>0.3140619</v>
      </c>
      <c r="W6875">
        <v>0.15837399999999999</v>
      </c>
      <c r="X6875">
        <v>0.93609980000000004</v>
      </c>
      <c r="Y6875">
        <v>0.39554709999999899</v>
      </c>
      <c r="Z6875">
        <v>-5.0473240000000003E-2</v>
      </c>
      <c r="AA6875">
        <v>0.91705780000000003</v>
      </c>
      <c r="AB6875">
        <v>33</v>
      </c>
      <c r="AC6875">
        <v>7.6035999999999699</v>
      </c>
      <c r="AD6875">
        <v>-1.1203322910139999</v>
      </c>
      <c r="AE6875">
        <v>16.003299999999999</v>
      </c>
      <c r="AF6875">
        <v>7.1160427657747896</v>
      </c>
      <c r="AG6875">
        <v>-1.1203322910139999</v>
      </c>
      <c r="AH6875">
        <v>16.148899831028899</v>
      </c>
      <c r="AI6875">
        <v>93.632539080671705</v>
      </c>
      <c r="AJ6875">
        <v>66.219222066038697</v>
      </c>
      <c r="AK6875">
        <v>17.682764909346901</v>
      </c>
      <c r="AL6875">
        <v>80.887470211356302</v>
      </c>
      <c r="AM6875">
        <v>71.453374177058905</v>
      </c>
      <c r="AN6875">
        <v>1.00000001823382</v>
      </c>
    </row>
    <row r="6876" spans="1:40" x14ac:dyDescent="0.25">
      <c r="A6876" t="str">
        <f>"20190303162954840"</f>
        <v>20190303162954840</v>
      </c>
      <c r="B6876" t="str">
        <f>"1551601794829028"</f>
        <v>1551601794829028</v>
      </c>
      <c r="C6876" t="s">
        <v>40</v>
      </c>
      <c r="D6876">
        <v>5.3704140000000002</v>
      </c>
      <c r="E6876">
        <v>0.53857819999999901</v>
      </c>
      <c r="F6876" t="s">
        <v>56</v>
      </c>
      <c r="G6876">
        <v>-180.0198</v>
      </c>
      <c r="H6876" s="1">
        <v>-5.445062E-6</v>
      </c>
      <c r="I6876">
        <v>129.66839999999999</v>
      </c>
      <c r="J6876">
        <v>-187.77860000000001</v>
      </c>
      <c r="K6876">
        <v>1.1201110000000001</v>
      </c>
      <c r="L6876">
        <v>113.9044</v>
      </c>
      <c r="M6876">
        <v>3.1155840000000001E-2</v>
      </c>
      <c r="N6876">
        <v>-1.1982960000000001E-2</v>
      </c>
      <c r="O6876">
        <v>0.99944270000000002</v>
      </c>
      <c r="P6876">
        <v>0.36241240000000002</v>
      </c>
      <c r="Q6876">
        <v>0.15161479999999999</v>
      </c>
      <c r="R6876">
        <v>0.91960330000000001</v>
      </c>
      <c r="S6876">
        <v>1.3132779999999999</v>
      </c>
      <c r="T6876">
        <v>-0.18906529999999999</v>
      </c>
      <c r="U6876">
        <v>2.7793429999999999</v>
      </c>
      <c r="V6876">
        <v>0.33399230000000002</v>
      </c>
      <c r="W6876">
        <v>0.16191259999999999</v>
      </c>
      <c r="X6876">
        <v>0.92856530000000004</v>
      </c>
      <c r="Y6876">
        <v>0.39814660000000002</v>
      </c>
      <c r="Z6876">
        <v>-4.9876400000000001E-2</v>
      </c>
      <c r="AA6876">
        <v>0.91596480000000002</v>
      </c>
      <c r="AB6876">
        <v>33</v>
      </c>
      <c r="AC6876">
        <v>7.7587999999999999</v>
      </c>
      <c r="AD6876">
        <v>-1.120116445062</v>
      </c>
      <c r="AE6876">
        <v>15.7639999999999</v>
      </c>
      <c r="AF6876">
        <v>7.2344539291574499</v>
      </c>
      <c r="AG6876">
        <v>-1.120116445062</v>
      </c>
      <c r="AH6876">
        <v>15.933337489854599</v>
      </c>
      <c r="AI6876">
        <v>93.662562355853197</v>
      </c>
      <c r="AJ6876">
        <v>65.579808618586895</v>
      </c>
      <c r="AK6876">
        <v>17.534629396403101</v>
      </c>
      <c r="AL6876">
        <v>80.682072465869197</v>
      </c>
      <c r="AM6876">
        <v>70.217032254089403</v>
      </c>
      <c r="AN6876">
        <v>1.00000003143106</v>
      </c>
    </row>
    <row r="6877" spans="1:40" x14ac:dyDescent="0.25">
      <c r="A6877" t="str">
        <f>"20190303162954858"</f>
        <v>20190303162954858</v>
      </c>
      <c r="B6877" t="str">
        <f>"1551601794849056"</f>
        <v>1551601794849056</v>
      </c>
      <c r="C6877" t="s">
        <v>40</v>
      </c>
      <c r="D6877">
        <v>5.4544119999999996</v>
      </c>
      <c r="E6877">
        <v>0.52117869999999999</v>
      </c>
      <c r="F6877" t="s">
        <v>56</v>
      </c>
      <c r="G6877">
        <v>-178.9708</v>
      </c>
      <c r="H6877" s="1">
        <v>-5.5084060000000002E-6</v>
      </c>
      <c r="I6877">
        <v>131.59190000000001</v>
      </c>
      <c r="J6877">
        <v>-187.76900000000001</v>
      </c>
      <c r="K6877">
        <v>1.120069</v>
      </c>
      <c r="L6877">
        <v>114.1724</v>
      </c>
      <c r="M6877">
        <v>3.2403689999999999E-2</v>
      </c>
      <c r="N6877">
        <v>-1.1986129999999999E-2</v>
      </c>
      <c r="O6877">
        <v>0.99940300000000004</v>
      </c>
      <c r="P6877">
        <v>0.38198490000000002</v>
      </c>
      <c r="Q6877">
        <v>0.16396469999999999</v>
      </c>
      <c r="R6877">
        <v>0.90950699999999995</v>
      </c>
      <c r="S6877">
        <v>1.3699490000000001</v>
      </c>
      <c r="T6877">
        <v>-0.1742216</v>
      </c>
      <c r="U6877">
        <v>2.7510829999999999</v>
      </c>
      <c r="V6877">
        <v>0.35280600000000001</v>
      </c>
      <c r="W6877">
        <v>0.1739964</v>
      </c>
      <c r="X6877">
        <v>0.91937659999999999</v>
      </c>
      <c r="Y6877">
        <v>0.41590139999999998</v>
      </c>
      <c r="Z6877">
        <v>-4.5089009999999999E-2</v>
      </c>
      <c r="AA6877">
        <v>0.90829130000000002</v>
      </c>
      <c r="AB6877">
        <v>33</v>
      </c>
      <c r="AC6877">
        <v>8.7981999999999996</v>
      </c>
      <c r="AD6877">
        <v>-1.120074508406</v>
      </c>
      <c r="AE6877">
        <v>17.419499999999999</v>
      </c>
      <c r="AF6877">
        <v>8.2020636476944802</v>
      </c>
      <c r="AG6877">
        <v>-1.120074508406</v>
      </c>
      <c r="AH6877">
        <v>17.637365606885702</v>
      </c>
      <c r="AI6877">
        <v>93.2956648994125</v>
      </c>
      <c r="AJ6877">
        <v>65.059733008583706</v>
      </c>
      <c r="AK6877">
        <v>19.4834565859389</v>
      </c>
      <c r="AL6877">
        <v>79.979740688154806</v>
      </c>
      <c r="AM6877">
        <v>69.005953956830595</v>
      </c>
      <c r="AN6877">
        <v>1.00000007673825</v>
      </c>
    </row>
    <row r="6878" spans="1:40" x14ac:dyDescent="0.25">
      <c r="A6878" t="str">
        <f>"20190303162954881"</f>
        <v>20190303162954881</v>
      </c>
      <c r="B6878" t="str">
        <f>"1551601794868575"</f>
        <v>1551601794868575</v>
      </c>
      <c r="C6878" t="s">
        <v>40</v>
      </c>
      <c r="D6878">
        <v>5.8757390000000003</v>
      </c>
      <c r="E6878">
        <v>0.58727859999999998</v>
      </c>
      <c r="F6878" t="s">
        <v>54</v>
      </c>
      <c r="G6878">
        <v>-162.70480000000001</v>
      </c>
      <c r="H6878">
        <v>1.715088E-2</v>
      </c>
      <c r="I6878">
        <v>167.2473</v>
      </c>
      <c r="J6878">
        <v>-187.75700000000001</v>
      </c>
      <c r="K6878">
        <v>1.1199570000000001</v>
      </c>
      <c r="L6878">
        <v>114.4877</v>
      </c>
      <c r="M6878">
        <v>3.4121079999999998E-2</v>
      </c>
      <c r="N6878">
        <v>-1.19907E-2</v>
      </c>
      <c r="O6878">
        <v>0.99934579999999995</v>
      </c>
      <c r="P6878">
        <v>0.41082079999999999</v>
      </c>
      <c r="Q6878">
        <v>0.18830340000000001</v>
      </c>
      <c r="R6878">
        <v>0.89205840000000003</v>
      </c>
      <c r="S6878">
        <v>1.303955</v>
      </c>
      <c r="T6878">
        <v>-5.737722E-2</v>
      </c>
      <c r="U6878">
        <v>2.7612000000000001</v>
      </c>
      <c r="V6878">
        <v>0.38080140000000001</v>
      </c>
      <c r="W6878">
        <v>0.1978829</v>
      </c>
      <c r="X6878">
        <v>0.90323450000000005</v>
      </c>
      <c r="Y6878">
        <v>0.39583659999999998</v>
      </c>
      <c r="Z6878">
        <v>-7.0097290000000001E-3</v>
      </c>
      <c r="AA6878">
        <v>0.91829419999999995</v>
      </c>
      <c r="AB6878">
        <v>33</v>
      </c>
      <c r="AC6878">
        <v>25.052199999999999</v>
      </c>
      <c r="AD6878">
        <v>-1.1028061199999999</v>
      </c>
      <c r="AE6878">
        <v>52.759599999999899</v>
      </c>
      <c r="AF6878">
        <v>23.228984489185098</v>
      </c>
      <c r="AG6878">
        <v>-1.1028061199999999</v>
      </c>
      <c r="AH6878">
        <v>53.564646308098098</v>
      </c>
      <c r="AI6878">
        <v>91.082111801978698</v>
      </c>
      <c r="AJ6878">
        <v>66.555425368768098</v>
      </c>
      <c r="AK6878">
        <v>58.394976118231</v>
      </c>
      <c r="AL6878">
        <v>78.586815462043901</v>
      </c>
      <c r="AM6878">
        <v>67.139833875738304</v>
      </c>
      <c r="AN6878">
        <v>0.999999955172309</v>
      </c>
    </row>
    <row r="6879" spans="1:40" x14ac:dyDescent="0.25">
      <c r="A6879" t="str">
        <f>"20190303162954903"</f>
        <v>20190303162954903</v>
      </c>
      <c r="B6879" t="str">
        <f>"1551601794898832"</f>
        <v>1551601794898832</v>
      </c>
      <c r="C6879" t="s">
        <v>40</v>
      </c>
      <c r="D6879">
        <v>5.5849129999999896</v>
      </c>
      <c r="E6879">
        <v>0.60666109999999995</v>
      </c>
      <c r="F6879" t="s">
        <v>54</v>
      </c>
      <c r="G6879">
        <v>-152.6397</v>
      </c>
      <c r="H6879">
        <v>3.0848939999999998</v>
      </c>
      <c r="I6879">
        <v>160.8227</v>
      </c>
      <c r="J6879">
        <v>-187.74340000000001</v>
      </c>
      <c r="K6879">
        <v>1.119726</v>
      </c>
      <c r="L6879">
        <v>114.82389999999999</v>
      </c>
      <c r="M6879">
        <v>3.6325049999999998E-2</v>
      </c>
      <c r="N6879">
        <v>-1.199889E-2</v>
      </c>
      <c r="O6879">
        <v>0.99926800000000005</v>
      </c>
      <c r="P6879">
        <v>0.45084429999999998</v>
      </c>
      <c r="Q6879">
        <v>0.2071248</v>
      </c>
      <c r="R6879">
        <v>0.86823890000000004</v>
      </c>
      <c r="S6879">
        <v>1.8769070000000001</v>
      </c>
      <c r="T6879">
        <v>0.1050215</v>
      </c>
      <c r="U6879">
        <v>2.4764560000000002</v>
      </c>
      <c r="V6879">
        <v>0.41987409999999997</v>
      </c>
      <c r="W6879">
        <v>0.2160379</v>
      </c>
      <c r="X6879">
        <v>0.88149489999999997</v>
      </c>
      <c r="Y6879">
        <v>0.57410039999999996</v>
      </c>
      <c r="Z6879">
        <v>4.5987640000000003E-2</v>
      </c>
      <c r="AA6879">
        <v>0.81749249999999996</v>
      </c>
      <c r="AB6879">
        <v>33</v>
      </c>
      <c r="AC6879">
        <v>35.103700000000003</v>
      </c>
      <c r="AD6879">
        <v>1.965168</v>
      </c>
      <c r="AE6879">
        <v>45.998800000000003</v>
      </c>
      <c r="AF6879">
        <v>33.371008898710798</v>
      </c>
      <c r="AG6879">
        <v>1.965168</v>
      </c>
      <c r="AH6879">
        <v>47.189243397816199</v>
      </c>
      <c r="AI6879">
        <v>88.052611417203906</v>
      </c>
      <c r="AJ6879">
        <v>54.733040491442303</v>
      </c>
      <c r="AK6879">
        <v>57.830016536781301</v>
      </c>
      <c r="AL6879">
        <v>77.523573589050699</v>
      </c>
      <c r="AM6879">
        <v>64.530582024998196</v>
      </c>
      <c r="AN6879">
        <v>0.99999994640661305</v>
      </c>
    </row>
    <row r="6880" spans="1:40" x14ac:dyDescent="0.25">
      <c r="A6880" t="str">
        <f>"20190303162954927"</f>
        <v>20190303162954927</v>
      </c>
      <c r="B6880" t="str">
        <f>"1551601794919328"</f>
        <v>1551601794919328</v>
      </c>
      <c r="C6880" t="s">
        <v>40</v>
      </c>
      <c r="D6880">
        <v>5.5434029999999996</v>
      </c>
      <c r="E6880">
        <v>0.6655626</v>
      </c>
      <c r="F6880" t="s">
        <v>54</v>
      </c>
      <c r="G6880">
        <v>-145.3159</v>
      </c>
      <c r="H6880">
        <v>4.0309470000000003</v>
      </c>
      <c r="I6880">
        <v>160.82</v>
      </c>
      <c r="J6880">
        <v>-187.72839999999999</v>
      </c>
      <c r="K6880">
        <v>1.119399</v>
      </c>
      <c r="L6880">
        <v>115.16119999999999</v>
      </c>
      <c r="M6880">
        <v>3.9009210000000002E-2</v>
      </c>
      <c r="N6880">
        <v>-1.201231E-2</v>
      </c>
      <c r="O6880">
        <v>0.99916669999999996</v>
      </c>
      <c r="P6880">
        <v>0.48653419999999997</v>
      </c>
      <c r="Q6880">
        <v>0.2098872</v>
      </c>
      <c r="R6880">
        <v>0.84807540000000003</v>
      </c>
      <c r="S6880">
        <v>2.1332239999999998</v>
      </c>
      <c r="T6880">
        <v>0.1463759</v>
      </c>
      <c r="U6880">
        <v>2.3126530000000001</v>
      </c>
      <c r="V6880">
        <v>0.45413690000000001</v>
      </c>
      <c r="W6880">
        <v>0.21808959999999999</v>
      </c>
      <c r="X6880">
        <v>0.86382680000000001</v>
      </c>
      <c r="Y6880">
        <v>0.64776519999999904</v>
      </c>
      <c r="Z6880">
        <v>5.891909E-2</v>
      </c>
      <c r="AA6880">
        <v>0.75955830000000002</v>
      </c>
      <c r="AB6880">
        <v>33</v>
      </c>
      <c r="AC6880">
        <v>42.412500000000001</v>
      </c>
      <c r="AD6880">
        <v>2.9115479999999998</v>
      </c>
      <c r="AE6880">
        <v>45.658799999999999</v>
      </c>
      <c r="AF6880">
        <v>40.510543444460403</v>
      </c>
      <c r="AG6880">
        <v>2.9115479999999998</v>
      </c>
      <c r="AH6880">
        <v>47.175662911157502</v>
      </c>
      <c r="AI6880">
        <v>87.319213483784196</v>
      </c>
      <c r="AJ6880">
        <v>49.346753090143103</v>
      </c>
      <c r="AK6880">
        <v>62.250497291419101</v>
      </c>
      <c r="AL6880">
        <v>77.403150134168399</v>
      </c>
      <c r="AM6880">
        <v>62.267892083135997</v>
      </c>
      <c r="AN6880">
        <v>1.0000000689840001</v>
      </c>
    </row>
    <row r="6881" spans="1:40" x14ac:dyDescent="0.25">
      <c r="A6881" t="str">
        <f>"20190303162954947"</f>
        <v>20190303162954947</v>
      </c>
      <c r="B6881" t="str">
        <f>"1551601794938380"</f>
        <v>1551601794938380</v>
      </c>
      <c r="C6881" t="s">
        <v>40</v>
      </c>
      <c r="D6881">
        <v>5.6068800000000003</v>
      </c>
      <c r="E6881">
        <v>0.66013060000000001</v>
      </c>
      <c r="F6881" t="s">
        <v>54</v>
      </c>
      <c r="G6881">
        <v>-127.37860000000001</v>
      </c>
      <c r="H6881">
        <v>2.896757</v>
      </c>
      <c r="I6881">
        <v>160.81440000000001</v>
      </c>
      <c r="J6881">
        <v>-187.7139</v>
      </c>
      <c r="K6881">
        <v>1.119057</v>
      </c>
      <c r="L6881">
        <v>115.46469999999999</v>
      </c>
      <c r="M6881">
        <v>4.1790830000000001E-2</v>
      </c>
      <c r="N6881">
        <v>-1.2026999999999999E-2</v>
      </c>
      <c r="O6881">
        <v>0.999054</v>
      </c>
      <c r="P6881">
        <v>0.5143778</v>
      </c>
      <c r="Q6881">
        <v>0.20550379999999999</v>
      </c>
      <c r="R6881">
        <v>0.83257649999999905</v>
      </c>
      <c r="S6881">
        <v>2.6448670000000001</v>
      </c>
      <c r="T6881">
        <v>7.7895279999999997E-2</v>
      </c>
      <c r="U6881">
        <v>2.0007779999999999</v>
      </c>
      <c r="V6881">
        <v>0.48033520000000002</v>
      </c>
      <c r="W6881">
        <v>0.21306</v>
      </c>
      <c r="X6881">
        <v>0.8508135</v>
      </c>
      <c r="Y6881">
        <v>0.77113599999999904</v>
      </c>
      <c r="Z6881">
        <v>3.5698069999999998E-2</v>
      </c>
      <c r="AA6881">
        <v>0.63566889999999998</v>
      </c>
      <c r="AB6881">
        <v>33</v>
      </c>
      <c r="AC6881">
        <v>60.335299999999897</v>
      </c>
      <c r="AD6881">
        <v>1.7777000000000001</v>
      </c>
      <c r="AE6881">
        <v>45.349699999999999</v>
      </c>
      <c r="AF6881">
        <v>58.354872972252601</v>
      </c>
      <c r="AG6881">
        <v>1.7777000000000001</v>
      </c>
      <c r="AH6881">
        <v>47.8052019891852</v>
      </c>
      <c r="AI6881">
        <v>88.650040895638199</v>
      </c>
      <c r="AJ6881">
        <v>39.324857128329299</v>
      </c>
      <c r="AK6881">
        <v>75.457198159781498</v>
      </c>
      <c r="AL6881">
        <v>77.698263888206398</v>
      </c>
      <c r="AM6881">
        <v>60.552668691087099</v>
      </c>
      <c r="AN6881">
        <v>1.0000000398706399</v>
      </c>
    </row>
    <row r="6882" spans="1:40" x14ac:dyDescent="0.25">
      <c r="A6882" t="str">
        <f>"20190303162954968"</f>
        <v>20190303162954968</v>
      </c>
      <c r="B6882" t="str">
        <f>"1551601794958877"</f>
        <v>1551601794958877</v>
      </c>
      <c r="C6882" t="s">
        <v>40</v>
      </c>
      <c r="D6882">
        <v>5.5873330000000001</v>
      </c>
      <c r="E6882">
        <v>0.65391060000000001</v>
      </c>
      <c r="F6882" t="s">
        <v>54</v>
      </c>
      <c r="G6882">
        <v>-124.9573</v>
      </c>
      <c r="H6882">
        <v>2.7786620000000002</v>
      </c>
      <c r="I6882">
        <v>160.81360000000001</v>
      </c>
      <c r="J6882">
        <v>-187.69759999999999</v>
      </c>
      <c r="K6882">
        <v>1.118719</v>
      </c>
      <c r="L6882">
        <v>115.77760000000001</v>
      </c>
      <c r="M6882">
        <v>4.4990670000000003E-2</v>
      </c>
      <c r="N6882">
        <v>-1.204242E-2</v>
      </c>
      <c r="O6882">
        <v>0.99891479999999999</v>
      </c>
      <c r="P6882">
        <v>0.53003140000000004</v>
      </c>
      <c r="Q6882">
        <v>0.2025584</v>
      </c>
      <c r="R6882">
        <v>0.82342990000000005</v>
      </c>
      <c r="S6882">
        <v>2.675125</v>
      </c>
      <c r="T6882">
        <v>7.0745349999999999E-2</v>
      </c>
      <c r="U6882">
        <v>1.93309</v>
      </c>
      <c r="V6882">
        <v>0.49379010000000001</v>
      </c>
      <c r="W6882">
        <v>0.20959620000000001</v>
      </c>
      <c r="X6882">
        <v>0.84394360000000002</v>
      </c>
      <c r="Y6882">
        <v>0.78292869999999903</v>
      </c>
      <c r="Z6882">
        <v>3.3638120000000001E-2</v>
      </c>
      <c r="AA6882">
        <v>0.62120140000000001</v>
      </c>
      <c r="AB6882">
        <v>33</v>
      </c>
      <c r="AC6882">
        <v>62.740299999999898</v>
      </c>
      <c r="AD6882">
        <v>1.65994299999999</v>
      </c>
      <c r="AE6882">
        <v>45.036000000000001</v>
      </c>
      <c r="AF6882">
        <v>60.622408372495499</v>
      </c>
      <c r="AG6882">
        <v>1.65994299999999</v>
      </c>
      <c r="AH6882">
        <v>47.791245411834097</v>
      </c>
      <c r="AI6882">
        <v>88.768145845576697</v>
      </c>
      <c r="AJ6882">
        <v>38.250228569665197</v>
      </c>
      <c r="AK6882">
        <v>77.212919551452103</v>
      </c>
      <c r="AL6882">
        <v>77.901310593504903</v>
      </c>
      <c r="AM6882">
        <v>59.668163117740399</v>
      </c>
      <c r="AN6882">
        <v>1.0000000149467001</v>
      </c>
    </row>
    <row r="6883" spans="1:40" x14ac:dyDescent="0.25">
      <c r="A6883" t="str">
        <f>"20190303162954991"</f>
        <v>20190303162954991</v>
      </c>
      <c r="B6883" t="str">
        <f>"1551601794979372"</f>
        <v>1551601794979372</v>
      </c>
      <c r="C6883" t="s">
        <v>40</v>
      </c>
      <c r="D6883">
        <v>5.568092</v>
      </c>
      <c r="E6883">
        <v>0.62283269999999902</v>
      </c>
      <c r="F6883" t="s">
        <v>54</v>
      </c>
      <c r="G6883">
        <v>-124.6664</v>
      </c>
      <c r="H6883">
        <v>2.6221079999999999</v>
      </c>
      <c r="I6883">
        <v>160.81360000000001</v>
      </c>
      <c r="J6883">
        <v>-187.679</v>
      </c>
      <c r="K6883">
        <v>1.1183650000000001</v>
      </c>
      <c r="L6883">
        <v>116.10890000000001</v>
      </c>
      <c r="M6883">
        <v>4.876026E-2</v>
      </c>
      <c r="N6883">
        <v>-1.205728E-2</v>
      </c>
      <c r="O6883">
        <v>0.99873780000000001</v>
      </c>
      <c r="P6883">
        <v>0.53462080000000001</v>
      </c>
      <c r="Q6883">
        <v>0.19966819999999999</v>
      </c>
      <c r="R6883">
        <v>0.821165699999999</v>
      </c>
      <c r="S6883">
        <v>2.6709290000000001</v>
      </c>
      <c r="T6883">
        <v>6.3707109999999997E-2</v>
      </c>
      <c r="U6883">
        <v>1.9083859999999999</v>
      </c>
      <c r="V6883">
        <v>0.49542350000000002</v>
      </c>
      <c r="W6883">
        <v>0.20633499999999999</v>
      </c>
      <c r="X6883">
        <v>0.84378989999999998</v>
      </c>
      <c r="Y6883">
        <v>0.78395309999999996</v>
      </c>
      <c r="Z6883">
        <v>3.1593070000000001E-2</v>
      </c>
      <c r="AA6883">
        <v>0.62001569999999995</v>
      </c>
      <c r="AB6883">
        <v>33</v>
      </c>
      <c r="AC6883">
        <v>63.012599999999999</v>
      </c>
      <c r="AD6883">
        <v>1.5037430000000001</v>
      </c>
      <c r="AE6883">
        <v>44.704700000000003</v>
      </c>
      <c r="AF6883">
        <v>60.734657400037499</v>
      </c>
      <c r="AG6883">
        <v>1.5037430000000001</v>
      </c>
      <c r="AH6883">
        <v>47.7061781520812</v>
      </c>
      <c r="AI6883">
        <v>88.884546385017103</v>
      </c>
      <c r="AJ6883">
        <v>38.149112265696701</v>
      </c>
      <c r="AK6883">
        <v>77.245318863916197</v>
      </c>
      <c r="AL6883">
        <v>78.0923399821761</v>
      </c>
      <c r="AM6883">
        <v>59.581065297945003</v>
      </c>
      <c r="AN6883">
        <v>0.99999998595962902</v>
      </c>
    </row>
    <row r="6884" spans="1:40" x14ac:dyDescent="0.25">
      <c r="A6884" t="str">
        <f>"20190303162955014"</f>
        <v>20190303162955014</v>
      </c>
      <c r="B6884" t="str">
        <f>"1551601794998892"</f>
        <v>1551601794998892</v>
      </c>
      <c r="C6884" t="s">
        <v>40</v>
      </c>
      <c r="D6884">
        <v>5.5692209999999998</v>
      </c>
      <c r="E6884">
        <v>0.62004419999999905</v>
      </c>
      <c r="F6884" t="s">
        <v>54</v>
      </c>
      <c r="G6884">
        <v>-133.46979999999999</v>
      </c>
      <c r="H6884">
        <v>0.70824809999999905</v>
      </c>
      <c r="I6884">
        <v>160.81720000000001</v>
      </c>
      <c r="J6884">
        <v>-187.6585</v>
      </c>
      <c r="K6884">
        <v>1.1180110000000001</v>
      </c>
      <c r="L6884">
        <v>116.4456</v>
      </c>
      <c r="M6884">
        <v>5.2998160000000002E-2</v>
      </c>
      <c r="N6884">
        <v>-1.207308E-2</v>
      </c>
      <c r="O6884">
        <v>0.99852160000000001</v>
      </c>
      <c r="P6884">
        <v>0.52973210000000004</v>
      </c>
      <c r="Q6884">
        <v>0.1926882</v>
      </c>
      <c r="R6884">
        <v>0.82598729999999998</v>
      </c>
      <c r="S6884">
        <v>2.4786380000000001</v>
      </c>
      <c r="T6884">
        <v>-1.8750550000000001E-2</v>
      </c>
      <c r="U6884">
        <v>2.0442200000000001</v>
      </c>
      <c r="V6884">
        <v>0.4867918</v>
      </c>
      <c r="W6884">
        <v>0.19914470000000001</v>
      </c>
      <c r="X6884">
        <v>0.85051460000000001</v>
      </c>
      <c r="Y6884">
        <v>0.73658970000000001</v>
      </c>
      <c r="Z6884">
        <v>5.811025E-3</v>
      </c>
      <c r="AA6884">
        <v>0.67631479999999999</v>
      </c>
      <c r="AB6884">
        <v>33</v>
      </c>
      <c r="AC6884">
        <v>54.188699999999997</v>
      </c>
      <c r="AD6884">
        <v>-0.40976289999999999</v>
      </c>
      <c r="AE6884">
        <v>44.371600000000001</v>
      </c>
      <c r="AF6884">
        <v>51.758976311305602</v>
      </c>
      <c r="AG6884">
        <v>-0.40976289999999999</v>
      </c>
      <c r="AH6884">
        <v>47.179727335250597</v>
      </c>
      <c r="AI6884">
        <v>90.335223474182897</v>
      </c>
      <c r="AJ6884">
        <v>42.350030662500103</v>
      </c>
      <c r="AK6884">
        <v>70.0363206190695</v>
      </c>
      <c r="AL6884">
        <v>78.513051844597598</v>
      </c>
      <c r="AM6884">
        <v>60.215347707648199</v>
      </c>
      <c r="AN6884">
        <v>0.99999997644924399</v>
      </c>
    </row>
    <row r="6885" spans="1:40" x14ac:dyDescent="0.25">
      <c r="A6885" t="str">
        <f>"20190303162955036"</f>
        <v>20190303162955036</v>
      </c>
      <c r="B6885" t="str">
        <f>"1551601795029149"</f>
        <v>1551601795029149</v>
      </c>
      <c r="C6885" t="s">
        <v>40</v>
      </c>
      <c r="D6885">
        <v>5.6155210000000002</v>
      </c>
      <c r="E6885">
        <v>0.61499950000000003</v>
      </c>
      <c r="F6885" t="s">
        <v>54</v>
      </c>
      <c r="G6885">
        <v>-135.23939999999999</v>
      </c>
      <c r="H6885">
        <v>0.1865444</v>
      </c>
      <c r="I6885">
        <v>160.81790000000001</v>
      </c>
      <c r="J6885">
        <v>-187.63679999999999</v>
      </c>
      <c r="K6885">
        <v>1.117669</v>
      </c>
      <c r="L6885">
        <v>116.77330000000001</v>
      </c>
      <c r="M6885">
        <v>5.7525720000000002E-2</v>
      </c>
      <c r="N6885">
        <v>-1.2091589999999999E-2</v>
      </c>
      <c r="O6885">
        <v>0.99827080000000001</v>
      </c>
      <c r="P6885">
        <v>0.52108580000000004</v>
      </c>
      <c r="Q6885">
        <v>0.18678230000000001</v>
      </c>
      <c r="R6885">
        <v>0.83281569999999905</v>
      </c>
      <c r="S6885">
        <v>2.4479519999999999</v>
      </c>
      <c r="T6885">
        <v>-4.3497559999999998E-2</v>
      </c>
      <c r="U6885">
        <v>2.072174</v>
      </c>
      <c r="V6885">
        <v>0.47399770000000002</v>
      </c>
      <c r="W6885">
        <v>0.1930943</v>
      </c>
      <c r="X6885">
        <v>0.859093</v>
      </c>
      <c r="Y6885">
        <v>0.72473390000000004</v>
      </c>
      <c r="Z6885">
        <v>-2.1011720000000001E-3</v>
      </c>
      <c r="AA6885">
        <v>0.68902559999999902</v>
      </c>
      <c r="AB6885">
        <v>33</v>
      </c>
      <c r="AC6885">
        <v>52.397399999999998</v>
      </c>
      <c r="AD6885">
        <v>-0.93112459999999997</v>
      </c>
      <c r="AE6885">
        <v>44.044600000000003</v>
      </c>
      <c r="AF6885">
        <v>49.767526911003699</v>
      </c>
      <c r="AG6885">
        <v>-0.93112459999999997</v>
      </c>
      <c r="AH6885">
        <v>46.977378345430402</v>
      </c>
      <c r="AI6885">
        <v>90.779489003167896</v>
      </c>
      <c r="AJ6885">
        <v>43.348032530416504</v>
      </c>
      <c r="AK6885">
        <v>68.4437565017286</v>
      </c>
      <c r="AL6885">
        <v>78.866580703765607</v>
      </c>
      <c r="AM6885">
        <v>61.112633136240497</v>
      </c>
      <c r="AN6885">
        <v>1.00000000547339</v>
      </c>
    </row>
    <row r="6886" spans="1:40" x14ac:dyDescent="0.25">
      <c r="A6886" t="str">
        <f>"20190303162955057"</f>
        <v>20190303162955057</v>
      </c>
      <c r="B6886" t="str">
        <f>"1551601795049173"</f>
        <v>1551601795049173</v>
      </c>
      <c r="C6886" t="s">
        <v>40</v>
      </c>
      <c r="D6886">
        <v>5.6571769999999999</v>
      </c>
      <c r="E6886">
        <v>0.6121238</v>
      </c>
      <c r="F6886" t="s">
        <v>41</v>
      </c>
      <c r="G6886">
        <v>-150.46789999999999</v>
      </c>
      <c r="H6886">
        <v>7.2399320000000003E-2</v>
      </c>
      <c r="I6886">
        <v>149.6386</v>
      </c>
      <c r="J6886">
        <v>-187.61410000000001</v>
      </c>
      <c r="K6886">
        <v>1.1173169999999999</v>
      </c>
      <c r="L6886">
        <v>117.0894</v>
      </c>
      <c r="M6886">
        <v>6.2285689999999998E-2</v>
      </c>
      <c r="N6886">
        <v>-1.2116460000000001E-2</v>
      </c>
      <c r="O6886">
        <v>0.99798480000000001</v>
      </c>
      <c r="P6886">
        <v>0.51610599999999995</v>
      </c>
      <c r="Q6886">
        <v>0.18255399999999999</v>
      </c>
      <c r="R6886">
        <v>0.83684439999999904</v>
      </c>
      <c r="S6886">
        <v>2.395737</v>
      </c>
      <c r="T6886">
        <v>-6.7373279999999994E-2</v>
      </c>
      <c r="U6886">
        <v>2.118347</v>
      </c>
      <c r="V6886">
        <v>0.46478069999999999</v>
      </c>
      <c r="W6886">
        <v>0.1886649</v>
      </c>
      <c r="X6886">
        <v>0.86509219999999898</v>
      </c>
      <c r="Y6886">
        <v>0.70627959999999901</v>
      </c>
      <c r="Z6886">
        <v>-9.7860519999999999E-3</v>
      </c>
      <c r="AA6886">
        <v>0.70786539999999998</v>
      </c>
      <c r="AB6886">
        <v>33</v>
      </c>
      <c r="AC6886">
        <v>37.1462</v>
      </c>
      <c r="AD6886">
        <v>-1.04491768</v>
      </c>
      <c r="AE6886">
        <v>32.549199999999999</v>
      </c>
      <c r="AF6886">
        <v>35.030886461157998</v>
      </c>
      <c r="AG6886">
        <v>-1.04491768</v>
      </c>
      <c r="AH6886">
        <v>34.784268688743097</v>
      </c>
      <c r="AI6886">
        <v>91.212557792442595</v>
      </c>
      <c r="AJ6886">
        <v>44.797606999371801</v>
      </c>
      <c r="AK6886">
        <v>49.378134912359698</v>
      </c>
      <c r="AL6886">
        <v>79.125120780831693</v>
      </c>
      <c r="AM6886">
        <v>61.752575182378799</v>
      </c>
      <c r="AN6886">
        <v>1.0000000290426601</v>
      </c>
    </row>
    <row r="6887" spans="1:40" x14ac:dyDescent="0.25">
      <c r="A6887" t="str">
        <f>"20190303162955080"</f>
        <v>20190303162955080</v>
      </c>
      <c r="B6887" t="str">
        <f>"1551601795068693"</f>
        <v>1551601795068693</v>
      </c>
      <c r="C6887" t="s">
        <v>40</v>
      </c>
      <c r="D6887">
        <v>5.7160089999999997</v>
      </c>
      <c r="E6887">
        <v>0.60984780000000005</v>
      </c>
      <c r="F6887" t="s">
        <v>41</v>
      </c>
      <c r="G6887">
        <v>-159.554</v>
      </c>
      <c r="H6887" s="1">
        <v>-9.6180219999999998E-7</v>
      </c>
      <c r="I6887">
        <v>142.57839999999999</v>
      </c>
      <c r="J6887">
        <v>-187.58869999999999</v>
      </c>
      <c r="K6887">
        <v>1.116914</v>
      </c>
      <c r="L6887">
        <v>117.41540000000001</v>
      </c>
      <c r="M6887">
        <v>6.7617979999999994E-2</v>
      </c>
      <c r="N6887">
        <v>-1.215084E-2</v>
      </c>
      <c r="O6887">
        <v>0.99763729999999995</v>
      </c>
      <c r="P6887">
        <v>0.51472510000000005</v>
      </c>
      <c r="Q6887">
        <v>0.1745148</v>
      </c>
      <c r="R6887">
        <v>0.83940609999999904</v>
      </c>
      <c r="S6887">
        <v>2.3640590000000001</v>
      </c>
      <c r="T6887">
        <v>-9.4133850000000005E-2</v>
      </c>
      <c r="U6887">
        <v>2.147446</v>
      </c>
      <c r="V6887">
        <v>0.4586769</v>
      </c>
      <c r="W6887">
        <v>0.18035860000000001</v>
      </c>
      <c r="X6887">
        <v>0.87010710000000002</v>
      </c>
      <c r="Y6887">
        <v>0.69277639999999996</v>
      </c>
      <c r="Z6887">
        <v>-1.8408299999999999E-2</v>
      </c>
      <c r="AA6887">
        <v>0.72091749999999999</v>
      </c>
      <c r="AB6887">
        <v>33</v>
      </c>
      <c r="AC6887">
        <v>28.034699999999901</v>
      </c>
      <c r="AD6887">
        <v>-1.1169149618021901</v>
      </c>
      <c r="AE6887">
        <v>25.162999999999901</v>
      </c>
      <c r="AF6887">
        <v>26.2458584438765</v>
      </c>
      <c r="AG6887">
        <v>-1.1169149618021901</v>
      </c>
      <c r="AH6887">
        <v>26.9774753380511</v>
      </c>
      <c r="AI6887">
        <v>91.699758431568199</v>
      </c>
      <c r="AJ6887">
        <v>45.787547816101103</v>
      </c>
      <c r="AK6887">
        <v>37.654704355539103</v>
      </c>
      <c r="AL6887">
        <v>79.609352533988996</v>
      </c>
      <c r="AM6887">
        <v>62.204046559628203</v>
      </c>
      <c r="AN6887">
        <v>1.00000004432898</v>
      </c>
    </row>
    <row r="6888" spans="1:40" x14ac:dyDescent="0.25">
      <c r="A6888" t="str">
        <f>"20190303162955093"</f>
        <v>20190303162955093</v>
      </c>
      <c r="B6888" t="str">
        <f>"1551601795089189"</f>
        <v>1551601795089189</v>
      </c>
      <c r="C6888" t="s">
        <v>40</v>
      </c>
      <c r="D6888">
        <v>5.5105459999999997</v>
      </c>
      <c r="E6888">
        <v>0.60848469999999999</v>
      </c>
      <c r="F6888" t="s">
        <v>41</v>
      </c>
      <c r="G6888">
        <v>-168.27719999999999</v>
      </c>
      <c r="H6888" s="1">
        <v>-1.808058E-6</v>
      </c>
      <c r="I6888">
        <v>135.2482</v>
      </c>
      <c r="J6888">
        <v>-187.57320000000001</v>
      </c>
      <c r="K6888">
        <v>1.1166799999999999</v>
      </c>
      <c r="L6888">
        <v>117.6009</v>
      </c>
      <c r="M6888">
        <v>7.0886480000000002E-2</v>
      </c>
      <c r="N6888">
        <v>-1.217409E-2</v>
      </c>
      <c r="O6888">
        <v>0.99741009999999997</v>
      </c>
      <c r="P6888">
        <v>0.51433549999999995</v>
      </c>
      <c r="Q6888">
        <v>0.1710034</v>
      </c>
      <c r="R6888">
        <v>0.84036710000000003</v>
      </c>
      <c r="S6888">
        <v>2.3441930000000002</v>
      </c>
      <c r="T6888">
        <v>-0.13558029999999999</v>
      </c>
      <c r="U6888">
        <v>2.1646879999999999</v>
      </c>
      <c r="V6888">
        <v>0.45542050000000001</v>
      </c>
      <c r="W6888">
        <v>0.1766826</v>
      </c>
      <c r="X6888">
        <v>0.87256819999999902</v>
      </c>
      <c r="Y6888">
        <v>0.68418179999999995</v>
      </c>
      <c r="Z6888">
        <v>-3.1745910000000002E-2</v>
      </c>
      <c r="AA6888">
        <v>0.72862019999999905</v>
      </c>
      <c r="AB6888">
        <v>33</v>
      </c>
      <c r="AC6888">
        <v>19.295999999999999</v>
      </c>
      <c r="AD6888">
        <v>-1.1166818080580001</v>
      </c>
      <c r="AE6888">
        <v>17.647300000000001</v>
      </c>
      <c r="AF6888">
        <v>17.963643591090602</v>
      </c>
      <c r="AG6888">
        <v>-1.1166818080580001</v>
      </c>
      <c r="AH6888">
        <v>18.936292443156699</v>
      </c>
      <c r="AI6888">
        <v>92.449773173740397</v>
      </c>
      <c r="AJ6888">
        <v>46.509915158216003</v>
      </c>
      <c r="AK6888">
        <v>26.1251342737398</v>
      </c>
      <c r="AL6888">
        <v>79.823409238676206</v>
      </c>
      <c r="AM6888">
        <v>62.438542485491702</v>
      </c>
      <c r="AN6888">
        <v>0.99999991830712098</v>
      </c>
    </row>
    <row r="6889" spans="1:40" x14ac:dyDescent="0.25">
      <c r="A6889" t="str">
        <f>"20190303162955105"</f>
        <v>20190303162955105</v>
      </c>
      <c r="B6889" t="str">
        <f>"1551601795098951"</f>
        <v>1551601795098951</v>
      </c>
      <c r="C6889" t="s">
        <v>40</v>
      </c>
      <c r="D6889">
        <v>5.567761</v>
      </c>
      <c r="E6889">
        <v>0.6079812</v>
      </c>
      <c r="F6889" t="s">
        <v>41</v>
      </c>
      <c r="G6889">
        <v>-169.697</v>
      </c>
      <c r="H6889" s="1">
        <v>-1.531138E-6</v>
      </c>
      <c r="I6889">
        <v>134.2398</v>
      </c>
      <c r="J6889">
        <v>-187.55709999999999</v>
      </c>
      <c r="K6889">
        <v>1.116441</v>
      </c>
      <c r="L6889">
        <v>117.7867</v>
      </c>
      <c r="M6889">
        <v>7.426257E-2</v>
      </c>
      <c r="N6889">
        <v>-1.219785E-2</v>
      </c>
      <c r="O6889">
        <v>0.9971641</v>
      </c>
      <c r="P6889">
        <v>0.51441429999999999</v>
      </c>
      <c r="Q6889">
        <v>0.16903869999999999</v>
      </c>
      <c r="R6889">
        <v>0.84071620000000002</v>
      </c>
      <c r="S6889">
        <v>2.3330690000000001</v>
      </c>
      <c r="T6889">
        <v>-0.14574110000000001</v>
      </c>
      <c r="U6889">
        <v>2.1715849999999999</v>
      </c>
      <c r="V6889">
        <v>0.45258660000000001</v>
      </c>
      <c r="W6889">
        <v>0.17454059999999999</v>
      </c>
      <c r="X6889">
        <v>0.87447180000000002</v>
      </c>
      <c r="Y6889">
        <v>0.6787223</v>
      </c>
      <c r="Z6889">
        <v>-3.5082429999999998E-2</v>
      </c>
      <c r="AA6889">
        <v>0.73355649999999994</v>
      </c>
      <c r="AB6889">
        <v>33</v>
      </c>
      <c r="AC6889">
        <v>17.8600999999999</v>
      </c>
      <c r="AD6889">
        <v>-1.116442531138</v>
      </c>
      <c r="AE6889">
        <v>16.453099999999999</v>
      </c>
      <c r="AF6889">
        <v>16.553845088025099</v>
      </c>
      <c r="AG6889">
        <v>-1.116442531138</v>
      </c>
      <c r="AH6889">
        <v>17.696691168498099</v>
      </c>
      <c r="AI6889">
        <v>92.637897939663901</v>
      </c>
      <c r="AJ6889">
        <v>46.911093346257502</v>
      </c>
      <c r="AK6889">
        <v>24.2579700188797</v>
      </c>
      <c r="AL6889">
        <v>79.948074918062304</v>
      </c>
      <c r="AM6889">
        <v>62.635983345874202</v>
      </c>
      <c r="AN6889">
        <v>0.99999999027157904</v>
      </c>
    </row>
    <row r="6890" spans="1:40" x14ac:dyDescent="0.25">
      <c r="A6890" t="str">
        <f>"20190303162955118"</f>
        <v>20190303162955118</v>
      </c>
      <c r="B6890" t="str">
        <f>"1551601795108710"</f>
        <v>1551601795108710</v>
      </c>
      <c r="C6890" t="s">
        <v>40</v>
      </c>
      <c r="D6890">
        <v>5.5382720000000001</v>
      </c>
      <c r="E6890">
        <v>0.60761580000000004</v>
      </c>
      <c r="F6890" t="s">
        <v>56</v>
      </c>
      <c r="G6890">
        <v>-170.58500000000001</v>
      </c>
      <c r="H6890" s="1">
        <v>-1.302139E-6</v>
      </c>
      <c r="I6890">
        <v>133.62200000000001</v>
      </c>
      <c r="J6890">
        <v>-187.53960000000001</v>
      </c>
      <c r="K6890">
        <v>1.1162080000000001</v>
      </c>
      <c r="L6890">
        <v>117.9765</v>
      </c>
      <c r="M6890">
        <v>7.7921760000000007E-2</v>
      </c>
      <c r="N6890">
        <v>-1.222442E-2</v>
      </c>
      <c r="O6890">
        <v>0.99688449999999995</v>
      </c>
      <c r="P6890">
        <v>0.51529599999999998</v>
      </c>
      <c r="Q6890">
        <v>0.1691734</v>
      </c>
      <c r="R6890">
        <v>0.84014899999999904</v>
      </c>
      <c r="S6890">
        <v>2.3297270000000001</v>
      </c>
      <c r="T6890">
        <v>-0.15325239999999901</v>
      </c>
      <c r="U6890">
        <v>2.1736909999999998</v>
      </c>
      <c r="V6890">
        <v>0.45039420000000002</v>
      </c>
      <c r="W6890">
        <v>0.1744744</v>
      </c>
      <c r="X6890">
        <v>0.87561630000000001</v>
      </c>
      <c r="Y6890">
        <v>0.67507019999999995</v>
      </c>
      <c r="Z6890">
        <v>-3.7547379999999998E-2</v>
      </c>
      <c r="AA6890">
        <v>0.73679749999999999</v>
      </c>
      <c r="AB6890">
        <v>33</v>
      </c>
      <c r="AC6890">
        <v>16.954599999999999</v>
      </c>
      <c r="AD6890">
        <v>-1.116209302139</v>
      </c>
      <c r="AE6890">
        <v>15.6455</v>
      </c>
      <c r="AF6890">
        <v>15.647196812199001</v>
      </c>
      <c r="AG6890">
        <v>-1.116209302139</v>
      </c>
      <c r="AH6890">
        <v>16.879639790254998</v>
      </c>
      <c r="AI6890">
        <v>92.776449586994403</v>
      </c>
      <c r="AJ6890">
        <v>47.169901080070503</v>
      </c>
      <c r="AK6890">
        <v>23.043500835043101</v>
      </c>
      <c r="AL6890">
        <v>79.951927898797194</v>
      </c>
      <c r="AM6890">
        <v>62.779891275847902</v>
      </c>
      <c r="AN6890">
        <v>1.0000000782373399</v>
      </c>
    </row>
    <row r="6891" spans="1:40" x14ac:dyDescent="0.25">
      <c r="A6891" t="str">
        <f>"20190303162955131"</f>
        <v>20190303162955131</v>
      </c>
      <c r="B6891" t="str">
        <f>"1551601795118470"</f>
        <v>1551601795118470</v>
      </c>
      <c r="C6891" t="s">
        <v>40</v>
      </c>
      <c r="D6891">
        <v>5.4272530000000003</v>
      </c>
      <c r="E6891">
        <v>0.60785059999999902</v>
      </c>
      <c r="F6891" t="s">
        <v>56</v>
      </c>
      <c r="G6891">
        <v>-170.87549999999999</v>
      </c>
      <c r="H6891" s="1">
        <v>-1.4204030000000001E-6</v>
      </c>
      <c r="I6891">
        <v>133.51519999999999</v>
      </c>
      <c r="J6891">
        <v>-187.52250000000001</v>
      </c>
      <c r="K6891">
        <v>1.115993</v>
      </c>
      <c r="L6891">
        <v>118.15430000000001</v>
      </c>
      <c r="M6891">
        <v>8.1485379999999996E-2</v>
      </c>
      <c r="N6891">
        <v>-1.225014E-2</v>
      </c>
      <c r="O6891">
        <v>0.99659929999999997</v>
      </c>
      <c r="P6891">
        <v>0.51716870000000004</v>
      </c>
      <c r="Q6891">
        <v>0.1707176</v>
      </c>
      <c r="R6891">
        <v>0.83868469999999995</v>
      </c>
      <c r="S6891">
        <v>2.3303379999999998</v>
      </c>
      <c r="T6891">
        <v>-0.15609219999999999</v>
      </c>
      <c r="U6891">
        <v>2.1729430000000001</v>
      </c>
      <c r="V6891">
        <v>0.44935360000000002</v>
      </c>
      <c r="W6891">
        <v>0.17581379999999999</v>
      </c>
      <c r="X6891">
        <v>0.87588290000000002</v>
      </c>
      <c r="Y6891">
        <v>0.67262489999999997</v>
      </c>
      <c r="Z6891">
        <v>-3.8501229999999997E-2</v>
      </c>
      <c r="AA6891">
        <v>0.73898140000000001</v>
      </c>
      <c r="AB6891">
        <v>33</v>
      </c>
      <c r="AC6891">
        <v>16.646999999999998</v>
      </c>
      <c r="AD6891">
        <v>-1.1159944204029999</v>
      </c>
      <c r="AE6891">
        <v>15.3608999999999</v>
      </c>
      <c r="AF6891">
        <v>15.302704469609401</v>
      </c>
      <c r="AG6891">
        <v>-1.1159944204029999</v>
      </c>
      <c r="AH6891">
        <v>16.626041227239298</v>
      </c>
      <c r="AI6891">
        <v>92.827433248504605</v>
      </c>
      <c r="AJ6891">
        <v>47.373354738128597</v>
      </c>
      <c r="AK6891">
        <v>22.623957534446401</v>
      </c>
      <c r="AL6891">
        <v>79.873980315853302</v>
      </c>
      <c r="AM6891">
        <v>62.840846934532898</v>
      </c>
      <c r="AN6891">
        <v>1.0000000023079001</v>
      </c>
    </row>
    <row r="6892" spans="1:40" x14ac:dyDescent="0.25">
      <c r="A6892" t="str">
        <f>"20190303162955142"</f>
        <v>20190303162955142</v>
      </c>
      <c r="B6892" t="str">
        <f>"1551601795138496"</f>
        <v>1551601795138496</v>
      </c>
      <c r="C6892" t="s">
        <v>40</v>
      </c>
      <c r="D6892">
        <v>5.5080179999999999</v>
      </c>
      <c r="E6892">
        <v>0.60641929999999999</v>
      </c>
      <c r="F6892" t="s">
        <v>41</v>
      </c>
      <c r="G6892">
        <v>-169.48159999999999</v>
      </c>
      <c r="H6892" s="1">
        <v>-1.4459110000000001E-6</v>
      </c>
      <c r="I6892">
        <v>134.87090000000001</v>
      </c>
      <c r="J6892">
        <v>-187.50530000000001</v>
      </c>
      <c r="K6892">
        <v>1.115783</v>
      </c>
      <c r="L6892">
        <v>118.3275</v>
      </c>
      <c r="M6892">
        <v>8.5042809999999996E-2</v>
      </c>
      <c r="N6892">
        <v>-1.2275060000000001E-2</v>
      </c>
      <c r="O6892">
        <v>0.99630169999999996</v>
      </c>
      <c r="P6892">
        <v>0.5200089</v>
      </c>
      <c r="Q6892">
        <v>0.172872</v>
      </c>
      <c r="R6892">
        <v>0.83648440000000002</v>
      </c>
      <c r="S6892">
        <v>2.336929</v>
      </c>
      <c r="T6892">
        <v>-0.14456069999999999</v>
      </c>
      <c r="U6892">
        <v>2.1653899999999999</v>
      </c>
      <c r="V6892">
        <v>0.44935409999999998</v>
      </c>
      <c r="W6892">
        <v>0.1777502</v>
      </c>
      <c r="X6892">
        <v>0.87549169999999998</v>
      </c>
      <c r="Y6892">
        <v>0.67241859999999998</v>
      </c>
      <c r="Z6892">
        <v>-3.4839269999999999E-2</v>
      </c>
      <c r="AA6892">
        <v>0.73935069999999903</v>
      </c>
      <c r="AB6892">
        <v>33</v>
      </c>
      <c r="AC6892">
        <v>18.023700000000002</v>
      </c>
      <c r="AD6892">
        <v>-1.115784445911</v>
      </c>
      <c r="AE6892">
        <v>16.543399999999998</v>
      </c>
      <c r="AF6892">
        <v>16.517036566935101</v>
      </c>
      <c r="AG6892">
        <v>-1.115784445911</v>
      </c>
      <c r="AH6892">
        <v>17.978963977161101</v>
      </c>
      <c r="AI6892">
        <v>92.616721111208804</v>
      </c>
      <c r="AJ6892">
        <v>47.426721261322399</v>
      </c>
      <c r="AK6892">
        <v>24.439734400669401</v>
      </c>
      <c r="AL6892">
        <v>79.761257122619</v>
      </c>
      <c r="AM6892">
        <v>62.830424242461802</v>
      </c>
      <c r="AN6892">
        <v>0.99999997877786895</v>
      </c>
    </row>
    <row r="6893" spans="1:40" x14ac:dyDescent="0.25">
      <c r="A6893" t="str">
        <f>"20190303162955158"</f>
        <v>20190303162955158</v>
      </c>
      <c r="B6893" t="str">
        <f>"1551601795149232"</f>
        <v>1551601795149232</v>
      </c>
      <c r="C6893" t="s">
        <v>40</v>
      </c>
      <c r="D6893">
        <v>5.3779110000000001</v>
      </c>
      <c r="E6893">
        <v>0.60626840000000004</v>
      </c>
      <c r="F6893" t="s">
        <v>56</v>
      </c>
      <c r="G6893">
        <v>-170.66059999999999</v>
      </c>
      <c r="H6893" s="1">
        <v>-1.4875829999999999E-6</v>
      </c>
      <c r="I6893">
        <v>133.9435</v>
      </c>
      <c r="J6893">
        <v>-187.48089999999999</v>
      </c>
      <c r="K6893">
        <v>1.115513</v>
      </c>
      <c r="L6893">
        <v>118.5573</v>
      </c>
      <c r="M6893">
        <v>9.0055659999999996E-2</v>
      </c>
      <c r="N6893">
        <v>-1.230999E-2</v>
      </c>
      <c r="O6893">
        <v>0.99586059999999998</v>
      </c>
      <c r="P6893">
        <v>0.52523989999999998</v>
      </c>
      <c r="Q6893">
        <v>0.176257</v>
      </c>
      <c r="R6893">
        <v>0.83250020000000002</v>
      </c>
      <c r="S6893">
        <v>2.336395</v>
      </c>
      <c r="T6893">
        <v>-0.15476119999999999</v>
      </c>
      <c r="U6893">
        <v>2.1659700000000002</v>
      </c>
      <c r="V6893">
        <v>0.45067020000000002</v>
      </c>
      <c r="W6893">
        <v>0.18082200000000001</v>
      </c>
      <c r="X6893">
        <v>0.874185199999999</v>
      </c>
      <c r="Y6893">
        <v>0.66840569999999999</v>
      </c>
      <c r="Z6893">
        <v>-3.817711E-2</v>
      </c>
      <c r="AA6893">
        <v>0.74281660000000005</v>
      </c>
      <c r="AB6893">
        <v>33</v>
      </c>
      <c r="AC6893">
        <v>16.8203</v>
      </c>
      <c r="AD6893">
        <v>-1.1155144875830001</v>
      </c>
      <c r="AE6893">
        <v>15.386200000000001</v>
      </c>
      <c r="AF6893">
        <v>15.3295167202984</v>
      </c>
      <c r="AG6893">
        <v>-1.1155144875830001</v>
      </c>
      <c r="AH6893">
        <v>16.798325076572102</v>
      </c>
      <c r="AI6893">
        <v>92.808212403418693</v>
      </c>
      <c r="AJ6893">
        <v>47.617603815948698</v>
      </c>
      <c r="AK6893">
        <v>22.768886244788298</v>
      </c>
      <c r="AL6893">
        <v>79.582357308693602</v>
      </c>
      <c r="AM6893">
        <v>62.7274588047256</v>
      </c>
      <c r="AN6893">
        <v>0.99999999437553899</v>
      </c>
    </row>
    <row r="6894" spans="1:40" x14ac:dyDescent="0.25">
      <c r="A6894" t="str">
        <f>"20190303162955169"</f>
        <v>20190303162955169</v>
      </c>
      <c r="B6894" t="str">
        <f>"1551601795158993"</f>
        <v>1551601795158993</v>
      </c>
      <c r="C6894" t="s">
        <v>40</v>
      </c>
      <c r="D6894">
        <v>5.5130080000000001</v>
      </c>
      <c r="E6894">
        <v>0.60636630000000002</v>
      </c>
      <c r="F6894" t="s">
        <v>41</v>
      </c>
      <c r="G6894">
        <v>-169.8398</v>
      </c>
      <c r="H6894" s="1">
        <v>-1.345306E-6</v>
      </c>
      <c r="I6894">
        <v>134.732</v>
      </c>
      <c r="J6894">
        <v>-187.4631</v>
      </c>
      <c r="K6894">
        <v>1.1153090000000001</v>
      </c>
      <c r="L6894">
        <v>118.7183</v>
      </c>
      <c r="M6894">
        <v>9.3698890000000007E-2</v>
      </c>
      <c r="N6894">
        <v>-1.2334889999999999E-2</v>
      </c>
      <c r="O6894">
        <v>0.99552419999999997</v>
      </c>
      <c r="P6894">
        <v>0.52826870000000004</v>
      </c>
      <c r="Q6894">
        <v>0.17566489999999901</v>
      </c>
      <c r="R6894">
        <v>0.83070699999999997</v>
      </c>
      <c r="S6894">
        <v>2.348541</v>
      </c>
      <c r="T6894">
        <v>-0.14850720000000001</v>
      </c>
      <c r="U6894">
        <v>2.1533199999999999</v>
      </c>
      <c r="V6894">
        <v>0.45072420000000002</v>
      </c>
      <c r="W6894">
        <v>0.1800331</v>
      </c>
      <c r="X6894">
        <v>0.87432009999999905</v>
      </c>
      <c r="Y6894">
        <v>0.66983190000000004</v>
      </c>
      <c r="Z6894">
        <v>-3.620744E-2</v>
      </c>
      <c r="AA6894">
        <v>0.74162950000000005</v>
      </c>
      <c r="AB6894">
        <v>33</v>
      </c>
      <c r="AC6894">
        <v>17.6233</v>
      </c>
      <c r="AD6894">
        <v>-1.115310345306</v>
      </c>
      <c r="AE6894">
        <v>16.0137</v>
      </c>
      <c r="AF6894">
        <v>16.0100533030237</v>
      </c>
      <c r="AG6894">
        <v>-1.115310345306</v>
      </c>
      <c r="AH6894">
        <v>17.556133180546102</v>
      </c>
      <c r="AI6894">
        <v>92.687524776454296</v>
      </c>
      <c r="AJ6894">
        <v>47.637216040837401</v>
      </c>
      <c r="AK6894">
        <v>23.7862047452947</v>
      </c>
      <c r="AL6894">
        <v>79.628311467610004</v>
      </c>
      <c r="AM6894">
        <v>62.7282636207755</v>
      </c>
      <c r="AN6894">
        <v>0.99999992941262705</v>
      </c>
    </row>
    <row r="6895" spans="1:40" x14ac:dyDescent="0.25">
      <c r="A6895" t="str">
        <f>"20190303162955181"</f>
        <v>20190303162955181</v>
      </c>
      <c r="B6895" t="str">
        <f>"1551601795168753"</f>
        <v>1551601795168753</v>
      </c>
      <c r="C6895" t="s">
        <v>40</v>
      </c>
      <c r="D6895">
        <v>5.4446029999999999</v>
      </c>
      <c r="E6895">
        <v>0.60572060000000005</v>
      </c>
      <c r="F6895" t="s">
        <v>41</v>
      </c>
      <c r="G6895">
        <v>-169.387</v>
      </c>
      <c r="H6895" s="1">
        <v>-1.4027689999999999E-6</v>
      </c>
      <c r="I6895">
        <v>135.1696</v>
      </c>
      <c r="J6895">
        <v>-187.44309999999999</v>
      </c>
      <c r="K6895">
        <v>1.115092</v>
      </c>
      <c r="L6895">
        <v>118.8933</v>
      </c>
      <c r="M6895">
        <v>9.7770919999999997E-2</v>
      </c>
      <c r="N6895">
        <v>-1.2362059999999999E-2</v>
      </c>
      <c r="O6895">
        <v>0.99513209999999996</v>
      </c>
      <c r="P6895">
        <v>0.53107649999999995</v>
      </c>
      <c r="Q6895">
        <v>0.17455580000000001</v>
      </c>
      <c r="R6895">
        <v>0.82914889999999997</v>
      </c>
      <c r="S6895">
        <v>2.3557739999999998</v>
      </c>
      <c r="T6895">
        <v>-0.14535310000000001</v>
      </c>
      <c r="U6895">
        <v>2.144012</v>
      </c>
      <c r="V6895">
        <v>0.45016149999999999</v>
      </c>
      <c r="W6895">
        <v>0.1787224</v>
      </c>
      <c r="X6895">
        <v>0.87487879999999996</v>
      </c>
      <c r="Y6895">
        <v>0.66955969999999998</v>
      </c>
      <c r="Z6895">
        <v>-3.5253140000000002E-2</v>
      </c>
      <c r="AA6895">
        <v>0.74192119999999995</v>
      </c>
      <c r="AB6895">
        <v>33</v>
      </c>
      <c r="AC6895">
        <v>18.056099999999901</v>
      </c>
      <c r="AD6895">
        <v>-1.115093402769</v>
      </c>
      <c r="AE6895">
        <v>16.276299999999999</v>
      </c>
      <c r="AF6895">
        <v>16.343718669244701</v>
      </c>
      <c r="AG6895">
        <v>-1.115093402769</v>
      </c>
      <c r="AH6895">
        <v>17.926084612885099</v>
      </c>
      <c r="AI6895">
        <v>92.631898791514402</v>
      </c>
      <c r="AJ6895">
        <v>47.643684300232898</v>
      </c>
      <c r="AK6895">
        <v>24.2838440693526</v>
      </c>
      <c r="AL6895">
        <v>79.704647869456494</v>
      </c>
      <c r="AM6895">
        <v>62.772297058969897</v>
      </c>
      <c r="AN6895">
        <v>0.99999999351672497</v>
      </c>
    </row>
    <row r="6896" spans="1:40" x14ac:dyDescent="0.25">
      <c r="A6896" t="str">
        <f>"20190303162955192"</f>
        <v>20190303162955192</v>
      </c>
      <c r="B6896" t="str">
        <f>"1551601795189249"</f>
        <v>1551601795189249</v>
      </c>
      <c r="C6896" t="s">
        <v>40</v>
      </c>
      <c r="D6896">
        <v>5.240265</v>
      </c>
      <c r="E6896">
        <v>0.56418469999999998</v>
      </c>
      <c r="F6896" t="s">
        <v>41</v>
      </c>
      <c r="G6896">
        <v>-169.17240000000001</v>
      </c>
      <c r="H6896" s="1">
        <v>-1.4063049999999999E-6</v>
      </c>
      <c r="I6896">
        <v>135.46610000000001</v>
      </c>
      <c r="J6896">
        <v>-187.42439999999999</v>
      </c>
      <c r="K6896">
        <v>1.1149020000000001</v>
      </c>
      <c r="L6896">
        <v>119.0485</v>
      </c>
      <c r="M6896">
        <v>0.1015493</v>
      </c>
      <c r="N6896">
        <v>-1.238847E-2</v>
      </c>
      <c r="O6896">
        <v>0.99475340000000001</v>
      </c>
      <c r="P6896">
        <v>0.53283859999999905</v>
      </c>
      <c r="Q6896">
        <v>0.1744281</v>
      </c>
      <c r="R6896">
        <v>0.82804460000000002</v>
      </c>
      <c r="S6896">
        <v>2.3575590000000002</v>
      </c>
      <c r="T6896">
        <v>-0.1438855</v>
      </c>
      <c r="U6896">
        <v>2.138458</v>
      </c>
      <c r="V6896">
        <v>0.44877630000000002</v>
      </c>
      <c r="W6896">
        <v>0.17843619999999999</v>
      </c>
      <c r="X6896">
        <v>0.875648599999999</v>
      </c>
      <c r="Y6896">
        <v>0.66798880000000005</v>
      </c>
      <c r="Z6896">
        <v>-3.4852569999999999E-2</v>
      </c>
      <c r="AA6896">
        <v>0.74335479999999998</v>
      </c>
      <c r="AB6896">
        <v>33</v>
      </c>
      <c r="AC6896">
        <v>18.251999999999899</v>
      </c>
      <c r="AD6896">
        <v>-1.1149034063050001</v>
      </c>
      <c r="AE6896">
        <v>16.4176</v>
      </c>
      <c r="AF6896">
        <v>16.4563670728852</v>
      </c>
      <c r="AG6896">
        <v>-1.1149034063050001</v>
      </c>
      <c r="AH6896">
        <v>18.148904300672001</v>
      </c>
      <c r="AI6896">
        <v>92.605638963450801</v>
      </c>
      <c r="AJ6896">
        <v>47.800094312349003</v>
      </c>
      <c r="AK6896">
        <v>24.524227901360799</v>
      </c>
      <c r="AL6896">
        <v>79.721314486043198</v>
      </c>
      <c r="AM6896">
        <v>62.8645291117491</v>
      </c>
      <c r="AN6896">
        <v>1.00000005779704</v>
      </c>
    </row>
    <row r="6897" spans="1:40" x14ac:dyDescent="0.25">
      <c r="A6897" t="str">
        <f>"20190303162955203"</f>
        <v>20190303162955203</v>
      </c>
      <c r="B6897" t="str">
        <f>"1551601795199009"</f>
        <v>1551601795199009</v>
      </c>
      <c r="C6897" t="s">
        <v>40</v>
      </c>
      <c r="D6897">
        <v>5.2744559999999998</v>
      </c>
      <c r="E6897">
        <v>0.55425939999999996</v>
      </c>
      <c r="F6897" t="s">
        <v>41</v>
      </c>
      <c r="G6897">
        <v>-164.15459999999999</v>
      </c>
      <c r="H6897" s="1">
        <v>-4.0432679999999999E-6</v>
      </c>
      <c r="I6897">
        <v>144.84460000000001</v>
      </c>
      <c r="J6897">
        <v>-187.4032</v>
      </c>
      <c r="K6897">
        <v>1.1146849999999999</v>
      </c>
      <c r="L6897">
        <v>119.22190000000001</v>
      </c>
      <c r="M6897">
        <v>0.10582519999999999</v>
      </c>
      <c r="N6897">
        <v>-1.241716E-2</v>
      </c>
      <c r="O6897">
        <v>0.99430719999999995</v>
      </c>
      <c r="P6897">
        <v>0.535215</v>
      </c>
      <c r="Q6897">
        <v>0.17559169999999999</v>
      </c>
      <c r="R6897">
        <v>0.8262642</v>
      </c>
      <c r="S6897">
        <v>2.0798489999999998</v>
      </c>
      <c r="T6897">
        <v>-9.9650030000000001E-2</v>
      </c>
      <c r="U6897">
        <v>2.3056489999999998</v>
      </c>
      <c r="V6897">
        <v>0.44766299999999998</v>
      </c>
      <c r="W6897">
        <v>0.17940970000000001</v>
      </c>
      <c r="X6897">
        <v>0.8760194</v>
      </c>
      <c r="Y6897">
        <v>0.58718009999999998</v>
      </c>
      <c r="Z6897">
        <v>-2.108148E-2</v>
      </c>
      <c r="AA6897">
        <v>0.809181699999999</v>
      </c>
      <c r="AB6897">
        <v>33</v>
      </c>
      <c r="AC6897">
        <v>23.2486</v>
      </c>
      <c r="AD6897">
        <v>-1.1146890432679999</v>
      </c>
      <c r="AE6897">
        <v>25.622699999999998</v>
      </c>
      <c r="AF6897">
        <v>20.3851364057168</v>
      </c>
      <c r="AG6897">
        <v>-1.1146890432679999</v>
      </c>
      <c r="AH6897">
        <v>27.910305831650899</v>
      </c>
      <c r="AI6897">
        <v>91.847250073321206</v>
      </c>
      <c r="AJ6897">
        <v>53.856345341960598</v>
      </c>
      <c r="AK6897">
        <v>34.580073591002503</v>
      </c>
      <c r="AL6897">
        <v>79.6646215573641</v>
      </c>
      <c r="AM6897">
        <v>62.932081437307197</v>
      </c>
      <c r="AN6897">
        <v>0.99999999559972497</v>
      </c>
    </row>
    <row r="6898" spans="1:40" x14ac:dyDescent="0.25">
      <c r="A6898" t="str">
        <f>"20190303162955214"</f>
        <v>20190303162955214</v>
      </c>
      <c r="B6898" t="str">
        <f>"1551601795208769"</f>
        <v>1551601795208769</v>
      </c>
      <c r="C6898" t="s">
        <v>40</v>
      </c>
      <c r="D6898">
        <v>5.5142989999999896</v>
      </c>
      <c r="E6898">
        <v>0.54884869999999997</v>
      </c>
      <c r="F6898" t="s">
        <v>41</v>
      </c>
      <c r="G6898">
        <v>-169.80189999999999</v>
      </c>
      <c r="H6898" s="1">
        <v>-8.2866159999999994E-8</v>
      </c>
      <c r="I6898">
        <v>139.64920000000001</v>
      </c>
      <c r="J6898">
        <v>-187.38130000000001</v>
      </c>
      <c r="K6898">
        <v>1.114465</v>
      </c>
      <c r="L6898">
        <v>119.3891</v>
      </c>
      <c r="M6898">
        <v>0.1101681</v>
      </c>
      <c r="N6898">
        <v>-1.244781E-2</v>
      </c>
      <c r="O6898">
        <v>0.99383500000000002</v>
      </c>
      <c r="P6898">
        <v>0.5376765</v>
      </c>
      <c r="Q6898">
        <v>0.17653489999999999</v>
      </c>
      <c r="R6898">
        <v>0.82446309999999901</v>
      </c>
      <c r="S6898">
        <v>2.0229029999999999</v>
      </c>
      <c r="T6898">
        <v>-0.12811019999999901</v>
      </c>
      <c r="U6898">
        <v>2.347702</v>
      </c>
      <c r="V6898">
        <v>0.44657560000000002</v>
      </c>
      <c r="W6898">
        <v>0.18017330000000001</v>
      </c>
      <c r="X6898">
        <v>0.87641759999999902</v>
      </c>
      <c r="Y6898">
        <v>0.56485430000000003</v>
      </c>
      <c r="Z6898">
        <v>-3.052274E-2</v>
      </c>
      <c r="AA6898">
        <v>0.82462599999999997</v>
      </c>
      <c r="AB6898">
        <v>33</v>
      </c>
      <c r="AC6898">
        <v>17.5794</v>
      </c>
      <c r="AD6898">
        <v>-1.11446508286616</v>
      </c>
      <c r="AE6898">
        <v>20.260100000000001</v>
      </c>
      <c r="AF6898">
        <v>15.2139246139819</v>
      </c>
      <c r="AG6898">
        <v>-1.11446508286616</v>
      </c>
      <c r="AH6898">
        <v>22.035557780231301</v>
      </c>
      <c r="AI6898">
        <v>92.383252581887007</v>
      </c>
      <c r="AJ6898">
        <v>55.3777876998682</v>
      </c>
      <c r="AK6898">
        <v>26.800584718747501</v>
      </c>
      <c r="AL6898">
        <v>79.620145769383598</v>
      </c>
      <c r="AM6898">
        <v>62.999038370296397</v>
      </c>
      <c r="AN6898">
        <v>0.999999997069005</v>
      </c>
    </row>
    <row r="6899" spans="1:40" x14ac:dyDescent="0.25">
      <c r="A6899" t="str">
        <f>"20190303162955226"</f>
        <v>20190303162955226</v>
      </c>
      <c r="B6899" t="str">
        <f>"1551601795218528"</f>
        <v>1551601795218528</v>
      </c>
      <c r="C6899" t="s">
        <v>40</v>
      </c>
      <c r="D6899">
        <v>5.2690799999999998</v>
      </c>
      <c r="E6899">
        <v>0.54531450000000004</v>
      </c>
      <c r="F6899" t="s">
        <v>56</v>
      </c>
      <c r="G6899">
        <v>-173.7063</v>
      </c>
      <c r="H6899" s="1">
        <v>-3.7459410000000001E-6</v>
      </c>
      <c r="I6899">
        <v>135.62350000000001</v>
      </c>
      <c r="J6899">
        <v>-187.35980000000001</v>
      </c>
      <c r="K6899">
        <v>1.114258</v>
      </c>
      <c r="L6899">
        <v>119.5501</v>
      </c>
      <c r="M6899">
        <v>0.1144039</v>
      </c>
      <c r="N6899">
        <v>-1.247648E-2</v>
      </c>
      <c r="O6899">
        <v>0.99335600000000002</v>
      </c>
      <c r="P6899">
        <v>0.54068680000000002</v>
      </c>
      <c r="Q6899">
        <v>0.1728374</v>
      </c>
      <c r="R6899">
        <v>0.82327700000000004</v>
      </c>
      <c r="S6899">
        <v>1.9972380000000001</v>
      </c>
      <c r="T6899">
        <v>-0.16276869999999999</v>
      </c>
      <c r="U6899">
        <v>2.371048</v>
      </c>
      <c r="V6899">
        <v>0.44597969999999998</v>
      </c>
      <c r="W6899">
        <v>0.1763034</v>
      </c>
      <c r="X6899">
        <v>0.87750740000000005</v>
      </c>
      <c r="Y6899">
        <v>0.55175090000000004</v>
      </c>
      <c r="Z6899">
        <v>-4.1943500000000002E-2</v>
      </c>
      <c r="AA6899">
        <v>0.83295359999999996</v>
      </c>
      <c r="AB6899">
        <v>33</v>
      </c>
      <c r="AC6899">
        <v>13.653499999999999</v>
      </c>
      <c r="AD6899">
        <v>-1.114261745941</v>
      </c>
      <c r="AE6899">
        <v>16.073399999999999</v>
      </c>
      <c r="AF6899">
        <v>11.6922000457894</v>
      </c>
      <c r="AG6899">
        <v>-1.114261745941</v>
      </c>
      <c r="AH6899">
        <v>17.481187272081499</v>
      </c>
      <c r="AI6899">
        <v>93.032814008513199</v>
      </c>
      <c r="AJ6899">
        <v>56.223623422740602</v>
      </c>
      <c r="AK6899">
        <v>21.060413803883499</v>
      </c>
      <c r="AL6899">
        <v>79.845483239957204</v>
      </c>
      <c r="AM6899">
        <v>63.058743109631401</v>
      </c>
      <c r="AN6899">
        <v>1.0000000093592001</v>
      </c>
    </row>
    <row r="6900" spans="1:40" x14ac:dyDescent="0.25">
      <c r="A6900" t="str">
        <f>"20190303162955236"</f>
        <v>20190303162955236</v>
      </c>
      <c r="B6900" t="str">
        <f>"1551601795229265"</f>
        <v>1551601795229265</v>
      </c>
      <c r="C6900" t="s">
        <v>40</v>
      </c>
      <c r="D6900">
        <v>5.2022539999999999</v>
      </c>
      <c r="E6900">
        <v>0.54304110000000005</v>
      </c>
      <c r="F6900" t="s">
        <v>56</v>
      </c>
      <c r="G6900">
        <v>-175.1771</v>
      </c>
      <c r="H6900" s="1">
        <v>-3.9035209999999999E-6</v>
      </c>
      <c r="I6900">
        <v>134.18199999999999</v>
      </c>
      <c r="J6900">
        <v>-187.33799999999999</v>
      </c>
      <c r="K6900">
        <v>1.1140479999999999</v>
      </c>
      <c r="L6900">
        <v>119.70610000000001</v>
      </c>
      <c r="M6900">
        <v>0.11865589999999999</v>
      </c>
      <c r="N6900">
        <v>-1.2505809999999999E-2</v>
      </c>
      <c r="O6900">
        <v>0.99285670000000004</v>
      </c>
      <c r="P6900">
        <v>0.54431989999999997</v>
      </c>
      <c r="Q6900">
        <v>0.17033129999999999</v>
      </c>
      <c r="R6900">
        <v>0.821403199999999</v>
      </c>
      <c r="S6900">
        <v>1.9819640000000001</v>
      </c>
      <c r="T6900">
        <v>-0.18127599999999999</v>
      </c>
      <c r="U6900">
        <v>2.380417</v>
      </c>
      <c r="V6900">
        <v>0.44607959999999902</v>
      </c>
      <c r="W6900">
        <v>0.1736161</v>
      </c>
      <c r="X6900">
        <v>0.87799229999999995</v>
      </c>
      <c r="Y6900">
        <v>0.54319869999999904</v>
      </c>
      <c r="Z6900">
        <v>-4.8099570000000001E-2</v>
      </c>
      <c r="AA6900">
        <v>0.8382252</v>
      </c>
      <c r="AB6900">
        <v>33</v>
      </c>
      <c r="AC6900">
        <v>12.1608999999999</v>
      </c>
      <c r="AD6900">
        <v>-1.1140519035209999</v>
      </c>
      <c r="AE6900">
        <v>14.475899999999999</v>
      </c>
      <c r="AF6900">
        <v>10.3213516832887</v>
      </c>
      <c r="AG6900">
        <v>-1.1140519035209999</v>
      </c>
      <c r="AH6900">
        <v>15.761964168518</v>
      </c>
      <c r="AI6900">
        <v>93.383973526217204</v>
      </c>
      <c r="AJ6900">
        <v>56.782158488002302</v>
      </c>
      <c r="AK6900">
        <v>18.873550981824099</v>
      </c>
      <c r="AL6900">
        <v>80.001866457191795</v>
      </c>
      <c r="AM6900">
        <v>63.066343593153498</v>
      </c>
      <c r="AN6900">
        <v>1.00000001928732</v>
      </c>
    </row>
    <row r="6901" spans="1:40" x14ac:dyDescent="0.25">
      <c r="A6901" t="str">
        <f>"20190303162955247"</f>
        <v>20190303162955247</v>
      </c>
      <c r="B6901" t="str">
        <f>"1551601795239025"</f>
        <v>1551601795239025</v>
      </c>
      <c r="C6901" t="s">
        <v>40</v>
      </c>
      <c r="D6901">
        <v>5.1681140000000001</v>
      </c>
      <c r="E6901">
        <v>0.54184060000000001</v>
      </c>
      <c r="F6901" t="s">
        <v>56</v>
      </c>
      <c r="G6901">
        <v>-175.38659999999999</v>
      </c>
      <c r="H6901" s="1">
        <v>-4.0189109999999998E-6</v>
      </c>
      <c r="I6901">
        <v>134.1096</v>
      </c>
      <c r="J6901">
        <v>-187.31559999999999</v>
      </c>
      <c r="K6901">
        <v>1.1138349999999999</v>
      </c>
      <c r="L6901">
        <v>119.8623</v>
      </c>
      <c r="M6901">
        <v>0.1229922</v>
      </c>
      <c r="N6901">
        <v>-1.2534899999999899E-2</v>
      </c>
      <c r="O6901">
        <v>0.99232849999999995</v>
      </c>
      <c r="P6901">
        <v>0.54810080000000005</v>
      </c>
      <c r="Q6901">
        <v>0.16804720000000001</v>
      </c>
      <c r="R6901">
        <v>0.81935689999999906</v>
      </c>
      <c r="S6901">
        <v>1.9758</v>
      </c>
      <c r="T6901">
        <v>-0.18417439999999999</v>
      </c>
      <c r="U6901">
        <v>2.3811650000000002</v>
      </c>
      <c r="V6901">
        <v>0.44627620000000001</v>
      </c>
      <c r="W6901">
        <v>0.1711482</v>
      </c>
      <c r="X6901">
        <v>0.87837679999999996</v>
      </c>
      <c r="Y6901">
        <v>0.53807680000000002</v>
      </c>
      <c r="Z6901">
        <v>-4.9133759999999999E-2</v>
      </c>
      <c r="AA6901">
        <v>0.84146259999999995</v>
      </c>
      <c r="AB6901">
        <v>33</v>
      </c>
      <c r="AC6901">
        <v>11.929</v>
      </c>
      <c r="AD6901">
        <v>-1.1138390189109999</v>
      </c>
      <c r="AE6901">
        <v>14.2472999999999</v>
      </c>
      <c r="AF6901">
        <v>10.0498622092849</v>
      </c>
      <c r="AG6901">
        <v>-1.1138390189109999</v>
      </c>
      <c r="AH6901">
        <v>15.5505274006234</v>
      </c>
      <c r="AI6901">
        <v>93.442625460736295</v>
      </c>
      <c r="AJ6901">
        <v>57.126566961961501</v>
      </c>
      <c r="AK6901">
        <v>18.5488347403065</v>
      </c>
      <c r="AL6901">
        <v>80.145415247406405</v>
      </c>
      <c r="AM6901">
        <v>63.0662788925939</v>
      </c>
      <c r="AN6901">
        <v>0.999999977913959</v>
      </c>
    </row>
    <row r="6902" spans="1:40" x14ac:dyDescent="0.25">
      <c r="A6902" t="str">
        <f>"20190303162955258"</f>
        <v>20190303162955258</v>
      </c>
      <c r="B6902" t="str">
        <f>"1551601795248785"</f>
        <v>1551601795248785</v>
      </c>
      <c r="C6902" t="s">
        <v>40</v>
      </c>
      <c r="D6902">
        <v>5.1499249999999996</v>
      </c>
      <c r="E6902">
        <v>0.54111100000000001</v>
      </c>
      <c r="F6902" t="s">
        <v>56</v>
      </c>
      <c r="G6902">
        <v>-175.65180000000001</v>
      </c>
      <c r="H6902" s="1">
        <v>-4.1159309999999996E-6</v>
      </c>
      <c r="I6902">
        <v>133.88849999999999</v>
      </c>
      <c r="J6902">
        <v>-187.29</v>
      </c>
      <c r="K6902">
        <v>1.1136060000000001</v>
      </c>
      <c r="L6902">
        <v>120.0334</v>
      </c>
      <c r="M6902">
        <v>0.1278765</v>
      </c>
      <c r="N6902">
        <v>-1.256729E-2</v>
      </c>
      <c r="O6902">
        <v>0.99171050000000005</v>
      </c>
      <c r="P6902">
        <v>0.55268759999999995</v>
      </c>
      <c r="Q6902">
        <v>0.16626729999999901</v>
      </c>
      <c r="R6902">
        <v>0.81663430000000004</v>
      </c>
      <c r="S6902">
        <v>1.9771270000000001</v>
      </c>
      <c r="T6902">
        <v>-0.18880720000000001</v>
      </c>
      <c r="U6902">
        <v>2.3775789999999999</v>
      </c>
      <c r="V6902">
        <v>0.4468895</v>
      </c>
      <c r="W6902">
        <v>0.1691559</v>
      </c>
      <c r="X6902">
        <v>0.87845090000000003</v>
      </c>
      <c r="Y6902">
        <v>0.53477219999999903</v>
      </c>
      <c r="Z6902">
        <v>-5.0729120000000003E-2</v>
      </c>
      <c r="AA6902">
        <v>0.84347209999999995</v>
      </c>
      <c r="AB6902">
        <v>33</v>
      </c>
      <c r="AC6902">
        <v>11.6381999999999</v>
      </c>
      <c r="AD6902">
        <v>-1.1136101159309999</v>
      </c>
      <c r="AE6902">
        <v>13.855099999999901</v>
      </c>
      <c r="AF6902">
        <v>9.7338860322469394</v>
      </c>
      <c r="AG6902">
        <v>-1.1136101159309999</v>
      </c>
      <c r="AH6902">
        <v>15.1722352914901</v>
      </c>
      <c r="AI6902">
        <v>93.535079004623299</v>
      </c>
      <c r="AJ6902">
        <v>57.317428194757603</v>
      </c>
      <c r="AK6902">
        <v>18.060603215823502</v>
      </c>
      <c r="AL6902">
        <v>80.261254706951803</v>
      </c>
      <c r="AM6902">
        <v>63.036444084139198</v>
      </c>
      <c r="AN6902">
        <v>0.99999996371293398</v>
      </c>
    </row>
    <row r="6903" spans="1:40" x14ac:dyDescent="0.25">
      <c r="A6903" t="str">
        <f>"20190303162955270"</f>
        <v>20190303162955270</v>
      </c>
      <c r="B6903" t="str">
        <f>"1551601795258545"</f>
        <v>1551601795258545</v>
      </c>
      <c r="C6903" t="s">
        <v>40</v>
      </c>
      <c r="D6903">
        <v>5.2363720000000002</v>
      </c>
      <c r="E6903">
        <v>0.54094399999999998</v>
      </c>
      <c r="F6903" t="s">
        <v>56</v>
      </c>
      <c r="G6903">
        <v>-175.89189999999999</v>
      </c>
      <c r="H6903" s="1">
        <v>-4.1919319999999997E-6</v>
      </c>
      <c r="I6903">
        <v>133.65719999999999</v>
      </c>
      <c r="J6903">
        <v>-187.26660000000001</v>
      </c>
      <c r="K6903">
        <v>1.1134040000000001</v>
      </c>
      <c r="L6903">
        <v>120.1845</v>
      </c>
      <c r="M6903">
        <v>0.1323193</v>
      </c>
      <c r="N6903">
        <v>-1.259824E-2</v>
      </c>
      <c r="O6903">
        <v>0.99112710000000004</v>
      </c>
      <c r="P6903">
        <v>0.55681210000000003</v>
      </c>
      <c r="Q6903">
        <v>0.16488829999999999</v>
      </c>
      <c r="R6903">
        <v>0.81410819999999995</v>
      </c>
      <c r="S6903">
        <v>1.983414</v>
      </c>
      <c r="T6903">
        <v>-0.19378129999999999</v>
      </c>
      <c r="U6903">
        <v>2.3707120000000002</v>
      </c>
      <c r="V6903">
        <v>0.44741399999999998</v>
      </c>
      <c r="W6903">
        <v>0.16758879999999901</v>
      </c>
      <c r="X6903">
        <v>0.8784843</v>
      </c>
      <c r="Y6903">
        <v>0.53344380000000002</v>
      </c>
      <c r="Z6903">
        <v>-5.2431749999999999E-2</v>
      </c>
      <c r="AA6903">
        <v>0.84420879999999998</v>
      </c>
      <c r="AB6903">
        <v>33</v>
      </c>
      <c r="AC6903">
        <v>11.374700000000001</v>
      </c>
      <c r="AD6903">
        <v>-1.113408191932</v>
      </c>
      <c r="AE6903">
        <v>13.4726999999999</v>
      </c>
      <c r="AF6903">
        <v>9.4541307138222894</v>
      </c>
      <c r="AG6903">
        <v>-1.113408191932</v>
      </c>
      <c r="AH6903">
        <v>14.8004139506253</v>
      </c>
      <c r="AI6903">
        <v>93.627570808864704</v>
      </c>
      <c r="AJ6903">
        <v>57.430587192465403</v>
      </c>
      <c r="AK6903">
        <v>17.5975145536454</v>
      </c>
      <c r="AL6903">
        <v>80.352343518952296</v>
      </c>
      <c r="AM6903">
        <v>63.010155108018203</v>
      </c>
      <c r="AN6903">
        <v>0.999999979313964</v>
      </c>
    </row>
    <row r="6904" spans="1:40" x14ac:dyDescent="0.25">
      <c r="A6904" t="str">
        <f>"20190303162955280"</f>
        <v>20190303162955280</v>
      </c>
      <c r="B6904" t="str">
        <f>"1551601795269282"</f>
        <v>1551601795269282</v>
      </c>
      <c r="C6904" t="s">
        <v>40</v>
      </c>
      <c r="D6904">
        <v>5.131208</v>
      </c>
      <c r="E6904">
        <v>0.54066340000000002</v>
      </c>
      <c r="F6904" t="s">
        <v>56</v>
      </c>
      <c r="G6904">
        <v>-176.7577</v>
      </c>
      <c r="H6904" s="1">
        <v>-4.3989889999999996E-6</v>
      </c>
      <c r="I6904">
        <v>132.6465</v>
      </c>
      <c r="J6904">
        <v>-187.23939999999999</v>
      </c>
      <c r="K6904">
        <v>1.1131789999999999</v>
      </c>
      <c r="L6904">
        <v>120.3553</v>
      </c>
      <c r="M6904">
        <v>0.1374242</v>
      </c>
      <c r="N6904">
        <v>-1.2633790000000001E-2</v>
      </c>
      <c r="O6904">
        <v>0.99043170000000003</v>
      </c>
      <c r="P6904">
        <v>0.56170569999999997</v>
      </c>
      <c r="Q6904">
        <v>0.1630066</v>
      </c>
      <c r="R6904">
        <v>0.81111999999999995</v>
      </c>
      <c r="S6904">
        <v>1.993698</v>
      </c>
      <c r="T6904">
        <v>-0.2112311</v>
      </c>
      <c r="U6904">
        <v>2.3642270000000001</v>
      </c>
      <c r="V6904">
        <v>0.44818069999999999</v>
      </c>
      <c r="W6904">
        <v>0.16548950000000001</v>
      </c>
      <c r="X6904">
        <v>0.87849149999999998</v>
      </c>
      <c r="Y6904">
        <v>0.53215590000000002</v>
      </c>
      <c r="Z6904">
        <v>-5.821225E-2</v>
      </c>
      <c r="AA6904">
        <v>0.84464280000000003</v>
      </c>
      <c r="AB6904">
        <v>33</v>
      </c>
      <c r="AC6904">
        <v>10.481699999999901</v>
      </c>
      <c r="AD6904">
        <v>-1.1131833989890001</v>
      </c>
      <c r="AE6904">
        <v>12.2912</v>
      </c>
      <c r="AF6904">
        <v>8.6519064381418307</v>
      </c>
      <c r="AG6904">
        <v>-1.1131833989890001</v>
      </c>
      <c r="AH6904">
        <v>13.5507688281431</v>
      </c>
      <c r="AI6904">
        <v>93.960812553847404</v>
      </c>
      <c r="AJ6904">
        <v>57.442548049115402</v>
      </c>
      <c r="AK6904">
        <v>16.115768617348699</v>
      </c>
      <c r="AL6904">
        <v>80.474328453345294</v>
      </c>
      <c r="AM6904">
        <v>62.970653388110499</v>
      </c>
      <c r="AN6904">
        <v>1.0000000150174899</v>
      </c>
    </row>
    <row r="6905" spans="1:40" x14ac:dyDescent="0.25">
      <c r="A6905" t="str">
        <f>"20190303162955293"</f>
        <v>20190303162955293</v>
      </c>
      <c r="B6905" t="str">
        <f>"1551601795288801"</f>
        <v>1551601795288801</v>
      </c>
      <c r="C6905" t="s">
        <v>40</v>
      </c>
      <c r="D6905">
        <v>5.1171569999999997</v>
      </c>
      <c r="E6905">
        <v>0.54050549999999997</v>
      </c>
      <c r="F6905" t="s">
        <v>56</v>
      </c>
      <c r="G6905">
        <v>-177.19990000000001</v>
      </c>
      <c r="H6905" s="1">
        <v>-4.5092029999999998E-6</v>
      </c>
      <c r="I6905">
        <v>132.1421</v>
      </c>
      <c r="J6905">
        <v>-187.2099</v>
      </c>
      <c r="K6905">
        <v>1.1129469999999999</v>
      </c>
      <c r="L6905">
        <v>120.5311</v>
      </c>
      <c r="M6905">
        <v>0.14289079999999901</v>
      </c>
      <c r="N6905">
        <v>-1.267562E-2</v>
      </c>
      <c r="O6905">
        <v>0.98965729999999996</v>
      </c>
      <c r="P6905">
        <v>0.56617209999999996</v>
      </c>
      <c r="Q6905">
        <v>0.1621071</v>
      </c>
      <c r="R6905">
        <v>0.80818959999999995</v>
      </c>
      <c r="S6905">
        <v>2.0054630000000002</v>
      </c>
      <c r="T6905">
        <v>-0.22236539999999999</v>
      </c>
      <c r="U6905">
        <v>2.354492</v>
      </c>
      <c r="V6905">
        <v>0.44822519999999999</v>
      </c>
      <c r="W6905">
        <v>0.1643819</v>
      </c>
      <c r="X6905">
        <v>0.87867669999999998</v>
      </c>
      <c r="Y6905">
        <v>0.53149979999999997</v>
      </c>
      <c r="Z6905">
        <v>-6.1936159999999997E-2</v>
      </c>
      <c r="AA6905">
        <v>0.84479110000000002</v>
      </c>
      <c r="AB6905">
        <v>33</v>
      </c>
      <c r="AC6905">
        <v>10.0099999999999</v>
      </c>
      <c r="AD6905">
        <v>-1.112951509203</v>
      </c>
      <c r="AE6905">
        <v>11.611000000000001</v>
      </c>
      <c r="AF6905">
        <v>8.2047832953767408</v>
      </c>
      <c r="AG6905">
        <v>-1.112951509203</v>
      </c>
      <c r="AH6905">
        <v>12.8545353281727</v>
      </c>
      <c r="AI6905">
        <v>94.174114664184103</v>
      </c>
      <c r="AJ6905">
        <v>57.450754221372001</v>
      </c>
      <c r="AK6905">
        <v>15.290395955931601</v>
      </c>
      <c r="AL6905">
        <v>80.538670240002304</v>
      </c>
      <c r="AM6905">
        <v>62.973239612821999</v>
      </c>
      <c r="AN6905">
        <v>0.99999999104277004</v>
      </c>
    </row>
    <row r="6906" spans="1:40" x14ac:dyDescent="0.25">
      <c r="A6906" t="str">
        <f>"20190303162955306"</f>
        <v>20190303162955306</v>
      </c>
      <c r="B6906" t="str">
        <f>"1551601795298561"</f>
        <v>1551601795298561</v>
      </c>
      <c r="C6906" t="s">
        <v>40</v>
      </c>
      <c r="D6906">
        <v>5.1611919999999998</v>
      </c>
      <c r="E6906">
        <v>0.54061300000000001</v>
      </c>
      <c r="F6906" t="s">
        <v>56</v>
      </c>
      <c r="G6906">
        <v>-177.5052</v>
      </c>
      <c r="H6906" s="1">
        <v>-4.5891870000000003E-6</v>
      </c>
      <c r="I6906">
        <v>131.804</v>
      </c>
      <c r="J6906">
        <v>-187.17769999999999</v>
      </c>
      <c r="K6906">
        <v>1.1126940000000001</v>
      </c>
      <c r="L6906">
        <v>120.71850000000001</v>
      </c>
      <c r="M6906">
        <v>0.14882049999999999</v>
      </c>
      <c r="N6906">
        <v>-1.2720749999999999E-2</v>
      </c>
      <c r="O6906">
        <v>0.98878239999999995</v>
      </c>
      <c r="P6906">
        <v>0.57093579999999999</v>
      </c>
      <c r="Q6906">
        <v>0.16176969999999999</v>
      </c>
      <c r="R6906">
        <v>0.80489929999999998</v>
      </c>
      <c r="S6906">
        <v>2.0183559999999998</v>
      </c>
      <c r="T6906">
        <v>-0.23146710000000001</v>
      </c>
      <c r="U6906">
        <v>2.3444980000000002</v>
      </c>
      <c r="V6906">
        <v>0.4482293</v>
      </c>
      <c r="W6906">
        <v>0.16382079999999999</v>
      </c>
      <c r="X6906">
        <v>0.87877939999999999</v>
      </c>
      <c r="Y6906">
        <v>0.53074259999999995</v>
      </c>
      <c r="Z6906">
        <v>-6.4975489999999997E-2</v>
      </c>
      <c r="AA6906">
        <v>0.84503869999999903</v>
      </c>
      <c r="AB6906">
        <v>33</v>
      </c>
      <c r="AC6906">
        <v>9.6724999999999799</v>
      </c>
      <c r="AD6906">
        <v>-1.112698589187</v>
      </c>
      <c r="AE6906">
        <v>11.0854999999999</v>
      </c>
      <c r="AF6906">
        <v>7.8698718078207301</v>
      </c>
      <c r="AG6906">
        <v>-1.112698589187</v>
      </c>
      <c r="AH6906">
        <v>12.3310815951811</v>
      </c>
      <c r="AI6906">
        <v>94.349781938400994</v>
      </c>
      <c r="AJ6906">
        <v>57.4534014830949</v>
      </c>
      <c r="AK6906">
        <v>14.670669845952</v>
      </c>
      <c r="AL6906">
        <v>80.571260771483097</v>
      </c>
      <c r="AM6906">
        <v>62.975737960418897</v>
      </c>
      <c r="AN6906">
        <v>0.99999999687774499</v>
      </c>
    </row>
    <row r="6907" spans="1:40" x14ac:dyDescent="0.25">
      <c r="A6907" t="str">
        <f>"20190303162955320"</f>
        <v>20190303162955320</v>
      </c>
      <c r="B6907" t="str">
        <f>"1551601795309297"</f>
        <v>1551601795309297</v>
      </c>
      <c r="C6907" t="s">
        <v>40</v>
      </c>
      <c r="D6907">
        <v>5.1320329999999998</v>
      </c>
      <c r="E6907">
        <v>0.54058779999999995</v>
      </c>
      <c r="F6907" t="s">
        <v>56</v>
      </c>
      <c r="G6907">
        <v>-177.5291</v>
      </c>
      <c r="H6907" s="1">
        <v>-4.5941919999999998E-6</v>
      </c>
      <c r="I6907">
        <v>131.77420000000001</v>
      </c>
      <c r="J6907">
        <v>-187.143</v>
      </c>
      <c r="K6907">
        <v>1.112436</v>
      </c>
      <c r="L6907">
        <v>120.9117</v>
      </c>
      <c r="M6907">
        <v>0.15514429999999901</v>
      </c>
      <c r="N6907">
        <v>-1.277112E-2</v>
      </c>
      <c r="O6907">
        <v>0.98780919999999905</v>
      </c>
      <c r="P6907">
        <v>0.57557029999999998</v>
      </c>
      <c r="Q6907">
        <v>0.16093679999999999</v>
      </c>
      <c r="R6907">
        <v>0.80175940000000001</v>
      </c>
      <c r="S6907">
        <v>2.0345</v>
      </c>
      <c r="T6907">
        <v>-0.2346221</v>
      </c>
      <c r="U6907">
        <v>2.3311920000000002</v>
      </c>
      <c r="V6907">
        <v>0.4477352</v>
      </c>
      <c r="W6907">
        <v>0.16276979999999999</v>
      </c>
      <c r="X6907">
        <v>0.87922649999999902</v>
      </c>
      <c r="Y6907">
        <v>0.53098679999999998</v>
      </c>
      <c r="Z6907">
        <v>-6.6061300000000003E-2</v>
      </c>
      <c r="AA6907">
        <v>0.84480109999999997</v>
      </c>
      <c r="AB6907">
        <v>33</v>
      </c>
      <c r="AC6907">
        <v>9.6138999999999992</v>
      </c>
      <c r="AD6907">
        <v>-1.1124405941919999</v>
      </c>
      <c r="AE6907">
        <v>10.862500000000001</v>
      </c>
      <c r="AF6907">
        <v>7.7664058740352298</v>
      </c>
      <c r="AG6907">
        <v>-1.1124405941919999</v>
      </c>
      <c r="AH6907">
        <v>12.151153667693899</v>
      </c>
      <c r="AI6907">
        <v>94.411054325140995</v>
      </c>
      <c r="AJ6907">
        <v>57.415333439892301</v>
      </c>
      <c r="AK6907">
        <v>14.4639247692929</v>
      </c>
      <c r="AL6907">
        <v>80.632298217672897</v>
      </c>
      <c r="AM6907">
        <v>63.013094470295798</v>
      </c>
      <c r="AN6907">
        <v>1.0000000277066601</v>
      </c>
    </row>
    <row r="6908" spans="1:40" x14ac:dyDescent="0.25">
      <c r="A6908" t="str">
        <f>"20190303162955331"</f>
        <v>20190303162955331</v>
      </c>
      <c r="B6908" t="str">
        <f>"1551601795319056"</f>
        <v>1551601795319056</v>
      </c>
      <c r="C6908" t="s">
        <v>40</v>
      </c>
      <c r="D6908">
        <v>5.149686</v>
      </c>
      <c r="E6908">
        <v>0.54054679999999999</v>
      </c>
      <c r="F6908" t="s">
        <v>56</v>
      </c>
      <c r="G6908">
        <v>-177.59379999999999</v>
      </c>
      <c r="H6908" s="1">
        <v>-4.6160189999999998E-6</v>
      </c>
      <c r="I6908">
        <v>131.71539999999999</v>
      </c>
      <c r="J6908">
        <v>-187.11</v>
      </c>
      <c r="K6908">
        <v>1.1122019999999999</v>
      </c>
      <c r="L6908">
        <v>121.08759999999999</v>
      </c>
      <c r="M6908">
        <v>0.16107199999999999</v>
      </c>
      <c r="N6908">
        <v>-1.2819530000000001E-2</v>
      </c>
      <c r="O6908">
        <v>0.98685940000000005</v>
      </c>
      <c r="P6908">
        <v>0.57931330000000003</v>
      </c>
      <c r="Q6908">
        <v>0.16132189999999999</v>
      </c>
      <c r="R6908">
        <v>0.79898139999999995</v>
      </c>
      <c r="S6908">
        <v>2.0493160000000001</v>
      </c>
      <c r="T6908">
        <v>-0.23873720000000001</v>
      </c>
      <c r="U6908">
        <v>2.3185419999999999</v>
      </c>
      <c r="V6908">
        <v>0.44667990000000002</v>
      </c>
      <c r="W6908">
        <v>0.16297310000000001</v>
      </c>
      <c r="X6908">
        <v>0.87972539999999999</v>
      </c>
      <c r="Y6908">
        <v>0.53115649999999903</v>
      </c>
      <c r="Z6908">
        <v>-6.7465670000000005E-2</v>
      </c>
      <c r="AA6908">
        <v>0.84458349999999904</v>
      </c>
      <c r="AB6908">
        <v>33</v>
      </c>
      <c r="AC6908">
        <v>9.5162000000000209</v>
      </c>
      <c r="AD6908">
        <v>-1.1122066160190001</v>
      </c>
      <c r="AE6908">
        <v>10.627799999999899</v>
      </c>
      <c r="AF6908">
        <v>7.6335417941393198</v>
      </c>
      <c r="AG6908">
        <v>-1.1122066160190001</v>
      </c>
      <c r="AH6908">
        <v>11.949293008546499</v>
      </c>
      <c r="AI6908">
        <v>94.484981713120604</v>
      </c>
      <c r="AJ6908">
        <v>57.428424321789301</v>
      </c>
      <c r="AK6908">
        <v>14.222994314970601</v>
      </c>
      <c r="AL6908">
        <v>80.620491817518001</v>
      </c>
      <c r="AM6908">
        <v>63.080852109406997</v>
      </c>
      <c r="AN6908">
        <v>0.99999997189638901</v>
      </c>
    </row>
    <row r="6909" spans="1:40" x14ac:dyDescent="0.25">
      <c r="A6909" t="str">
        <f>"20190303162955347"</f>
        <v>20190303162955347</v>
      </c>
      <c r="B6909" t="str">
        <f>"1551601795338576"</f>
        <v>1551601795338576</v>
      </c>
      <c r="C6909" t="s">
        <v>40</v>
      </c>
      <c r="D6909">
        <v>5.1279389999999996</v>
      </c>
      <c r="E6909">
        <v>0.54049440000000004</v>
      </c>
      <c r="F6909" t="s">
        <v>56</v>
      </c>
      <c r="G6909">
        <v>-177.46860000000001</v>
      </c>
      <c r="H6909" s="1">
        <v>-4.5910349999999997E-6</v>
      </c>
      <c r="I6909">
        <v>131.87469999999999</v>
      </c>
      <c r="J6909">
        <v>-187.06489999999999</v>
      </c>
      <c r="K6909">
        <v>1.111899</v>
      </c>
      <c r="L6909">
        <v>121.31910000000001</v>
      </c>
      <c r="M6909">
        <v>0.16906389999999999</v>
      </c>
      <c r="N6909">
        <v>-1.288415E-2</v>
      </c>
      <c r="O6909">
        <v>0.98552090000000003</v>
      </c>
      <c r="P6909">
        <v>0.58420059999999996</v>
      </c>
      <c r="Q6909">
        <v>0.162272</v>
      </c>
      <c r="R6909">
        <v>0.79522159999999997</v>
      </c>
      <c r="S6909">
        <v>2.0623930000000001</v>
      </c>
      <c r="T6909">
        <v>-0.23791229999999999</v>
      </c>
      <c r="U6909">
        <v>2.30748</v>
      </c>
      <c r="V6909">
        <v>0.4451174</v>
      </c>
      <c r="W6909">
        <v>0.16369049999999999</v>
      </c>
      <c r="X6909">
        <v>0.88038400000000006</v>
      </c>
      <c r="Y6909">
        <v>0.52898100000000003</v>
      </c>
      <c r="Z6909">
        <v>-6.7220840000000004E-2</v>
      </c>
      <c r="AA6909">
        <v>0.84596719999999903</v>
      </c>
      <c r="AB6909">
        <v>33</v>
      </c>
      <c r="AC6909">
        <v>9.5962999999999798</v>
      </c>
      <c r="AD6909">
        <v>-1.1119035910349999</v>
      </c>
      <c r="AE6909">
        <v>10.555599999999901</v>
      </c>
      <c r="AF6909">
        <v>7.6270851946027403</v>
      </c>
      <c r="AG6909">
        <v>-1.1119035910349999</v>
      </c>
      <c r="AH6909">
        <v>11.9535320477158</v>
      </c>
      <c r="AI6909">
        <v>94.483733727118207</v>
      </c>
      <c r="AJ6909">
        <v>57.4596317418316</v>
      </c>
      <c r="AK6909">
        <v>14.2230688171454</v>
      </c>
      <c r="AL6909">
        <v>80.578828918120394</v>
      </c>
      <c r="AM6909">
        <v>63.179085343802299</v>
      </c>
      <c r="AN6909">
        <v>1.0000000335145001</v>
      </c>
    </row>
    <row r="6910" spans="1:40" x14ac:dyDescent="0.25">
      <c r="A6910" t="str">
        <f>"20190303162955359"</f>
        <v>20190303162955359</v>
      </c>
      <c r="B6910" t="str">
        <f>"1551601795349313"</f>
        <v>1551601795349313</v>
      </c>
      <c r="C6910" t="s">
        <v>40</v>
      </c>
      <c r="D6910">
        <v>5.1358540000000001</v>
      </c>
      <c r="E6910">
        <v>0.54044619999999999</v>
      </c>
      <c r="F6910" t="s">
        <v>56</v>
      </c>
      <c r="G6910">
        <v>-177.18879999999999</v>
      </c>
      <c r="H6910" s="1">
        <v>-4.5259179999999901E-6</v>
      </c>
      <c r="I6910">
        <v>132.20590000000001</v>
      </c>
      <c r="J6910">
        <v>-187.03120000000001</v>
      </c>
      <c r="K6910">
        <v>1.1116809999999999</v>
      </c>
      <c r="L6910">
        <v>121.4854</v>
      </c>
      <c r="M6910">
        <v>0.17497099999999999</v>
      </c>
      <c r="N6910">
        <v>-1.293176E-2</v>
      </c>
      <c r="O6910">
        <v>0.98448869999999999</v>
      </c>
      <c r="P6910">
        <v>0.58875379999999999</v>
      </c>
      <c r="Q6910">
        <v>0.16390859999999999</v>
      </c>
      <c r="R6910">
        <v>0.79151939999999998</v>
      </c>
      <c r="S6910">
        <v>2.0796809999999999</v>
      </c>
      <c r="T6910">
        <v>-0.23414289999999999</v>
      </c>
      <c r="U6910">
        <v>2.2925260000000001</v>
      </c>
      <c r="V6910">
        <v>0.4450752</v>
      </c>
      <c r="W6910">
        <v>0.16512689999999999</v>
      </c>
      <c r="X6910">
        <v>0.88013699999999995</v>
      </c>
      <c r="Y6910">
        <v>0.53019930000000004</v>
      </c>
      <c r="Z6910">
        <v>-6.6012139999999997E-2</v>
      </c>
      <c r="AA6910">
        <v>0.84529940000000003</v>
      </c>
      <c r="AB6910">
        <v>33</v>
      </c>
      <c r="AC6910">
        <v>9.8424000000000191</v>
      </c>
      <c r="AD6910">
        <v>-1.1116855259180001</v>
      </c>
      <c r="AE6910">
        <v>10.720499999999999</v>
      </c>
      <c r="AF6910">
        <v>7.7692751065765604</v>
      </c>
      <c r="AG6910">
        <v>-1.1116855259180001</v>
      </c>
      <c r="AH6910">
        <v>12.2061500459314</v>
      </c>
      <c r="AI6910">
        <v>94.393533119198494</v>
      </c>
      <c r="AJ6910">
        <v>57.5230445428979</v>
      </c>
      <c r="AK6910">
        <v>14.5116359978466</v>
      </c>
      <c r="AL6910">
        <v>80.495393410226896</v>
      </c>
      <c r="AM6910">
        <v>63.174798813142601</v>
      </c>
      <c r="AN6910">
        <v>0.99999998276382496</v>
      </c>
    </row>
    <row r="6911" spans="1:40" x14ac:dyDescent="0.25">
      <c r="A6911" t="str">
        <f>"20190303162955370"</f>
        <v>20190303162955370</v>
      </c>
      <c r="B6911" t="str">
        <f>"1551601795359073"</f>
        <v>1551601795359073</v>
      </c>
      <c r="C6911" t="s">
        <v>40</v>
      </c>
      <c r="D6911">
        <v>5.1673309999999999</v>
      </c>
      <c r="E6911">
        <v>0.54045609999999999</v>
      </c>
      <c r="F6911" t="s">
        <v>56</v>
      </c>
      <c r="G6911">
        <v>-176.9246</v>
      </c>
      <c r="H6911" s="1">
        <v>-4.4550900000000001E-6</v>
      </c>
      <c r="I6911">
        <v>132.49420000000001</v>
      </c>
      <c r="J6911">
        <v>-186.99889999999999</v>
      </c>
      <c r="K6911">
        <v>1.111483</v>
      </c>
      <c r="L6911">
        <v>121.639</v>
      </c>
      <c r="M6911">
        <v>0.18056420000000001</v>
      </c>
      <c r="N6911">
        <v>-1.297704E-2</v>
      </c>
      <c r="O6911">
        <v>0.98347759999999995</v>
      </c>
      <c r="P6911">
        <v>0.59225719999999904</v>
      </c>
      <c r="Q6911">
        <v>0.1656291</v>
      </c>
      <c r="R6911">
        <v>0.78854199999999997</v>
      </c>
      <c r="S6911">
        <v>2.0936430000000001</v>
      </c>
      <c r="T6911">
        <v>-0.23029340000000001</v>
      </c>
      <c r="U6911">
        <v>2.2805629999999999</v>
      </c>
      <c r="V6911">
        <v>0.4441599</v>
      </c>
      <c r="W6911">
        <v>0.166691899999999</v>
      </c>
      <c r="X6911">
        <v>0.88030439999999999</v>
      </c>
      <c r="Y6911">
        <v>0.53046119999999997</v>
      </c>
      <c r="Z6911">
        <v>-6.4758969999999999E-2</v>
      </c>
      <c r="AA6911">
        <v>0.84523210000000004</v>
      </c>
      <c r="AB6911">
        <v>33</v>
      </c>
      <c r="AC6911">
        <v>10.0742999999999</v>
      </c>
      <c r="AD6911">
        <v>-1.11148745509</v>
      </c>
      <c r="AE6911">
        <v>10.8552</v>
      </c>
      <c r="AF6911">
        <v>7.9039365222811897</v>
      </c>
      <c r="AG6911">
        <v>-1.11148745509</v>
      </c>
      <c r="AH6911">
        <v>12.4259642114746</v>
      </c>
      <c r="AI6911">
        <v>94.316165100704595</v>
      </c>
      <c r="AJ6911">
        <v>57.540280323363497</v>
      </c>
      <c r="AK6911">
        <v>14.7686222612646</v>
      </c>
      <c r="AL6911">
        <v>80.4044657061838</v>
      </c>
      <c r="AM6911">
        <v>63.226651885529499</v>
      </c>
      <c r="AN6911">
        <v>1.0000000214764799</v>
      </c>
    </row>
    <row r="6912" spans="1:40" x14ac:dyDescent="0.25">
      <c r="A6912" t="str">
        <f>"20190303162955381"</f>
        <v>20190303162955381</v>
      </c>
      <c r="B6912" t="str">
        <f>"1551601795368833"</f>
        <v>1551601795368833</v>
      </c>
      <c r="C6912" t="s">
        <v>40</v>
      </c>
      <c r="D6912">
        <v>5.1526860000000001</v>
      </c>
      <c r="E6912">
        <v>0.54042699999999999</v>
      </c>
      <c r="F6912" t="s">
        <v>56</v>
      </c>
      <c r="G6912">
        <v>-176.6593</v>
      </c>
      <c r="H6912" s="1">
        <v>-4.3857810000000001E-6</v>
      </c>
      <c r="I6912">
        <v>132.7885</v>
      </c>
      <c r="J6912">
        <v>-186.9631</v>
      </c>
      <c r="K6912">
        <v>1.1112759999999999</v>
      </c>
      <c r="L6912">
        <v>121.80549999999999</v>
      </c>
      <c r="M6912">
        <v>0.18670439999999999</v>
      </c>
      <c r="N6912">
        <v>-1.302555E-2</v>
      </c>
      <c r="O6912">
        <v>0.98232980000000003</v>
      </c>
      <c r="P6912">
        <v>0.59613149999999904</v>
      </c>
      <c r="Q6912">
        <v>0.16749649999999999</v>
      </c>
      <c r="R6912">
        <v>0.78522109999999901</v>
      </c>
      <c r="S6912">
        <v>2.1056059999999999</v>
      </c>
      <c r="T6912">
        <v>-0.22634979999999999</v>
      </c>
      <c r="U6912">
        <v>2.2705540000000002</v>
      </c>
      <c r="V6912">
        <v>0.44319969999999997</v>
      </c>
      <c r="W6912">
        <v>0.16839270000000001</v>
      </c>
      <c r="X6912">
        <v>0.88046460000000004</v>
      </c>
      <c r="Y6912">
        <v>0.5294837</v>
      </c>
      <c r="Z6912">
        <v>-6.345874E-2</v>
      </c>
      <c r="AA6912">
        <v>0.84594329999999995</v>
      </c>
      <c r="AB6912">
        <v>32</v>
      </c>
      <c r="AC6912">
        <v>10.303799999999899</v>
      </c>
      <c r="AD6912">
        <v>-1.1112803857810001</v>
      </c>
      <c r="AE6912">
        <v>10.983000000000001</v>
      </c>
      <c r="AF6912">
        <v>8.0281251882190308</v>
      </c>
      <c r="AG6912">
        <v>-1.1112803857810001</v>
      </c>
      <c r="AH6912">
        <v>12.644917133947001</v>
      </c>
      <c r="AI6912">
        <v>94.243198642243001</v>
      </c>
      <c r="AJ6912">
        <v>57.588964545422201</v>
      </c>
      <c r="AK6912">
        <v>15.0193098196264</v>
      </c>
      <c r="AL6912">
        <v>80.305619563842498</v>
      </c>
      <c r="AM6912">
        <v>63.280675554014401</v>
      </c>
      <c r="AN6912">
        <v>0.99999999367326997</v>
      </c>
    </row>
    <row r="6913" spans="1:40" x14ac:dyDescent="0.25">
      <c r="A6913" t="str">
        <f>"20190303162955394"</f>
        <v>20190303162955394</v>
      </c>
      <c r="B6913" t="str">
        <f>"1551601795389329"</f>
        <v>1551601795389329</v>
      </c>
      <c r="C6913" t="s">
        <v>40</v>
      </c>
      <c r="D6913">
        <v>5.1495499999999996</v>
      </c>
      <c r="E6913">
        <v>0.54043479999999999</v>
      </c>
      <c r="F6913" t="s">
        <v>56</v>
      </c>
      <c r="G6913">
        <v>-176.29929999999999</v>
      </c>
      <c r="H6913" s="1">
        <v>-4.28880999999999E-6</v>
      </c>
      <c r="I6913">
        <v>133.18010000000001</v>
      </c>
      <c r="J6913">
        <v>-186.92400000000001</v>
      </c>
      <c r="K6913">
        <v>1.1110580000000001</v>
      </c>
      <c r="L6913">
        <v>121.97880000000001</v>
      </c>
      <c r="M6913">
        <v>0.19330449999999999</v>
      </c>
      <c r="N6913">
        <v>-1.307848E-2</v>
      </c>
      <c r="O6913">
        <v>0.98105160000000002</v>
      </c>
      <c r="P6913">
        <v>0.60029980000000005</v>
      </c>
      <c r="Q6913">
        <v>0.16945350000000001</v>
      </c>
      <c r="R6913">
        <v>0.78161729999999996</v>
      </c>
      <c r="S6913">
        <v>2.1182859999999999</v>
      </c>
      <c r="T6913">
        <v>-0.22074849999999999</v>
      </c>
      <c r="U6913">
        <v>2.259506</v>
      </c>
      <c r="V6913">
        <v>0.44218380000000002</v>
      </c>
      <c r="W6913">
        <v>0.17018229999999901</v>
      </c>
      <c r="X6913">
        <v>0.88063130000000001</v>
      </c>
      <c r="Y6913">
        <v>0.52846040000000005</v>
      </c>
      <c r="Z6913">
        <v>-6.1609410000000003E-2</v>
      </c>
      <c r="AA6913">
        <v>0.84671939999999901</v>
      </c>
      <c r="AB6913">
        <v>32</v>
      </c>
      <c r="AC6913">
        <v>10.624700000000001</v>
      </c>
      <c r="AD6913">
        <v>-1.1110622888099999</v>
      </c>
      <c r="AE6913">
        <v>11.2013</v>
      </c>
      <c r="AF6913">
        <v>8.2162709205809694</v>
      </c>
      <c r="AG6913">
        <v>-1.1110622888099999</v>
      </c>
      <c r="AH6913">
        <v>12.9767636082259</v>
      </c>
      <c r="AI6913">
        <v>94.137500110896696</v>
      </c>
      <c r="AJ6913">
        <v>57.659950049509199</v>
      </c>
      <c r="AK6913">
        <v>15.399284431225301</v>
      </c>
      <c r="AL6913">
        <v>80.201581543688903</v>
      </c>
      <c r="AM6913">
        <v>63.337794648524302</v>
      </c>
      <c r="AN6913">
        <v>1.00000000737771</v>
      </c>
    </row>
    <row r="6914" spans="1:40" x14ac:dyDescent="0.25">
      <c r="A6914" t="str">
        <f>"20190303162955404"</f>
        <v>20190303162955404</v>
      </c>
      <c r="B6914" t="str">
        <f>"1551601795399088"</f>
        <v>1551601795399088</v>
      </c>
      <c r="C6914" t="s">
        <v>40</v>
      </c>
      <c r="D6914">
        <v>5.1701769999999998</v>
      </c>
      <c r="E6914">
        <v>0.54040739999999998</v>
      </c>
      <c r="F6914" t="s">
        <v>56</v>
      </c>
      <c r="G6914">
        <v>-175.9359</v>
      </c>
      <c r="H6914" s="1">
        <v>-4.1860259999999997E-6</v>
      </c>
      <c r="I6914">
        <v>133.5626</v>
      </c>
      <c r="J6914">
        <v>-186.886</v>
      </c>
      <c r="K6914">
        <v>1.1108549999999999</v>
      </c>
      <c r="L6914">
        <v>122.14400000000001</v>
      </c>
      <c r="M6914">
        <v>0.19966</v>
      </c>
      <c r="N6914">
        <v>-1.312753E-2</v>
      </c>
      <c r="O6914">
        <v>0.97977729999999996</v>
      </c>
      <c r="P6914">
        <v>0.60448029999999997</v>
      </c>
      <c r="Q6914">
        <v>0.17144980000000001</v>
      </c>
      <c r="R6914">
        <v>0.77795150000000002</v>
      </c>
      <c r="S6914">
        <v>2.1319729999999999</v>
      </c>
      <c r="T6914">
        <v>-0.21557490000000001</v>
      </c>
      <c r="U6914">
        <v>2.2475589999999999</v>
      </c>
      <c r="V6914">
        <v>0.44141960000000002</v>
      </c>
      <c r="W6914">
        <v>0.1720131</v>
      </c>
      <c r="X6914">
        <v>0.88065899999999997</v>
      </c>
      <c r="Y6914">
        <v>0.52800029999999998</v>
      </c>
      <c r="Z6914">
        <v>-5.9901129999999997E-2</v>
      </c>
      <c r="AA6914">
        <v>0.84712900000000002</v>
      </c>
      <c r="AB6914">
        <v>32</v>
      </c>
      <c r="AC6914">
        <v>10.9500999999999</v>
      </c>
      <c r="AD6914">
        <v>-1.110859186026</v>
      </c>
      <c r="AE6914">
        <v>11.4186</v>
      </c>
      <c r="AF6914">
        <v>8.40809511992693</v>
      </c>
      <c r="AG6914">
        <v>-1.110859186026</v>
      </c>
      <c r="AH6914">
        <v>13.3095142329064</v>
      </c>
      <c r="AI6914">
        <v>94.036243623172098</v>
      </c>
      <c r="AJ6914">
        <v>57.717936394824797</v>
      </c>
      <c r="AK6914">
        <v>15.7820543907584</v>
      </c>
      <c r="AL6914">
        <v>80.095114605294697</v>
      </c>
      <c r="AM6914">
        <v>63.378239291244903</v>
      </c>
      <c r="AN6914">
        <v>1.00000002205838</v>
      </c>
    </row>
    <row r="6915" spans="1:40" x14ac:dyDescent="0.25">
      <c r="A6915" t="str">
        <f>"20190303162955415"</f>
        <v>20190303162955415</v>
      </c>
      <c r="B6915" t="str">
        <f>"1551601795408849"</f>
        <v>1551601795408849</v>
      </c>
      <c r="C6915" t="s">
        <v>40</v>
      </c>
      <c r="D6915">
        <v>5.163062</v>
      </c>
      <c r="E6915">
        <v>0.54040959999999905</v>
      </c>
      <c r="F6915" t="s">
        <v>56</v>
      </c>
      <c r="G6915">
        <v>-175.5163</v>
      </c>
      <c r="H6915" s="1">
        <v>-4.064062E-6</v>
      </c>
      <c r="I6915">
        <v>133.99529999999999</v>
      </c>
      <c r="J6915">
        <v>-186.84700000000001</v>
      </c>
      <c r="K6915">
        <v>1.110654</v>
      </c>
      <c r="L6915">
        <v>122.3061</v>
      </c>
      <c r="M6915">
        <v>0.20608850000000001</v>
      </c>
      <c r="N6915">
        <v>-1.317813E-2</v>
      </c>
      <c r="O6915">
        <v>0.9784446</v>
      </c>
      <c r="P6915">
        <v>0.60908189999999995</v>
      </c>
      <c r="Q6915">
        <v>0.1735256</v>
      </c>
      <c r="R6915">
        <v>0.77389160000000001</v>
      </c>
      <c r="S6915">
        <v>2.1449579999999999</v>
      </c>
      <c r="T6915">
        <v>-0.20956949999999999</v>
      </c>
      <c r="U6915">
        <v>2.2358250000000002</v>
      </c>
      <c r="V6915">
        <v>0.44109320000000002</v>
      </c>
      <c r="W6915">
        <v>0.1739194</v>
      </c>
      <c r="X6915">
        <v>0.88044809999999996</v>
      </c>
      <c r="Y6915">
        <v>0.52729899999999996</v>
      </c>
      <c r="Z6915">
        <v>-5.7914149999999998E-2</v>
      </c>
      <c r="AA6915">
        <v>0.84770380000000001</v>
      </c>
      <c r="AB6915">
        <v>32</v>
      </c>
      <c r="AC6915">
        <v>11.3307</v>
      </c>
      <c r="AD6915">
        <v>-1.1106580640620001</v>
      </c>
      <c r="AE6915">
        <v>11.6891999999999</v>
      </c>
      <c r="AF6915">
        <v>8.6380001644875009</v>
      </c>
      <c r="AG6915">
        <v>-1.1106580640620001</v>
      </c>
      <c r="AH6915">
        <v>13.709745015467099</v>
      </c>
      <c r="AI6915">
        <v>93.921028048947406</v>
      </c>
      <c r="AJ6915">
        <v>57.7864970210195</v>
      </c>
      <c r="AK6915">
        <v>16.2420970495216</v>
      </c>
      <c r="AL6915">
        <v>79.984220123120394</v>
      </c>
      <c r="AM6915">
        <v>63.389718254219702</v>
      </c>
      <c r="AN6915">
        <v>1.0000000127880999</v>
      </c>
    </row>
    <row r="6916" spans="1:40" x14ac:dyDescent="0.25">
      <c r="A6916" t="str">
        <f>"20190303162955426"</f>
        <v>20190303162955426</v>
      </c>
      <c r="B6916" t="str">
        <f>"1551601795418608"</f>
        <v>1551601795418608</v>
      </c>
      <c r="C6916" t="s">
        <v>40</v>
      </c>
      <c r="D6916">
        <v>5.1940989999999996</v>
      </c>
      <c r="E6916">
        <v>0.5404274</v>
      </c>
      <c r="F6916" t="s">
        <v>56</v>
      </c>
      <c r="G6916">
        <v>-175.06549999999999</v>
      </c>
      <c r="H6916" s="1">
        <v>-3.9247389999999999E-6</v>
      </c>
      <c r="I6916">
        <v>134.43860000000001</v>
      </c>
      <c r="J6916">
        <v>-186.8099</v>
      </c>
      <c r="K6916">
        <v>1.110471</v>
      </c>
      <c r="L6916">
        <v>122.4576</v>
      </c>
      <c r="M6916">
        <v>0.21215249999999999</v>
      </c>
      <c r="N6916">
        <v>-1.3224430000000001E-2</v>
      </c>
      <c r="O6916">
        <v>0.97714710000000005</v>
      </c>
      <c r="P6916">
        <v>0.61370190000000002</v>
      </c>
      <c r="Q6916">
        <v>0.17516119999999999</v>
      </c>
      <c r="R6916">
        <v>0.76986269999999901</v>
      </c>
      <c r="S6916">
        <v>2.158798</v>
      </c>
      <c r="T6916">
        <v>-0.20351230000000001</v>
      </c>
      <c r="U6916">
        <v>2.2230989999999999</v>
      </c>
      <c r="V6916">
        <v>0.44110359999999998</v>
      </c>
      <c r="W6916">
        <v>0.1753904</v>
      </c>
      <c r="X6916">
        <v>0.88015100000000002</v>
      </c>
      <c r="Y6916">
        <v>0.52726030000000002</v>
      </c>
      <c r="Z6916">
        <v>-5.59131E-2</v>
      </c>
      <c r="AA6916">
        <v>0.84786219999999901</v>
      </c>
      <c r="AB6916">
        <v>32</v>
      </c>
      <c r="AC6916">
        <v>11.744400000000001</v>
      </c>
      <c r="AD6916">
        <v>-1.110474924739</v>
      </c>
      <c r="AE6916">
        <v>11.981</v>
      </c>
      <c r="AF6916">
        <v>8.8960147288121298</v>
      </c>
      <c r="AG6916">
        <v>-1.110474924739</v>
      </c>
      <c r="AH6916">
        <v>14.1381051958246</v>
      </c>
      <c r="AI6916">
        <v>93.803392864307497</v>
      </c>
      <c r="AJ6916">
        <v>57.820971277706199</v>
      </c>
      <c r="AK6916">
        <v>16.740915480998002</v>
      </c>
      <c r="AL6916">
        <v>79.898622032745905</v>
      </c>
      <c r="AM6916">
        <v>63.381432311664803</v>
      </c>
      <c r="AN6916">
        <v>0.99999998057305906</v>
      </c>
    </row>
    <row r="6917" spans="1:40" x14ac:dyDescent="0.25">
      <c r="A6917" t="str">
        <f>"20190303162955437"</f>
        <v>20190303162955437</v>
      </c>
      <c r="B6917" t="str">
        <f>"1551601795429345"</f>
        <v>1551601795429345</v>
      </c>
      <c r="C6917" t="s">
        <v>40</v>
      </c>
      <c r="D6917">
        <v>5.270772</v>
      </c>
      <c r="E6917">
        <v>0.5404004</v>
      </c>
      <c r="F6917" t="s">
        <v>56</v>
      </c>
      <c r="G6917">
        <v>-174.64940000000001</v>
      </c>
      <c r="H6917" s="1">
        <v>-3.8612630000000002E-6</v>
      </c>
      <c r="I6917">
        <v>134.8254</v>
      </c>
      <c r="J6917">
        <v>-186.77170000000001</v>
      </c>
      <c r="K6917">
        <v>1.11029</v>
      </c>
      <c r="L6917">
        <v>122.6079</v>
      </c>
      <c r="M6917">
        <v>0.21829680000000001</v>
      </c>
      <c r="N6917">
        <v>-1.3271440000000001E-2</v>
      </c>
      <c r="O6917">
        <v>0.9757922</v>
      </c>
      <c r="P6917">
        <v>0.61936000000000002</v>
      </c>
      <c r="Q6917">
        <v>0.17636830000000001</v>
      </c>
      <c r="R6917">
        <v>0.76504079999999997</v>
      </c>
      <c r="S6917">
        <v>2.1728209999999999</v>
      </c>
      <c r="T6917">
        <v>-0.1984175</v>
      </c>
      <c r="U6917">
        <v>2.209854</v>
      </c>
      <c r="V6917">
        <v>0.44222650000000002</v>
      </c>
      <c r="W6917">
        <v>0.17640520000000001</v>
      </c>
      <c r="X6917">
        <v>0.87938439999999995</v>
      </c>
      <c r="Y6917">
        <v>0.5272635</v>
      </c>
      <c r="Z6917">
        <v>-5.423265E-2</v>
      </c>
      <c r="AA6917">
        <v>0.84796939999999998</v>
      </c>
      <c r="AB6917">
        <v>32</v>
      </c>
      <c r="AC6917">
        <v>12.1222999999999</v>
      </c>
      <c r="AD6917">
        <v>-1.110293861263</v>
      </c>
      <c r="AE6917">
        <v>12.217499999999999</v>
      </c>
      <c r="AF6917">
        <v>9.1246378675828499</v>
      </c>
      <c r="AG6917">
        <v>-1.110293861263</v>
      </c>
      <c r="AH6917">
        <v>14.508902380611399</v>
      </c>
      <c r="AI6917">
        <v>93.706401716283494</v>
      </c>
      <c r="AJ6917">
        <v>57.834243351437003</v>
      </c>
      <c r="AK6917">
        <v>17.175564531129599</v>
      </c>
      <c r="AL6917">
        <v>79.839557534005905</v>
      </c>
      <c r="AM6917">
        <v>63.303004481797998</v>
      </c>
      <c r="AN6917">
        <v>0.99999999742632495</v>
      </c>
    </row>
    <row r="6918" spans="1:40" x14ac:dyDescent="0.25">
      <c r="A6918" t="str">
        <f>"20190303162955447"</f>
        <v>20190303162955447</v>
      </c>
      <c r="B6918" t="str">
        <f>"1551601795439105"</f>
        <v>1551601795439105</v>
      </c>
      <c r="C6918" t="s">
        <v>40</v>
      </c>
      <c r="D6918">
        <v>5.1914689999999997</v>
      </c>
      <c r="E6918">
        <v>0.54042089999999998</v>
      </c>
      <c r="F6918" t="s">
        <v>56</v>
      </c>
      <c r="G6918">
        <v>-174.11420000000001</v>
      </c>
      <c r="H6918" s="1">
        <v>-3.802999E-6</v>
      </c>
      <c r="I6918">
        <v>135.29730000000001</v>
      </c>
      <c r="J6918">
        <v>-186.7311</v>
      </c>
      <c r="K6918">
        <v>1.110107</v>
      </c>
      <c r="L6918">
        <v>122.7641</v>
      </c>
      <c r="M6918">
        <v>0.2247575</v>
      </c>
      <c r="N6918">
        <v>-1.3319279999999999E-2</v>
      </c>
      <c r="O6918">
        <v>0.97432370000000001</v>
      </c>
      <c r="P6918">
        <v>0.62600149999999999</v>
      </c>
      <c r="Q6918">
        <v>0.177610299999999</v>
      </c>
      <c r="R6918">
        <v>0.75932650000000002</v>
      </c>
      <c r="S6918">
        <v>2.188431</v>
      </c>
      <c r="T6918">
        <v>-0.19196440000000001</v>
      </c>
      <c r="U6918">
        <v>2.193924</v>
      </c>
      <c r="V6918">
        <v>0.44424239999999998</v>
      </c>
      <c r="W6918">
        <v>0.1774231</v>
      </c>
      <c r="X6918">
        <v>0.87816269999999996</v>
      </c>
      <c r="Y6918">
        <v>0.52782410000000002</v>
      </c>
      <c r="Z6918">
        <v>-5.2118230000000002E-2</v>
      </c>
      <c r="AA6918">
        <v>0.84775319999999899</v>
      </c>
      <c r="AB6918">
        <v>32</v>
      </c>
      <c r="AC6918">
        <v>12.6168999999999</v>
      </c>
      <c r="AD6918">
        <v>-1.1101108029989999</v>
      </c>
      <c r="AE6918">
        <v>12.533200000000001</v>
      </c>
      <c r="AF6918">
        <v>9.4400710437030906</v>
      </c>
      <c r="AG6918">
        <v>-1.1101108029989999</v>
      </c>
      <c r="AH6918">
        <v>14.9900622314369</v>
      </c>
      <c r="AI6918">
        <v>93.585776958037201</v>
      </c>
      <c r="AJ6918">
        <v>57.7991103487958</v>
      </c>
      <c r="AK6918">
        <v>17.749626841357699</v>
      </c>
      <c r="AL6918">
        <v>79.780301464670003</v>
      </c>
      <c r="AM6918">
        <v>63.166196172672599</v>
      </c>
      <c r="AN6918">
        <v>0.99999999702133002</v>
      </c>
    </row>
    <row r="6919" spans="1:40" x14ac:dyDescent="0.25">
      <c r="A6919" t="str">
        <f>"20190303162955460"</f>
        <v>20190303162955460</v>
      </c>
      <c r="B6919" t="str">
        <f>"1551601795448865"</f>
        <v>1551601795448865</v>
      </c>
      <c r="C6919" t="s">
        <v>40</v>
      </c>
      <c r="D6919">
        <v>5.4636709999999997</v>
      </c>
      <c r="E6919">
        <v>0.54029039999999995</v>
      </c>
      <c r="F6919" t="s">
        <v>56</v>
      </c>
      <c r="G6919">
        <v>-173.7431</v>
      </c>
      <c r="H6919" s="1">
        <v>-3.74234E-6</v>
      </c>
      <c r="I6919">
        <v>135.5711</v>
      </c>
      <c r="J6919">
        <v>-186.68520000000001</v>
      </c>
      <c r="K6919">
        <v>1.10991</v>
      </c>
      <c r="L6919">
        <v>122.93519999999999</v>
      </c>
      <c r="M6919">
        <v>0.23194139999999999</v>
      </c>
      <c r="N6919">
        <v>-1.337088E-2</v>
      </c>
      <c r="O6919">
        <v>0.9726378</v>
      </c>
      <c r="P6919">
        <v>0.63353909999999902</v>
      </c>
      <c r="Q6919">
        <v>0.1785533</v>
      </c>
      <c r="R6919">
        <v>0.752826</v>
      </c>
      <c r="S6919">
        <v>2.2065890000000001</v>
      </c>
      <c r="T6919">
        <v>-0.18860150000000001</v>
      </c>
      <c r="U6919">
        <v>2.1758419999999998</v>
      </c>
      <c r="V6919">
        <v>0.44668150000000001</v>
      </c>
      <c r="W6919">
        <v>0.17811859999999999</v>
      </c>
      <c r="X6919">
        <v>0.87678349999999905</v>
      </c>
      <c r="Y6919">
        <v>0.52861259999999999</v>
      </c>
      <c r="Z6919">
        <v>-5.1027830000000003E-2</v>
      </c>
      <c r="AA6919">
        <v>0.84732809999999903</v>
      </c>
      <c r="AB6919">
        <v>32</v>
      </c>
      <c r="AC6919">
        <v>12.9421</v>
      </c>
      <c r="AD6919">
        <v>-1.1099137423399901</v>
      </c>
      <c r="AE6919">
        <v>12.635899999999999</v>
      </c>
      <c r="AF6919">
        <v>9.6218211053038196</v>
      </c>
      <c r="AG6919">
        <v>-1.1099137423399901</v>
      </c>
      <c r="AH6919">
        <v>15.235961053218199</v>
      </c>
      <c r="AI6919">
        <v>93.524626282817096</v>
      </c>
      <c r="AJ6919">
        <v>57.7267513468503</v>
      </c>
      <c r="AK6919">
        <v>18.053970729816999</v>
      </c>
      <c r="AL6919">
        <v>79.739806786533194</v>
      </c>
      <c r="AM6919">
        <v>63.003216953647303</v>
      </c>
      <c r="AN6919">
        <v>0.99999995199022795</v>
      </c>
    </row>
    <row r="6920" spans="1:40" x14ac:dyDescent="0.25">
      <c r="A6920" t="str">
        <f>"20190303162955471"</f>
        <v>20190303162955471</v>
      </c>
      <c r="B6920" t="str">
        <f>"1551601795458625"</f>
        <v>1551601795458625</v>
      </c>
      <c r="C6920" t="s">
        <v>40</v>
      </c>
      <c r="D6920">
        <v>5.2542489999999997</v>
      </c>
      <c r="E6920">
        <v>0.54019530000000004</v>
      </c>
      <c r="F6920" t="s">
        <v>56</v>
      </c>
      <c r="G6920">
        <v>-173.30599999999899</v>
      </c>
      <c r="H6920" s="1">
        <v>-3.671695E-6</v>
      </c>
      <c r="I6920">
        <v>135.89570000000001</v>
      </c>
      <c r="J6920">
        <v>-186.64189999999999</v>
      </c>
      <c r="K6920">
        <v>1.109745</v>
      </c>
      <c r="L6920">
        <v>123.0909</v>
      </c>
      <c r="M6920">
        <v>0.23859749999999999</v>
      </c>
      <c r="N6920">
        <v>-1.3416880000000001E-2</v>
      </c>
      <c r="O6920">
        <v>0.9710259</v>
      </c>
      <c r="P6920">
        <v>0.64038830000000002</v>
      </c>
      <c r="Q6920">
        <v>0.17996970000000001</v>
      </c>
      <c r="R6920">
        <v>0.74666840000000001</v>
      </c>
      <c r="S6920">
        <v>2.2255250000000002</v>
      </c>
      <c r="T6920">
        <v>-0.1846246</v>
      </c>
      <c r="U6920">
        <v>2.155869</v>
      </c>
      <c r="V6920">
        <v>0.44888070000000002</v>
      </c>
      <c r="W6920">
        <v>0.17931820000000001</v>
      </c>
      <c r="X6920">
        <v>0.87541480000000005</v>
      </c>
      <c r="Y6920">
        <v>0.53037539999999905</v>
      </c>
      <c r="Z6920">
        <v>-4.975123E-2</v>
      </c>
      <c r="AA6920">
        <v>0.84630190000000005</v>
      </c>
      <c r="AB6920">
        <v>32</v>
      </c>
      <c r="AC6920">
        <v>13.335900000000001</v>
      </c>
      <c r="AD6920">
        <v>-1.109748671695</v>
      </c>
      <c r="AE6920">
        <v>12.8048</v>
      </c>
      <c r="AF6920">
        <v>9.8596767905804903</v>
      </c>
      <c r="AG6920">
        <v>-1.109748671695</v>
      </c>
      <c r="AH6920">
        <v>15.561043323740799</v>
      </c>
      <c r="AI6920">
        <v>93.447409396361493</v>
      </c>
      <c r="AJ6920">
        <v>57.641128215879696</v>
      </c>
      <c r="AK6920">
        <v>18.455103301048698</v>
      </c>
      <c r="AL6920">
        <v>79.669950440901104</v>
      </c>
      <c r="AM6920">
        <v>62.8529077135234</v>
      </c>
      <c r="AN6920">
        <v>0.99999998587138506</v>
      </c>
    </row>
    <row r="6921" spans="1:40" x14ac:dyDescent="0.25">
      <c r="A6921" t="str">
        <f>"20190303162955483"</f>
        <v>20190303162955483</v>
      </c>
      <c r="B6921" t="str">
        <f>"1551601795469361"</f>
        <v>1551601795469361</v>
      </c>
      <c r="C6921" t="s">
        <v>40</v>
      </c>
      <c r="D6921">
        <v>5.2221060000000001</v>
      </c>
      <c r="E6921">
        <v>0.54005539999999996</v>
      </c>
      <c r="F6921" t="s">
        <v>56</v>
      </c>
      <c r="G6921">
        <v>-172.74610000000001</v>
      </c>
      <c r="H6921" s="1">
        <v>-3.5891430000000002E-6</v>
      </c>
      <c r="I6921">
        <v>136.33240000000001</v>
      </c>
      <c r="J6921">
        <v>-186.5966</v>
      </c>
      <c r="K6921">
        <v>1.109569</v>
      </c>
      <c r="L6921">
        <v>123.2518</v>
      </c>
      <c r="M6921">
        <v>0.24551000000000001</v>
      </c>
      <c r="N6921">
        <v>-1.346231E-2</v>
      </c>
      <c r="O6921">
        <v>0.96930059999999996</v>
      </c>
      <c r="P6921">
        <v>0.64738669999999998</v>
      </c>
      <c r="Q6921">
        <v>0.18218709999999999</v>
      </c>
      <c r="R6921">
        <v>0.74006640000000001</v>
      </c>
      <c r="S6921">
        <v>2.242966</v>
      </c>
      <c r="T6921">
        <v>-0.17912809999999901</v>
      </c>
      <c r="U6921">
        <v>2.1373440000000001</v>
      </c>
      <c r="V6921">
        <v>0.45115450000000001</v>
      </c>
      <c r="W6921">
        <v>0.18131059999999999</v>
      </c>
      <c r="X6921">
        <v>0.87383409999999995</v>
      </c>
      <c r="Y6921">
        <v>0.53135549999999998</v>
      </c>
      <c r="Z6921">
        <v>-4.7954740000000003E-2</v>
      </c>
      <c r="AA6921">
        <v>0.84579059999999995</v>
      </c>
      <c r="AB6921">
        <v>32</v>
      </c>
      <c r="AC6921">
        <v>13.850499999999901</v>
      </c>
      <c r="AD6921">
        <v>-1.1095725891429999</v>
      </c>
      <c r="AE6921">
        <v>13.0806</v>
      </c>
      <c r="AF6921">
        <v>10.1802720086707</v>
      </c>
      <c r="AG6921">
        <v>-1.1095725891429999</v>
      </c>
      <c r="AH6921">
        <v>16.0265616461961</v>
      </c>
      <c r="AI6921">
        <v>93.344559291180303</v>
      </c>
      <c r="AJ6921">
        <v>57.575777526875001</v>
      </c>
      <c r="AK6921">
        <v>19.0189318233287</v>
      </c>
      <c r="AL6921">
        <v>79.553891885489804</v>
      </c>
      <c r="AM6921">
        <v>62.693006146708001</v>
      </c>
      <c r="AN6921">
        <v>0.99999997543270902</v>
      </c>
    </row>
    <row r="6922" spans="1:40" x14ac:dyDescent="0.25">
      <c r="A6922" t="str">
        <f>"20190303162955493"</f>
        <v>20190303162955493</v>
      </c>
      <c r="B6922" t="str">
        <f>"1551601795488881"</f>
        <v>1551601795488881</v>
      </c>
      <c r="C6922" t="s">
        <v>40</v>
      </c>
      <c r="D6922">
        <v>5.2158959999999999</v>
      </c>
      <c r="E6922">
        <v>0.53989909999999997</v>
      </c>
      <c r="F6922" t="s">
        <v>56</v>
      </c>
      <c r="G6922">
        <v>-171.93389999999999</v>
      </c>
      <c r="H6922" s="1">
        <v>-3.479442E-6</v>
      </c>
      <c r="I6922">
        <v>136.9924</v>
      </c>
      <c r="J6922">
        <v>-186.5504</v>
      </c>
      <c r="K6922">
        <v>1.1094120000000001</v>
      </c>
      <c r="L6922">
        <v>123.4084</v>
      </c>
      <c r="M6922">
        <v>0.25237110000000001</v>
      </c>
      <c r="N6922">
        <v>-1.35053E-2</v>
      </c>
      <c r="O6922">
        <v>0.96753630000000002</v>
      </c>
      <c r="P6922">
        <v>0.65439969999999903</v>
      </c>
      <c r="Q6922">
        <v>0.18201329999999999</v>
      </c>
      <c r="R6922">
        <v>0.7339156</v>
      </c>
      <c r="S6922">
        <v>2.2604980000000001</v>
      </c>
      <c r="T6922">
        <v>-0.17105999999999999</v>
      </c>
      <c r="U6922">
        <v>2.118347</v>
      </c>
      <c r="V6922">
        <v>0.45333200000000001</v>
      </c>
      <c r="W6922">
        <v>0.18093970000000001</v>
      </c>
      <c r="X6922">
        <v>0.87278349999999905</v>
      </c>
      <c r="Y6922">
        <v>0.53251119999999996</v>
      </c>
      <c r="Z6922">
        <v>-4.5298789999999999E-2</v>
      </c>
      <c r="AA6922">
        <v>0.84521000000000002</v>
      </c>
      <c r="AB6922">
        <v>32</v>
      </c>
      <c r="AC6922">
        <v>14.6165</v>
      </c>
      <c r="AD6922">
        <v>-1.1094154794419999</v>
      </c>
      <c r="AE6922">
        <v>13.584</v>
      </c>
      <c r="AF6922">
        <v>10.681743099684301</v>
      </c>
      <c r="AG6922">
        <v>-1.1094154794419999</v>
      </c>
      <c r="AH6922">
        <v>16.781455663725399</v>
      </c>
      <c r="AI6922">
        <v>93.192088342347503</v>
      </c>
      <c r="AJ6922">
        <v>57.522404894212201</v>
      </c>
      <c r="AK6922">
        <v>19.923546184032201</v>
      </c>
      <c r="AL6922">
        <v>79.5755011584275</v>
      </c>
      <c r="AM6922">
        <v>62.552208841536398</v>
      </c>
      <c r="AN6922">
        <v>1.0000000575661601</v>
      </c>
    </row>
    <row r="6923" spans="1:40" x14ac:dyDescent="0.25">
      <c r="A6923" t="str">
        <f>"20190303162955507"</f>
        <v>20190303162955507</v>
      </c>
      <c r="B6923" t="str">
        <f>"1551601795498641"</f>
        <v>1551601795498641</v>
      </c>
      <c r="C6923" t="s">
        <v>40</v>
      </c>
      <c r="D6923">
        <v>5.2309469999999996</v>
      </c>
      <c r="E6923">
        <v>0.53979889999999997</v>
      </c>
      <c r="F6923" t="s">
        <v>56</v>
      </c>
      <c r="G6923">
        <v>-171.614</v>
      </c>
      <c r="H6923" s="1">
        <v>-3.404678E-6</v>
      </c>
      <c r="I6923">
        <v>137.16929999999999</v>
      </c>
      <c r="J6923">
        <v>-186.49459999999999</v>
      </c>
      <c r="K6923">
        <v>1.1092299999999999</v>
      </c>
      <c r="L6923">
        <v>123.5941</v>
      </c>
      <c r="M6923">
        <v>0.2605518</v>
      </c>
      <c r="N6923">
        <v>-1.355335E-2</v>
      </c>
      <c r="O6923">
        <v>0.96536469999999996</v>
      </c>
      <c r="P6923">
        <v>0.66192099999999998</v>
      </c>
      <c r="Q6923">
        <v>0.18137349999999999</v>
      </c>
      <c r="R6923">
        <v>0.72729929999999998</v>
      </c>
      <c r="S6923">
        <v>2.2778320000000001</v>
      </c>
      <c r="T6923">
        <v>-0.16918900000000001</v>
      </c>
      <c r="U6923">
        <v>2.0985719999999999</v>
      </c>
      <c r="V6923">
        <v>0.4549472</v>
      </c>
      <c r="W6923">
        <v>0.1801044</v>
      </c>
      <c r="X6923">
        <v>0.87211550000000004</v>
      </c>
      <c r="Y6923">
        <v>0.53254309999999905</v>
      </c>
      <c r="Z6923">
        <v>-4.4715909999999998E-2</v>
      </c>
      <c r="AA6923">
        <v>0.84522090000000005</v>
      </c>
      <c r="AB6923">
        <v>32</v>
      </c>
      <c r="AC6923">
        <v>14.8805999999999</v>
      </c>
      <c r="AD6923">
        <v>-1.1092334046779999</v>
      </c>
      <c r="AE6923">
        <v>13.575199999999899</v>
      </c>
      <c r="AF6923">
        <v>10.796416488383899</v>
      </c>
      <c r="AG6923">
        <v>-1.1092334046779999</v>
      </c>
      <c r="AH6923">
        <v>16.932396578885299</v>
      </c>
      <c r="AI6923">
        <v>93.161602240951296</v>
      </c>
      <c r="AJ6923">
        <v>57.477644782331403</v>
      </c>
      <c r="AK6923">
        <v>20.1121620329926</v>
      </c>
      <c r="AL6923">
        <v>79.624159106606896</v>
      </c>
      <c r="AM6923">
        <v>62.450781811601097</v>
      </c>
      <c r="AN6923">
        <v>0.99999999751372404</v>
      </c>
    </row>
    <row r="6924" spans="1:40" x14ac:dyDescent="0.25">
      <c r="A6924" t="str">
        <f>"20190303162955520"</f>
        <v>20190303162955520</v>
      </c>
      <c r="B6924" t="str">
        <f>"1551601795509377"</f>
        <v>1551601795509377</v>
      </c>
      <c r="C6924" t="s">
        <v>40</v>
      </c>
      <c r="D6924">
        <v>5.2264730000000004</v>
      </c>
      <c r="E6924">
        <v>0.53969699999999998</v>
      </c>
      <c r="F6924" t="s">
        <v>56</v>
      </c>
      <c r="G6924">
        <v>-171.5693</v>
      </c>
      <c r="H6924" s="1">
        <v>-3.3536279999999999E-6</v>
      </c>
      <c r="I6924">
        <v>137.08699999999999</v>
      </c>
      <c r="J6924">
        <v>-186.43889999999999</v>
      </c>
      <c r="K6924">
        <v>1.109067</v>
      </c>
      <c r="L6924">
        <v>123.7735</v>
      </c>
      <c r="M6924">
        <v>0.26854840000000002</v>
      </c>
      <c r="N6924">
        <v>-1.3597130000000001E-2</v>
      </c>
      <c r="O6924">
        <v>0.96317019999999998</v>
      </c>
      <c r="P6924">
        <v>0.66911129999999996</v>
      </c>
      <c r="Q6924">
        <v>0.18076229999999999</v>
      </c>
      <c r="R6924">
        <v>0.72084329999999996</v>
      </c>
      <c r="S6924">
        <v>2.2971949999999999</v>
      </c>
      <c r="T6924">
        <v>-0.17072509999999999</v>
      </c>
      <c r="U6924">
        <v>2.076721</v>
      </c>
      <c r="V6924">
        <v>0.45638440000000002</v>
      </c>
      <c r="W6924">
        <v>0.17932200000000001</v>
      </c>
      <c r="X6924">
        <v>0.87152559999999901</v>
      </c>
      <c r="Y6924">
        <v>0.53347290000000003</v>
      </c>
      <c r="Z6924">
        <v>-4.5277749999999999E-2</v>
      </c>
      <c r="AA6924">
        <v>0.84460440000000003</v>
      </c>
      <c r="AB6924">
        <v>32</v>
      </c>
      <c r="AC6924">
        <v>14.869599999999901</v>
      </c>
      <c r="AD6924">
        <v>-1.109070353628</v>
      </c>
      <c r="AE6924">
        <v>13.313499999999999</v>
      </c>
      <c r="AF6924">
        <v>10.714545929295999</v>
      </c>
      <c r="AG6924">
        <v>-1.109070353628</v>
      </c>
      <c r="AH6924">
        <v>16.766158338233598</v>
      </c>
      <c r="AI6924">
        <v>93.190338491281906</v>
      </c>
      <c r="AJ6924">
        <v>57.419066716434102</v>
      </c>
      <c r="AK6924">
        <v>19.9282612624135</v>
      </c>
      <c r="AL6924">
        <v>79.669729129444306</v>
      </c>
      <c r="AM6924">
        <v>62.360680324227403</v>
      </c>
      <c r="AN6924">
        <v>0.99999998585135896</v>
      </c>
    </row>
    <row r="6925" spans="1:40" x14ac:dyDescent="0.25">
      <c r="A6925" t="str">
        <f>"20190303162955533"</f>
        <v>20190303162955533</v>
      </c>
      <c r="B6925" t="str">
        <f>"1551601795528897"</f>
        <v>1551601795528897</v>
      </c>
      <c r="C6925" t="s">
        <v>40</v>
      </c>
      <c r="D6925">
        <v>5.0173909999999999</v>
      </c>
      <c r="E6925">
        <v>0.5396029</v>
      </c>
      <c r="F6925" t="s">
        <v>56</v>
      </c>
      <c r="G6925">
        <v>-171.51900000000001</v>
      </c>
      <c r="H6925" s="1">
        <v>-3.3037650000000001E-6</v>
      </c>
      <c r="I6925">
        <v>137.01439999999999</v>
      </c>
      <c r="J6925">
        <v>-186.37729999999999</v>
      </c>
      <c r="K6925">
        <v>1.1089070000000001</v>
      </c>
      <c r="L6925">
        <v>123.9652</v>
      </c>
      <c r="M6925">
        <v>0.27718660000000001</v>
      </c>
      <c r="N6925">
        <v>-1.3640680000000001E-2</v>
      </c>
      <c r="O6925">
        <v>0.96071930000000005</v>
      </c>
      <c r="P6925">
        <v>0.67663189999999995</v>
      </c>
      <c r="Q6925">
        <v>0.17866099999999999</v>
      </c>
      <c r="R6925">
        <v>0.7143176</v>
      </c>
      <c r="S6925">
        <v>2.315903</v>
      </c>
      <c r="T6925">
        <v>-0.172152</v>
      </c>
      <c r="U6925">
        <v>2.0552830000000002</v>
      </c>
      <c r="V6925">
        <v>0.45755089999999998</v>
      </c>
      <c r="W6925">
        <v>0.177067899999999</v>
      </c>
      <c r="X6925">
        <v>0.8713748</v>
      </c>
      <c r="Y6925">
        <v>0.53362140000000002</v>
      </c>
      <c r="Z6925">
        <v>-4.5796120000000003E-2</v>
      </c>
      <c r="AA6925">
        <v>0.84448259999999897</v>
      </c>
      <c r="AB6925">
        <v>32</v>
      </c>
      <c r="AC6925">
        <v>14.8582999999999</v>
      </c>
      <c r="AD6925">
        <v>-1.1089103037650001</v>
      </c>
      <c r="AE6925">
        <v>13.049200000000001</v>
      </c>
      <c r="AF6925">
        <v>10.625172088566501</v>
      </c>
      <c r="AG6925">
        <v>-1.1089103037650001</v>
      </c>
      <c r="AH6925">
        <v>16.604475465114401</v>
      </c>
      <c r="AI6925">
        <v>93.219649365480507</v>
      </c>
      <c r="AJ6925">
        <v>57.384899554587697</v>
      </c>
      <c r="AK6925">
        <v>19.744178115207401</v>
      </c>
      <c r="AL6925">
        <v>79.800979904854401</v>
      </c>
      <c r="AM6925">
        <v>62.296448512744803</v>
      </c>
      <c r="AN6925">
        <v>0.99999995468812897</v>
      </c>
    </row>
    <row r="6926" spans="1:40" x14ac:dyDescent="0.25">
      <c r="A6926" t="str">
        <f>"20190303162955548"</f>
        <v>20190303162955548</v>
      </c>
      <c r="B6926" t="str">
        <f>"1551601795538657"</f>
        <v>1551601795538657</v>
      </c>
      <c r="C6926" t="s">
        <v>40</v>
      </c>
      <c r="D6926">
        <v>5.2804320000000002</v>
      </c>
      <c r="E6926">
        <v>0.53939559999999998</v>
      </c>
      <c r="F6926" t="s">
        <v>56</v>
      </c>
      <c r="G6926">
        <v>-171.83609999999999</v>
      </c>
      <c r="H6926" s="1">
        <v>-3.2964540000000001E-6</v>
      </c>
      <c r="I6926">
        <v>136.62459999999999</v>
      </c>
      <c r="J6926">
        <v>-186.30629999999999</v>
      </c>
      <c r="K6926">
        <v>1.1087119999999999</v>
      </c>
      <c r="L6926">
        <v>124.1799</v>
      </c>
      <c r="M6926">
        <v>0.28692649999999997</v>
      </c>
      <c r="N6926">
        <v>-1.3685610000000001E-2</v>
      </c>
      <c r="O6926">
        <v>0.95785480000000001</v>
      </c>
      <c r="P6926">
        <v>0.68774329999999995</v>
      </c>
      <c r="Q6926">
        <v>0.17124229999999999</v>
      </c>
      <c r="R6926">
        <v>0.70546809999999904</v>
      </c>
      <c r="S6926">
        <v>2.334854</v>
      </c>
      <c r="T6926">
        <v>-0.17805550000000001</v>
      </c>
      <c r="U6926">
        <v>2.0326840000000002</v>
      </c>
      <c r="V6926">
        <v>0.46167560000000002</v>
      </c>
      <c r="W6926">
        <v>0.16939560000000001</v>
      </c>
      <c r="X6926">
        <v>0.87072430000000001</v>
      </c>
      <c r="Y6926">
        <v>0.5330028</v>
      </c>
      <c r="Z6926">
        <v>-4.7814240000000001E-2</v>
      </c>
      <c r="AA6926">
        <v>0.8447614</v>
      </c>
      <c r="AB6926">
        <v>32</v>
      </c>
      <c r="AC6926">
        <v>14.4702</v>
      </c>
      <c r="AD6926">
        <v>-1.1087152964539999</v>
      </c>
      <c r="AE6926">
        <v>12.4446999999999</v>
      </c>
      <c r="AF6926">
        <v>10.2559897841085</v>
      </c>
      <c r="AG6926">
        <v>-1.1087152964539999</v>
      </c>
      <c r="AH6926">
        <v>16.0195446143473</v>
      </c>
      <c r="AI6926">
        <v>93.335881327817802</v>
      </c>
      <c r="AJ6926">
        <v>57.371924776357098</v>
      </c>
      <c r="AK6926">
        <v>19.053618703841899</v>
      </c>
      <c r="AL6926">
        <v>80.247320342159597</v>
      </c>
      <c r="AM6926">
        <v>62.066562084903403</v>
      </c>
      <c r="AN6926">
        <v>1.0000000177726001</v>
      </c>
    </row>
    <row r="6927" spans="1:40" x14ac:dyDescent="0.25">
      <c r="A6927" t="str">
        <f>"20190303162955560"</f>
        <v>20190303162955560</v>
      </c>
      <c r="B6927" t="str">
        <f>"1551601795549394"</f>
        <v>1551601795549394</v>
      </c>
      <c r="C6927" t="s">
        <v>40</v>
      </c>
      <c r="D6927">
        <v>5.2668309999999998</v>
      </c>
      <c r="E6927">
        <v>0.53929649999999996</v>
      </c>
      <c r="F6927" t="s">
        <v>56</v>
      </c>
      <c r="G6927">
        <v>-173.2576</v>
      </c>
      <c r="H6927" s="1">
        <v>-3.400927E-6</v>
      </c>
      <c r="I6927">
        <v>135.2388</v>
      </c>
      <c r="J6927">
        <v>-186.25</v>
      </c>
      <c r="K6927">
        <v>1.1085879999999999</v>
      </c>
      <c r="L6927">
        <v>124.34529999999999</v>
      </c>
      <c r="M6927">
        <v>0.29447990000000002</v>
      </c>
      <c r="N6927">
        <v>-1.3717500000000001E-2</v>
      </c>
      <c r="O6927">
        <v>0.9555593</v>
      </c>
      <c r="P6927">
        <v>0.6956348</v>
      </c>
      <c r="Q6927">
        <v>0.16705229999999999</v>
      </c>
      <c r="R6927">
        <v>0.69870290000000002</v>
      </c>
      <c r="S6927">
        <v>2.3601990000000002</v>
      </c>
      <c r="T6927">
        <v>-0.20053989999999999</v>
      </c>
      <c r="U6927">
        <v>2.0002749999999998</v>
      </c>
      <c r="V6927">
        <v>0.46421449999999997</v>
      </c>
      <c r="W6927">
        <v>0.16503950000000001</v>
      </c>
      <c r="X6927">
        <v>0.87021079999999995</v>
      </c>
      <c r="Y6927">
        <v>0.53720709999999905</v>
      </c>
      <c r="Z6927">
        <v>-5.5470499999999999E-2</v>
      </c>
      <c r="AA6927">
        <v>0.84162440000000005</v>
      </c>
      <c r="AB6927">
        <v>32</v>
      </c>
      <c r="AC6927">
        <v>12.9924</v>
      </c>
      <c r="AD6927">
        <v>-1.1085914009269999</v>
      </c>
      <c r="AE6927">
        <v>10.8935</v>
      </c>
      <c r="AF6927">
        <v>9.1687598700482091</v>
      </c>
      <c r="AG6927">
        <v>-1.1085914009269999</v>
      </c>
      <c r="AH6927">
        <v>14.1761195458598</v>
      </c>
      <c r="AI6927">
        <v>93.756876759266603</v>
      </c>
      <c r="AJ6927">
        <v>57.1062207807975</v>
      </c>
      <c r="AK6927">
        <v>16.919145895325901</v>
      </c>
      <c r="AL6927">
        <v>80.500470769439502</v>
      </c>
      <c r="AM6927">
        <v>61.922280988875201</v>
      </c>
      <c r="AN6927">
        <v>0.99999998750357</v>
      </c>
    </row>
    <row r="6928" spans="1:40" x14ac:dyDescent="0.25">
      <c r="A6928" t="str">
        <f>"20190303162955572"</f>
        <v>20190303162955572</v>
      </c>
      <c r="B6928" t="str">
        <f>"1551601795559152"</f>
        <v>1551601795559152</v>
      </c>
      <c r="C6928" t="s">
        <v>40</v>
      </c>
      <c r="D6928">
        <v>5.2945729999999998</v>
      </c>
      <c r="E6928">
        <v>0.53920269999999904</v>
      </c>
      <c r="F6928" t="s">
        <v>56</v>
      </c>
      <c r="G6928">
        <v>-174.06780000000001</v>
      </c>
      <c r="H6928" s="1">
        <v>-3.4667289999999999E-6</v>
      </c>
      <c r="I6928">
        <v>134.46539999999999</v>
      </c>
      <c r="J6928">
        <v>-186.1926</v>
      </c>
      <c r="K6928">
        <v>1.108473</v>
      </c>
      <c r="L6928">
        <v>124.5085</v>
      </c>
      <c r="M6928">
        <v>0.30198920000000001</v>
      </c>
      <c r="N6928">
        <v>-1.3746629999999999E-2</v>
      </c>
      <c r="O6928">
        <v>0.95321219999999995</v>
      </c>
      <c r="P6928">
        <v>0.70370109999999997</v>
      </c>
      <c r="Q6928">
        <v>0.16346920000000001</v>
      </c>
      <c r="R6928">
        <v>0.69143520000000003</v>
      </c>
      <c r="S6928">
        <v>2.3793329999999999</v>
      </c>
      <c r="T6928">
        <v>-0.21652070000000001</v>
      </c>
      <c r="U6928">
        <v>1.9765630000000001</v>
      </c>
      <c r="V6928">
        <v>0.46714309999999998</v>
      </c>
      <c r="W6928">
        <v>0.16128339999999999</v>
      </c>
      <c r="X6928">
        <v>0.86934750000000005</v>
      </c>
      <c r="Y6928">
        <v>0.53859899999999905</v>
      </c>
      <c r="Z6928">
        <v>-6.0884189999999998E-2</v>
      </c>
      <c r="AA6928">
        <v>0.84035959999999998</v>
      </c>
      <c r="AB6928">
        <v>32</v>
      </c>
      <c r="AC6928">
        <v>12.124799999999899</v>
      </c>
      <c r="AD6928">
        <v>-1.1084764667289999</v>
      </c>
      <c r="AE6928">
        <v>9.9568999999999903</v>
      </c>
      <c r="AF6928">
        <v>8.5089647288750996</v>
      </c>
      <c r="AG6928">
        <v>-1.1084764667289999</v>
      </c>
      <c r="AH6928">
        <v>13.088506041050801</v>
      </c>
      <c r="AI6928">
        <v>94.061466290065795</v>
      </c>
      <c r="AJ6928">
        <v>56.971714165355699</v>
      </c>
      <c r="AK6928">
        <v>15.6505652045271</v>
      </c>
      <c r="AL6928">
        <v>80.718603215915195</v>
      </c>
      <c r="AM6928">
        <v>61.748678600483899</v>
      </c>
      <c r="AN6928">
        <v>1.0000000433747001</v>
      </c>
    </row>
    <row r="6929" spans="1:40" x14ac:dyDescent="0.25">
      <c r="A6929" t="str">
        <f>"20190303162955582"</f>
        <v>20190303162955582</v>
      </c>
      <c r="B6929" t="str">
        <f>"1551601795568914"</f>
        <v>1551601795568914</v>
      </c>
      <c r="C6929" t="s">
        <v>40</v>
      </c>
      <c r="D6929">
        <v>5.3007929999999996</v>
      </c>
      <c r="E6929">
        <v>0.53910089999999999</v>
      </c>
      <c r="F6929" t="s">
        <v>56</v>
      </c>
      <c r="G6929">
        <v>-174.6498</v>
      </c>
      <c r="H6929" s="1">
        <v>-3.5101489999999999E-6</v>
      </c>
      <c r="I6929">
        <v>133.89959999999999</v>
      </c>
      <c r="J6929">
        <v>-186.14099999999999</v>
      </c>
      <c r="K6929">
        <v>1.108385</v>
      </c>
      <c r="L6929">
        <v>124.6537</v>
      </c>
      <c r="M6929">
        <v>0.30867850000000002</v>
      </c>
      <c r="N6929">
        <v>-1.377107E-2</v>
      </c>
      <c r="O6929">
        <v>0.95106670000000004</v>
      </c>
      <c r="P6929">
        <v>0.71074150000000003</v>
      </c>
      <c r="Q6929">
        <v>0.160719899999999</v>
      </c>
      <c r="R6929">
        <v>0.68484719999999999</v>
      </c>
      <c r="S6929">
        <v>2.3989720000000001</v>
      </c>
      <c r="T6929">
        <v>-0.23037769999999999</v>
      </c>
      <c r="U6929">
        <v>1.9517819999999999</v>
      </c>
      <c r="V6929">
        <v>0.46968110000000002</v>
      </c>
      <c r="W6929">
        <v>0.15838339999999901</v>
      </c>
      <c r="X6929">
        <v>0.86851270000000003</v>
      </c>
      <c r="Y6929">
        <v>0.54102030000000001</v>
      </c>
      <c r="Z6929">
        <v>-6.5600099999999995E-2</v>
      </c>
      <c r="AA6929">
        <v>0.83844719999999995</v>
      </c>
      <c r="AB6929">
        <v>32</v>
      </c>
      <c r="AC6929">
        <v>11.4911999999999</v>
      </c>
      <c r="AD6929">
        <v>-1.1083885101490001</v>
      </c>
      <c r="AE6929">
        <v>9.24589999999999</v>
      </c>
      <c r="AF6929">
        <v>8.03030206916808</v>
      </c>
      <c r="AG6929">
        <v>-1.1083885101490001</v>
      </c>
      <c r="AH6929">
        <v>12.272416282085</v>
      </c>
      <c r="AI6929">
        <v>94.321870291443304</v>
      </c>
      <c r="AJ6929">
        <v>56.801772141115997</v>
      </c>
      <c r="AK6929">
        <v>14.7080412636183</v>
      </c>
      <c r="AL6929">
        <v>80.886924335993996</v>
      </c>
      <c r="AM6929">
        <v>61.596016749971</v>
      </c>
      <c r="AN6929">
        <v>0.99999997357702897</v>
      </c>
    </row>
    <row r="6930" spans="1:40" x14ac:dyDescent="0.25">
      <c r="A6930" t="str">
        <f>"20190303162955594"</f>
        <v>20190303162955594</v>
      </c>
      <c r="B6930" t="str">
        <f>"1551601795588432"</f>
        <v>1551601795588432</v>
      </c>
      <c r="C6930" t="s">
        <v>40</v>
      </c>
      <c r="D6930">
        <v>5.2842699999999896</v>
      </c>
      <c r="E6930">
        <v>0.53886029999999996</v>
      </c>
      <c r="F6930" t="s">
        <v>56</v>
      </c>
      <c r="G6930">
        <v>-175.03450000000001</v>
      </c>
      <c r="H6930" s="1">
        <v>-3.557759E-6</v>
      </c>
      <c r="I6930">
        <v>133.5273</v>
      </c>
      <c r="J6930">
        <v>-186.08009999999999</v>
      </c>
      <c r="K6930">
        <v>1.108304</v>
      </c>
      <c r="L6930">
        <v>124.8182</v>
      </c>
      <c r="M6930">
        <v>0.31631369999999998</v>
      </c>
      <c r="N6930">
        <v>-1.3796620000000001E-2</v>
      </c>
      <c r="O6930">
        <v>0.94855429999999996</v>
      </c>
      <c r="P6930">
        <v>0.71793949999999995</v>
      </c>
      <c r="Q6930">
        <v>0.15969469999999999</v>
      </c>
      <c r="R6930">
        <v>0.67753999999999903</v>
      </c>
      <c r="S6930">
        <v>2.4157259999999998</v>
      </c>
      <c r="T6930">
        <v>-0.24108060000000001</v>
      </c>
      <c r="U6930">
        <v>1.9300539999999999</v>
      </c>
      <c r="V6930">
        <v>0.47180070000000002</v>
      </c>
      <c r="W6930">
        <v>0.15722269999999999</v>
      </c>
      <c r="X6930">
        <v>0.86757430000000002</v>
      </c>
      <c r="Y6930">
        <v>0.54149689999999995</v>
      </c>
      <c r="Z6930">
        <v>-6.922913E-2</v>
      </c>
      <c r="AA6930">
        <v>0.83784749999999997</v>
      </c>
      <c r="AB6930">
        <v>32</v>
      </c>
      <c r="AC6930">
        <v>11.045599999999901</v>
      </c>
      <c r="AD6930">
        <v>-1.108307557759</v>
      </c>
      <c r="AE6930">
        <v>8.7090999999999905</v>
      </c>
      <c r="AF6930">
        <v>7.67562596133999</v>
      </c>
      <c r="AG6930">
        <v>-1.108307557759</v>
      </c>
      <c r="AH6930">
        <v>11.683512617185199</v>
      </c>
      <c r="AI6930">
        <v>94.533058029294693</v>
      </c>
      <c r="AJ6930">
        <v>56.696599531010499</v>
      </c>
      <c r="AK6930">
        <v>14.023125422562099</v>
      </c>
      <c r="AL6930">
        <v>80.954271812148406</v>
      </c>
      <c r="AM6930">
        <v>61.461949244242803</v>
      </c>
      <c r="AN6930">
        <v>1.00000002196813</v>
      </c>
    </row>
    <row r="6931" spans="1:40" x14ac:dyDescent="0.25">
      <c r="A6931" t="str">
        <f>"20190303162955606"</f>
        <v>20190303162955606</v>
      </c>
      <c r="B6931" t="str">
        <f>"1551601795599170"</f>
        <v>1551601795599170</v>
      </c>
      <c r="C6931" t="s">
        <v>40</v>
      </c>
      <c r="D6931">
        <v>5.3245579999999997</v>
      </c>
      <c r="E6931">
        <v>0.53874650000000002</v>
      </c>
      <c r="F6931" t="s">
        <v>56</v>
      </c>
      <c r="G6931">
        <v>-175.23500000000001</v>
      </c>
      <c r="H6931" s="1">
        <v>-3.6156749999999999E-6</v>
      </c>
      <c r="I6931">
        <v>133.31950000000001</v>
      </c>
      <c r="J6931">
        <v>-186.02289999999999</v>
      </c>
      <c r="K6931">
        <v>1.1082339999999999</v>
      </c>
      <c r="L6931">
        <v>124.9712</v>
      </c>
      <c r="M6931">
        <v>0.32341920000000002</v>
      </c>
      <c r="N6931">
        <v>-1.381902E-2</v>
      </c>
      <c r="O6931">
        <v>0.94615490000000002</v>
      </c>
      <c r="P6931">
        <v>0.72458400000000001</v>
      </c>
      <c r="Q6931">
        <v>0.16001499999999999</v>
      </c>
      <c r="R6931">
        <v>0.67035299999999998</v>
      </c>
      <c r="S6931">
        <v>2.433624</v>
      </c>
      <c r="T6931">
        <v>-0.24870159999999999</v>
      </c>
      <c r="U6931">
        <v>1.9076690000000001</v>
      </c>
      <c r="V6931">
        <v>0.47390840000000001</v>
      </c>
      <c r="W6931">
        <v>0.1574092</v>
      </c>
      <c r="X6931">
        <v>0.86639089999999996</v>
      </c>
      <c r="Y6931">
        <v>0.54280779999999995</v>
      </c>
      <c r="Z6931">
        <v>-7.1818580000000007E-2</v>
      </c>
      <c r="AA6931">
        <v>0.83678069999999904</v>
      </c>
      <c r="AB6931">
        <v>32</v>
      </c>
      <c r="AC6931">
        <v>10.787899999999899</v>
      </c>
      <c r="AD6931">
        <v>-1.108237615675</v>
      </c>
      <c r="AE6931">
        <v>8.3483000000000001</v>
      </c>
      <c r="AF6931">
        <v>7.4585101299240799</v>
      </c>
      <c r="AG6931">
        <v>-1.108237615675</v>
      </c>
      <c r="AH6931">
        <v>11.3142057950263</v>
      </c>
      <c r="AI6931">
        <v>94.675259727591595</v>
      </c>
      <c r="AJ6931">
        <v>56.606473685123603</v>
      </c>
      <c r="AK6931">
        <v>13.596647261114899</v>
      </c>
      <c r="AL6931">
        <v>80.943451305573703</v>
      </c>
      <c r="AM6931">
        <v>61.321718463525002</v>
      </c>
      <c r="AN6931">
        <v>1.000000009719</v>
      </c>
    </row>
    <row r="6932" spans="1:40" x14ac:dyDescent="0.25">
      <c r="A6932" t="str">
        <f>"20190303162955615"</f>
        <v>20190303162955615</v>
      </c>
      <c r="B6932" t="str">
        <f>"1551601795608929"</f>
        <v>1551601795608929</v>
      </c>
      <c r="C6932" t="s">
        <v>40</v>
      </c>
      <c r="D6932">
        <v>5.3313759999999997</v>
      </c>
      <c r="E6932">
        <v>0.53861579999999998</v>
      </c>
      <c r="F6932" t="s">
        <v>56</v>
      </c>
      <c r="G6932">
        <v>-175.07320000000001</v>
      </c>
      <c r="H6932" s="1">
        <v>-3.5329180000000002E-6</v>
      </c>
      <c r="I6932">
        <v>133.3922</v>
      </c>
      <c r="J6932">
        <v>-185.96559999999999</v>
      </c>
      <c r="K6932">
        <v>1.1081829999999999</v>
      </c>
      <c r="L6932">
        <v>125.1195</v>
      </c>
      <c r="M6932">
        <v>0.330347</v>
      </c>
      <c r="N6932">
        <v>-1.383932E-2</v>
      </c>
      <c r="O6932">
        <v>0.94375810000000004</v>
      </c>
      <c r="P6932">
        <v>0.73086280000000003</v>
      </c>
      <c r="Q6932">
        <v>0.1609882</v>
      </c>
      <c r="R6932">
        <v>0.66326649999999998</v>
      </c>
      <c r="S6932">
        <v>2.4510960000000002</v>
      </c>
      <c r="T6932">
        <v>-0.2480791</v>
      </c>
      <c r="U6932">
        <v>1.8850560000000001</v>
      </c>
      <c r="V6932">
        <v>0.4758444</v>
      </c>
      <c r="W6932">
        <v>0.1582624</v>
      </c>
      <c r="X6932">
        <v>0.86517350000000004</v>
      </c>
      <c r="Y6932">
        <v>0.54439879999999996</v>
      </c>
      <c r="Z6932">
        <v>-7.1661199999999994E-2</v>
      </c>
      <c r="AA6932">
        <v>0.8357599</v>
      </c>
      <c r="AB6932">
        <v>32</v>
      </c>
      <c r="AC6932">
        <v>10.892399999999901</v>
      </c>
      <c r="AD6932">
        <v>-1.1081865329179901</v>
      </c>
      <c r="AE6932">
        <v>8.2727000000000004</v>
      </c>
      <c r="AF6932">
        <v>7.4984292986291896</v>
      </c>
      <c r="AG6932">
        <v>-1.1081865329179901</v>
      </c>
      <c r="AH6932">
        <v>11.332401381649699</v>
      </c>
      <c r="AI6932">
        <v>94.662309263619505</v>
      </c>
      <c r="AJ6932">
        <v>56.5081697127425</v>
      </c>
      <c r="AK6932">
        <v>13.6337023736437</v>
      </c>
      <c r="AL6932">
        <v>80.893946225820599</v>
      </c>
      <c r="AM6932">
        <v>61.189258372390803</v>
      </c>
      <c r="AN6932">
        <v>1.00000003268368</v>
      </c>
    </row>
    <row r="6933" spans="1:40" x14ac:dyDescent="0.25">
      <c r="A6933" t="str">
        <f>"20190303162955627"</f>
        <v>20190303162955627</v>
      </c>
      <c r="B6933" t="str">
        <f>"1551601795618689"</f>
        <v>1551601795618689</v>
      </c>
      <c r="C6933" t="s">
        <v>40</v>
      </c>
      <c r="D6933">
        <v>5.3181609999999999</v>
      </c>
      <c r="E6933">
        <v>0.5384158</v>
      </c>
      <c r="F6933" t="s">
        <v>56</v>
      </c>
      <c r="G6933">
        <v>-174.85069999999999</v>
      </c>
      <c r="H6933" s="1">
        <v>-3.4534260000000001E-6</v>
      </c>
      <c r="I6933">
        <v>133.5153</v>
      </c>
      <c r="J6933">
        <v>-185.9057</v>
      </c>
      <c r="K6933">
        <v>1.108128</v>
      </c>
      <c r="L6933">
        <v>125.2722</v>
      </c>
      <c r="M6933">
        <v>0.3374876</v>
      </c>
      <c r="N6933">
        <v>-1.3859099999999999E-2</v>
      </c>
      <c r="O6933">
        <v>0.94122790000000001</v>
      </c>
      <c r="P6933">
        <v>0.73691260000000003</v>
      </c>
      <c r="Q6933">
        <v>0.161683299999999</v>
      </c>
      <c r="R6933">
        <v>0.65636740000000005</v>
      </c>
      <c r="S6933">
        <v>2.4674680000000002</v>
      </c>
      <c r="T6933">
        <v>-0.2460138</v>
      </c>
      <c r="U6933">
        <v>1.8638459999999999</v>
      </c>
      <c r="V6933">
        <v>0.47732360000000001</v>
      </c>
      <c r="W6933">
        <v>0.15885560000000001</v>
      </c>
      <c r="X6933">
        <v>0.86424939999999995</v>
      </c>
      <c r="Y6933">
        <v>0.54533259999999995</v>
      </c>
      <c r="Z6933">
        <v>-7.1000889999999997E-2</v>
      </c>
      <c r="AA6933">
        <v>0.83520729999999999</v>
      </c>
      <c r="AB6933">
        <v>32</v>
      </c>
      <c r="AC6933">
        <v>11.055</v>
      </c>
      <c r="AD6933">
        <v>-1.1081314534260001</v>
      </c>
      <c r="AE6933">
        <v>8.2430999999999894</v>
      </c>
      <c r="AF6933">
        <v>7.5751470006769104</v>
      </c>
      <c r="AG6933">
        <v>-1.1081314534260001</v>
      </c>
      <c r="AH6933">
        <v>11.4169411407218</v>
      </c>
      <c r="AI6933">
        <v>94.623847744658903</v>
      </c>
      <c r="AJ6933">
        <v>56.435703265853903</v>
      </c>
      <c r="AK6933">
        <v>13.746175919529099</v>
      </c>
      <c r="AL6933">
        <v>80.859522348401995</v>
      </c>
      <c r="AM6933">
        <v>61.088197895117901</v>
      </c>
      <c r="AN6933">
        <v>0.99999997308433897</v>
      </c>
    </row>
    <row r="6934" spans="1:40" x14ac:dyDescent="0.25">
      <c r="A6934" t="str">
        <f>"20190303162955638"</f>
        <v>20190303162955638</v>
      </c>
      <c r="B6934" t="str">
        <f>"1551601795628449"</f>
        <v>1551601795628449</v>
      </c>
      <c r="C6934" t="s">
        <v>40</v>
      </c>
      <c r="D6934">
        <v>5.2944279999999999</v>
      </c>
      <c r="E6934">
        <v>0.53820979999999996</v>
      </c>
      <c r="F6934" t="s">
        <v>56</v>
      </c>
      <c r="G6934">
        <v>-174.6491</v>
      </c>
      <c r="H6934" s="1">
        <v>-3.407523E-6</v>
      </c>
      <c r="I6934">
        <v>133.63</v>
      </c>
      <c r="J6934">
        <v>-185.84299999999999</v>
      </c>
      <c r="K6934">
        <v>1.1080719999999999</v>
      </c>
      <c r="L6934">
        <v>125.4282</v>
      </c>
      <c r="M6934">
        <v>0.344802</v>
      </c>
      <c r="N6934">
        <v>-1.3878120000000001E-2</v>
      </c>
      <c r="O6934">
        <v>0.93857290000000004</v>
      </c>
      <c r="P6934">
        <v>0.74297409999999997</v>
      </c>
      <c r="Q6934">
        <v>0.16217980000000001</v>
      </c>
      <c r="R6934">
        <v>0.64937449999999997</v>
      </c>
      <c r="S6934">
        <v>2.482758</v>
      </c>
      <c r="T6934">
        <v>-0.2444094</v>
      </c>
      <c r="U6934">
        <v>1.8433839999999999</v>
      </c>
      <c r="V6934">
        <v>0.47870109999999899</v>
      </c>
      <c r="W6934">
        <v>0.1592567</v>
      </c>
      <c r="X6934">
        <v>0.86341329999999905</v>
      </c>
      <c r="Y6934">
        <v>0.54574730000000005</v>
      </c>
      <c r="Z6934">
        <v>-7.0487499999999995E-2</v>
      </c>
      <c r="AA6934">
        <v>0.83497980000000005</v>
      </c>
      <c r="AB6934">
        <v>32</v>
      </c>
      <c r="AC6934">
        <v>11.1938999999999</v>
      </c>
      <c r="AD6934">
        <v>-1.1080754075229999</v>
      </c>
      <c r="AE6934">
        <v>8.2017999999999898</v>
      </c>
      <c r="AF6934">
        <v>7.6303824835679297</v>
      </c>
      <c r="AG6934">
        <v>-1.1080754075229999</v>
      </c>
      <c r="AH6934">
        <v>11.4855478318434</v>
      </c>
      <c r="AI6934">
        <v>94.594331925441494</v>
      </c>
      <c r="AJ6934">
        <v>56.402067027627901</v>
      </c>
      <c r="AK6934">
        <v>13.8335959515904</v>
      </c>
      <c r="AL6934">
        <v>80.836244767718696</v>
      </c>
      <c r="AM6934">
        <v>60.9947568791466</v>
      </c>
      <c r="AN6934">
        <v>0.99999998312649396</v>
      </c>
    </row>
    <row r="6935" spans="1:40" x14ac:dyDescent="0.25">
      <c r="A6935" t="str">
        <f>"20190303162955649"</f>
        <v>20190303162955649</v>
      </c>
      <c r="B6935" t="str">
        <f>"1551601795639186"</f>
        <v>1551601795639186</v>
      </c>
      <c r="C6935" t="s">
        <v>40</v>
      </c>
      <c r="D6935">
        <v>5.4314650000000002</v>
      </c>
      <c r="E6935">
        <v>0.53820979999999996</v>
      </c>
      <c r="F6935" t="s">
        <v>56</v>
      </c>
      <c r="G6935">
        <v>-174.50470000000001</v>
      </c>
      <c r="H6935" s="1">
        <v>-3.3700139999999999E-6</v>
      </c>
      <c r="I6935">
        <v>133.69990000000001</v>
      </c>
      <c r="J6935">
        <v>-185.7833</v>
      </c>
      <c r="K6935">
        <v>1.1080239999999999</v>
      </c>
      <c r="L6935">
        <v>125.57340000000001</v>
      </c>
      <c r="M6935">
        <v>0.35162860000000001</v>
      </c>
      <c r="N6935">
        <v>-1.3894989999999999E-2</v>
      </c>
      <c r="O6935">
        <v>0.93603650000000005</v>
      </c>
      <c r="P6935">
        <v>0.74883230000000001</v>
      </c>
      <c r="Q6935">
        <v>0.16237670000000001</v>
      </c>
      <c r="R6935">
        <v>0.64256049999999998</v>
      </c>
      <c r="S6935">
        <v>2.4981990000000001</v>
      </c>
      <c r="T6935">
        <v>-0.24414459999999999</v>
      </c>
      <c r="U6935">
        <v>1.822525</v>
      </c>
      <c r="V6935">
        <v>0.48028569999999998</v>
      </c>
      <c r="W6935">
        <v>0.1593551</v>
      </c>
      <c r="X6935">
        <v>0.86251469999999897</v>
      </c>
      <c r="Y6935">
        <v>0.54666190000000003</v>
      </c>
      <c r="Z6935">
        <v>-7.0426500000000003E-2</v>
      </c>
      <c r="AA6935">
        <v>0.83438659999999998</v>
      </c>
      <c r="AB6935">
        <v>32</v>
      </c>
      <c r="AC6935">
        <v>11.2785999999999</v>
      </c>
      <c r="AD6935">
        <v>-1.108027370014</v>
      </c>
      <c r="AE6935">
        <v>8.1265000000000001</v>
      </c>
      <c r="AF6935">
        <v>7.6518015819776704</v>
      </c>
      <c r="AG6935">
        <v>-1.108027370014</v>
      </c>
      <c r="AH6935">
        <v>11.500630701459199</v>
      </c>
      <c r="AI6935">
        <v>94.586047002931593</v>
      </c>
      <c r="AJ6935">
        <v>56.362685531715101</v>
      </c>
      <c r="AK6935">
        <v>13.857932696979001</v>
      </c>
      <c r="AL6935">
        <v>80.830534130129706</v>
      </c>
      <c r="AM6935">
        <v>60.889037367562999</v>
      </c>
      <c r="AN6935">
        <v>1.00000000461829</v>
      </c>
    </row>
    <row r="6936" spans="1:40" x14ac:dyDescent="0.25">
      <c r="A6936" t="str">
        <f>"20190303162955660"</f>
        <v>20190303162955660</v>
      </c>
      <c r="B6936" t="str">
        <f>"1551601795648945"</f>
        <v>1551601795648945</v>
      </c>
      <c r="C6936" t="s">
        <v>40</v>
      </c>
      <c r="D6936">
        <v>5.4985179999999998</v>
      </c>
      <c r="E6936">
        <v>0.54158809999999902</v>
      </c>
      <c r="F6936" t="s">
        <v>56</v>
      </c>
      <c r="G6936">
        <v>-174.35720000000001</v>
      </c>
      <c r="H6936" s="1">
        <v>-3.3254259999999998E-6</v>
      </c>
      <c r="I6936">
        <v>133.75479999999999</v>
      </c>
      <c r="J6936">
        <v>-185.72149999999999</v>
      </c>
      <c r="K6936">
        <v>1.10798</v>
      </c>
      <c r="L6936">
        <v>125.72110000000001</v>
      </c>
      <c r="M6936">
        <v>0.35858440000000003</v>
      </c>
      <c r="N6936">
        <v>-1.3911389999999999E-2</v>
      </c>
      <c r="O6936">
        <v>0.93339369999999999</v>
      </c>
      <c r="P6936">
        <v>0.75449880000000003</v>
      </c>
      <c r="Q6936">
        <v>0.16257249999999901</v>
      </c>
      <c r="R6936">
        <v>0.63584719999999995</v>
      </c>
      <c r="S6936">
        <v>2.514297</v>
      </c>
      <c r="T6936">
        <v>-0.24381920000000001</v>
      </c>
      <c r="U6936">
        <v>1.800308</v>
      </c>
      <c r="V6936">
        <v>0.48155619999999999</v>
      </c>
      <c r="W6936">
        <v>0.15946569999999999</v>
      </c>
      <c r="X6936">
        <v>0.86178559999999904</v>
      </c>
      <c r="Y6936">
        <v>0.547844199999999</v>
      </c>
      <c r="Z6936">
        <v>-7.0350250000000003E-2</v>
      </c>
      <c r="AA6936">
        <v>0.83361719999999895</v>
      </c>
      <c r="AB6936">
        <v>32</v>
      </c>
      <c r="AC6936">
        <v>11.364299999999901</v>
      </c>
      <c r="AD6936">
        <v>-1.1079833254260001</v>
      </c>
      <c r="AE6936">
        <v>8.0336999999999801</v>
      </c>
      <c r="AF6936">
        <v>7.6786850311745001</v>
      </c>
      <c r="AG6936">
        <v>-1.1079833254260001</v>
      </c>
      <c r="AH6936">
        <v>11.5018841638119</v>
      </c>
      <c r="AI6936">
        <v>94.580598245825698</v>
      </c>
      <c r="AJ6936">
        <v>56.272832934784503</v>
      </c>
      <c r="AK6936">
        <v>13.873830407466899</v>
      </c>
      <c r="AL6936">
        <v>80.824115570068699</v>
      </c>
      <c r="AM6936">
        <v>60.8040273264359</v>
      </c>
      <c r="AN6936">
        <v>1.00000005180114</v>
      </c>
    </row>
    <row r="6937" spans="1:40" x14ac:dyDescent="0.25">
      <c r="A6937" t="str">
        <f>"20190303162955671"</f>
        <v>20190303162955671</v>
      </c>
      <c r="B6937" t="str">
        <f>"1551601795658705"</f>
        <v>1551601795658705</v>
      </c>
      <c r="C6937" t="s">
        <v>40</v>
      </c>
      <c r="D6937">
        <v>5.3391029999999997</v>
      </c>
      <c r="E6937">
        <v>0.55257159999999905</v>
      </c>
      <c r="F6937" t="s">
        <v>41</v>
      </c>
      <c r="G6937">
        <v>-151.81370000000001</v>
      </c>
      <c r="H6937" s="1">
        <v>-5.315906E-6</v>
      </c>
      <c r="I6937">
        <v>148.9581</v>
      </c>
      <c r="J6937">
        <v>-185.6567</v>
      </c>
      <c r="K6937">
        <v>1.1079349999999999</v>
      </c>
      <c r="L6937">
        <v>125.8719</v>
      </c>
      <c r="M6937">
        <v>0.36571290000000001</v>
      </c>
      <c r="N6937">
        <v>-1.392763E-2</v>
      </c>
      <c r="O6937">
        <v>0.93062350000000005</v>
      </c>
      <c r="P6937">
        <v>0.76025889999999996</v>
      </c>
      <c r="Q6937">
        <v>0.16262299999999999</v>
      </c>
      <c r="R6937">
        <v>0.62893569999999999</v>
      </c>
      <c r="S6937">
        <v>2.531784</v>
      </c>
      <c r="T6937">
        <v>-8.2729579999999997E-2</v>
      </c>
      <c r="U6937">
        <v>1.735031</v>
      </c>
      <c r="V6937">
        <v>0.48283939999999997</v>
      </c>
      <c r="W6937">
        <v>0.159430399999999</v>
      </c>
      <c r="X6937">
        <v>0.8610738</v>
      </c>
      <c r="Y6937">
        <v>0.56073629999999997</v>
      </c>
      <c r="Z6937">
        <v>-1.6704690000000001E-2</v>
      </c>
      <c r="AA6937">
        <v>0.82782599999999995</v>
      </c>
      <c r="AB6937">
        <v>32</v>
      </c>
      <c r="AC6937">
        <v>33.842999999999897</v>
      </c>
      <c r="AD6937">
        <v>-1.107940315906</v>
      </c>
      <c r="AE6937">
        <v>23.086200000000002</v>
      </c>
      <c r="AF6937">
        <v>23.0375562955</v>
      </c>
      <c r="AG6937">
        <v>-1.107940315906</v>
      </c>
      <c r="AH6937">
        <v>33.839915879430002</v>
      </c>
      <c r="AI6937">
        <v>91.550290099768404</v>
      </c>
      <c r="AJ6937">
        <v>55.753727866533801</v>
      </c>
      <c r="AK6937">
        <v>40.952367923464998</v>
      </c>
      <c r="AL6937">
        <v>80.826163970811905</v>
      </c>
      <c r="AM6937">
        <v>60.718862575213102</v>
      </c>
      <c r="AN6937">
        <v>1.00000001384148</v>
      </c>
    </row>
    <row r="6938" spans="1:40" x14ac:dyDescent="0.25">
      <c r="A6938" t="str">
        <f>"20190303162955683"</f>
        <v>20190303162955683</v>
      </c>
      <c r="B6938" t="str">
        <f>"1551601795679201"</f>
        <v>1551601795679201</v>
      </c>
      <c r="C6938" t="s">
        <v>40</v>
      </c>
      <c r="D6938">
        <v>5.2663359999999999</v>
      </c>
      <c r="E6938">
        <v>0.56938120000000003</v>
      </c>
      <c r="F6938" t="s">
        <v>41</v>
      </c>
      <c r="G6938">
        <v>-153.75700000000001</v>
      </c>
      <c r="H6938" s="1">
        <v>-4.1375970000000001E-6</v>
      </c>
      <c r="I6938">
        <v>146.04339999999999</v>
      </c>
      <c r="J6938">
        <v>-185.58930000000001</v>
      </c>
      <c r="K6938">
        <v>1.107891</v>
      </c>
      <c r="L6938">
        <v>126.02719999999999</v>
      </c>
      <c r="M6938">
        <v>0.37304910000000002</v>
      </c>
      <c r="N6938">
        <v>-1.394362E-2</v>
      </c>
      <c r="O6938">
        <v>0.92770680000000005</v>
      </c>
      <c r="P6938">
        <v>0.76615840000000002</v>
      </c>
      <c r="Q6938">
        <v>0.1627634</v>
      </c>
      <c r="R6938">
        <v>0.6216988</v>
      </c>
      <c r="S6938">
        <v>2.6034549999999999</v>
      </c>
      <c r="T6938">
        <v>-9.0422870000000002E-2</v>
      </c>
      <c r="U6938">
        <v>1.64627099999999</v>
      </c>
      <c r="V6938">
        <v>0.48420160000000001</v>
      </c>
      <c r="W6938">
        <v>0.15947979999999901</v>
      </c>
      <c r="X6938">
        <v>0.86029929999999999</v>
      </c>
      <c r="Y6938">
        <v>0.584476</v>
      </c>
      <c r="Z6938">
        <v>-1.9503329999999999E-2</v>
      </c>
      <c r="AA6938">
        <v>0.81117659999999903</v>
      </c>
      <c r="AB6938">
        <v>32</v>
      </c>
      <c r="AC6938">
        <v>31.8323</v>
      </c>
      <c r="AD6938">
        <v>-1.1078951375970001</v>
      </c>
      <c r="AE6938">
        <v>20.016200000000001</v>
      </c>
      <c r="AF6938">
        <v>22.0470225750792</v>
      </c>
      <c r="AG6938">
        <v>-1.1078951375970001</v>
      </c>
      <c r="AH6938">
        <v>30.420728309873699</v>
      </c>
      <c r="AI6938">
        <v>91.689103459209505</v>
      </c>
      <c r="AJ6938">
        <v>54.0677724137552</v>
      </c>
      <c r="AK6938">
        <v>37.586158981267502</v>
      </c>
      <c r="AL6938">
        <v>80.823296199452201</v>
      </c>
      <c r="AM6938">
        <v>60.627918563202698</v>
      </c>
      <c r="AN6938">
        <v>0.999999940815543</v>
      </c>
    </row>
    <row r="6939" spans="1:40" x14ac:dyDescent="0.25">
      <c r="A6939" t="str">
        <f>"20190303162955694"</f>
        <v>20190303162955694</v>
      </c>
      <c r="B6939" t="str">
        <f>"1551601795688961"</f>
        <v>1551601795688961</v>
      </c>
      <c r="C6939" t="s">
        <v>40</v>
      </c>
      <c r="D6939">
        <v>5.2613329999999996</v>
      </c>
      <c r="E6939">
        <v>0.57380690000000001</v>
      </c>
      <c r="F6939" t="s">
        <v>41</v>
      </c>
      <c r="G6939">
        <v>-142.387</v>
      </c>
      <c r="H6939">
        <v>7.9986119999999994E-2</v>
      </c>
      <c r="I6939">
        <v>150.24639999999999</v>
      </c>
      <c r="J6939">
        <v>-185.5204</v>
      </c>
      <c r="K6939">
        <v>1.1078520000000001</v>
      </c>
      <c r="L6939">
        <v>126.1801</v>
      </c>
      <c r="M6939">
        <v>0.38032050000000001</v>
      </c>
      <c r="N6939">
        <v>-1.395945E-2</v>
      </c>
      <c r="O6939">
        <v>0.92474940000000005</v>
      </c>
      <c r="P6939">
        <v>0.77146190000000003</v>
      </c>
      <c r="Q6939">
        <v>0.1628029</v>
      </c>
      <c r="R6939">
        <v>0.61509499999999995</v>
      </c>
      <c r="S6939">
        <v>2.7007140000000001</v>
      </c>
      <c r="T6939">
        <v>-6.4257620000000001E-2</v>
      </c>
      <c r="U6939">
        <v>1.5140229999999999</v>
      </c>
      <c r="V6939">
        <v>0.48484909999999998</v>
      </c>
      <c r="W6939">
        <v>0.15945719999999999</v>
      </c>
      <c r="X6939">
        <v>0.8599388</v>
      </c>
      <c r="Y6939">
        <v>0.62056119999999904</v>
      </c>
      <c r="Z6939">
        <v>-1.087393E-2</v>
      </c>
      <c r="AA6939">
        <v>0.78408259999999996</v>
      </c>
      <c r="AB6939">
        <v>32</v>
      </c>
      <c r="AC6939">
        <v>43.133400000000002</v>
      </c>
      <c r="AD6939">
        <v>-1.02786588</v>
      </c>
      <c r="AE6939">
        <v>24.066299999999998</v>
      </c>
      <c r="AF6939">
        <v>30.7243682420238</v>
      </c>
      <c r="AG6939">
        <v>-1.02786588</v>
      </c>
      <c r="AH6939">
        <v>38.646843889541302</v>
      </c>
      <c r="AI6939">
        <v>91.192664288242</v>
      </c>
      <c r="AJ6939">
        <v>51.515184865645303</v>
      </c>
      <c r="AK6939">
        <v>49.382404303165799</v>
      </c>
      <c r="AL6939">
        <v>80.824608362455805</v>
      </c>
      <c r="AM6939">
        <v>60.584907265619798</v>
      </c>
      <c r="AN6939">
        <v>0.99999999407404505</v>
      </c>
    </row>
    <row r="6940" spans="1:40" x14ac:dyDescent="0.25">
      <c r="A6940" t="str">
        <f>"20190303162955707"</f>
        <v>20190303162955707</v>
      </c>
      <c r="B6940" t="str">
        <f>"1551601795698721"</f>
        <v>1551601795698721</v>
      </c>
      <c r="C6940" t="s">
        <v>40</v>
      </c>
      <c r="D6940">
        <v>5.2621190000000002</v>
      </c>
      <c r="E6940">
        <v>0.57546370000000002</v>
      </c>
      <c r="F6940" t="s">
        <v>41</v>
      </c>
      <c r="G6940">
        <v>-139.62819999999999</v>
      </c>
      <c r="H6940">
        <v>7.9986790000000002E-2</v>
      </c>
      <c r="I6940">
        <v>150.7184</v>
      </c>
      <c r="J6940">
        <v>-185.4461</v>
      </c>
      <c r="K6940">
        <v>1.107809</v>
      </c>
      <c r="L6940">
        <v>126.3433</v>
      </c>
      <c r="M6940">
        <v>0.38808209999999999</v>
      </c>
      <c r="N6940">
        <v>-1.3975939999999999E-2</v>
      </c>
      <c r="O6940">
        <v>0.92151890000000003</v>
      </c>
      <c r="P6940">
        <v>0.77662719999999996</v>
      </c>
      <c r="Q6940">
        <v>0.16392950000000001</v>
      </c>
      <c r="R6940">
        <v>0.60825759999999995</v>
      </c>
      <c r="S6940">
        <v>2.7354579999999999</v>
      </c>
      <c r="T6940">
        <v>-6.1267019999999998E-2</v>
      </c>
      <c r="U6940">
        <v>1.462631</v>
      </c>
      <c r="V6940">
        <v>0.4850505</v>
      </c>
      <c r="W6940">
        <v>0.1605337</v>
      </c>
      <c r="X6940">
        <v>0.85962490000000003</v>
      </c>
      <c r="Y6940">
        <v>0.62956400000000001</v>
      </c>
      <c r="Z6940">
        <v>-9.9583190000000002E-3</v>
      </c>
      <c r="AA6940">
        <v>0.77688480000000004</v>
      </c>
      <c r="AB6940">
        <v>32</v>
      </c>
      <c r="AC6940">
        <v>45.817900000000002</v>
      </c>
      <c r="AD6940">
        <v>-1.0278222100000001</v>
      </c>
      <c r="AE6940">
        <v>24.3751</v>
      </c>
      <c r="AF6940">
        <v>32.7528725425991</v>
      </c>
      <c r="AG6940">
        <v>-1.0278222100000001</v>
      </c>
      <c r="AH6940">
        <v>40.231370919182801</v>
      </c>
      <c r="AI6940">
        <v>91.135015105062493</v>
      </c>
      <c r="AJ6940">
        <v>50.850524895394202</v>
      </c>
      <c r="AK6940">
        <v>51.888055314532501</v>
      </c>
      <c r="AL6940">
        <v>80.762124691877005</v>
      </c>
      <c r="AM6940">
        <v>60.565774248747303</v>
      </c>
      <c r="AN6940">
        <v>1.00000001254297</v>
      </c>
    </row>
    <row r="6941" spans="1:40" x14ac:dyDescent="0.25">
      <c r="A6941" t="str">
        <f>"20190303162955728"</f>
        <v>20190303162955728</v>
      </c>
      <c r="B6941" t="str">
        <f>"1551601795719217"</f>
        <v>1551601795719217</v>
      </c>
      <c r="C6941" t="s">
        <v>40</v>
      </c>
      <c r="D6941">
        <v>5.2110620000000001</v>
      </c>
      <c r="E6941">
        <v>0.57860080000000003</v>
      </c>
      <c r="F6941" t="s">
        <v>41</v>
      </c>
      <c r="G6941">
        <v>-135.5351</v>
      </c>
      <c r="H6941">
        <v>7.998566E-2</v>
      </c>
      <c r="I6941">
        <v>152.1944</v>
      </c>
      <c r="J6941">
        <v>-185.31209999999999</v>
      </c>
      <c r="K6941">
        <v>1.1077429999999999</v>
      </c>
      <c r="L6941">
        <v>126.6277</v>
      </c>
      <c r="M6941">
        <v>0.40167999999999998</v>
      </c>
      <c r="N6941">
        <v>-1.40053E-2</v>
      </c>
      <c r="O6941">
        <v>0.91567299999999996</v>
      </c>
      <c r="P6941">
        <v>0.78484770000000004</v>
      </c>
      <c r="Q6941">
        <v>0.16727310000000001</v>
      </c>
      <c r="R6941">
        <v>0.59668580000000004</v>
      </c>
      <c r="S6941">
        <v>2.7566069999999998</v>
      </c>
      <c r="T6941">
        <v>-5.6767110000000003E-2</v>
      </c>
      <c r="U6941">
        <v>1.427765</v>
      </c>
      <c r="V6941">
        <v>0.4845565</v>
      </c>
      <c r="W6941">
        <v>0.16381699999999999</v>
      </c>
      <c r="X6941">
        <v>0.85928400000000005</v>
      </c>
      <c r="Y6941">
        <v>0.628270199999999</v>
      </c>
      <c r="Z6941">
        <v>-8.5023040000000005E-3</v>
      </c>
      <c r="AA6941">
        <v>0.7779488</v>
      </c>
      <c r="AB6941">
        <v>32</v>
      </c>
      <c r="AC6941">
        <v>49.777000000000001</v>
      </c>
      <c r="AD6941">
        <v>-1.02775734</v>
      </c>
      <c r="AE6941">
        <v>25.566700000000001</v>
      </c>
      <c r="AF6941">
        <v>35.301378261460897</v>
      </c>
      <c r="AG6941">
        <v>-1.02775734</v>
      </c>
      <c r="AH6941">
        <v>43.394781585675403</v>
      </c>
      <c r="AI6941">
        <v>91.052546161698203</v>
      </c>
      <c r="AJ6941">
        <v>50.871865454144199</v>
      </c>
      <c r="AK6941">
        <v>55.949536737824303</v>
      </c>
      <c r="AL6941">
        <v>80.571481525045499</v>
      </c>
      <c r="AM6941">
        <v>60.581032447628303</v>
      </c>
      <c r="AN6941">
        <v>1.0000000019186199</v>
      </c>
    </row>
    <row r="6942" spans="1:40" x14ac:dyDescent="0.25">
      <c r="A6942" t="str">
        <f>"20190303162955741"</f>
        <v>20190303162955741</v>
      </c>
      <c r="B6942" t="str">
        <f>"1551601795728977"</f>
        <v>1551601795728977</v>
      </c>
      <c r="C6942" t="s">
        <v>40</v>
      </c>
      <c r="D6942">
        <v>5.247414</v>
      </c>
      <c r="E6942">
        <v>0.57942749999999998</v>
      </c>
      <c r="F6942" t="s">
        <v>42</v>
      </c>
      <c r="G6942">
        <v>-97.973969999999994</v>
      </c>
      <c r="H6942">
        <v>-0.05</v>
      </c>
      <c r="I6942">
        <v>169.3365</v>
      </c>
      <c r="J6942">
        <v>-185.22559999999999</v>
      </c>
      <c r="K6942">
        <v>1.1076919999999999</v>
      </c>
      <c r="L6942">
        <v>126.806</v>
      </c>
      <c r="M6942">
        <v>0.41023359999999898</v>
      </c>
      <c r="N6942">
        <v>-1.402392E-2</v>
      </c>
      <c r="O6942">
        <v>0.91187269999999998</v>
      </c>
      <c r="P6942">
        <v>0.78999529999999996</v>
      </c>
      <c r="Q6942">
        <v>0.1697497</v>
      </c>
      <c r="R6942">
        <v>0.58914560000000005</v>
      </c>
      <c r="S6942">
        <v>2.7922359999999999</v>
      </c>
      <c r="T6942">
        <v>-3.7013530000000003E-2</v>
      </c>
      <c r="U6942">
        <v>1.3654170000000001</v>
      </c>
      <c r="V6942">
        <v>0.4843596</v>
      </c>
      <c r="W6942">
        <v>0.16624939999999999</v>
      </c>
      <c r="X6942">
        <v>0.85892780000000002</v>
      </c>
      <c r="Y6942">
        <v>0.63893650000000002</v>
      </c>
      <c r="Z6942">
        <v>-1.9126950000000001E-3</v>
      </c>
      <c r="AA6942">
        <v>0.76925710000000003</v>
      </c>
      <c r="AB6942">
        <v>32</v>
      </c>
      <c r="AC6942">
        <v>87.251629999999906</v>
      </c>
      <c r="AD6942">
        <v>-1.1576919999999999</v>
      </c>
      <c r="AE6942">
        <v>42.530500000000004</v>
      </c>
      <c r="AF6942">
        <v>62.112209682286199</v>
      </c>
      <c r="AG6942">
        <v>-1.1576919999999999</v>
      </c>
      <c r="AH6942">
        <v>74.572674932624906</v>
      </c>
      <c r="AI6942">
        <v>90.683427465033205</v>
      </c>
      <c r="AJ6942">
        <v>50.208799512639203</v>
      </c>
      <c r="AK6942">
        <v>97.058491071055201</v>
      </c>
      <c r="AL6942">
        <v>80.430177902754096</v>
      </c>
      <c r="AM6942">
        <v>60.580831833655303</v>
      </c>
      <c r="AN6942">
        <v>1.00000002536267</v>
      </c>
    </row>
    <row r="6943" spans="1:40" x14ac:dyDescent="0.25">
      <c r="A6943" t="str">
        <f>"20190303162955754"</f>
        <v>20190303162955754</v>
      </c>
      <c r="B6943" t="str">
        <f>"1551601795738737"</f>
        <v>1551601795738737</v>
      </c>
      <c r="C6943" t="s">
        <v>40</v>
      </c>
      <c r="D6943">
        <v>5.2410610000000002</v>
      </c>
      <c r="E6943">
        <v>0.58040689999999995</v>
      </c>
      <c r="F6943" t="s">
        <v>74</v>
      </c>
      <c r="G6943">
        <v>-111.005</v>
      </c>
      <c r="H6943">
        <v>0.33425240000000001</v>
      </c>
      <c r="I6943">
        <v>162.04660000000001</v>
      </c>
      <c r="J6943">
        <v>-185.1465</v>
      </c>
      <c r="K6943">
        <v>1.1076440000000001</v>
      </c>
      <c r="L6943">
        <v>126.9644</v>
      </c>
      <c r="M6943">
        <v>0.41788389999999997</v>
      </c>
      <c r="N6943">
        <v>-1.404119E-2</v>
      </c>
      <c r="O6943">
        <v>0.90839190000000003</v>
      </c>
      <c r="P6943">
        <v>0.79462679999999997</v>
      </c>
      <c r="Q6943">
        <v>0.17101569999999999</v>
      </c>
      <c r="R6943">
        <v>0.58251339999999996</v>
      </c>
      <c r="S6943">
        <v>2.809097</v>
      </c>
      <c r="T6943">
        <v>-2.9272909999999999E-2</v>
      </c>
      <c r="U6943">
        <v>1.3337859999999999</v>
      </c>
      <c r="V6943">
        <v>0.4841433</v>
      </c>
      <c r="W6943">
        <v>0.1674784</v>
      </c>
      <c r="X6943">
        <v>0.85881099999999999</v>
      </c>
      <c r="Y6943">
        <v>0.6413375</v>
      </c>
      <c r="Z6943">
        <v>6.4678119999999999E-4</v>
      </c>
      <c r="AA6943">
        <v>0.76725869999999996</v>
      </c>
      <c r="AB6943">
        <v>32</v>
      </c>
      <c r="AC6943">
        <v>74.141499999999994</v>
      </c>
      <c r="AD6943">
        <v>-0.77339159999999996</v>
      </c>
      <c r="AE6943">
        <v>35.0822</v>
      </c>
      <c r="AF6943">
        <v>52.689763048927603</v>
      </c>
      <c r="AG6943">
        <v>-0.77339159999999996</v>
      </c>
      <c r="AH6943">
        <v>62.851535695782403</v>
      </c>
      <c r="AI6943">
        <v>90.540273637435106</v>
      </c>
      <c r="AJ6943">
        <v>50.026189175516897</v>
      </c>
      <c r="AK6943">
        <v>82.019051469992604</v>
      </c>
      <c r="AL6943">
        <v>80.358760262354195</v>
      </c>
      <c r="AM6943">
        <v>60.588447228714898</v>
      </c>
      <c r="AN6943">
        <v>1.00000004156122</v>
      </c>
    </row>
    <row r="6944" spans="1:40" x14ac:dyDescent="0.25">
      <c r="A6944" t="str">
        <f>"20190303162955766"</f>
        <v>20190303162955766</v>
      </c>
      <c r="B6944" t="str">
        <f>"1551601795759233"</f>
        <v>1551601795759233</v>
      </c>
      <c r="C6944" t="s">
        <v>40</v>
      </c>
      <c r="D6944">
        <v>5.3601679999999998</v>
      </c>
      <c r="E6944">
        <v>0.58171059999999997</v>
      </c>
      <c r="F6944" t="s">
        <v>74</v>
      </c>
      <c r="G6944">
        <v>-111.005</v>
      </c>
      <c r="H6944">
        <v>0.45809080000000002</v>
      </c>
      <c r="I6944">
        <v>161.2022</v>
      </c>
      <c r="J6944">
        <v>-185.05950000000001</v>
      </c>
      <c r="K6944">
        <v>1.107585</v>
      </c>
      <c r="L6944">
        <v>127.1361</v>
      </c>
      <c r="M6944">
        <v>0.4261857</v>
      </c>
      <c r="N6944">
        <v>-1.4059830000000001E-2</v>
      </c>
      <c r="O6944">
        <v>0.90452650000000001</v>
      </c>
      <c r="P6944">
        <v>0.79977169999999997</v>
      </c>
      <c r="Q6944">
        <v>0.1716037</v>
      </c>
      <c r="R6944">
        <v>0.5752543</v>
      </c>
      <c r="S6944">
        <v>2.8245239999999998</v>
      </c>
      <c r="T6944">
        <v>-2.474546E-2</v>
      </c>
      <c r="U6944">
        <v>1.3043370000000001</v>
      </c>
      <c r="V6944">
        <v>0.4840257</v>
      </c>
      <c r="W6944">
        <v>0.16802129999999901</v>
      </c>
      <c r="X6944">
        <v>0.85877119999999996</v>
      </c>
      <c r="Y6944">
        <v>0.64250459999999998</v>
      </c>
      <c r="Z6944">
        <v>2.1102619999999999E-3</v>
      </c>
      <c r="AA6944">
        <v>0.76627889999999999</v>
      </c>
      <c r="AB6944">
        <v>32</v>
      </c>
      <c r="AC6944">
        <v>74.054500000000004</v>
      </c>
      <c r="AD6944">
        <v>-0.64949420000000002</v>
      </c>
      <c r="AE6944">
        <v>34.066099999999999</v>
      </c>
      <c r="AF6944">
        <v>52.467625349911103</v>
      </c>
      <c r="AG6944">
        <v>-0.64949420000000002</v>
      </c>
      <c r="AH6944">
        <v>62.3768612909249</v>
      </c>
      <c r="AI6944">
        <v>90.456544283656896</v>
      </c>
      <c r="AJ6944">
        <v>49.931492187694403</v>
      </c>
      <c r="AK6944">
        <v>81.511633384945497</v>
      </c>
      <c r="AL6944">
        <v>80.327206906111599</v>
      </c>
      <c r="AM6944">
        <v>60.593265441084696</v>
      </c>
      <c r="AN6944">
        <v>1.0000000047318101</v>
      </c>
    </row>
    <row r="6945" spans="1:40" x14ac:dyDescent="0.25">
      <c r="A6945" t="str">
        <f>"20190303162955776"</f>
        <v>20190303162955776</v>
      </c>
      <c r="B6945" t="str">
        <f>"1551601795768993"</f>
        <v>1551601795768993</v>
      </c>
      <c r="C6945" t="s">
        <v>40</v>
      </c>
      <c r="D6945">
        <v>5.2915970000000003</v>
      </c>
      <c r="E6945">
        <v>0.58181799999999995</v>
      </c>
      <c r="F6945" t="s">
        <v>74</v>
      </c>
      <c r="G6945">
        <v>-112.1893</v>
      </c>
      <c r="H6945">
        <v>0.36444850000000001</v>
      </c>
      <c r="I6945">
        <v>159.72389999999999</v>
      </c>
      <c r="J6945">
        <v>-184.98599999999999</v>
      </c>
      <c r="K6945">
        <v>1.1075269999999999</v>
      </c>
      <c r="L6945">
        <v>127.2774</v>
      </c>
      <c r="M6945">
        <v>0.43306460000000002</v>
      </c>
      <c r="N6945">
        <v>-1.407595E-2</v>
      </c>
      <c r="O6945">
        <v>0.90125299999999997</v>
      </c>
      <c r="P6945">
        <v>0.80432619999999999</v>
      </c>
      <c r="Q6945">
        <v>0.17084549999999901</v>
      </c>
      <c r="R6945">
        <v>0.56909690000000002</v>
      </c>
      <c r="S6945">
        <v>2.8428499999999999</v>
      </c>
      <c r="T6945">
        <v>-2.899146E-2</v>
      </c>
      <c r="U6945">
        <v>1.2713319999999999</v>
      </c>
      <c r="V6945">
        <v>0.48421819999999999</v>
      </c>
      <c r="W6945">
        <v>0.16721279999999999</v>
      </c>
      <c r="X6945">
        <v>0.85882049999999999</v>
      </c>
      <c r="Y6945">
        <v>0.64592150000000004</v>
      </c>
      <c r="Z6945">
        <v>5.8607430000000001E-4</v>
      </c>
      <c r="AA6945">
        <v>0.76340369999999902</v>
      </c>
      <c r="AB6945">
        <v>32</v>
      </c>
      <c r="AC6945">
        <v>72.796699999999902</v>
      </c>
      <c r="AD6945">
        <v>-0.74307849999999998</v>
      </c>
      <c r="AE6945">
        <v>32.446499999999901</v>
      </c>
      <c r="AF6945">
        <v>51.557439042141297</v>
      </c>
      <c r="AG6945">
        <v>-0.74307849999999998</v>
      </c>
      <c r="AH6945">
        <v>60.768916274831803</v>
      </c>
      <c r="AI6945">
        <v>90.534223067087396</v>
      </c>
      <c r="AJ6945">
        <v>49.688128676625603</v>
      </c>
      <c r="AK6945">
        <v>79.696818452550502</v>
      </c>
      <c r="AL6945">
        <v>80.3741954620683</v>
      </c>
      <c r="AM6945">
        <v>60.584926611756202</v>
      </c>
      <c r="AN6945">
        <v>1.0000000184576601</v>
      </c>
    </row>
    <row r="6946" spans="1:40" x14ac:dyDescent="0.25">
      <c r="A6946" t="str">
        <f>"20190303162955789"</f>
        <v>20190303162955789</v>
      </c>
      <c r="B6946" t="str">
        <f>"1551601795778754"</f>
        <v>1551601795778754</v>
      </c>
      <c r="C6946" t="s">
        <v>40</v>
      </c>
      <c r="D6946">
        <v>5.2944879999999896</v>
      </c>
      <c r="E6946">
        <v>0.58212280000000005</v>
      </c>
      <c r="F6946" t="s">
        <v>74</v>
      </c>
      <c r="G6946">
        <v>-112.1893</v>
      </c>
      <c r="H6946">
        <v>0.31289289999999997</v>
      </c>
      <c r="I6946">
        <v>159.13380000000001</v>
      </c>
      <c r="J6946">
        <v>-184.90549999999999</v>
      </c>
      <c r="K6946">
        <v>1.107453</v>
      </c>
      <c r="L6946">
        <v>127.4295</v>
      </c>
      <c r="M6946">
        <v>0.44050149999999999</v>
      </c>
      <c r="N6946">
        <v>-1.409417E-2</v>
      </c>
      <c r="O6946">
        <v>0.89764120000000003</v>
      </c>
      <c r="P6946">
        <v>0.80898689999999995</v>
      </c>
      <c r="Q6946">
        <v>0.16925950000000001</v>
      </c>
      <c r="R6946">
        <v>0.56293119999999996</v>
      </c>
      <c r="S6946">
        <v>2.8530579999999999</v>
      </c>
      <c r="T6946">
        <v>-3.1143190000000001E-2</v>
      </c>
      <c r="U6946">
        <v>1.2485200000000001</v>
      </c>
      <c r="V6946">
        <v>0.4839523</v>
      </c>
      <c r="W6946">
        <v>0.16559019999999999</v>
      </c>
      <c r="X6946">
        <v>0.85928459999999995</v>
      </c>
      <c r="Y6946">
        <v>0.64573400000000003</v>
      </c>
      <c r="Z6946">
        <v>-2.113173E-4</v>
      </c>
      <c r="AA6946">
        <v>0.76356239999999997</v>
      </c>
      <c r="AB6946">
        <v>32</v>
      </c>
      <c r="AC6946">
        <v>72.716199999999901</v>
      </c>
      <c r="AD6946">
        <v>-0.79456009999999999</v>
      </c>
      <c r="AE6946">
        <v>31.7043</v>
      </c>
      <c r="AF6946">
        <v>51.307216180146597</v>
      </c>
      <c r="AG6946">
        <v>-0.79456009999999999</v>
      </c>
      <c r="AH6946">
        <v>60.490623134965702</v>
      </c>
      <c r="AI6946">
        <v>90.573926362339407</v>
      </c>
      <c r="AJ6946">
        <v>49.695902818648499</v>
      </c>
      <c r="AK6946">
        <v>79.323245301520899</v>
      </c>
      <c r="AL6946">
        <v>80.468477746896596</v>
      </c>
      <c r="AM6946">
        <v>60.611625836010099</v>
      </c>
      <c r="AN6946">
        <v>0.99999998340424401</v>
      </c>
    </row>
    <row r="6947" spans="1:40" x14ac:dyDescent="0.25">
      <c r="A6947" t="str">
        <f>"20190303162955801"</f>
        <v>20190303162955801</v>
      </c>
      <c r="B6947" t="str">
        <f>"1551601795788514"</f>
        <v>1551601795788514</v>
      </c>
      <c r="C6947" t="s">
        <v>40</v>
      </c>
      <c r="D6947">
        <v>5.3309530000000001</v>
      </c>
      <c r="E6947">
        <v>0.58237589999999995</v>
      </c>
      <c r="F6947" t="s">
        <v>74</v>
      </c>
      <c r="G6947">
        <v>-112.1893</v>
      </c>
      <c r="H6947">
        <v>0.33556459999999999</v>
      </c>
      <c r="I6947">
        <v>158.4829</v>
      </c>
      <c r="J6947">
        <v>-184.82</v>
      </c>
      <c r="K6947">
        <v>1.1073809999999999</v>
      </c>
      <c r="L6947">
        <v>127.58839999999999</v>
      </c>
      <c r="M6947">
        <v>0.44829089999999999</v>
      </c>
      <c r="N6947">
        <v>-1.411392E-2</v>
      </c>
      <c r="O6947">
        <v>0.89377629999999997</v>
      </c>
      <c r="P6947">
        <v>0.81371039999999994</v>
      </c>
      <c r="Q6947">
        <v>0.16793079999999999</v>
      </c>
      <c r="R6947">
        <v>0.55648439999999999</v>
      </c>
      <c r="S6947">
        <v>2.8637079999999999</v>
      </c>
      <c r="T6947">
        <v>-3.0398370000000001E-2</v>
      </c>
      <c r="U6947">
        <v>1.2229460000000001</v>
      </c>
      <c r="V6947">
        <v>0.48353439999999998</v>
      </c>
      <c r="W6947">
        <v>0.16422719999999999</v>
      </c>
      <c r="X6947">
        <v>0.85978129999999997</v>
      </c>
      <c r="Y6947">
        <v>0.64588669999999904</v>
      </c>
      <c r="Z6947" s="1">
        <v>-3.0889870000000002E-5</v>
      </c>
      <c r="AA6947">
        <v>0.76343329999999998</v>
      </c>
      <c r="AB6947">
        <v>32</v>
      </c>
      <c r="AC6947">
        <v>72.630699999999905</v>
      </c>
      <c r="AD6947">
        <v>-0.77181639999999996</v>
      </c>
      <c r="AE6947">
        <v>30.894500000000001</v>
      </c>
      <c r="AF6947">
        <v>51.066078800237896</v>
      </c>
      <c r="AG6947">
        <v>-0.77181639999999996</v>
      </c>
      <c r="AH6947">
        <v>60.172693794305196</v>
      </c>
      <c r="AI6947">
        <v>90.560313573572898</v>
      </c>
      <c r="AJ6947">
        <v>49.680109548592498</v>
      </c>
      <c r="AK6947">
        <v>78.924604421249001</v>
      </c>
      <c r="AL6947">
        <v>80.547655973782994</v>
      </c>
      <c r="AM6947">
        <v>60.646933379186997</v>
      </c>
      <c r="AN6947">
        <v>0.99999998651644395</v>
      </c>
    </row>
    <row r="6948" spans="1:40" x14ac:dyDescent="0.25">
      <c r="A6948" t="str">
        <f>"20190303162955813"</f>
        <v>20190303162955813</v>
      </c>
      <c r="B6948" t="str">
        <f>"1551601795799249"</f>
        <v>1551601795799249</v>
      </c>
      <c r="C6948" t="s">
        <v>40</v>
      </c>
      <c r="D6948">
        <v>5.300751</v>
      </c>
      <c r="E6948">
        <v>0.58246489999999995</v>
      </c>
      <c r="F6948" t="s">
        <v>74</v>
      </c>
      <c r="G6948">
        <v>-112.1893</v>
      </c>
      <c r="H6948">
        <v>0.35307309999999997</v>
      </c>
      <c r="I6948">
        <v>157.82640000000001</v>
      </c>
      <c r="J6948">
        <v>-184.73570000000001</v>
      </c>
      <c r="K6948">
        <v>1.107307</v>
      </c>
      <c r="L6948">
        <v>127.7403</v>
      </c>
      <c r="M6948">
        <v>0.45581719999999998</v>
      </c>
      <c r="N6948">
        <v>-1.413505E-2</v>
      </c>
      <c r="O6948">
        <v>0.88996119999999901</v>
      </c>
      <c r="P6948">
        <v>0.81821999999999995</v>
      </c>
      <c r="Q6948">
        <v>0.166193799999999</v>
      </c>
      <c r="R6948">
        <v>0.55035940000000005</v>
      </c>
      <c r="S6948">
        <v>2.8745419999999999</v>
      </c>
      <c r="T6948">
        <v>-2.9853459999999998E-2</v>
      </c>
      <c r="U6948">
        <v>1.196747</v>
      </c>
      <c r="V6948">
        <v>0.48301630000000001</v>
      </c>
      <c r="W6948">
        <v>0.162459299999999</v>
      </c>
      <c r="X6948">
        <v>0.86040819999999996</v>
      </c>
      <c r="Y6948">
        <v>0.64639539999999995</v>
      </c>
      <c r="Z6948" s="1">
        <v>8.2174780000000003E-5</v>
      </c>
      <c r="AA6948">
        <v>0.76300259999999998</v>
      </c>
      <c r="AB6948">
        <v>32</v>
      </c>
      <c r="AC6948">
        <v>72.546400000000006</v>
      </c>
      <c r="AD6948">
        <v>-0.75423390000000001</v>
      </c>
      <c r="AE6948">
        <v>30.086099999999998</v>
      </c>
      <c r="AF6948">
        <v>50.850108788820002</v>
      </c>
      <c r="AG6948">
        <v>-0.75423390000000001</v>
      </c>
      <c r="AH6948">
        <v>59.843816908338603</v>
      </c>
      <c r="AI6948">
        <v>90.550272476223299</v>
      </c>
      <c r="AJ6948">
        <v>49.644989290834502</v>
      </c>
      <c r="AK6948">
        <v>78.533972615483407</v>
      </c>
      <c r="AL6948">
        <v>80.650328477685505</v>
      </c>
      <c r="AM6948">
        <v>60.690999650313799</v>
      </c>
      <c r="AN6948">
        <v>1.0000000204247099</v>
      </c>
    </row>
    <row r="6949" spans="1:40" x14ac:dyDescent="0.25">
      <c r="A6949" t="str">
        <f>"20190303162955828"</f>
        <v>20190303162955828</v>
      </c>
      <c r="B6949" t="str">
        <f>"1551601795818769"</f>
        <v>1551601795818769</v>
      </c>
      <c r="C6949" t="s">
        <v>40</v>
      </c>
      <c r="D6949">
        <v>5.3562110000000001</v>
      </c>
      <c r="E6949">
        <v>0.58263699999999996</v>
      </c>
      <c r="F6949" t="s">
        <v>74</v>
      </c>
      <c r="G6949">
        <v>-111.3665</v>
      </c>
      <c r="H6949">
        <v>0.2318983</v>
      </c>
      <c r="I6949">
        <v>157.56739999999999</v>
      </c>
      <c r="J6949">
        <v>-184.6259</v>
      </c>
      <c r="K6949">
        <v>1.10721</v>
      </c>
      <c r="L6949">
        <v>127.935</v>
      </c>
      <c r="M6949">
        <v>0.4654953</v>
      </c>
      <c r="N6949">
        <v>-1.4162839999999999E-2</v>
      </c>
      <c r="O6949">
        <v>0.88493699999999997</v>
      </c>
      <c r="P6949">
        <v>0.82410239999999901</v>
      </c>
      <c r="Q6949">
        <v>0.16428589999999901</v>
      </c>
      <c r="R6949">
        <v>0.54209359999999995</v>
      </c>
      <c r="S6949">
        <v>2.8847049999999999</v>
      </c>
      <c r="T6949">
        <v>-3.4418820000000003E-2</v>
      </c>
      <c r="U6949">
        <v>1.1727289999999999</v>
      </c>
      <c r="V6949">
        <v>0.48260330000000001</v>
      </c>
      <c r="W6949">
        <v>0.1604989</v>
      </c>
      <c r="X6949">
        <v>0.86100769999999904</v>
      </c>
      <c r="Y6949">
        <v>0.64445750000000002</v>
      </c>
      <c r="Z6949">
        <v>-1.5349059999999999E-3</v>
      </c>
      <c r="AA6949">
        <v>0.76463859999999995</v>
      </c>
      <c r="AB6949">
        <v>32</v>
      </c>
      <c r="AC6949">
        <v>73.259399999999999</v>
      </c>
      <c r="AD6949">
        <v>-0.87531170000000003</v>
      </c>
      <c r="AE6949">
        <v>29.632399999999901</v>
      </c>
      <c r="AF6949">
        <v>51.035070000536997</v>
      </c>
      <c r="AG6949">
        <v>-0.87531170000000003</v>
      </c>
      <c r="AH6949">
        <v>60.323365199256898</v>
      </c>
      <c r="AI6949">
        <v>90.634678818479998</v>
      </c>
      <c r="AJ6949">
        <v>49.7679468780685</v>
      </c>
      <c r="AK6949">
        <v>79.020585479321696</v>
      </c>
      <c r="AL6949">
        <v>80.764145135175298</v>
      </c>
      <c r="AM6949">
        <v>60.728940016862303</v>
      </c>
      <c r="AN6949">
        <v>1.0000000507656901</v>
      </c>
    </row>
    <row r="6950" spans="1:40" x14ac:dyDescent="0.25">
      <c r="A6950" t="str">
        <f>"20190303162955840"</f>
        <v>20190303162955840</v>
      </c>
      <c r="B6950" t="str">
        <f>"1551601795828529"</f>
        <v>1551601795828529</v>
      </c>
      <c r="C6950" t="s">
        <v>40</v>
      </c>
      <c r="D6950">
        <v>5.2772350000000001</v>
      </c>
      <c r="E6950">
        <v>0.58281660000000002</v>
      </c>
      <c r="F6950" t="s">
        <v>42</v>
      </c>
      <c r="G6950">
        <v>-98.786270000000002</v>
      </c>
      <c r="H6950">
        <v>-0.05</v>
      </c>
      <c r="I6950">
        <v>161.69929999999999</v>
      </c>
      <c r="J6950">
        <v>-184.5359</v>
      </c>
      <c r="K6950">
        <v>1.107132</v>
      </c>
      <c r="L6950">
        <v>128.09110000000001</v>
      </c>
      <c r="M6950">
        <v>0.47330549999999999</v>
      </c>
      <c r="N6950">
        <v>-1.4186300000000001E-2</v>
      </c>
      <c r="O6950">
        <v>0.88078409999999996</v>
      </c>
      <c r="P6950">
        <v>0.8292235</v>
      </c>
      <c r="Q6950">
        <v>0.16383039999999999</v>
      </c>
      <c r="R6950">
        <v>0.53436709999999998</v>
      </c>
      <c r="S6950">
        <v>2.8982389999999998</v>
      </c>
      <c r="T6950">
        <v>-3.907132E-2</v>
      </c>
      <c r="U6950">
        <v>1.139999</v>
      </c>
      <c r="V6950">
        <v>0.48312749999999999</v>
      </c>
      <c r="W6950">
        <v>0.1599604</v>
      </c>
      <c r="X6950">
        <v>0.86081390000000002</v>
      </c>
      <c r="Y6950">
        <v>0.64637880000000003</v>
      </c>
      <c r="Z6950">
        <v>-3.1936299999999998E-3</v>
      </c>
      <c r="AA6950">
        <v>0.76300999999999997</v>
      </c>
      <c r="AB6950">
        <v>32</v>
      </c>
      <c r="AC6950">
        <v>85.749629999999996</v>
      </c>
      <c r="AD6950">
        <v>-1.157132</v>
      </c>
      <c r="AE6950">
        <v>33.608199999999897</v>
      </c>
      <c r="AF6950">
        <v>59.616555221342999</v>
      </c>
      <c r="AG6950">
        <v>-1.157132</v>
      </c>
      <c r="AH6950">
        <v>70.183325804000305</v>
      </c>
      <c r="AI6950">
        <v>90.7199279475998</v>
      </c>
      <c r="AJ6950">
        <v>49.654081263443601</v>
      </c>
      <c r="AK6950">
        <v>92.0932778862568</v>
      </c>
      <c r="AL6950">
        <v>80.795402673134205</v>
      </c>
      <c r="AM6950">
        <v>60.696898722132303</v>
      </c>
      <c r="AN6950">
        <v>1.0000000406288001</v>
      </c>
    </row>
    <row r="6951" spans="1:40" x14ac:dyDescent="0.25">
      <c r="A6951" t="str">
        <f>"20190303162955853"</f>
        <v>20190303162955853</v>
      </c>
      <c r="B6951" t="str">
        <f>"1551601795849026"</f>
        <v>1551601795849026</v>
      </c>
      <c r="C6951" t="s">
        <v>40</v>
      </c>
      <c r="D6951">
        <v>5.3422929999999997</v>
      </c>
      <c r="E6951">
        <v>0.58295319999999995</v>
      </c>
      <c r="F6951" t="s">
        <v>42</v>
      </c>
      <c r="G6951">
        <v>-102.5154</v>
      </c>
      <c r="H6951">
        <v>-0.05</v>
      </c>
      <c r="I6951">
        <v>159.4119</v>
      </c>
      <c r="J6951">
        <v>-184.44329999999999</v>
      </c>
      <c r="K6951">
        <v>1.107046</v>
      </c>
      <c r="L6951">
        <v>128.2475</v>
      </c>
      <c r="M6951">
        <v>0.4812071</v>
      </c>
      <c r="N6951">
        <v>-1.4211639999999999E-2</v>
      </c>
      <c r="O6951">
        <v>0.87649179999999904</v>
      </c>
      <c r="P6951">
        <v>0.83452700000000002</v>
      </c>
      <c r="Q6951">
        <v>0.16364429999999999</v>
      </c>
      <c r="R6951">
        <v>0.52610380000000001</v>
      </c>
      <c r="S6951">
        <v>2.909897</v>
      </c>
      <c r="T6951">
        <v>-4.105234E-2</v>
      </c>
      <c r="U6951">
        <v>1.111191</v>
      </c>
      <c r="V6951">
        <v>0.48399340000000002</v>
      </c>
      <c r="W6951">
        <v>0.15967519999999999</v>
      </c>
      <c r="X6951">
        <v>0.86038029999999999</v>
      </c>
      <c r="Y6951">
        <v>0.6471249</v>
      </c>
      <c r="Z6951">
        <v>-3.9353950000000004E-3</v>
      </c>
      <c r="AA6951">
        <v>0.76237379999999999</v>
      </c>
      <c r="AB6951">
        <v>32</v>
      </c>
      <c r="AC6951">
        <v>81.927899999999994</v>
      </c>
      <c r="AD6951">
        <v>-1.157046</v>
      </c>
      <c r="AE6951">
        <v>31.164400000000001</v>
      </c>
      <c r="AF6951">
        <v>56.808438414746803</v>
      </c>
      <c r="AG6951">
        <v>-1.157046</v>
      </c>
      <c r="AH6951">
        <v>66.734737126831007</v>
      </c>
      <c r="AI6951">
        <v>90.756392044697293</v>
      </c>
      <c r="AJ6951">
        <v>49.593664482596303</v>
      </c>
      <c r="AK6951">
        <v>87.647376286774502</v>
      </c>
      <c r="AL6951">
        <v>80.811956014240906</v>
      </c>
      <c r="AM6951">
        <v>60.640755099670301</v>
      </c>
      <c r="AN6951">
        <v>1.0000000206833399</v>
      </c>
    </row>
    <row r="6952" spans="1:40" x14ac:dyDescent="0.25">
      <c r="A6952" t="str">
        <f>"20190303162955865"</f>
        <v>20190303162955865</v>
      </c>
      <c r="B6952" t="str">
        <f>"1551601795858786"</f>
        <v>1551601795858786</v>
      </c>
      <c r="C6952" t="s">
        <v>40</v>
      </c>
      <c r="D6952">
        <v>5.3431319999999998</v>
      </c>
      <c r="E6952">
        <v>0.58304449999999997</v>
      </c>
      <c r="F6952" t="s">
        <v>41</v>
      </c>
      <c r="G6952">
        <v>-115.4474</v>
      </c>
      <c r="H6952">
        <v>7.9985689999999998E-2</v>
      </c>
      <c r="I6952">
        <v>153.78190000000001</v>
      </c>
      <c r="J6952">
        <v>-184.35059999999999</v>
      </c>
      <c r="K6952">
        <v>1.106962</v>
      </c>
      <c r="L6952">
        <v>128.40190000000001</v>
      </c>
      <c r="M6952">
        <v>0.48902800000000002</v>
      </c>
      <c r="N6952">
        <v>-1.423663E-2</v>
      </c>
      <c r="O6952">
        <v>0.87215189999999998</v>
      </c>
      <c r="P6952">
        <v>0.83985659999999895</v>
      </c>
      <c r="Q6952">
        <v>0.1630878</v>
      </c>
      <c r="R6952">
        <v>0.51772899999999999</v>
      </c>
      <c r="S6952">
        <v>2.9217070000000001</v>
      </c>
      <c r="T6952">
        <v>-4.3491960000000003E-2</v>
      </c>
      <c r="U6952">
        <v>1.0812839999999999</v>
      </c>
      <c r="V6952">
        <v>0.48501060000000001</v>
      </c>
      <c r="W6952">
        <v>0.15901379999999901</v>
      </c>
      <c r="X6952">
        <v>0.85992990000000002</v>
      </c>
      <c r="Y6952">
        <v>0.64816680000000004</v>
      </c>
      <c r="Z6952">
        <v>-4.8331390000000002E-3</v>
      </c>
      <c r="AA6952">
        <v>0.76148300000000002</v>
      </c>
      <c r="AB6952">
        <v>32</v>
      </c>
      <c r="AC6952">
        <v>68.903199999999899</v>
      </c>
      <c r="AD6952">
        <v>-1.02697631</v>
      </c>
      <c r="AE6952">
        <v>25.3799999999999</v>
      </c>
      <c r="AF6952">
        <v>47.678032780568401</v>
      </c>
      <c r="AG6952">
        <v>-1.02697631</v>
      </c>
      <c r="AH6952">
        <v>55.825548080461999</v>
      </c>
      <c r="AI6952">
        <v>90.801443617515105</v>
      </c>
      <c r="AJ6952">
        <v>49.500884001995303</v>
      </c>
      <c r="AK6952">
        <v>73.421667841654497</v>
      </c>
      <c r="AL6952">
        <v>80.850342184904903</v>
      </c>
      <c r="AM6952">
        <v>60.5764893361901</v>
      </c>
      <c r="AN6952">
        <v>1.0000000518084</v>
      </c>
    </row>
    <row r="6953" spans="1:40" x14ac:dyDescent="0.25">
      <c r="A6953" t="str">
        <f>"20190303162955875"</f>
        <v>20190303162955875</v>
      </c>
      <c r="B6953" t="str">
        <f>"1551601795868545"</f>
        <v>1551601795868545</v>
      </c>
      <c r="C6953" t="s">
        <v>40</v>
      </c>
      <c r="D6953">
        <v>5.3294030000000001</v>
      </c>
      <c r="E6953">
        <v>0.58309409999999995</v>
      </c>
      <c r="F6953" t="s">
        <v>41</v>
      </c>
      <c r="G6953">
        <v>-116.6799</v>
      </c>
      <c r="H6953">
        <v>7.9986009999999996E-2</v>
      </c>
      <c r="I6953">
        <v>152.64949999999999</v>
      </c>
      <c r="J6953">
        <v>-184.26689999999999</v>
      </c>
      <c r="K6953">
        <v>1.106887</v>
      </c>
      <c r="L6953">
        <v>128.53749999999999</v>
      </c>
      <c r="M6953">
        <v>0.49597459999999999</v>
      </c>
      <c r="N6953">
        <v>-1.4260170000000001E-2</v>
      </c>
      <c r="O6953">
        <v>0.86821990000000004</v>
      </c>
      <c r="P6953">
        <v>0.84442379999999995</v>
      </c>
      <c r="Q6953">
        <v>0.1613137</v>
      </c>
      <c r="R6953">
        <v>0.51080939999999997</v>
      </c>
      <c r="S6953">
        <v>2.932877</v>
      </c>
      <c r="T6953">
        <v>-4.4509529999999999E-2</v>
      </c>
      <c r="U6953">
        <v>1.0509029999999999</v>
      </c>
      <c r="V6953">
        <v>0.4854752</v>
      </c>
      <c r="W6953">
        <v>0.15716659999999999</v>
      </c>
      <c r="X6953">
        <v>0.86000719999999997</v>
      </c>
      <c r="Y6953">
        <v>0.64999449999999903</v>
      </c>
      <c r="Z6953">
        <v>-5.2522009999999997E-3</v>
      </c>
      <c r="AA6953">
        <v>0.75992079999999995</v>
      </c>
      <c r="AB6953">
        <v>32</v>
      </c>
      <c r="AC6953">
        <v>67.586999999999904</v>
      </c>
      <c r="AD6953">
        <v>-1.0269009899999999</v>
      </c>
      <c r="AE6953">
        <v>24.111999999999899</v>
      </c>
      <c r="AF6953">
        <v>46.716624221394198</v>
      </c>
      <c r="AG6953">
        <v>-1.0269009899999999</v>
      </c>
      <c r="AH6953">
        <v>54.450341879104997</v>
      </c>
      <c r="AI6953">
        <v>90.820035282416498</v>
      </c>
      <c r="AJ6953">
        <v>49.371478730141597</v>
      </c>
      <c r="AK6953">
        <v>71.751914504336696</v>
      </c>
      <c r="AL6953">
        <v>80.957525886146399</v>
      </c>
      <c r="AM6953">
        <v>60.555214697896901</v>
      </c>
      <c r="AN6953">
        <v>0.99999994701121797</v>
      </c>
    </row>
    <row r="6954" spans="1:40" x14ac:dyDescent="0.25">
      <c r="A6954" t="str">
        <f>"20190303162955886"</f>
        <v>20190303162955886</v>
      </c>
      <c r="B6954" t="str">
        <f>"1551601795879281"</f>
        <v>1551601795879281</v>
      </c>
      <c r="C6954" t="s">
        <v>40</v>
      </c>
      <c r="D6954">
        <v>5.3148799999999996</v>
      </c>
      <c r="E6954">
        <v>0.58314999999999995</v>
      </c>
      <c r="F6954" t="s">
        <v>41</v>
      </c>
      <c r="G6954">
        <v>-122.4772</v>
      </c>
      <c r="H6954">
        <v>7.9986130000000003E-2</v>
      </c>
      <c r="I6954">
        <v>150.0788</v>
      </c>
      <c r="J6954">
        <v>-184.1901</v>
      </c>
      <c r="K6954">
        <v>1.1068229999999999</v>
      </c>
      <c r="L6954">
        <v>128.66079999999999</v>
      </c>
      <c r="M6954">
        <v>0.50229590000000002</v>
      </c>
      <c r="N6954">
        <v>-1.428138E-2</v>
      </c>
      <c r="O6954">
        <v>0.86457790000000001</v>
      </c>
      <c r="P6954">
        <v>0.84833829999999999</v>
      </c>
      <c r="Q6954">
        <v>0.15987219999999999</v>
      </c>
      <c r="R6954">
        <v>0.50474059999999998</v>
      </c>
      <c r="S6954">
        <v>2.9416959999999999</v>
      </c>
      <c r="T6954">
        <v>-4.8888920000000002E-2</v>
      </c>
      <c r="U6954">
        <v>1.0255430000000001</v>
      </c>
      <c r="V6954">
        <v>0.48557820000000002</v>
      </c>
      <c r="W6954">
        <v>0.15567039999999999</v>
      </c>
      <c r="X6954">
        <v>0.86022119999999902</v>
      </c>
      <c r="Y6954">
        <v>0.65098540000000005</v>
      </c>
      <c r="Z6954">
        <v>-6.792251E-3</v>
      </c>
      <c r="AA6954">
        <v>0.75905979999999995</v>
      </c>
      <c r="AB6954">
        <v>32</v>
      </c>
      <c r="AC6954">
        <v>61.712899999999998</v>
      </c>
      <c r="AD6954">
        <v>-1.0268368699999999</v>
      </c>
      <c r="AE6954">
        <v>21.417999999999999</v>
      </c>
      <c r="AF6954">
        <v>42.5912550670771</v>
      </c>
      <c r="AG6954">
        <v>-1.0268368699999999</v>
      </c>
      <c r="AH6954">
        <v>49.508481451619701</v>
      </c>
      <c r="AI6954">
        <v>90.900789783668202</v>
      </c>
      <c r="AJ6954">
        <v>49.295182500505398</v>
      </c>
      <c r="AK6954">
        <v>65.315841400014094</v>
      </c>
      <c r="AL6954">
        <v>81.044320571735597</v>
      </c>
      <c r="AM6954">
        <v>60.5561139532212</v>
      </c>
      <c r="AN6954">
        <v>0.99999998734041895</v>
      </c>
    </row>
    <row r="6955" spans="1:40" x14ac:dyDescent="0.25">
      <c r="A6955" t="str">
        <f>"20190303162955895"</f>
        <v>20190303162955895</v>
      </c>
      <c r="B6955" t="str">
        <f>"1551601795889042"</f>
        <v>1551601795889042</v>
      </c>
      <c r="C6955" t="s">
        <v>40</v>
      </c>
      <c r="D6955">
        <v>5.3106299999999997</v>
      </c>
      <c r="E6955">
        <v>0.58327229999999997</v>
      </c>
      <c r="F6955" t="s">
        <v>41</v>
      </c>
      <c r="G6955">
        <v>-122.5904</v>
      </c>
      <c r="H6955">
        <v>2.1287569999999999E-2</v>
      </c>
      <c r="I6955">
        <v>149.6163</v>
      </c>
      <c r="J6955">
        <v>-184.1088</v>
      </c>
      <c r="K6955">
        <v>1.1067499999999999</v>
      </c>
      <c r="L6955">
        <v>128.78809999999999</v>
      </c>
      <c r="M6955">
        <v>0.50889189999999995</v>
      </c>
      <c r="N6955">
        <v>-1.4304519999999999E-2</v>
      </c>
      <c r="O6955">
        <v>0.86071160000000002</v>
      </c>
      <c r="P6955">
        <v>0.8520548</v>
      </c>
      <c r="Q6955">
        <v>0.15885160000000001</v>
      </c>
      <c r="R6955">
        <v>0.49876730000000002</v>
      </c>
      <c r="S6955">
        <v>2.9491879999999999</v>
      </c>
      <c r="T6955">
        <v>-5.1971789999999997E-2</v>
      </c>
      <c r="U6955">
        <v>1.0032810000000001</v>
      </c>
      <c r="V6955">
        <v>0.48519790000000002</v>
      </c>
      <c r="W6955">
        <v>0.1546138</v>
      </c>
      <c r="X6955">
        <v>0.86062629999999996</v>
      </c>
      <c r="Y6955">
        <v>0.65089370000000002</v>
      </c>
      <c r="Z6955">
        <v>-7.8822639999999999E-3</v>
      </c>
      <c r="AA6955">
        <v>0.75912800000000002</v>
      </c>
      <c r="AB6955">
        <v>32</v>
      </c>
      <c r="AC6955">
        <v>61.5184</v>
      </c>
      <c r="AD6955">
        <v>-1.08546243</v>
      </c>
      <c r="AE6955">
        <v>20.828199999999999</v>
      </c>
      <c r="AF6955">
        <v>42.342803963100899</v>
      </c>
      <c r="AG6955">
        <v>-1.08546243</v>
      </c>
      <c r="AH6955">
        <v>49.224576543435397</v>
      </c>
      <c r="AI6955">
        <v>90.957741085577695</v>
      </c>
      <c r="AJ6955">
        <v>49.298000635769398</v>
      </c>
      <c r="AK6955">
        <v>64.939588942532396</v>
      </c>
      <c r="AL6955">
        <v>81.105601644497497</v>
      </c>
      <c r="AM6955">
        <v>60.586868584146302</v>
      </c>
      <c r="AN6955">
        <v>1.00000002878326</v>
      </c>
    </row>
    <row r="6956" spans="1:40" x14ac:dyDescent="0.25">
      <c r="A6956" t="str">
        <f>"20190303162955907"</f>
        <v>20190303162955907</v>
      </c>
      <c r="B6956" t="str">
        <f>"1551601795898802"</f>
        <v>1551601795898802</v>
      </c>
      <c r="C6956" t="s">
        <v>40</v>
      </c>
      <c r="D6956">
        <v>5.4024650000000003</v>
      </c>
      <c r="E6956">
        <v>0.58320109999999903</v>
      </c>
      <c r="F6956" t="s">
        <v>41</v>
      </c>
      <c r="G6956">
        <v>-123.3359</v>
      </c>
      <c r="H6956" s="1">
        <v>-4.7954020000000003E-6</v>
      </c>
      <c r="I6956">
        <v>148.9442</v>
      </c>
      <c r="J6956">
        <v>-184.02289999999999</v>
      </c>
      <c r="K6956">
        <v>1.106679</v>
      </c>
      <c r="L6956">
        <v>128.9212</v>
      </c>
      <c r="M6956">
        <v>0.51580409999999999</v>
      </c>
      <c r="N6956">
        <v>-1.432869E-2</v>
      </c>
      <c r="O6956">
        <v>0.85658679999999998</v>
      </c>
      <c r="P6956">
        <v>0.85593419999999898</v>
      </c>
      <c r="Q6956">
        <v>0.15848389999999901</v>
      </c>
      <c r="R6956">
        <v>0.49219849999999998</v>
      </c>
      <c r="S6956">
        <v>2.9568789999999998</v>
      </c>
      <c r="T6956">
        <v>-5.384862E-2</v>
      </c>
      <c r="U6956">
        <v>0.98068239999999995</v>
      </c>
      <c r="V6956">
        <v>0.48496080000000003</v>
      </c>
      <c r="W6956">
        <v>0.15420059999999999</v>
      </c>
      <c r="X6956">
        <v>0.86083410000000005</v>
      </c>
      <c r="Y6956">
        <v>0.6505919</v>
      </c>
      <c r="Z6956">
        <v>-8.5623899999999996E-3</v>
      </c>
      <c r="AA6956">
        <v>0.75937919999999903</v>
      </c>
      <c r="AB6956">
        <v>32</v>
      </c>
      <c r="AC6956">
        <v>60.686999999999998</v>
      </c>
      <c r="AD6956">
        <v>-1.1066837954019999</v>
      </c>
      <c r="AE6956">
        <v>20.023</v>
      </c>
      <c r="AF6956">
        <v>41.647521680844598</v>
      </c>
      <c r="AG6956">
        <v>-1.1066837954019999</v>
      </c>
      <c r="AH6956">
        <v>48.444484095412697</v>
      </c>
      <c r="AI6956">
        <v>90.992428010542397</v>
      </c>
      <c r="AJ6956">
        <v>49.314488177122897</v>
      </c>
      <c r="AK6956">
        <v>63.8952959962634</v>
      </c>
      <c r="AL6956">
        <v>81.129564043682194</v>
      </c>
      <c r="AM6956">
        <v>60.604763484278301</v>
      </c>
      <c r="AN6956">
        <v>1.0000000751499001</v>
      </c>
    </row>
    <row r="6957" spans="1:40" x14ac:dyDescent="0.25">
      <c r="A6957" t="str">
        <f>"20190303162955918"</f>
        <v>20190303162955918</v>
      </c>
      <c r="B6957" t="str">
        <f>"1551601795908561"</f>
        <v>1551601795908561</v>
      </c>
      <c r="C6957" t="s">
        <v>40</v>
      </c>
      <c r="D6957">
        <v>5.3044289999999998</v>
      </c>
      <c r="E6957">
        <v>0.58323159999999996</v>
      </c>
      <c r="F6957" t="s">
        <v>41</v>
      </c>
      <c r="G6957">
        <v>-123.4633</v>
      </c>
      <c r="H6957" s="1">
        <v>-4.6701099999999901E-6</v>
      </c>
      <c r="I6957">
        <v>148.4821</v>
      </c>
      <c r="J6957">
        <v>-183.92830000000001</v>
      </c>
      <c r="K6957">
        <v>1.1066020000000001</v>
      </c>
      <c r="L6957">
        <v>129.06450000000001</v>
      </c>
      <c r="M6957">
        <v>0.52330239999999995</v>
      </c>
      <c r="N6957">
        <v>-1.435554E-2</v>
      </c>
      <c r="O6957">
        <v>0.85202610000000001</v>
      </c>
      <c r="P6957">
        <v>0.86018130000000004</v>
      </c>
      <c r="Q6957">
        <v>0.15842519999999999</v>
      </c>
      <c r="R6957">
        <v>0.4847572</v>
      </c>
      <c r="S6957">
        <v>2.9643860000000002</v>
      </c>
      <c r="T6957">
        <v>-5.4172039999999998E-2</v>
      </c>
      <c r="U6957">
        <v>0.95750429999999997</v>
      </c>
      <c r="V6957">
        <v>0.48490519999999998</v>
      </c>
      <c r="W6957">
        <v>0.15408239999999901</v>
      </c>
      <c r="X6957">
        <v>0.8608865</v>
      </c>
      <c r="Y6957">
        <v>0.64986369999999904</v>
      </c>
      <c r="Z6957">
        <v>-8.7188219999999993E-3</v>
      </c>
      <c r="AA6957">
        <v>0.76000080000000003</v>
      </c>
      <c r="AB6957">
        <v>32</v>
      </c>
      <c r="AC6957">
        <v>60.465000000000003</v>
      </c>
      <c r="AD6957">
        <v>-1.1066066701099999</v>
      </c>
      <c r="AE6957">
        <v>19.4176</v>
      </c>
      <c r="AF6957">
        <v>41.3481896149042</v>
      </c>
      <c r="AG6957">
        <v>-1.1066066701099999</v>
      </c>
      <c r="AH6957">
        <v>48.176120523643696</v>
      </c>
      <c r="AI6957">
        <v>90.998588307153298</v>
      </c>
      <c r="AJ6957">
        <v>49.361448922133597</v>
      </c>
      <c r="AK6957">
        <v>63.4967396915861</v>
      </c>
      <c r="AL6957">
        <v>81.136417671506393</v>
      </c>
      <c r="AM6957">
        <v>60.609063971212798</v>
      </c>
      <c r="AN6957">
        <v>1.0000000024295199</v>
      </c>
    </row>
    <row r="6958" spans="1:40" x14ac:dyDescent="0.25">
      <c r="A6958" t="str">
        <f>"20190303162955931"</f>
        <v>20190303162955931</v>
      </c>
      <c r="B6958" t="str">
        <f>"1551601795919297"</f>
        <v>1551601795919297</v>
      </c>
      <c r="C6958" t="s">
        <v>40</v>
      </c>
      <c r="D6958">
        <v>5.4241900000000003</v>
      </c>
      <c r="E6958">
        <v>0.58323539999999996</v>
      </c>
      <c r="F6958" t="s">
        <v>41</v>
      </c>
      <c r="G6958">
        <v>-121.2633</v>
      </c>
      <c r="H6958" s="1">
        <v>-5.4542469999999996E-6</v>
      </c>
      <c r="I6958">
        <v>148.68219999999999</v>
      </c>
      <c r="J6958">
        <v>-183.82650000000001</v>
      </c>
      <c r="K6958">
        <v>1.106528</v>
      </c>
      <c r="L6958">
        <v>129.21539999999999</v>
      </c>
      <c r="M6958">
        <v>0.53126839999999997</v>
      </c>
      <c r="N6958">
        <v>-1.4384650000000001E-2</v>
      </c>
      <c r="O6958">
        <v>0.84708139999999998</v>
      </c>
      <c r="P6958">
        <v>0.86485219999999896</v>
      </c>
      <c r="Q6958">
        <v>0.15898799999999999</v>
      </c>
      <c r="R6958">
        <v>0.47618660000000002</v>
      </c>
      <c r="S6958">
        <v>2.9728240000000001</v>
      </c>
      <c r="T6958">
        <v>-5.2497389999999998E-2</v>
      </c>
      <c r="U6958">
        <v>0.93066409999999999</v>
      </c>
      <c r="V6958">
        <v>0.48534949999999999</v>
      </c>
      <c r="W6958">
        <v>0.15456059999999999</v>
      </c>
      <c r="X6958">
        <v>0.86055029999999999</v>
      </c>
      <c r="Y6958">
        <v>0.6496073</v>
      </c>
      <c r="Z6958">
        <v>-8.2148529999999994E-3</v>
      </c>
      <c r="AA6958">
        <v>0.7602255</v>
      </c>
      <c r="AB6958">
        <v>32</v>
      </c>
      <c r="AC6958">
        <v>62.563200000000002</v>
      </c>
      <c r="AD6958">
        <v>-1.106533454247</v>
      </c>
      <c r="AE6958">
        <v>19.466799999999999</v>
      </c>
      <c r="AF6958">
        <v>42.646279566831801</v>
      </c>
      <c r="AG6958">
        <v>-1.106533454247</v>
      </c>
      <c r="AH6958">
        <v>49.718782670610302</v>
      </c>
      <c r="AI6958">
        <v>90.967795719885402</v>
      </c>
      <c r="AJ6958">
        <v>49.378662009302801</v>
      </c>
      <c r="AK6958">
        <v>65.512494437512601</v>
      </c>
      <c r="AL6958">
        <v>81.1086863178096</v>
      </c>
      <c r="AM6958">
        <v>60.577045623987601</v>
      </c>
      <c r="AN6958">
        <v>0.99999996752634901</v>
      </c>
    </row>
    <row r="6959" spans="1:40" x14ac:dyDescent="0.25">
      <c r="A6959" t="str">
        <f>"20190303162955947"</f>
        <v>20190303162955947</v>
      </c>
      <c r="B6959" t="str">
        <f>"1551601795938817"</f>
        <v>1551601795938817</v>
      </c>
      <c r="C6959" t="s">
        <v>40</v>
      </c>
      <c r="D6959">
        <v>5.2844540000000002</v>
      </c>
      <c r="E6959">
        <v>0.58354289999999998</v>
      </c>
      <c r="F6959" t="s">
        <v>41</v>
      </c>
      <c r="G6959">
        <v>-116.2525</v>
      </c>
      <c r="H6959">
        <v>4.3642569999999999E-2</v>
      </c>
      <c r="I6959">
        <v>149.6163</v>
      </c>
      <c r="J6959">
        <v>-183.6961</v>
      </c>
      <c r="K6959">
        <v>1.106433</v>
      </c>
      <c r="L6959">
        <v>129.405</v>
      </c>
      <c r="M6959">
        <v>0.54133109999999995</v>
      </c>
      <c r="N6959">
        <v>-1.442157E-2</v>
      </c>
      <c r="O6959">
        <v>0.84068580000000004</v>
      </c>
      <c r="P6959">
        <v>0.87097809999999898</v>
      </c>
      <c r="Q6959">
        <v>0.15988720000000001</v>
      </c>
      <c r="R6959">
        <v>0.4645784</v>
      </c>
      <c r="S6959">
        <v>2.9817659999999999</v>
      </c>
      <c r="T6959">
        <v>-4.6900749999999998E-2</v>
      </c>
      <c r="U6959">
        <v>0.90020750000000005</v>
      </c>
      <c r="V6959">
        <v>0.4865292</v>
      </c>
      <c r="W6959">
        <v>0.15532509999999999</v>
      </c>
      <c r="X6959">
        <v>0.85974619999999902</v>
      </c>
      <c r="Y6959">
        <v>0.64830639999999995</v>
      </c>
      <c r="Z6959">
        <v>-6.4088230000000001E-3</v>
      </c>
      <c r="AA6959">
        <v>0.76135269999999899</v>
      </c>
      <c r="AB6959">
        <v>32</v>
      </c>
      <c r="AC6959">
        <v>67.443600000000004</v>
      </c>
      <c r="AD6959">
        <v>-1.06279043</v>
      </c>
      <c r="AE6959">
        <v>20.211299999999898</v>
      </c>
      <c r="AF6959">
        <v>45.7522067018296</v>
      </c>
      <c r="AG6959">
        <v>-1.06279043</v>
      </c>
      <c r="AH6959">
        <v>53.494047663693699</v>
      </c>
      <c r="AI6959">
        <v>90.865009359566599</v>
      </c>
      <c r="AJ6959">
        <v>49.4604037642465</v>
      </c>
      <c r="AK6959">
        <v>70.398913890986805</v>
      </c>
      <c r="AL6959">
        <v>81.064348881956107</v>
      </c>
      <c r="AM6959">
        <v>60.494537828077597</v>
      </c>
      <c r="AN6959">
        <v>1.0000000387785399</v>
      </c>
    </row>
    <row r="6960" spans="1:40" x14ac:dyDescent="0.25">
      <c r="A6960" t="str">
        <f>"20190303162955960"</f>
        <v>20190303162955960</v>
      </c>
      <c r="B6960" t="str">
        <f>"1551601795948577"</f>
        <v>1551601795948577</v>
      </c>
      <c r="C6960" t="s">
        <v>40</v>
      </c>
      <c r="D6960">
        <v>5.5794940000000004</v>
      </c>
      <c r="E6960">
        <v>0.59615079999999998</v>
      </c>
      <c r="F6960" t="s">
        <v>41</v>
      </c>
      <c r="G6960">
        <v>-113.0967</v>
      </c>
      <c r="H6960">
        <v>6.7165489999999994E-2</v>
      </c>
      <c r="I6960">
        <v>149.6335</v>
      </c>
      <c r="J6960">
        <v>-183.5813</v>
      </c>
      <c r="K6960">
        <v>1.1063480000000001</v>
      </c>
      <c r="L6960">
        <v>129.56780000000001</v>
      </c>
      <c r="M6960">
        <v>0.55004779999999998</v>
      </c>
      <c r="N6960">
        <v>-1.44542E-2</v>
      </c>
      <c r="O6960">
        <v>0.83500810000000003</v>
      </c>
      <c r="P6960">
        <v>0.87646970000000002</v>
      </c>
      <c r="Q6960">
        <v>0.16008549999999999</v>
      </c>
      <c r="R6960">
        <v>0.45406370000000001</v>
      </c>
      <c r="S6960">
        <v>2.9947810000000001</v>
      </c>
      <c r="T6960">
        <v>-4.4085029999999997E-2</v>
      </c>
      <c r="U6960">
        <v>0.85807800000000001</v>
      </c>
      <c r="V6960">
        <v>0.4879423</v>
      </c>
      <c r="W6960">
        <v>0.15539059999999999</v>
      </c>
      <c r="X6960">
        <v>0.85893319999999995</v>
      </c>
      <c r="Y6960">
        <v>0.65116459999999998</v>
      </c>
      <c r="Z6960">
        <v>-5.5721540000000002E-3</v>
      </c>
      <c r="AA6960">
        <v>0.75891609999999998</v>
      </c>
      <c r="AB6960">
        <v>32</v>
      </c>
      <c r="AC6960">
        <v>70.4846</v>
      </c>
      <c r="AD6960">
        <v>-1.0391825099999901</v>
      </c>
      <c r="AE6960">
        <v>20.0657</v>
      </c>
      <c r="AF6960">
        <v>47.813498984529701</v>
      </c>
      <c r="AG6960">
        <v>-1.0391825099999901</v>
      </c>
      <c r="AH6960">
        <v>55.519557987858001</v>
      </c>
      <c r="AI6960">
        <v>90.812562473709605</v>
      </c>
      <c r="AJ6960">
        <v>49.264936011525101</v>
      </c>
      <c r="AK6960">
        <v>73.277772240972496</v>
      </c>
      <c r="AL6960">
        <v>81.060550293062704</v>
      </c>
      <c r="AM6960">
        <v>60.399983315521297</v>
      </c>
      <c r="AN6960">
        <v>1.0000000843799399</v>
      </c>
    </row>
    <row r="6961" spans="1:40" x14ac:dyDescent="0.25">
      <c r="A6961" t="str">
        <f>"20190303162955973"</f>
        <v>20190303162955973</v>
      </c>
      <c r="B6961" t="str">
        <f>"1551601795959313"</f>
        <v>1551601795959313</v>
      </c>
      <c r="C6961" t="s">
        <v>40</v>
      </c>
      <c r="D6961">
        <v>5.5766070000000001</v>
      </c>
      <c r="E6961">
        <v>0.59484389999999998</v>
      </c>
      <c r="F6961" t="s">
        <v>41</v>
      </c>
      <c r="G6961">
        <v>-166.9247</v>
      </c>
      <c r="H6961" s="1">
        <v>-2.7590959999999999E-6</v>
      </c>
      <c r="I6961">
        <v>133.6259</v>
      </c>
      <c r="J6961">
        <v>-183.4683</v>
      </c>
      <c r="K6961">
        <v>1.1062730000000001</v>
      </c>
      <c r="L6961">
        <v>129.72399999999999</v>
      </c>
      <c r="M6961">
        <v>0.5584924</v>
      </c>
      <c r="N6961">
        <v>-1.448639E-2</v>
      </c>
      <c r="O6961">
        <v>0.82938310000000004</v>
      </c>
      <c r="P6961">
        <v>0.88244330000000004</v>
      </c>
      <c r="Q6961">
        <v>0.16027520000000001</v>
      </c>
      <c r="R6961">
        <v>0.44227329999999998</v>
      </c>
      <c r="S6961">
        <v>3.072311</v>
      </c>
      <c r="T6961">
        <v>-0.20406569999999999</v>
      </c>
      <c r="U6961">
        <v>0.74850459999999996</v>
      </c>
      <c r="V6961">
        <v>0.4907531</v>
      </c>
      <c r="W6961">
        <v>0.15539149999999999</v>
      </c>
      <c r="X6961">
        <v>0.85733009999999998</v>
      </c>
      <c r="Y6961">
        <v>0.67158629999999997</v>
      </c>
      <c r="Z6961">
        <v>-5.8466730000000001E-2</v>
      </c>
      <c r="AA6961">
        <v>0.73861589999999999</v>
      </c>
      <c r="AB6961">
        <v>32</v>
      </c>
      <c r="AC6961">
        <v>16.543599999999898</v>
      </c>
      <c r="AD6961">
        <v>-1.106275759096</v>
      </c>
      <c r="AE6961">
        <v>3.9019000000000101</v>
      </c>
      <c r="AF6961">
        <v>11.494322387534901</v>
      </c>
      <c r="AG6961">
        <v>-1.106275759096</v>
      </c>
      <c r="AH6961">
        <v>12.424324954173199</v>
      </c>
      <c r="AI6961">
        <v>93.739547782275196</v>
      </c>
      <c r="AJ6961">
        <v>47.226647407378898</v>
      </c>
      <c r="AK6961">
        <v>16.961932194494899</v>
      </c>
      <c r="AL6961">
        <v>81.060497439537201</v>
      </c>
      <c r="AM6961">
        <v>60.212304730687599</v>
      </c>
      <c r="AN6961">
        <v>1.0000000118989301</v>
      </c>
    </row>
    <row r="6962" spans="1:40" x14ac:dyDescent="0.25">
      <c r="A6962" t="str">
        <f>"20190303162955984"</f>
        <v>20190303162955984</v>
      </c>
      <c r="B6962" t="str">
        <f>"1551601795978834"</f>
        <v>1551601795978834</v>
      </c>
      <c r="C6962" t="s">
        <v>40</v>
      </c>
      <c r="D6962">
        <v>5.2132839999999998</v>
      </c>
      <c r="E6962">
        <v>0.59573790000000004</v>
      </c>
      <c r="F6962" t="s">
        <v>41</v>
      </c>
      <c r="G6962">
        <v>-166.67429999999999</v>
      </c>
      <c r="H6962" s="1">
        <v>-2.8524180000000001E-6</v>
      </c>
      <c r="I6962">
        <v>133.63650000000001</v>
      </c>
      <c r="J6962">
        <v>-183.3741</v>
      </c>
      <c r="K6962">
        <v>1.1062050000000001</v>
      </c>
      <c r="L6962">
        <v>129.8527</v>
      </c>
      <c r="M6962">
        <v>0.56545749999999995</v>
      </c>
      <c r="N6962">
        <v>-1.451235E-2</v>
      </c>
      <c r="O6962">
        <v>0.82464979999999999</v>
      </c>
      <c r="P6962">
        <v>0.88661999999999996</v>
      </c>
      <c r="Q6962">
        <v>0.1606011</v>
      </c>
      <c r="R6962">
        <v>0.43371929999999997</v>
      </c>
      <c r="S6962">
        <v>3.0771639999999998</v>
      </c>
      <c r="T6962">
        <v>-0.20270350000000001</v>
      </c>
      <c r="U6962">
        <v>0.71688839999999998</v>
      </c>
      <c r="V6962">
        <v>0.49181330000000001</v>
      </c>
      <c r="W6962">
        <v>0.15561529999999901</v>
      </c>
      <c r="X6962">
        <v>0.85668180000000005</v>
      </c>
      <c r="Y6962">
        <v>0.67282889999999995</v>
      </c>
      <c r="Z6962">
        <v>-5.8077719999999999E-2</v>
      </c>
      <c r="AA6962">
        <v>0.73751499999999903</v>
      </c>
      <c r="AB6962">
        <v>32</v>
      </c>
      <c r="AC6962">
        <v>16.6998</v>
      </c>
      <c r="AD6962">
        <v>-1.1062078524179999</v>
      </c>
      <c r="AE6962">
        <v>3.78380000000001</v>
      </c>
      <c r="AF6962">
        <v>11.584783198944899</v>
      </c>
      <c r="AG6962">
        <v>-1.1062078524179999</v>
      </c>
      <c r="AH6962">
        <v>12.512438045774299</v>
      </c>
      <c r="AI6962">
        <v>93.711741321489498</v>
      </c>
      <c r="AJ6962">
        <v>47.204589253789699</v>
      </c>
      <c r="AK6962">
        <v>17.0877735070619</v>
      </c>
      <c r="AL6962">
        <v>81.047517308631996</v>
      </c>
      <c r="AM6962">
        <v>60.140255004270799</v>
      </c>
      <c r="AN6962">
        <v>1.0000000750511</v>
      </c>
    </row>
    <row r="6963" spans="1:40" x14ac:dyDescent="0.25">
      <c r="A6963" t="str">
        <f>"20190303162955995"</f>
        <v>20190303162955995</v>
      </c>
      <c r="B6963" t="str">
        <f>"1551601795988593"</f>
        <v>1551601795988593</v>
      </c>
      <c r="C6963" t="s">
        <v>40</v>
      </c>
      <c r="D6963">
        <v>5.1960470000000001</v>
      </c>
      <c r="E6963">
        <v>0.59689969999999903</v>
      </c>
      <c r="F6963" t="s">
        <v>41</v>
      </c>
      <c r="G6963">
        <v>-165.32040000000001</v>
      </c>
      <c r="H6963" s="1">
        <v>-3.3203970000000001E-6</v>
      </c>
      <c r="I6963">
        <v>133.83160000000001</v>
      </c>
      <c r="J6963">
        <v>-183.27510000000001</v>
      </c>
      <c r="K6963">
        <v>1.1061369999999999</v>
      </c>
      <c r="L6963">
        <v>129.98400000000001</v>
      </c>
      <c r="M6963">
        <v>0.57265250000000001</v>
      </c>
      <c r="N6963">
        <v>-1.453956E-2</v>
      </c>
      <c r="O6963">
        <v>0.81966919999999899</v>
      </c>
      <c r="P6963">
        <v>0.89051399999999903</v>
      </c>
      <c r="Q6963">
        <v>0.161138</v>
      </c>
      <c r="R6963">
        <v>0.42546390000000001</v>
      </c>
      <c r="S6963">
        <v>3.0852360000000001</v>
      </c>
      <c r="T6963">
        <v>-0.18904319999999999</v>
      </c>
      <c r="U6963">
        <v>0.67997739999999995</v>
      </c>
      <c r="V6963">
        <v>0.49224089999999998</v>
      </c>
      <c r="W6963">
        <v>0.1560783</v>
      </c>
      <c r="X6963">
        <v>0.85635190000000005</v>
      </c>
      <c r="Y6963">
        <v>0.6754675</v>
      </c>
      <c r="Z6963">
        <v>-5.3639340000000001E-2</v>
      </c>
      <c r="AA6963">
        <v>0.73543630000000004</v>
      </c>
      <c r="AB6963">
        <v>32</v>
      </c>
      <c r="AC6963">
        <v>17.954699999999999</v>
      </c>
      <c r="AD6963">
        <v>-1.1061403203969999</v>
      </c>
      <c r="AE6963">
        <v>3.8475999999999999</v>
      </c>
      <c r="AF6963">
        <v>12.4696504087322</v>
      </c>
      <c r="AG6963">
        <v>-1.1061403203969999</v>
      </c>
      <c r="AH6963">
        <v>13.3884001892546</v>
      </c>
      <c r="AI6963">
        <v>93.459790541953097</v>
      </c>
      <c r="AJ6963">
        <v>47.034892382824403</v>
      </c>
      <c r="AK6963">
        <v>18.329347706670799</v>
      </c>
      <c r="AL6963">
        <v>81.020661061921501</v>
      </c>
      <c r="AM6963">
        <v>60.109216514567997</v>
      </c>
      <c r="AN6963">
        <v>1.0000000579986501</v>
      </c>
    </row>
    <row r="6964" spans="1:40" x14ac:dyDescent="0.25">
      <c r="A6964" t="str">
        <f>"20190303162956006"</f>
        <v>20190303162956006</v>
      </c>
      <c r="B6964" t="str">
        <f>"1551601795999330"</f>
        <v>1551601795999330</v>
      </c>
      <c r="C6964" t="s">
        <v>40</v>
      </c>
      <c r="D6964">
        <v>5.2176999999999998</v>
      </c>
      <c r="E6964">
        <v>0.59739719999999996</v>
      </c>
      <c r="F6964" t="s">
        <v>41</v>
      </c>
      <c r="G6964">
        <v>-163.95750000000001</v>
      </c>
      <c r="H6964" s="1">
        <v>-3.8340460000000001E-6</v>
      </c>
      <c r="I6964">
        <v>133.99440000000001</v>
      </c>
      <c r="J6964">
        <v>-183.18049999999999</v>
      </c>
      <c r="K6964">
        <v>1.1060719999999999</v>
      </c>
      <c r="L6964">
        <v>130.10830000000001</v>
      </c>
      <c r="M6964">
        <v>0.57947009999999999</v>
      </c>
      <c r="N6964">
        <v>-1.456467E-2</v>
      </c>
      <c r="O6964">
        <v>0.81486329999999996</v>
      </c>
      <c r="P6964">
        <v>0.89433499999999999</v>
      </c>
      <c r="Q6964">
        <v>0.16104769999999999</v>
      </c>
      <c r="R6964">
        <v>0.41740699999999997</v>
      </c>
      <c r="S6964">
        <v>3.0940249999999998</v>
      </c>
      <c r="T6964">
        <v>-0.17716560000000001</v>
      </c>
      <c r="U6964">
        <v>0.64233399999999996</v>
      </c>
      <c r="V6964">
        <v>0.49286370000000002</v>
      </c>
      <c r="W6964">
        <v>0.15590879999999999</v>
      </c>
      <c r="X6964">
        <v>0.85602440000000002</v>
      </c>
      <c r="Y6964">
        <v>0.67854769999999998</v>
      </c>
      <c r="Z6964">
        <v>-4.978958E-2</v>
      </c>
      <c r="AA6964">
        <v>0.73286700000000005</v>
      </c>
      <c r="AB6964">
        <v>32</v>
      </c>
      <c r="AC6964">
        <v>19.2229999999999</v>
      </c>
      <c r="AD6964">
        <v>-1.106075834046</v>
      </c>
      <c r="AE6964">
        <v>3.8860999999999901</v>
      </c>
      <c r="AF6964">
        <v>13.371131321381901</v>
      </c>
      <c r="AG6964">
        <v>-1.106075834046</v>
      </c>
      <c r="AH6964">
        <v>14.2619482071894</v>
      </c>
      <c r="AI6964">
        <v>93.238209477141694</v>
      </c>
      <c r="AJ6964">
        <v>46.846423877107298</v>
      </c>
      <c r="AK6964">
        <v>19.580953072535898</v>
      </c>
      <c r="AL6964">
        <v>81.030492326459196</v>
      </c>
      <c r="AM6964">
        <v>60.068429512884002</v>
      </c>
      <c r="AN6964">
        <v>0.99999997704524402</v>
      </c>
    </row>
    <row r="6965" spans="1:40" x14ac:dyDescent="0.25">
      <c r="A6965" t="str">
        <f>"20190303162956016"</f>
        <v>20190303162956016</v>
      </c>
      <c r="B6965" t="str">
        <f>"1551601796009090"</f>
        <v>1551601796009090</v>
      </c>
      <c r="C6965" t="s">
        <v>40</v>
      </c>
      <c r="D6965">
        <v>5.007174</v>
      </c>
      <c r="E6965">
        <v>0.59710649999999998</v>
      </c>
      <c r="F6965" t="s">
        <v>41</v>
      </c>
      <c r="G6965">
        <v>-163.1189</v>
      </c>
      <c r="H6965" s="1">
        <v>-4.2188619999999998E-6</v>
      </c>
      <c r="I6965">
        <v>134.05969999999999</v>
      </c>
      <c r="J6965">
        <v>-183.0814</v>
      </c>
      <c r="K6965">
        <v>1.1060099999999999</v>
      </c>
      <c r="L6965">
        <v>130.23560000000001</v>
      </c>
      <c r="M6965">
        <v>0.58650590000000002</v>
      </c>
      <c r="N6965">
        <v>-1.4590530000000001E-2</v>
      </c>
      <c r="O6965">
        <v>0.80981349999999996</v>
      </c>
      <c r="P6965">
        <v>0.89817039999999904</v>
      </c>
      <c r="Q6965">
        <v>0.16073370000000001</v>
      </c>
      <c r="R6965">
        <v>0.40921229999999997</v>
      </c>
      <c r="S6965">
        <v>3.1002350000000001</v>
      </c>
      <c r="T6965">
        <v>-0.17092839999999901</v>
      </c>
      <c r="U6965">
        <v>0.61062620000000001</v>
      </c>
      <c r="V6965">
        <v>0.49333539999999998</v>
      </c>
      <c r="W6965">
        <v>0.15552439999999901</v>
      </c>
      <c r="X6965">
        <v>0.85582259999999999</v>
      </c>
      <c r="Y6965">
        <v>0.67980160000000001</v>
      </c>
      <c r="Z6965">
        <v>-4.7756550000000002E-2</v>
      </c>
      <c r="AA6965">
        <v>0.73183949999999998</v>
      </c>
      <c r="AB6965">
        <v>32</v>
      </c>
      <c r="AC6965">
        <v>19.962499999999999</v>
      </c>
      <c r="AD6965">
        <v>-1.1060142188619999</v>
      </c>
      <c r="AE6965">
        <v>3.8240999999999801</v>
      </c>
      <c r="AF6965">
        <v>13.883418364300899</v>
      </c>
      <c r="AG6965">
        <v>-1.1060142188619999</v>
      </c>
      <c r="AH6965">
        <v>14.7627954755984</v>
      </c>
      <c r="AI6965">
        <v>93.123891491269106</v>
      </c>
      <c r="AJ6965">
        <v>46.758304937897996</v>
      </c>
      <c r="AK6965">
        <v>20.295632613566902</v>
      </c>
      <c r="AL6965">
        <v>81.052788912632394</v>
      </c>
      <c r="AM6965">
        <v>60.038879074012897</v>
      </c>
      <c r="AN6965">
        <v>0.99999998927963996</v>
      </c>
    </row>
    <row r="6966" spans="1:40" x14ac:dyDescent="0.25">
      <c r="A6966" t="str">
        <f>"20190303162956028"</f>
        <v>20190303162956028</v>
      </c>
      <c r="B6966" t="str">
        <f>"1551601796018849"</f>
        <v>1551601796018849</v>
      </c>
      <c r="C6966" t="s">
        <v>40</v>
      </c>
      <c r="D6966">
        <v>5.5065119999999999</v>
      </c>
      <c r="E6966">
        <v>0.5958405</v>
      </c>
      <c r="F6966" t="s">
        <v>41</v>
      </c>
      <c r="G6966">
        <v>-161.37379999999999</v>
      </c>
      <c r="H6966" s="1">
        <v>-4.99811999999999E-6</v>
      </c>
      <c r="I6966">
        <v>134.31720000000001</v>
      </c>
      <c r="J6966">
        <v>-182.9846</v>
      </c>
      <c r="K6966">
        <v>1.105945</v>
      </c>
      <c r="L6966">
        <v>130.35810000000001</v>
      </c>
      <c r="M6966">
        <v>0.59330369999999999</v>
      </c>
      <c r="N6966">
        <v>-1.461489E-2</v>
      </c>
      <c r="O6966">
        <v>0.80484599999999995</v>
      </c>
      <c r="P6966">
        <v>0.90163970000000004</v>
      </c>
      <c r="Q6966">
        <v>0.15988289999999999</v>
      </c>
      <c r="R6966">
        <v>0.40184999999999998</v>
      </c>
      <c r="S6966">
        <v>3.1025999999999998</v>
      </c>
      <c r="T6966">
        <v>-0.15807889999999999</v>
      </c>
      <c r="U6966">
        <v>0.58337399999999995</v>
      </c>
      <c r="V6966">
        <v>0.49324430000000002</v>
      </c>
      <c r="W6966">
        <v>0.1546312</v>
      </c>
      <c r="X6966">
        <v>0.85603689999999999</v>
      </c>
      <c r="Y6966">
        <v>0.68016399999999999</v>
      </c>
      <c r="Z6966">
        <v>-4.3576190000000001E-2</v>
      </c>
      <c r="AA6966">
        <v>0.73176370000000002</v>
      </c>
      <c r="AB6966">
        <v>32</v>
      </c>
      <c r="AC6966">
        <v>21.610800000000001</v>
      </c>
      <c r="AD6966">
        <v>-1.1059499981200001</v>
      </c>
      <c r="AE6966">
        <v>3.9590999999999998</v>
      </c>
      <c r="AF6966">
        <v>15.0079954908755</v>
      </c>
      <c r="AG6966">
        <v>-1.1059499981200001</v>
      </c>
      <c r="AH6966">
        <v>15.9694782815625</v>
      </c>
      <c r="AI6966">
        <v>92.8890147269327</v>
      </c>
      <c r="AJ6966">
        <v>46.777782990162201</v>
      </c>
      <c r="AK6966">
        <v>21.942818657542102</v>
      </c>
      <c r="AL6966">
        <v>81.104591952975497</v>
      </c>
      <c r="AM6966">
        <v>60.049662921121303</v>
      </c>
      <c r="AN6966">
        <v>0.99999996082876896</v>
      </c>
    </row>
    <row r="6967" spans="1:40" x14ac:dyDescent="0.25">
      <c r="A6967" t="str">
        <f>"20190303162956039"</f>
        <v>20190303162956039</v>
      </c>
      <c r="B6967" t="str">
        <f>"1551601796028609"</f>
        <v>1551601796028609</v>
      </c>
      <c r="C6967" t="s">
        <v>40</v>
      </c>
      <c r="D6967">
        <v>5.1740180000000002</v>
      </c>
      <c r="E6967">
        <v>0.59594609999999903</v>
      </c>
      <c r="F6967" t="s">
        <v>41</v>
      </c>
      <c r="G6967">
        <v>-161.10759999999999</v>
      </c>
      <c r="H6967" s="1">
        <v>-5.1173159999999997E-6</v>
      </c>
      <c r="I6967">
        <v>134.35470000000001</v>
      </c>
      <c r="J6967">
        <v>-182.87960000000001</v>
      </c>
      <c r="K6967">
        <v>1.1058779999999999</v>
      </c>
      <c r="L6967">
        <v>130.48859999999999</v>
      </c>
      <c r="M6967">
        <v>0.60057839999999996</v>
      </c>
      <c r="N6967">
        <v>-1.464039E-2</v>
      </c>
      <c r="O6967">
        <v>0.79943180000000003</v>
      </c>
      <c r="P6967">
        <v>0.90537290000000004</v>
      </c>
      <c r="Q6967">
        <v>0.15924250000000001</v>
      </c>
      <c r="R6967">
        <v>0.3936268</v>
      </c>
      <c r="S6967">
        <v>3.1024929999999999</v>
      </c>
      <c r="T6967">
        <v>-0.1568407</v>
      </c>
      <c r="U6967">
        <v>0.56677250000000001</v>
      </c>
      <c r="V6967">
        <v>0.49336259999999998</v>
      </c>
      <c r="W6967">
        <v>0.15393770000000001</v>
      </c>
      <c r="X6967">
        <v>0.85609380000000002</v>
      </c>
      <c r="Y6967">
        <v>0.67732019999999904</v>
      </c>
      <c r="Z6967">
        <v>-4.3114199999999998E-2</v>
      </c>
      <c r="AA6967">
        <v>0.73442399999999997</v>
      </c>
      <c r="AB6967">
        <v>32</v>
      </c>
      <c r="AC6967">
        <v>21.771999999999998</v>
      </c>
      <c r="AD6967">
        <v>-1.105883117316</v>
      </c>
      <c r="AE6967">
        <v>3.8661000000000101</v>
      </c>
      <c r="AF6967">
        <v>15.047314518772501</v>
      </c>
      <c r="AG6967">
        <v>-1.105883117316</v>
      </c>
      <c r="AH6967">
        <v>16.1278712195938</v>
      </c>
      <c r="AI6967">
        <v>92.870209483948202</v>
      </c>
      <c r="AJ6967">
        <v>46.985122527736998</v>
      </c>
      <c r="AK6967">
        <v>22.085128067815901</v>
      </c>
      <c r="AL6967">
        <v>81.144808747390798</v>
      </c>
      <c r="AM6967">
        <v>60.045366391996097</v>
      </c>
      <c r="AN6967">
        <v>1.00000003247924</v>
      </c>
    </row>
    <row r="6968" spans="1:40" x14ac:dyDescent="0.25">
      <c r="A6968" t="str">
        <f>"20190303162956052"</f>
        <v>20190303162956052</v>
      </c>
      <c r="B6968" t="str">
        <f>"1551601796039345"</f>
        <v>1551601796039345</v>
      </c>
      <c r="C6968" t="s">
        <v>40</v>
      </c>
      <c r="D6968">
        <v>5.210102</v>
      </c>
      <c r="E6968">
        <v>0.59590100000000001</v>
      </c>
      <c r="F6968" t="s">
        <v>41</v>
      </c>
      <c r="G6968">
        <v>-160.25970000000001</v>
      </c>
      <c r="H6968" s="1">
        <v>-5.5103270000000001E-6</v>
      </c>
      <c r="I6968">
        <v>134.39840000000001</v>
      </c>
      <c r="J6968">
        <v>-182.77600000000001</v>
      </c>
      <c r="K6968">
        <v>1.105818</v>
      </c>
      <c r="L6968">
        <v>130.61449999999999</v>
      </c>
      <c r="M6968">
        <v>0.60764180000000001</v>
      </c>
      <c r="N6968">
        <v>-1.466567E-2</v>
      </c>
      <c r="O6968">
        <v>0.7940758</v>
      </c>
      <c r="P6968">
        <v>0.90875289999999997</v>
      </c>
      <c r="Q6968">
        <v>0.15853059999999999</v>
      </c>
      <c r="R6968">
        <v>0.38605260000000002</v>
      </c>
      <c r="S6968">
        <v>3.1067960000000001</v>
      </c>
      <c r="T6968">
        <v>-0.15189140000000001</v>
      </c>
      <c r="U6968">
        <v>0.5370026</v>
      </c>
      <c r="V6968">
        <v>0.49301539999999999</v>
      </c>
      <c r="W6968">
        <v>0.1531989</v>
      </c>
      <c r="X6968">
        <v>0.85642619999999903</v>
      </c>
      <c r="Y6968">
        <v>0.67788680000000001</v>
      </c>
      <c r="Z6968">
        <v>-4.1506710000000002E-2</v>
      </c>
      <c r="AA6968">
        <v>0.73399360000000002</v>
      </c>
      <c r="AB6968">
        <v>32</v>
      </c>
      <c r="AC6968">
        <v>22.516299999999902</v>
      </c>
      <c r="AD6968">
        <v>-1.105823510327</v>
      </c>
      <c r="AE6968">
        <v>3.7839000000000098</v>
      </c>
      <c r="AF6968">
        <v>15.545602646377001</v>
      </c>
      <c r="AG6968">
        <v>-1.105823510327</v>
      </c>
      <c r="AH6968">
        <v>16.6492879919488</v>
      </c>
      <c r="AI6968">
        <v>92.779333235513405</v>
      </c>
      <c r="AJ6968">
        <v>46.963409605818903</v>
      </c>
      <c r="AK6968">
        <v>22.805424747499998</v>
      </c>
      <c r="AL6968">
        <v>81.187646387342994</v>
      </c>
      <c r="AM6968">
        <v>60.072431175303002</v>
      </c>
      <c r="AN6968">
        <v>0.99999996182240403</v>
      </c>
    </row>
    <row r="6969" spans="1:40" x14ac:dyDescent="0.25">
      <c r="A6969" t="str">
        <f>"20190303162956063"</f>
        <v>20190303162956063</v>
      </c>
      <c r="B6969" t="str">
        <f>"1551601796058866"</f>
        <v>1551601796058866</v>
      </c>
      <c r="C6969" t="s">
        <v>40</v>
      </c>
      <c r="D6969">
        <v>5.2248650000000003</v>
      </c>
      <c r="E6969">
        <v>0.59556889999999996</v>
      </c>
      <c r="F6969" t="s">
        <v>41</v>
      </c>
      <c r="G6969">
        <v>-159.0239</v>
      </c>
      <c r="H6969" s="1">
        <v>-1.6759079999999999E-6</v>
      </c>
      <c r="I6969">
        <v>134.51349999999999</v>
      </c>
      <c r="J6969">
        <v>-182.65979999999999</v>
      </c>
      <c r="K6969">
        <v>1.1057509999999999</v>
      </c>
      <c r="L6969">
        <v>130.7543</v>
      </c>
      <c r="M6969">
        <v>0.61548069999999999</v>
      </c>
      <c r="N6969">
        <v>-1.4693390000000001E-2</v>
      </c>
      <c r="O6969">
        <v>0.78801499999999902</v>
      </c>
      <c r="P6969">
        <v>0.912493</v>
      </c>
      <c r="Q6969">
        <v>0.15785070000000001</v>
      </c>
      <c r="R6969">
        <v>0.37741200000000003</v>
      </c>
      <c r="S6969">
        <v>3.1096339999999998</v>
      </c>
      <c r="T6969">
        <v>-0.14477409999999999</v>
      </c>
      <c r="U6969">
        <v>0.51046749999999996</v>
      </c>
      <c r="V6969">
        <v>0.49274590000000001</v>
      </c>
      <c r="W6969">
        <v>0.15248499999999901</v>
      </c>
      <c r="X6969">
        <v>0.85670869999999999</v>
      </c>
      <c r="Y6969">
        <v>0.67692419999999998</v>
      </c>
      <c r="Z6969">
        <v>-3.9158930000000002E-2</v>
      </c>
      <c r="AA6969">
        <v>0.73501030000000001</v>
      </c>
      <c r="AB6969">
        <v>32</v>
      </c>
      <c r="AC6969">
        <v>23.6358999999999</v>
      </c>
      <c r="AD6969">
        <v>-1.1057526759080001</v>
      </c>
      <c r="AE6969">
        <v>3.7591999999999901</v>
      </c>
      <c r="AF6969">
        <v>16.278740478563702</v>
      </c>
      <c r="AG6969">
        <v>-1.1057526759080001</v>
      </c>
      <c r="AH6969">
        <v>17.4743352279867</v>
      </c>
      <c r="AI6969">
        <v>92.650940248324602</v>
      </c>
      <c r="AJ6969">
        <v>47.028671554548403</v>
      </c>
      <c r="AK6969">
        <v>23.907581897983</v>
      </c>
      <c r="AL6969">
        <v>81.229036460182797</v>
      </c>
      <c r="AM6969">
        <v>60.094142607762997</v>
      </c>
      <c r="AN6969">
        <v>0.99999999692374997</v>
      </c>
    </row>
    <row r="6970" spans="1:40" x14ac:dyDescent="0.25">
      <c r="A6970" t="str">
        <f>"20190303162956073"</f>
        <v>20190303162956073</v>
      </c>
      <c r="B6970" t="str">
        <f>"1551601796068625"</f>
        <v>1551601796068625</v>
      </c>
      <c r="C6970" t="s">
        <v>40</v>
      </c>
      <c r="D6970">
        <v>5.1563119999999998</v>
      </c>
      <c r="E6970">
        <v>0.59592029999999996</v>
      </c>
      <c r="F6970" t="s">
        <v>41</v>
      </c>
      <c r="G6970">
        <v>-157.48849999999999</v>
      </c>
      <c r="H6970" s="1">
        <v>-2.1606589999999998E-6</v>
      </c>
      <c r="I6970">
        <v>134.65539999999999</v>
      </c>
      <c r="J6970">
        <v>-182.5591</v>
      </c>
      <c r="K6970">
        <v>1.105701</v>
      </c>
      <c r="L6970">
        <v>130.8716</v>
      </c>
      <c r="M6970">
        <v>0.62214219999999998</v>
      </c>
      <c r="N6970">
        <v>-1.471777E-2</v>
      </c>
      <c r="O6970">
        <v>0.78276590000000001</v>
      </c>
      <c r="P6970">
        <v>0.91573890000000002</v>
      </c>
      <c r="Q6970">
        <v>0.15694359999999999</v>
      </c>
      <c r="R6970">
        <v>0.36985269999999998</v>
      </c>
      <c r="S6970">
        <v>3.1118619999999999</v>
      </c>
      <c r="T6970">
        <v>-0.1367013</v>
      </c>
      <c r="U6970">
        <v>0.4822845</v>
      </c>
      <c r="V6970">
        <v>0.49267050000000001</v>
      </c>
      <c r="W6970">
        <v>0.151549499999999</v>
      </c>
      <c r="X6970">
        <v>0.85691799999999996</v>
      </c>
      <c r="Y6970">
        <v>0.67738180000000003</v>
      </c>
      <c r="Z6970">
        <v>-3.6560740000000001E-2</v>
      </c>
      <c r="AA6970">
        <v>0.7347226</v>
      </c>
      <c r="AB6970">
        <v>32</v>
      </c>
      <c r="AC6970">
        <v>25.070599999999999</v>
      </c>
      <c r="AD6970">
        <v>-1.105703160659</v>
      </c>
      <c r="AE6970">
        <v>3.7837999999999798</v>
      </c>
      <c r="AF6970">
        <v>17.239434003245702</v>
      </c>
      <c r="AG6970">
        <v>-1.105703160659</v>
      </c>
      <c r="AH6970">
        <v>18.526085414002399</v>
      </c>
      <c r="AI6970">
        <v>92.501811967597703</v>
      </c>
      <c r="AJ6970">
        <v>47.060306109662001</v>
      </c>
      <c r="AK6970">
        <v>25.330544901337301</v>
      </c>
      <c r="AL6970">
        <v>81.283266664534693</v>
      </c>
      <c r="AM6970">
        <v>60.103980026635099</v>
      </c>
      <c r="AN6970">
        <v>0.99999996562224902</v>
      </c>
    </row>
    <row r="6971" spans="1:40" x14ac:dyDescent="0.25">
      <c r="A6971" t="str">
        <f>"20190303162956085"</f>
        <v>20190303162956085</v>
      </c>
      <c r="B6971" t="str">
        <f>"1551601796079361"</f>
        <v>1551601796079361</v>
      </c>
      <c r="C6971" t="s">
        <v>40</v>
      </c>
      <c r="D6971">
        <v>5.1419129999999997</v>
      </c>
      <c r="E6971">
        <v>0.59614809999999996</v>
      </c>
      <c r="F6971" t="s">
        <v>41</v>
      </c>
      <c r="G6971">
        <v>-156.8817</v>
      </c>
      <c r="H6971" s="1">
        <v>-2.3791970000000002E-6</v>
      </c>
      <c r="I6971">
        <v>134.61019999999999</v>
      </c>
      <c r="J6971">
        <v>-182.45269999999999</v>
      </c>
      <c r="K6971">
        <v>1.105642</v>
      </c>
      <c r="L6971">
        <v>130.9949</v>
      </c>
      <c r="M6971">
        <v>0.62911680000000003</v>
      </c>
      <c r="N6971">
        <v>-1.474254E-2</v>
      </c>
      <c r="O6971">
        <v>0.77717099999999995</v>
      </c>
      <c r="P6971">
        <v>0.91921540000000002</v>
      </c>
      <c r="Q6971">
        <v>0.1561244</v>
      </c>
      <c r="R6971">
        <v>0.36148089999999999</v>
      </c>
      <c r="S6971">
        <v>3.115799</v>
      </c>
      <c r="T6971">
        <v>-0.1341704</v>
      </c>
      <c r="U6971">
        <v>0.45365909999999898</v>
      </c>
      <c r="V6971">
        <v>0.49292439999999998</v>
      </c>
      <c r="W6971">
        <v>0.15068500000000001</v>
      </c>
      <c r="X6971">
        <v>0.85692449999999998</v>
      </c>
      <c r="Y6971">
        <v>0.67758560000000001</v>
      </c>
      <c r="Z6971">
        <v>-3.5735309999999999E-2</v>
      </c>
      <c r="AA6971">
        <v>0.73457530000000004</v>
      </c>
      <c r="AB6971">
        <v>32</v>
      </c>
      <c r="AC6971">
        <v>25.571000000000002</v>
      </c>
      <c r="AD6971">
        <v>-1.1056443791969901</v>
      </c>
      <c r="AE6971">
        <v>3.6152999999999902</v>
      </c>
      <c r="AF6971">
        <v>17.5683049385696</v>
      </c>
      <c r="AG6971">
        <v>-1.1056443791969901</v>
      </c>
      <c r="AH6971">
        <v>18.864328856351602</v>
      </c>
      <c r="AI6971">
        <v>92.455962929751195</v>
      </c>
      <c r="AJ6971">
        <v>47.037332851325097</v>
      </c>
      <c r="AK6971">
        <v>25.801757519758201</v>
      </c>
      <c r="AL6971">
        <v>81.333374753480399</v>
      </c>
      <c r="AM6971">
        <v>60.091410535686499</v>
      </c>
      <c r="AN6971">
        <v>1.0000000160203</v>
      </c>
    </row>
    <row r="6972" spans="1:40" x14ac:dyDescent="0.25">
      <c r="A6972" t="str">
        <f>"20190303162956095"</f>
        <v>20190303162956095</v>
      </c>
      <c r="B6972" t="str">
        <f>"1551601796089122"</f>
        <v>1551601796089122</v>
      </c>
      <c r="C6972" t="s">
        <v>40</v>
      </c>
      <c r="D6972">
        <v>5.1570429999999998</v>
      </c>
      <c r="E6972">
        <v>0.59624619999999995</v>
      </c>
      <c r="F6972" t="s">
        <v>41</v>
      </c>
      <c r="G6972">
        <v>-156.4325</v>
      </c>
      <c r="H6972" s="1">
        <v>-2.5546620000000001E-6</v>
      </c>
      <c r="I6972">
        <v>134.52520000000001</v>
      </c>
      <c r="J6972">
        <v>-182.34450000000001</v>
      </c>
      <c r="K6972">
        <v>1.105594</v>
      </c>
      <c r="L6972">
        <v>131.11680000000001</v>
      </c>
      <c r="M6972">
        <v>0.63607959999999997</v>
      </c>
      <c r="N6972">
        <v>-1.476707E-2</v>
      </c>
      <c r="O6972">
        <v>0.77148209999999995</v>
      </c>
      <c r="P6972">
        <v>0.92266349999999997</v>
      </c>
      <c r="Q6972">
        <v>0.15527340000000001</v>
      </c>
      <c r="R6972">
        <v>0.3529622</v>
      </c>
      <c r="S6972">
        <v>3.1197050000000002</v>
      </c>
      <c r="T6972">
        <v>-0.13256189999999901</v>
      </c>
      <c r="U6972">
        <v>0.42327880000000001</v>
      </c>
      <c r="V6972">
        <v>0.49324200000000001</v>
      </c>
      <c r="W6972">
        <v>0.1497907</v>
      </c>
      <c r="X6972">
        <v>0.85689850000000001</v>
      </c>
      <c r="Y6972">
        <v>0.67814419999999898</v>
      </c>
      <c r="Z6972">
        <v>-3.5220550000000003E-2</v>
      </c>
      <c r="AA6972">
        <v>0.73408450000000003</v>
      </c>
      <c r="AB6972">
        <v>32</v>
      </c>
      <c r="AC6972">
        <v>25.911999999999999</v>
      </c>
      <c r="AD6972">
        <v>-1.1055965546619999</v>
      </c>
      <c r="AE6972">
        <v>3.4083999999999999</v>
      </c>
      <c r="AF6972">
        <v>17.792733630270199</v>
      </c>
      <c r="AG6972">
        <v>-1.1055965546619999</v>
      </c>
      <c r="AH6972">
        <v>19.079555123659901</v>
      </c>
      <c r="AI6972">
        <v>92.426666554329799</v>
      </c>
      <c r="AJ6972">
        <v>46.998778255990302</v>
      </c>
      <c r="AK6972">
        <v>26.111934771215399</v>
      </c>
      <c r="AL6972">
        <v>81.385202325849605</v>
      </c>
      <c r="AM6972">
        <v>60.074705598501097</v>
      </c>
      <c r="AN6972">
        <v>0.99999998183636896</v>
      </c>
    </row>
    <row r="6973" spans="1:40" x14ac:dyDescent="0.25">
      <c r="A6973" t="str">
        <f>"20190303162956106"</f>
        <v>20190303162956106</v>
      </c>
      <c r="B6973" t="str">
        <f>"1551601796098881"</f>
        <v>1551601796098881</v>
      </c>
      <c r="C6973" t="s">
        <v>40</v>
      </c>
      <c r="D6973">
        <v>5.2032790000000002</v>
      </c>
      <c r="E6973">
        <v>0.59614679999999998</v>
      </c>
      <c r="F6973" t="s">
        <v>41</v>
      </c>
      <c r="G6973">
        <v>-156.2422</v>
      </c>
      <c r="H6973" s="1">
        <v>-2.6508819999999998E-6</v>
      </c>
      <c r="I6973">
        <v>134.40700000000001</v>
      </c>
      <c r="J6973">
        <v>-182.24080000000001</v>
      </c>
      <c r="K6973">
        <v>1.105548</v>
      </c>
      <c r="L6973">
        <v>131.23230000000001</v>
      </c>
      <c r="M6973">
        <v>0.64267019999999997</v>
      </c>
      <c r="N6973">
        <v>-1.478953E-2</v>
      </c>
      <c r="O6973">
        <v>0.76600019999999902</v>
      </c>
      <c r="P6973">
        <v>0.92589719999999998</v>
      </c>
      <c r="Q6973">
        <v>0.15470300000000001</v>
      </c>
      <c r="R6973">
        <v>0.34464679999999998</v>
      </c>
      <c r="S6973">
        <v>3.123138</v>
      </c>
      <c r="T6973">
        <v>-0.1322846</v>
      </c>
      <c r="U6973">
        <v>0.39367679999999999</v>
      </c>
      <c r="V6973">
        <v>0.49367280000000002</v>
      </c>
      <c r="W6973">
        <v>0.149174</v>
      </c>
      <c r="X6973">
        <v>0.85675809999999997</v>
      </c>
      <c r="Y6973">
        <v>0.67879789999999995</v>
      </c>
      <c r="Z6973">
        <v>-3.514113E-2</v>
      </c>
      <c r="AA6973">
        <v>0.73348389999999997</v>
      </c>
      <c r="AB6973">
        <v>32</v>
      </c>
      <c r="AC6973">
        <v>25.9986</v>
      </c>
      <c r="AD6973">
        <v>-1.1055506508820001</v>
      </c>
      <c r="AE6973">
        <v>3.1747000000000001</v>
      </c>
      <c r="AF6973">
        <v>17.844808978676198</v>
      </c>
      <c r="AG6973">
        <v>-1.1055506508820001</v>
      </c>
      <c r="AH6973">
        <v>19.108394687302301</v>
      </c>
      <c r="AI6973">
        <v>92.421317748194298</v>
      </c>
      <c r="AJ6973">
        <v>46.958421022446501</v>
      </c>
      <c r="AK6973">
        <v>26.168496274200201</v>
      </c>
      <c r="AL6973">
        <v>81.420938986309693</v>
      </c>
      <c r="AM6973">
        <v>60.0490128483302</v>
      </c>
      <c r="AN6973">
        <v>1.00000007882572</v>
      </c>
    </row>
    <row r="6974" spans="1:40" x14ac:dyDescent="0.25">
      <c r="A6974" t="str">
        <f>"20190303162956117"</f>
        <v>20190303162956117</v>
      </c>
      <c r="B6974" t="str">
        <f>"1551601796108641"</f>
        <v>1551601796108641</v>
      </c>
      <c r="C6974" t="s">
        <v>40</v>
      </c>
      <c r="D6974">
        <v>5.1984399999999997</v>
      </c>
      <c r="E6974">
        <v>0.59583769999999903</v>
      </c>
      <c r="F6974" t="s">
        <v>41</v>
      </c>
      <c r="G6974">
        <v>-155.89619999999999</v>
      </c>
      <c r="H6974" s="1">
        <v>-2.7911950000000001E-6</v>
      </c>
      <c r="I6974">
        <v>134.32220000000001</v>
      </c>
      <c r="J6974">
        <v>-182.1284</v>
      </c>
      <c r="K6974">
        <v>1.105505</v>
      </c>
      <c r="L6974">
        <v>131.35489999999999</v>
      </c>
      <c r="M6974">
        <v>0.64970249999999996</v>
      </c>
      <c r="N6974">
        <v>-1.481267E-2</v>
      </c>
      <c r="O6974">
        <v>0.76004419999999995</v>
      </c>
      <c r="P6974">
        <v>0.92918659999999997</v>
      </c>
      <c r="Q6974">
        <v>0.15412490000000001</v>
      </c>
      <c r="R6974">
        <v>0.33594350000000001</v>
      </c>
      <c r="S6974">
        <v>3.1255489999999999</v>
      </c>
      <c r="T6974">
        <v>-0.1311631</v>
      </c>
      <c r="U6974">
        <v>0.36659239999999998</v>
      </c>
      <c r="V6974">
        <v>0.4938824</v>
      </c>
      <c r="W6974">
        <v>0.14856059999999999</v>
      </c>
      <c r="X6974">
        <v>0.85674380000000006</v>
      </c>
      <c r="Y6974">
        <v>0.67838310000000002</v>
      </c>
      <c r="Z6974">
        <v>-3.4762699999999903E-2</v>
      </c>
      <c r="AA6974">
        <v>0.73388549999999997</v>
      </c>
      <c r="AB6974">
        <v>32</v>
      </c>
      <c r="AC6974">
        <v>26.232199999999999</v>
      </c>
      <c r="AD6974">
        <v>-1.105507791195</v>
      </c>
      <c r="AE6974">
        <v>2.9673000000000198</v>
      </c>
      <c r="AF6974">
        <v>17.980215665716099</v>
      </c>
      <c r="AG6974">
        <v>-1.105507791195</v>
      </c>
      <c r="AH6974">
        <v>19.266736887532399</v>
      </c>
      <c r="AI6974">
        <v>92.402122908432503</v>
      </c>
      <c r="AJ6974">
        <v>46.978227437982397</v>
      </c>
      <c r="AK6974">
        <v>26.376456417711999</v>
      </c>
      <c r="AL6974">
        <v>81.456479634255501</v>
      </c>
      <c r="AM6974">
        <v>60.038077038296898</v>
      </c>
      <c r="AN6974">
        <v>1.00000000787028</v>
      </c>
    </row>
    <row r="6975" spans="1:40" x14ac:dyDescent="0.25">
      <c r="A6975" t="str">
        <f>"20190303162956132"</f>
        <v>20190303162956132</v>
      </c>
      <c r="B6975" t="str">
        <f>"1551601796119377"</f>
        <v>1551601796119377</v>
      </c>
      <c r="C6975" t="s">
        <v>40</v>
      </c>
      <c r="D6975">
        <v>5.2219660000000001</v>
      </c>
      <c r="E6975">
        <v>0.59555089999999999</v>
      </c>
      <c r="F6975" t="s">
        <v>41</v>
      </c>
      <c r="G6975">
        <v>-155.43799999999999</v>
      </c>
      <c r="H6975" s="1">
        <v>-2.9651749999999999E-6</v>
      </c>
      <c r="I6975">
        <v>134.2543</v>
      </c>
      <c r="J6975">
        <v>-181.994</v>
      </c>
      <c r="K6975">
        <v>1.1054569999999999</v>
      </c>
      <c r="L6975">
        <v>131.49860000000001</v>
      </c>
      <c r="M6975">
        <v>0.65797309999999998</v>
      </c>
      <c r="N6975">
        <v>-1.4838509999999999E-2</v>
      </c>
      <c r="O6975">
        <v>0.75289519999999999</v>
      </c>
      <c r="P6975">
        <v>0.93289040000000001</v>
      </c>
      <c r="Q6975">
        <v>0.15388189999999999</v>
      </c>
      <c r="R6975">
        <v>0.32563140000000002</v>
      </c>
      <c r="S6975">
        <v>3.1273040000000001</v>
      </c>
      <c r="T6975">
        <v>-0.12953190000000001</v>
      </c>
      <c r="U6975">
        <v>0.33972170000000002</v>
      </c>
      <c r="V6975">
        <v>0.4940426</v>
      </c>
      <c r="W6975">
        <v>0.14828189999999999</v>
      </c>
      <c r="X6975">
        <v>0.85669969999999995</v>
      </c>
      <c r="Y6975">
        <v>0.67665140000000001</v>
      </c>
      <c r="Z6975">
        <v>-3.4184480000000003E-2</v>
      </c>
      <c r="AA6975">
        <v>0.73550950000000004</v>
      </c>
      <c r="AB6975">
        <v>32</v>
      </c>
      <c r="AC6975">
        <v>26.556000000000001</v>
      </c>
      <c r="AD6975">
        <v>-1.1054599651749999</v>
      </c>
      <c r="AE6975">
        <v>2.7556999999999898</v>
      </c>
      <c r="AF6975">
        <v>18.151591768516901</v>
      </c>
      <c r="AG6975">
        <v>-1.1054599651749999</v>
      </c>
      <c r="AH6975">
        <v>19.516580697342199</v>
      </c>
      <c r="AI6975">
        <v>92.375047464211903</v>
      </c>
      <c r="AJ6975">
        <v>47.075330284154198</v>
      </c>
      <c r="AK6975">
        <v>26.675817655347799</v>
      </c>
      <c r="AL6975">
        <v>81.472626693171605</v>
      </c>
      <c r="AM6975">
        <v>60.028760014086899</v>
      </c>
      <c r="AN6975">
        <v>0.99999999423122998</v>
      </c>
    </row>
    <row r="6976" spans="1:40" x14ac:dyDescent="0.25">
      <c r="A6976" t="str">
        <f>"20190303162956146"</f>
        <v>20190303162956146</v>
      </c>
      <c r="B6976" t="str">
        <f>"1551601796138898"</f>
        <v>1551601796138898</v>
      </c>
      <c r="C6976" t="s">
        <v>40</v>
      </c>
      <c r="D6976">
        <v>5.3194460000000001</v>
      </c>
      <c r="E6976">
        <v>0.59498409999999902</v>
      </c>
      <c r="F6976" t="s">
        <v>41</v>
      </c>
      <c r="G6976">
        <v>-155.12819999999999</v>
      </c>
      <c r="H6976" s="1">
        <v>-3.1015969999999998E-6</v>
      </c>
      <c r="I6976">
        <v>134.1378</v>
      </c>
      <c r="J6976">
        <v>-181.85589999999999</v>
      </c>
      <c r="K6976">
        <v>1.1054120000000001</v>
      </c>
      <c r="L6976">
        <v>131.6437</v>
      </c>
      <c r="M6976">
        <v>0.66632939999999996</v>
      </c>
      <c r="N6976">
        <v>-1.486326E-2</v>
      </c>
      <c r="O6976">
        <v>0.74550939999999999</v>
      </c>
      <c r="P6976">
        <v>0.93664499999999995</v>
      </c>
      <c r="Q6976">
        <v>0.153966299999999</v>
      </c>
      <c r="R6976">
        <v>0.31462760000000001</v>
      </c>
      <c r="S6976">
        <v>3.1297299999999999</v>
      </c>
      <c r="T6976">
        <v>-0.12878019999999901</v>
      </c>
      <c r="U6976">
        <v>0.30746459999999998</v>
      </c>
      <c r="V6976">
        <v>0.49458089999999999</v>
      </c>
      <c r="W6976">
        <v>0.14831440000000001</v>
      </c>
      <c r="X6976">
        <v>0.85638340000000002</v>
      </c>
      <c r="Y6976">
        <v>0.67601560000000005</v>
      </c>
      <c r="Z6976">
        <v>-3.3914079999999999E-2</v>
      </c>
      <c r="AA6976">
        <v>0.73610659999999895</v>
      </c>
      <c r="AB6976">
        <v>32</v>
      </c>
      <c r="AC6976">
        <v>26.727699999999999</v>
      </c>
      <c r="AD6976">
        <v>-1.105415101597</v>
      </c>
      <c r="AE6976">
        <v>2.4941</v>
      </c>
      <c r="AF6976">
        <v>18.2349547377578</v>
      </c>
      <c r="AG6976">
        <v>-1.105415101597</v>
      </c>
      <c r="AH6976">
        <v>19.637699076682701</v>
      </c>
      <c r="AI6976">
        <v>92.362073786109505</v>
      </c>
      <c r="AJ6976">
        <v>47.121177158347898</v>
      </c>
      <c r="AK6976">
        <v>26.8211622019118</v>
      </c>
      <c r="AL6976">
        <v>81.470743619352604</v>
      </c>
      <c r="AM6976">
        <v>59.992588547173</v>
      </c>
      <c r="AN6976">
        <v>0.99999997784386396</v>
      </c>
    </row>
    <row r="6977" spans="1:40" x14ac:dyDescent="0.25">
      <c r="A6977" t="str">
        <f>"20190303162956165"</f>
        <v>20190303162956165</v>
      </c>
      <c r="B6977" t="str">
        <f>"1551601796159393"</f>
        <v>1551601796159393</v>
      </c>
      <c r="C6977" t="s">
        <v>40</v>
      </c>
      <c r="D6977">
        <v>5.3404119999999997</v>
      </c>
      <c r="E6977">
        <v>0.59440079999999995</v>
      </c>
      <c r="F6977" t="s">
        <v>41</v>
      </c>
      <c r="G6977">
        <v>-153.19899999999899</v>
      </c>
      <c r="H6977" s="1">
        <v>-3.868789E-6</v>
      </c>
      <c r="I6977">
        <v>134.154</v>
      </c>
      <c r="J6977">
        <v>-181.66309999999999</v>
      </c>
      <c r="K6977">
        <v>1.1053580000000001</v>
      </c>
      <c r="L6977">
        <v>131.84039999999999</v>
      </c>
      <c r="M6977">
        <v>0.67772030000000005</v>
      </c>
      <c r="N6977">
        <v>-1.489439E-2</v>
      </c>
      <c r="O6977">
        <v>0.73516890000000001</v>
      </c>
      <c r="P6977">
        <v>0.94156680000000004</v>
      </c>
      <c r="Q6977">
        <v>0.15491930000000001</v>
      </c>
      <c r="R6977">
        <v>0.29908499999999999</v>
      </c>
      <c r="S6977">
        <v>3.130646</v>
      </c>
      <c r="T6977">
        <v>-0.1207621</v>
      </c>
      <c r="U6977">
        <v>0.2742462</v>
      </c>
      <c r="V6977">
        <v>0.4955176</v>
      </c>
      <c r="W6977">
        <v>0.14918999999999999</v>
      </c>
      <c r="X6977">
        <v>0.85568960000000005</v>
      </c>
      <c r="Y6977">
        <v>0.67255220000000004</v>
      </c>
      <c r="Z6977">
        <v>-3.1261410000000003E-2</v>
      </c>
      <c r="AA6977">
        <v>0.73938909999999902</v>
      </c>
      <c r="AB6977">
        <v>32</v>
      </c>
      <c r="AC6977">
        <v>28.464099999999998</v>
      </c>
      <c r="AD6977">
        <v>-1.1053618687889999</v>
      </c>
      <c r="AE6977">
        <v>2.3136000000000001</v>
      </c>
      <c r="AF6977">
        <v>19.331134492821398</v>
      </c>
      <c r="AG6977">
        <v>-1.1053618687889999</v>
      </c>
      <c r="AH6977">
        <v>20.962509480908899</v>
      </c>
      <c r="AI6977">
        <v>92.219895435148004</v>
      </c>
      <c r="AJ6977">
        <v>47.318476806218598</v>
      </c>
      <c r="AK6977">
        <v>28.536667453956799</v>
      </c>
      <c r="AL6977">
        <v>81.420011368915397</v>
      </c>
      <c r="AM6977">
        <v>59.925481945777904</v>
      </c>
      <c r="AN6977">
        <v>1.00000001977895</v>
      </c>
    </row>
    <row r="6978" spans="1:40" x14ac:dyDescent="0.25">
      <c r="A6978" t="str">
        <f>"20190303162956175"</f>
        <v>20190303162956175</v>
      </c>
      <c r="B6978" t="str">
        <f>"1551601796169154"</f>
        <v>1551601796169154</v>
      </c>
      <c r="C6978" t="s">
        <v>40</v>
      </c>
      <c r="D6978">
        <v>5.2942859999999996</v>
      </c>
      <c r="E6978">
        <v>0.59402319999999997</v>
      </c>
      <c r="F6978" t="s">
        <v>41</v>
      </c>
      <c r="G6978">
        <v>-149.78290000000001</v>
      </c>
      <c r="H6978" s="1">
        <v>-1.514305E-6</v>
      </c>
      <c r="I6978">
        <v>134.15029999999999</v>
      </c>
      <c r="J6978">
        <v>-181.53389999999999</v>
      </c>
      <c r="K6978">
        <v>1.105326</v>
      </c>
      <c r="L6978">
        <v>131.9682</v>
      </c>
      <c r="M6978">
        <v>0.68516650000000001</v>
      </c>
      <c r="N6978">
        <v>-1.491307E-2</v>
      </c>
      <c r="O6978">
        <v>0.72823380000000004</v>
      </c>
      <c r="P6978">
        <v>0.94463149999999996</v>
      </c>
      <c r="Q6978">
        <v>0.15574959999999999</v>
      </c>
      <c r="R6978">
        <v>0.28881390000000001</v>
      </c>
      <c r="S6978">
        <v>3.1319889999999999</v>
      </c>
      <c r="T6978">
        <v>-0.1085931</v>
      </c>
      <c r="U6978">
        <v>0.22692870000000001</v>
      </c>
      <c r="V6978">
        <v>0.49607200000000001</v>
      </c>
      <c r="W6978">
        <v>0.14997460000000001</v>
      </c>
      <c r="X6978">
        <v>0.85523110000000002</v>
      </c>
      <c r="Y6978">
        <v>0.67628920000000003</v>
      </c>
      <c r="Z6978">
        <v>-2.7525819999999999E-2</v>
      </c>
      <c r="AA6978">
        <v>0.73612180000000005</v>
      </c>
      <c r="AB6978">
        <v>32</v>
      </c>
      <c r="AC6978">
        <v>31.750999999999902</v>
      </c>
      <c r="AD6978">
        <v>-1.1053275143050001</v>
      </c>
      <c r="AE6978">
        <v>2.1820999999999899</v>
      </c>
      <c r="AF6978">
        <v>21.603396790094799</v>
      </c>
      <c r="AG6978">
        <v>-1.1053275143050001</v>
      </c>
      <c r="AH6978">
        <v>23.3182701898597</v>
      </c>
      <c r="AI6978">
        <v>91.991505822745793</v>
      </c>
      <c r="AJ6978">
        <v>47.186190475853003</v>
      </c>
      <c r="AK6978">
        <v>31.806763847198599</v>
      </c>
      <c r="AL6978">
        <v>81.374545597321699</v>
      </c>
      <c r="AM6978">
        <v>59.884363828816802</v>
      </c>
      <c r="AN6978">
        <v>1.00000002211818</v>
      </c>
    </row>
    <row r="6979" spans="1:40" x14ac:dyDescent="0.25">
      <c r="A6979" t="str">
        <f>"20190303162956187"</f>
        <v>20190303162956187</v>
      </c>
      <c r="B6979" t="str">
        <f>"1551601796178914"</f>
        <v>1551601796178914</v>
      </c>
      <c r="C6979" t="s">
        <v>40</v>
      </c>
      <c r="D6979">
        <v>5.3085319999999996</v>
      </c>
      <c r="E6979">
        <v>0.59359469999999903</v>
      </c>
      <c r="F6979" t="s">
        <v>41</v>
      </c>
      <c r="G6979">
        <v>-147.70439999999999</v>
      </c>
      <c r="H6979" s="1">
        <v>-2.2388800000000002E-6</v>
      </c>
      <c r="I6979">
        <v>134.08529999999999</v>
      </c>
      <c r="J6979">
        <v>-181.41659999999999</v>
      </c>
      <c r="K6979">
        <v>1.1052979999999999</v>
      </c>
      <c r="L6979">
        <v>132.08260000000001</v>
      </c>
      <c r="M6979">
        <v>0.69182849999999996</v>
      </c>
      <c r="N6979">
        <v>-1.492894E-2</v>
      </c>
      <c r="O6979">
        <v>0.72190759999999998</v>
      </c>
      <c r="P6979">
        <v>0.94740239999999998</v>
      </c>
      <c r="Q6979">
        <v>0.15599950000000001</v>
      </c>
      <c r="R6979">
        <v>0.27945120000000001</v>
      </c>
      <c r="S6979">
        <v>3.1327669999999999</v>
      </c>
      <c r="T6979">
        <v>-0.10235850000000001</v>
      </c>
      <c r="U6979">
        <v>0.19606019999999999</v>
      </c>
      <c r="V6979">
        <v>0.4966681</v>
      </c>
      <c r="W6979">
        <v>0.15018010000000001</v>
      </c>
      <c r="X6979">
        <v>0.85484889999999902</v>
      </c>
      <c r="Y6979">
        <v>0.67682580000000003</v>
      </c>
      <c r="Z6979">
        <v>-2.5582790000000001E-2</v>
      </c>
      <c r="AA6979">
        <v>0.73569859999999998</v>
      </c>
      <c r="AB6979">
        <v>32</v>
      </c>
      <c r="AC6979">
        <v>33.712200000000003</v>
      </c>
      <c r="AD6979">
        <v>-1.10530023888</v>
      </c>
      <c r="AE6979">
        <v>2.0026999999999702</v>
      </c>
      <c r="AF6979">
        <v>22.929563693924901</v>
      </c>
      <c r="AG6979">
        <v>-1.10530023888</v>
      </c>
      <c r="AH6979">
        <v>24.745078055867499</v>
      </c>
      <c r="AI6979">
        <v>91.876551347494697</v>
      </c>
      <c r="AJ6979">
        <v>47.180846399004203</v>
      </c>
      <c r="AK6979">
        <v>33.753599331075897</v>
      </c>
      <c r="AL6979">
        <v>81.362635832451502</v>
      </c>
      <c r="AM6979">
        <v>59.843367677483499</v>
      </c>
      <c r="AN6979">
        <v>0.99999995291241295</v>
      </c>
    </row>
    <row r="6980" spans="1:40" x14ac:dyDescent="0.25">
      <c r="A6980" t="str">
        <f>"20190303162956198"</f>
        <v>20190303162956198</v>
      </c>
      <c r="B6980" t="str">
        <f>"1551601796188674"</f>
        <v>1551601796188674</v>
      </c>
      <c r="C6980" t="s">
        <v>40</v>
      </c>
      <c r="D6980">
        <v>5.3209160000000004</v>
      </c>
      <c r="E6980">
        <v>0.5930607</v>
      </c>
      <c r="F6980" t="s">
        <v>41</v>
      </c>
      <c r="G6980">
        <v>-146.14769999999999</v>
      </c>
      <c r="H6980" s="1">
        <v>-2.7975450000000001E-6</v>
      </c>
      <c r="I6980">
        <v>133.97669999999999</v>
      </c>
      <c r="J6980">
        <v>-181.29740000000001</v>
      </c>
      <c r="K6980">
        <v>1.1052729999999999</v>
      </c>
      <c r="L6980">
        <v>132.19669999999999</v>
      </c>
      <c r="M6980">
        <v>0.69848849999999996</v>
      </c>
      <c r="N6980">
        <v>-1.494385E-2</v>
      </c>
      <c r="O6980">
        <v>0.71546529999999997</v>
      </c>
      <c r="P6980">
        <v>0.95005260000000002</v>
      </c>
      <c r="Q6980">
        <v>0.15604670000000001</v>
      </c>
      <c r="R6980">
        <v>0.270277299999999</v>
      </c>
      <c r="S6980">
        <v>3.1330870000000002</v>
      </c>
      <c r="T6980">
        <v>-9.8188639999999994E-2</v>
      </c>
      <c r="U6980">
        <v>0.16825870000000001</v>
      </c>
      <c r="V6980">
        <v>0.49701790000000001</v>
      </c>
      <c r="W6980">
        <v>0.15019569999999999</v>
      </c>
      <c r="X6980">
        <v>0.85464289999999998</v>
      </c>
      <c r="Y6980">
        <v>0.67656090000000002</v>
      </c>
      <c r="Z6980">
        <v>-2.4280260000000001E-2</v>
      </c>
      <c r="AA6980">
        <v>0.73598640000000004</v>
      </c>
      <c r="AB6980">
        <v>32</v>
      </c>
      <c r="AC6980">
        <v>35.149700000000003</v>
      </c>
      <c r="AD6980">
        <v>-1.105275797545</v>
      </c>
      <c r="AE6980">
        <v>1.78</v>
      </c>
      <c r="AF6980">
        <v>23.884193898116699</v>
      </c>
      <c r="AG6980">
        <v>-1.105275797545</v>
      </c>
      <c r="AH6980">
        <v>25.802624527431998</v>
      </c>
      <c r="AI6980">
        <v>91.800531122047403</v>
      </c>
      <c r="AJ6980">
        <v>47.211117755755403</v>
      </c>
      <c r="AK6980">
        <v>35.177432897457201</v>
      </c>
      <c r="AL6980">
        <v>81.361732294414594</v>
      </c>
      <c r="AM6980">
        <v>59.819841944904603</v>
      </c>
      <c r="AN6980">
        <v>1.0000000138696501</v>
      </c>
    </row>
    <row r="6981" spans="1:40" x14ac:dyDescent="0.25">
      <c r="A6981" t="str">
        <f>"20190303162956210"</f>
        <v>20190303162956210</v>
      </c>
      <c r="B6981" t="str">
        <f>"1551601796199410"</f>
        <v>1551601796199410</v>
      </c>
      <c r="C6981" t="s">
        <v>40</v>
      </c>
      <c r="D6981">
        <v>5.3333659999999998</v>
      </c>
      <c r="E6981">
        <v>0.59254390000000001</v>
      </c>
      <c r="F6981" t="s">
        <v>41</v>
      </c>
      <c r="G6981">
        <v>-145.8415</v>
      </c>
      <c r="H6981" s="1">
        <v>-2.947333E-6</v>
      </c>
      <c r="I6981">
        <v>133.80539999999999</v>
      </c>
      <c r="J6981">
        <v>-181.17939999999999</v>
      </c>
      <c r="K6981">
        <v>1.1052489999999999</v>
      </c>
      <c r="L6981">
        <v>132.3073</v>
      </c>
      <c r="M6981">
        <v>0.70496499999999995</v>
      </c>
      <c r="N6981">
        <v>-1.495753E-2</v>
      </c>
      <c r="O6981">
        <v>0.70908439999999995</v>
      </c>
      <c r="P6981">
        <v>0.95250979999999996</v>
      </c>
      <c r="Q6981">
        <v>0.1562096</v>
      </c>
      <c r="R6981">
        <v>0.26138810000000001</v>
      </c>
      <c r="S6981">
        <v>3.1333470000000001</v>
      </c>
      <c r="T6981">
        <v>-9.7676520000000003E-2</v>
      </c>
      <c r="U6981">
        <v>0.14216609999999999</v>
      </c>
      <c r="V6981">
        <v>0.49722899999999998</v>
      </c>
      <c r="W6981">
        <v>0.15033479999999999</v>
      </c>
      <c r="X6981">
        <v>0.85449560000000002</v>
      </c>
      <c r="Y6981">
        <v>0.67598879999999995</v>
      </c>
      <c r="Z6981">
        <v>-2.4121819999999999E-2</v>
      </c>
      <c r="AA6981">
        <v>0.73651709999999904</v>
      </c>
      <c r="AB6981">
        <v>32</v>
      </c>
      <c r="AC6981">
        <v>35.337899999999898</v>
      </c>
      <c r="AD6981">
        <v>-1.105251947333</v>
      </c>
      <c r="AE6981">
        <v>1.49809999999999</v>
      </c>
      <c r="AF6981">
        <v>23.9807135381369</v>
      </c>
      <c r="AG6981">
        <v>-1.105251947333</v>
      </c>
      <c r="AH6981">
        <v>25.951825915875698</v>
      </c>
      <c r="AI6981">
        <v>91.791577374174395</v>
      </c>
      <c r="AJ6981">
        <v>47.2606062635519</v>
      </c>
      <c r="AK6981">
        <v>35.352418192157501</v>
      </c>
      <c r="AL6981">
        <v>81.353670629525894</v>
      </c>
      <c r="AM6981">
        <v>59.804974553205902</v>
      </c>
      <c r="AN6981">
        <v>0.99999998047569905</v>
      </c>
    </row>
    <row r="6982" spans="1:40" x14ac:dyDescent="0.25">
      <c r="A6982" t="str">
        <f>"20190303162956220"</f>
        <v>20190303162956220</v>
      </c>
      <c r="B6982" t="str">
        <f>"1551601796209170"</f>
        <v>1551601796209170</v>
      </c>
      <c r="C6982" t="s">
        <v>40</v>
      </c>
      <c r="D6982">
        <v>5.4076000000000004</v>
      </c>
      <c r="E6982">
        <v>0.59206709999999996</v>
      </c>
      <c r="F6982" t="s">
        <v>41</v>
      </c>
      <c r="G6982">
        <v>-145.40110000000001</v>
      </c>
      <c r="H6982" s="1">
        <v>-3.1411229999999999E-6</v>
      </c>
      <c r="I6982">
        <v>133.6403</v>
      </c>
      <c r="J6982">
        <v>-181.0684</v>
      </c>
      <c r="K6982">
        <v>1.1052280000000001</v>
      </c>
      <c r="L6982">
        <v>132.4102</v>
      </c>
      <c r="M6982">
        <v>0.71097819999999901</v>
      </c>
      <c r="N6982">
        <v>-1.4969680000000001E-2</v>
      </c>
      <c r="O6982">
        <v>0.70305479999999998</v>
      </c>
      <c r="P6982">
        <v>0.95471839999999997</v>
      </c>
      <c r="Q6982">
        <v>0.15616070000000001</v>
      </c>
      <c r="R6982">
        <v>0.25323309999999999</v>
      </c>
      <c r="S6982">
        <v>3.1334080000000002</v>
      </c>
      <c r="T6982">
        <v>-9.679604E-2</v>
      </c>
      <c r="U6982">
        <v>0.116745</v>
      </c>
      <c r="V6982">
        <v>0.49727009999999999</v>
      </c>
      <c r="W6982">
        <v>0.15027109999999999</v>
      </c>
      <c r="X6982">
        <v>0.85448289999999905</v>
      </c>
      <c r="Y6982">
        <v>0.67568899999999998</v>
      </c>
      <c r="Z6982">
        <v>-2.385402E-2</v>
      </c>
      <c r="AA6982">
        <v>0.73680069999999998</v>
      </c>
      <c r="AB6982">
        <v>32</v>
      </c>
      <c r="AC6982">
        <v>35.667299999999898</v>
      </c>
      <c r="AD6982">
        <v>-1.105231141123</v>
      </c>
      <c r="AE6982">
        <v>1.23009999999999</v>
      </c>
      <c r="AF6982">
        <v>24.181011329704901</v>
      </c>
      <c r="AG6982">
        <v>-1.105231141123</v>
      </c>
      <c r="AH6982">
        <v>26.201308454766401</v>
      </c>
      <c r="AI6982">
        <v>91.775516254687901</v>
      </c>
      <c r="AJ6982">
        <v>47.296291957114697</v>
      </c>
      <c r="AK6982">
        <v>35.671436886456398</v>
      </c>
      <c r="AL6982">
        <v>81.357362400980307</v>
      </c>
      <c r="AM6982">
        <v>59.802545655548698</v>
      </c>
      <c r="AN6982">
        <v>0.99999999112081395</v>
      </c>
    </row>
    <row r="6983" spans="1:40" x14ac:dyDescent="0.25">
      <c r="A6983" t="str">
        <f>"20190303162956230"</f>
        <v>20190303162956230</v>
      </c>
      <c r="B6983" t="str">
        <f>"1551601796218930"</f>
        <v>1551601796218930</v>
      </c>
      <c r="C6983" t="s">
        <v>40</v>
      </c>
      <c r="D6983">
        <v>5.3919489999999897</v>
      </c>
      <c r="E6983">
        <v>0.59154449999999903</v>
      </c>
      <c r="F6983" t="s">
        <v>41</v>
      </c>
      <c r="G6983">
        <v>-145.40299999999999</v>
      </c>
      <c r="H6983" s="1">
        <v>-3.1845179999999998E-6</v>
      </c>
      <c r="I6983">
        <v>133.47479999999999</v>
      </c>
      <c r="J6983">
        <v>-180.95959999999999</v>
      </c>
      <c r="K6983">
        <v>1.10521</v>
      </c>
      <c r="L6983">
        <v>132.5085</v>
      </c>
      <c r="M6983">
        <v>0.71676790000000001</v>
      </c>
      <c r="N6983">
        <v>-1.4980790000000001E-2</v>
      </c>
      <c r="O6983">
        <v>0.69715090000000002</v>
      </c>
      <c r="P6983">
        <v>0.95671309999999998</v>
      </c>
      <c r="Q6983">
        <v>0.155725799999999</v>
      </c>
      <c r="R6983">
        <v>0.2458649</v>
      </c>
      <c r="S6983">
        <v>3.133362</v>
      </c>
      <c r="T6983">
        <v>-9.7099299999999999E-2</v>
      </c>
      <c r="U6983">
        <v>9.3536380000000002E-2</v>
      </c>
      <c r="V6983">
        <v>0.49683060000000001</v>
      </c>
      <c r="W6983">
        <v>0.14984639999999999</v>
      </c>
      <c r="X6983">
        <v>0.85481309999999999</v>
      </c>
      <c r="Y6983">
        <v>0.67504160000000002</v>
      </c>
      <c r="Z6983">
        <v>-2.3944489999999999E-2</v>
      </c>
      <c r="AA6983">
        <v>0.73739100000000002</v>
      </c>
      <c r="AB6983">
        <v>32</v>
      </c>
      <c r="AC6983">
        <v>35.556600000000003</v>
      </c>
      <c r="AD6983">
        <v>-1.105213184518</v>
      </c>
      <c r="AE6983">
        <v>0.96629999999998895</v>
      </c>
      <c r="AF6983">
        <v>24.075163430989502</v>
      </c>
      <c r="AG6983">
        <v>-1.105213184518</v>
      </c>
      <c r="AH6983">
        <v>26.137187798164899</v>
      </c>
      <c r="AI6983">
        <v>91.781423843421607</v>
      </c>
      <c r="AJ6983">
        <v>47.351591658550198</v>
      </c>
      <c r="AK6983">
        <v>35.552602948428799</v>
      </c>
      <c r="AL6983">
        <v>81.381974784896201</v>
      </c>
      <c r="AM6983">
        <v>59.834183101757198</v>
      </c>
      <c r="AN6983">
        <v>1.00000001231046</v>
      </c>
    </row>
    <row r="6984" spans="1:40" x14ac:dyDescent="0.25">
      <c r="A6984" t="str">
        <f>"20190303162956252"</f>
        <v>20190303162956252</v>
      </c>
      <c r="B6984" t="str">
        <f>"1551601796249186"</f>
        <v>1551601796249186</v>
      </c>
      <c r="C6984" t="s">
        <v>40</v>
      </c>
      <c r="D6984">
        <v>5.4011769999999997</v>
      </c>
      <c r="E6984">
        <v>0.57252860000000005</v>
      </c>
      <c r="F6984" t="s">
        <v>41</v>
      </c>
      <c r="G6984">
        <v>-145.26499999999999</v>
      </c>
      <c r="H6984" s="1">
        <v>-3.2683180000000002E-6</v>
      </c>
      <c r="I6984">
        <v>133.3364</v>
      </c>
      <c r="J6984">
        <v>-180.7278</v>
      </c>
      <c r="K6984">
        <v>1.1051690000000001</v>
      </c>
      <c r="L6984">
        <v>132.71350000000001</v>
      </c>
      <c r="M6984">
        <v>0.72883549999999997</v>
      </c>
      <c r="N6984">
        <v>-1.5002730000000001E-2</v>
      </c>
      <c r="O6984">
        <v>0.68452440000000003</v>
      </c>
      <c r="P6984">
        <v>0.96051719999999896</v>
      </c>
      <c r="Q6984">
        <v>0.1562799</v>
      </c>
      <c r="R6984">
        <v>0.23018069999999999</v>
      </c>
      <c r="S6984">
        <v>3.1328580000000001</v>
      </c>
      <c r="T6984">
        <v>-9.7002740000000004E-2</v>
      </c>
      <c r="U6984">
        <v>7.2662350000000001E-2</v>
      </c>
      <c r="V6984">
        <v>0.49585469999999998</v>
      </c>
      <c r="W6984">
        <v>0.1504201</v>
      </c>
      <c r="X6984">
        <v>0.85527880000000001</v>
      </c>
      <c r="Y6984">
        <v>0.66703080000000003</v>
      </c>
      <c r="Z6984">
        <v>-2.372169E-2</v>
      </c>
      <c r="AA6984">
        <v>0.74465239999999999</v>
      </c>
      <c r="AB6984">
        <v>32</v>
      </c>
      <c r="AC6984">
        <v>35.462800000000001</v>
      </c>
      <c r="AD6984">
        <v>-1.1051722683180001</v>
      </c>
      <c r="AE6984">
        <v>0.62289999999998702</v>
      </c>
      <c r="AF6984">
        <v>23.800734073292201</v>
      </c>
      <c r="AG6984">
        <v>-1.1051722683180001</v>
      </c>
      <c r="AH6984">
        <v>26.250409280051802</v>
      </c>
      <c r="AI6984">
        <v>91.786459985304901</v>
      </c>
      <c r="AJ6984">
        <v>47.802016686858401</v>
      </c>
      <c r="AK6984">
        <v>35.451097804447002</v>
      </c>
      <c r="AL6984">
        <v>81.348726887561895</v>
      </c>
      <c r="AM6984">
        <v>59.896644589655502</v>
      </c>
      <c r="AN6984">
        <v>0.99999995786276896</v>
      </c>
    </row>
    <row r="6985" spans="1:40" x14ac:dyDescent="0.25">
      <c r="A6985" t="str">
        <f>"20190303162956263"</f>
        <v>20190303162956263</v>
      </c>
      <c r="B6985" t="str">
        <f>"1551601796258946"</f>
        <v>1551601796258946</v>
      </c>
      <c r="C6985" t="s">
        <v>40</v>
      </c>
      <c r="D6985">
        <v>5.4445920000000001</v>
      </c>
      <c r="E6985">
        <v>0.5724458</v>
      </c>
      <c r="F6985" t="s">
        <v>41</v>
      </c>
      <c r="G6985">
        <v>-146.8845</v>
      </c>
      <c r="H6985" s="1">
        <v>-2.3929130000000001E-6</v>
      </c>
      <c r="I6985">
        <v>134.55500000000001</v>
      </c>
      <c r="J6985">
        <v>-180.60069999999999</v>
      </c>
      <c r="K6985">
        <v>1.1051519999999999</v>
      </c>
      <c r="L6985">
        <v>132.8235</v>
      </c>
      <c r="M6985">
        <v>0.73530629999999997</v>
      </c>
      <c r="N6985">
        <v>-1.50139E-2</v>
      </c>
      <c r="O6985">
        <v>0.67756870000000002</v>
      </c>
      <c r="P6985">
        <v>0.96220660000000002</v>
      </c>
      <c r="Q6985">
        <v>0.15705279999999999</v>
      </c>
      <c r="R6985">
        <v>0.2224699</v>
      </c>
      <c r="S6985">
        <v>3.0993650000000001</v>
      </c>
      <c r="T6985">
        <v>-0.1012115</v>
      </c>
      <c r="U6985">
        <v>0.16865539999999901</v>
      </c>
      <c r="V6985">
        <v>0.4945368</v>
      </c>
      <c r="W6985">
        <v>0.15123979999999901</v>
      </c>
      <c r="X6985">
        <v>0.85589709999999997</v>
      </c>
      <c r="Y6985">
        <v>0.63616839999999997</v>
      </c>
      <c r="Z6985">
        <v>-2.4492650000000001E-2</v>
      </c>
      <c r="AA6985">
        <v>0.7711614</v>
      </c>
      <c r="AB6985">
        <v>32</v>
      </c>
      <c r="AC6985">
        <v>33.716199999999901</v>
      </c>
      <c r="AD6985">
        <v>-1.1051543929129899</v>
      </c>
      <c r="AE6985">
        <v>1.73150000000001</v>
      </c>
      <c r="AF6985">
        <v>21.551195606076</v>
      </c>
      <c r="AG6985">
        <v>-1.1051543929129899</v>
      </c>
      <c r="AH6985">
        <v>25.940073071378901</v>
      </c>
      <c r="AI6985">
        <v>91.8769157159701</v>
      </c>
      <c r="AJ6985">
        <v>50.279958580802202</v>
      </c>
      <c r="AK6985">
        <v>33.742596065388902</v>
      </c>
      <c r="AL6985">
        <v>81.301218254486599</v>
      </c>
      <c r="AM6985">
        <v>59.980705326395501</v>
      </c>
      <c r="AN6985">
        <v>0.99999998472334395</v>
      </c>
    </row>
    <row r="6986" spans="1:40" x14ac:dyDescent="0.25">
      <c r="A6986" t="str">
        <f>"20190303162956274"</f>
        <v>20190303162956274</v>
      </c>
      <c r="B6986" t="str">
        <f>"1551601796268706"</f>
        <v>1551601796268706</v>
      </c>
      <c r="C6986" t="s">
        <v>40</v>
      </c>
      <c r="D6986">
        <v>5.4142299999999999</v>
      </c>
      <c r="E6986">
        <v>0.57125150000000002</v>
      </c>
      <c r="F6986" t="s">
        <v>41</v>
      </c>
      <c r="G6986">
        <v>-148.76750000000001</v>
      </c>
      <c r="H6986" s="1">
        <v>-1.81846E-6</v>
      </c>
      <c r="I6986">
        <v>134.3057</v>
      </c>
      <c r="J6986">
        <v>-180.4658</v>
      </c>
      <c r="K6986">
        <v>1.1051359999999999</v>
      </c>
      <c r="L6986">
        <v>132.9367</v>
      </c>
      <c r="M6986">
        <v>0.74202800000000002</v>
      </c>
      <c r="N6986">
        <v>-1.5025200000000001E-2</v>
      </c>
      <c r="O6986">
        <v>0.67020049999999998</v>
      </c>
      <c r="P6986">
        <v>0.9638274</v>
      </c>
      <c r="Q6986">
        <v>0.158584</v>
      </c>
      <c r="R6986">
        <v>0.2142153</v>
      </c>
      <c r="S6986">
        <v>3.102036</v>
      </c>
      <c r="T6986">
        <v>-0.10769330000000001</v>
      </c>
      <c r="U6986">
        <v>0.1444397</v>
      </c>
      <c r="V6986">
        <v>0.49322949999999999</v>
      </c>
      <c r="W6986">
        <v>0.1528168</v>
      </c>
      <c r="X6986">
        <v>0.8563712</v>
      </c>
      <c r="Y6986">
        <v>0.63444389999999995</v>
      </c>
      <c r="Z6986">
        <v>-2.636695E-2</v>
      </c>
      <c r="AA6986">
        <v>0.77251910000000001</v>
      </c>
      <c r="AB6986">
        <v>32</v>
      </c>
      <c r="AC6986">
        <v>31.6982999999999</v>
      </c>
      <c r="AD6986">
        <v>-1.10513781846</v>
      </c>
      <c r="AE6986">
        <v>1.36899999999999</v>
      </c>
      <c r="AF6986">
        <v>20.206148526081801</v>
      </c>
      <c r="AG6986">
        <v>-1.10513781846</v>
      </c>
      <c r="AH6986">
        <v>24.411671892849299</v>
      </c>
      <c r="AI6986">
        <v>91.997326514007</v>
      </c>
      <c r="AJ6986">
        <v>50.384595966408398</v>
      </c>
      <c r="AK6986">
        <v>31.7086658889963</v>
      </c>
      <c r="AL6986">
        <v>81.209800064676202</v>
      </c>
      <c r="AM6986">
        <v>60.060082651281199</v>
      </c>
      <c r="AN6986">
        <v>0.999999973110964</v>
      </c>
    </row>
    <row r="6987" spans="1:40" x14ac:dyDescent="0.25">
      <c r="A6987" t="str">
        <f>"20190303162956286"</f>
        <v>20190303162956286</v>
      </c>
      <c r="B6987" t="str">
        <f>"1551601796278813"</f>
        <v>1551601796278813</v>
      </c>
      <c r="C6987" t="s">
        <v>40</v>
      </c>
      <c r="D6987">
        <v>5.408569</v>
      </c>
      <c r="E6987">
        <v>0.570640699999999</v>
      </c>
      <c r="F6987" t="s">
        <v>41</v>
      </c>
      <c r="G6987">
        <v>-144.77289999999999</v>
      </c>
      <c r="H6987" s="1">
        <v>-3.155073E-6</v>
      </c>
      <c r="I6987">
        <v>134.3913</v>
      </c>
      <c r="J6987">
        <v>-180.34370000000001</v>
      </c>
      <c r="K6987">
        <v>1.1051219999999999</v>
      </c>
      <c r="L6987">
        <v>133.03799999999899</v>
      </c>
      <c r="M6987">
        <v>0.74802349999999995</v>
      </c>
      <c r="N6987">
        <v>-1.503498E-2</v>
      </c>
      <c r="O6987">
        <v>0.66350189999999998</v>
      </c>
      <c r="P6987">
        <v>0.96512070000000005</v>
      </c>
      <c r="Q6987">
        <v>0.15991849999999999</v>
      </c>
      <c r="R6987">
        <v>0.20728779999999999</v>
      </c>
      <c r="S6987">
        <v>3.1002960000000002</v>
      </c>
      <c r="T6987">
        <v>-9.5992679999999997E-2</v>
      </c>
      <c r="U6987">
        <v>0.126358</v>
      </c>
      <c r="V6987">
        <v>0.49158819999999998</v>
      </c>
      <c r="W6987">
        <v>0.1542134</v>
      </c>
      <c r="X6987">
        <v>0.85706439999999995</v>
      </c>
      <c r="Y6987">
        <v>0.63209630000000006</v>
      </c>
      <c r="Z6987">
        <v>-2.2795840000000001E-2</v>
      </c>
      <c r="AA6987">
        <v>0.77455450000000003</v>
      </c>
      <c r="AB6987">
        <v>32</v>
      </c>
      <c r="AC6987">
        <v>35.570799999999998</v>
      </c>
      <c r="AD6987">
        <v>-1.1051251550729999</v>
      </c>
      <c r="AE6987">
        <v>1.3533000000000099</v>
      </c>
      <c r="AF6987">
        <v>22.5697931885237</v>
      </c>
      <c r="AG6987">
        <v>-1.1051251550729999</v>
      </c>
      <c r="AH6987">
        <v>27.482332372752602</v>
      </c>
      <c r="AI6987">
        <v>91.779938648959998</v>
      </c>
      <c r="AJ6987">
        <v>50.605539079234603</v>
      </c>
      <c r="AK6987">
        <v>35.579424655656702</v>
      </c>
      <c r="AL6987">
        <v>81.128821629716398</v>
      </c>
      <c r="AM6987">
        <v>60.162621867548502</v>
      </c>
      <c r="AN6987">
        <v>1.0000000584330699</v>
      </c>
    </row>
    <row r="6988" spans="1:40" x14ac:dyDescent="0.25">
      <c r="A6988" t="str">
        <f>"20190303162956297"</f>
        <v>20190303162956297</v>
      </c>
      <c r="B6988" t="str">
        <f>"1551601796288573"</f>
        <v>1551601796288573</v>
      </c>
      <c r="C6988" t="s">
        <v>40</v>
      </c>
      <c r="D6988">
        <v>5.4232800000000001</v>
      </c>
      <c r="E6988">
        <v>0.57006679999999998</v>
      </c>
      <c r="F6988" t="s">
        <v>41</v>
      </c>
      <c r="G6988">
        <v>-139.9648</v>
      </c>
      <c r="H6988" s="1">
        <v>-5.2041069999999998E-6</v>
      </c>
      <c r="I6988">
        <v>134.44799999999901</v>
      </c>
      <c r="J6988">
        <v>-180.21559999999999</v>
      </c>
      <c r="K6988">
        <v>1.1051120000000001</v>
      </c>
      <c r="L6988">
        <v>133.14179999999999</v>
      </c>
      <c r="M6988">
        <v>0.75419959999999997</v>
      </c>
      <c r="N6988">
        <v>-1.5044719999999999E-2</v>
      </c>
      <c r="O6988">
        <v>0.65647290000000003</v>
      </c>
      <c r="P6988">
        <v>0.96631359999999999</v>
      </c>
      <c r="Q6988">
        <v>0.16154959999999999</v>
      </c>
      <c r="R6988">
        <v>0.20035</v>
      </c>
      <c r="S6988">
        <v>3.0992130000000002</v>
      </c>
      <c r="T6988">
        <v>-8.4822179999999997E-2</v>
      </c>
      <c r="U6988">
        <v>0.1082306</v>
      </c>
      <c r="V6988">
        <v>0.48960999999999999</v>
      </c>
      <c r="W6988">
        <v>0.1559219</v>
      </c>
      <c r="X6988">
        <v>0.85788709999999901</v>
      </c>
      <c r="Y6988">
        <v>0.62946059999999904</v>
      </c>
      <c r="Z6988">
        <v>-1.9405490000000001E-2</v>
      </c>
      <c r="AA6988">
        <v>0.77679010000000004</v>
      </c>
      <c r="AB6988">
        <v>32</v>
      </c>
      <c r="AC6988">
        <v>40.250799999999998</v>
      </c>
      <c r="AD6988">
        <v>-1.1051172041069901</v>
      </c>
      <c r="AE6988">
        <v>1.30619999999998</v>
      </c>
      <c r="AF6988">
        <v>25.422159096074999</v>
      </c>
      <c r="AG6988">
        <v>-1.1051172041069901</v>
      </c>
      <c r="AH6988">
        <v>31.1946641930341</v>
      </c>
      <c r="AI6988">
        <v>91.573061383852405</v>
      </c>
      <c r="AJ6988">
        <v>50.821612837875897</v>
      </c>
      <c r="AK6988">
        <v>40.256856947073302</v>
      </c>
      <c r="AL6988">
        <v>81.029732066597902</v>
      </c>
      <c r="AM6988">
        <v>60.2859003482479</v>
      </c>
      <c r="AN6988">
        <v>0.99999993367300699</v>
      </c>
    </row>
    <row r="6989" spans="1:40" x14ac:dyDescent="0.25">
      <c r="A6989" t="str">
        <f>"20190303162956308"</f>
        <v>20190303162956308</v>
      </c>
      <c r="B6989" t="str">
        <f>"1551601796299309"</f>
        <v>1551601796299309</v>
      </c>
      <c r="C6989" t="s">
        <v>40</v>
      </c>
      <c r="D6989">
        <v>5.4103640000000004</v>
      </c>
      <c r="E6989">
        <v>0.569218</v>
      </c>
      <c r="F6989" t="s">
        <v>41</v>
      </c>
      <c r="G6989">
        <v>-136.71870000000001</v>
      </c>
      <c r="H6989" s="1">
        <v>-2.4891910000000002E-6</v>
      </c>
      <c r="I6989">
        <v>134.40539999999999</v>
      </c>
      <c r="J6989">
        <v>-180.09599999999901</v>
      </c>
      <c r="K6989">
        <v>1.1051010000000001</v>
      </c>
      <c r="L6989">
        <v>133.2371</v>
      </c>
      <c r="M6989">
        <v>0.75987179999999999</v>
      </c>
      <c r="N6989">
        <v>-1.505343E-2</v>
      </c>
      <c r="O6989">
        <v>0.64989859999999999</v>
      </c>
      <c r="P6989">
        <v>0.96729330000000002</v>
      </c>
      <c r="Q6989">
        <v>0.163206399999999</v>
      </c>
      <c r="R6989">
        <v>0.19418379999999999</v>
      </c>
      <c r="S6989">
        <v>3.099075</v>
      </c>
      <c r="T6989">
        <v>-7.8737260000000003E-2</v>
      </c>
      <c r="U6989">
        <v>9.002686E-2</v>
      </c>
      <c r="V6989">
        <v>0.48751450000000002</v>
      </c>
      <c r="W6989">
        <v>0.15766350000000001</v>
      </c>
      <c r="X6989">
        <v>0.85876180000000002</v>
      </c>
      <c r="Y6989">
        <v>0.62731919999999897</v>
      </c>
      <c r="Z6989">
        <v>-1.756137E-2</v>
      </c>
      <c r="AA6989">
        <v>0.77856419999999904</v>
      </c>
      <c r="AB6989">
        <v>32</v>
      </c>
      <c r="AC6989">
        <v>43.377299999999899</v>
      </c>
      <c r="AD6989">
        <v>-1.1051034891910001</v>
      </c>
      <c r="AE6989">
        <v>1.1682999999999799</v>
      </c>
      <c r="AF6989">
        <v>27.288484203426101</v>
      </c>
      <c r="AG6989">
        <v>-1.1051034891910001</v>
      </c>
      <c r="AH6989">
        <v>33.702426868368498</v>
      </c>
      <c r="AI6989">
        <v>91.459799465240593</v>
      </c>
      <c r="AJ6989">
        <v>51.003288801044597</v>
      </c>
      <c r="AK6989">
        <v>43.378983398187003</v>
      </c>
      <c r="AL6989">
        <v>80.928696644788602</v>
      </c>
      <c r="AM6989">
        <v>60.416653356417697</v>
      </c>
      <c r="AN6989">
        <v>0.99999999804086903</v>
      </c>
    </row>
    <row r="6990" spans="1:40" x14ac:dyDescent="0.25">
      <c r="A6990" t="str">
        <f>"20190303162956320"</f>
        <v>20190303162956320</v>
      </c>
      <c r="B6990" t="str">
        <f>"1551601796309069"</f>
        <v>1551601796309069</v>
      </c>
      <c r="C6990" t="s">
        <v>40</v>
      </c>
      <c r="D6990">
        <v>5.4380350000000002</v>
      </c>
      <c r="E6990">
        <v>0.56878790000000001</v>
      </c>
      <c r="F6990" t="s">
        <v>41</v>
      </c>
      <c r="G6990">
        <v>-131.6354</v>
      </c>
      <c r="H6990" s="1">
        <v>-4.490091E-6</v>
      </c>
      <c r="I6990">
        <v>134.4331</v>
      </c>
      <c r="J6990">
        <v>-179.95500000000001</v>
      </c>
      <c r="K6990">
        <v>1.1050899999999999</v>
      </c>
      <c r="L6990">
        <v>133.3477</v>
      </c>
      <c r="M6990">
        <v>0.76645569999999996</v>
      </c>
      <c r="N6990">
        <v>-1.506326E-2</v>
      </c>
      <c r="O6990">
        <v>0.64212060000000004</v>
      </c>
      <c r="P6990">
        <v>0.96851940000000003</v>
      </c>
      <c r="Q6990">
        <v>0.16430320000000001</v>
      </c>
      <c r="R6990">
        <v>0.18701519999999999</v>
      </c>
      <c r="S6990">
        <v>3.098007</v>
      </c>
      <c r="T6990">
        <v>-7.0647479999999999E-2</v>
      </c>
      <c r="U6990">
        <v>7.6461790000000002E-2</v>
      </c>
      <c r="V6990">
        <v>0.48504540000000002</v>
      </c>
      <c r="W6990">
        <v>0.15886129999999901</v>
      </c>
      <c r="X6990">
        <v>0.85993839999999999</v>
      </c>
      <c r="Y6990">
        <v>0.62283290000000002</v>
      </c>
      <c r="Z6990">
        <v>-1.510677E-2</v>
      </c>
      <c r="AA6990">
        <v>0.78220900000000004</v>
      </c>
      <c r="AB6990">
        <v>32</v>
      </c>
      <c r="AC6990">
        <v>48.319600000000001</v>
      </c>
      <c r="AD6990">
        <v>-1.10509449009099</v>
      </c>
      <c r="AE6990">
        <v>1.0853999999999899</v>
      </c>
      <c r="AF6990">
        <v>30.1827447099285</v>
      </c>
      <c r="AG6990">
        <v>-1.10509449009099</v>
      </c>
      <c r="AH6990">
        <v>37.716351963957102</v>
      </c>
      <c r="AI6990">
        <v>91.310510238259297</v>
      </c>
      <c r="AJ6990">
        <v>51.331241951829902</v>
      </c>
      <c r="AK6990">
        <v>48.319173394480202</v>
      </c>
      <c r="AL6990">
        <v>80.859191830766605</v>
      </c>
      <c r="AM6990">
        <v>60.574972620996498</v>
      </c>
      <c r="AN6990">
        <v>1.0000000022466999</v>
      </c>
    </row>
    <row r="6991" spans="1:40" x14ac:dyDescent="0.25">
      <c r="A6991" t="str">
        <f>"20190303162956335"</f>
        <v>20190303162956335</v>
      </c>
      <c r="B6991" t="str">
        <f>"1551601796329564"</f>
        <v>1551601796329564</v>
      </c>
      <c r="C6991" t="s">
        <v>40</v>
      </c>
      <c r="D6991">
        <v>5.4657580000000001</v>
      </c>
      <c r="E6991">
        <v>0.56754259999999901</v>
      </c>
      <c r="F6991" t="s">
        <v>41</v>
      </c>
      <c r="G6991">
        <v>-125.94450000000001</v>
      </c>
      <c r="H6991" s="1">
        <v>-2.7733569999999999E-6</v>
      </c>
      <c r="I6991">
        <v>134.32759999999999</v>
      </c>
      <c r="J6991">
        <v>-179.7929</v>
      </c>
      <c r="K6991">
        <v>1.1050739999999999</v>
      </c>
      <c r="L6991">
        <v>133.47110000000001</v>
      </c>
      <c r="M6991">
        <v>0.77385199999999998</v>
      </c>
      <c r="N6991">
        <v>-1.5073980000000001E-2</v>
      </c>
      <c r="O6991">
        <v>0.6331871</v>
      </c>
      <c r="P6991">
        <v>0.96981680000000003</v>
      </c>
      <c r="Q6991">
        <v>0.16571720000000001</v>
      </c>
      <c r="R6991">
        <v>0.17886679999999999</v>
      </c>
      <c r="S6991">
        <v>3.0974119999999998</v>
      </c>
      <c r="T6991">
        <v>-6.3375230000000005E-2</v>
      </c>
      <c r="U6991">
        <v>5.6198119999999997E-2</v>
      </c>
      <c r="V6991">
        <v>0.4822012</v>
      </c>
      <c r="W6991">
        <v>0.16039249999999999</v>
      </c>
      <c r="X6991">
        <v>0.86125269999999998</v>
      </c>
      <c r="Y6991">
        <v>0.61890990000000001</v>
      </c>
      <c r="Z6991">
        <v>-1.2940439999999999E-2</v>
      </c>
      <c r="AA6991">
        <v>0.78535540000000004</v>
      </c>
      <c r="AB6991">
        <v>32</v>
      </c>
      <c r="AC6991">
        <v>53.848399999999998</v>
      </c>
      <c r="AD6991">
        <v>-1.1050767733569999</v>
      </c>
      <c r="AE6991">
        <v>0.85649999999998205</v>
      </c>
      <c r="AF6991">
        <v>33.423033677985202</v>
      </c>
      <c r="AG6991">
        <v>-1.1050767733569999</v>
      </c>
      <c r="AH6991">
        <v>42.200044394428403</v>
      </c>
      <c r="AI6991">
        <v>91.176005022319302</v>
      </c>
      <c r="AJ6991">
        <v>51.620276708651502</v>
      </c>
      <c r="AK6991">
        <v>53.843886577832301</v>
      </c>
      <c r="AL6991">
        <v>80.7703207841774</v>
      </c>
      <c r="AM6991">
        <v>60.756254127111099</v>
      </c>
      <c r="AN6991">
        <v>0.99999998229748899</v>
      </c>
    </row>
    <row r="6992" spans="1:40" x14ac:dyDescent="0.25">
      <c r="A6992" t="str">
        <f>"20190303162956350"</f>
        <v>20190303162956350</v>
      </c>
      <c r="B6992" t="str">
        <f>"1551601796339325"</f>
        <v>1551601796339325</v>
      </c>
      <c r="C6992" t="s">
        <v>40</v>
      </c>
      <c r="D6992">
        <v>5.4735189999999996</v>
      </c>
      <c r="E6992">
        <v>0.56693789999999999</v>
      </c>
      <c r="F6992" t="s">
        <v>41</v>
      </c>
      <c r="G6992">
        <v>-121.37309999999999</v>
      </c>
      <c r="H6992" s="1">
        <v>-4.641286E-6</v>
      </c>
      <c r="I6992">
        <v>134.215</v>
      </c>
      <c r="J6992">
        <v>-179.62520000000001</v>
      </c>
      <c r="K6992">
        <v>1.1050599999999999</v>
      </c>
      <c r="L6992">
        <v>133.59620000000001</v>
      </c>
      <c r="M6992">
        <v>0.78135089999999996</v>
      </c>
      <c r="N6992">
        <v>-1.5084490000000001E-2</v>
      </c>
      <c r="O6992">
        <v>0.62390970000000001</v>
      </c>
      <c r="P6992">
        <v>0.97116729999999996</v>
      </c>
      <c r="Q6992">
        <v>0.1667149</v>
      </c>
      <c r="R6992">
        <v>0.17041199999999901</v>
      </c>
      <c r="S6992">
        <v>3.0960999999999999</v>
      </c>
      <c r="T6992">
        <v>-5.856633E-2</v>
      </c>
      <c r="U6992">
        <v>3.9428709999999999E-2</v>
      </c>
      <c r="V6992">
        <v>0.4793598</v>
      </c>
      <c r="W6992">
        <v>0.16150789999999901</v>
      </c>
      <c r="X6992">
        <v>0.86262939999999999</v>
      </c>
      <c r="Y6992">
        <v>0.61380170000000001</v>
      </c>
      <c r="Z6992">
        <v>-1.1502500000000001E-2</v>
      </c>
      <c r="AA6992">
        <v>0.78937650000000004</v>
      </c>
      <c r="AB6992">
        <v>32</v>
      </c>
      <c r="AC6992">
        <v>58.252099999999999</v>
      </c>
      <c r="AD6992">
        <v>-1.1050646412859999</v>
      </c>
      <c r="AE6992">
        <v>0.61879999999999302</v>
      </c>
      <c r="AF6992">
        <v>35.851728666165698</v>
      </c>
      <c r="AG6992">
        <v>-1.1050646412859999</v>
      </c>
      <c r="AH6992">
        <v>45.890114419107199</v>
      </c>
      <c r="AI6992">
        <v>91.087122168954394</v>
      </c>
      <c r="AJ6992">
        <v>52.001208031143101</v>
      </c>
      <c r="AK6992">
        <v>58.244915809129203</v>
      </c>
      <c r="AL6992">
        <v>80.705569506820694</v>
      </c>
      <c r="AM6992">
        <v>60.939242524775302</v>
      </c>
      <c r="AN6992">
        <v>1.0000000506814</v>
      </c>
    </row>
    <row r="6993" spans="1:40" x14ac:dyDescent="0.25">
      <c r="A6993" t="str">
        <f>"20190303162956363"</f>
        <v>20190303162956363</v>
      </c>
      <c r="B6993" t="str">
        <f>"1551601796358845"</f>
        <v>1551601796358845</v>
      </c>
      <c r="C6993" t="s">
        <v>40</v>
      </c>
      <c r="D6993">
        <v>5.5035790000000002</v>
      </c>
      <c r="E6993">
        <v>0.5658048</v>
      </c>
      <c r="F6993" t="s">
        <v>41</v>
      </c>
      <c r="G6993">
        <v>-119.078</v>
      </c>
      <c r="H6993" s="1">
        <v>-1.8143580000000001E-6</v>
      </c>
      <c r="I6993">
        <v>133.92420000000001</v>
      </c>
      <c r="J6993">
        <v>-179.4547</v>
      </c>
      <c r="K6993">
        <v>1.1050500000000001</v>
      </c>
      <c r="L6993">
        <v>133.72069999999999</v>
      </c>
      <c r="M6993">
        <v>0.78881099999999904</v>
      </c>
      <c r="N6993">
        <v>-1.509462E-2</v>
      </c>
      <c r="O6993">
        <v>0.61445050000000001</v>
      </c>
      <c r="P6993">
        <v>0.97240380000000004</v>
      </c>
      <c r="Q6993">
        <v>0.16783709999999999</v>
      </c>
      <c r="R6993">
        <v>0.16205449999999999</v>
      </c>
      <c r="S6993">
        <v>3.095825</v>
      </c>
      <c r="T6993">
        <v>-5.6502579999999997E-2</v>
      </c>
      <c r="U6993">
        <v>1.6769409999999998E-2</v>
      </c>
      <c r="V6993">
        <v>0.47630749999999999</v>
      </c>
      <c r="W6993">
        <v>0.16275899999999999</v>
      </c>
      <c r="X6993">
        <v>0.86408369999999901</v>
      </c>
      <c r="Y6993">
        <v>0.61007149999999999</v>
      </c>
      <c r="Z6993">
        <v>-1.0893190000000001E-2</v>
      </c>
      <c r="AA6993">
        <v>0.79227150000000002</v>
      </c>
      <c r="AB6993">
        <v>32</v>
      </c>
      <c r="AC6993">
        <v>60.3767</v>
      </c>
      <c r="AD6993">
        <v>-1.1050518143579999</v>
      </c>
      <c r="AE6993">
        <v>0.203500000000019</v>
      </c>
      <c r="AF6993">
        <v>36.929807396894901</v>
      </c>
      <c r="AG6993">
        <v>-1.1050518143579999</v>
      </c>
      <c r="AH6993">
        <v>47.740293132480602</v>
      </c>
      <c r="AI6993">
        <v>91.048891033426699</v>
      </c>
      <c r="AJ6993">
        <v>52.276028177902099</v>
      </c>
      <c r="AK6993">
        <v>60.366939646294398</v>
      </c>
      <c r="AL6993">
        <v>80.632924958574904</v>
      </c>
      <c r="AM6993">
        <v>61.135196848909402</v>
      </c>
      <c r="AN6993">
        <v>0.99999998362146902</v>
      </c>
    </row>
    <row r="6994" spans="1:40" x14ac:dyDescent="0.25">
      <c r="A6994" t="str">
        <f>"20190303162956374"</f>
        <v>20190303162956374</v>
      </c>
      <c r="B6994" t="str">
        <f>"1551601796368604"</f>
        <v>1551601796368604</v>
      </c>
      <c r="C6994" t="s">
        <v>40</v>
      </c>
      <c r="D6994">
        <v>5.4781779999999998</v>
      </c>
      <c r="E6994">
        <v>0.56540429999999997</v>
      </c>
      <c r="F6994" t="s">
        <v>41</v>
      </c>
      <c r="G6994">
        <v>-121.06529999999999</v>
      </c>
      <c r="H6994" s="1">
        <v>-4.8637849999999997E-6</v>
      </c>
      <c r="I6994">
        <v>133.70519999999999</v>
      </c>
      <c r="J6994">
        <v>-179.3159</v>
      </c>
      <c r="K6994">
        <v>1.1050500000000001</v>
      </c>
      <c r="L6994">
        <v>133.81880000000001</v>
      </c>
      <c r="M6994">
        <v>0.79474060000000002</v>
      </c>
      <c r="N6994">
        <v>-1.5102259999999999E-2</v>
      </c>
      <c r="O6994">
        <v>0.60676129999999995</v>
      </c>
      <c r="P6994">
        <v>0.97251549999999998</v>
      </c>
      <c r="Q6994">
        <v>0.16986270000000001</v>
      </c>
      <c r="R6994">
        <v>0.15924959999999999</v>
      </c>
      <c r="S6994">
        <v>3.0954130000000002</v>
      </c>
      <c r="T6994">
        <v>-5.8582540000000002E-2</v>
      </c>
      <c r="U6994">
        <v>-8.2397459999999998E-4</v>
      </c>
      <c r="V6994">
        <v>0.47025479999999997</v>
      </c>
      <c r="W6994">
        <v>0.16505500000000001</v>
      </c>
      <c r="X6994">
        <v>0.86695869999999997</v>
      </c>
      <c r="Y6994">
        <v>0.60686459999999998</v>
      </c>
      <c r="Z6994">
        <v>-1.146455E-2</v>
      </c>
      <c r="AA6994">
        <v>0.79472259999999995</v>
      </c>
      <c r="AB6994">
        <v>32</v>
      </c>
      <c r="AC6994">
        <v>58.250599999999999</v>
      </c>
      <c r="AD6994">
        <v>-1.105054863785</v>
      </c>
      <c r="AE6994">
        <v>-0.11360000000001901</v>
      </c>
      <c r="AF6994">
        <v>35.425785119874298</v>
      </c>
      <c r="AG6994">
        <v>-1.105054863785</v>
      </c>
      <c r="AH6994">
        <v>46.213829956467798</v>
      </c>
      <c r="AI6994">
        <v>91.087199850766197</v>
      </c>
      <c r="AJ6994">
        <v>52.527582585926403</v>
      </c>
      <c r="AK6994">
        <v>58.240239326919003</v>
      </c>
      <c r="AL6994">
        <v>80.499571018918402</v>
      </c>
      <c r="AM6994">
        <v>61.523758282423501</v>
      </c>
      <c r="AN6994">
        <v>1.00000005872686</v>
      </c>
    </row>
    <row r="6995" spans="1:40" x14ac:dyDescent="0.25">
      <c r="A6995" t="str">
        <f>"20190303162956387"</f>
        <v>20190303162956387</v>
      </c>
      <c r="B6995" t="str">
        <f>"1551601796379341"</f>
        <v>1551601796379341</v>
      </c>
      <c r="C6995" t="s">
        <v>40</v>
      </c>
      <c r="D6995">
        <v>5.4795160000000003</v>
      </c>
      <c r="E6995">
        <v>0.56488179999999999</v>
      </c>
      <c r="F6995" t="s">
        <v>41</v>
      </c>
      <c r="G6995">
        <v>-112.8592</v>
      </c>
      <c r="H6995" s="1">
        <v>-4.098614E-6</v>
      </c>
      <c r="I6995">
        <v>133.68049999999999</v>
      </c>
      <c r="J6995">
        <v>-179.18209999999999</v>
      </c>
      <c r="K6995">
        <v>1.1050439999999999</v>
      </c>
      <c r="L6995">
        <v>133.91220000000001</v>
      </c>
      <c r="M6995">
        <v>0.80036779999999996</v>
      </c>
      <c r="N6995">
        <v>-1.510921E-2</v>
      </c>
      <c r="O6995">
        <v>0.59931889999999999</v>
      </c>
      <c r="P6995">
        <v>0.97328159999999997</v>
      </c>
      <c r="Q6995">
        <v>0.17046229999999901</v>
      </c>
      <c r="R6995">
        <v>0.15383569999999999</v>
      </c>
      <c r="S6995">
        <v>3.0948180000000001</v>
      </c>
      <c r="T6995">
        <v>-5.1461100000000003E-2</v>
      </c>
      <c r="U6995">
        <v>-6.4392090000000004E-3</v>
      </c>
      <c r="V6995">
        <v>0.46694419999999998</v>
      </c>
      <c r="W6995">
        <v>0.16580039999999999</v>
      </c>
      <c r="X6995">
        <v>0.8686043</v>
      </c>
      <c r="Y6995">
        <v>0.60090980000000005</v>
      </c>
      <c r="Z6995">
        <v>-9.3943429999999994E-3</v>
      </c>
      <c r="AA6995">
        <v>0.79926160000000002</v>
      </c>
      <c r="AB6995">
        <v>32</v>
      </c>
      <c r="AC6995">
        <v>66.322899999999905</v>
      </c>
      <c r="AD6995">
        <v>-1.1050480986139899</v>
      </c>
      <c r="AE6995">
        <v>-0.231700000000017</v>
      </c>
      <c r="AF6995">
        <v>39.927486617904101</v>
      </c>
      <c r="AG6995">
        <v>-1.1050480986139899</v>
      </c>
      <c r="AH6995">
        <v>52.935199212652599</v>
      </c>
      <c r="AI6995">
        <v>90.954812283209407</v>
      </c>
      <c r="AJ6995">
        <v>52.973807910837699</v>
      </c>
      <c r="AK6995">
        <v>66.314105849407198</v>
      </c>
      <c r="AL6995">
        <v>80.456265948249694</v>
      </c>
      <c r="AM6995">
        <v>61.738419358709898</v>
      </c>
      <c r="AN6995">
        <v>1.0000000442661401</v>
      </c>
    </row>
    <row r="6996" spans="1:40" x14ac:dyDescent="0.25">
      <c r="A6996" t="str">
        <f>"20190303162956397"</f>
        <v>20190303162956397</v>
      </c>
      <c r="B6996" t="str">
        <f>"1551601796389101"</f>
        <v>1551601796389101</v>
      </c>
      <c r="C6996" t="s">
        <v>40</v>
      </c>
      <c r="D6996">
        <v>5.5060609999999999</v>
      </c>
      <c r="E6996">
        <v>0.56457630000000003</v>
      </c>
      <c r="F6996" t="s">
        <v>41</v>
      </c>
      <c r="G6996">
        <v>-110.2983</v>
      </c>
      <c r="H6996" s="1">
        <v>-5.233189E-6</v>
      </c>
      <c r="I6996">
        <v>133.4777</v>
      </c>
      <c r="J6996">
        <v>-179.041</v>
      </c>
      <c r="K6996">
        <v>1.1050329999999999</v>
      </c>
      <c r="L6996">
        <v>134.00829999999999</v>
      </c>
      <c r="M6996">
        <v>0.8061855</v>
      </c>
      <c r="N6996">
        <v>-1.5115989999999999E-2</v>
      </c>
      <c r="O6996">
        <v>0.59146980000000005</v>
      </c>
      <c r="P6996">
        <v>0.97407509999999997</v>
      </c>
      <c r="Q6996">
        <v>0.17107539999999999</v>
      </c>
      <c r="R6996">
        <v>0.14802409999999999</v>
      </c>
      <c r="S6996">
        <v>3.094131</v>
      </c>
      <c r="T6996">
        <v>-4.9636720000000002E-2</v>
      </c>
      <c r="U6996">
        <v>-1.951599E-2</v>
      </c>
      <c r="V6996">
        <v>0.46359519999999999</v>
      </c>
      <c r="W6996">
        <v>0.16656209999999999</v>
      </c>
      <c r="X6996">
        <v>0.87025079999999999</v>
      </c>
      <c r="Y6996">
        <v>0.59647790000000001</v>
      </c>
      <c r="Z6996">
        <v>-8.8601719999999995E-3</v>
      </c>
      <c r="AA6996">
        <v>0.80258069999999904</v>
      </c>
      <c r="AB6996">
        <v>32</v>
      </c>
      <c r="AC6996">
        <v>68.742699999999999</v>
      </c>
      <c r="AD6996">
        <v>-1.1050382331890001</v>
      </c>
      <c r="AE6996">
        <v>-0.53059999999999197</v>
      </c>
      <c r="AF6996">
        <v>41.081071364594401</v>
      </c>
      <c r="AG6996">
        <v>-1.1050382331890001</v>
      </c>
      <c r="AH6996">
        <v>55.097591983993397</v>
      </c>
      <c r="AI6996">
        <v>90.921160265295896</v>
      </c>
      <c r="AJ6996">
        <v>53.291583285471503</v>
      </c>
      <c r="AK6996">
        <v>68.735872558616194</v>
      </c>
      <c r="AL6996">
        <v>80.412007437655106</v>
      </c>
      <c r="AM6996">
        <v>61.955125743504198</v>
      </c>
      <c r="AN6996">
        <v>0.99999994876004294</v>
      </c>
    </row>
    <row r="6997" spans="1:40" x14ac:dyDescent="0.25">
      <c r="A6997" t="str">
        <f>"20190303162956419"</f>
        <v>20190303162956419</v>
      </c>
      <c r="B6997" t="str">
        <f>"1551601796408621"</f>
        <v>1551601796408621</v>
      </c>
      <c r="C6997" t="s">
        <v>40</v>
      </c>
      <c r="D6997">
        <v>5.6793060000000004</v>
      </c>
      <c r="E6997">
        <v>0.54253030000000002</v>
      </c>
      <c r="F6997" t="s">
        <v>41</v>
      </c>
      <c r="G6997">
        <v>-109.244</v>
      </c>
      <c r="H6997" s="1">
        <v>-1.9805450000000001E-6</v>
      </c>
      <c r="I6997">
        <v>133.2045</v>
      </c>
      <c r="J6997">
        <v>-178.79220000000001</v>
      </c>
      <c r="K6997">
        <v>1.105016</v>
      </c>
      <c r="L6997">
        <v>134.17320000000001</v>
      </c>
      <c r="M6997">
        <v>0.81618239999999997</v>
      </c>
      <c r="N6997">
        <v>-1.512671E-2</v>
      </c>
      <c r="O6997">
        <v>0.57759640000000001</v>
      </c>
      <c r="P6997">
        <v>0.97504800000000003</v>
      </c>
      <c r="Q6997">
        <v>0.17221739999999999</v>
      </c>
      <c r="R6997">
        <v>0.1400805</v>
      </c>
      <c r="S6997">
        <v>3.0938569999999999</v>
      </c>
      <c r="T6997">
        <v>-4.898226E-2</v>
      </c>
      <c r="U6997">
        <v>-3.5629269999999998E-2</v>
      </c>
      <c r="V6997">
        <v>0.45570509999999997</v>
      </c>
      <c r="W6997">
        <v>0.1680594</v>
      </c>
      <c r="X6997">
        <v>0.87412179999999995</v>
      </c>
      <c r="Y6997">
        <v>0.58689449999999999</v>
      </c>
      <c r="Z6997">
        <v>-8.6020619999999902E-3</v>
      </c>
      <c r="AA6997">
        <v>0.8096177</v>
      </c>
      <c r="AB6997">
        <v>32</v>
      </c>
      <c r="AC6997">
        <v>69.548199999999994</v>
      </c>
      <c r="AD6997">
        <v>-1.105017980545</v>
      </c>
      <c r="AE6997">
        <v>-0.968700000000012</v>
      </c>
      <c r="AF6997">
        <v>40.9557732693712</v>
      </c>
      <c r="AG6997">
        <v>-1.105017980545</v>
      </c>
      <c r="AH6997">
        <v>56.196743087372198</v>
      </c>
      <c r="AI6997">
        <v>90.910409975612893</v>
      </c>
      <c r="AJ6997">
        <v>53.915709415012103</v>
      </c>
      <c r="AK6997">
        <v>69.546174319351195</v>
      </c>
      <c r="AL6997">
        <v>80.324992505536997</v>
      </c>
      <c r="AM6997">
        <v>62.465659417228601</v>
      </c>
      <c r="AN6997">
        <v>1.0000000106647999</v>
      </c>
    </row>
    <row r="6998" spans="1:40" x14ac:dyDescent="0.25">
      <c r="A6998" t="str">
        <f>"20190303162956432"</f>
        <v>20190303162956432</v>
      </c>
      <c r="B6998" t="str">
        <f>"1551601796419356"</f>
        <v>1551601796419356</v>
      </c>
      <c r="C6998" t="s">
        <v>40</v>
      </c>
      <c r="D6998">
        <v>6.0086060000000003</v>
      </c>
      <c r="E6998">
        <v>0.53012789999999999</v>
      </c>
      <c r="F6998" t="s">
        <v>50</v>
      </c>
      <c r="G6998">
        <v>117.67189999999999</v>
      </c>
      <c r="H6998">
        <v>-0.1</v>
      </c>
      <c r="I6998">
        <v>144.88040000000001</v>
      </c>
      <c r="J6998">
        <v>-178.64109999999999</v>
      </c>
      <c r="K6998">
        <v>1.105011</v>
      </c>
      <c r="L6998">
        <v>134.27010000000001</v>
      </c>
      <c r="M6998">
        <v>0.8220847</v>
      </c>
      <c r="N6998">
        <v>-1.513246E-2</v>
      </c>
      <c r="O6998">
        <v>0.56916420000000001</v>
      </c>
      <c r="P6998">
        <v>0.97563230000000001</v>
      </c>
      <c r="Q6998">
        <v>0.172955</v>
      </c>
      <c r="R6998">
        <v>0.13501260000000001</v>
      </c>
      <c r="S6998">
        <v>3.0630649999999999</v>
      </c>
      <c r="T6998">
        <v>-1.245022E-2</v>
      </c>
      <c r="U6998">
        <v>0.11062619999999999</v>
      </c>
      <c r="V6998">
        <v>0.45119090000000001</v>
      </c>
      <c r="W6998">
        <v>0.16900079999999901</v>
      </c>
      <c r="X6998">
        <v>0.87627940000000004</v>
      </c>
      <c r="Y6998">
        <v>0.53912890000000002</v>
      </c>
      <c r="Z6998">
        <v>1.682694E-3</v>
      </c>
      <c r="AA6998">
        <v>0.84222160000000001</v>
      </c>
      <c r="AB6998">
        <v>32</v>
      </c>
      <c r="AC6998">
        <v>296.31299999999999</v>
      </c>
      <c r="AD6998">
        <v>-1.2050110000000001</v>
      </c>
      <c r="AE6998">
        <v>10.610299999999899</v>
      </c>
      <c r="AF6998">
        <v>159.943848233842</v>
      </c>
      <c r="AG6998">
        <v>-1.2050110000000001</v>
      </c>
      <c r="AH6998">
        <v>249.657833476474</v>
      </c>
      <c r="AI6998">
        <v>90.232857094192696</v>
      </c>
      <c r="AJ6998">
        <v>57.354253615407899</v>
      </c>
      <c r="AK6998">
        <v>296.500456079797</v>
      </c>
      <c r="AL6998">
        <v>80.270271871648205</v>
      </c>
      <c r="AM6998">
        <v>62.756338442509701</v>
      </c>
      <c r="AN6998">
        <v>1.0000000427539</v>
      </c>
    </row>
    <row r="6999" spans="1:40" x14ac:dyDescent="0.25">
      <c r="A6999" t="str">
        <f>"20190303162956445"</f>
        <v>20190303162956445</v>
      </c>
      <c r="B6999" t="str">
        <f>"1551601796438877"</f>
        <v>1551601796438877</v>
      </c>
      <c r="C6999" t="s">
        <v>40</v>
      </c>
      <c r="D6999">
        <v>5.6576069999999996</v>
      </c>
      <c r="E6999">
        <v>0.51423479999999999</v>
      </c>
      <c r="F6999" t="s">
        <v>45</v>
      </c>
      <c r="G6999">
        <v>0</v>
      </c>
      <c r="H6999">
        <v>0</v>
      </c>
      <c r="I6999">
        <v>0</v>
      </c>
      <c r="J6999">
        <v>-178.46960000000001</v>
      </c>
      <c r="K6999">
        <v>1.1050059999999999</v>
      </c>
      <c r="L6999">
        <v>134.37809999999999</v>
      </c>
      <c r="M6999">
        <v>0.82864799999999905</v>
      </c>
      <c r="N6999">
        <v>-1.5138479999999999E-2</v>
      </c>
      <c r="O6999">
        <v>0.55956530000000004</v>
      </c>
      <c r="P6999">
        <v>0.97630680000000003</v>
      </c>
      <c r="Q6999">
        <v>0.1735447</v>
      </c>
      <c r="R6999">
        <v>0.1292566</v>
      </c>
      <c r="S6999">
        <v>3.0443570000000002</v>
      </c>
      <c r="T6999">
        <v>2.3826960000000001E-2</v>
      </c>
      <c r="U6999">
        <v>0.19033810000000001</v>
      </c>
      <c r="V6999">
        <v>0.4461175</v>
      </c>
      <c r="W6999">
        <v>0.16982139999999901</v>
      </c>
      <c r="X6999">
        <v>0.87871489999999997</v>
      </c>
      <c r="Y6999">
        <v>0.50669030000000004</v>
      </c>
      <c r="Z6999">
        <v>1.118946E-2</v>
      </c>
      <c r="AA6999">
        <v>0.86205549999999997</v>
      </c>
      <c r="AB6999">
        <v>32</v>
      </c>
      <c r="AC6999">
        <v>3.0443570000000002</v>
      </c>
      <c r="AD6999">
        <v>2.3826960000000001E-2</v>
      </c>
      <c r="AE6999">
        <v>0.19033810000000001</v>
      </c>
      <c r="AF6999">
        <v>1.5458760801512099</v>
      </c>
      <c r="AG6999">
        <v>2.3826960000000001E-2</v>
      </c>
      <c r="AH6999">
        <v>2.62934781579871</v>
      </c>
      <c r="AI6999">
        <v>89.552424618771298</v>
      </c>
      <c r="AJ6999">
        <v>59.547393603295298</v>
      </c>
      <c r="AK6999">
        <v>3.0502082741432499</v>
      </c>
      <c r="AL6999">
        <v>80.222564994154496</v>
      </c>
      <c r="AM6999">
        <v>63.083408854553099</v>
      </c>
      <c r="AN6999">
        <v>1.0000000035931</v>
      </c>
    </row>
    <row r="7000" spans="1:40" x14ac:dyDescent="0.25">
      <c r="A7000" t="str">
        <f>"20190303162956455"</f>
        <v>20190303162956455</v>
      </c>
      <c r="B7000" t="str">
        <f>"1551601796448637"</f>
        <v>1551601796448637</v>
      </c>
      <c r="C7000" t="s">
        <v>40</v>
      </c>
      <c r="D7000">
        <v>5.660679</v>
      </c>
      <c r="E7000">
        <v>0.51019700000000001</v>
      </c>
      <c r="F7000" t="s">
        <v>45</v>
      </c>
      <c r="G7000">
        <v>0</v>
      </c>
      <c r="H7000">
        <v>0</v>
      </c>
      <c r="I7000">
        <v>0</v>
      </c>
      <c r="J7000">
        <v>-178.34379999999999</v>
      </c>
      <c r="K7000">
        <v>1.1050059999999999</v>
      </c>
      <c r="L7000">
        <v>134.45500000000001</v>
      </c>
      <c r="M7000">
        <v>0.83335630000000005</v>
      </c>
      <c r="N7000">
        <v>-1.514246E-2</v>
      </c>
      <c r="O7000">
        <v>0.55252880000000004</v>
      </c>
      <c r="P7000">
        <v>0.97659940000000001</v>
      </c>
      <c r="Q7000">
        <v>0.17380109999999999</v>
      </c>
      <c r="R7000">
        <v>0.12667610000000001</v>
      </c>
      <c r="S7000">
        <v>3.0263059999999999</v>
      </c>
      <c r="T7000">
        <v>4.0898799999999999E-2</v>
      </c>
      <c r="U7000">
        <v>0.29627989999999998</v>
      </c>
      <c r="V7000">
        <v>0.44096750000000001</v>
      </c>
      <c r="W7000">
        <v>0.17031379999999999</v>
      </c>
      <c r="X7000">
        <v>0.88121559999999899</v>
      </c>
      <c r="Y7000">
        <v>0.46853450000000002</v>
      </c>
      <c r="Z7000">
        <v>1.5446400000000001E-2</v>
      </c>
      <c r="AA7000">
        <v>0.88331009999999999</v>
      </c>
      <c r="AB7000">
        <v>32</v>
      </c>
      <c r="AC7000">
        <v>3.0263059999999999</v>
      </c>
      <c r="AD7000">
        <v>4.0898799999999999E-2</v>
      </c>
      <c r="AE7000">
        <v>0.29627989999999998</v>
      </c>
      <c r="AF7000">
        <v>1.4251200481722099</v>
      </c>
      <c r="AG7000">
        <v>4.0898799999999999E-2</v>
      </c>
      <c r="AH7000">
        <v>2.6855163594709399</v>
      </c>
      <c r="AI7000">
        <v>89.2292716372379</v>
      </c>
      <c r="AJ7000">
        <v>62.046497487948102</v>
      </c>
      <c r="AK7000">
        <v>3.0404996267932498</v>
      </c>
      <c r="AL7000">
        <v>80.193935751420398</v>
      </c>
      <c r="AM7000">
        <v>63.416242003172499</v>
      </c>
      <c r="AN7000">
        <v>1.00000003010502</v>
      </c>
    </row>
    <row r="7001" spans="1:40" x14ac:dyDescent="0.25">
      <c r="A7001" t="str">
        <f>"20190303162956471"</f>
        <v>20190303162956471</v>
      </c>
      <c r="B7001" t="str">
        <f>"1551601796459372"</f>
        <v>1551601796459372</v>
      </c>
      <c r="C7001" t="s">
        <v>40</v>
      </c>
      <c r="D7001">
        <v>5.6016139999999996</v>
      </c>
      <c r="E7001">
        <v>0.50725659999999995</v>
      </c>
      <c r="F7001" t="s">
        <v>45</v>
      </c>
      <c r="G7001">
        <v>0</v>
      </c>
      <c r="H7001">
        <v>0</v>
      </c>
      <c r="I7001">
        <v>0</v>
      </c>
      <c r="J7001">
        <v>-178.166</v>
      </c>
      <c r="K7001">
        <v>1.1049990000000001</v>
      </c>
      <c r="L7001">
        <v>134.5616</v>
      </c>
      <c r="M7001">
        <v>0.83987809999999896</v>
      </c>
      <c r="N7001">
        <v>-1.514766E-2</v>
      </c>
      <c r="O7001">
        <v>0.54256349999999998</v>
      </c>
      <c r="P7001">
        <v>0.97728349999999997</v>
      </c>
      <c r="Q7001">
        <v>0.1741858</v>
      </c>
      <c r="R7001">
        <v>0.1207331</v>
      </c>
      <c r="S7001">
        <v>3.0225070000000001</v>
      </c>
      <c r="T7001">
        <v>4.4885750000000002E-2</v>
      </c>
      <c r="U7001">
        <v>0.31913760000000002</v>
      </c>
      <c r="V7001">
        <v>0.4357935</v>
      </c>
      <c r="W7001">
        <v>0.170935</v>
      </c>
      <c r="X7001">
        <v>0.88366579999999995</v>
      </c>
      <c r="Y7001">
        <v>0.45118560000000002</v>
      </c>
      <c r="Z7001">
        <v>1.615422E-2</v>
      </c>
      <c r="AA7001">
        <v>0.89228399999999997</v>
      </c>
      <c r="AB7001">
        <v>32</v>
      </c>
      <c r="AC7001">
        <v>3.0225070000000001</v>
      </c>
      <c r="AD7001">
        <v>4.4885750000000002E-2</v>
      </c>
      <c r="AE7001">
        <v>0.31913760000000002</v>
      </c>
      <c r="AF7001">
        <v>1.3717236494259699</v>
      </c>
      <c r="AG7001">
        <v>4.4885750000000002E-2</v>
      </c>
      <c r="AH7001">
        <v>2.71140986558146</v>
      </c>
      <c r="AI7001">
        <v>89.153709564906293</v>
      </c>
      <c r="AJ7001">
        <v>63.164791432411597</v>
      </c>
      <c r="AK7001">
        <v>3.0389774530456899</v>
      </c>
      <c r="AL7001">
        <v>80.157813604076793</v>
      </c>
      <c r="AM7001">
        <v>63.749074120454303</v>
      </c>
      <c r="AN7001">
        <v>0.99999999747844504</v>
      </c>
    </row>
    <row r="7002" spans="1:40" x14ac:dyDescent="0.25">
      <c r="A7002" t="str">
        <f>"20190303162956483"</f>
        <v>20190303162956483</v>
      </c>
      <c r="B7002" t="str">
        <f>"1551601796478893"</f>
        <v>1551601796478893</v>
      </c>
      <c r="C7002" t="s">
        <v>40</v>
      </c>
      <c r="D7002">
        <v>5.5988309999999997</v>
      </c>
      <c r="E7002">
        <v>0.50427250000000001</v>
      </c>
      <c r="F7002" t="s">
        <v>45</v>
      </c>
      <c r="G7002">
        <v>0</v>
      </c>
      <c r="H7002">
        <v>0</v>
      </c>
      <c r="I7002">
        <v>0</v>
      </c>
      <c r="J7002">
        <v>-177.9992</v>
      </c>
      <c r="K7002">
        <v>1.1049960000000001</v>
      </c>
      <c r="L7002">
        <v>134.65950000000001</v>
      </c>
      <c r="M7002">
        <v>0.84585779999999999</v>
      </c>
      <c r="N7002">
        <v>-1.515211E-2</v>
      </c>
      <c r="O7002">
        <v>0.53319329999999998</v>
      </c>
      <c r="P7002">
        <v>0.97786859999999998</v>
      </c>
      <c r="Q7002">
        <v>0.17449500000000001</v>
      </c>
      <c r="R7002">
        <v>0.11543150000000001</v>
      </c>
      <c r="S7002">
        <v>3.0210270000000001</v>
      </c>
      <c r="T7002">
        <v>4.971337E-2</v>
      </c>
      <c r="U7002">
        <v>0.32261659999999998</v>
      </c>
      <c r="V7002">
        <v>0.43072880000000002</v>
      </c>
      <c r="W7002">
        <v>0.1714762</v>
      </c>
      <c r="X7002">
        <v>0.88604099999999997</v>
      </c>
      <c r="Y7002">
        <v>0.44014360000000002</v>
      </c>
      <c r="Z7002">
        <v>1.7039459999999999E-2</v>
      </c>
      <c r="AA7002">
        <v>0.897765699999999</v>
      </c>
      <c r="AB7002">
        <v>32</v>
      </c>
      <c r="AC7002">
        <v>3.0210270000000001</v>
      </c>
      <c r="AD7002">
        <v>4.971337E-2</v>
      </c>
      <c r="AE7002">
        <v>0.32261659999999998</v>
      </c>
      <c r="AF7002">
        <v>1.33769897532099</v>
      </c>
      <c r="AG7002">
        <v>4.971337E-2</v>
      </c>
      <c r="AH7002">
        <v>2.7269591494588599</v>
      </c>
      <c r="AI7002">
        <v>89.0623163491924</v>
      </c>
      <c r="AJ7002">
        <v>63.869923616689398</v>
      </c>
      <c r="AK7002">
        <v>3.0377979146989</v>
      </c>
      <c r="AL7002">
        <v>80.126340661141796</v>
      </c>
      <c r="AM7002">
        <v>64.074343997079296</v>
      </c>
      <c r="AN7002">
        <v>1.00000001999843</v>
      </c>
    </row>
    <row r="7003" spans="1:40" x14ac:dyDescent="0.25">
      <c r="A7003" t="str">
        <f>"20190303162956497"</f>
        <v>20190303162956497</v>
      </c>
      <c r="B7003" t="str">
        <f>"1551601796489628"</f>
        <v>1551601796489628</v>
      </c>
      <c r="C7003" t="s">
        <v>40</v>
      </c>
      <c r="D7003">
        <v>5.4880890000000004</v>
      </c>
      <c r="E7003">
        <v>0.50359549999999997</v>
      </c>
      <c r="F7003" t="s">
        <v>45</v>
      </c>
      <c r="G7003">
        <v>0</v>
      </c>
      <c r="H7003">
        <v>0</v>
      </c>
      <c r="I7003">
        <v>0</v>
      </c>
      <c r="J7003">
        <v>-177.81809999999999</v>
      </c>
      <c r="K7003">
        <v>1.1049979999999999</v>
      </c>
      <c r="L7003">
        <v>134.762</v>
      </c>
      <c r="M7003">
        <v>0.85217989999999999</v>
      </c>
      <c r="N7003">
        <v>-1.515626E-2</v>
      </c>
      <c r="O7003">
        <v>0.52302939999999998</v>
      </c>
      <c r="P7003">
        <v>0.97772460000000005</v>
      </c>
      <c r="Q7003">
        <v>0.17519379999999901</v>
      </c>
      <c r="R7003">
        <v>0.115593</v>
      </c>
      <c r="S7003">
        <v>3.0194239999999999</v>
      </c>
      <c r="T7003">
        <v>5.409133E-2</v>
      </c>
      <c r="U7003">
        <v>0.32887270000000002</v>
      </c>
      <c r="V7003">
        <v>0.4198847</v>
      </c>
      <c r="W7003">
        <v>0.1726712</v>
      </c>
      <c r="X7003">
        <v>0.89100029999999997</v>
      </c>
      <c r="Y7003">
        <v>0.42743959999999998</v>
      </c>
      <c r="Z7003">
        <v>1.7747510000000001E-2</v>
      </c>
      <c r="AA7003">
        <v>0.9038697</v>
      </c>
      <c r="AB7003">
        <v>32</v>
      </c>
      <c r="AC7003">
        <v>3.0194239999999999</v>
      </c>
      <c r="AD7003">
        <v>5.409133E-2</v>
      </c>
      <c r="AE7003">
        <v>0.32887270000000002</v>
      </c>
      <c r="AF7003">
        <v>1.2987260996949801</v>
      </c>
      <c r="AG7003">
        <v>5.409133E-2</v>
      </c>
      <c r="AH7003">
        <v>2.74454733997533</v>
      </c>
      <c r="AI7003">
        <v>88.979396530921207</v>
      </c>
      <c r="AJ7003">
        <v>64.676379926026598</v>
      </c>
      <c r="AK7003">
        <v>3.0368002001079599</v>
      </c>
      <c r="AL7003">
        <v>80.056835463457205</v>
      </c>
      <c r="AM7003">
        <v>64.767799743672697</v>
      </c>
      <c r="AN7003">
        <v>1.00000001960181</v>
      </c>
    </row>
    <row r="7004" spans="1:40" x14ac:dyDescent="0.25">
      <c r="A7004" t="str">
        <f>"20190303162956516"</f>
        <v>20190303162956516</v>
      </c>
      <c r="B7004" t="str">
        <f>"1551601796509148"</f>
        <v>1551601796509148</v>
      </c>
      <c r="C7004" t="s">
        <v>40</v>
      </c>
      <c r="D7004">
        <v>5.6500029999999999</v>
      </c>
      <c r="E7004">
        <v>0.50245139999999999</v>
      </c>
      <c r="F7004" t="s">
        <v>45</v>
      </c>
      <c r="G7004">
        <v>0</v>
      </c>
      <c r="H7004">
        <v>0</v>
      </c>
      <c r="I7004">
        <v>0</v>
      </c>
      <c r="J7004">
        <v>-177.58150000000001</v>
      </c>
      <c r="K7004">
        <v>1.104997</v>
      </c>
      <c r="L7004">
        <v>134.8922</v>
      </c>
      <c r="M7004">
        <v>0.86020649999999999</v>
      </c>
      <c r="N7004">
        <v>-1.516089E-2</v>
      </c>
      <c r="O7004">
        <v>0.50972029999999902</v>
      </c>
      <c r="P7004">
        <v>0.97872800000000004</v>
      </c>
      <c r="Q7004">
        <v>0.1753844</v>
      </c>
      <c r="R7004">
        <v>0.1064509</v>
      </c>
      <c r="S7004">
        <v>3.019196</v>
      </c>
      <c r="T7004">
        <v>5.4598090000000002E-2</v>
      </c>
      <c r="U7004">
        <v>0.33293149999999999</v>
      </c>
      <c r="V7004">
        <v>0.41433249999999999</v>
      </c>
      <c r="W7004">
        <v>0.17311679999999999</v>
      </c>
      <c r="X7004">
        <v>0.89350940000000001</v>
      </c>
      <c r="Y7004">
        <v>0.41212500000000002</v>
      </c>
      <c r="Z7004">
        <v>1.740999E-2</v>
      </c>
      <c r="AA7004">
        <v>0.91096100000000002</v>
      </c>
      <c r="AB7004">
        <v>32</v>
      </c>
      <c r="AC7004">
        <v>3.019196</v>
      </c>
      <c r="AD7004">
        <v>5.4598090000000002E-2</v>
      </c>
      <c r="AE7004">
        <v>0.33293149999999999</v>
      </c>
      <c r="AF7004">
        <v>1.2522951112440099</v>
      </c>
      <c r="AG7004">
        <v>5.4598090000000002E-2</v>
      </c>
      <c r="AH7004">
        <v>2.7662584495487299</v>
      </c>
      <c r="AI7004">
        <v>88.969903939640702</v>
      </c>
      <c r="AJ7004">
        <v>65.643566894799605</v>
      </c>
      <c r="AK7004">
        <v>3.0370067182634002</v>
      </c>
      <c r="AL7004">
        <v>80.030913373280796</v>
      </c>
      <c r="AM7004">
        <v>65.122201748355394</v>
      </c>
      <c r="AN7004">
        <v>0.99999994744342302</v>
      </c>
    </row>
    <row r="7005" spans="1:40" x14ac:dyDescent="0.25">
      <c r="A7005" t="str">
        <f>"20190303162956530"</f>
        <v>20190303162956530</v>
      </c>
      <c r="B7005" t="str">
        <f>"1551601796518909"</f>
        <v>1551601796518909</v>
      </c>
      <c r="C7005" t="s">
        <v>40</v>
      </c>
      <c r="D7005">
        <v>5.646973</v>
      </c>
      <c r="E7005">
        <v>0.50209020000000004</v>
      </c>
      <c r="F7005" t="s">
        <v>45</v>
      </c>
      <c r="G7005">
        <v>0</v>
      </c>
      <c r="H7005">
        <v>0</v>
      </c>
      <c r="I7005">
        <v>0</v>
      </c>
      <c r="J7005">
        <v>-177.4127</v>
      </c>
      <c r="K7005">
        <v>1.105005</v>
      </c>
      <c r="L7005">
        <v>134.98220000000001</v>
      </c>
      <c r="M7005">
        <v>0.86576969999999998</v>
      </c>
      <c r="N7005">
        <v>-1.5163599999999999E-2</v>
      </c>
      <c r="O7005">
        <v>0.50021289999999996</v>
      </c>
      <c r="P7005">
        <v>0.97912330000000003</v>
      </c>
      <c r="Q7005">
        <v>0.1753786</v>
      </c>
      <c r="R7005">
        <v>0.10276150000000001</v>
      </c>
      <c r="S7005">
        <v>3.0218959999999999</v>
      </c>
      <c r="T7005">
        <v>5.1866410000000002E-2</v>
      </c>
      <c r="U7005">
        <v>0.3126678</v>
      </c>
      <c r="V7005">
        <v>0.40783229999999998</v>
      </c>
      <c r="W7005">
        <v>0.17340939999999999</v>
      </c>
      <c r="X7005">
        <v>0.89643850000000003</v>
      </c>
      <c r="Y7005">
        <v>0.4082363</v>
      </c>
      <c r="Z7005">
        <v>1.6475940000000001E-2</v>
      </c>
      <c r="AA7005">
        <v>0.91272759999999997</v>
      </c>
      <c r="AB7005">
        <v>32</v>
      </c>
      <c r="AC7005">
        <v>3.0218959999999999</v>
      </c>
      <c r="AD7005">
        <v>5.1866410000000002E-2</v>
      </c>
      <c r="AE7005">
        <v>0.3126678</v>
      </c>
      <c r="AF7005">
        <v>1.24067409286742</v>
      </c>
      <c r="AG7005">
        <v>5.1866410000000002E-2</v>
      </c>
      <c r="AH7005">
        <v>2.7721772103561402</v>
      </c>
      <c r="AI7005">
        <v>89.021634022871694</v>
      </c>
      <c r="AJ7005">
        <v>65.8893352581714</v>
      </c>
      <c r="AK7005">
        <v>3.0375860176819098</v>
      </c>
      <c r="AL7005">
        <v>80.013891652084993</v>
      </c>
      <c r="AM7005">
        <v>65.536965220183305</v>
      </c>
      <c r="AN7005">
        <v>0.99999999460694999</v>
      </c>
    </row>
    <row r="7006" spans="1:40" x14ac:dyDescent="0.25">
      <c r="A7006" t="str">
        <f>"20190303162956543"</f>
        <v>20190303162956543</v>
      </c>
      <c r="B7006" t="str">
        <f>"1551601796528668"</f>
        <v>1551601796528668</v>
      </c>
      <c r="C7006" t="s">
        <v>40</v>
      </c>
      <c r="D7006">
        <v>5.514151</v>
      </c>
      <c r="E7006">
        <v>0.5016429</v>
      </c>
      <c r="F7006" t="s">
        <v>45</v>
      </c>
      <c r="G7006">
        <v>0</v>
      </c>
      <c r="H7006">
        <v>0</v>
      </c>
      <c r="I7006">
        <v>0</v>
      </c>
      <c r="J7006">
        <v>-177.2406</v>
      </c>
      <c r="K7006">
        <v>1.105008</v>
      </c>
      <c r="L7006">
        <v>135.07210000000001</v>
      </c>
      <c r="M7006">
        <v>0.87130620000000003</v>
      </c>
      <c r="N7006">
        <v>-1.5165990000000001E-2</v>
      </c>
      <c r="O7006">
        <v>0.49050549999999998</v>
      </c>
      <c r="P7006">
        <v>0.97862680000000002</v>
      </c>
      <c r="Q7006">
        <v>0.1749069</v>
      </c>
      <c r="R7006">
        <v>0.108153399999999</v>
      </c>
      <c r="S7006">
        <v>3.0232540000000001</v>
      </c>
      <c r="T7006">
        <v>4.9776550000000003E-2</v>
      </c>
      <c r="U7006">
        <v>0.30273440000000001</v>
      </c>
      <c r="V7006">
        <v>0.39281129999999997</v>
      </c>
      <c r="W7006">
        <v>0.1736221</v>
      </c>
      <c r="X7006">
        <v>0.90308060000000001</v>
      </c>
      <c r="Y7006">
        <v>0.40105010000000002</v>
      </c>
      <c r="Z7006">
        <v>1.5695230000000001E-2</v>
      </c>
      <c r="AA7006">
        <v>0.9159216</v>
      </c>
      <c r="AB7006">
        <v>32</v>
      </c>
      <c r="AC7006">
        <v>3.0232540000000001</v>
      </c>
      <c r="AD7006">
        <v>4.9776550000000003E-2</v>
      </c>
      <c r="AE7006">
        <v>0.30273440000000001</v>
      </c>
      <c r="AF7006">
        <v>1.2189613385323499</v>
      </c>
      <c r="AG7006">
        <v>4.9776550000000003E-2</v>
      </c>
      <c r="AH7006">
        <v>2.7822459821208101</v>
      </c>
      <c r="AI7006">
        <v>89.061176491678196</v>
      </c>
      <c r="AJ7006">
        <v>66.340748287501</v>
      </c>
      <c r="AK7006">
        <v>3.0379659568194399</v>
      </c>
      <c r="AL7006">
        <v>80.001516787804107</v>
      </c>
      <c r="AM7006">
        <v>66.492494184783695</v>
      </c>
      <c r="AN7006">
        <v>0.99999996055622897</v>
      </c>
    </row>
    <row r="7007" spans="1:40" x14ac:dyDescent="0.25">
      <c r="A7007" t="str">
        <f>"20190303162956559"</f>
        <v>20190303162956559</v>
      </c>
      <c r="B7007" t="str">
        <f>"1551601796549164"</f>
        <v>1551601796549164</v>
      </c>
      <c r="C7007" t="s">
        <v>40</v>
      </c>
      <c r="D7007">
        <v>5.6459840000000003</v>
      </c>
      <c r="E7007">
        <v>0.50119320000000001</v>
      </c>
      <c r="F7007" t="s">
        <v>45</v>
      </c>
      <c r="G7007">
        <v>0</v>
      </c>
      <c r="H7007">
        <v>0</v>
      </c>
      <c r="I7007">
        <v>0</v>
      </c>
      <c r="J7007">
        <v>-177.0376</v>
      </c>
      <c r="K7007">
        <v>1.1050180000000001</v>
      </c>
      <c r="L7007">
        <v>135.1738</v>
      </c>
      <c r="M7007">
        <v>0.87764489999999995</v>
      </c>
      <c r="N7007">
        <v>-1.516735E-2</v>
      </c>
      <c r="O7007">
        <v>0.47907139999999998</v>
      </c>
      <c r="P7007">
        <v>0.97910739999999996</v>
      </c>
      <c r="Q7007">
        <v>0.1749069</v>
      </c>
      <c r="R7007">
        <v>0.10371279999999999</v>
      </c>
      <c r="S7007">
        <v>3.021957</v>
      </c>
      <c r="T7007">
        <v>4.622006E-2</v>
      </c>
      <c r="U7007">
        <v>0.31958009999999998</v>
      </c>
      <c r="V7007">
        <v>0.3850673</v>
      </c>
      <c r="W7007">
        <v>0.1739772</v>
      </c>
      <c r="X7007">
        <v>0.90634159999999997</v>
      </c>
      <c r="Y7007">
        <v>0.38394050000000002</v>
      </c>
      <c r="Z7007">
        <v>1.45592E-2</v>
      </c>
      <c r="AA7007">
        <v>0.92324300000000004</v>
      </c>
      <c r="AB7007">
        <v>32</v>
      </c>
      <c r="AC7007">
        <v>3.021957</v>
      </c>
      <c r="AD7007">
        <v>4.622006E-2</v>
      </c>
      <c r="AE7007">
        <v>0.31958009999999998</v>
      </c>
      <c r="AF7007">
        <v>1.1671195931554501</v>
      </c>
      <c r="AG7007">
        <v>4.622006E-2</v>
      </c>
      <c r="AH7007">
        <v>2.80498062377103</v>
      </c>
      <c r="AI7007">
        <v>89.128400850395494</v>
      </c>
      <c r="AJ7007">
        <v>67.408377206176596</v>
      </c>
      <c r="AK7007">
        <v>3.0384569666863301</v>
      </c>
      <c r="AL7007">
        <v>79.980856965472299</v>
      </c>
      <c r="AM7007">
        <v>66.981355671005602</v>
      </c>
      <c r="AN7007">
        <v>0.99999999376984405</v>
      </c>
    </row>
    <row r="7008" spans="1:40" x14ac:dyDescent="0.25">
      <c r="A7008" t="str">
        <f>"20190303162956590"</f>
        <v>20190303162956590</v>
      </c>
      <c r="B7008" t="str">
        <f>"1551601796579421"</f>
        <v>1551601796579421</v>
      </c>
      <c r="C7008" t="s">
        <v>40</v>
      </c>
      <c r="D7008">
        <v>5.2569869999999996</v>
      </c>
      <c r="E7008">
        <v>0.50099709999999997</v>
      </c>
      <c r="F7008" t="s">
        <v>45</v>
      </c>
      <c r="G7008">
        <v>0</v>
      </c>
      <c r="H7008">
        <v>0</v>
      </c>
      <c r="I7008">
        <v>0</v>
      </c>
      <c r="J7008">
        <v>-176.64169999999999</v>
      </c>
      <c r="K7008">
        <v>1.1050629999999999</v>
      </c>
      <c r="L7008">
        <v>135.36369999999999</v>
      </c>
      <c r="M7008">
        <v>0.88946270000000005</v>
      </c>
      <c r="N7008">
        <v>-1.516554E-2</v>
      </c>
      <c r="O7008">
        <v>0.456756</v>
      </c>
      <c r="P7008">
        <v>0.97927540000000002</v>
      </c>
      <c r="Q7008">
        <v>0.17426150000000001</v>
      </c>
      <c r="R7008">
        <v>0.1032112</v>
      </c>
      <c r="S7008">
        <v>3.0238489999999998</v>
      </c>
      <c r="T7008">
        <v>4.222298E-2</v>
      </c>
      <c r="U7008">
        <v>0.308197</v>
      </c>
      <c r="V7008">
        <v>0.36249890000000001</v>
      </c>
      <c r="W7008">
        <v>0.17436170000000001</v>
      </c>
      <c r="X7008">
        <v>0.91552849999999997</v>
      </c>
      <c r="Y7008">
        <v>0.36406620000000001</v>
      </c>
      <c r="Z7008">
        <v>1.30574E-2</v>
      </c>
      <c r="AA7008">
        <v>0.93128160000000004</v>
      </c>
      <c r="AB7008">
        <v>31</v>
      </c>
      <c r="AC7008">
        <v>3.0238489999999998</v>
      </c>
      <c r="AD7008">
        <v>4.222298E-2</v>
      </c>
      <c r="AE7008">
        <v>0.308197</v>
      </c>
      <c r="AF7008">
        <v>1.1069451958891601</v>
      </c>
      <c r="AG7008">
        <v>4.222298E-2</v>
      </c>
      <c r="AH7008">
        <v>2.8301512275195302</v>
      </c>
      <c r="AI7008">
        <v>89.203981513486895</v>
      </c>
      <c r="AJ7008">
        <v>68.638249312525105</v>
      </c>
      <c r="AK7008">
        <v>3.03922135050616</v>
      </c>
      <c r="AL7008">
        <v>79.958484296254099</v>
      </c>
      <c r="AM7008">
        <v>68.399160136082699</v>
      </c>
      <c r="AN7008">
        <v>0.99999994462017305</v>
      </c>
    </row>
    <row r="7009" spans="1:40" x14ac:dyDescent="0.25">
      <c r="A7009" t="str">
        <f>"20190303162956606"</f>
        <v>20190303162956606</v>
      </c>
      <c r="B7009" t="str">
        <f>"1551601796598941"</f>
        <v>1551601796598941</v>
      </c>
      <c r="C7009" t="s">
        <v>40</v>
      </c>
      <c r="D7009">
        <v>5.9312950000000004</v>
      </c>
      <c r="E7009">
        <v>0.50133589999999995</v>
      </c>
      <c r="F7009" t="s">
        <v>45</v>
      </c>
      <c r="G7009">
        <v>0</v>
      </c>
      <c r="H7009">
        <v>0</v>
      </c>
      <c r="I7009">
        <v>0</v>
      </c>
      <c r="J7009">
        <v>-176.41980000000001</v>
      </c>
      <c r="K7009">
        <v>1.1050930000000001</v>
      </c>
      <c r="L7009">
        <v>135.465</v>
      </c>
      <c r="M7009">
        <v>0.89577009999999901</v>
      </c>
      <c r="N7009">
        <v>-1.51612E-2</v>
      </c>
      <c r="O7009">
        <v>0.44425890000000001</v>
      </c>
      <c r="P7009">
        <v>0.97972329999999996</v>
      </c>
      <c r="Q7009">
        <v>0.17489839999999901</v>
      </c>
      <c r="R7009">
        <v>9.7738309999999995E-2</v>
      </c>
      <c r="S7009">
        <v>3.0252379999999999</v>
      </c>
      <c r="T7009">
        <v>3.5031800000000002E-2</v>
      </c>
      <c r="U7009">
        <v>0.30378719999999998</v>
      </c>
      <c r="V7009">
        <v>0.35473179999999999</v>
      </c>
      <c r="W7009">
        <v>0.1753575</v>
      </c>
      <c r="X7009">
        <v>0.91837639999999998</v>
      </c>
      <c r="Y7009">
        <v>0.35242440000000003</v>
      </c>
      <c r="Z7009">
        <v>1.126018E-2</v>
      </c>
      <c r="AA7009">
        <v>0.93577250000000001</v>
      </c>
      <c r="AB7009">
        <v>31</v>
      </c>
      <c r="AC7009">
        <v>3.0252379999999999</v>
      </c>
      <c r="AD7009">
        <v>3.5031800000000002E-2</v>
      </c>
      <c r="AE7009">
        <v>0.30378719999999998</v>
      </c>
      <c r="AF7009">
        <v>1.0718463865482899</v>
      </c>
      <c r="AG7009">
        <v>3.5031800000000002E-2</v>
      </c>
      <c r="AH7009">
        <v>2.84482740738714</v>
      </c>
      <c r="AI7009">
        <v>89.339785154431198</v>
      </c>
      <c r="AJ7009">
        <v>69.355082589189394</v>
      </c>
      <c r="AK7009">
        <v>3.0402507924822402</v>
      </c>
      <c r="AL7009">
        <v>79.900537522361702</v>
      </c>
      <c r="AM7009">
        <v>68.880462260581098</v>
      </c>
      <c r="AN7009">
        <v>1.0000000574072201</v>
      </c>
    </row>
    <row r="7010" spans="1:40" x14ac:dyDescent="0.25">
      <c r="A7010" t="str">
        <f>"20190303162956618"</f>
        <v>20190303162956618</v>
      </c>
      <c r="B7010" t="str">
        <f>"1551601796608702"</f>
        <v>1551601796608702</v>
      </c>
      <c r="C7010" t="s">
        <v>40</v>
      </c>
      <c r="D7010">
        <v>5.6628360000000004</v>
      </c>
      <c r="E7010">
        <v>0.50158760000000002</v>
      </c>
      <c r="F7010" t="s">
        <v>45</v>
      </c>
      <c r="G7010">
        <v>0</v>
      </c>
      <c r="H7010">
        <v>0</v>
      </c>
      <c r="I7010">
        <v>0</v>
      </c>
      <c r="J7010">
        <v>-176.25149999999999</v>
      </c>
      <c r="K7010">
        <v>1.1051230000000001</v>
      </c>
      <c r="L7010">
        <v>135.53919999999999</v>
      </c>
      <c r="M7010">
        <v>0.9004008</v>
      </c>
      <c r="N7010">
        <v>-1.5155689999999999E-2</v>
      </c>
      <c r="O7010">
        <v>0.4347974</v>
      </c>
      <c r="P7010">
        <v>0.97960579999999997</v>
      </c>
      <c r="Q7010">
        <v>0.17654710000000001</v>
      </c>
      <c r="R7010">
        <v>9.5934469999999994E-2</v>
      </c>
      <c r="S7010">
        <v>3.0283359999999999</v>
      </c>
      <c r="T7010">
        <v>3.118694E-2</v>
      </c>
      <c r="U7010">
        <v>0.28257749999999998</v>
      </c>
      <c r="V7010">
        <v>0.34664200000000001</v>
      </c>
      <c r="W7010">
        <v>0.17737439999999999</v>
      </c>
      <c r="X7010">
        <v>0.92107419999999995</v>
      </c>
      <c r="Y7010">
        <v>0.3491707</v>
      </c>
      <c r="Z7010">
        <v>1.0251990000000001E-2</v>
      </c>
      <c r="AA7010">
        <v>0.93700309999999998</v>
      </c>
      <c r="AB7010">
        <v>31</v>
      </c>
      <c r="AC7010">
        <v>3.0283359999999999</v>
      </c>
      <c r="AD7010">
        <v>3.118694E-2</v>
      </c>
      <c r="AE7010">
        <v>0.28257749999999998</v>
      </c>
      <c r="AF7010">
        <v>1.0622899032639399</v>
      </c>
      <c r="AG7010">
        <v>3.118694E-2</v>
      </c>
      <c r="AH7010">
        <v>2.84960772565596</v>
      </c>
      <c r="AI7010">
        <v>89.412457531566602</v>
      </c>
      <c r="AJ7010">
        <v>69.555319061839</v>
      </c>
      <c r="AK7010">
        <v>3.0413313949520902</v>
      </c>
      <c r="AL7010">
        <v>79.783136955106997</v>
      </c>
      <c r="AM7010">
        <v>69.376404754433494</v>
      </c>
      <c r="AN7010">
        <v>1.0000000179224899</v>
      </c>
    </row>
    <row r="7011" spans="1:40" x14ac:dyDescent="0.25">
      <c r="A7011" t="str">
        <f>"20190303162956632"</f>
        <v>20190303162956632</v>
      </c>
      <c r="B7011" t="str">
        <f>"1551601796619438"</f>
        <v>1551601796619438</v>
      </c>
      <c r="C7011" t="s">
        <v>40</v>
      </c>
      <c r="D7011">
        <v>5.6676650000000004</v>
      </c>
      <c r="E7011">
        <v>0.50177249999999995</v>
      </c>
      <c r="F7011" t="s">
        <v>45</v>
      </c>
      <c r="G7011">
        <v>0</v>
      </c>
      <c r="H7011">
        <v>0</v>
      </c>
      <c r="I7011">
        <v>0</v>
      </c>
      <c r="J7011">
        <v>-176.08500000000001</v>
      </c>
      <c r="K7011">
        <v>1.105154</v>
      </c>
      <c r="L7011">
        <v>135.6104</v>
      </c>
      <c r="M7011">
        <v>0.90485320000000002</v>
      </c>
      <c r="N7011">
        <v>-1.514825E-2</v>
      </c>
      <c r="O7011">
        <v>0.425454</v>
      </c>
      <c r="P7011">
        <v>0.97845910000000003</v>
      </c>
      <c r="Q7011">
        <v>0.1787965</v>
      </c>
      <c r="R7011">
        <v>0.1031955</v>
      </c>
      <c r="S7011">
        <v>3.029541</v>
      </c>
      <c r="T7011">
        <v>3.3959389999999999E-2</v>
      </c>
      <c r="U7011">
        <v>0.27369690000000002</v>
      </c>
      <c r="V7011">
        <v>0.33009050000000001</v>
      </c>
      <c r="W7011">
        <v>0.18035999999999999</v>
      </c>
      <c r="X7011">
        <v>0.9265584</v>
      </c>
      <c r="Y7011">
        <v>0.34221230000000002</v>
      </c>
      <c r="Z7011">
        <v>1.0558069999999999E-2</v>
      </c>
      <c r="AA7011">
        <v>0.93956329999999999</v>
      </c>
      <c r="AB7011">
        <v>31</v>
      </c>
      <c r="AC7011">
        <v>3.029541</v>
      </c>
      <c r="AD7011">
        <v>3.3959389999999999E-2</v>
      </c>
      <c r="AE7011">
        <v>0.27369690000000002</v>
      </c>
      <c r="AF7011">
        <v>1.0412645927461801</v>
      </c>
      <c r="AG7011">
        <v>3.3959389999999999E-2</v>
      </c>
      <c r="AH7011">
        <v>2.8577072387548399</v>
      </c>
      <c r="AI7011">
        <v>89.360299577565797</v>
      </c>
      <c r="AJ7011">
        <v>69.979745104428801</v>
      </c>
      <c r="AK7011">
        <v>3.0416896381300802</v>
      </c>
      <c r="AL7011">
        <v>79.609270182703</v>
      </c>
      <c r="AM7011">
        <v>70.391335395139095</v>
      </c>
      <c r="AN7011">
        <v>0.99999996820040404</v>
      </c>
    </row>
    <row r="7012" spans="1:40" x14ac:dyDescent="0.25">
      <c r="A7012" t="str">
        <f>"20190303162956644"</f>
        <v>20190303162956644</v>
      </c>
      <c r="B7012" t="str">
        <f>"1551601796638957"</f>
        <v>1551601796638957</v>
      </c>
      <c r="C7012" t="s">
        <v>40</v>
      </c>
      <c r="D7012">
        <v>5.88734</v>
      </c>
      <c r="E7012">
        <v>0.50177340000000004</v>
      </c>
      <c r="F7012" t="s">
        <v>45</v>
      </c>
      <c r="G7012">
        <v>0</v>
      </c>
      <c r="H7012">
        <v>0</v>
      </c>
      <c r="I7012">
        <v>0</v>
      </c>
      <c r="J7012">
        <v>-175.916</v>
      </c>
      <c r="K7012">
        <v>1.1051930000000001</v>
      </c>
      <c r="L7012">
        <v>135.68119999999999</v>
      </c>
      <c r="M7012">
        <v>0.90924950000000004</v>
      </c>
      <c r="N7012">
        <v>-1.5139700000000001E-2</v>
      </c>
      <c r="O7012">
        <v>0.41597620000000002</v>
      </c>
      <c r="P7012">
        <v>0.97856100000000001</v>
      </c>
      <c r="Q7012">
        <v>0.17916670000000001</v>
      </c>
      <c r="R7012">
        <v>0.1015765</v>
      </c>
      <c r="S7012">
        <v>3.0281220000000002</v>
      </c>
      <c r="T7012">
        <v>3.8316490000000002E-2</v>
      </c>
      <c r="U7012">
        <v>0.29316710000000001</v>
      </c>
      <c r="V7012">
        <v>0.32188309999999998</v>
      </c>
      <c r="W7012">
        <v>0.18110380000000001</v>
      </c>
      <c r="X7012">
        <v>0.92929689999999998</v>
      </c>
      <c r="Y7012">
        <v>0.32630399999999998</v>
      </c>
      <c r="Z7012">
        <v>1.114804E-2</v>
      </c>
      <c r="AA7012">
        <v>0.94519909999999996</v>
      </c>
      <c r="AB7012">
        <v>31</v>
      </c>
      <c r="AC7012">
        <v>3.0281220000000002</v>
      </c>
      <c r="AD7012">
        <v>3.8316490000000002E-2</v>
      </c>
      <c r="AE7012">
        <v>0.29316710000000001</v>
      </c>
      <c r="AF7012">
        <v>0.99302092401585895</v>
      </c>
      <c r="AG7012">
        <v>3.8316490000000002E-2</v>
      </c>
      <c r="AH7012">
        <v>2.8751423671834302</v>
      </c>
      <c r="AI7012">
        <v>89.278302779692396</v>
      </c>
      <c r="AJ7012">
        <v>70.946035622638306</v>
      </c>
      <c r="AK7012">
        <v>3.0420391747169102</v>
      </c>
      <c r="AL7012">
        <v>79.565940607624199</v>
      </c>
      <c r="AM7012">
        <v>70.895309786286106</v>
      </c>
      <c r="AN7012">
        <v>1.00000002239482</v>
      </c>
    </row>
    <row r="7013" spans="1:40" x14ac:dyDescent="0.25">
      <c r="A7013" t="str">
        <f>"20190303162956657"</f>
        <v>20190303162956657</v>
      </c>
      <c r="B7013" t="str">
        <f>"1551601796648716"</f>
        <v>1551601796648716</v>
      </c>
      <c r="C7013" t="s">
        <v>40</v>
      </c>
      <c r="D7013">
        <v>5.690105</v>
      </c>
      <c r="E7013">
        <v>0.50208620000000004</v>
      </c>
      <c r="F7013" t="s">
        <v>45</v>
      </c>
      <c r="G7013">
        <v>0</v>
      </c>
      <c r="H7013">
        <v>0</v>
      </c>
      <c r="I7013">
        <v>0</v>
      </c>
      <c r="J7013">
        <v>-175.73570000000001</v>
      </c>
      <c r="K7013">
        <v>1.105243</v>
      </c>
      <c r="L7013">
        <v>135.75380000000001</v>
      </c>
      <c r="M7013">
        <v>0.91378079999999995</v>
      </c>
      <c r="N7013">
        <v>-1.5126509999999999E-2</v>
      </c>
      <c r="O7013">
        <v>0.40592590000000001</v>
      </c>
      <c r="P7013">
        <v>0.97886790000000001</v>
      </c>
      <c r="Q7013">
        <v>0.17885870000000001</v>
      </c>
      <c r="R7013">
        <v>9.9132919999999999E-2</v>
      </c>
      <c r="S7013">
        <v>3.029175</v>
      </c>
      <c r="T7013">
        <v>3.6327239999999997E-2</v>
      </c>
      <c r="U7013">
        <v>0.2881012</v>
      </c>
      <c r="V7013">
        <v>0.31391780000000002</v>
      </c>
      <c r="W7013">
        <v>0.18116570000000001</v>
      </c>
      <c r="X7013">
        <v>0.93200559999999999</v>
      </c>
      <c r="Y7013">
        <v>0.31747789999999998</v>
      </c>
      <c r="Z7013">
        <v>1.051119E-2</v>
      </c>
      <c r="AA7013">
        <v>0.94820740000000003</v>
      </c>
      <c r="AB7013">
        <v>31</v>
      </c>
      <c r="AC7013">
        <v>3.029175</v>
      </c>
      <c r="AD7013">
        <v>3.6327239999999997E-2</v>
      </c>
      <c r="AE7013">
        <v>0.2881012</v>
      </c>
      <c r="AF7013">
        <v>0.96633208901246204</v>
      </c>
      <c r="AG7013">
        <v>3.6327239999999997E-2</v>
      </c>
      <c r="AH7013">
        <v>2.8848686284209899</v>
      </c>
      <c r="AI7013">
        <v>89.315904844939197</v>
      </c>
      <c r="AJ7013">
        <v>71.480916606460397</v>
      </c>
      <c r="AK7013">
        <v>3.0426278737086498</v>
      </c>
      <c r="AL7013">
        <v>79.562333235133593</v>
      </c>
      <c r="AM7013">
        <v>71.385463487186499</v>
      </c>
      <c r="AN7013">
        <v>0.99999991722234105</v>
      </c>
    </row>
    <row r="7014" spans="1:40" x14ac:dyDescent="0.25">
      <c r="A7014" t="str">
        <f>"20190303162956671"</f>
        <v>20190303162956671</v>
      </c>
      <c r="B7014" t="str">
        <f>"1551601796659454"</f>
        <v>1551601796659454</v>
      </c>
      <c r="C7014" t="s">
        <v>40</v>
      </c>
      <c r="D7014">
        <v>5.5747419999999996</v>
      </c>
      <c r="E7014">
        <v>0.50228459999999997</v>
      </c>
      <c r="F7014" t="s">
        <v>45</v>
      </c>
      <c r="G7014">
        <v>0</v>
      </c>
      <c r="H7014">
        <v>0</v>
      </c>
      <c r="I7014">
        <v>0</v>
      </c>
      <c r="J7014">
        <v>-175.56440000000001</v>
      </c>
      <c r="K7014">
        <v>1.1052959999999901</v>
      </c>
      <c r="L7014">
        <v>135.82079999999999</v>
      </c>
      <c r="M7014">
        <v>0.91795020000000005</v>
      </c>
      <c r="N7014">
        <v>-1.511097E-2</v>
      </c>
      <c r="O7014">
        <v>0.39640779999999998</v>
      </c>
      <c r="P7014">
        <v>0.97920980000000002</v>
      </c>
      <c r="Q7014">
        <v>0.1780776</v>
      </c>
      <c r="R7014">
        <v>9.7142549999999994E-2</v>
      </c>
      <c r="S7014">
        <v>3.0305019999999998</v>
      </c>
      <c r="T7014">
        <v>3.3289190000000003E-2</v>
      </c>
      <c r="U7014">
        <v>0.27824399999999999</v>
      </c>
      <c r="V7014">
        <v>0.30610140000000002</v>
      </c>
      <c r="W7014">
        <v>0.18074789999999999</v>
      </c>
      <c r="X7014">
        <v>0.93468289999999998</v>
      </c>
      <c r="Y7014">
        <v>0.31072709999999998</v>
      </c>
      <c r="Z7014">
        <v>9.7157279999999999E-3</v>
      </c>
      <c r="AA7014">
        <v>0.95044949999999995</v>
      </c>
      <c r="AB7014">
        <v>31</v>
      </c>
      <c r="AC7014">
        <v>3.0305019999999998</v>
      </c>
      <c r="AD7014">
        <v>3.3289190000000003E-2</v>
      </c>
      <c r="AE7014">
        <v>0.27824399999999999</v>
      </c>
      <c r="AF7014">
        <v>0.945895300579359</v>
      </c>
      <c r="AG7014">
        <v>3.3289190000000003E-2</v>
      </c>
      <c r="AH7014">
        <v>2.89213212583237</v>
      </c>
      <c r="AI7014">
        <v>89.373208547284705</v>
      </c>
      <c r="AJ7014">
        <v>71.889246874260905</v>
      </c>
      <c r="AK7014">
        <v>3.0430665985319201</v>
      </c>
      <c r="AL7014">
        <v>79.586674082090994</v>
      </c>
      <c r="AM7014">
        <v>71.866779929303107</v>
      </c>
      <c r="AN7014">
        <v>0.99999999699438902</v>
      </c>
    </row>
    <row r="7015" spans="1:40" x14ac:dyDescent="0.25">
      <c r="A7015" t="str">
        <f>"20190303162956684"</f>
        <v>20190303162956684</v>
      </c>
      <c r="B7015" t="str">
        <f>"1551601796678973"</f>
        <v>1551601796678973</v>
      </c>
      <c r="C7015" t="s">
        <v>40</v>
      </c>
      <c r="D7015">
        <v>5.5773080000000004</v>
      </c>
      <c r="E7015">
        <v>0.50285210000000002</v>
      </c>
      <c r="F7015" t="s">
        <v>45</v>
      </c>
      <c r="G7015">
        <v>0</v>
      </c>
      <c r="H7015">
        <v>0</v>
      </c>
      <c r="I7015">
        <v>0</v>
      </c>
      <c r="J7015">
        <v>-175.37690000000001</v>
      </c>
      <c r="K7015">
        <v>1.1053660000000001</v>
      </c>
      <c r="L7015">
        <v>135.89240000000001</v>
      </c>
      <c r="M7015">
        <v>0.92236490000000004</v>
      </c>
      <c r="N7015">
        <v>-1.5091399999999901E-2</v>
      </c>
      <c r="O7015">
        <v>0.38602500000000001</v>
      </c>
      <c r="P7015">
        <v>0.97976200000000002</v>
      </c>
      <c r="Q7015">
        <v>0.17666789999999999</v>
      </c>
      <c r="R7015">
        <v>9.410201E-2</v>
      </c>
      <c r="S7015">
        <v>3.0314480000000001</v>
      </c>
      <c r="T7015">
        <v>2.966046E-2</v>
      </c>
      <c r="U7015">
        <v>0.27059939999999999</v>
      </c>
      <c r="V7015">
        <v>0.29844419999999999</v>
      </c>
      <c r="W7015">
        <v>0.17969959999999999</v>
      </c>
      <c r="X7015">
        <v>0.93735749999999995</v>
      </c>
      <c r="Y7015">
        <v>0.30241109999999999</v>
      </c>
      <c r="Z7015">
        <v>8.8238940000000005E-3</v>
      </c>
      <c r="AA7015">
        <v>0.95313669999999995</v>
      </c>
      <c r="AB7015">
        <v>31</v>
      </c>
      <c r="AC7015">
        <v>3.0314480000000001</v>
      </c>
      <c r="AD7015">
        <v>2.966046E-2</v>
      </c>
      <c r="AE7015">
        <v>0.27059939999999999</v>
      </c>
      <c r="AF7015">
        <v>0.92064071449064599</v>
      </c>
      <c r="AG7015">
        <v>2.966046E-2</v>
      </c>
      <c r="AH7015">
        <v>2.9006141507722698</v>
      </c>
      <c r="AI7015">
        <v>89.441588315504703</v>
      </c>
      <c r="AJ7015">
        <v>72.3908168681522</v>
      </c>
      <c r="AK7015">
        <v>3.0433569491148398</v>
      </c>
      <c r="AL7015">
        <v>79.647736991373606</v>
      </c>
      <c r="AM7015">
        <v>72.3391035762114</v>
      </c>
      <c r="AN7015">
        <v>0.99999998478002405</v>
      </c>
    </row>
    <row r="7016" spans="1:40" x14ac:dyDescent="0.25">
      <c r="A7016" t="str">
        <f>"20190303162956697"</f>
        <v>20190303162956697</v>
      </c>
      <c r="B7016" t="str">
        <f>"1551601796688732"</f>
        <v>1551601796688732</v>
      </c>
      <c r="C7016" t="s">
        <v>40</v>
      </c>
      <c r="D7016">
        <v>5.6774370000000003</v>
      </c>
      <c r="E7016">
        <v>0.50316539999999998</v>
      </c>
      <c r="F7016" t="s">
        <v>45</v>
      </c>
      <c r="G7016">
        <v>0</v>
      </c>
      <c r="H7016">
        <v>0</v>
      </c>
      <c r="I7016">
        <v>0</v>
      </c>
      <c r="J7016">
        <v>-175.19149999999999</v>
      </c>
      <c r="K7016">
        <v>1.10545</v>
      </c>
      <c r="L7016">
        <v>135.96010000000001</v>
      </c>
      <c r="M7016">
        <v>0.92655319999999997</v>
      </c>
      <c r="N7016">
        <v>-1.506538E-2</v>
      </c>
      <c r="O7016">
        <v>0.37586219999999998</v>
      </c>
      <c r="P7016">
        <v>0.98033110000000001</v>
      </c>
      <c r="Q7016">
        <v>0.1751511</v>
      </c>
      <c r="R7016">
        <v>9.0957200000000002E-2</v>
      </c>
      <c r="S7016">
        <v>3.0334469999999998</v>
      </c>
      <c r="T7016">
        <v>2.1675349999999999E-2</v>
      </c>
      <c r="U7016">
        <v>0.25628659999999998</v>
      </c>
      <c r="V7016">
        <v>0.29112919999999998</v>
      </c>
      <c r="W7016">
        <v>0.17853379999999999</v>
      </c>
      <c r="X7016">
        <v>0.93987739999999997</v>
      </c>
      <c r="Y7016">
        <v>0.29647299999999999</v>
      </c>
      <c r="Z7016">
        <v>7.2221359999999997E-3</v>
      </c>
      <c r="AA7016">
        <v>0.95501389999999997</v>
      </c>
      <c r="AB7016">
        <v>31</v>
      </c>
      <c r="AC7016">
        <v>3.0334469999999998</v>
      </c>
      <c r="AD7016">
        <v>2.1675349999999999E-2</v>
      </c>
      <c r="AE7016">
        <v>0.25628659999999998</v>
      </c>
      <c r="AF7016">
        <v>0.90275149947106403</v>
      </c>
      <c r="AG7016">
        <v>2.1675349999999999E-2</v>
      </c>
      <c r="AH7016">
        <v>2.90716075978002</v>
      </c>
      <c r="AI7016">
        <v>89.5920353654585</v>
      </c>
      <c r="AJ7016">
        <v>72.749027726448304</v>
      </c>
      <c r="AK7016">
        <v>3.04417702734247</v>
      </c>
      <c r="AL7016">
        <v>79.715630848550404</v>
      </c>
      <c r="AM7016">
        <v>72.789511831409797</v>
      </c>
      <c r="AN7016">
        <v>1.00000002793291</v>
      </c>
    </row>
    <row r="7017" spans="1:40" x14ac:dyDescent="0.25">
      <c r="A7017" t="str">
        <f>"20190303162956710"</f>
        <v>20190303162956710</v>
      </c>
      <c r="B7017" t="str">
        <f>"1551601796699469"</f>
        <v>1551601796699469</v>
      </c>
      <c r="C7017" t="s">
        <v>40</v>
      </c>
      <c r="D7017">
        <v>5.8609519999999904</v>
      </c>
      <c r="E7017">
        <v>0.50353119999999996</v>
      </c>
      <c r="F7017" t="s">
        <v>45</v>
      </c>
      <c r="G7017">
        <v>0</v>
      </c>
      <c r="H7017">
        <v>0</v>
      </c>
      <c r="I7017">
        <v>0</v>
      </c>
      <c r="J7017">
        <v>-175.02780000000001</v>
      </c>
      <c r="K7017">
        <v>1.10554</v>
      </c>
      <c r="L7017">
        <v>136.01830000000001</v>
      </c>
      <c r="M7017">
        <v>0.93011829999999995</v>
      </c>
      <c r="N7017">
        <v>-1.50388E-2</v>
      </c>
      <c r="O7017">
        <v>0.3669519</v>
      </c>
      <c r="P7017">
        <v>0.98019559999999994</v>
      </c>
      <c r="Q7017">
        <v>0.1727805</v>
      </c>
      <c r="R7017">
        <v>9.6765530000000002E-2</v>
      </c>
      <c r="S7017">
        <v>3.034821</v>
      </c>
      <c r="T7017">
        <v>1.5663389999999999E-2</v>
      </c>
      <c r="U7017">
        <v>0.24319460000000001</v>
      </c>
      <c r="V7017">
        <v>0.27650019999999997</v>
      </c>
      <c r="W7017">
        <v>0.1768159</v>
      </c>
      <c r="X7017">
        <v>0.94460770000000005</v>
      </c>
      <c r="Y7017">
        <v>0.29144769999999998</v>
      </c>
      <c r="Z7017">
        <v>6.0354850000000002E-3</v>
      </c>
      <c r="AA7017">
        <v>0.95656770000000002</v>
      </c>
      <c r="AB7017">
        <v>31</v>
      </c>
      <c r="AC7017">
        <v>3.034821</v>
      </c>
      <c r="AD7017">
        <v>1.5663389999999999E-2</v>
      </c>
      <c r="AE7017">
        <v>0.24319460000000001</v>
      </c>
      <c r="AF7017">
        <v>0.88751050177534496</v>
      </c>
      <c r="AG7017">
        <v>1.5663389999999999E-2</v>
      </c>
      <c r="AH7017">
        <v>2.9122356636537199</v>
      </c>
      <c r="AI7017">
        <v>89.705223399026096</v>
      </c>
      <c r="AJ7017">
        <v>73.051279578442106</v>
      </c>
      <c r="AK7017">
        <v>3.0445092861090899</v>
      </c>
      <c r="AL7017">
        <v>79.815650021835495</v>
      </c>
      <c r="AM7017">
        <v>73.684490848065806</v>
      </c>
      <c r="AN7017">
        <v>0.99999996499606902</v>
      </c>
    </row>
    <row r="7018" spans="1:40" x14ac:dyDescent="0.25">
      <c r="A7018" t="str">
        <f>"20190303162956738"</f>
        <v>20190303162956738</v>
      </c>
      <c r="B7018" t="str">
        <f>"1551601796728751"</f>
        <v>1551601796728751</v>
      </c>
      <c r="C7018" t="s">
        <v>40</v>
      </c>
      <c r="D7018">
        <v>5.5682499999999999</v>
      </c>
      <c r="E7018">
        <v>0.5038707</v>
      </c>
      <c r="F7018" t="s">
        <v>45</v>
      </c>
      <c r="G7018">
        <v>0</v>
      </c>
      <c r="H7018">
        <v>0</v>
      </c>
      <c r="I7018">
        <v>0</v>
      </c>
      <c r="J7018">
        <v>-174.64</v>
      </c>
      <c r="K7018">
        <v>1.10582</v>
      </c>
      <c r="L7018">
        <v>136.14959999999999</v>
      </c>
      <c r="M7018">
        <v>0.93806540000000005</v>
      </c>
      <c r="N7018">
        <v>-1.496229E-2</v>
      </c>
      <c r="O7018">
        <v>0.34613509999999997</v>
      </c>
      <c r="P7018">
        <v>0.98059609999999997</v>
      </c>
      <c r="Q7018">
        <v>0.17438090000000001</v>
      </c>
      <c r="R7018">
        <v>8.9571479999999995E-2</v>
      </c>
      <c r="S7018">
        <v>3.0341339999999999</v>
      </c>
      <c r="T7018">
        <v>6.8494080000000004E-3</v>
      </c>
      <c r="U7018">
        <v>0.256073</v>
      </c>
      <c r="V7018">
        <v>0.26216420000000001</v>
      </c>
      <c r="W7018">
        <v>0.1791006</v>
      </c>
      <c r="X7018">
        <v>0.94825780000000004</v>
      </c>
      <c r="Y7018">
        <v>0.26600069999999998</v>
      </c>
      <c r="Z7018">
        <v>4.3423580000000002E-3</v>
      </c>
      <c r="AA7018">
        <v>0.96396300000000001</v>
      </c>
      <c r="AB7018">
        <v>31</v>
      </c>
      <c r="AC7018">
        <v>3.0341339999999999</v>
      </c>
      <c r="AD7018">
        <v>6.8494080000000004E-3</v>
      </c>
      <c r="AE7018">
        <v>0.256073</v>
      </c>
      <c r="AF7018">
        <v>0.81009360936540598</v>
      </c>
      <c r="AG7018">
        <v>6.8494080000000004E-3</v>
      </c>
      <c r="AH7018">
        <v>2.9351655877109502</v>
      </c>
      <c r="AI7018">
        <v>89.8711153676186</v>
      </c>
      <c r="AJ7018">
        <v>74.570714300516102</v>
      </c>
      <c r="AK7018">
        <v>3.0449130689737598</v>
      </c>
      <c r="AL7018">
        <v>79.682623037891801</v>
      </c>
      <c r="AM7018">
        <v>74.545510680646004</v>
      </c>
      <c r="AN7018">
        <v>0.99999997397141904</v>
      </c>
    </row>
    <row r="7019" spans="1:40" x14ac:dyDescent="0.25">
      <c r="A7019" t="str">
        <f>"20190303162956756"</f>
        <v>20190303162956756</v>
      </c>
      <c r="B7019" t="str">
        <f>"1551601796749245"</f>
        <v>1551601796749245</v>
      </c>
      <c r="C7019" t="s">
        <v>40</v>
      </c>
      <c r="D7019">
        <v>5.6245779999999996</v>
      </c>
      <c r="E7019">
        <v>0.52124510000000002</v>
      </c>
      <c r="F7019" t="s">
        <v>45</v>
      </c>
      <c r="G7019">
        <v>0</v>
      </c>
      <c r="H7019">
        <v>0</v>
      </c>
      <c r="I7019">
        <v>0</v>
      </c>
      <c r="J7019">
        <v>-174.4091</v>
      </c>
      <c r="K7019">
        <v>1.1060319999999999</v>
      </c>
      <c r="L7019">
        <v>136.22329999999999</v>
      </c>
      <c r="M7019">
        <v>0.94244830000000002</v>
      </c>
      <c r="N7019">
        <v>-1.4904809999999999E-2</v>
      </c>
      <c r="O7019">
        <v>0.33401969999999997</v>
      </c>
      <c r="P7019">
        <v>0.98023139999999997</v>
      </c>
      <c r="Q7019">
        <v>0.17568539999999999</v>
      </c>
      <c r="R7019">
        <v>9.1001219999999994E-2</v>
      </c>
      <c r="S7019">
        <v>3.0364840000000002</v>
      </c>
      <c r="T7019">
        <v>1.024508E-2</v>
      </c>
      <c r="U7019">
        <v>0.23034669999999999</v>
      </c>
      <c r="V7019">
        <v>0.24838830000000001</v>
      </c>
      <c r="W7019">
        <v>0.18102550000000001</v>
      </c>
      <c r="X7019">
        <v>0.95159499999999997</v>
      </c>
      <c r="Y7019">
        <v>0.26175159999999997</v>
      </c>
      <c r="Z7019">
        <v>4.6534979999999998E-3</v>
      </c>
      <c r="AA7019">
        <v>0.96512410000000004</v>
      </c>
      <c r="AB7019">
        <v>31</v>
      </c>
      <c r="AC7019">
        <v>3.0364840000000002</v>
      </c>
      <c r="AD7019">
        <v>1.024508E-2</v>
      </c>
      <c r="AE7019">
        <v>0.23034669999999999</v>
      </c>
      <c r="AF7019">
        <v>0.79723511093282196</v>
      </c>
      <c r="AG7019">
        <v>1.024508E-2</v>
      </c>
      <c r="AH7019">
        <v>2.9389625622978599</v>
      </c>
      <c r="AI7019">
        <v>89.807236753075003</v>
      </c>
      <c r="AJ7019">
        <v>74.822938607278701</v>
      </c>
      <c r="AK7019">
        <v>3.0451912462695501</v>
      </c>
      <c r="AL7019">
        <v>79.570502152243705</v>
      </c>
      <c r="AM7019">
        <v>75.370888630090704</v>
      </c>
      <c r="AN7019">
        <v>1.0000000116260599</v>
      </c>
    </row>
    <row r="7020" spans="1:40" x14ac:dyDescent="0.25">
      <c r="A7020" t="str">
        <f>"20190303162956777"</f>
        <v>20190303162956777</v>
      </c>
      <c r="B7020" t="str">
        <f>"1551601796768765"</f>
        <v>1551601796768765</v>
      </c>
      <c r="C7020" t="s">
        <v>40</v>
      </c>
      <c r="D7020">
        <v>5.4976450000000003</v>
      </c>
      <c r="E7020">
        <v>0.5204105</v>
      </c>
      <c r="F7020" t="s">
        <v>41</v>
      </c>
      <c r="G7020">
        <v>-158.42080000000001</v>
      </c>
      <c r="H7020" s="1">
        <v>-1.296792E-6</v>
      </c>
      <c r="I7020">
        <v>136.7097</v>
      </c>
      <c r="J7020">
        <v>-174.1129</v>
      </c>
      <c r="K7020">
        <v>1.106347</v>
      </c>
      <c r="L7020">
        <v>136.31360000000001</v>
      </c>
      <c r="M7020">
        <v>0.94770069999999995</v>
      </c>
      <c r="N7020">
        <v>-1.4819290000000001E-2</v>
      </c>
      <c r="O7020">
        <v>0.31881619999999999</v>
      </c>
      <c r="P7020">
        <v>0.98069479999999998</v>
      </c>
      <c r="Q7020">
        <v>0.1744694</v>
      </c>
      <c r="R7020">
        <v>8.8308499999999998E-2</v>
      </c>
      <c r="S7020">
        <v>3.090103</v>
      </c>
      <c r="T7020">
        <v>-0.21376500000000001</v>
      </c>
      <c r="U7020">
        <v>9.4024659999999996E-2</v>
      </c>
      <c r="V7020">
        <v>0.2355302</v>
      </c>
      <c r="W7020">
        <v>0.18041869999999999</v>
      </c>
      <c r="X7020">
        <v>0.95497359999999998</v>
      </c>
      <c r="Y7020">
        <v>0.28859800000000002</v>
      </c>
      <c r="Z7020">
        <v>-2.9023219999999999E-2</v>
      </c>
      <c r="AA7020">
        <v>0.95701040000000004</v>
      </c>
      <c r="AB7020">
        <v>31</v>
      </c>
      <c r="AC7020">
        <v>15.6920999999999</v>
      </c>
      <c r="AD7020">
        <v>-1.106348296792</v>
      </c>
      <c r="AE7020">
        <v>0.39609999999998902</v>
      </c>
      <c r="AF7020">
        <v>4.6051432378439499</v>
      </c>
      <c r="AG7020">
        <v>-1.106348296792</v>
      </c>
      <c r="AH7020">
        <v>14.925202218217301</v>
      </c>
      <c r="AI7020">
        <v>94.051561697540393</v>
      </c>
      <c r="AJ7020">
        <v>72.852487659699705</v>
      </c>
      <c r="AK7020">
        <v>15.658640172427299</v>
      </c>
      <c r="AL7020">
        <v>79.605850946149999</v>
      </c>
      <c r="AM7020">
        <v>76.145342630196097</v>
      </c>
      <c r="AN7020">
        <v>0.99999997955934405</v>
      </c>
    </row>
    <row r="7021" spans="1:40" x14ac:dyDescent="0.25">
      <c r="A7021" t="str">
        <f>"20190303162956810"</f>
        <v>20190303162956810</v>
      </c>
      <c r="B7021" t="str">
        <f>"1551601796799022"</f>
        <v>1551601796799022</v>
      </c>
      <c r="C7021" t="s">
        <v>40</v>
      </c>
      <c r="D7021">
        <v>5.6192549999999999</v>
      </c>
      <c r="E7021">
        <v>0.52125809999999995</v>
      </c>
      <c r="F7021" t="s">
        <v>41</v>
      </c>
      <c r="G7021">
        <v>-157.2929</v>
      </c>
      <c r="H7021" s="1">
        <v>-1.6527859999999999E-6</v>
      </c>
      <c r="I7021">
        <v>136.8143</v>
      </c>
      <c r="J7021">
        <v>-173.65649999999999</v>
      </c>
      <c r="K7021">
        <v>1.1069789999999999</v>
      </c>
      <c r="L7021">
        <v>136.4434</v>
      </c>
      <c r="M7021">
        <v>0.95494190000000001</v>
      </c>
      <c r="N7021">
        <v>-1.46547E-2</v>
      </c>
      <c r="O7021">
        <v>0.296431</v>
      </c>
      <c r="P7021">
        <v>0.98149169999999997</v>
      </c>
      <c r="Q7021">
        <v>0.17203479999999999</v>
      </c>
      <c r="R7021">
        <v>8.4134929999999997E-2</v>
      </c>
      <c r="S7021">
        <v>3.086884</v>
      </c>
      <c r="T7021">
        <v>-0.203042</v>
      </c>
      <c r="U7021">
        <v>9.1903689999999996E-2</v>
      </c>
      <c r="V7021">
        <v>0.2168002</v>
      </c>
      <c r="W7021">
        <v>0.17888519999999999</v>
      </c>
      <c r="X7021">
        <v>0.95968629999999999</v>
      </c>
      <c r="Y7021">
        <v>0.26683899999999999</v>
      </c>
      <c r="Z7021">
        <v>-2.5555370000000001E-2</v>
      </c>
      <c r="AA7021">
        <v>0.96340219999999999</v>
      </c>
      <c r="AB7021">
        <v>31</v>
      </c>
      <c r="AC7021">
        <v>16.363599999999899</v>
      </c>
      <c r="AD7021">
        <v>-1.106980652786</v>
      </c>
      <c r="AE7021">
        <v>0.370900000000006</v>
      </c>
      <c r="AF7021">
        <v>4.4764973328795099</v>
      </c>
      <c r="AG7021">
        <v>-1.106980652786</v>
      </c>
      <c r="AH7021">
        <v>15.6662645274606</v>
      </c>
      <c r="AI7021">
        <v>93.886756439331805</v>
      </c>
      <c r="AJ7021">
        <v>74.053178054496598</v>
      </c>
      <c r="AK7021">
        <v>16.330838275523099</v>
      </c>
      <c r="AL7021">
        <v>79.695167589865093</v>
      </c>
      <c r="AM7021">
        <v>77.270143216412293</v>
      </c>
      <c r="AN7021">
        <v>1.0000000179533799</v>
      </c>
    </row>
    <row r="7022" spans="1:40" x14ac:dyDescent="0.25">
      <c r="A7022" t="str">
        <f>"20190303162956830"</f>
        <v>20190303162956830</v>
      </c>
      <c r="B7022" t="str">
        <f>"1551601796819517"</f>
        <v>1551601796819517</v>
      </c>
      <c r="C7022" t="s">
        <v>40</v>
      </c>
      <c r="D7022">
        <v>5.6152280000000001</v>
      </c>
      <c r="E7022">
        <v>0.52168029999999999</v>
      </c>
      <c r="F7022" t="s">
        <v>41</v>
      </c>
      <c r="G7022">
        <v>-156.89080000000001</v>
      </c>
      <c r="H7022" s="1">
        <v>-1.8127799999999999E-6</v>
      </c>
      <c r="I7022">
        <v>136.81630000000001</v>
      </c>
      <c r="J7022">
        <v>-173.39840000000001</v>
      </c>
      <c r="K7022">
        <v>1.1074299999999999</v>
      </c>
      <c r="L7022">
        <v>136.51230000000001</v>
      </c>
      <c r="M7022">
        <v>0.9585861</v>
      </c>
      <c r="N7022">
        <v>-1.4545789999999999E-2</v>
      </c>
      <c r="O7022">
        <v>0.2844315</v>
      </c>
      <c r="P7022">
        <v>0.98214520000000005</v>
      </c>
      <c r="Q7022">
        <v>0.17127879999999901</v>
      </c>
      <c r="R7022">
        <v>7.7812339999999994E-2</v>
      </c>
      <c r="S7022">
        <v>3.086395</v>
      </c>
      <c r="T7022">
        <v>-0.2037842</v>
      </c>
      <c r="U7022">
        <v>6.8664550000000005E-2</v>
      </c>
      <c r="V7022">
        <v>0.21074109999999999</v>
      </c>
      <c r="W7022">
        <v>0.17847469999999999</v>
      </c>
      <c r="X7022">
        <v>0.9611113</v>
      </c>
      <c r="Y7022">
        <v>0.262013</v>
      </c>
      <c r="Z7022">
        <v>-2.4912050000000002E-2</v>
      </c>
      <c r="AA7022">
        <v>0.96474269999999995</v>
      </c>
      <c r="AB7022">
        <v>31</v>
      </c>
      <c r="AC7022">
        <v>16.507599999999901</v>
      </c>
      <c r="AD7022">
        <v>-1.10743181278</v>
      </c>
      <c r="AE7022">
        <v>0.30400000000000199</v>
      </c>
      <c r="AF7022">
        <v>4.3846103496148698</v>
      </c>
      <c r="AG7022">
        <v>-1.10743181278</v>
      </c>
      <c r="AH7022">
        <v>15.840836769624801</v>
      </c>
      <c r="AI7022">
        <v>93.854567858781493</v>
      </c>
      <c r="AJ7022">
        <v>74.528359294361593</v>
      </c>
      <c r="AK7022">
        <v>16.473716116887601</v>
      </c>
      <c r="AL7022">
        <v>79.719071807498096</v>
      </c>
      <c r="AM7022">
        <v>77.632583526190501</v>
      </c>
      <c r="AN7022">
        <v>0.99999998037849402</v>
      </c>
    </row>
    <row r="7023" spans="1:40" x14ac:dyDescent="0.25">
      <c r="A7023" t="str">
        <f>"20190303162956844"</f>
        <v>20190303162956844</v>
      </c>
      <c r="B7023" t="str">
        <f>"1551601796839037"</f>
        <v>1551601796839037</v>
      </c>
      <c r="C7023" t="s">
        <v>40</v>
      </c>
      <c r="D7023">
        <v>5.6161799999999999</v>
      </c>
      <c r="E7023">
        <v>0.52276120000000004</v>
      </c>
      <c r="F7023" t="s">
        <v>41</v>
      </c>
      <c r="G7023">
        <v>-151.58690000000001</v>
      </c>
      <c r="H7023" s="1">
        <v>-4.08407E-6</v>
      </c>
      <c r="I7023">
        <v>136.83920000000001</v>
      </c>
      <c r="J7023">
        <v>-173.18209999999999</v>
      </c>
      <c r="K7023">
        <v>1.107842</v>
      </c>
      <c r="L7023">
        <v>136.56790000000001</v>
      </c>
      <c r="M7023">
        <v>0.96140579999999998</v>
      </c>
      <c r="N7023">
        <v>-1.444879E-2</v>
      </c>
      <c r="O7023">
        <v>0.27475480000000002</v>
      </c>
      <c r="P7023">
        <v>0.98198929999999995</v>
      </c>
      <c r="Q7023">
        <v>0.17097129999999999</v>
      </c>
      <c r="R7023">
        <v>8.0410889999999999E-2</v>
      </c>
      <c r="S7023">
        <v>3.0781399999999999</v>
      </c>
      <c r="T7023">
        <v>-0.15628610000000001</v>
      </c>
      <c r="U7023">
        <v>4.6142580000000002E-2</v>
      </c>
      <c r="V7023">
        <v>0.19828709999999999</v>
      </c>
      <c r="W7023">
        <v>0.178716299999999</v>
      </c>
      <c r="X7023">
        <v>0.96371300000000004</v>
      </c>
      <c r="Y7023">
        <v>0.25973930000000001</v>
      </c>
      <c r="Z7023">
        <v>-1.8254759999999998E-2</v>
      </c>
      <c r="AA7023">
        <v>0.96550619999999998</v>
      </c>
      <c r="AB7023">
        <v>31</v>
      </c>
      <c r="AC7023">
        <v>21.595199999999899</v>
      </c>
      <c r="AD7023">
        <v>-1.10784608407</v>
      </c>
      <c r="AE7023">
        <v>0.27129999999999599</v>
      </c>
      <c r="AF7023">
        <v>5.6582586878366499</v>
      </c>
      <c r="AG7023">
        <v>-1.10784608407</v>
      </c>
      <c r="AH7023">
        <v>20.783776944206199</v>
      </c>
      <c r="AI7023">
        <v>92.944213763135707</v>
      </c>
      <c r="AJ7023">
        <v>74.770656678974802</v>
      </c>
      <c r="AK7023">
        <v>21.568694869903101</v>
      </c>
      <c r="AL7023">
        <v>79.705003349042201</v>
      </c>
      <c r="AM7023">
        <v>78.373461405459494</v>
      </c>
      <c r="AN7023">
        <v>1.00000001814055</v>
      </c>
    </row>
    <row r="7024" spans="1:40" x14ac:dyDescent="0.25">
      <c r="A7024" t="str">
        <f>"20190303162956867"</f>
        <v>20190303162956867</v>
      </c>
      <c r="B7024" t="str">
        <f>"1551601796859533"</f>
        <v>1551601796859533</v>
      </c>
      <c r="C7024" t="s">
        <v>40</v>
      </c>
      <c r="D7024">
        <v>5.6531099999999999</v>
      </c>
      <c r="E7024">
        <v>0.52360450000000003</v>
      </c>
      <c r="F7024" t="s">
        <v>41</v>
      </c>
      <c r="G7024">
        <v>-151.45259999999999</v>
      </c>
      <c r="H7024" s="1">
        <v>-4.1323619999999998E-6</v>
      </c>
      <c r="I7024">
        <v>136.89179999999999</v>
      </c>
      <c r="J7024">
        <v>-172.8777</v>
      </c>
      <c r="K7024">
        <v>1.108492</v>
      </c>
      <c r="L7024">
        <v>136.64259999999999</v>
      </c>
      <c r="M7024">
        <v>0.96498660000000003</v>
      </c>
      <c r="N7024">
        <v>-1.430333E-2</v>
      </c>
      <c r="O7024">
        <v>0.2619089</v>
      </c>
      <c r="P7024">
        <v>0.98241219999999996</v>
      </c>
      <c r="Q7024">
        <v>0.16847400000000001</v>
      </c>
      <c r="R7024">
        <v>8.0515920000000005E-2</v>
      </c>
      <c r="S7024">
        <v>3.0785979999999999</v>
      </c>
      <c r="T7024">
        <v>-0.1569575</v>
      </c>
      <c r="U7024">
        <v>4.5883180000000003E-2</v>
      </c>
      <c r="V7024">
        <v>0.1850376</v>
      </c>
      <c r="W7024">
        <v>0.17682290000000001</v>
      </c>
      <c r="X7024">
        <v>0.96669269999999996</v>
      </c>
      <c r="Y7024">
        <v>0.2469461</v>
      </c>
      <c r="Z7024">
        <v>-1.749738E-2</v>
      </c>
      <c r="AA7024">
        <v>0.96887120000000004</v>
      </c>
      <c r="AB7024">
        <v>31</v>
      </c>
      <c r="AC7024">
        <v>21.4251</v>
      </c>
      <c r="AD7024">
        <v>-1.108496132362</v>
      </c>
      <c r="AE7024">
        <v>0.249200000000001</v>
      </c>
      <c r="AF7024">
        <v>5.3571608875086998</v>
      </c>
      <c r="AG7024">
        <v>-1.108496132362</v>
      </c>
      <c r="AH7024">
        <v>20.686955834885602</v>
      </c>
      <c r="AI7024">
        <v>92.969452113756105</v>
      </c>
      <c r="AJ7024">
        <v>75.481439074416301</v>
      </c>
      <c r="AK7024">
        <v>21.3980858528192</v>
      </c>
      <c r="AL7024">
        <v>79.815243033070999</v>
      </c>
      <c r="AM7024">
        <v>79.163912181303701</v>
      </c>
      <c r="AN7024">
        <v>1.0000000138057299</v>
      </c>
    </row>
    <row r="7025" spans="1:40" x14ac:dyDescent="0.25">
      <c r="A7025" t="str">
        <f>"20190303162956899"</f>
        <v>20190303162956899</v>
      </c>
      <c r="B7025" t="str">
        <f>"1551601796888813"</f>
        <v>1551601796888813</v>
      </c>
      <c r="C7025" t="s">
        <v>40</v>
      </c>
      <c r="D7025">
        <v>5.5892900000000001</v>
      </c>
      <c r="E7025">
        <v>0.52546689999999996</v>
      </c>
      <c r="F7025" t="s">
        <v>41</v>
      </c>
      <c r="G7025">
        <v>-153.33029999999999</v>
      </c>
      <c r="H7025" s="1">
        <v>-3.326975E-6</v>
      </c>
      <c r="I7025">
        <v>136.89099999999999</v>
      </c>
      <c r="J7025">
        <v>-172.42179999999999</v>
      </c>
      <c r="K7025">
        <v>1.10955</v>
      </c>
      <c r="L7025">
        <v>136.74809999999999</v>
      </c>
      <c r="M7025">
        <v>0.96959980000000001</v>
      </c>
      <c r="N7025">
        <v>-1.408324E-2</v>
      </c>
      <c r="O7025">
        <v>0.24429100000000001</v>
      </c>
      <c r="P7025">
        <v>0.98274070000000002</v>
      </c>
      <c r="Q7025">
        <v>0.16565009999999999</v>
      </c>
      <c r="R7025">
        <v>8.2346379999999997E-2</v>
      </c>
      <c r="S7025">
        <v>3.08046</v>
      </c>
      <c r="T7025">
        <v>-0.17468710000000001</v>
      </c>
      <c r="U7025">
        <v>3.9154050000000003E-2</v>
      </c>
      <c r="V7025">
        <v>0.16513079999999999</v>
      </c>
      <c r="W7025">
        <v>0.1748519</v>
      </c>
      <c r="X7025">
        <v>0.97064859999999997</v>
      </c>
      <c r="Y7025">
        <v>0.23129359999999999</v>
      </c>
      <c r="Z7025">
        <v>-1.8446580000000001E-2</v>
      </c>
      <c r="AA7025">
        <v>0.97270909999999999</v>
      </c>
      <c r="AB7025">
        <v>31</v>
      </c>
      <c r="AC7025">
        <v>19.0915</v>
      </c>
      <c r="AD7025">
        <v>-1.109553326975</v>
      </c>
      <c r="AE7025">
        <v>0.142899999999997</v>
      </c>
      <c r="AF7025">
        <v>4.5105399664434698</v>
      </c>
      <c r="AG7025">
        <v>-1.109553326975</v>
      </c>
      <c r="AH7025">
        <v>18.485427311021201</v>
      </c>
      <c r="AI7025">
        <v>93.337270563913194</v>
      </c>
      <c r="AJ7025">
        <v>76.287483178600993</v>
      </c>
      <c r="AK7025">
        <v>19.0600918740003</v>
      </c>
      <c r="AL7025">
        <v>79.929960648952402</v>
      </c>
      <c r="AM7025">
        <v>80.345039519635193</v>
      </c>
      <c r="AN7025">
        <v>1.0000000363621</v>
      </c>
    </row>
    <row r="7026" spans="1:40" x14ac:dyDescent="0.25">
      <c r="A7026" t="str">
        <f>"20190303162956916"</f>
        <v>20190303162956916</v>
      </c>
      <c r="B7026" t="str">
        <f>"1551601796909309"</f>
        <v>1551601796909309</v>
      </c>
      <c r="C7026" t="s">
        <v>40</v>
      </c>
      <c r="D7026">
        <v>5.6035149999999998</v>
      </c>
      <c r="E7026">
        <v>0.48804619999999999</v>
      </c>
      <c r="F7026" t="s">
        <v>41</v>
      </c>
      <c r="G7026">
        <v>-153.22280000000001</v>
      </c>
      <c r="H7026" s="1">
        <v>-3.3623739999999999E-6</v>
      </c>
      <c r="I7026">
        <v>136.95150000000001</v>
      </c>
      <c r="J7026">
        <v>-172.18770000000001</v>
      </c>
      <c r="K7026">
        <v>1.110169</v>
      </c>
      <c r="L7026">
        <v>136.79949999999999</v>
      </c>
      <c r="M7026">
        <v>0.97160409999999997</v>
      </c>
      <c r="N7026">
        <v>-1.396612E-2</v>
      </c>
      <c r="O7026">
        <v>0.23619999999999999</v>
      </c>
      <c r="P7026">
        <v>0.98304239999999998</v>
      </c>
      <c r="Q7026">
        <v>0.16491239999999999</v>
      </c>
      <c r="R7026">
        <v>8.0197619999999997E-2</v>
      </c>
      <c r="S7026">
        <v>3.0799560000000001</v>
      </c>
      <c r="T7026">
        <v>-0.1779974</v>
      </c>
      <c r="U7026">
        <v>3.2638550000000002E-2</v>
      </c>
      <c r="V7026">
        <v>0.15889</v>
      </c>
      <c r="W7026">
        <v>0.17441950000000001</v>
      </c>
      <c r="X7026">
        <v>0.97176739999999995</v>
      </c>
      <c r="Y7026">
        <v>0.22522729999999999</v>
      </c>
      <c r="Z7026">
        <v>-1.8292159999999998E-2</v>
      </c>
      <c r="AA7026">
        <v>0.97413450000000001</v>
      </c>
      <c r="AB7026">
        <v>31</v>
      </c>
      <c r="AC7026">
        <v>18.9649</v>
      </c>
      <c r="AD7026">
        <v>-1.1101723623740001</v>
      </c>
      <c r="AE7026">
        <v>0.15200000000001501</v>
      </c>
      <c r="AF7026">
        <v>4.3174542491454604</v>
      </c>
      <c r="AG7026">
        <v>-1.1101723623740001</v>
      </c>
      <c r="AH7026">
        <v>18.401026361863199</v>
      </c>
      <c r="AI7026">
        <v>93.361517761675302</v>
      </c>
      <c r="AJ7026">
        <v>76.795477175520304</v>
      </c>
      <c r="AK7026">
        <v>18.9333215532201</v>
      </c>
      <c r="AL7026">
        <v>79.955122000168998</v>
      </c>
      <c r="AM7026">
        <v>80.713954593589193</v>
      </c>
      <c r="AN7026">
        <v>1.0000000368915001</v>
      </c>
    </row>
    <row r="7027" spans="1:40" x14ac:dyDescent="0.25">
      <c r="A7027" t="str">
        <f>"20190303162956931"</f>
        <v>20190303162956931</v>
      </c>
      <c r="B7027" t="str">
        <f>"1551601796919070"</f>
        <v>1551601796919070</v>
      </c>
      <c r="C7027" t="s">
        <v>40</v>
      </c>
      <c r="D7027">
        <v>5.6590999999999996</v>
      </c>
      <c r="E7027">
        <v>0.48280650000000003</v>
      </c>
      <c r="F7027" t="s">
        <v>41</v>
      </c>
      <c r="G7027">
        <v>-75.111469999999997</v>
      </c>
      <c r="H7027" s="1">
        <v>-3.8974759999999997E-6</v>
      </c>
      <c r="I7027">
        <v>147.2885</v>
      </c>
      <c r="J7027">
        <v>-171.9786</v>
      </c>
      <c r="K7027">
        <v>1.1107910000000001</v>
      </c>
      <c r="L7027">
        <v>136.8442</v>
      </c>
      <c r="M7027">
        <v>0.97319350000000004</v>
      </c>
      <c r="N7027">
        <v>-1.3858290000000001E-2</v>
      </c>
      <c r="O7027">
        <v>0.2295701</v>
      </c>
      <c r="P7027">
        <v>0.98332739999999996</v>
      </c>
      <c r="Q7027">
        <v>0.16387869999999999</v>
      </c>
      <c r="R7027">
        <v>7.8811179999999995E-2</v>
      </c>
      <c r="S7027">
        <v>3.030869</v>
      </c>
      <c r="T7027">
        <v>-3.4661289999999997E-2</v>
      </c>
      <c r="U7027">
        <v>0.3274841</v>
      </c>
      <c r="V7027">
        <v>0.15337200000000001</v>
      </c>
      <c r="W7027">
        <v>0.17366019999999999</v>
      </c>
      <c r="X7027">
        <v>0.97278929999999997</v>
      </c>
      <c r="Y7027">
        <v>0.12369049999999999</v>
      </c>
      <c r="Z7027">
        <v>-9.5298509999999998E-4</v>
      </c>
      <c r="AA7027">
        <v>0.99232039999999999</v>
      </c>
      <c r="AB7027">
        <v>31</v>
      </c>
      <c r="AC7027">
        <v>96.867130000000003</v>
      </c>
      <c r="AD7027">
        <v>-1.110794897476</v>
      </c>
      <c r="AE7027">
        <v>10.444299999999901</v>
      </c>
      <c r="AF7027">
        <v>12.073061628759101</v>
      </c>
      <c r="AG7027">
        <v>-1.110794897476</v>
      </c>
      <c r="AH7027">
        <v>96.664875783799005</v>
      </c>
      <c r="AI7027">
        <v>90.653292771122494</v>
      </c>
      <c r="AJ7027">
        <v>82.880847719130301</v>
      </c>
      <c r="AK7027">
        <v>97.4222299718774</v>
      </c>
      <c r="AL7027">
        <v>79.999299824850198</v>
      </c>
      <c r="AM7027">
        <v>81.040378962486699</v>
      </c>
      <c r="AN7027">
        <v>0.99999992882126199</v>
      </c>
    </row>
    <row r="7028" spans="1:40" x14ac:dyDescent="0.25">
      <c r="A7028" t="str">
        <f>"20190303162956947"</f>
        <v>20190303162956947</v>
      </c>
      <c r="B7028" t="str">
        <f>"1551601796938589"</f>
        <v>1551601796938589</v>
      </c>
      <c r="C7028" t="s">
        <v>40</v>
      </c>
      <c r="D7028">
        <v>5.7639889999999996</v>
      </c>
      <c r="E7028">
        <v>0.47791359999999999</v>
      </c>
      <c r="F7028" t="s">
        <v>41</v>
      </c>
      <c r="G7028">
        <v>-99.766900000000007</v>
      </c>
      <c r="H7028" s="1">
        <v>-1.665616E-6</v>
      </c>
      <c r="I7028">
        <v>145.5669</v>
      </c>
      <c r="J7028">
        <v>-171.7576</v>
      </c>
      <c r="K7028">
        <v>1.1114980000000001</v>
      </c>
      <c r="L7028">
        <v>136.89060000000001</v>
      </c>
      <c r="M7028">
        <v>0.97468549999999998</v>
      </c>
      <c r="N7028">
        <v>-1.3743109999999999E-2</v>
      </c>
      <c r="O7028">
        <v>0.2231581</v>
      </c>
      <c r="P7028">
        <v>0.9833906</v>
      </c>
      <c r="Q7028">
        <v>0.16155129999999901</v>
      </c>
      <c r="R7028">
        <v>8.2730700000000004E-2</v>
      </c>
      <c r="S7028">
        <v>3.029312</v>
      </c>
      <c r="T7028">
        <v>-4.6598199999999999E-2</v>
      </c>
      <c r="U7028">
        <v>0.365921</v>
      </c>
      <c r="V7028">
        <v>0.14279120000000001</v>
      </c>
      <c r="W7028">
        <v>0.17174489999999901</v>
      </c>
      <c r="X7028">
        <v>0.97473810000000005</v>
      </c>
      <c r="Y7028">
        <v>0.1046484</v>
      </c>
      <c r="Z7028">
        <v>-1.8247409999999999E-3</v>
      </c>
      <c r="AA7028">
        <v>0.99450760000000005</v>
      </c>
      <c r="AB7028">
        <v>31</v>
      </c>
      <c r="AC7028">
        <v>71.990699999999904</v>
      </c>
      <c r="AD7028">
        <v>-1.1114996656160001</v>
      </c>
      <c r="AE7028">
        <v>8.6762999999999906</v>
      </c>
      <c r="AF7028">
        <v>7.6075742556697996</v>
      </c>
      <c r="AG7028">
        <v>-1.1114996656160001</v>
      </c>
      <c r="AH7028">
        <v>72.094340205648393</v>
      </c>
      <c r="AI7028">
        <v>90.878399741157494</v>
      </c>
      <c r="AJ7028">
        <v>83.976298668482798</v>
      </c>
      <c r="AK7028">
        <v>72.503134465000699</v>
      </c>
      <c r="AL7028">
        <v>80.110713259345005</v>
      </c>
      <c r="AM7028">
        <v>81.665913278220799</v>
      </c>
      <c r="AN7028">
        <v>1.00000000053253</v>
      </c>
    </row>
    <row r="7029" spans="1:40" x14ac:dyDescent="0.25">
      <c r="A7029" t="str">
        <f>"20190303162956968"</f>
        <v>20190303162956968</v>
      </c>
      <c r="B7029" t="str">
        <f>"1551601796958615"</f>
        <v>1551601796958615</v>
      </c>
      <c r="C7029" t="s">
        <v>40</v>
      </c>
      <c r="D7029">
        <v>5.6986270000000001</v>
      </c>
      <c r="E7029">
        <v>0.4774331</v>
      </c>
      <c r="F7029" t="s">
        <v>41</v>
      </c>
      <c r="G7029">
        <v>-119.9538</v>
      </c>
      <c r="H7029" s="1">
        <v>-1.181966E-6</v>
      </c>
      <c r="I7029">
        <v>144.0506</v>
      </c>
      <c r="J7029">
        <v>-171.47479999999999</v>
      </c>
      <c r="K7029">
        <v>1.1124590000000001</v>
      </c>
      <c r="L7029">
        <v>136.94829999999999</v>
      </c>
      <c r="M7029">
        <v>0.97630790000000001</v>
      </c>
      <c r="N7029">
        <v>-1.359921E-2</v>
      </c>
      <c r="O7029">
        <v>0.21595829999999999</v>
      </c>
      <c r="P7029">
        <v>0.98365970000000003</v>
      </c>
      <c r="Q7029">
        <v>0.1584931</v>
      </c>
      <c r="R7029">
        <v>8.5404460000000001E-2</v>
      </c>
      <c r="S7029">
        <v>3.0261689999999999</v>
      </c>
      <c r="T7029">
        <v>-6.492937E-2</v>
      </c>
      <c r="U7029">
        <v>0.41825869999999998</v>
      </c>
      <c r="V7029">
        <v>0.13256089999999901</v>
      </c>
      <c r="W7029">
        <v>0.169103799999999</v>
      </c>
      <c r="X7029">
        <v>0.97664300000000004</v>
      </c>
      <c r="Y7029">
        <v>8.0227980000000004E-2</v>
      </c>
      <c r="Z7029">
        <v>-3.019889E-3</v>
      </c>
      <c r="AA7029">
        <v>0.99677199999999999</v>
      </c>
      <c r="AB7029">
        <v>31</v>
      </c>
      <c r="AC7029">
        <v>51.521000000000001</v>
      </c>
      <c r="AD7029">
        <v>-1.1124601819660001</v>
      </c>
      <c r="AE7029">
        <v>7.1023000000000103</v>
      </c>
      <c r="AF7029">
        <v>4.1908261553423198</v>
      </c>
      <c r="AG7029">
        <v>-1.1124601819660001</v>
      </c>
      <c r="AH7029">
        <v>51.815245292968001</v>
      </c>
      <c r="AI7029">
        <v>91.225934880242093</v>
      </c>
      <c r="AJ7029">
        <v>85.375972594237396</v>
      </c>
      <c r="AK7029">
        <v>51.996348297656503</v>
      </c>
      <c r="AL7029">
        <v>80.264283987682305</v>
      </c>
      <c r="AM7029">
        <v>82.270412934305199</v>
      </c>
      <c r="AN7029">
        <v>1.00000001841612</v>
      </c>
    </row>
    <row r="7030" spans="1:40" x14ac:dyDescent="0.25">
      <c r="A7030" t="str">
        <f>"20190303162956990"</f>
        <v>20190303162956990</v>
      </c>
      <c r="B7030" t="str">
        <f>"1551601796979111"</f>
        <v>1551601796979111</v>
      </c>
      <c r="C7030" t="s">
        <v>40</v>
      </c>
      <c r="D7030">
        <v>5.7609059999999896</v>
      </c>
      <c r="E7030">
        <v>0.47786980000000001</v>
      </c>
      <c r="F7030" t="s">
        <v>41</v>
      </c>
      <c r="G7030">
        <v>-125.23</v>
      </c>
      <c r="H7030" s="1">
        <v>-3.0794570000000002E-6</v>
      </c>
      <c r="I7030">
        <v>143.56559999999999</v>
      </c>
      <c r="J7030">
        <v>-171.16489999999999</v>
      </c>
      <c r="K7030">
        <v>1.1135029999999999</v>
      </c>
      <c r="L7030">
        <v>137.0102</v>
      </c>
      <c r="M7030">
        <v>0.9777787</v>
      </c>
      <c r="N7030">
        <v>-1.345651E-2</v>
      </c>
      <c r="O7030">
        <v>0.20920720000000001</v>
      </c>
      <c r="P7030">
        <v>0.98378880000000002</v>
      </c>
      <c r="Q7030">
        <v>0.15634419999999999</v>
      </c>
      <c r="R7030">
        <v>8.7841649999999993E-2</v>
      </c>
      <c r="S7030">
        <v>3.023987</v>
      </c>
      <c r="T7030">
        <v>-7.2744729999999994E-2</v>
      </c>
      <c r="U7030">
        <v>0.4327087</v>
      </c>
      <c r="V7030">
        <v>0.12297719999999999</v>
      </c>
      <c r="W7030">
        <v>0.16733029999999999</v>
      </c>
      <c r="X7030">
        <v>0.97820099999999999</v>
      </c>
      <c r="Y7030">
        <v>6.8561289999999997E-2</v>
      </c>
      <c r="Z7030">
        <v>-3.4168879999999999E-3</v>
      </c>
      <c r="AA7030">
        <v>0.997641</v>
      </c>
      <c r="AB7030">
        <v>31</v>
      </c>
      <c r="AC7030">
        <v>45.934899999999899</v>
      </c>
      <c r="AD7030">
        <v>-1.113506079457</v>
      </c>
      <c r="AE7030">
        <v>6.5553999999999899</v>
      </c>
      <c r="AF7030">
        <v>3.1986291597735401</v>
      </c>
      <c r="AG7030">
        <v>-1.113506079457</v>
      </c>
      <c r="AH7030">
        <v>46.263154103421698</v>
      </c>
      <c r="AI7030">
        <v>91.375501223068198</v>
      </c>
      <c r="AJ7030">
        <v>86.044870639330597</v>
      </c>
      <c r="AK7030">
        <v>46.386965323113003</v>
      </c>
      <c r="AL7030">
        <v>80.367366906175306</v>
      </c>
      <c r="AM7030">
        <v>82.834497525132903</v>
      </c>
      <c r="AN7030">
        <v>1.00000000870946</v>
      </c>
    </row>
    <row r="7031" spans="1:40" x14ac:dyDescent="0.25">
      <c r="A7031" t="str">
        <f>"20190303162957007"</f>
        <v>20190303162957007</v>
      </c>
      <c r="B7031" t="str">
        <f>"1551601796999607"</f>
        <v>1551601796999607</v>
      </c>
      <c r="C7031" t="s">
        <v>40</v>
      </c>
      <c r="D7031">
        <v>5.7609690000000002</v>
      </c>
      <c r="E7031">
        <v>0.4785567</v>
      </c>
      <c r="F7031" t="s">
        <v>41</v>
      </c>
      <c r="G7031">
        <v>-128.875</v>
      </c>
      <c r="H7031" s="1">
        <v>-1.4030789999999901E-6</v>
      </c>
      <c r="I7031">
        <v>143.1421</v>
      </c>
      <c r="J7031">
        <v>-170.92089999999999</v>
      </c>
      <c r="K7031">
        <v>1.1142719999999999</v>
      </c>
      <c r="L7031">
        <v>137.05799999999999</v>
      </c>
      <c r="M7031">
        <v>0.97874930000000004</v>
      </c>
      <c r="N7031">
        <v>-1.335448E-2</v>
      </c>
      <c r="O7031">
        <v>0.204625</v>
      </c>
      <c r="P7031">
        <v>0.9838131</v>
      </c>
      <c r="Q7031">
        <v>0.15632760000000001</v>
      </c>
      <c r="R7031">
        <v>8.7598709999999996E-2</v>
      </c>
      <c r="S7031">
        <v>3.0229490000000001</v>
      </c>
      <c r="T7031">
        <v>-7.9594970000000001E-2</v>
      </c>
      <c r="U7031">
        <v>0.43832399999999999</v>
      </c>
      <c r="V7031">
        <v>0.1183203</v>
      </c>
      <c r="W7031">
        <v>0.1675151</v>
      </c>
      <c r="X7031">
        <v>0.97874360000000005</v>
      </c>
      <c r="Y7031">
        <v>6.2016559999999998E-2</v>
      </c>
      <c r="Z7031">
        <v>-3.7959669999999999E-3</v>
      </c>
      <c r="AA7031">
        <v>0.99806790000000001</v>
      </c>
      <c r="AB7031">
        <v>31</v>
      </c>
      <c r="AC7031">
        <v>42.045899999999897</v>
      </c>
      <c r="AD7031">
        <v>-1.114273403079</v>
      </c>
      <c r="AE7031">
        <v>6.0841000000000003</v>
      </c>
      <c r="AF7031">
        <v>2.64724891158074</v>
      </c>
      <c r="AG7031">
        <v>-1.114273403079</v>
      </c>
      <c r="AH7031">
        <v>42.371988416946301</v>
      </c>
      <c r="AI7031">
        <v>91.503453212656297</v>
      </c>
      <c r="AJ7031">
        <v>86.425013065295005</v>
      </c>
      <c r="AK7031">
        <v>42.469223379083701</v>
      </c>
      <c r="AL7031">
        <v>80.356627149084503</v>
      </c>
      <c r="AM7031">
        <v>83.106963323798297</v>
      </c>
      <c r="AN7031">
        <v>1.00000001833052</v>
      </c>
    </row>
    <row r="7032" spans="1:40" x14ac:dyDescent="0.25">
      <c r="A7032" t="str">
        <f>"20190303162957024"</f>
        <v>20190303162957024</v>
      </c>
      <c r="B7032" t="str">
        <f>"1551601797009367"</f>
        <v>1551601797009367</v>
      </c>
      <c r="C7032" t="s">
        <v>40</v>
      </c>
      <c r="D7032">
        <v>5.7044489999999897</v>
      </c>
      <c r="E7032">
        <v>0.47886570000000001</v>
      </c>
      <c r="F7032" t="s">
        <v>41</v>
      </c>
      <c r="G7032">
        <v>-129.42019999999999</v>
      </c>
      <c r="H7032" s="1">
        <v>-1.1325970000000001E-6</v>
      </c>
      <c r="I7032">
        <v>143.00460000000001</v>
      </c>
      <c r="J7032">
        <v>-170.6977</v>
      </c>
      <c r="K7032">
        <v>1.1149420000000001</v>
      </c>
      <c r="L7032">
        <v>137.10120000000001</v>
      </c>
      <c r="M7032">
        <v>0.97950530000000002</v>
      </c>
      <c r="N7032">
        <v>-1.326629E-2</v>
      </c>
      <c r="O7032">
        <v>0.20098150000000001</v>
      </c>
      <c r="P7032">
        <v>0.98307069999999996</v>
      </c>
      <c r="Q7032">
        <v>0.1576958</v>
      </c>
      <c r="R7032">
        <v>9.329701E-2</v>
      </c>
      <c r="S7032">
        <v>3.023666</v>
      </c>
      <c r="T7032">
        <v>-8.1183909999999998E-2</v>
      </c>
      <c r="U7032">
        <v>0.43325809999999998</v>
      </c>
      <c r="V7032">
        <v>0.1086968</v>
      </c>
      <c r="W7032">
        <v>0.16912959999999999</v>
      </c>
      <c r="X7032">
        <v>0.9795817</v>
      </c>
      <c r="Y7032">
        <v>5.997268E-2</v>
      </c>
      <c r="Z7032">
        <v>-3.84601E-3</v>
      </c>
      <c r="AA7032">
        <v>0.99819259999999999</v>
      </c>
      <c r="AB7032">
        <v>31</v>
      </c>
      <c r="AC7032">
        <v>41.277500000000003</v>
      </c>
      <c r="AD7032">
        <v>-1.1149431325970001</v>
      </c>
      <c r="AE7032">
        <v>5.9034000000000004</v>
      </c>
      <c r="AF7032">
        <v>2.51202724448861</v>
      </c>
      <c r="AG7032">
        <v>-1.1149431325970001</v>
      </c>
      <c r="AH7032">
        <v>41.591926191672101</v>
      </c>
      <c r="AI7032">
        <v>91.532752488770299</v>
      </c>
      <c r="AJ7032">
        <v>86.5437057871506</v>
      </c>
      <c r="AK7032">
        <v>41.682630715916702</v>
      </c>
      <c r="AL7032">
        <v>80.262784576148903</v>
      </c>
      <c r="AM7032">
        <v>83.668221328572997</v>
      </c>
      <c r="AN7032">
        <v>1.0000000614506399</v>
      </c>
    </row>
    <row r="7033" spans="1:40" x14ac:dyDescent="0.25">
      <c r="A7033" t="str">
        <f>"20190303162957040"</f>
        <v>20190303162957040</v>
      </c>
      <c r="B7033" t="str">
        <f>"1551601797028887"</f>
        <v>1551601797028887</v>
      </c>
      <c r="C7033" t="s">
        <v>40</v>
      </c>
      <c r="D7033">
        <v>5.7648349999999997</v>
      </c>
      <c r="E7033">
        <v>0.47941289999999998</v>
      </c>
      <c r="F7033" t="s">
        <v>41</v>
      </c>
      <c r="G7033">
        <v>-126.90600000000001</v>
      </c>
      <c r="H7033" s="1">
        <v>-2.373584E-6</v>
      </c>
      <c r="I7033">
        <v>143.61490000000001</v>
      </c>
      <c r="J7033">
        <v>-170.4599</v>
      </c>
      <c r="K7033">
        <v>1.1156029999999999</v>
      </c>
      <c r="L7033">
        <v>137.14660000000001</v>
      </c>
      <c r="M7033">
        <v>0.98015469999999905</v>
      </c>
      <c r="N7033">
        <v>-1.3175310000000001E-2</v>
      </c>
      <c r="O7033">
        <v>0.197796</v>
      </c>
      <c r="P7033">
        <v>0.98269050000000002</v>
      </c>
      <c r="Q7033">
        <v>0.1593897</v>
      </c>
      <c r="R7033">
        <v>9.4417479999999998E-2</v>
      </c>
      <c r="S7033">
        <v>3.0213169999999998</v>
      </c>
      <c r="T7033">
        <v>-7.6923249999999999E-2</v>
      </c>
      <c r="U7033">
        <v>0.44940190000000002</v>
      </c>
      <c r="V7033">
        <v>0.1040908</v>
      </c>
      <c r="W7033">
        <v>0.17096129999999901</v>
      </c>
      <c r="X7033">
        <v>0.97976390000000002</v>
      </c>
      <c r="Y7033">
        <v>5.1404140000000001E-2</v>
      </c>
      <c r="Z7033">
        <v>-3.341419E-3</v>
      </c>
      <c r="AA7033">
        <v>0.99867240000000002</v>
      </c>
      <c r="AB7033">
        <v>31</v>
      </c>
      <c r="AC7033">
        <v>43.553899999999999</v>
      </c>
      <c r="AD7033">
        <v>-1.1156053735839999</v>
      </c>
      <c r="AE7033">
        <v>6.4682999999999904</v>
      </c>
      <c r="AF7033">
        <v>2.27359043302758</v>
      </c>
      <c r="AG7033">
        <v>-1.1156053735839999</v>
      </c>
      <c r="AH7033">
        <v>43.944568955797202</v>
      </c>
      <c r="AI7033">
        <v>91.452293912570696</v>
      </c>
      <c r="AJ7033">
        <v>87.038289530499895</v>
      </c>
      <c r="AK7033">
        <v>44.017484361530002</v>
      </c>
      <c r="AL7033">
        <v>80.156284041114901</v>
      </c>
      <c r="AM7033">
        <v>83.935604606237106</v>
      </c>
      <c r="AN7033">
        <v>0.99999998024276904</v>
      </c>
    </row>
    <row r="7034" spans="1:40" x14ac:dyDescent="0.25">
      <c r="A7034" t="str">
        <f>"20190303162957056"</f>
        <v>20190303162957056</v>
      </c>
      <c r="B7034" t="str">
        <f>"1551601797048913"</f>
        <v>1551601797048913</v>
      </c>
      <c r="C7034" t="s">
        <v>40</v>
      </c>
      <c r="D7034">
        <v>5.7593779999999999</v>
      </c>
      <c r="E7034">
        <v>0.48013040000000001</v>
      </c>
      <c r="F7034" t="s">
        <v>41</v>
      </c>
      <c r="G7034">
        <v>-123.8978</v>
      </c>
      <c r="H7034" s="1">
        <v>-3.738267E-6</v>
      </c>
      <c r="I7034">
        <v>144.0625</v>
      </c>
      <c r="J7034">
        <v>-170.2363</v>
      </c>
      <c r="K7034">
        <v>1.1161939999999999</v>
      </c>
      <c r="L7034">
        <v>137.18899999999999</v>
      </c>
      <c r="M7034">
        <v>0.98065979999999997</v>
      </c>
      <c r="N7034">
        <v>-1.309395E-2</v>
      </c>
      <c r="O7034">
        <v>0.19528180000000001</v>
      </c>
      <c r="P7034">
        <v>0.98177829999999999</v>
      </c>
      <c r="Q7034">
        <v>0.1615172</v>
      </c>
      <c r="R7034">
        <v>0.1001177</v>
      </c>
      <c r="S7034">
        <v>3.0214690000000002</v>
      </c>
      <c r="T7034">
        <v>-7.2392940000000003E-2</v>
      </c>
      <c r="U7034">
        <v>0.44877620000000001</v>
      </c>
      <c r="V7034">
        <v>9.5594470000000001E-2</v>
      </c>
      <c r="W7034">
        <v>0.17325489999999999</v>
      </c>
      <c r="X7034">
        <v>0.98022670000000001</v>
      </c>
      <c r="Y7034">
        <v>4.9059030000000003E-2</v>
      </c>
      <c r="Z7034">
        <v>-2.956148E-3</v>
      </c>
      <c r="AA7034">
        <v>0.99879150000000005</v>
      </c>
      <c r="AB7034">
        <v>31</v>
      </c>
      <c r="AC7034">
        <v>46.338500000000003</v>
      </c>
      <c r="AD7034">
        <v>-1.1161977382670001</v>
      </c>
      <c r="AE7034">
        <v>6.8734999999999999</v>
      </c>
      <c r="AF7034">
        <v>2.3073884020684301</v>
      </c>
      <c r="AG7034">
        <v>-1.1161977382670001</v>
      </c>
      <c r="AH7034">
        <v>46.762034482014499</v>
      </c>
      <c r="AI7034">
        <v>91.365714921814899</v>
      </c>
      <c r="AJ7034">
        <v>87.175134042896204</v>
      </c>
      <c r="AK7034">
        <v>46.832230435096903</v>
      </c>
      <c r="AL7034">
        <v>80.022879685934001</v>
      </c>
      <c r="AM7034">
        <v>84.429967864620394</v>
      </c>
      <c r="AN7034">
        <v>0.99999997323073997</v>
      </c>
    </row>
    <row r="7035" spans="1:40" x14ac:dyDescent="0.25">
      <c r="A7035" t="str">
        <f>"20190303162957078"</f>
        <v>20190303162957078</v>
      </c>
      <c r="B7035" t="str">
        <f>"1551601797069409"</f>
        <v>1551601797069409</v>
      </c>
      <c r="C7035" t="s">
        <v>40</v>
      </c>
      <c r="D7035">
        <v>5.7039589999999896</v>
      </c>
      <c r="E7035">
        <v>0.48076239999999998</v>
      </c>
      <c r="F7035" t="s">
        <v>41</v>
      </c>
      <c r="G7035">
        <v>-121.2188</v>
      </c>
      <c r="H7035" s="1">
        <v>-4.7552139999999998E-6</v>
      </c>
      <c r="I7035">
        <v>144.6559</v>
      </c>
      <c r="J7035">
        <v>-169.94040000000001</v>
      </c>
      <c r="K7035">
        <v>1.11693</v>
      </c>
      <c r="L7035">
        <v>137.24459999999999</v>
      </c>
      <c r="M7035">
        <v>0.98120750000000001</v>
      </c>
      <c r="N7035">
        <v>-1.299351E-2</v>
      </c>
      <c r="O7035">
        <v>0.1925173</v>
      </c>
      <c r="P7035">
        <v>0.98106159999999998</v>
      </c>
      <c r="Q7035">
        <v>0.16294810000000001</v>
      </c>
      <c r="R7035">
        <v>0.1047188</v>
      </c>
      <c r="S7035">
        <v>3.0200960000000001</v>
      </c>
      <c r="T7035">
        <v>-6.8771840000000001E-2</v>
      </c>
      <c r="U7035">
        <v>0.46005249999999998</v>
      </c>
      <c r="V7035">
        <v>8.7888289999999994E-2</v>
      </c>
      <c r="W7035">
        <v>0.17483170000000001</v>
      </c>
      <c r="X7035">
        <v>0.98066790000000004</v>
      </c>
      <c r="Y7035">
        <v>4.2536780000000003E-2</v>
      </c>
      <c r="Z7035">
        <v>-2.5732429999999998E-3</v>
      </c>
      <c r="AA7035">
        <v>0.99909159999999997</v>
      </c>
      <c r="AB7035">
        <v>31</v>
      </c>
      <c r="AC7035">
        <v>48.721600000000002</v>
      </c>
      <c r="AD7035">
        <v>-1.1169347552140001</v>
      </c>
      <c r="AE7035">
        <v>7.4113000000000104</v>
      </c>
      <c r="AF7035">
        <v>2.1068235956433501</v>
      </c>
      <c r="AG7035">
        <v>-1.1169347552140001</v>
      </c>
      <c r="AH7035">
        <v>49.211683604859203</v>
      </c>
      <c r="AI7035">
        <v>91.299003037136998</v>
      </c>
      <c r="AJ7035">
        <v>87.548581464790502</v>
      </c>
      <c r="AK7035">
        <v>49.269423095215302</v>
      </c>
      <c r="AL7035">
        <v>79.931135785293193</v>
      </c>
      <c r="AM7035">
        <v>84.878785361642798</v>
      </c>
      <c r="AN7035">
        <v>1.00000000246721</v>
      </c>
    </row>
    <row r="7036" spans="1:40" x14ac:dyDescent="0.25">
      <c r="A7036" t="str">
        <f>"20190303162957096"</f>
        <v>20190303162957096</v>
      </c>
      <c r="B7036" t="str">
        <f>"1551601797088929"</f>
        <v>1551601797088929</v>
      </c>
      <c r="C7036" t="s">
        <v>40</v>
      </c>
      <c r="D7036">
        <v>5.7450939999999999</v>
      </c>
      <c r="E7036">
        <v>0.48120059999999898</v>
      </c>
      <c r="F7036" t="s">
        <v>41</v>
      </c>
      <c r="G7036">
        <v>-118.5561</v>
      </c>
      <c r="H7036" s="1">
        <v>-2.095942E-6</v>
      </c>
      <c r="I7036">
        <v>145.232</v>
      </c>
      <c r="J7036">
        <v>-169.68979999999999</v>
      </c>
      <c r="K7036">
        <v>1.1175040000000001</v>
      </c>
      <c r="L7036">
        <v>137.29140000000001</v>
      </c>
      <c r="M7036">
        <v>0.98157499999999998</v>
      </c>
      <c r="N7036">
        <v>-1.291585E-2</v>
      </c>
      <c r="O7036">
        <v>0.19064030000000001</v>
      </c>
      <c r="P7036">
        <v>0.98090820000000001</v>
      </c>
      <c r="Q7036">
        <v>0.16310069999999999</v>
      </c>
      <c r="R7036">
        <v>0.1059119</v>
      </c>
      <c r="S7036">
        <v>3.0186920000000002</v>
      </c>
      <c r="T7036">
        <v>-6.5616850000000004E-2</v>
      </c>
      <c r="U7036">
        <v>0.4692383</v>
      </c>
      <c r="V7036">
        <v>8.4573739999999994E-2</v>
      </c>
      <c r="W7036">
        <v>0.17505519999999999</v>
      </c>
      <c r="X7036">
        <v>0.98091950000000006</v>
      </c>
      <c r="Y7036">
        <v>3.7590989999999998E-2</v>
      </c>
      <c r="Z7036">
        <v>-2.2668359999999999E-3</v>
      </c>
      <c r="AA7036">
        <v>0.99929060000000003</v>
      </c>
      <c r="AB7036">
        <v>31</v>
      </c>
      <c r="AC7036">
        <v>51.133699999999898</v>
      </c>
      <c r="AD7036">
        <v>-1.117506095942</v>
      </c>
      <c r="AE7036">
        <v>7.9405999999999803</v>
      </c>
      <c r="AF7036">
        <v>1.9531015496655499</v>
      </c>
      <c r="AG7036">
        <v>-1.117506095942</v>
      </c>
      <c r="AH7036">
        <v>51.685567664601002</v>
      </c>
      <c r="AI7036">
        <v>91.237729738479899</v>
      </c>
      <c r="AJ7036">
        <v>87.835928635969907</v>
      </c>
      <c r="AK7036">
        <v>51.734527448792001</v>
      </c>
      <c r="AL7036">
        <v>79.918130118437801</v>
      </c>
      <c r="AM7036">
        <v>85.072210874409606</v>
      </c>
      <c r="AN7036">
        <v>1.00000005301243</v>
      </c>
    </row>
    <row r="7037" spans="1:40" x14ac:dyDescent="0.25">
      <c r="A7037" t="str">
        <f>"20190303162957112"</f>
        <v>20190303162957112</v>
      </c>
      <c r="B7037" t="str">
        <f>"1551601797098689"</f>
        <v>1551601797098689</v>
      </c>
      <c r="C7037" t="s">
        <v>40</v>
      </c>
      <c r="D7037">
        <v>5.8053419999999996</v>
      </c>
      <c r="E7037">
        <v>0.481489</v>
      </c>
      <c r="F7037" t="s">
        <v>41</v>
      </c>
      <c r="G7037">
        <v>-117.6099</v>
      </c>
      <c r="H7037" s="1">
        <v>-2.5456490000000001E-6</v>
      </c>
      <c r="I7037">
        <v>145.39660000000001</v>
      </c>
      <c r="J7037">
        <v>-169.47120000000001</v>
      </c>
      <c r="K7037">
        <v>1.1179749999999999</v>
      </c>
      <c r="L7037">
        <v>137.3322</v>
      </c>
      <c r="M7037">
        <v>0.9818422</v>
      </c>
      <c r="N7037">
        <v>-1.28532E-2</v>
      </c>
      <c r="O7037">
        <v>0.1892643</v>
      </c>
      <c r="P7037">
        <v>0.97998629999999998</v>
      </c>
      <c r="Q7037">
        <v>0.16319510000000001</v>
      </c>
      <c r="R7037">
        <v>0.1139935</v>
      </c>
      <c r="S7037">
        <v>3.0184329999999999</v>
      </c>
      <c r="T7037">
        <v>-6.4768080000000006E-2</v>
      </c>
      <c r="U7037">
        <v>0.46975709999999998</v>
      </c>
      <c r="V7037">
        <v>7.4898619999999999E-2</v>
      </c>
      <c r="W7037">
        <v>0.17526079999999999</v>
      </c>
      <c r="X7037">
        <v>0.98166889999999996</v>
      </c>
      <c r="Y7037">
        <v>3.6010649999999998E-2</v>
      </c>
      <c r="Z7037">
        <v>-2.1820350000000001E-3</v>
      </c>
      <c r="AA7037">
        <v>0.99934900000000004</v>
      </c>
      <c r="AB7037">
        <v>31</v>
      </c>
      <c r="AC7037">
        <v>51.8613</v>
      </c>
      <c r="AD7037">
        <v>-1.117977545649</v>
      </c>
      <c r="AE7037">
        <v>8.0643999999999991</v>
      </c>
      <c r="AF7037">
        <v>1.8968202369701099</v>
      </c>
      <c r="AG7037">
        <v>-1.117977545649</v>
      </c>
      <c r="AH7037">
        <v>52.4264533490703</v>
      </c>
      <c r="AI7037">
        <v>91.220830681943994</v>
      </c>
      <c r="AJ7037">
        <v>87.927908480434496</v>
      </c>
      <c r="AK7037">
        <v>52.472667280844398</v>
      </c>
      <c r="AL7037">
        <v>79.906164492094703</v>
      </c>
      <c r="AM7037">
        <v>85.636943677231201</v>
      </c>
      <c r="AN7037">
        <v>0.99999999026087705</v>
      </c>
    </row>
    <row r="7038" spans="1:40" x14ac:dyDescent="0.25">
      <c r="A7038" t="str">
        <f>"20190303162957147"</f>
        <v>20190303162957147</v>
      </c>
      <c r="B7038" t="str">
        <f>"1551601797138705"</f>
        <v>1551601797138705</v>
      </c>
      <c r="C7038" t="s">
        <v>40</v>
      </c>
      <c r="D7038">
        <v>5.8034129999999999</v>
      </c>
      <c r="E7038">
        <v>0.48229519999999998</v>
      </c>
      <c r="F7038" t="s">
        <v>41</v>
      </c>
      <c r="G7038">
        <v>-117.5185</v>
      </c>
      <c r="H7038" s="1">
        <v>-2.693213E-6</v>
      </c>
      <c r="I7038">
        <v>145.8039</v>
      </c>
      <c r="J7038">
        <v>-168.9888</v>
      </c>
      <c r="K7038">
        <v>1.118833</v>
      </c>
      <c r="L7038">
        <v>137.42169999999999</v>
      </c>
      <c r="M7038">
        <v>0.98230110000000004</v>
      </c>
      <c r="N7038">
        <v>-1.2729880000000001E-2</v>
      </c>
      <c r="O7038">
        <v>0.1868755</v>
      </c>
      <c r="P7038">
        <v>0.97849390000000003</v>
      </c>
      <c r="Q7038">
        <v>0.1654572</v>
      </c>
      <c r="R7038">
        <v>0.12318079999999999</v>
      </c>
      <c r="S7038">
        <v>3.0148769999999998</v>
      </c>
      <c r="T7038">
        <v>-6.4877630000000006E-2</v>
      </c>
      <c r="U7038">
        <v>0.49162289999999997</v>
      </c>
      <c r="V7038">
        <v>6.2866270000000002E-2</v>
      </c>
      <c r="W7038">
        <v>0.17762069999999999</v>
      </c>
      <c r="X7038">
        <v>0.98208890000000004</v>
      </c>
      <c r="Y7038">
        <v>2.633404E-2</v>
      </c>
      <c r="Z7038">
        <v>-2.0291020000000001E-3</v>
      </c>
      <c r="AA7038">
        <v>0.99965110000000001</v>
      </c>
      <c r="AB7038">
        <v>31</v>
      </c>
      <c r="AC7038">
        <v>51.470300000000002</v>
      </c>
      <c r="AD7038">
        <v>-1.1188356932129999</v>
      </c>
      <c r="AE7038">
        <v>8.3822000000000099</v>
      </c>
      <c r="AF7038">
        <v>1.38416886011934</v>
      </c>
      <c r="AG7038">
        <v>-1.1188356932129999</v>
      </c>
      <c r="AH7038">
        <v>52.106000388256902</v>
      </c>
      <c r="AI7038">
        <v>91.229649510970106</v>
      </c>
      <c r="AJ7038">
        <v>88.478325217566706</v>
      </c>
      <c r="AK7038">
        <v>52.136388378969698</v>
      </c>
      <c r="AL7038">
        <v>79.768796547069599</v>
      </c>
      <c r="AM7038">
        <v>86.337333469400903</v>
      </c>
      <c r="AN7038">
        <v>0.999999944237705</v>
      </c>
    </row>
    <row r="7039" spans="1:40" x14ac:dyDescent="0.25">
      <c r="A7039" t="str">
        <f>"20190303162957167"</f>
        <v>20190303162957167</v>
      </c>
      <c r="B7039" t="str">
        <f>"1551601797158733"</f>
        <v>1551601797158733</v>
      </c>
      <c r="C7039" t="s">
        <v>40</v>
      </c>
      <c r="D7039">
        <v>5.8058670000000001</v>
      </c>
      <c r="E7039">
        <v>0.48269570000000001</v>
      </c>
      <c r="F7039" t="s">
        <v>41</v>
      </c>
      <c r="G7039">
        <v>-114.125</v>
      </c>
      <c r="H7039" s="1">
        <v>-4.1382529999999996E-6</v>
      </c>
      <c r="I7039">
        <v>146.7533</v>
      </c>
      <c r="J7039">
        <v>-168.7021</v>
      </c>
      <c r="K7039">
        <v>1.119213</v>
      </c>
      <c r="L7039">
        <v>137.47460000000001</v>
      </c>
      <c r="M7039">
        <v>0.98251160000000004</v>
      </c>
      <c r="N7039">
        <v>-1.266599E-2</v>
      </c>
      <c r="O7039">
        <v>0.18577099999999999</v>
      </c>
      <c r="P7039">
        <v>0.97781940000000001</v>
      </c>
      <c r="Q7039">
        <v>0.16668039999999901</v>
      </c>
      <c r="R7039">
        <v>0.1268357</v>
      </c>
      <c r="S7039">
        <v>3.0118100000000001</v>
      </c>
      <c r="T7039">
        <v>-6.1419729999999999E-2</v>
      </c>
      <c r="U7039">
        <v>0.5122681</v>
      </c>
      <c r="V7039">
        <v>5.7890369999999997E-2</v>
      </c>
      <c r="W7039">
        <v>0.178861299999999</v>
      </c>
      <c r="X7039">
        <v>0.98216970000000003</v>
      </c>
      <c r="Y7039">
        <v>1.8385370000000002E-2</v>
      </c>
      <c r="Z7039">
        <v>-1.6774540000000001E-3</v>
      </c>
      <c r="AA7039">
        <v>0.99982959999999999</v>
      </c>
      <c r="AB7039">
        <v>31</v>
      </c>
      <c r="AC7039">
        <v>54.577100000000002</v>
      </c>
      <c r="AD7039">
        <v>-1.1192171382529901</v>
      </c>
      <c r="AE7039">
        <v>9.2786999999999793</v>
      </c>
      <c r="AF7039">
        <v>1.02207616083773</v>
      </c>
      <c r="AG7039">
        <v>-1.1192171382529901</v>
      </c>
      <c r="AH7039">
        <v>55.328163891012402</v>
      </c>
      <c r="AI7039">
        <v>91.158663776882406</v>
      </c>
      <c r="AJ7039">
        <v>88.941696483163597</v>
      </c>
      <c r="AK7039">
        <v>55.348920551640703</v>
      </c>
      <c r="AL7039">
        <v>79.696559110544896</v>
      </c>
      <c r="AM7039">
        <v>86.626814250455894</v>
      </c>
      <c r="AN7039">
        <v>0.999999989587258</v>
      </c>
    </row>
    <row r="7040" spans="1:40" x14ac:dyDescent="0.25">
      <c r="A7040" t="str">
        <f>"20190303162957189"</f>
        <v>20190303162957189</v>
      </c>
      <c r="B7040" t="str">
        <f>"1551601797179229"</f>
        <v>1551601797179229</v>
      </c>
      <c r="C7040" t="s">
        <v>40</v>
      </c>
      <c r="D7040">
        <v>5.751455</v>
      </c>
      <c r="E7040">
        <v>0.48302010000000001</v>
      </c>
      <c r="F7040" t="s">
        <v>41</v>
      </c>
      <c r="G7040">
        <v>-111.8488</v>
      </c>
      <c r="H7040" s="1">
        <v>-5.0097889999999998E-6</v>
      </c>
      <c r="I7040">
        <v>147.2998</v>
      </c>
      <c r="J7040">
        <v>-168.3965</v>
      </c>
      <c r="K7040">
        <v>1.119513</v>
      </c>
      <c r="L7040">
        <v>137.5309</v>
      </c>
      <c r="M7040">
        <v>0.9827072</v>
      </c>
      <c r="N7040">
        <v>-1.260503E-2</v>
      </c>
      <c r="O7040">
        <v>0.1847367</v>
      </c>
      <c r="P7040">
        <v>0.97782290000000005</v>
      </c>
      <c r="Q7040">
        <v>0.16436870000000001</v>
      </c>
      <c r="R7040">
        <v>0.1297894</v>
      </c>
      <c r="S7040">
        <v>3.0106660000000001</v>
      </c>
      <c r="T7040">
        <v>-5.9268120000000001E-2</v>
      </c>
      <c r="U7040">
        <v>0.52029420000000004</v>
      </c>
      <c r="V7040">
        <v>5.3813319999999998E-2</v>
      </c>
      <c r="W7040">
        <v>0.17655489999999999</v>
      </c>
      <c r="X7040">
        <v>0.98281870000000005</v>
      </c>
      <c r="Y7040">
        <v>1.46829E-2</v>
      </c>
      <c r="Z7040">
        <v>-1.4855739999999999E-3</v>
      </c>
      <c r="AA7040">
        <v>0.99989110000000003</v>
      </c>
      <c r="AB7040">
        <v>31</v>
      </c>
      <c r="AC7040">
        <v>56.547699999999999</v>
      </c>
      <c r="AD7040">
        <v>-1.1195180097890001</v>
      </c>
      <c r="AE7040">
        <v>9.7689000000000004</v>
      </c>
      <c r="AF7040">
        <v>0.84621232646377198</v>
      </c>
      <c r="AG7040">
        <v>-1.1195180097890001</v>
      </c>
      <c r="AH7040">
        <v>57.357235780144102</v>
      </c>
      <c r="AI7040">
        <v>91.118054862908096</v>
      </c>
      <c r="AJ7040">
        <v>89.154755682621897</v>
      </c>
      <c r="AK7040">
        <v>57.3744010183526</v>
      </c>
      <c r="AL7040">
        <v>79.830844140229999</v>
      </c>
      <c r="AM7040">
        <v>86.865952571200197</v>
      </c>
      <c r="AN7040">
        <v>1.0000000515965599</v>
      </c>
    </row>
    <row r="7041" spans="1:40" x14ac:dyDescent="0.25">
      <c r="A7041" t="str">
        <f>"20190303162957213"</f>
        <v>20190303162957213</v>
      </c>
      <c r="B7041" t="str">
        <f>"1551601797198749"</f>
        <v>1551601797198749</v>
      </c>
      <c r="C7041" t="s">
        <v>40</v>
      </c>
      <c r="D7041">
        <v>5.8023439999999997</v>
      </c>
      <c r="E7041">
        <v>0.48998900000000001</v>
      </c>
      <c r="F7041" t="s">
        <v>41</v>
      </c>
      <c r="G7041">
        <v>-118.623</v>
      </c>
      <c r="H7041" s="1">
        <v>-2.3394750000000002E-6</v>
      </c>
      <c r="I7041">
        <v>146.2551</v>
      </c>
      <c r="J7041">
        <v>-168.0795</v>
      </c>
      <c r="K7041">
        <v>1.1197170000000001</v>
      </c>
      <c r="L7041">
        <v>137.5891</v>
      </c>
      <c r="M7041">
        <v>0.98289400000000005</v>
      </c>
      <c r="N7041">
        <v>-1.254927E-2</v>
      </c>
      <c r="O7041">
        <v>0.1837444</v>
      </c>
      <c r="P7041">
        <v>0.97828059999999994</v>
      </c>
      <c r="Q7041">
        <v>0.16098560000000001</v>
      </c>
      <c r="R7041">
        <v>0.1305789</v>
      </c>
      <c r="S7041">
        <v>3.0094150000000002</v>
      </c>
      <c r="T7041">
        <v>-6.7688230000000002E-2</v>
      </c>
      <c r="U7041">
        <v>0.52748109999999904</v>
      </c>
      <c r="V7041">
        <v>5.2018759999999997E-2</v>
      </c>
      <c r="W7041">
        <v>0.17316099999999901</v>
      </c>
      <c r="X7041">
        <v>0.98351880000000003</v>
      </c>
      <c r="Y7041">
        <v>1.1281859999999999E-2</v>
      </c>
      <c r="Z7041">
        <v>-1.956855E-3</v>
      </c>
      <c r="AA7041">
        <v>0.9999344</v>
      </c>
      <c r="AB7041">
        <v>31</v>
      </c>
      <c r="AC7041">
        <v>49.456499999999998</v>
      </c>
      <c r="AD7041">
        <v>-1.119719339475</v>
      </c>
      <c r="AE7041">
        <v>8.6659999999999897</v>
      </c>
      <c r="AF7041">
        <v>0.56935718750929698</v>
      </c>
      <c r="AG7041">
        <v>-1.119719339475</v>
      </c>
      <c r="AH7041">
        <v>50.181820485009801</v>
      </c>
      <c r="AI7041">
        <v>91.278160514437104</v>
      </c>
      <c r="AJ7041">
        <v>89.349956540391204</v>
      </c>
      <c r="AK7041">
        <v>50.197540240492998</v>
      </c>
      <c r="AL7041">
        <v>80.028342158884797</v>
      </c>
      <c r="AM7041">
        <v>86.972420981681097</v>
      </c>
      <c r="AN7041">
        <v>0.99999995663318797</v>
      </c>
    </row>
    <row r="7042" spans="1:40" x14ac:dyDescent="0.25">
      <c r="A7042" t="str">
        <f>"20190303162957235"</f>
        <v>20190303162957235</v>
      </c>
      <c r="B7042" t="str">
        <f>"1551601797229005"</f>
        <v>1551601797229005</v>
      </c>
      <c r="C7042" t="s">
        <v>40</v>
      </c>
      <c r="D7042">
        <v>5.7862809999999998</v>
      </c>
      <c r="E7042">
        <v>0.48937730000000002</v>
      </c>
      <c r="F7042" t="s">
        <v>41</v>
      </c>
      <c r="G7042">
        <v>-136.12029999999999</v>
      </c>
      <c r="H7042" s="1">
        <v>-2.4476340000000002E-6</v>
      </c>
      <c r="I7042">
        <v>142.62639999999999</v>
      </c>
      <c r="J7042">
        <v>-167.7602</v>
      </c>
      <c r="K7042">
        <v>1.1198650000000001</v>
      </c>
      <c r="L7042">
        <v>137.64750000000001</v>
      </c>
      <c r="M7042">
        <v>0.98307549999999999</v>
      </c>
      <c r="N7042">
        <v>-1.2500280000000001E-2</v>
      </c>
      <c r="O7042">
        <v>0.18277450000000001</v>
      </c>
      <c r="P7042">
        <v>0.97909789999999997</v>
      </c>
      <c r="Q7042">
        <v>0.1567761</v>
      </c>
      <c r="R7042">
        <v>0.1295731</v>
      </c>
      <c r="S7042">
        <v>3.0204770000000001</v>
      </c>
      <c r="T7042">
        <v>-0.1058249</v>
      </c>
      <c r="U7042">
        <v>0.4760742</v>
      </c>
      <c r="V7042">
        <v>5.2104150000000002E-2</v>
      </c>
      <c r="W7042">
        <v>0.16893129999999901</v>
      </c>
      <c r="X7042">
        <v>0.98424970000000001</v>
      </c>
      <c r="Y7042">
        <v>2.7423280000000001E-2</v>
      </c>
      <c r="Z7042">
        <v>-4.6743619999999996E-3</v>
      </c>
      <c r="AA7042">
        <v>0.99961299999999997</v>
      </c>
      <c r="AB7042">
        <v>31</v>
      </c>
      <c r="AC7042">
        <v>31.639900000000001</v>
      </c>
      <c r="AD7042">
        <v>-1.11986744763399</v>
      </c>
      <c r="AE7042">
        <v>4.9788999999999799</v>
      </c>
      <c r="AF7042">
        <v>0.88731689077627696</v>
      </c>
      <c r="AG7042">
        <v>-1.11986744763399</v>
      </c>
      <c r="AH7042">
        <v>31.977832503097702</v>
      </c>
      <c r="AI7042">
        <v>92.004914203952097</v>
      </c>
      <c r="AJ7042">
        <v>88.410571727057601</v>
      </c>
      <c r="AK7042">
        <v>32.009736112019098</v>
      </c>
      <c r="AL7042">
        <v>80.274312081767405</v>
      </c>
      <c r="AM7042">
        <v>86.969708162762402</v>
      </c>
      <c r="AN7042">
        <v>1.0000000492584999</v>
      </c>
    </row>
    <row r="7043" spans="1:40" x14ac:dyDescent="0.25">
      <c r="A7043" t="str">
        <f>"20190303162957257"</f>
        <v>20190303162957257</v>
      </c>
      <c r="B7043" t="str">
        <f>"1551601797249031"</f>
        <v>1551601797249031</v>
      </c>
      <c r="C7043" t="s">
        <v>40</v>
      </c>
      <c r="D7043">
        <v>5.8530759999999997</v>
      </c>
      <c r="E7043">
        <v>0.48974709999999999</v>
      </c>
      <c r="F7043" t="s">
        <v>41</v>
      </c>
      <c r="G7043">
        <v>-137.69990000000001</v>
      </c>
      <c r="H7043" s="1">
        <v>-1.71130599999999E-6</v>
      </c>
      <c r="I7043">
        <v>142.4058</v>
      </c>
      <c r="J7043">
        <v>-167.46459999999999</v>
      </c>
      <c r="K7043">
        <v>1.1199410000000001</v>
      </c>
      <c r="L7043">
        <v>137.7012</v>
      </c>
      <c r="M7043">
        <v>0.98324639999999996</v>
      </c>
      <c r="N7043">
        <v>-1.2460819999999999E-2</v>
      </c>
      <c r="O7043">
        <v>0.18185519999999999</v>
      </c>
      <c r="P7043">
        <v>0.98008839999999997</v>
      </c>
      <c r="Q7043">
        <v>0.15266540000000001</v>
      </c>
      <c r="R7043">
        <v>0.1269663</v>
      </c>
      <c r="S7043">
        <v>3.0188139999999999</v>
      </c>
      <c r="T7043">
        <v>-0.1124626</v>
      </c>
      <c r="U7043">
        <v>0.47785949999999999</v>
      </c>
      <c r="V7043">
        <v>5.3873810000000001E-2</v>
      </c>
      <c r="W7043">
        <v>0.16479579999999999</v>
      </c>
      <c r="X7043">
        <v>0.98485529999999999</v>
      </c>
      <c r="Y7043">
        <v>2.581696E-2</v>
      </c>
      <c r="Z7043">
        <v>-5.0487919999999999E-3</v>
      </c>
      <c r="AA7043">
        <v>0.99965389999999998</v>
      </c>
      <c r="AB7043">
        <v>31</v>
      </c>
      <c r="AC7043">
        <v>29.764699999999898</v>
      </c>
      <c r="AD7043">
        <v>-1.1199427113060001</v>
      </c>
      <c r="AE7043">
        <v>4.7045999999999903</v>
      </c>
      <c r="AF7043">
        <v>0.78605979975344198</v>
      </c>
      <c r="AG7043">
        <v>-1.1199427113060001</v>
      </c>
      <c r="AH7043">
        <v>30.082376596892601</v>
      </c>
      <c r="AI7043">
        <v>92.131364324718803</v>
      </c>
      <c r="AJ7043">
        <v>88.503187986115904</v>
      </c>
      <c r="AK7043">
        <v>30.113477769973201</v>
      </c>
      <c r="AL7043">
        <v>80.514627739485803</v>
      </c>
      <c r="AM7043">
        <v>86.8689120140386</v>
      </c>
      <c r="AN7043">
        <v>1.0000000025198199</v>
      </c>
    </row>
    <row r="7044" spans="1:40" x14ac:dyDescent="0.25">
      <c r="A7044" t="str">
        <f>"20190303162957280"</f>
        <v>20190303162957280</v>
      </c>
      <c r="B7044" t="str">
        <f>"1551601797269527"</f>
        <v>1551601797269527</v>
      </c>
      <c r="C7044" t="s">
        <v>40</v>
      </c>
      <c r="D7044">
        <v>5.7944620000000002</v>
      </c>
      <c r="E7044">
        <v>0.49013259999999997</v>
      </c>
      <c r="F7044" t="s">
        <v>41</v>
      </c>
      <c r="G7044">
        <v>-140.5522</v>
      </c>
      <c r="H7044" s="1">
        <v>-4.4871790000000001E-6</v>
      </c>
      <c r="I7044">
        <v>141.86600000000001</v>
      </c>
      <c r="J7044">
        <v>-167.1584</v>
      </c>
      <c r="K7044">
        <v>1.119972</v>
      </c>
      <c r="L7044">
        <v>137.75659999999999</v>
      </c>
      <c r="M7044">
        <v>0.98343780000000003</v>
      </c>
      <c r="N7044">
        <v>-1.242555E-2</v>
      </c>
      <c r="O7044">
        <v>0.1808198</v>
      </c>
      <c r="P7044">
        <v>0.98114630000000003</v>
      </c>
      <c r="Q7044">
        <v>0.14810580000000001</v>
      </c>
      <c r="R7044">
        <v>0.1241647</v>
      </c>
      <c r="S7044">
        <v>3.0199889999999998</v>
      </c>
      <c r="T7044">
        <v>-0.12567519999999999</v>
      </c>
      <c r="U7044">
        <v>0.46736149999999999</v>
      </c>
      <c r="V7044">
        <v>5.5751309999999998E-2</v>
      </c>
      <c r="W7044">
        <v>0.1602094</v>
      </c>
      <c r="X7044">
        <v>0.98550740000000003</v>
      </c>
      <c r="Y7044">
        <v>2.8188410000000001E-2</v>
      </c>
      <c r="Z7044">
        <v>-5.9290949999999997E-3</v>
      </c>
      <c r="AA7044">
        <v>0.99958499999999995</v>
      </c>
      <c r="AB7044">
        <v>31</v>
      </c>
      <c r="AC7044">
        <v>26.606200000000001</v>
      </c>
      <c r="AD7044">
        <v>-1.1199764871789999</v>
      </c>
      <c r="AE7044">
        <v>4.1094000000000204</v>
      </c>
      <c r="AF7044">
        <v>0.76831814309749003</v>
      </c>
      <c r="AG7044">
        <v>-1.1199764871789999</v>
      </c>
      <c r="AH7044">
        <v>26.864186884070101</v>
      </c>
      <c r="AI7044">
        <v>92.386322151610401</v>
      </c>
      <c r="AJ7044">
        <v>88.361782161986397</v>
      </c>
      <c r="AK7044">
        <v>26.898498044372101</v>
      </c>
      <c r="AL7044">
        <v>80.780949695202807</v>
      </c>
      <c r="AM7044">
        <v>86.762161595582199</v>
      </c>
      <c r="AN7044">
        <v>1.00000004793491</v>
      </c>
    </row>
    <row r="7045" spans="1:40" x14ac:dyDescent="0.25">
      <c r="A7045" t="str">
        <f>"20190303162957301"</f>
        <v>20190303162957301</v>
      </c>
      <c r="B7045" t="str">
        <f>"1551601797289047"</f>
        <v>1551601797289047</v>
      </c>
      <c r="C7045" t="s">
        <v>40</v>
      </c>
      <c r="D7045">
        <v>5.6703510000000001</v>
      </c>
      <c r="E7045">
        <v>0.49054599999999998</v>
      </c>
      <c r="F7045" t="s">
        <v>41</v>
      </c>
      <c r="G7045">
        <v>-141.54759999999999</v>
      </c>
      <c r="H7045" s="1">
        <v>-4.1058209999999997E-6</v>
      </c>
      <c r="I7045">
        <v>141.62569999999999</v>
      </c>
      <c r="J7045">
        <v>-166.84630000000001</v>
      </c>
      <c r="K7045">
        <v>1.1199410000000001</v>
      </c>
      <c r="L7045">
        <v>137.81270000000001</v>
      </c>
      <c r="M7045">
        <v>0.98365880000000006</v>
      </c>
      <c r="N7045">
        <v>-1.239518E-2</v>
      </c>
      <c r="O7045">
        <v>0.17961559999999999</v>
      </c>
      <c r="P7045">
        <v>0.98239929999999998</v>
      </c>
      <c r="Q7045">
        <v>0.14361270000000001</v>
      </c>
      <c r="R7045">
        <v>0.11944440000000001</v>
      </c>
      <c r="S7045">
        <v>3.0198520000000002</v>
      </c>
      <c r="T7045">
        <v>-0.1320597</v>
      </c>
      <c r="U7045">
        <v>0.45622249999999998</v>
      </c>
      <c r="V7045">
        <v>5.9406779999999999E-2</v>
      </c>
      <c r="W7045">
        <v>0.15567890000000001</v>
      </c>
      <c r="X7045">
        <v>0.98601970000000005</v>
      </c>
      <c r="Y7045">
        <v>3.0543910000000001E-2</v>
      </c>
      <c r="Z7045">
        <v>-6.372979E-3</v>
      </c>
      <c r="AA7045">
        <v>0.99951310000000004</v>
      </c>
      <c r="AB7045">
        <v>31</v>
      </c>
      <c r="AC7045">
        <v>25.2987</v>
      </c>
      <c r="AD7045">
        <v>-1.1199451058209999</v>
      </c>
      <c r="AE7045">
        <v>3.8129999999999802</v>
      </c>
      <c r="AF7045">
        <v>0.79189368182859698</v>
      </c>
      <c r="AG7045">
        <v>-1.1199451058209999</v>
      </c>
      <c r="AH7045">
        <v>25.523219487030399</v>
      </c>
      <c r="AI7045">
        <v>92.511289313327396</v>
      </c>
      <c r="AJ7045">
        <v>88.222888173137406</v>
      </c>
      <c r="AK7045">
        <v>25.560049014555901</v>
      </c>
      <c r="AL7045">
        <v>81.043827364080101</v>
      </c>
      <c r="AM7045">
        <v>86.552149796637195</v>
      </c>
      <c r="AN7045">
        <v>0.99999996710163297</v>
      </c>
    </row>
    <row r="7046" spans="1:40" x14ac:dyDescent="0.25">
      <c r="A7046" t="str">
        <f>"20190303162957347"</f>
        <v>20190303162957347</v>
      </c>
      <c r="B7046" t="str">
        <f>"1551601797338823"</f>
        <v>1551601797338823</v>
      </c>
      <c r="C7046" t="s">
        <v>40</v>
      </c>
      <c r="D7046">
        <v>5.8265710000000004</v>
      </c>
      <c r="E7046">
        <v>0.49087900000000001</v>
      </c>
      <c r="F7046" t="s">
        <v>41</v>
      </c>
      <c r="G7046">
        <v>-142.95140000000001</v>
      </c>
      <c r="H7046" s="1">
        <v>-3.4506550000000001E-6</v>
      </c>
      <c r="I7046">
        <v>141.2868</v>
      </c>
      <c r="J7046">
        <v>-166.21889999999999</v>
      </c>
      <c r="K7046">
        <v>1.119648</v>
      </c>
      <c r="L7046">
        <v>137.92330000000001</v>
      </c>
      <c r="M7046">
        <v>0.98424480000000003</v>
      </c>
      <c r="N7046">
        <v>-1.235322E-2</v>
      </c>
      <c r="O7046">
        <v>0.17637910000000001</v>
      </c>
      <c r="P7046">
        <v>0.98400929999999998</v>
      </c>
      <c r="Q7046">
        <v>0.1421164</v>
      </c>
      <c r="R7046">
        <v>0.10737190000000001</v>
      </c>
      <c r="S7046">
        <v>3.021042</v>
      </c>
      <c r="T7046">
        <v>-0.14159449999999901</v>
      </c>
      <c r="U7046">
        <v>0.4392395</v>
      </c>
      <c r="V7046">
        <v>6.8430290000000005E-2</v>
      </c>
      <c r="W7046">
        <v>0.15406310000000001</v>
      </c>
      <c r="X7046">
        <v>0.98568849999999997</v>
      </c>
      <c r="Y7046">
        <v>3.2787940000000002E-2</v>
      </c>
      <c r="Z7046">
        <v>-6.9460019999999997E-3</v>
      </c>
      <c r="AA7046">
        <v>0.99943820000000005</v>
      </c>
      <c r="AB7046">
        <v>31</v>
      </c>
      <c r="AC7046">
        <v>23.267499999999899</v>
      </c>
      <c r="AD7046">
        <v>-1.1196514506549999</v>
      </c>
      <c r="AE7046">
        <v>3.3634999999999802</v>
      </c>
      <c r="AF7046">
        <v>0.79165821053540697</v>
      </c>
      <c r="AG7046">
        <v>-1.1196514506549999</v>
      </c>
      <c r="AH7046">
        <v>23.442786347771399</v>
      </c>
      <c r="AI7046">
        <v>92.7328716325637</v>
      </c>
      <c r="AJ7046">
        <v>88.0658679791227</v>
      </c>
      <c r="AK7046">
        <v>23.4828570203994</v>
      </c>
      <c r="AL7046">
        <v>81.137536653868807</v>
      </c>
      <c r="AM7046">
        <v>86.028678405530499</v>
      </c>
      <c r="AN7046">
        <v>0.999999981201671</v>
      </c>
    </row>
    <row r="7047" spans="1:40" x14ac:dyDescent="0.25">
      <c r="A7047" t="str">
        <f>"20190303162957370"</f>
        <v>20190303162957370</v>
      </c>
      <c r="B7047" t="str">
        <f>"1551601797359319"</f>
        <v>1551601797359319</v>
      </c>
      <c r="C7047" t="s">
        <v>40</v>
      </c>
      <c r="D7047">
        <v>5.7304830000000004</v>
      </c>
      <c r="E7047">
        <v>0.51973349999999996</v>
      </c>
      <c r="F7047" t="s">
        <v>41</v>
      </c>
      <c r="G7047">
        <v>-142.7037</v>
      </c>
      <c r="H7047" s="1">
        <v>-3.4881749999999999E-6</v>
      </c>
      <c r="I7047">
        <v>141.02850000000001</v>
      </c>
      <c r="J7047">
        <v>-165.91370000000001</v>
      </c>
      <c r="K7047">
        <v>1.119443</v>
      </c>
      <c r="L7047">
        <v>137.9759</v>
      </c>
      <c r="M7047">
        <v>0.98460320000000001</v>
      </c>
      <c r="N7047">
        <v>-1.2341319999999999E-2</v>
      </c>
      <c r="O7047">
        <v>0.17436860000000001</v>
      </c>
      <c r="P7047">
        <v>0.98449180000000003</v>
      </c>
      <c r="Q7047">
        <v>0.14320429999999901</v>
      </c>
      <c r="R7047">
        <v>0.1013343</v>
      </c>
      <c r="S7047">
        <v>3.02597</v>
      </c>
      <c r="T7047">
        <v>-0.1440784</v>
      </c>
      <c r="U7047">
        <v>0.39958189999999999</v>
      </c>
      <c r="V7047">
        <v>7.2526399999999894E-2</v>
      </c>
      <c r="W7047">
        <v>0.15508159999999999</v>
      </c>
      <c r="X7047">
        <v>0.98523579999999999</v>
      </c>
      <c r="Y7047">
        <v>4.3807279999999997E-2</v>
      </c>
      <c r="Z7047">
        <v>-7.359633E-3</v>
      </c>
      <c r="AA7047">
        <v>0.99901289999999998</v>
      </c>
      <c r="AB7047">
        <v>31</v>
      </c>
      <c r="AC7047">
        <v>23.21</v>
      </c>
      <c r="AD7047">
        <v>-1.1194464881749999</v>
      </c>
      <c r="AE7047">
        <v>3.0526000000000102</v>
      </c>
      <c r="AF7047">
        <v>1.0391983778891201</v>
      </c>
      <c r="AG7047">
        <v>-1.1194464881749999</v>
      </c>
      <c r="AH7047">
        <v>23.333340593749</v>
      </c>
      <c r="AI7047">
        <v>92.744015349090901</v>
      </c>
      <c r="AJ7047">
        <v>87.449899652519605</v>
      </c>
      <c r="AK7047">
        <v>23.383281997452599</v>
      </c>
      <c r="AL7047">
        <v>81.078471018999295</v>
      </c>
      <c r="AM7047">
        <v>85.789865817071004</v>
      </c>
      <c r="AN7047">
        <v>0.99999998147857905</v>
      </c>
    </row>
    <row r="7048" spans="1:40" x14ac:dyDescent="0.25">
      <c r="A7048" t="str">
        <f>"20190303162957391"</f>
        <v>20190303162957391</v>
      </c>
      <c r="B7048" t="str">
        <f>"1551601797378839"</f>
        <v>1551601797378839</v>
      </c>
      <c r="C7048" t="s">
        <v>40</v>
      </c>
      <c r="D7048">
        <v>5.7119849999999897</v>
      </c>
      <c r="E7048">
        <v>0.52338300000000004</v>
      </c>
      <c r="F7048" t="s">
        <v>41</v>
      </c>
      <c r="G7048">
        <v>-132.5068</v>
      </c>
      <c r="H7048" s="1">
        <v>-3.1989579999999999E-6</v>
      </c>
      <c r="I7048">
        <v>139.6241</v>
      </c>
      <c r="J7048">
        <v>-165.60679999999999</v>
      </c>
      <c r="K7048">
        <v>1.119194</v>
      </c>
      <c r="L7048">
        <v>138.02780000000001</v>
      </c>
      <c r="M7048">
        <v>0.98501939999999999</v>
      </c>
      <c r="N7048">
        <v>-1.233305E-2</v>
      </c>
      <c r="O7048">
        <v>0.1720016</v>
      </c>
      <c r="P7048">
        <v>0.98503790000000002</v>
      </c>
      <c r="Q7048">
        <v>0.14394309999999999</v>
      </c>
      <c r="R7048">
        <v>9.4766439999999993E-2</v>
      </c>
      <c r="S7048">
        <v>3.0466310000000001</v>
      </c>
      <c r="T7048">
        <v>-0.10209070000000001</v>
      </c>
      <c r="U7048">
        <v>0.15031429999999901</v>
      </c>
      <c r="V7048">
        <v>7.681317E-2</v>
      </c>
      <c r="W7048">
        <v>0.15574479999999999</v>
      </c>
      <c r="X7048">
        <v>0.98480619999999996</v>
      </c>
      <c r="Y7048">
        <v>0.12313060000000001</v>
      </c>
      <c r="Z7048">
        <v>-6.4221570000000004E-3</v>
      </c>
      <c r="AA7048">
        <v>0.99236970000000002</v>
      </c>
      <c r="AB7048">
        <v>31</v>
      </c>
      <c r="AC7048">
        <v>33.099999999999902</v>
      </c>
      <c r="AD7048">
        <v>-1.1191971989579901</v>
      </c>
      <c r="AE7048">
        <v>1.5962999999999801</v>
      </c>
      <c r="AF7048">
        <v>4.1164847655653602</v>
      </c>
      <c r="AG7048">
        <v>-1.1191971989579901</v>
      </c>
      <c r="AH7048">
        <v>32.843748292749297</v>
      </c>
      <c r="AI7048">
        <v>91.936539988620098</v>
      </c>
      <c r="AJ7048">
        <v>82.856062326117495</v>
      </c>
      <c r="AK7048">
        <v>33.119629392744699</v>
      </c>
      <c r="AL7048">
        <v>81.040005052889398</v>
      </c>
      <c r="AM7048">
        <v>85.540058626031197</v>
      </c>
      <c r="AN7048">
        <v>0.99999997868546397</v>
      </c>
    </row>
    <row r="7049" spans="1:40" x14ac:dyDescent="0.25">
      <c r="A7049" t="str">
        <f>"20190303162957413"</f>
        <v>20190303162957413</v>
      </c>
      <c r="B7049" t="str">
        <f>"1551601797409095"</f>
        <v>1551601797409095</v>
      </c>
      <c r="C7049" t="s">
        <v>40</v>
      </c>
      <c r="D7049">
        <v>5.7870970000000002</v>
      </c>
      <c r="E7049">
        <v>0.52434910000000001</v>
      </c>
      <c r="F7049" t="s">
        <v>41</v>
      </c>
      <c r="G7049">
        <v>-129.27979999999999</v>
      </c>
      <c r="H7049" s="1">
        <v>-3.5961259999999998E-7</v>
      </c>
      <c r="I7049">
        <v>139.2311</v>
      </c>
      <c r="J7049">
        <v>-165.2895</v>
      </c>
      <c r="K7049">
        <v>1.1189070000000001</v>
      </c>
      <c r="L7049">
        <v>138.08029999999999</v>
      </c>
      <c r="M7049">
        <v>0.98551860000000002</v>
      </c>
      <c r="N7049">
        <v>-1.2329639999999999E-2</v>
      </c>
      <c r="O7049">
        <v>0.16911870000000001</v>
      </c>
      <c r="P7049">
        <v>0.98558219999999996</v>
      </c>
      <c r="Q7049">
        <v>0.1447618</v>
      </c>
      <c r="R7049">
        <v>8.7590399999999999E-2</v>
      </c>
      <c r="S7049">
        <v>3.0495909999999999</v>
      </c>
      <c r="T7049">
        <v>-9.3954319999999994E-2</v>
      </c>
      <c r="U7049">
        <v>0.1010132</v>
      </c>
      <c r="V7049">
        <v>8.1207379999999996E-2</v>
      </c>
      <c r="W7049">
        <v>0.15647539999999999</v>
      </c>
      <c r="X7049">
        <v>0.98433769999999998</v>
      </c>
      <c r="Y7049">
        <v>0.136292</v>
      </c>
      <c r="Z7049">
        <v>-6.0309259999999998E-3</v>
      </c>
      <c r="AA7049">
        <v>0.99065040000000004</v>
      </c>
      <c r="AB7049">
        <v>31</v>
      </c>
      <c r="AC7049">
        <v>36.009700000000002</v>
      </c>
      <c r="AD7049">
        <v>-1.11890735961259</v>
      </c>
      <c r="AE7049">
        <v>1.1508</v>
      </c>
      <c r="AF7049">
        <v>4.9513797691062296</v>
      </c>
      <c r="AG7049">
        <v>-1.11890735961259</v>
      </c>
      <c r="AH7049">
        <v>35.6511764694947</v>
      </c>
      <c r="AI7049">
        <v>91.780551081399196</v>
      </c>
      <c r="AJ7049">
        <v>82.093109308040894</v>
      </c>
      <c r="AK7049">
        <v>36.010755323324801</v>
      </c>
      <c r="AL7049">
        <v>80.997624888647707</v>
      </c>
      <c r="AM7049">
        <v>85.283806530810196</v>
      </c>
      <c r="AN7049">
        <v>0.99999994850645502</v>
      </c>
    </row>
    <row r="7050" spans="1:40" x14ac:dyDescent="0.25">
      <c r="A7050" t="str">
        <f>"20190303162957436"</f>
        <v>20190303162957436</v>
      </c>
      <c r="B7050" t="str">
        <f>"1551601797428615"</f>
        <v>1551601797428615</v>
      </c>
      <c r="C7050" t="s">
        <v>40</v>
      </c>
      <c r="D7050">
        <v>5.7678520000000004</v>
      </c>
      <c r="E7050">
        <v>0.52474219999999905</v>
      </c>
      <c r="F7050" t="s">
        <v>41</v>
      </c>
      <c r="G7050">
        <v>-136.4776</v>
      </c>
      <c r="H7050" s="1">
        <v>-1.647403E-6</v>
      </c>
      <c r="I7050">
        <v>138.74799999999999</v>
      </c>
      <c r="J7050">
        <v>-164.98509999999999</v>
      </c>
      <c r="K7050">
        <v>1.1185750000000001</v>
      </c>
      <c r="L7050">
        <v>138.1293</v>
      </c>
      <c r="M7050">
        <v>0.98606740000000004</v>
      </c>
      <c r="N7050">
        <v>-1.2332920000000001E-2</v>
      </c>
      <c r="O7050">
        <v>0.1658896</v>
      </c>
      <c r="P7050">
        <v>0.98590509999999998</v>
      </c>
      <c r="Q7050">
        <v>0.14647499999999999</v>
      </c>
      <c r="R7050">
        <v>8.0850179999999994E-2</v>
      </c>
      <c r="S7050">
        <v>3.0550229999999998</v>
      </c>
      <c r="T7050">
        <v>-0.1186416</v>
      </c>
      <c r="U7050">
        <v>7.0800779999999994E-2</v>
      </c>
      <c r="V7050">
        <v>8.4814710000000001E-2</v>
      </c>
      <c r="W7050">
        <v>0.1580976</v>
      </c>
      <c r="X7050">
        <v>0.98377420000000004</v>
      </c>
      <c r="Y7050">
        <v>0.14281099999999999</v>
      </c>
      <c r="Z7050">
        <v>-8.0129980000000003E-3</v>
      </c>
      <c r="AA7050">
        <v>0.98971750000000003</v>
      </c>
      <c r="AB7050">
        <v>31</v>
      </c>
      <c r="AC7050">
        <v>28.5075</v>
      </c>
      <c r="AD7050">
        <v>-1.1185766474029999</v>
      </c>
      <c r="AE7050">
        <v>0.61869999999998904</v>
      </c>
      <c r="AF7050">
        <v>4.1130009100456197</v>
      </c>
      <c r="AG7050">
        <v>-1.1185766474029999</v>
      </c>
      <c r="AH7050">
        <v>28.171739503409899</v>
      </c>
      <c r="AI7050">
        <v>92.249942893882107</v>
      </c>
      <c r="AJ7050">
        <v>81.693650298744998</v>
      </c>
      <c r="AK7050">
        <v>28.492365588875501</v>
      </c>
      <c r="AL7050">
        <v>80.903508949988293</v>
      </c>
      <c r="AM7050">
        <v>85.072509116948893</v>
      </c>
      <c r="AN7050">
        <v>1.00000003137189</v>
      </c>
    </row>
    <row r="7051" spans="1:40" x14ac:dyDescent="0.25">
      <c r="A7051" t="str">
        <f>"20190303162957458"</f>
        <v>20190303162957458</v>
      </c>
      <c r="B7051" t="str">
        <f>"1551601797449112"</f>
        <v>1551601797449112</v>
      </c>
      <c r="C7051" t="s">
        <v>40</v>
      </c>
      <c r="D7051">
        <v>5.6623060000000001</v>
      </c>
      <c r="E7051">
        <v>0.52401220000000004</v>
      </c>
      <c r="F7051" t="s">
        <v>41</v>
      </c>
      <c r="G7051">
        <v>-138.2278</v>
      </c>
      <c r="H7051" s="1">
        <v>-9.3487840000000004E-7</v>
      </c>
      <c r="I7051">
        <v>138.53229999999999</v>
      </c>
      <c r="J7051">
        <v>-164.67740000000001</v>
      </c>
      <c r="K7051">
        <v>1.1181970000000001</v>
      </c>
      <c r="L7051">
        <v>138.17740000000001</v>
      </c>
      <c r="M7051">
        <v>0.98669059999999997</v>
      </c>
      <c r="N7051">
        <v>-1.2343079999999999E-2</v>
      </c>
      <c r="O7051">
        <v>0.16213929999999999</v>
      </c>
      <c r="P7051">
        <v>0.98619939999999995</v>
      </c>
      <c r="Q7051">
        <v>0.1472145</v>
      </c>
      <c r="R7051">
        <v>7.5753840000000003E-2</v>
      </c>
      <c r="S7051">
        <v>3.05809</v>
      </c>
      <c r="T7051">
        <v>-0.1278417</v>
      </c>
      <c r="U7051">
        <v>4.605103E-2</v>
      </c>
      <c r="V7051">
        <v>8.6296250000000005E-2</v>
      </c>
      <c r="W7051">
        <v>0.1587558</v>
      </c>
      <c r="X7051">
        <v>0.98353930000000001</v>
      </c>
      <c r="Y7051">
        <v>0.14704020000000001</v>
      </c>
      <c r="Z7051">
        <v>-8.7222559999999994E-3</v>
      </c>
      <c r="AA7051">
        <v>0.98909210000000003</v>
      </c>
      <c r="AB7051">
        <v>31</v>
      </c>
      <c r="AC7051">
        <v>26.4496</v>
      </c>
      <c r="AD7051">
        <v>-1.1181979348783999</v>
      </c>
      <c r="AE7051">
        <v>0.354899999999986</v>
      </c>
      <c r="AF7051">
        <v>3.9316177397166099</v>
      </c>
      <c r="AG7051">
        <v>-1.1181979348783999</v>
      </c>
      <c r="AH7051">
        <v>26.110450591671398</v>
      </c>
      <c r="AI7051">
        <v>92.424929329863303</v>
      </c>
      <c r="AJ7051">
        <v>81.436938367626198</v>
      </c>
      <c r="AK7051">
        <v>26.428462209764199</v>
      </c>
      <c r="AL7051">
        <v>80.865314218411498</v>
      </c>
      <c r="AM7051">
        <v>84.985679593050193</v>
      </c>
      <c r="AN7051">
        <v>1.0000000007210901</v>
      </c>
    </row>
    <row r="7052" spans="1:40" x14ac:dyDescent="0.25">
      <c r="A7052" t="str">
        <f>"20190303162957480"</f>
        <v>20190303162957480</v>
      </c>
      <c r="B7052" t="str">
        <f>"1551601797469608"</f>
        <v>1551601797469608</v>
      </c>
      <c r="C7052" t="s">
        <v>40</v>
      </c>
      <c r="D7052">
        <v>5.4425369999999997</v>
      </c>
      <c r="E7052">
        <v>0.52489129999999995</v>
      </c>
      <c r="F7052" t="s">
        <v>41</v>
      </c>
      <c r="G7052">
        <v>-135.0779</v>
      </c>
      <c r="H7052" s="1">
        <v>-2.285769E-6</v>
      </c>
      <c r="I7052">
        <v>138.53460000000001</v>
      </c>
      <c r="J7052">
        <v>-164.369</v>
      </c>
      <c r="K7052">
        <v>1.117775</v>
      </c>
      <c r="L7052">
        <v>138.22389999999999</v>
      </c>
      <c r="M7052">
        <v>0.98738309999999996</v>
      </c>
      <c r="N7052">
        <v>-1.2359409999999999E-2</v>
      </c>
      <c r="O7052">
        <v>0.15786689999999901</v>
      </c>
      <c r="P7052">
        <v>0.98658100000000004</v>
      </c>
      <c r="Q7052">
        <v>0.1471045</v>
      </c>
      <c r="R7052">
        <v>7.0841009999999996E-2</v>
      </c>
      <c r="S7052">
        <v>3.056381</v>
      </c>
      <c r="T7052">
        <v>-0.11546240000000001</v>
      </c>
      <c r="U7052">
        <v>3.6880490000000002E-2</v>
      </c>
      <c r="V7052">
        <v>8.7101440000000002E-2</v>
      </c>
      <c r="W7052">
        <v>0.1585684</v>
      </c>
      <c r="X7052">
        <v>0.9834986</v>
      </c>
      <c r="Y7052">
        <v>0.14576510000000001</v>
      </c>
      <c r="Z7052">
        <v>-7.6374579999999997E-3</v>
      </c>
      <c r="AA7052">
        <v>0.9892898</v>
      </c>
      <c r="AB7052">
        <v>31</v>
      </c>
      <c r="AC7052">
        <v>29.2911</v>
      </c>
      <c r="AD7052">
        <v>-1.117777285769</v>
      </c>
      <c r="AE7052">
        <v>0.31070000000002501</v>
      </c>
      <c r="AF7052">
        <v>4.3113670255842402</v>
      </c>
      <c r="AG7052">
        <v>-1.117777285769</v>
      </c>
      <c r="AH7052">
        <v>28.930672014827799</v>
      </c>
      <c r="AI7052">
        <v>92.188459141284198</v>
      </c>
      <c r="AJ7052">
        <v>81.523927399039096</v>
      </c>
      <c r="AK7052">
        <v>29.271506536552099</v>
      </c>
      <c r="AL7052">
        <v>80.876189629832297</v>
      </c>
      <c r="AM7052">
        <v>84.9389268228894</v>
      </c>
      <c r="AN7052">
        <v>1.0000000472652899</v>
      </c>
    </row>
    <row r="7053" spans="1:40" x14ac:dyDescent="0.25">
      <c r="A7053" t="str">
        <f>"20190303162957504"</f>
        <v>20190303162957504</v>
      </c>
      <c r="B7053" t="str">
        <f>"1551601797498887"</f>
        <v>1551601797498887</v>
      </c>
      <c r="C7053" t="s">
        <v>40</v>
      </c>
      <c r="D7053">
        <v>5.7189100000000002</v>
      </c>
      <c r="E7053">
        <v>0.52401339999999996</v>
      </c>
      <c r="F7053" t="s">
        <v>41</v>
      </c>
      <c r="G7053">
        <v>-136.9949</v>
      </c>
      <c r="H7053" s="1">
        <v>-1.492634E-6</v>
      </c>
      <c r="I7053">
        <v>138.36949999999999</v>
      </c>
      <c r="J7053">
        <v>-164.04519999999999</v>
      </c>
      <c r="K7053">
        <v>1.117313</v>
      </c>
      <c r="L7053">
        <v>138.2706</v>
      </c>
      <c r="M7053">
        <v>0.98817600000000005</v>
      </c>
      <c r="N7053">
        <v>-1.2381909999999999E-2</v>
      </c>
      <c r="O7053">
        <v>0.15282319999999999</v>
      </c>
      <c r="P7053">
        <v>0.98733199999999999</v>
      </c>
      <c r="Q7053">
        <v>0.14447750000000001</v>
      </c>
      <c r="R7053">
        <v>6.5587590000000001E-2</v>
      </c>
      <c r="S7053">
        <v>3.058243</v>
      </c>
      <c r="T7053">
        <v>-0.1248785</v>
      </c>
      <c r="U7053">
        <v>1.6265870000000002E-2</v>
      </c>
      <c r="V7053">
        <v>8.7526370000000006E-2</v>
      </c>
      <c r="W7053">
        <v>0.1558696</v>
      </c>
      <c r="X7053">
        <v>0.98389210000000005</v>
      </c>
      <c r="Y7053">
        <v>0.14735570000000001</v>
      </c>
      <c r="Z7053">
        <v>-8.2411029999999996E-3</v>
      </c>
      <c r="AA7053">
        <v>0.98904919999999996</v>
      </c>
      <c r="AB7053">
        <v>31</v>
      </c>
      <c r="AC7053">
        <v>27.0503</v>
      </c>
      <c r="AD7053">
        <v>-1.117314492634</v>
      </c>
      <c r="AE7053">
        <v>9.8899999999986193E-2</v>
      </c>
      <c r="AF7053">
        <v>4.0296172609039402</v>
      </c>
      <c r="AG7053">
        <v>-1.117314492634</v>
      </c>
      <c r="AH7053">
        <v>26.702065234096398</v>
      </c>
      <c r="AI7053">
        <v>92.369276501156307</v>
      </c>
      <c r="AJ7053">
        <v>81.418231331934507</v>
      </c>
      <c r="AK7053">
        <v>27.027513661281599</v>
      </c>
      <c r="AL7053">
        <v>81.032765703326106</v>
      </c>
      <c r="AM7053">
        <v>84.916388519518193</v>
      </c>
      <c r="AN7053">
        <v>0.99999993104597096</v>
      </c>
    </row>
    <row r="7054" spans="1:40" x14ac:dyDescent="0.25">
      <c r="A7054" t="str">
        <f>"20190303162957526"</f>
        <v>20190303162957526</v>
      </c>
      <c r="B7054" t="str">
        <f>"1551601797519383"</f>
        <v>1551601797519383</v>
      </c>
      <c r="C7054" t="s">
        <v>40</v>
      </c>
      <c r="D7054">
        <v>5.8309860000000002</v>
      </c>
      <c r="E7054">
        <v>0.52293900000000004</v>
      </c>
      <c r="F7054" t="s">
        <v>41</v>
      </c>
      <c r="G7054">
        <v>-141.08029999999999</v>
      </c>
      <c r="H7054" s="1">
        <v>-4.0366039999999997E-6</v>
      </c>
      <c r="I7054">
        <v>138.3322</v>
      </c>
      <c r="J7054">
        <v>-163.73429999999999</v>
      </c>
      <c r="K7054">
        <v>1.1168640000000001</v>
      </c>
      <c r="L7054">
        <v>138.31319999999999</v>
      </c>
      <c r="M7054">
        <v>0.98900060000000001</v>
      </c>
      <c r="N7054">
        <v>-1.240892E-2</v>
      </c>
      <c r="O7054">
        <v>0.14739070000000001</v>
      </c>
      <c r="P7054">
        <v>0.98779890000000004</v>
      </c>
      <c r="Q7054">
        <v>0.1434512</v>
      </c>
      <c r="R7054">
        <v>6.0624860000000003E-2</v>
      </c>
      <c r="S7054">
        <v>3.059723</v>
      </c>
      <c r="T7054">
        <v>-0.1488651</v>
      </c>
      <c r="U7054">
        <v>8.2092290000000002E-3</v>
      </c>
      <c r="V7054">
        <v>8.7240440000000002E-2</v>
      </c>
      <c r="W7054">
        <v>0.1547839</v>
      </c>
      <c r="X7054">
        <v>0.98408899999999999</v>
      </c>
      <c r="Y7054">
        <v>0.14443780000000001</v>
      </c>
      <c r="Z7054">
        <v>-9.7218440000000003E-3</v>
      </c>
      <c r="AA7054">
        <v>0.98946610000000002</v>
      </c>
      <c r="AB7054">
        <v>31</v>
      </c>
      <c r="AC7054">
        <v>22.654</v>
      </c>
      <c r="AD7054">
        <v>-1.11686803660399</v>
      </c>
      <c r="AE7054">
        <v>1.9000000000005401E-2</v>
      </c>
      <c r="AF7054">
        <v>3.3124021232979302</v>
      </c>
      <c r="AG7054">
        <v>-1.11686803660399</v>
      </c>
      <c r="AH7054">
        <v>22.3550072045362</v>
      </c>
      <c r="AI7054">
        <v>92.829310145701399</v>
      </c>
      <c r="AJ7054">
        <v>81.571653606349798</v>
      </c>
      <c r="AK7054">
        <v>22.6266601413571</v>
      </c>
      <c r="AL7054">
        <v>81.095737112677597</v>
      </c>
      <c r="AM7054">
        <v>84.933917563561593</v>
      </c>
      <c r="AN7054">
        <v>1.0000000549957999</v>
      </c>
    </row>
    <row r="7055" spans="1:40" x14ac:dyDescent="0.25">
      <c r="A7055" t="str">
        <f>"20190303162957570"</f>
        <v>20190303162957570</v>
      </c>
      <c r="B7055" t="str">
        <f>"1551601797559400"</f>
        <v>1551601797559400</v>
      </c>
      <c r="C7055" t="s">
        <v>40</v>
      </c>
      <c r="D7055">
        <v>5.8355309999999996</v>
      </c>
      <c r="E7055">
        <v>0.5214143</v>
      </c>
      <c r="F7055" t="s">
        <v>41</v>
      </c>
      <c r="G7055">
        <v>-139.76730000000001</v>
      </c>
      <c r="H7055" s="1">
        <v>-4.0911510000000001E-7</v>
      </c>
      <c r="I7055">
        <v>138.32390000000001</v>
      </c>
      <c r="J7055">
        <v>-163.1131</v>
      </c>
      <c r="K7055">
        <v>1.116152</v>
      </c>
      <c r="L7055">
        <v>138.39160000000001</v>
      </c>
      <c r="M7055">
        <v>0.99073889999999998</v>
      </c>
      <c r="N7055">
        <v>-1.2464340000000001E-2</v>
      </c>
      <c r="O7055">
        <v>0.13520769999999999</v>
      </c>
      <c r="P7055">
        <v>0.98671489999999995</v>
      </c>
      <c r="Q7055">
        <v>0.15346299999999999</v>
      </c>
      <c r="R7055">
        <v>5.3319949999999998E-2</v>
      </c>
      <c r="S7055">
        <v>3.0576629999999998</v>
      </c>
      <c r="T7055">
        <v>-0.14248739999999999</v>
      </c>
      <c r="U7055">
        <v>1.3580319999999999E-3</v>
      </c>
      <c r="V7055">
        <v>8.2601610000000006E-2</v>
      </c>
      <c r="W7055">
        <v>0.1647342</v>
      </c>
      <c r="X7055">
        <v>0.98287310000000006</v>
      </c>
      <c r="Y7055">
        <v>0.1345152</v>
      </c>
      <c r="Z7055">
        <v>-8.5655660000000002E-3</v>
      </c>
      <c r="AA7055">
        <v>0.99087449999999999</v>
      </c>
      <c r="AB7055">
        <v>31</v>
      </c>
      <c r="AC7055">
        <v>23.345800000000001</v>
      </c>
      <c r="AD7055">
        <v>-1.1161524091151001</v>
      </c>
      <c r="AE7055">
        <v>-6.7700000000001995E-2</v>
      </c>
      <c r="AF7055">
        <v>3.21650323104519</v>
      </c>
      <c r="AG7055">
        <v>-1.1161524091151001</v>
      </c>
      <c r="AH7055">
        <v>23.069503510305498</v>
      </c>
      <c r="AI7055">
        <v>92.743437165620094</v>
      </c>
      <c r="AJ7055">
        <v>82.062612059334299</v>
      </c>
      <c r="AK7055">
        <v>23.319384242464398</v>
      </c>
      <c r="AL7055">
        <v>80.518205626190607</v>
      </c>
      <c r="AM7055">
        <v>85.196095622646595</v>
      </c>
      <c r="AN7055">
        <v>0.99999995666392005</v>
      </c>
    </row>
    <row r="7056" spans="1:40" x14ac:dyDescent="0.25">
      <c r="A7056" t="str">
        <f>"20190303162957593"</f>
        <v>20190303162957593</v>
      </c>
      <c r="B7056" t="str">
        <f>"1551601797578919"</f>
        <v>1551601797578919</v>
      </c>
      <c r="C7056" t="s">
        <v>40</v>
      </c>
      <c r="D7056">
        <v>5.8484259999999999</v>
      </c>
      <c r="E7056">
        <v>0.52068910000000002</v>
      </c>
      <c r="F7056" t="s">
        <v>41</v>
      </c>
      <c r="G7056">
        <v>-128.75069999999999</v>
      </c>
      <c r="H7056" s="1">
        <v>-7.6569950000000002E-7</v>
      </c>
      <c r="I7056">
        <v>138.28389999999999</v>
      </c>
      <c r="J7056">
        <v>-162.78989999999999</v>
      </c>
      <c r="K7056">
        <v>1.1158129999999999</v>
      </c>
      <c r="L7056">
        <v>138.42869999999999</v>
      </c>
      <c r="M7056">
        <v>0.99167289999999997</v>
      </c>
      <c r="N7056">
        <v>-1.249432E-2</v>
      </c>
      <c r="O7056">
        <v>0.12817580000000001</v>
      </c>
      <c r="P7056">
        <v>0.98590800000000001</v>
      </c>
      <c r="Q7056">
        <v>0.15998219999999999</v>
      </c>
      <c r="R7056">
        <v>4.8901100000000003E-2</v>
      </c>
      <c r="S7056">
        <v>3.0563509999999998</v>
      </c>
      <c r="T7056">
        <v>-9.9275829999999995E-2</v>
      </c>
      <c r="U7056">
        <v>-9.5825200000000006E-3</v>
      </c>
      <c r="V7056">
        <v>8.0126139999999998E-2</v>
      </c>
      <c r="W7056">
        <v>0.171232299999999</v>
      </c>
      <c r="X7056">
        <v>0.98196700000000003</v>
      </c>
      <c r="Y7056">
        <v>0.1311736</v>
      </c>
      <c r="Z7056">
        <v>-5.4989669999999996E-3</v>
      </c>
      <c r="AA7056">
        <v>0.99134420000000001</v>
      </c>
      <c r="AB7056">
        <v>31</v>
      </c>
      <c r="AC7056">
        <v>34.039199999999902</v>
      </c>
      <c r="AD7056">
        <v>-1.1158137656995</v>
      </c>
      <c r="AE7056">
        <v>-0.14480000000000301</v>
      </c>
      <c r="AF7056">
        <v>4.5021094524029399</v>
      </c>
      <c r="AG7056">
        <v>-1.1158137656995</v>
      </c>
      <c r="AH7056">
        <v>33.703605759339801</v>
      </c>
      <c r="AI7056">
        <v>91.879497135407803</v>
      </c>
      <c r="AJ7056">
        <v>82.391501390998798</v>
      </c>
      <c r="AK7056">
        <v>34.021273801287101</v>
      </c>
      <c r="AL7056">
        <v>80.140524136709402</v>
      </c>
      <c r="AM7056">
        <v>85.335137338984893</v>
      </c>
      <c r="AN7056">
        <v>0.99999994398179304</v>
      </c>
    </row>
    <row r="7057" spans="1:40" x14ac:dyDescent="0.25">
      <c r="A7057" t="str">
        <f>"20190303162957616"</f>
        <v>20190303162957616</v>
      </c>
      <c r="B7057" t="str">
        <f>"1551601797609176"</f>
        <v>1551601797609176</v>
      </c>
      <c r="C7057" t="s">
        <v>40</v>
      </c>
      <c r="D7057">
        <v>4.6547710000000002</v>
      </c>
      <c r="E7057">
        <v>0.51972079999999998</v>
      </c>
      <c r="F7057" t="s">
        <v>41</v>
      </c>
      <c r="G7057">
        <v>-116.5129</v>
      </c>
      <c r="H7057" s="1">
        <v>-1.7356099999999901E-6</v>
      </c>
      <c r="I7057">
        <v>138.16550000000001</v>
      </c>
      <c r="J7057">
        <v>-162.47460000000001</v>
      </c>
      <c r="K7057">
        <v>1.1154710000000001</v>
      </c>
      <c r="L7057">
        <v>138.4622</v>
      </c>
      <c r="M7057">
        <v>0.99258760000000001</v>
      </c>
      <c r="N7057">
        <v>-1.2527699999999999E-2</v>
      </c>
      <c r="O7057">
        <v>0.120884199999999</v>
      </c>
      <c r="P7057">
        <v>0.98548469999999999</v>
      </c>
      <c r="Q7057">
        <v>0.1635857</v>
      </c>
      <c r="R7057">
        <v>4.5382989999999998E-2</v>
      </c>
      <c r="S7057">
        <v>3.0556950000000001</v>
      </c>
      <c r="T7057">
        <v>-7.3677779999999998E-2</v>
      </c>
      <c r="U7057">
        <v>-1.7379760000000001E-2</v>
      </c>
      <c r="V7057">
        <v>7.6533550000000006E-2</v>
      </c>
      <c r="W7057">
        <v>0.17484720000000001</v>
      </c>
      <c r="X7057">
        <v>0.98161659999999995</v>
      </c>
      <c r="Y7057">
        <v>0.1264738</v>
      </c>
      <c r="Z7057">
        <v>-3.7090930000000001E-3</v>
      </c>
      <c r="AA7057">
        <v>0.99196300000000004</v>
      </c>
      <c r="AB7057">
        <v>31</v>
      </c>
      <c r="AC7057">
        <v>45.9617</v>
      </c>
      <c r="AD7057">
        <v>-1.1154727356099901</v>
      </c>
      <c r="AE7057">
        <v>-0.29669999999998697</v>
      </c>
      <c r="AF7057">
        <v>5.8475588557135998</v>
      </c>
      <c r="AG7057">
        <v>-1.1154727356099901</v>
      </c>
      <c r="AH7057">
        <v>45.5618874854731</v>
      </c>
      <c r="AI7057">
        <v>91.391063116728006</v>
      </c>
      <c r="AJ7057">
        <v>82.686457080085802</v>
      </c>
      <c r="AK7057">
        <v>45.949143792173501</v>
      </c>
      <c r="AL7057">
        <v>79.930234174231003</v>
      </c>
      <c r="AM7057">
        <v>85.541847650460397</v>
      </c>
      <c r="AN7057">
        <v>1.0000000385095</v>
      </c>
    </row>
    <row r="7058" spans="1:40" x14ac:dyDescent="0.25">
      <c r="A7058" t="str">
        <f>"20190303162957637"</f>
        <v>20190303162957637</v>
      </c>
      <c r="B7058" t="str">
        <f>"1551601797628696"</f>
        <v>1551601797628696</v>
      </c>
      <c r="C7058" t="s">
        <v>40</v>
      </c>
      <c r="D7058">
        <v>5.9002379999999999</v>
      </c>
      <c r="E7058">
        <v>0.51904499999999998</v>
      </c>
      <c r="F7058" t="s">
        <v>41</v>
      </c>
      <c r="G7058">
        <v>-102.4051</v>
      </c>
      <c r="H7058" s="1">
        <v>-3.8553259999999996E-6</v>
      </c>
      <c r="I7058">
        <v>138.0112</v>
      </c>
      <c r="J7058">
        <v>-162.17349999999999</v>
      </c>
      <c r="K7058">
        <v>1.1151359999999999</v>
      </c>
      <c r="L7058">
        <v>138.49170000000001</v>
      </c>
      <c r="M7058">
        <v>0.99345419999999995</v>
      </c>
      <c r="N7058">
        <v>-1.2563029999999999E-2</v>
      </c>
      <c r="O7058">
        <v>0.11353870000000001</v>
      </c>
      <c r="P7058">
        <v>0.98570999999999998</v>
      </c>
      <c r="Q7058">
        <v>0.16321279999999999</v>
      </c>
      <c r="R7058">
        <v>4.1680990000000001E-2</v>
      </c>
      <c r="S7058">
        <v>3.0546720000000001</v>
      </c>
      <c r="T7058">
        <v>-5.6724549999999999E-2</v>
      </c>
      <c r="U7058">
        <v>-2.293396E-2</v>
      </c>
      <c r="V7058">
        <v>7.3098730000000001E-2</v>
      </c>
      <c r="W7058">
        <v>0.17450209999999999</v>
      </c>
      <c r="X7058">
        <v>0.98193969999999997</v>
      </c>
      <c r="Y7058">
        <v>0.12096659999999999</v>
      </c>
      <c r="Z7058">
        <v>-2.5594849999999998E-3</v>
      </c>
      <c r="AA7058">
        <v>0.99265329999999996</v>
      </c>
      <c r="AB7058">
        <v>31</v>
      </c>
      <c r="AC7058">
        <v>59.7683999999999</v>
      </c>
      <c r="AD7058">
        <v>-1.1151398553259999</v>
      </c>
      <c r="AE7058">
        <v>-0.48050000000000598</v>
      </c>
      <c r="AF7058">
        <v>7.2614264185519</v>
      </c>
      <c r="AG7058">
        <v>-1.1151398553259999</v>
      </c>
      <c r="AH7058">
        <v>59.306647429755898</v>
      </c>
      <c r="AI7058">
        <v>91.069219901912206</v>
      </c>
      <c r="AJ7058">
        <v>83.019525149360803</v>
      </c>
      <c r="AK7058">
        <v>59.759938754037798</v>
      </c>
      <c r="AL7058">
        <v>79.950315191827499</v>
      </c>
      <c r="AM7058">
        <v>85.742572030434204</v>
      </c>
      <c r="AN7058">
        <v>0.999999990834056</v>
      </c>
    </row>
    <row r="7059" spans="1:40" x14ac:dyDescent="0.25">
      <c r="A7059" t="str">
        <f>"20190303162957658"</f>
        <v>20190303162957658</v>
      </c>
      <c r="B7059" t="str">
        <f>"1551601797649192"</f>
        <v>1551601797649192</v>
      </c>
      <c r="C7059" t="s">
        <v>40</v>
      </c>
      <c r="D7059">
        <v>5.89825</v>
      </c>
      <c r="E7059">
        <v>0.51845719999999995</v>
      </c>
      <c r="F7059" t="s">
        <v>41</v>
      </c>
      <c r="G7059">
        <v>-102.1643</v>
      </c>
      <c r="H7059" s="1">
        <v>-3.9956509999999998E-6</v>
      </c>
      <c r="I7059">
        <v>137.8621</v>
      </c>
      <c r="J7059">
        <v>-161.86269999999999</v>
      </c>
      <c r="K7059">
        <v>1.114792</v>
      </c>
      <c r="L7059">
        <v>138.51939999999999</v>
      </c>
      <c r="M7059">
        <v>0.99432980000000004</v>
      </c>
      <c r="N7059">
        <v>-1.260149E-2</v>
      </c>
      <c r="O7059">
        <v>0.1055903</v>
      </c>
      <c r="P7059">
        <v>0.98548400000000003</v>
      </c>
      <c r="Q7059">
        <v>0.16517079999999901</v>
      </c>
      <c r="R7059">
        <v>3.9243500000000001E-2</v>
      </c>
      <c r="S7059">
        <v>3.0542449999999999</v>
      </c>
      <c r="T7059">
        <v>-5.6756500000000001E-2</v>
      </c>
      <c r="U7059">
        <v>-3.2043460000000003E-2</v>
      </c>
      <c r="V7059">
        <v>6.7804279999999995E-2</v>
      </c>
      <c r="W7059">
        <v>0.1765226</v>
      </c>
      <c r="X7059">
        <v>0.98195840000000001</v>
      </c>
      <c r="Y7059">
        <v>0.1159897</v>
      </c>
      <c r="Z7059">
        <v>-2.4357710000000002E-3</v>
      </c>
      <c r="AA7059">
        <v>0.9932474</v>
      </c>
      <c r="AB7059">
        <v>31</v>
      </c>
      <c r="AC7059">
        <v>59.6983999999999</v>
      </c>
      <c r="AD7059">
        <v>-1.1147959956510001</v>
      </c>
      <c r="AE7059">
        <v>-0.657299999999992</v>
      </c>
      <c r="AF7059">
        <v>6.9552727993013397</v>
      </c>
      <c r="AG7059">
        <v>-1.1147959956510001</v>
      </c>
      <c r="AH7059">
        <v>59.274538760364301</v>
      </c>
      <c r="AI7059">
        <v>91.070113675451594</v>
      </c>
      <c r="AJ7059">
        <v>83.307518310243694</v>
      </c>
      <c r="AK7059">
        <v>59.6916203087046</v>
      </c>
      <c r="AL7059">
        <v>79.832723527375904</v>
      </c>
      <c r="AM7059">
        <v>86.049993159437307</v>
      </c>
      <c r="AN7059">
        <v>0.99999997401381802</v>
      </c>
    </row>
    <row r="7060" spans="1:40" x14ac:dyDescent="0.25">
      <c r="A7060" t="str">
        <f>"20190303162957705"</f>
        <v>20190303162957705</v>
      </c>
      <c r="B7060" t="str">
        <f>"1551601797698967"</f>
        <v>1551601797698967</v>
      </c>
      <c r="C7060" t="s">
        <v>40</v>
      </c>
      <c r="D7060">
        <v>5.951727</v>
      </c>
      <c r="E7060">
        <v>0.51799269999999997</v>
      </c>
      <c r="F7060" t="s">
        <v>41</v>
      </c>
      <c r="G7060">
        <v>-94.187219999999996</v>
      </c>
      <c r="H7060" s="1">
        <v>-2.8131889999999999E-6</v>
      </c>
      <c r="I7060">
        <v>137.71530000000001</v>
      </c>
      <c r="J7060">
        <v>-161.21700000000001</v>
      </c>
      <c r="K7060">
        <v>1.1141490000000001</v>
      </c>
      <c r="L7060">
        <v>138.56780000000001</v>
      </c>
      <c r="M7060">
        <v>0.99603719999999996</v>
      </c>
      <c r="N7060">
        <v>-1.2679899999999999E-2</v>
      </c>
      <c r="O7060">
        <v>8.8029040000000003E-2</v>
      </c>
      <c r="P7060">
        <v>0.98568109999999998</v>
      </c>
      <c r="Q7060">
        <v>0.1652438</v>
      </c>
      <c r="R7060">
        <v>3.3573520000000003E-2</v>
      </c>
      <c r="S7060">
        <v>3.0540470000000002</v>
      </c>
      <c r="T7060">
        <v>-5.0308230000000002E-2</v>
      </c>
      <c r="U7060">
        <v>-3.6285400000000002E-2</v>
      </c>
      <c r="V7060">
        <v>5.6367859999999999E-2</v>
      </c>
      <c r="W7060">
        <v>0.1767783</v>
      </c>
      <c r="X7060">
        <v>0.98263529999999999</v>
      </c>
      <c r="Y7060">
        <v>9.983947E-2</v>
      </c>
      <c r="Z7060">
        <v>-1.786901E-3</v>
      </c>
      <c r="AA7060">
        <v>0.99500200000000005</v>
      </c>
      <c r="AB7060">
        <v>31</v>
      </c>
      <c r="AC7060">
        <v>67.029780000000002</v>
      </c>
      <c r="AD7060">
        <v>-1.114151813189</v>
      </c>
      <c r="AE7060">
        <v>-0.85249999999999204</v>
      </c>
      <c r="AF7060">
        <v>6.7483674320294504</v>
      </c>
      <c r="AG7060">
        <v>-1.114151813189</v>
      </c>
      <c r="AH7060">
        <v>66.676053121838095</v>
      </c>
      <c r="AI7060">
        <v>90.952454051441606</v>
      </c>
      <c r="AJ7060">
        <v>84.220702107402403</v>
      </c>
      <c r="AK7060">
        <v>67.025949132904401</v>
      </c>
      <c r="AL7060">
        <v>79.817839367113606</v>
      </c>
      <c r="AM7060">
        <v>86.716884744207604</v>
      </c>
      <c r="AN7060">
        <v>1.0000000178989701</v>
      </c>
    </row>
    <row r="7061" spans="1:40" x14ac:dyDescent="0.25">
      <c r="A7061" t="str">
        <f>"20190303162957748"</f>
        <v>20190303162957748</v>
      </c>
      <c r="B7061" t="str">
        <f>"1551601797738983"</f>
        <v>1551601797738983</v>
      </c>
      <c r="C7061" t="s">
        <v>40</v>
      </c>
      <c r="D7061">
        <v>5.8524529999999997</v>
      </c>
      <c r="E7061">
        <v>0.51762870000000005</v>
      </c>
      <c r="F7061" t="s">
        <v>41</v>
      </c>
      <c r="G7061">
        <v>-95.617819999999995</v>
      </c>
      <c r="H7061" s="1">
        <v>-2.2357579999999999E-6</v>
      </c>
      <c r="I7061">
        <v>137.51070000000001</v>
      </c>
      <c r="J7061">
        <v>-160.59729999999999</v>
      </c>
      <c r="K7061">
        <v>1.113694</v>
      </c>
      <c r="L7061">
        <v>138.6019</v>
      </c>
      <c r="M7061">
        <v>0.99745249999999996</v>
      </c>
      <c r="N7061">
        <v>-1.274196E-2</v>
      </c>
      <c r="O7061">
        <v>7.0186780000000004E-2</v>
      </c>
      <c r="P7061">
        <v>0.98635669999999998</v>
      </c>
      <c r="Q7061">
        <v>0.16217799999999999</v>
      </c>
      <c r="R7061">
        <v>2.826621E-2</v>
      </c>
      <c r="S7061">
        <v>3.0539550000000002</v>
      </c>
      <c r="T7061">
        <v>-5.1869030000000003E-2</v>
      </c>
      <c r="U7061">
        <v>-4.9209589999999998E-2</v>
      </c>
      <c r="V7061">
        <v>4.4199660000000002E-2</v>
      </c>
      <c r="W7061">
        <v>0.17395459999999999</v>
      </c>
      <c r="X7061">
        <v>0.98376129999999995</v>
      </c>
      <c r="Y7061">
        <v>8.623256E-2</v>
      </c>
      <c r="Z7061">
        <v>-1.578341E-3</v>
      </c>
      <c r="AA7061">
        <v>0.99627379999999999</v>
      </c>
      <c r="AB7061">
        <v>31</v>
      </c>
      <c r="AC7061">
        <v>64.979479999999995</v>
      </c>
      <c r="AD7061">
        <v>-1.113696235758</v>
      </c>
      <c r="AE7061">
        <v>-1.09119999999998</v>
      </c>
      <c r="AF7061">
        <v>5.6479205701034099</v>
      </c>
      <c r="AG7061">
        <v>-1.113696235758</v>
      </c>
      <c r="AH7061">
        <v>64.723604546074199</v>
      </c>
      <c r="AI7061">
        <v>90.982057490273704</v>
      </c>
      <c r="AJ7061">
        <v>85.012880217268403</v>
      </c>
      <c r="AK7061">
        <v>64.9791067306126</v>
      </c>
      <c r="AL7061">
        <v>79.982172511179598</v>
      </c>
      <c r="AM7061">
        <v>87.427473515054103</v>
      </c>
      <c r="AN7061">
        <v>1.00000005409148</v>
      </c>
    </row>
    <row r="7062" spans="1:40" x14ac:dyDescent="0.25">
      <c r="A7062" t="str">
        <f>"20190303162957819"</f>
        <v>20190303162957819</v>
      </c>
      <c r="B7062" t="str">
        <f>"1551601797809255"</f>
        <v>1551601797809255</v>
      </c>
      <c r="C7062" t="s">
        <v>40</v>
      </c>
      <c r="D7062">
        <v>5.9998670000000001</v>
      </c>
      <c r="E7062">
        <v>0.51792929999999904</v>
      </c>
      <c r="F7062" t="s">
        <v>41</v>
      </c>
      <c r="G7062">
        <v>-108.07680000000001</v>
      </c>
      <c r="H7062" s="1">
        <v>-1.2817810000000001E-6</v>
      </c>
      <c r="I7062">
        <v>137.5153</v>
      </c>
      <c r="J7062">
        <v>-159.5968</v>
      </c>
      <c r="K7062">
        <v>1.113345</v>
      </c>
      <c r="L7062">
        <v>138.6328</v>
      </c>
      <c r="M7062">
        <v>0.9990985</v>
      </c>
      <c r="N7062">
        <v>-1.280365E-2</v>
      </c>
      <c r="O7062">
        <v>4.0477279999999997E-2</v>
      </c>
      <c r="P7062">
        <v>0.98718890000000004</v>
      </c>
      <c r="Q7062">
        <v>0.15918180000000001</v>
      </c>
      <c r="R7062">
        <v>1.091657E-2</v>
      </c>
      <c r="S7062">
        <v>3.0539550000000002</v>
      </c>
      <c r="T7062">
        <v>-6.475902E-2</v>
      </c>
      <c r="U7062">
        <v>-6.3186649999999997E-2</v>
      </c>
      <c r="V7062">
        <v>3.2294570000000002E-2</v>
      </c>
      <c r="W7062">
        <v>0.1712244</v>
      </c>
      <c r="X7062">
        <v>0.98470259999999998</v>
      </c>
      <c r="Y7062">
        <v>6.1117209999999998E-2</v>
      </c>
      <c r="Z7062">
        <v>-1.3790359999999999E-3</v>
      </c>
      <c r="AA7062">
        <v>0.99812970000000001</v>
      </c>
      <c r="AB7062">
        <v>31</v>
      </c>
      <c r="AC7062">
        <v>51.52</v>
      </c>
      <c r="AD7062">
        <v>-1.113346281781</v>
      </c>
      <c r="AE7062">
        <v>-1.1174999999999999</v>
      </c>
      <c r="AF7062">
        <v>3.20065029599114</v>
      </c>
      <c r="AG7062">
        <v>-1.113346281781</v>
      </c>
      <c r="AH7062">
        <v>51.408537216238699</v>
      </c>
      <c r="AI7062">
        <v>91.238254596354494</v>
      </c>
      <c r="AJ7062">
        <v>86.437413526954202</v>
      </c>
      <c r="AK7062">
        <v>51.520106763998299</v>
      </c>
      <c r="AL7062">
        <v>80.140983841663797</v>
      </c>
      <c r="AM7062">
        <v>88.1215855594495</v>
      </c>
      <c r="AN7062">
        <v>0.99999997242680205</v>
      </c>
    </row>
    <row r="7063" spans="1:40" x14ac:dyDescent="0.25">
      <c r="A7063" t="str">
        <f>"20190303162957840"</f>
        <v>20190303162957840</v>
      </c>
      <c r="B7063" t="str">
        <f>"1551601797828776"</f>
        <v>1551601797828776</v>
      </c>
      <c r="C7063" t="s">
        <v>40</v>
      </c>
      <c r="D7063">
        <v>5.8674790000000003</v>
      </c>
      <c r="E7063">
        <v>0.51795409999999997</v>
      </c>
      <c r="F7063" t="s">
        <v>41</v>
      </c>
      <c r="G7063">
        <v>-116.4675</v>
      </c>
      <c r="H7063" s="1">
        <v>-1.9692900000000001E-6</v>
      </c>
      <c r="I7063">
        <v>136.9579</v>
      </c>
      <c r="J7063">
        <v>-159.30260000000001</v>
      </c>
      <c r="K7063">
        <v>1.1133059999999999</v>
      </c>
      <c r="L7063">
        <v>138.6362</v>
      </c>
      <c r="M7063">
        <v>0.99941550000000001</v>
      </c>
      <c r="N7063">
        <v>-1.281528E-2</v>
      </c>
      <c r="O7063">
        <v>3.169375E-2</v>
      </c>
      <c r="P7063">
        <v>0.9874174</v>
      </c>
      <c r="Q7063">
        <v>0.15804179999999901</v>
      </c>
      <c r="R7063">
        <v>5.4373109999999898E-3</v>
      </c>
      <c r="S7063">
        <v>3.0529329999999999</v>
      </c>
      <c r="T7063">
        <v>-7.8808899999999904E-2</v>
      </c>
      <c r="U7063">
        <v>-0.11856079999999999</v>
      </c>
      <c r="V7063">
        <v>2.909716E-2</v>
      </c>
      <c r="W7063">
        <v>0.17015729999999901</v>
      </c>
      <c r="X7063">
        <v>0.98498719999999995</v>
      </c>
      <c r="Y7063">
        <v>7.0421029999999996E-2</v>
      </c>
      <c r="Z7063">
        <v>-1.771714E-3</v>
      </c>
      <c r="AA7063">
        <v>0.99751579999999995</v>
      </c>
      <c r="AB7063">
        <v>31</v>
      </c>
      <c r="AC7063">
        <v>42.835099999999997</v>
      </c>
      <c r="AD7063">
        <v>-1.1133079692900001</v>
      </c>
      <c r="AE7063">
        <v>-1.6782999999999999</v>
      </c>
      <c r="AF7063">
        <v>3.0331273644380401</v>
      </c>
      <c r="AG7063">
        <v>-1.1133079692900001</v>
      </c>
      <c r="AH7063">
        <v>42.731559972771102</v>
      </c>
      <c r="AI7063">
        <v>91.488675887163495</v>
      </c>
      <c r="AJ7063">
        <v>85.939899804561193</v>
      </c>
      <c r="AK7063">
        <v>42.853535839530402</v>
      </c>
      <c r="AL7063">
        <v>80.203034747782397</v>
      </c>
      <c r="AM7063">
        <v>88.307937632995007</v>
      </c>
      <c r="AN7063">
        <v>0.99999996781359701</v>
      </c>
    </row>
    <row r="7064" spans="1:40" x14ac:dyDescent="0.25">
      <c r="A7064" t="str">
        <f>"20190303162957861"</f>
        <v>20190303162957861</v>
      </c>
      <c r="B7064" t="str">
        <f>"1551601797849273"</f>
        <v>1551601797849273</v>
      </c>
      <c r="C7064" t="s">
        <v>40</v>
      </c>
      <c r="D7064">
        <v>5.9443109999999999</v>
      </c>
      <c r="E7064">
        <v>0.5180207</v>
      </c>
      <c r="F7064" t="s">
        <v>41</v>
      </c>
      <c r="G7064">
        <v>-117.9007</v>
      </c>
      <c r="H7064" s="1">
        <v>-1.457493E-6</v>
      </c>
      <c r="I7064">
        <v>136.77099999999999</v>
      </c>
      <c r="J7064">
        <v>-159.00360000000001</v>
      </c>
      <c r="K7064">
        <v>1.1132869999999999</v>
      </c>
      <c r="L7064">
        <v>138.637</v>
      </c>
      <c r="M7064">
        <v>0.99965800000000005</v>
      </c>
      <c r="N7064">
        <v>-1.2828529999999999E-2</v>
      </c>
      <c r="O7064">
        <v>2.279188E-2</v>
      </c>
      <c r="P7064">
        <v>0.98763109999999998</v>
      </c>
      <c r="Q7064">
        <v>0.15679670000000001</v>
      </c>
      <c r="R7064">
        <v>2.885284E-4</v>
      </c>
      <c r="S7064">
        <v>3.0521090000000002</v>
      </c>
      <c r="T7064">
        <v>-8.2072019999999996E-2</v>
      </c>
      <c r="U7064">
        <v>-0.13749690000000001</v>
      </c>
      <c r="V7064">
        <v>2.544196E-2</v>
      </c>
      <c r="W7064">
        <v>0.16899710000000001</v>
      </c>
      <c r="X7064">
        <v>0.9852881</v>
      </c>
      <c r="Y7064">
        <v>6.7724790000000007E-2</v>
      </c>
      <c r="Z7064">
        <v>-1.6649950000000001E-3</v>
      </c>
      <c r="AA7064">
        <v>0.99770270000000005</v>
      </c>
      <c r="AB7064">
        <v>31</v>
      </c>
      <c r="AC7064">
        <v>41.102899999999998</v>
      </c>
      <c r="AD7064">
        <v>-1.113288457493</v>
      </c>
      <c r="AE7064">
        <v>-1.8659999999999799</v>
      </c>
      <c r="AF7064">
        <v>2.8003544107396801</v>
      </c>
      <c r="AG7064">
        <v>-1.113288457493</v>
      </c>
      <c r="AH7064">
        <v>41.019656955003398</v>
      </c>
      <c r="AI7064">
        <v>91.551038306027294</v>
      </c>
      <c r="AJ7064">
        <v>86.094557260120993</v>
      </c>
      <c r="AK7064">
        <v>41.130203655239697</v>
      </c>
      <c r="AL7064">
        <v>80.270486309595796</v>
      </c>
      <c r="AM7064">
        <v>88.520845756862101</v>
      </c>
      <c r="AN7064">
        <v>0.99999997656933004</v>
      </c>
    </row>
    <row r="7065" spans="1:40" x14ac:dyDescent="0.25">
      <c r="A7065" t="str">
        <f>"20190303162957885"</f>
        <v>20190303162957885</v>
      </c>
      <c r="B7065" t="str">
        <f>"1551601797878552"</f>
        <v>1551601797878552</v>
      </c>
      <c r="C7065" t="s">
        <v>40</v>
      </c>
      <c r="D7065">
        <v>5.9094340000000001</v>
      </c>
      <c r="E7065">
        <v>0.51790270000000005</v>
      </c>
      <c r="F7065" t="s">
        <v>41</v>
      </c>
      <c r="G7065">
        <v>-119.36960000000001</v>
      </c>
      <c r="H7065" s="1">
        <v>-1.000585E-6</v>
      </c>
      <c r="I7065">
        <v>136.6096</v>
      </c>
      <c r="J7065">
        <v>-158.6781</v>
      </c>
      <c r="K7065">
        <v>1.113299</v>
      </c>
      <c r="L7065">
        <v>138.63499999999999</v>
      </c>
      <c r="M7065">
        <v>0.99983109999999997</v>
      </c>
      <c r="N7065">
        <v>-1.284968E-2</v>
      </c>
      <c r="O7065">
        <v>1.314656E-2</v>
      </c>
      <c r="P7065">
        <v>0.98772420000000005</v>
      </c>
      <c r="Q7065">
        <v>0.15613579999999999</v>
      </c>
      <c r="R7065">
        <v>-4.7767290000000004E-3</v>
      </c>
      <c r="S7065">
        <v>3.0512389999999998</v>
      </c>
      <c r="T7065">
        <v>-8.5706950000000004E-2</v>
      </c>
      <c r="U7065">
        <v>-0.1560822</v>
      </c>
      <c r="V7065">
        <v>2.0970280000000001E-2</v>
      </c>
      <c r="W7065">
        <v>0.16844439999999999</v>
      </c>
      <c r="X7065">
        <v>0.98548809999999998</v>
      </c>
      <c r="Y7065">
        <v>6.4174610000000007E-2</v>
      </c>
      <c r="Z7065">
        <v>-1.5134460000000001E-3</v>
      </c>
      <c r="AA7065">
        <v>0.99793759999999998</v>
      </c>
      <c r="AB7065">
        <v>31</v>
      </c>
      <c r="AC7065">
        <v>39.308500000000002</v>
      </c>
      <c r="AD7065">
        <v>-1.113300000585</v>
      </c>
      <c r="AE7065">
        <v>-2.0253999999999901</v>
      </c>
      <c r="AF7065">
        <v>2.5400070611215901</v>
      </c>
      <c r="AG7065">
        <v>-1.113300000585</v>
      </c>
      <c r="AH7065">
        <v>39.247074786587397</v>
      </c>
      <c r="AI7065">
        <v>91.621451542491997</v>
      </c>
      <c r="AJ7065">
        <v>86.297074126905699</v>
      </c>
      <c r="AK7065">
        <v>39.344935532617598</v>
      </c>
      <c r="AL7065">
        <v>80.302614819795807</v>
      </c>
      <c r="AM7065">
        <v>88.780982498849596</v>
      </c>
      <c r="AN7065">
        <v>1.0000000318881199</v>
      </c>
    </row>
    <row r="7066" spans="1:40" x14ac:dyDescent="0.25">
      <c r="A7066" t="str">
        <f>"20190303162957905"</f>
        <v>20190303162957905</v>
      </c>
      <c r="B7066" t="str">
        <f>"1551601797899048"</f>
        <v>1551601797899048</v>
      </c>
      <c r="C7066" t="s">
        <v>40</v>
      </c>
      <c r="D7066">
        <v>6.2663250000000001</v>
      </c>
      <c r="E7066">
        <v>0.50498719999999997</v>
      </c>
      <c r="F7066" t="s">
        <v>41</v>
      </c>
      <c r="G7066">
        <v>-120.0624</v>
      </c>
      <c r="H7066" s="1">
        <v>-4.8071429999999901E-6</v>
      </c>
      <c r="I7066">
        <v>136.44999999999999</v>
      </c>
      <c r="J7066">
        <v>-158.37520000000001</v>
      </c>
      <c r="K7066">
        <v>1.113327</v>
      </c>
      <c r="L7066">
        <v>138.6301</v>
      </c>
      <c r="M7066">
        <v>0.99990809999999997</v>
      </c>
      <c r="N7066">
        <v>-1.2882269999999999E-2</v>
      </c>
      <c r="O7066">
        <v>4.2332799999999999E-3</v>
      </c>
      <c r="P7066">
        <v>0.98768659999999997</v>
      </c>
      <c r="Q7066">
        <v>0.1562714</v>
      </c>
      <c r="R7066">
        <v>-7.4036019999999996E-3</v>
      </c>
      <c r="S7066">
        <v>3.050354</v>
      </c>
      <c r="T7066">
        <v>-8.7942720000000002E-2</v>
      </c>
      <c r="U7066">
        <v>-0.1725922</v>
      </c>
      <c r="V7066">
        <v>1.479109E-2</v>
      </c>
      <c r="W7066">
        <v>0.16873109999999999</v>
      </c>
      <c r="X7066">
        <v>0.98555110000000001</v>
      </c>
      <c r="Y7066">
        <v>6.0680100000000001E-2</v>
      </c>
      <c r="Z7066">
        <v>-1.3325699999999999E-3</v>
      </c>
      <c r="AA7066">
        <v>0.99815640000000005</v>
      </c>
      <c r="AB7066">
        <v>31</v>
      </c>
      <c r="AC7066">
        <v>38.312800000000003</v>
      </c>
      <c r="AD7066">
        <v>-1.1133318071430001</v>
      </c>
      <c r="AE7066">
        <v>-2.1801000000000101</v>
      </c>
      <c r="AF7066">
        <v>2.3403128829203701</v>
      </c>
      <c r="AG7066">
        <v>-1.1133318071430001</v>
      </c>
      <c r="AH7066">
        <v>38.271014180549699</v>
      </c>
      <c r="AI7066">
        <v>91.663201130950199</v>
      </c>
      <c r="AJ7066">
        <v>86.500660180313901</v>
      </c>
      <c r="AK7066">
        <v>38.358663930207399</v>
      </c>
      <c r="AL7066">
        <v>80.285948934578997</v>
      </c>
      <c r="AM7066">
        <v>89.140173033466397</v>
      </c>
      <c r="AN7066">
        <v>0.99999996558090298</v>
      </c>
    </row>
    <row r="7067" spans="1:40" x14ac:dyDescent="0.25">
      <c r="A7067" t="str">
        <f>"20190303162957995"</f>
        <v>20190303162957995</v>
      </c>
      <c r="B7067" t="str">
        <f>"1551601797988839"</f>
        <v>1551601797988839</v>
      </c>
      <c r="C7067" t="s">
        <v>40</v>
      </c>
      <c r="D7067">
        <v>5.8268339999999998</v>
      </c>
      <c r="E7067">
        <v>0.50183679999999997</v>
      </c>
      <c r="F7067" t="s">
        <v>41</v>
      </c>
      <c r="G7067">
        <v>-133.73089999999999</v>
      </c>
      <c r="H7067" s="1">
        <v>-2.962737E-6</v>
      </c>
      <c r="I7067">
        <v>137.97569999999999</v>
      </c>
      <c r="J7067">
        <v>-157.11150000000001</v>
      </c>
      <c r="K7067">
        <v>1.1136790000000001</v>
      </c>
      <c r="L7067">
        <v>138.58179999999999</v>
      </c>
      <c r="M7067">
        <v>0.99940079999999998</v>
      </c>
      <c r="N7067">
        <v>-1.3310880000000001E-2</v>
      </c>
      <c r="O7067">
        <v>-3.1954990000000003E-2</v>
      </c>
      <c r="P7067">
        <v>0.98829849999999997</v>
      </c>
      <c r="Q7067">
        <v>0.1524858</v>
      </c>
      <c r="R7067">
        <v>-3.810552E-3</v>
      </c>
      <c r="S7067">
        <v>3.0586549999999999</v>
      </c>
      <c r="T7067">
        <v>-0.13817739999999901</v>
      </c>
      <c r="U7067">
        <v>-8.1222530000000001E-2</v>
      </c>
      <c r="V7067">
        <v>-2.4739379999999998E-2</v>
      </c>
      <c r="W7067">
        <v>0.16610320000000001</v>
      </c>
      <c r="X7067">
        <v>0.98579799999999995</v>
      </c>
      <c r="Y7067">
        <v>-5.3911879999999999E-3</v>
      </c>
      <c r="Z7067">
        <v>1.174633E-3</v>
      </c>
      <c r="AA7067">
        <v>0.99998480000000001</v>
      </c>
      <c r="AB7067">
        <v>31</v>
      </c>
      <c r="AC7067">
        <v>23.380600000000001</v>
      </c>
      <c r="AD7067">
        <v>-1.113681962737</v>
      </c>
      <c r="AE7067">
        <v>-0.60609999999999697</v>
      </c>
      <c r="AF7067">
        <v>-0.14108263903085999</v>
      </c>
      <c r="AG7067">
        <v>-1.113681962737</v>
      </c>
      <c r="AH7067">
        <v>23.335118283614801</v>
      </c>
      <c r="AI7067">
        <v>92.732350922406795</v>
      </c>
      <c r="AJ7067">
        <v>90.346402413336605</v>
      </c>
      <c r="AK7067">
        <v>23.362104724006699</v>
      </c>
      <c r="AL7067">
        <v>80.438672443984103</v>
      </c>
      <c r="AM7067">
        <v>91.437581129446798</v>
      </c>
      <c r="AN7067">
        <v>1.0000000033885099</v>
      </c>
    </row>
    <row r="7068" spans="1:40" x14ac:dyDescent="0.25">
      <c r="A7068" t="str">
        <f>"20190303162958039"</f>
        <v>20190303162958039</v>
      </c>
      <c r="B7068" t="str">
        <f>"1551601798028856"</f>
        <v>1551601798028856</v>
      </c>
      <c r="C7068" t="s">
        <v>40</v>
      </c>
      <c r="D7068">
        <v>5.8916919999999999</v>
      </c>
      <c r="E7068">
        <v>0.50207100000000005</v>
      </c>
      <c r="F7068" t="s">
        <v>41</v>
      </c>
      <c r="G7068">
        <v>-129.51490000000001</v>
      </c>
      <c r="H7068" s="1">
        <v>-5.4556180000000004E-7</v>
      </c>
      <c r="I7068">
        <v>138.13380000000001</v>
      </c>
      <c r="J7068">
        <v>-156.49719999999999</v>
      </c>
      <c r="K7068">
        <v>1.1142080000000001</v>
      </c>
      <c r="L7068">
        <v>138.54320000000001</v>
      </c>
      <c r="M7068">
        <v>0.99875069999999999</v>
      </c>
      <c r="N7068">
        <v>-1.360481E-2</v>
      </c>
      <c r="O7068">
        <v>-4.8083439999999998E-2</v>
      </c>
      <c r="P7068">
        <v>0.9891491</v>
      </c>
      <c r="Q7068">
        <v>0.14686979999999999</v>
      </c>
      <c r="R7068">
        <v>3.6730069999999998E-3</v>
      </c>
      <c r="S7068">
        <v>3.0543520000000002</v>
      </c>
      <c r="T7068">
        <v>-0.12326040000000001</v>
      </c>
      <c r="U7068">
        <v>-4.9575809999999998E-2</v>
      </c>
      <c r="V7068">
        <v>-4.8486500000000002E-2</v>
      </c>
      <c r="W7068">
        <v>0.1611484</v>
      </c>
      <c r="X7068">
        <v>0.98573849999999996</v>
      </c>
      <c r="Y7068">
        <v>-3.1819470000000002E-2</v>
      </c>
      <c r="Z7068">
        <v>2.1428760000000002E-3</v>
      </c>
      <c r="AA7068">
        <v>0.99949129999999997</v>
      </c>
      <c r="AB7068">
        <v>31</v>
      </c>
      <c r="AC7068">
        <v>26.982299999999899</v>
      </c>
      <c r="AD7068">
        <v>-1.1142085455618</v>
      </c>
      <c r="AE7068">
        <v>-0.40940000000000498</v>
      </c>
      <c r="AF7068">
        <v>-0.887083170149082</v>
      </c>
      <c r="AG7068">
        <v>-1.1142085455618</v>
      </c>
      <c r="AH7068">
        <v>26.9248698916394</v>
      </c>
      <c r="AI7068">
        <v>92.368385907760498</v>
      </c>
      <c r="AJ7068">
        <v>91.887019089367698</v>
      </c>
      <c r="AK7068">
        <v>26.9625109349162</v>
      </c>
      <c r="AL7068">
        <v>80.726440905430806</v>
      </c>
      <c r="AM7068">
        <v>92.815994894609304</v>
      </c>
      <c r="AN7068">
        <v>1.00000006894352</v>
      </c>
    </row>
    <row r="7069" spans="1:40" x14ac:dyDescent="0.25">
      <c r="A7069" t="str">
        <f>"20190303162958085"</f>
        <v>20190303162958085</v>
      </c>
      <c r="B7069" t="str">
        <f>"1551601798078633"</f>
        <v>1551601798078633</v>
      </c>
      <c r="C7069" t="s">
        <v>40</v>
      </c>
      <c r="D7069">
        <v>5.9027139999999996</v>
      </c>
      <c r="E7069">
        <v>0.50439009999999995</v>
      </c>
      <c r="F7069" t="s">
        <v>41</v>
      </c>
      <c r="G7069">
        <v>-132.49039999999999</v>
      </c>
      <c r="H7069" s="1">
        <v>-3.4325510000000001E-6</v>
      </c>
      <c r="I7069">
        <v>138.32730000000001</v>
      </c>
      <c r="J7069">
        <v>-155.8595</v>
      </c>
      <c r="K7069">
        <v>1.1153109999999999</v>
      </c>
      <c r="L7069">
        <v>138.49510000000001</v>
      </c>
      <c r="M7069">
        <v>0.99796499999999999</v>
      </c>
      <c r="N7069">
        <v>-1.3822900000000001E-2</v>
      </c>
      <c r="O7069">
        <v>-6.2248669999999999E-2</v>
      </c>
      <c r="P7069">
        <v>0.9900021</v>
      </c>
      <c r="Q7069">
        <v>0.14038829999999999</v>
      </c>
      <c r="R7069">
        <v>1.3686220000000001E-2</v>
      </c>
      <c r="S7069">
        <v>3.0540470000000002</v>
      </c>
      <c r="T7069">
        <v>-0.14174510000000001</v>
      </c>
      <c r="U7069">
        <v>-2.7465819999999998E-2</v>
      </c>
      <c r="V7069">
        <v>-7.3050240000000002E-2</v>
      </c>
      <c r="W7069">
        <v>0.15509709999999999</v>
      </c>
      <c r="X7069">
        <v>0.98519469999999998</v>
      </c>
      <c r="Y7069">
        <v>-5.3169420000000002E-2</v>
      </c>
      <c r="Z7069">
        <v>3.6261750000000001E-3</v>
      </c>
      <c r="AA7069">
        <v>0.99857890000000005</v>
      </c>
      <c r="AB7069">
        <v>31</v>
      </c>
      <c r="AC7069">
        <v>23.3691</v>
      </c>
      <c r="AD7069">
        <v>-1.115314432551</v>
      </c>
      <c r="AE7069">
        <v>-0.16779999999999901</v>
      </c>
      <c r="AF7069">
        <v>-1.2844342908139399</v>
      </c>
      <c r="AG7069">
        <v>-1.115314432551</v>
      </c>
      <c r="AH7069">
        <v>23.281190725728798</v>
      </c>
      <c r="AI7069">
        <v>92.738570469112503</v>
      </c>
      <c r="AJ7069">
        <v>93.157833901445301</v>
      </c>
      <c r="AK7069">
        <v>23.343254686068001</v>
      </c>
      <c r="AL7069">
        <v>81.077572425917296</v>
      </c>
      <c r="AM7069">
        <v>94.240608658170899</v>
      </c>
      <c r="AN7069">
        <v>1.0000000224502701</v>
      </c>
    </row>
    <row r="7070" spans="1:40" x14ac:dyDescent="0.25">
      <c r="A7070" t="str">
        <f>"20190303162958128"</f>
        <v>20190303162958128</v>
      </c>
      <c r="B7070" t="str">
        <f>"1551601798119624"</f>
        <v>1551601798119624</v>
      </c>
      <c r="C7070" t="s">
        <v>40</v>
      </c>
      <c r="D7070">
        <v>5.8927310000000004</v>
      </c>
      <c r="E7070">
        <v>0.50777220000000001</v>
      </c>
      <c r="F7070" t="s">
        <v>44</v>
      </c>
      <c r="G7070">
        <v>-154.8766</v>
      </c>
      <c r="H7070">
        <v>0.99853689999999995</v>
      </c>
      <c r="I7070">
        <v>138.4872</v>
      </c>
      <c r="J7070">
        <v>-155.25530000000001</v>
      </c>
      <c r="K7070">
        <v>1.1168020000000001</v>
      </c>
      <c r="L7070">
        <v>138.4451</v>
      </c>
      <c r="M7070">
        <v>0.99729500000000004</v>
      </c>
      <c r="N7070">
        <v>-1.396595E-2</v>
      </c>
      <c r="O7070">
        <v>-7.2164359999999997E-2</v>
      </c>
      <c r="P7070">
        <v>0.98967830000000001</v>
      </c>
      <c r="Q7070">
        <v>0.1419974</v>
      </c>
      <c r="R7070">
        <v>1.9335189999999999E-2</v>
      </c>
      <c r="S7070">
        <v>3.0825809999999998</v>
      </c>
      <c r="T7070">
        <v>-0.36622510000000003</v>
      </c>
      <c r="U7070">
        <v>-2.4429320000000001E-2</v>
      </c>
      <c r="V7070">
        <v>-8.899514E-2</v>
      </c>
      <c r="W7070">
        <v>0.15673719999999999</v>
      </c>
      <c r="X7070">
        <v>0.98362260000000001</v>
      </c>
      <c r="Y7070">
        <v>-6.3372390000000001E-2</v>
      </c>
      <c r="Z7070">
        <v>1.1727110000000001E-2</v>
      </c>
      <c r="AA7070">
        <v>0.99792099999999995</v>
      </c>
      <c r="AB7070">
        <v>31</v>
      </c>
      <c r="AC7070">
        <v>0.37870000000000897</v>
      </c>
      <c r="AD7070">
        <v>-0.1182651</v>
      </c>
      <c r="AE7070">
        <v>4.2100000000004897E-2</v>
      </c>
      <c r="AF7070">
        <v>-6.3230184546355997E-2</v>
      </c>
      <c r="AG7070">
        <v>-0.1182651</v>
      </c>
      <c r="AH7070">
        <v>0.34175112443963901</v>
      </c>
      <c r="AI7070">
        <v>108.79246456854101</v>
      </c>
      <c r="AJ7070">
        <v>100.48222749455699</v>
      </c>
      <c r="AK7070">
        <v>0.36712194318990699</v>
      </c>
      <c r="AL7070">
        <v>80.982438397884806</v>
      </c>
      <c r="AM7070">
        <v>95.169869156699093</v>
      </c>
      <c r="AN7070">
        <v>1.0000000520190999</v>
      </c>
    </row>
    <row r="7071" spans="1:40" x14ac:dyDescent="0.25">
      <c r="A7071" t="str">
        <f>"20190303162958185"</f>
        <v>20190303162958185</v>
      </c>
      <c r="B7071" t="str">
        <f>"1551601798179160"</f>
        <v>1551601798179160</v>
      </c>
      <c r="C7071" t="s">
        <v>40</v>
      </c>
      <c r="D7071">
        <v>5.8295240000000002</v>
      </c>
      <c r="E7071">
        <v>0.51353909999999903</v>
      </c>
      <c r="F7071" t="s">
        <v>41</v>
      </c>
      <c r="G7071">
        <v>-145.0421</v>
      </c>
      <c r="H7071" s="1">
        <v>-2.3299159999999999E-6</v>
      </c>
      <c r="I7071">
        <v>138.37219999999999</v>
      </c>
      <c r="J7071">
        <v>-154.46950000000001</v>
      </c>
      <c r="K7071">
        <v>1.1188990000000001</v>
      </c>
      <c r="L7071">
        <v>138.37790000000001</v>
      </c>
      <c r="M7071">
        <v>0.99676109999999896</v>
      </c>
      <c r="N7071">
        <v>-1.409824E-2</v>
      </c>
      <c r="O7071">
        <v>-7.9173809999999997E-2</v>
      </c>
      <c r="P7071">
        <v>0.9901221</v>
      </c>
      <c r="Q7071">
        <v>0.13664670000000001</v>
      </c>
      <c r="R7071">
        <v>3.1403390000000003E-2</v>
      </c>
      <c r="S7071">
        <v>3.0800480000000001</v>
      </c>
      <c r="T7071">
        <v>-0.33679930000000002</v>
      </c>
      <c r="U7071">
        <v>-2.1972660000000001E-2</v>
      </c>
      <c r="V7071">
        <v>-0.10881150000000001</v>
      </c>
      <c r="W7071">
        <v>0.15116019999999999</v>
      </c>
      <c r="X7071">
        <v>0.98250219999999999</v>
      </c>
      <c r="Y7071">
        <v>-7.1231619999999995E-2</v>
      </c>
      <c r="Z7071">
        <v>1.1896749999999999E-2</v>
      </c>
      <c r="AA7071">
        <v>0.99738879999999996</v>
      </c>
      <c r="AB7071">
        <v>31</v>
      </c>
      <c r="AC7071">
        <v>9.4274000000000004</v>
      </c>
      <c r="AD7071">
        <v>-1.118901329916</v>
      </c>
      <c r="AE7071">
        <v>-5.7000000000186901E-3</v>
      </c>
      <c r="AF7071">
        <v>-0.73050510710958905</v>
      </c>
      <c r="AG7071">
        <v>-1.118901329916</v>
      </c>
      <c r="AH7071">
        <v>9.2677027701007795</v>
      </c>
      <c r="AI7071">
        <v>96.862989600987007</v>
      </c>
      <c r="AJ7071">
        <v>94.506888134488307</v>
      </c>
      <c r="AK7071">
        <v>9.3635405981142998</v>
      </c>
      <c r="AL7071">
        <v>81.305831832844305</v>
      </c>
      <c r="AM7071">
        <v>96.319717472755897</v>
      </c>
      <c r="AN7071">
        <v>0.99999996080056397</v>
      </c>
    </row>
    <row r="7072" spans="1:40" x14ac:dyDescent="0.25">
      <c r="A7072" t="str">
        <f>"20190303162958211"</f>
        <v>20190303162958211</v>
      </c>
      <c r="B7072" t="str">
        <f>"1551601798198680"</f>
        <v>1551601798198680</v>
      </c>
      <c r="C7072" t="s">
        <v>40</v>
      </c>
      <c r="D7072">
        <v>5.8430759999999999</v>
      </c>
      <c r="E7072">
        <v>0.51412009999999997</v>
      </c>
      <c r="F7072" t="s">
        <v>41</v>
      </c>
      <c r="G7072">
        <v>-135.4333</v>
      </c>
      <c r="H7072" s="1">
        <v>-2.1850240000000001E-6</v>
      </c>
      <c r="I7072">
        <v>138.24279999999999</v>
      </c>
      <c r="J7072">
        <v>-154.12649999999999</v>
      </c>
      <c r="K7072">
        <v>1.1199779999999999</v>
      </c>
      <c r="L7072">
        <v>138.3494</v>
      </c>
      <c r="M7072">
        <v>0.99672039999999995</v>
      </c>
      <c r="N7072">
        <v>-1.414958E-2</v>
      </c>
      <c r="O7072">
        <v>-7.9676650000000002E-2</v>
      </c>
      <c r="P7072">
        <v>0.99007630000000002</v>
      </c>
      <c r="Q7072">
        <v>0.13709640000000001</v>
      </c>
      <c r="R7072">
        <v>3.0884890000000002E-2</v>
      </c>
      <c r="S7072">
        <v>3.0553889999999999</v>
      </c>
      <c r="T7072">
        <v>-0.1795881</v>
      </c>
      <c r="U7072">
        <v>-2.1682739999999999E-2</v>
      </c>
      <c r="V7072">
        <v>-0.1091761</v>
      </c>
      <c r="W7072">
        <v>0.15137790000000001</v>
      </c>
      <c r="X7072">
        <v>0.98242830000000003</v>
      </c>
      <c r="Y7072">
        <v>-7.2374809999999998E-2</v>
      </c>
      <c r="Z7072">
        <v>6.185126E-3</v>
      </c>
      <c r="AA7072">
        <v>0.99735830000000003</v>
      </c>
      <c r="AB7072">
        <v>31</v>
      </c>
      <c r="AC7072">
        <v>18.693199999999901</v>
      </c>
      <c r="AD7072">
        <v>-1.1199801850239901</v>
      </c>
      <c r="AE7072">
        <v>-0.106600000000014</v>
      </c>
      <c r="AF7072">
        <v>-1.37835189393632</v>
      </c>
      <c r="AG7072">
        <v>-1.1199801850239901</v>
      </c>
      <c r="AH7072">
        <v>18.5755744987889</v>
      </c>
      <c r="AI7072">
        <v>93.440929911403401</v>
      </c>
      <c r="AJ7072">
        <v>94.243706173817102</v>
      </c>
      <c r="AK7072">
        <v>18.660283425458001</v>
      </c>
      <c r="AL7072">
        <v>81.293213916493201</v>
      </c>
      <c r="AM7072">
        <v>96.341194146557498</v>
      </c>
      <c r="AN7072">
        <v>1.00000002703025</v>
      </c>
    </row>
    <row r="7073" spans="1:40" x14ac:dyDescent="0.25">
      <c r="A7073" t="str">
        <f>"20190303162958233"</f>
        <v>20190303162958233</v>
      </c>
      <c r="B7073" t="str">
        <f>"1551601798228935"</f>
        <v>1551601798228935</v>
      </c>
      <c r="C7073" t="s">
        <v>40</v>
      </c>
      <c r="D7073">
        <v>5.8400100000000004</v>
      </c>
      <c r="E7073">
        <v>0.514428</v>
      </c>
      <c r="F7073" t="s">
        <v>41</v>
      </c>
      <c r="G7073">
        <v>-135.93680000000001</v>
      </c>
      <c r="H7073" s="1">
        <v>-1.974858E-6</v>
      </c>
      <c r="I7073">
        <v>138.21</v>
      </c>
      <c r="J7073">
        <v>-153.80699999999999</v>
      </c>
      <c r="K7073">
        <v>1.120951</v>
      </c>
      <c r="L7073">
        <v>138.32399999999899</v>
      </c>
      <c r="M7073">
        <v>0.9967741</v>
      </c>
      <c r="N7073">
        <v>-1.420046E-2</v>
      </c>
      <c r="O7073">
        <v>-7.899217E-2</v>
      </c>
      <c r="P7073">
        <v>0.99044600000000005</v>
      </c>
      <c r="Q7073">
        <v>0.13440669999999999</v>
      </c>
      <c r="R7073">
        <v>3.0848029999999999E-2</v>
      </c>
      <c r="S7073">
        <v>3.0568849999999999</v>
      </c>
      <c r="T7073">
        <v>-0.18821860000000001</v>
      </c>
      <c r="U7073">
        <v>-2.34375E-2</v>
      </c>
      <c r="V7073">
        <v>-0.1088505</v>
      </c>
      <c r="W7073">
        <v>0.14848699999999901</v>
      </c>
      <c r="X7073">
        <v>0.98290549999999999</v>
      </c>
      <c r="Y7073">
        <v>-7.1100919999999998E-2</v>
      </c>
      <c r="Z7073">
        <v>6.4252170000000004E-3</v>
      </c>
      <c r="AA7073">
        <v>0.99744840000000001</v>
      </c>
      <c r="AB7073">
        <v>31</v>
      </c>
      <c r="AC7073">
        <v>17.870200000000001</v>
      </c>
      <c r="AD7073">
        <v>-1.1209529748580001</v>
      </c>
      <c r="AE7073">
        <v>-0.113999999999975</v>
      </c>
      <c r="AF7073">
        <v>-1.2930170265044401</v>
      </c>
      <c r="AG7073">
        <v>-1.1209529748580001</v>
      </c>
      <c r="AH7073">
        <v>17.7535020278575</v>
      </c>
      <c r="AI7073">
        <v>93.6033304689403</v>
      </c>
      <c r="AJ7073">
        <v>94.165591740228393</v>
      </c>
      <c r="AK7073">
        <v>17.835786017325201</v>
      </c>
      <c r="AL7073">
        <v>81.460744014157498</v>
      </c>
      <c r="AM7073">
        <v>96.319391235467194</v>
      </c>
      <c r="AN7073">
        <v>1.00000002122474</v>
      </c>
    </row>
    <row r="7074" spans="1:40" x14ac:dyDescent="0.25">
      <c r="A7074" t="str">
        <f>"20190303162958318"</f>
        <v>20190303162958318</v>
      </c>
      <c r="B7074" t="str">
        <f>"1551601798308969"</f>
        <v>1551601798308969</v>
      </c>
      <c r="C7074" t="s">
        <v>40</v>
      </c>
      <c r="D7074">
        <v>5.8940010000000003</v>
      </c>
      <c r="E7074">
        <v>0.51387179999999999</v>
      </c>
      <c r="F7074" t="s">
        <v>41</v>
      </c>
      <c r="G7074">
        <v>-136.11179999999999</v>
      </c>
      <c r="H7074" s="1">
        <v>-1.9061029999999999E-6</v>
      </c>
      <c r="I7074">
        <v>138.17420000000001</v>
      </c>
      <c r="J7074">
        <v>-152.66839999999999</v>
      </c>
      <c r="K7074">
        <v>1.124557</v>
      </c>
      <c r="L7074">
        <v>138.24770000000001</v>
      </c>
      <c r="M7074">
        <v>0.99761089999999997</v>
      </c>
      <c r="N7074">
        <v>-1.584644E-2</v>
      </c>
      <c r="O7074">
        <v>-6.7241270000000006E-2</v>
      </c>
      <c r="P7074">
        <v>0.99033090000000001</v>
      </c>
      <c r="Q7074">
        <v>0.13009680000000001</v>
      </c>
      <c r="R7074">
        <v>4.8159550000000002E-2</v>
      </c>
      <c r="S7074">
        <v>3.0560149999999999</v>
      </c>
      <c r="T7074">
        <v>-0.19359219999999999</v>
      </c>
      <c r="U7074">
        <v>-2.5863649999999998E-2</v>
      </c>
      <c r="V7074">
        <v>-0.115630399999999</v>
      </c>
      <c r="W7074">
        <v>0.14490980000000001</v>
      </c>
      <c r="X7074">
        <v>0.98266509999999996</v>
      </c>
      <c r="Y7074">
        <v>-5.8581170000000002E-2</v>
      </c>
      <c r="Z7074">
        <v>5.5054539999999999E-3</v>
      </c>
      <c r="AA7074">
        <v>0.99826749999999997</v>
      </c>
      <c r="AB7074">
        <v>30</v>
      </c>
      <c r="AC7074">
        <v>16.5566</v>
      </c>
      <c r="AD7074">
        <v>-1.1245589061029999</v>
      </c>
      <c r="AE7074">
        <v>-7.3499999999995597E-2</v>
      </c>
      <c r="AF7074">
        <v>-1.0353167564566701</v>
      </c>
      <c r="AG7074">
        <v>-1.1245589061029999</v>
      </c>
      <c r="AH7074">
        <v>16.448180901863701</v>
      </c>
      <c r="AI7074">
        <v>93.903513369886198</v>
      </c>
      <c r="AJ7074">
        <v>93.601682540942306</v>
      </c>
      <c r="AK7074">
        <v>16.519054709635402</v>
      </c>
      <c r="AL7074">
        <v>81.667943798076706</v>
      </c>
      <c r="AM7074">
        <v>96.711144661214007</v>
      </c>
      <c r="AN7074">
        <v>0.99999996914910405</v>
      </c>
    </row>
    <row r="7075" spans="1:40" x14ac:dyDescent="0.25">
      <c r="A7075" t="str">
        <f>"20190303162958366"</f>
        <v>20190303162958366</v>
      </c>
      <c r="B7075" t="str">
        <f>"1551601798358744"</f>
        <v>1551601798358744</v>
      </c>
      <c r="C7075" t="s">
        <v>40</v>
      </c>
      <c r="D7075">
        <v>5.8788220000000004</v>
      </c>
      <c r="E7075">
        <v>0.51399110000000003</v>
      </c>
      <c r="F7075" t="s">
        <v>41</v>
      </c>
      <c r="G7075">
        <v>-135.51339999999999</v>
      </c>
      <c r="H7075" s="1">
        <v>-2.125807E-6</v>
      </c>
      <c r="I7075">
        <v>138.38290000000001</v>
      </c>
      <c r="J7075">
        <v>-152.04839999999999</v>
      </c>
      <c r="K7075">
        <v>1.1262509999999999</v>
      </c>
      <c r="L7075">
        <v>138.21889999999999</v>
      </c>
      <c r="M7075">
        <v>0.99829920000000005</v>
      </c>
      <c r="N7075">
        <v>-1.7435860000000001E-2</v>
      </c>
      <c r="O7075">
        <v>-5.563303E-2</v>
      </c>
      <c r="P7075">
        <v>0.98898379999999997</v>
      </c>
      <c r="Q7075">
        <v>0.1352804</v>
      </c>
      <c r="R7075">
        <v>6.008865E-2</v>
      </c>
      <c r="S7075">
        <v>3.0544280000000001</v>
      </c>
      <c r="T7075">
        <v>-0.2002263</v>
      </c>
      <c r="U7075">
        <v>2.4093630000000001E-2</v>
      </c>
      <c r="V7075">
        <v>-0.1165563</v>
      </c>
      <c r="W7075">
        <v>0.1512502</v>
      </c>
      <c r="X7075">
        <v>0.98159969999999996</v>
      </c>
      <c r="Y7075">
        <v>-6.3279150000000006E-2</v>
      </c>
      <c r="Z7075">
        <v>5.2963630000000001E-3</v>
      </c>
      <c r="AA7075">
        <v>0.99798180000000003</v>
      </c>
      <c r="AB7075">
        <v>30</v>
      </c>
      <c r="AC7075">
        <v>16.534999999999901</v>
      </c>
      <c r="AD7075">
        <v>-1.1262531258069901</v>
      </c>
      <c r="AE7075">
        <v>0.16400000000001499</v>
      </c>
      <c r="AF7075">
        <v>-1.0787733997312601</v>
      </c>
      <c r="AG7075">
        <v>-1.1262531258069901</v>
      </c>
      <c r="AH7075">
        <v>16.424068345279299</v>
      </c>
      <c r="AI7075">
        <v>93.914413196018003</v>
      </c>
      <c r="AJ7075">
        <v>93.757930465363202</v>
      </c>
      <c r="AK7075">
        <v>16.4979459073474</v>
      </c>
      <c r="AL7075">
        <v>81.300615424811497</v>
      </c>
      <c r="AM7075">
        <v>96.771661260274598</v>
      </c>
      <c r="AN7075">
        <v>0.99999998255490896</v>
      </c>
    </row>
    <row r="7076" spans="1:40" x14ac:dyDescent="0.25">
      <c r="A7076" t="str">
        <f>"20190303162958391"</f>
        <v>20190303162958391</v>
      </c>
      <c r="B7076" t="str">
        <f>"1551601798379240"</f>
        <v>1551601798379240</v>
      </c>
      <c r="C7076" t="s">
        <v>40</v>
      </c>
      <c r="D7076">
        <v>5.8919639999999998</v>
      </c>
      <c r="E7076">
        <v>0.51384879999999999</v>
      </c>
      <c r="F7076" t="s">
        <v>41</v>
      </c>
      <c r="G7076">
        <v>-133.77440000000001</v>
      </c>
      <c r="H7076" s="1">
        <v>-2.8312079999999999E-6</v>
      </c>
      <c r="I7076">
        <v>138.61199999999999</v>
      </c>
      <c r="J7076">
        <v>-151.71340000000001</v>
      </c>
      <c r="K7076">
        <v>1.127</v>
      </c>
      <c r="L7076">
        <v>138.2081</v>
      </c>
      <c r="M7076">
        <v>0.99866929999999998</v>
      </c>
      <c r="N7076">
        <v>-1.8383099999999999E-2</v>
      </c>
      <c r="O7076">
        <v>-4.818335E-2</v>
      </c>
      <c r="P7076">
        <v>0.98852580000000001</v>
      </c>
      <c r="Q7076">
        <v>0.13540260000000001</v>
      </c>
      <c r="R7076">
        <v>6.6952479999999995E-2</v>
      </c>
      <c r="S7076">
        <v>3.055161</v>
      </c>
      <c r="T7076">
        <v>-0.1882935</v>
      </c>
      <c r="U7076">
        <v>6.5719600000000003E-2</v>
      </c>
      <c r="V7076">
        <v>-0.1162786</v>
      </c>
      <c r="W7076">
        <v>0.15213859999999901</v>
      </c>
      <c r="X7076">
        <v>0.98149540000000002</v>
      </c>
      <c r="Y7076">
        <v>-6.9445339999999994E-2</v>
      </c>
      <c r="Z7076">
        <v>4.8576319999999997E-3</v>
      </c>
      <c r="AA7076">
        <v>0.99757390000000001</v>
      </c>
      <c r="AB7076">
        <v>30</v>
      </c>
      <c r="AC7076">
        <v>17.938999999999901</v>
      </c>
      <c r="AD7076">
        <v>-1.127002831208</v>
      </c>
      <c r="AE7076">
        <v>0.40389999999999199</v>
      </c>
      <c r="AF7076">
        <v>-1.2629557368836899</v>
      </c>
      <c r="AG7076">
        <v>-1.127002831208</v>
      </c>
      <c r="AH7076">
        <v>17.8283617071504</v>
      </c>
      <c r="AI7076">
        <v>93.608067231266006</v>
      </c>
      <c r="AJ7076">
        <v>94.052046614401604</v>
      </c>
      <c r="AK7076">
        <v>17.9085363370618</v>
      </c>
      <c r="AL7076">
        <v>81.249118429365197</v>
      </c>
      <c r="AM7076">
        <v>96.756388067480501</v>
      </c>
      <c r="AN7076">
        <v>1.00000004332453</v>
      </c>
    </row>
    <row r="7077" spans="1:40" x14ac:dyDescent="0.25">
      <c r="A7077" t="str">
        <f>"20190303162958411"</f>
        <v>20190303162958411</v>
      </c>
      <c r="B7077" t="str">
        <f>"1551601798398760"</f>
        <v>1551601798398760</v>
      </c>
      <c r="C7077" t="s">
        <v>40</v>
      </c>
      <c r="D7077">
        <v>5.8953379999999997</v>
      </c>
      <c r="E7077">
        <v>0.51529190000000002</v>
      </c>
      <c r="F7077" t="s">
        <v>41</v>
      </c>
      <c r="G7077">
        <v>-133.62860000000001</v>
      </c>
      <c r="H7077" s="1">
        <v>-2.8699210000000002E-6</v>
      </c>
      <c r="I7077">
        <v>138.74619999999999</v>
      </c>
      <c r="J7077">
        <v>-151.44980000000001</v>
      </c>
      <c r="K7077">
        <v>1.1274879999999901</v>
      </c>
      <c r="L7077">
        <v>138.20189999999999</v>
      </c>
      <c r="M7077">
        <v>0.99893639999999995</v>
      </c>
      <c r="N7077">
        <v>-1.9160190000000001E-2</v>
      </c>
      <c r="O7077">
        <v>-4.1941649999999997E-2</v>
      </c>
      <c r="P7077">
        <v>0.98858970000000002</v>
      </c>
      <c r="Q7077">
        <v>0.13365439999999901</v>
      </c>
      <c r="R7077">
        <v>6.9478410000000004E-2</v>
      </c>
      <c r="S7077">
        <v>3.0547179999999998</v>
      </c>
      <c r="T7077">
        <v>-0.19036349999999999</v>
      </c>
      <c r="U7077">
        <v>9.0896610000000003E-2</v>
      </c>
      <c r="V7077">
        <v>-0.1127816</v>
      </c>
      <c r="W7077">
        <v>0.15110409999999999</v>
      </c>
      <c r="X7077">
        <v>0.98206309999999997</v>
      </c>
      <c r="Y7077">
        <v>-7.1427480000000002E-2</v>
      </c>
      <c r="Z7077">
        <v>4.715739E-3</v>
      </c>
      <c r="AA7077">
        <v>0.99743470000000001</v>
      </c>
      <c r="AB7077">
        <v>29</v>
      </c>
      <c r="AC7077">
        <v>17.821200000000001</v>
      </c>
      <c r="AD7077">
        <v>-1.12749086992099</v>
      </c>
      <c r="AE7077">
        <v>0.54429999999999201</v>
      </c>
      <c r="AF7077">
        <v>-1.2862648653137001</v>
      </c>
      <c r="AG7077">
        <v>-1.12749086992099</v>
      </c>
      <c r="AH7077">
        <v>17.711850644656302</v>
      </c>
      <c r="AI7077">
        <v>93.632845991417597</v>
      </c>
      <c r="AJ7077">
        <v>94.153625720990803</v>
      </c>
      <c r="AK7077">
        <v>17.794250931806801</v>
      </c>
      <c r="AL7077">
        <v>81.309084128976096</v>
      </c>
      <c r="AM7077">
        <v>96.551233420876699</v>
      </c>
      <c r="AN7077">
        <v>1.0000000353584799</v>
      </c>
    </row>
    <row r="7078" spans="1:40" x14ac:dyDescent="0.25">
      <c r="A7078" t="str">
        <f>"20190303162958434"</f>
        <v>20190303162958434</v>
      </c>
      <c r="B7078" t="str">
        <f>"1551601798429016"</f>
        <v>1551601798429016</v>
      </c>
      <c r="C7078" t="s">
        <v>40</v>
      </c>
      <c r="D7078">
        <v>5.6709820000000004</v>
      </c>
      <c r="E7078">
        <v>0.51846579999999998</v>
      </c>
      <c r="F7078" t="s">
        <v>41</v>
      </c>
      <c r="G7078">
        <v>-140.9545</v>
      </c>
      <c r="H7078" s="1">
        <v>-4.058577E-6</v>
      </c>
      <c r="I7078">
        <v>138.51249999999999</v>
      </c>
      <c r="J7078">
        <v>-151.16210000000001</v>
      </c>
      <c r="K7078">
        <v>1.1279330000000001</v>
      </c>
      <c r="L7078">
        <v>138.19759999999999</v>
      </c>
      <c r="M7078">
        <v>0.99919559999999996</v>
      </c>
      <c r="N7078">
        <v>-2.0011069999999999E-2</v>
      </c>
      <c r="O7078">
        <v>-3.4754159999999999E-2</v>
      </c>
      <c r="P7078">
        <v>0.98884950000000005</v>
      </c>
      <c r="Q7078">
        <v>0.1318723</v>
      </c>
      <c r="R7078">
        <v>6.9184869999999996E-2</v>
      </c>
      <c r="S7078">
        <v>3.0728610000000001</v>
      </c>
      <c r="T7078">
        <v>-0.33011249999999998</v>
      </c>
      <c r="U7078">
        <v>9.0942380000000003E-2</v>
      </c>
      <c r="V7078">
        <v>-0.10552250000000001</v>
      </c>
      <c r="W7078">
        <v>0.1501844</v>
      </c>
      <c r="X7078">
        <v>0.98301050000000001</v>
      </c>
      <c r="Y7078">
        <v>-6.374291E-2</v>
      </c>
      <c r="Z7078">
        <v>7.0816909999999898E-3</v>
      </c>
      <c r="AA7078">
        <v>0.99794130000000003</v>
      </c>
      <c r="AB7078">
        <v>29</v>
      </c>
      <c r="AC7078">
        <v>10.207599999999999</v>
      </c>
      <c r="AD7078">
        <v>-1.1279370585770001</v>
      </c>
      <c r="AE7078">
        <v>0.31489999999999402</v>
      </c>
      <c r="AF7078">
        <v>-0.66146830489038599</v>
      </c>
      <c r="AG7078">
        <v>-1.1279370585770001</v>
      </c>
      <c r="AH7078">
        <v>10.067673425007699</v>
      </c>
      <c r="AI7078">
        <v>96.378865892498894</v>
      </c>
      <c r="AJ7078">
        <v>93.759056040397496</v>
      </c>
      <c r="AK7078">
        <v>10.152232784914499</v>
      </c>
      <c r="AL7078">
        <v>81.362387022860304</v>
      </c>
      <c r="AM7078">
        <v>96.127025135662095</v>
      </c>
      <c r="AN7078">
        <v>0.99999999755992997</v>
      </c>
    </row>
    <row r="7079" spans="1:40" x14ac:dyDescent="0.25">
      <c r="A7079" t="str">
        <f>"20190303162958453"</f>
        <v>20190303162958453</v>
      </c>
      <c r="B7079" t="str">
        <f>"1551601798438776"</f>
        <v>1551601798438776</v>
      </c>
      <c r="C7079" t="s">
        <v>40</v>
      </c>
      <c r="D7079">
        <v>6.0493189999999997</v>
      </c>
      <c r="E7079">
        <v>0.51846579999999998</v>
      </c>
      <c r="F7079" t="s">
        <v>41</v>
      </c>
      <c r="G7079">
        <v>-141.10830000000001</v>
      </c>
      <c r="H7079" s="1">
        <v>-4.0087670000000002E-6</v>
      </c>
      <c r="I7079">
        <v>138.42140000000001</v>
      </c>
      <c r="J7079">
        <v>-150.91990000000001</v>
      </c>
      <c r="K7079">
        <v>1.128244</v>
      </c>
      <c r="L7079">
        <v>138.1961</v>
      </c>
      <c r="M7079">
        <v>0.99938079999999996</v>
      </c>
      <c r="N7079">
        <v>-2.0736640000000001E-2</v>
      </c>
      <c r="O7079">
        <v>-2.8425280000000001E-2</v>
      </c>
      <c r="P7079">
        <v>0.98934869999999997</v>
      </c>
      <c r="Q7079">
        <v>0.1307885</v>
      </c>
      <c r="R7079">
        <v>6.3902139999999996E-2</v>
      </c>
      <c r="S7079">
        <v>3.075043</v>
      </c>
      <c r="T7079">
        <v>-0.3449873</v>
      </c>
      <c r="U7079">
        <v>6.8466189999999996E-2</v>
      </c>
      <c r="V7079">
        <v>-9.4091830000000001E-2</v>
      </c>
      <c r="W7079">
        <v>0.14994060000000001</v>
      </c>
      <c r="X7079">
        <v>0.98420759999999996</v>
      </c>
      <c r="Y7079">
        <v>-5.0183239999999997E-2</v>
      </c>
      <c r="Z7079">
        <v>5.9188690000000002E-3</v>
      </c>
      <c r="AA7079">
        <v>0.99872249999999996</v>
      </c>
      <c r="AB7079">
        <v>29</v>
      </c>
      <c r="AC7079">
        <v>9.8116000000000003</v>
      </c>
      <c r="AD7079">
        <v>-1.1282480087669999</v>
      </c>
      <c r="AE7079">
        <v>0.225300000000004</v>
      </c>
      <c r="AF7079">
        <v>-0.49759022374259998</v>
      </c>
      <c r="AG7079">
        <v>-1.1282480087669999</v>
      </c>
      <c r="AH7079">
        <v>9.6733844297118505</v>
      </c>
      <c r="AI7079">
        <v>96.643887744550398</v>
      </c>
      <c r="AJ7079">
        <v>92.944648206193094</v>
      </c>
      <c r="AK7079">
        <v>9.7516617007073396</v>
      </c>
      <c r="AL7079">
        <v>81.376515984167199</v>
      </c>
      <c r="AM7079">
        <v>95.460971901454002</v>
      </c>
      <c r="AN7079">
        <v>1.0000000279494301</v>
      </c>
    </row>
    <row r="7080" spans="1:40" x14ac:dyDescent="0.25">
      <c r="A7080" t="str">
        <f>"20190303162958475"</f>
        <v>20190303162958475</v>
      </c>
      <c r="B7080" t="str">
        <f>"1551601798469032"</f>
        <v>1551601798469032</v>
      </c>
      <c r="C7080" t="s">
        <v>40</v>
      </c>
      <c r="D7080">
        <v>5.8515699999999997</v>
      </c>
      <c r="E7080">
        <v>0.51417429999999997</v>
      </c>
      <c r="F7080" t="s">
        <v>41</v>
      </c>
      <c r="G7080">
        <v>-140.98509999999999</v>
      </c>
      <c r="H7080" s="1">
        <v>-4.0692400000000002E-6</v>
      </c>
      <c r="I7080">
        <v>138.3784</v>
      </c>
      <c r="J7080">
        <v>-150.6397</v>
      </c>
      <c r="K7080">
        <v>1.128555</v>
      </c>
      <c r="L7080">
        <v>138.19669999999999</v>
      </c>
      <c r="M7080">
        <v>0.99955020000000006</v>
      </c>
      <c r="N7080">
        <v>-2.1594510000000001E-2</v>
      </c>
      <c r="O7080">
        <v>-2.0814059999999999E-2</v>
      </c>
      <c r="P7080">
        <v>0.98995659999999996</v>
      </c>
      <c r="Q7080">
        <v>0.12834880000000001</v>
      </c>
      <c r="R7080">
        <v>5.9268550000000003E-2</v>
      </c>
      <c r="S7080">
        <v>3.0748289999999998</v>
      </c>
      <c r="T7080">
        <v>-0.34919230000000001</v>
      </c>
      <c r="U7080">
        <v>5.6442260000000001E-2</v>
      </c>
      <c r="V7080">
        <v>-8.2009949999999998E-2</v>
      </c>
      <c r="W7080">
        <v>0.1485012</v>
      </c>
      <c r="X7080">
        <v>0.98550579999999999</v>
      </c>
      <c r="Y7080">
        <v>-3.8779929999999997E-2</v>
      </c>
      <c r="Z7080">
        <v>4.5228170000000002E-3</v>
      </c>
      <c r="AA7080">
        <v>0.9992375</v>
      </c>
      <c r="AB7080">
        <v>29</v>
      </c>
      <c r="AC7080">
        <v>9.6546000000000092</v>
      </c>
      <c r="AD7080">
        <v>-1.12855906924</v>
      </c>
      <c r="AE7080">
        <v>0.181700000000006</v>
      </c>
      <c r="AF7080">
        <v>-0.37750250436927602</v>
      </c>
      <c r="AG7080">
        <v>-1.12855906924</v>
      </c>
      <c r="AH7080">
        <v>9.5187064911967703</v>
      </c>
      <c r="AI7080">
        <v>96.756288882189097</v>
      </c>
      <c r="AJ7080">
        <v>92.271103870593905</v>
      </c>
      <c r="AK7080">
        <v>9.5928060013283094</v>
      </c>
      <c r="AL7080">
        <v>81.459920766642099</v>
      </c>
      <c r="AM7080">
        <v>94.756971020781094</v>
      </c>
      <c r="AN7080">
        <v>0.99999996006703995</v>
      </c>
    </row>
    <row r="7081" spans="1:40" x14ac:dyDescent="0.25">
      <c r="A7081" t="str">
        <f>"20190303162958519"</f>
        <v>20190303162958519</v>
      </c>
      <c r="B7081" t="str">
        <f>"1551601798509048"</f>
        <v>1551601798509048</v>
      </c>
      <c r="C7081" t="s">
        <v>40</v>
      </c>
      <c r="D7081">
        <v>6.0469910000000002</v>
      </c>
      <c r="E7081">
        <v>0.51250909999999905</v>
      </c>
      <c r="F7081" t="s">
        <v>41</v>
      </c>
      <c r="G7081">
        <v>-135.8674</v>
      </c>
      <c r="H7081" s="1">
        <v>-1.9402239999999999E-6</v>
      </c>
      <c r="I7081">
        <v>138.5729</v>
      </c>
      <c r="J7081">
        <v>-150.1035</v>
      </c>
      <c r="K7081">
        <v>1.1289800000000001</v>
      </c>
      <c r="L7081">
        <v>138.20519999999999</v>
      </c>
      <c r="M7081">
        <v>0.99971359999999998</v>
      </c>
      <c r="N7081">
        <v>-2.3284920000000001E-2</v>
      </c>
      <c r="O7081">
        <v>-5.5298159999999999E-3</v>
      </c>
      <c r="P7081">
        <v>0.99089179999999999</v>
      </c>
      <c r="Q7081">
        <v>0.12635350000000001</v>
      </c>
      <c r="R7081">
        <v>4.6561789999999999E-2</v>
      </c>
      <c r="S7081">
        <v>3.0560459999999998</v>
      </c>
      <c r="T7081">
        <v>-0.23347190000000001</v>
      </c>
      <c r="U7081">
        <v>7.7835080000000001E-2</v>
      </c>
      <c r="V7081">
        <v>-5.4272210000000001E-2</v>
      </c>
      <c r="W7081">
        <v>0.14859029999999901</v>
      </c>
      <c r="X7081">
        <v>0.98740850000000002</v>
      </c>
      <c r="Y7081">
        <v>-3.0864920000000001E-2</v>
      </c>
      <c r="Z7081">
        <v>1.8303740000000001E-3</v>
      </c>
      <c r="AA7081">
        <v>0.99952189999999996</v>
      </c>
      <c r="AB7081">
        <v>28</v>
      </c>
      <c r="AC7081">
        <v>14.236099999999899</v>
      </c>
      <c r="AD7081">
        <v>-1.12898194022399</v>
      </c>
      <c r="AE7081">
        <v>0.36770000000001302</v>
      </c>
      <c r="AF7081">
        <v>-0.44365041294164698</v>
      </c>
      <c r="AG7081">
        <v>-1.12898194022399</v>
      </c>
      <c r="AH7081">
        <v>14.1449479663407</v>
      </c>
      <c r="AI7081">
        <v>94.561167066643605</v>
      </c>
      <c r="AJ7081">
        <v>91.796469376603795</v>
      </c>
      <c r="AK7081">
        <v>14.196865107506699</v>
      </c>
      <c r="AL7081">
        <v>81.454759195843295</v>
      </c>
      <c r="AM7081">
        <v>93.146056399177596</v>
      </c>
      <c r="AN7081">
        <v>1.0000000479523099</v>
      </c>
    </row>
    <row r="7082" spans="1:40" x14ac:dyDescent="0.25">
      <c r="A7082" t="str">
        <f>"20190303162958542"</f>
        <v>20190303162958542</v>
      </c>
      <c r="B7082" t="str">
        <f>"1551601798529545"</f>
        <v>1551601798529545</v>
      </c>
      <c r="C7082" t="s">
        <v>40</v>
      </c>
      <c r="D7082">
        <v>5.934266</v>
      </c>
      <c r="E7082">
        <v>0.51103569999999998</v>
      </c>
      <c r="F7082" t="s">
        <v>41</v>
      </c>
      <c r="G7082">
        <v>-135.7936</v>
      </c>
      <c r="H7082" s="1">
        <v>-1.9903860000000001E-6</v>
      </c>
      <c r="I7082">
        <v>138.46879999999999</v>
      </c>
      <c r="J7082">
        <v>-149.82990000000001</v>
      </c>
      <c r="K7082">
        <v>1.12907</v>
      </c>
      <c r="L7082">
        <v>138.2131</v>
      </c>
      <c r="M7082">
        <v>0.99970499999999995</v>
      </c>
      <c r="N7082">
        <v>-2.4158619999999999E-2</v>
      </c>
      <c r="O7082">
        <v>2.5440630000000001E-3</v>
      </c>
      <c r="P7082">
        <v>0.99087860000000005</v>
      </c>
      <c r="Q7082">
        <v>0.12838830000000001</v>
      </c>
      <c r="R7082">
        <v>4.0942989999999999E-2</v>
      </c>
      <c r="S7082">
        <v>3.0556640000000002</v>
      </c>
      <c r="T7082">
        <v>-0.2410765</v>
      </c>
      <c r="U7082">
        <v>5.628967E-2</v>
      </c>
      <c r="V7082">
        <v>-4.0695629999999997E-2</v>
      </c>
      <c r="W7082">
        <v>0.1516998</v>
      </c>
      <c r="X7082">
        <v>0.98758849999999998</v>
      </c>
      <c r="Y7082">
        <v>-1.5813440000000002E-2</v>
      </c>
      <c r="Z7082">
        <v>6.7524179999999998E-4</v>
      </c>
      <c r="AA7082">
        <v>0.99987470000000001</v>
      </c>
      <c r="AB7082">
        <v>28</v>
      </c>
      <c r="AC7082">
        <v>14.036300000000001</v>
      </c>
      <c r="AD7082">
        <v>-1.129071990386</v>
      </c>
      <c r="AE7082">
        <v>0.25569999999998999</v>
      </c>
      <c r="AF7082">
        <v>-0.218565757853427</v>
      </c>
      <c r="AG7082">
        <v>-1.129071990386</v>
      </c>
      <c r="AH7082">
        <v>13.946693087646601</v>
      </c>
      <c r="AI7082">
        <v>94.627792067732699</v>
      </c>
      <c r="AJ7082">
        <v>90.897837957092094</v>
      </c>
      <c r="AK7082">
        <v>13.9940281059811</v>
      </c>
      <c r="AL7082">
        <v>81.274554720035994</v>
      </c>
      <c r="AM7082">
        <v>92.3596563078451</v>
      </c>
      <c r="AN7082">
        <v>1.0000000044766899</v>
      </c>
    </row>
    <row r="7083" spans="1:40" x14ac:dyDescent="0.25">
      <c r="A7083" t="str">
        <f>"20190303162958568"</f>
        <v>20190303162958568</v>
      </c>
      <c r="B7083" t="str">
        <f>"1551601798558826"</f>
        <v>1551601798558826</v>
      </c>
      <c r="C7083" t="s">
        <v>40</v>
      </c>
      <c r="D7083">
        <v>5.2414139999999998</v>
      </c>
      <c r="E7083">
        <v>0.50262989999999996</v>
      </c>
      <c r="F7083" t="s">
        <v>41</v>
      </c>
      <c r="G7083">
        <v>-135.04859999999999</v>
      </c>
      <c r="H7083" s="1">
        <v>-2.3107970000000001E-6</v>
      </c>
      <c r="I7083">
        <v>138.46420000000001</v>
      </c>
      <c r="J7083">
        <v>-149.5341</v>
      </c>
      <c r="K7083">
        <v>1.129022</v>
      </c>
      <c r="L7083">
        <v>138.22460000000001</v>
      </c>
      <c r="M7083">
        <v>0.99962050000000002</v>
      </c>
      <c r="N7083">
        <v>-2.5099969999999999E-2</v>
      </c>
      <c r="O7083">
        <v>1.13507E-2</v>
      </c>
      <c r="P7083">
        <v>0.99106499999999997</v>
      </c>
      <c r="Q7083">
        <v>0.1283936</v>
      </c>
      <c r="R7083">
        <v>3.6133199999999997E-2</v>
      </c>
      <c r="S7083">
        <v>3.0557249999999998</v>
      </c>
      <c r="T7083">
        <v>-0.23341100000000001</v>
      </c>
      <c r="U7083">
        <v>5.1910400000000002E-2</v>
      </c>
      <c r="V7083">
        <v>-2.7117329999999999E-2</v>
      </c>
      <c r="W7083">
        <v>0.152857299999999</v>
      </c>
      <c r="X7083">
        <v>0.98787619999999998</v>
      </c>
      <c r="Y7083">
        <v>-5.6248399999999999E-3</v>
      </c>
      <c r="Z7083">
        <v>-2.9576020000000001E-4</v>
      </c>
      <c r="AA7083">
        <v>0.99998410000000004</v>
      </c>
      <c r="AB7083">
        <v>27</v>
      </c>
      <c r="AC7083">
        <v>14.4855</v>
      </c>
      <c r="AD7083">
        <v>-1.1290243107969999</v>
      </c>
      <c r="AE7083">
        <v>0.23959999999999501</v>
      </c>
      <c r="AF7083">
        <v>-7.4658750786934597E-2</v>
      </c>
      <c r="AG7083">
        <v>-1.1290243107969999</v>
      </c>
      <c r="AH7083">
        <v>14.3998330082647</v>
      </c>
      <c r="AI7083">
        <v>94.483065570072995</v>
      </c>
      <c r="AJ7083">
        <v>90.297058514003098</v>
      </c>
      <c r="AK7083">
        <v>14.4442189297085</v>
      </c>
      <c r="AL7083">
        <v>81.207452637385998</v>
      </c>
      <c r="AM7083">
        <v>91.572381733877705</v>
      </c>
      <c r="AN7083">
        <v>1.00000004513802</v>
      </c>
    </row>
    <row r="7084" spans="1:40" x14ac:dyDescent="0.25">
      <c r="A7084" t="str">
        <f>"20190303162958588"</f>
        <v>20190303162958588</v>
      </c>
      <c r="B7084" t="str">
        <f>"1551601798579321"</f>
        <v>1551601798579321</v>
      </c>
      <c r="C7084" t="s">
        <v>40</v>
      </c>
      <c r="D7084">
        <v>6.0128979999999999</v>
      </c>
      <c r="E7084">
        <v>0.50249520000000003</v>
      </c>
      <c r="F7084" t="s">
        <v>41</v>
      </c>
      <c r="G7084">
        <v>-134.48220000000001</v>
      </c>
      <c r="H7084" s="1">
        <v>-2.504847E-6</v>
      </c>
      <c r="I7084">
        <v>138.74010000000001</v>
      </c>
      <c r="J7084">
        <v>-149.3022</v>
      </c>
      <c r="K7084">
        <v>1.1288750000000001</v>
      </c>
      <c r="L7084">
        <v>138.2353</v>
      </c>
      <c r="M7084">
        <v>0.99950079999999997</v>
      </c>
      <c r="N7084">
        <v>-2.5833740000000001E-2</v>
      </c>
      <c r="O7084">
        <v>1.81914E-2</v>
      </c>
      <c r="P7084">
        <v>0.99192729999999996</v>
      </c>
      <c r="Q7084">
        <v>0.123261</v>
      </c>
      <c r="R7084">
        <v>2.9787460000000002E-2</v>
      </c>
      <c r="S7084">
        <v>3.052902</v>
      </c>
      <c r="T7084">
        <v>-0.228994</v>
      </c>
      <c r="U7084">
        <v>0.1045532</v>
      </c>
      <c r="V7084">
        <v>-1.383854E-2</v>
      </c>
      <c r="W7084">
        <v>0.14867369999999999</v>
      </c>
      <c r="X7084">
        <v>0.98878940000000004</v>
      </c>
      <c r="Y7084">
        <v>-1.5996130000000001E-2</v>
      </c>
      <c r="Z7084" s="1">
        <v>-8.6508279999999998E-5</v>
      </c>
      <c r="AA7084">
        <v>0.99987199999999998</v>
      </c>
      <c r="AB7084">
        <v>27</v>
      </c>
      <c r="AC7084">
        <v>14.819999999999901</v>
      </c>
      <c r="AD7084">
        <v>-1.1288775048469999</v>
      </c>
      <c r="AE7084">
        <v>0.50480000000001701</v>
      </c>
      <c r="AF7084">
        <v>-0.23367560220809999</v>
      </c>
      <c r="AG7084">
        <v>-1.1288775048469999</v>
      </c>
      <c r="AH7084">
        <v>14.741298341889999</v>
      </c>
      <c r="AI7084">
        <v>94.378572688456799</v>
      </c>
      <c r="AJ7084">
        <v>90.908163189958501</v>
      </c>
      <c r="AK7084">
        <v>14.786306013086101</v>
      </c>
      <c r="AL7084">
        <v>81.449926004122105</v>
      </c>
      <c r="AM7084">
        <v>90.801827137632898</v>
      </c>
      <c r="AN7084">
        <v>0.99999992590668796</v>
      </c>
    </row>
    <row r="7085" spans="1:40" x14ac:dyDescent="0.25">
      <c r="A7085" t="str">
        <f>"20190303162958633"</f>
        <v>20190303162958633</v>
      </c>
      <c r="B7085" t="str">
        <f>"1551601798619336"</f>
        <v>1551601798619336</v>
      </c>
      <c r="C7085" t="s">
        <v>40</v>
      </c>
      <c r="D7085">
        <v>5.8793559999999996</v>
      </c>
      <c r="E7085">
        <v>0.50116349999999998</v>
      </c>
      <c r="F7085" t="s">
        <v>41</v>
      </c>
      <c r="G7085">
        <v>-135.63890000000001</v>
      </c>
      <c r="H7085" s="1">
        <v>-2.0302230000000001E-6</v>
      </c>
      <c r="I7085">
        <v>138.6182</v>
      </c>
      <c r="J7085">
        <v>-148.7681</v>
      </c>
      <c r="K7085">
        <v>1.1283479999999999</v>
      </c>
      <c r="L7085">
        <v>138.2654</v>
      </c>
      <c r="M7085">
        <v>0.9990658</v>
      </c>
      <c r="N7085">
        <v>-2.7485530000000001E-2</v>
      </c>
      <c r="O7085">
        <v>3.3351699999999998E-2</v>
      </c>
      <c r="P7085">
        <v>0.99339379999999999</v>
      </c>
      <c r="Q7085">
        <v>0.1122749</v>
      </c>
      <c r="R7085">
        <v>2.3730930000000001E-2</v>
      </c>
      <c r="S7085">
        <v>3.0531769999999998</v>
      </c>
      <c r="T7085">
        <v>-0.25225639999999999</v>
      </c>
      <c r="U7085">
        <v>8.5586549999999997E-2</v>
      </c>
      <c r="V7085">
        <v>7.6710499999999996E-3</v>
      </c>
      <c r="W7085">
        <v>0.13965050000000001</v>
      </c>
      <c r="X7085">
        <v>0.99017109999999997</v>
      </c>
      <c r="Y7085">
        <v>5.2714179999999999E-3</v>
      </c>
      <c r="Z7085">
        <v>-2.1237320000000001E-3</v>
      </c>
      <c r="AA7085">
        <v>0.99998379999999998</v>
      </c>
      <c r="AB7085">
        <v>26</v>
      </c>
      <c r="AC7085">
        <v>13.1291999999999</v>
      </c>
      <c r="AD7085">
        <v>-1.1283500302229901</v>
      </c>
      <c r="AE7085">
        <v>0.352800000000002</v>
      </c>
      <c r="AF7085">
        <v>8.4816985488095298E-2</v>
      </c>
      <c r="AG7085">
        <v>-1.1283500302229901</v>
      </c>
      <c r="AH7085">
        <v>13.0374358997848</v>
      </c>
      <c r="AI7085">
        <v>94.946343898537904</v>
      </c>
      <c r="AJ7085">
        <v>89.627259011708801</v>
      </c>
      <c r="AK7085">
        <v>13.0864472853685</v>
      </c>
      <c r="AL7085">
        <v>81.972376954186302</v>
      </c>
      <c r="AM7085">
        <v>89.556127222271499</v>
      </c>
      <c r="AN7085">
        <v>0.99999995721678003</v>
      </c>
    </row>
    <row r="7086" spans="1:40" x14ac:dyDescent="0.25">
      <c r="A7086" t="str">
        <f>"20190303162958676"</f>
        <v>20190303162958676</v>
      </c>
      <c r="B7086" t="str">
        <f>"1551601798669114"</f>
        <v>1551601798669114</v>
      </c>
      <c r="C7086" t="s">
        <v>40</v>
      </c>
      <c r="D7086">
        <v>6.1019759999999996</v>
      </c>
      <c r="E7086">
        <v>0.4930157</v>
      </c>
      <c r="F7086" t="s">
        <v>41</v>
      </c>
      <c r="G7086">
        <v>-137.09139999999999</v>
      </c>
      <c r="H7086" s="1">
        <v>-1.419104E-6</v>
      </c>
      <c r="I7086">
        <v>138.55080000000001</v>
      </c>
      <c r="J7086">
        <v>-148.2962</v>
      </c>
      <c r="K7086">
        <v>1.127704</v>
      </c>
      <c r="L7086">
        <v>138.2972</v>
      </c>
      <c r="M7086">
        <v>0.99855629999999995</v>
      </c>
      <c r="N7086">
        <v>-2.88717E-2</v>
      </c>
      <c r="O7086">
        <v>4.5296240000000002E-2</v>
      </c>
      <c r="P7086">
        <v>0.99299090000000001</v>
      </c>
      <c r="Q7086">
        <v>0.1159887</v>
      </c>
      <c r="R7086">
        <v>2.2708430000000002E-2</v>
      </c>
      <c r="S7086">
        <v>3.0514830000000002</v>
      </c>
      <c r="T7086">
        <v>-0.29487000000000002</v>
      </c>
      <c r="U7086">
        <v>7.4584960000000006E-2</v>
      </c>
      <c r="V7086">
        <v>2.0778870000000001E-2</v>
      </c>
      <c r="W7086">
        <v>0.1448381</v>
      </c>
      <c r="X7086">
        <v>0.98923720000000004</v>
      </c>
      <c r="Y7086">
        <v>2.0663270000000001E-2</v>
      </c>
      <c r="Z7086">
        <v>-4.35346E-3</v>
      </c>
      <c r="AA7086">
        <v>0.99977700000000003</v>
      </c>
      <c r="AB7086">
        <v>25</v>
      </c>
      <c r="AC7086">
        <v>11.204800000000001</v>
      </c>
      <c r="AD7086">
        <v>-1.1277054191039999</v>
      </c>
      <c r="AE7086">
        <v>0.25360000000000499</v>
      </c>
      <c r="AF7086">
        <v>0.25185763020159302</v>
      </c>
      <c r="AG7086">
        <v>-1.1277054191039999</v>
      </c>
      <c r="AH7086">
        <v>11.0924792203362</v>
      </c>
      <c r="AI7086">
        <v>95.803486206125797</v>
      </c>
      <c r="AJ7086">
        <v>88.699307885106705</v>
      </c>
      <c r="AK7086">
        <v>11.1524995867186</v>
      </c>
      <c r="AL7086">
        <v>81.672096278973896</v>
      </c>
      <c r="AM7086">
        <v>88.796682425207607</v>
      </c>
      <c r="AN7086">
        <v>1.00000003725696</v>
      </c>
    </row>
    <row r="7087" spans="1:40" x14ac:dyDescent="0.25">
      <c r="A7087" t="str">
        <f>"20190303162958698"</f>
        <v>20190303162958698</v>
      </c>
      <c r="B7087" t="str">
        <f>"1551601798689608"</f>
        <v>1551601798689608</v>
      </c>
      <c r="C7087" t="s">
        <v>40</v>
      </c>
      <c r="D7087">
        <v>6.0531899999999998</v>
      </c>
      <c r="E7087">
        <v>0.48636420000000002</v>
      </c>
      <c r="F7087" t="s">
        <v>44</v>
      </c>
      <c r="G7087">
        <v>-147.49379999999999</v>
      </c>
      <c r="H7087">
        <v>1.0363370000000001</v>
      </c>
      <c r="I7087">
        <v>138.33199999999999</v>
      </c>
      <c r="J7087">
        <v>-148.06739999999999</v>
      </c>
      <c r="K7087">
        <v>1.1273139999999999</v>
      </c>
      <c r="L7087">
        <v>138.31389999999999</v>
      </c>
      <c r="M7087">
        <v>0.99829440000000003</v>
      </c>
      <c r="N7087">
        <v>-2.9499830000000001E-2</v>
      </c>
      <c r="O7087">
        <v>5.0379930000000003E-2</v>
      </c>
      <c r="P7087">
        <v>0.99269969999999996</v>
      </c>
      <c r="Q7087">
        <v>0.118607199999999</v>
      </c>
      <c r="R7087">
        <v>2.1907380000000001E-2</v>
      </c>
      <c r="S7087">
        <v>3.0588229999999998</v>
      </c>
      <c r="T7087">
        <v>-0.34819159999999999</v>
      </c>
      <c r="U7087">
        <v>0.1323242</v>
      </c>
      <c r="V7087">
        <v>2.6755290000000001E-2</v>
      </c>
      <c r="W7087">
        <v>0.14809520000000001</v>
      </c>
      <c r="X7087">
        <v>0.98861120000000002</v>
      </c>
      <c r="Y7087">
        <v>6.955953E-3</v>
      </c>
      <c r="Z7087">
        <v>-4.7247330000000001E-3</v>
      </c>
      <c r="AA7087">
        <v>0.99996470000000004</v>
      </c>
      <c r="AB7087">
        <v>25</v>
      </c>
      <c r="AC7087">
        <v>0.573599999999999</v>
      </c>
      <c r="AD7087">
        <v>-9.0976999999999794E-2</v>
      </c>
      <c r="AE7087">
        <v>1.8100000000003998E-2</v>
      </c>
      <c r="AF7087">
        <v>1.05679292136549E-2</v>
      </c>
      <c r="AG7087">
        <v>-9.0976999999999794E-2</v>
      </c>
      <c r="AH7087">
        <v>0.55971689790208601</v>
      </c>
      <c r="AI7087">
        <v>99.230563662090404</v>
      </c>
      <c r="AJ7087">
        <v>88.918335663578702</v>
      </c>
      <c r="AK7087">
        <v>0.56716091319307105</v>
      </c>
      <c r="AL7087">
        <v>81.483443883362298</v>
      </c>
      <c r="AM7087">
        <v>88.449753456209095</v>
      </c>
      <c r="AN7087">
        <v>1.0000000692857201</v>
      </c>
    </row>
    <row r="7088" spans="1:40" x14ac:dyDescent="0.25">
      <c r="A7088" t="str">
        <f>"20190303162958743"</f>
        <v>20190303162958743</v>
      </c>
      <c r="B7088" t="str">
        <f>"1551601798729625"</f>
        <v>1551601798729625</v>
      </c>
      <c r="C7088" t="s">
        <v>40</v>
      </c>
      <c r="D7088">
        <v>6.1029999999999998</v>
      </c>
      <c r="E7088">
        <v>0.48660100000000001</v>
      </c>
      <c r="F7088" t="s">
        <v>41</v>
      </c>
      <c r="G7088">
        <v>-135.61500000000001</v>
      </c>
      <c r="H7088" s="1">
        <v>-1.9615030000000001E-6</v>
      </c>
      <c r="I7088">
        <v>139.06360000000001</v>
      </c>
      <c r="J7088">
        <v>-147.595</v>
      </c>
      <c r="K7088">
        <v>1.1264749999999999</v>
      </c>
      <c r="L7088">
        <v>138.3503</v>
      </c>
      <c r="M7088">
        <v>0.99777269999999896</v>
      </c>
      <c r="N7088">
        <v>-3.0690169999999999E-2</v>
      </c>
      <c r="O7088">
        <v>5.9228639999999999E-2</v>
      </c>
      <c r="P7088">
        <v>0.99159620000000004</v>
      </c>
      <c r="Q7088">
        <v>0.12709229999999999</v>
      </c>
      <c r="R7088">
        <v>2.4187E-2</v>
      </c>
      <c r="S7088">
        <v>3.0509949999999999</v>
      </c>
      <c r="T7088">
        <v>-0.2762059</v>
      </c>
      <c r="U7088">
        <v>0.1836853</v>
      </c>
      <c r="V7088">
        <v>3.3512130000000001E-2</v>
      </c>
      <c r="W7088">
        <v>0.1576931</v>
      </c>
      <c r="X7088">
        <v>0.98691930000000005</v>
      </c>
      <c r="Y7088">
        <v>-9.4104810000000003E-4</v>
      </c>
      <c r="Z7088">
        <v>-3.4688179999999998E-3</v>
      </c>
      <c r="AA7088">
        <v>0.99999360000000004</v>
      </c>
      <c r="AB7088">
        <v>24</v>
      </c>
      <c r="AC7088">
        <v>11.979999999999899</v>
      </c>
      <c r="AD7088">
        <v>-1.1264769615029999</v>
      </c>
      <c r="AE7088">
        <v>0.71330000000000304</v>
      </c>
      <c r="AF7088">
        <v>-2.1343690919252102E-3</v>
      </c>
      <c r="AG7088">
        <v>-1.1264769615029999</v>
      </c>
      <c r="AH7088">
        <v>11.8964045704273</v>
      </c>
      <c r="AI7088">
        <v>95.409239683353206</v>
      </c>
      <c r="AJ7088">
        <v>90.010279604972595</v>
      </c>
      <c r="AK7088">
        <v>11.949619098683099</v>
      </c>
      <c r="AL7088">
        <v>80.926978680618504</v>
      </c>
      <c r="AM7088">
        <v>88.055194439601095</v>
      </c>
      <c r="AN7088">
        <v>0.99999994067861597</v>
      </c>
    </row>
    <row r="7089" spans="1:40" x14ac:dyDescent="0.25">
      <c r="A7089" t="str">
        <f>"20190303162958789"</f>
        <v>20190303162958789</v>
      </c>
      <c r="B7089" t="str">
        <f>"1551601798779401"</f>
        <v>1551601798779401</v>
      </c>
      <c r="C7089" t="s">
        <v>40</v>
      </c>
      <c r="D7089">
        <v>6.058554</v>
      </c>
      <c r="E7089">
        <v>0.4860006</v>
      </c>
      <c r="F7089" t="s">
        <v>41</v>
      </c>
      <c r="G7089">
        <v>-134.13079999999999</v>
      </c>
      <c r="H7089" s="1">
        <v>-2.5762719999999999E-6</v>
      </c>
      <c r="I7089">
        <v>139.1874</v>
      </c>
      <c r="J7089">
        <v>-147.13079999999999</v>
      </c>
      <c r="K7089">
        <v>1.1257239999999999</v>
      </c>
      <c r="L7089">
        <v>138.38759999999999</v>
      </c>
      <c r="M7089">
        <v>0.99734120000000004</v>
      </c>
      <c r="N7089">
        <v>-3.1712959999999998E-2</v>
      </c>
      <c r="O7089">
        <v>6.5613469999999993E-2</v>
      </c>
      <c r="P7089">
        <v>0.99020980000000003</v>
      </c>
      <c r="Q7089">
        <v>0.1372285</v>
      </c>
      <c r="R7089">
        <v>2.5556760000000001E-2</v>
      </c>
      <c r="S7089">
        <v>3.0535429999999999</v>
      </c>
      <c r="T7089">
        <v>-0.25547219999999998</v>
      </c>
      <c r="U7089">
        <v>0.18983459999999999</v>
      </c>
      <c r="V7089">
        <v>3.8695710000000001E-2</v>
      </c>
      <c r="W7089">
        <v>0.168734299999999</v>
      </c>
      <c r="X7089">
        <v>0.98490169999999999</v>
      </c>
      <c r="Y7089">
        <v>3.500609E-3</v>
      </c>
      <c r="Z7089">
        <v>-3.5914219999999999E-3</v>
      </c>
      <c r="AA7089">
        <v>0.99998739999999997</v>
      </c>
      <c r="AB7089">
        <v>23</v>
      </c>
      <c r="AC7089">
        <v>13</v>
      </c>
      <c r="AD7089">
        <v>-1.1257265762719999</v>
      </c>
      <c r="AE7089">
        <v>0.79980000000000395</v>
      </c>
      <c r="AF7089">
        <v>5.49191763817388E-2</v>
      </c>
      <c r="AG7089">
        <v>-1.1257265762719999</v>
      </c>
      <c r="AH7089">
        <v>12.927887046231699</v>
      </c>
      <c r="AI7089">
        <v>94.976568868740202</v>
      </c>
      <c r="AJ7089">
        <v>89.756602290740304</v>
      </c>
      <c r="AK7089">
        <v>12.976923361127801</v>
      </c>
      <c r="AL7089">
        <v>80.285763163597295</v>
      </c>
      <c r="AM7089">
        <v>87.750068724648102</v>
      </c>
      <c r="AN7089">
        <v>0.99999999031589204</v>
      </c>
    </row>
    <row r="7090" spans="1:40" x14ac:dyDescent="0.25">
      <c r="A7090" t="str">
        <f>"20190303162958848"</f>
        <v>20190303162958848</v>
      </c>
      <c r="B7090" t="str">
        <f>"1551601798838936"</f>
        <v>1551601798838936</v>
      </c>
      <c r="C7090" t="s">
        <v>40</v>
      </c>
      <c r="D7090">
        <v>5.8987489999999996</v>
      </c>
      <c r="E7090">
        <v>0.48647820000000003</v>
      </c>
      <c r="F7090" t="s">
        <v>41</v>
      </c>
      <c r="G7090">
        <v>-132.24780000000001</v>
      </c>
      <c r="H7090" s="1">
        <v>-3.353078E-6</v>
      </c>
      <c r="I7090">
        <v>139.36199999999999</v>
      </c>
      <c r="J7090">
        <v>-146.56200000000001</v>
      </c>
      <c r="K7090">
        <v>1.125019</v>
      </c>
      <c r="L7090">
        <v>138.43430000000001</v>
      </c>
      <c r="M7090">
        <v>0.99692729999999996</v>
      </c>
      <c r="N7090">
        <v>-3.2709830000000002E-2</v>
      </c>
      <c r="O7090">
        <v>7.1178350000000001E-2</v>
      </c>
      <c r="P7090">
        <v>0.98974229999999996</v>
      </c>
      <c r="Q7090">
        <v>0.13988439999999999</v>
      </c>
      <c r="R7090">
        <v>2.903012E-2</v>
      </c>
      <c r="S7090">
        <v>3.0565340000000001</v>
      </c>
      <c r="T7090">
        <v>-0.23119020000000001</v>
      </c>
      <c r="U7090">
        <v>0.20011899999999999</v>
      </c>
      <c r="V7090">
        <v>4.1050610000000001E-2</v>
      </c>
      <c r="W7090">
        <v>0.1722841</v>
      </c>
      <c r="X7090">
        <v>0.9841915</v>
      </c>
      <c r="Y7090">
        <v>5.8090989999999999E-3</v>
      </c>
      <c r="Z7090">
        <v>-3.3510020000000001E-3</v>
      </c>
      <c r="AA7090">
        <v>0.99997749999999996</v>
      </c>
      <c r="AB7090">
        <v>22</v>
      </c>
      <c r="AC7090">
        <v>14.3142</v>
      </c>
      <c r="AD7090">
        <v>-1.1250223530779999</v>
      </c>
      <c r="AE7090">
        <v>0.92769999999998698</v>
      </c>
      <c r="AF7090">
        <v>9.3486931889035604E-2</v>
      </c>
      <c r="AG7090">
        <v>-1.1250223530779999</v>
      </c>
      <c r="AH7090">
        <v>14.256227590880499</v>
      </c>
      <c r="AI7090">
        <v>94.512017411731506</v>
      </c>
      <c r="AJ7090">
        <v>89.624281400862998</v>
      </c>
      <c r="AK7090">
        <v>14.300854527766599</v>
      </c>
      <c r="AL7090">
        <v>80.079351270692399</v>
      </c>
      <c r="AM7090">
        <v>87.611578474921899</v>
      </c>
      <c r="AN7090">
        <v>0.99999993618321403</v>
      </c>
    </row>
    <row r="7091" spans="1:40" x14ac:dyDescent="0.25">
      <c r="A7091" t="str">
        <f>"20190303162958891"</f>
        <v>20190303162958891</v>
      </c>
      <c r="B7091" t="str">
        <f>"1551601798879459"</f>
        <v>1551601798879459</v>
      </c>
      <c r="C7091" t="s">
        <v>40</v>
      </c>
      <c r="D7091">
        <v>5.9316680000000002</v>
      </c>
      <c r="E7091">
        <v>0.48656969999999999</v>
      </c>
      <c r="F7091" t="s">
        <v>41</v>
      </c>
      <c r="G7091">
        <v>-131.72989999999999</v>
      </c>
      <c r="H7091" s="1">
        <v>-3.5605449999999998E-6</v>
      </c>
      <c r="I7091">
        <v>139.44479999999999</v>
      </c>
      <c r="J7091">
        <v>-146.16480000000001</v>
      </c>
      <c r="K7091">
        <v>1.1246560000000001</v>
      </c>
      <c r="L7091">
        <v>138.46729999999999</v>
      </c>
      <c r="M7091">
        <v>0.99670669999999995</v>
      </c>
      <c r="N7091">
        <v>-3.323955E-2</v>
      </c>
      <c r="O7091">
        <v>7.3966149999999994E-2</v>
      </c>
      <c r="P7091">
        <v>0.9892455</v>
      </c>
      <c r="Q7091">
        <v>0.14152429999999999</v>
      </c>
      <c r="R7091">
        <v>3.6935059999999999E-2</v>
      </c>
      <c r="S7091">
        <v>3.057785</v>
      </c>
      <c r="T7091">
        <v>-0.231935</v>
      </c>
      <c r="U7091">
        <v>0.20832819999999999</v>
      </c>
      <c r="V7091">
        <v>3.607585E-2</v>
      </c>
      <c r="W7091">
        <v>0.174391299999999</v>
      </c>
      <c r="X7091">
        <v>0.98401530000000004</v>
      </c>
      <c r="Y7091">
        <v>5.9586550000000002E-3</v>
      </c>
      <c r="Z7091">
        <v>-3.4555950000000001E-3</v>
      </c>
      <c r="AA7091">
        <v>0.99997630000000004</v>
      </c>
      <c r="AB7091">
        <v>21</v>
      </c>
      <c r="AC7091">
        <v>14.434900000000001</v>
      </c>
      <c r="AD7091">
        <v>-1.1246595605449901</v>
      </c>
      <c r="AE7091">
        <v>0.97749999999999204</v>
      </c>
      <c r="AF7091">
        <v>9.2903438703561297E-2</v>
      </c>
      <c r="AG7091">
        <v>-1.1246595605449901</v>
      </c>
      <c r="AH7091">
        <v>14.380759399819301</v>
      </c>
      <c r="AI7091">
        <v>94.471670551242497</v>
      </c>
      <c r="AJ7091">
        <v>89.629859540622206</v>
      </c>
      <c r="AK7091">
        <v>14.424969015271399</v>
      </c>
      <c r="AL7091">
        <v>79.956762023490001</v>
      </c>
      <c r="AM7091">
        <v>87.900369419211998</v>
      </c>
      <c r="AN7091">
        <v>0.99999995155150001</v>
      </c>
    </row>
    <row r="7092" spans="1:40" x14ac:dyDescent="0.25">
      <c r="A7092" t="str">
        <f>"20190303162958909"</f>
        <v>20190303162958909</v>
      </c>
      <c r="B7092" t="str">
        <f>"1551601798898979"</f>
        <v>1551601798898979</v>
      </c>
      <c r="C7092" t="s">
        <v>40</v>
      </c>
      <c r="D7092">
        <v>6.0924750000000003</v>
      </c>
      <c r="E7092">
        <v>0.48677300000000001</v>
      </c>
      <c r="F7092" t="s">
        <v>41</v>
      </c>
      <c r="G7092">
        <v>-131.50790000000001</v>
      </c>
      <c r="H7092" s="1">
        <v>-3.6334070000000002E-6</v>
      </c>
      <c r="I7092">
        <v>139.571</v>
      </c>
      <c r="J7092">
        <v>-145.99180000000001</v>
      </c>
      <c r="K7092">
        <v>1.124517</v>
      </c>
      <c r="L7092">
        <v>138.48159999999999</v>
      </c>
      <c r="M7092">
        <v>0.9966256</v>
      </c>
      <c r="N7092">
        <v>-3.3432249999999997E-2</v>
      </c>
      <c r="O7092">
        <v>7.4966630000000006E-2</v>
      </c>
      <c r="P7092">
        <v>0.98927810000000005</v>
      </c>
      <c r="Q7092">
        <v>0.14044589999999901</v>
      </c>
      <c r="R7092">
        <v>4.0055100000000003E-2</v>
      </c>
      <c r="S7092">
        <v>3.0575869999999998</v>
      </c>
      <c r="T7092">
        <v>-0.2346154</v>
      </c>
      <c r="U7092">
        <v>0.23025509999999999</v>
      </c>
      <c r="V7092">
        <v>3.402786E-2</v>
      </c>
      <c r="W7092">
        <v>0.17349439999999999</v>
      </c>
      <c r="X7092">
        <v>0.98424679999999998</v>
      </c>
      <c r="Y7092">
        <v>-1.537779E-4</v>
      </c>
      <c r="Z7092">
        <v>-3.214349E-3</v>
      </c>
      <c r="AA7092">
        <v>0.99999479999999996</v>
      </c>
      <c r="AB7092">
        <v>21</v>
      </c>
      <c r="AC7092">
        <v>14.4839</v>
      </c>
      <c r="AD7092">
        <v>-1.1245206334069999</v>
      </c>
      <c r="AE7092">
        <v>1.0894000000000099</v>
      </c>
      <c r="AF7092" s="1">
        <v>8.4783096814478002E-5</v>
      </c>
      <c r="AG7092">
        <v>-1.1245206334069999</v>
      </c>
      <c r="AH7092">
        <v>14.438269176143301</v>
      </c>
      <c r="AI7092">
        <v>94.453475614722805</v>
      </c>
      <c r="AJ7092">
        <v>89.999663552911898</v>
      </c>
      <c r="AK7092">
        <v>14.481994457426</v>
      </c>
      <c r="AL7092">
        <v>80.008946434507394</v>
      </c>
      <c r="AM7092">
        <v>88.019931035761303</v>
      </c>
      <c r="AN7092">
        <v>0.99999998269888901</v>
      </c>
    </row>
    <row r="7093" spans="1:40" x14ac:dyDescent="0.25">
      <c r="A7093" t="str">
        <f>"20190303162958926"</f>
        <v>20190303162958926</v>
      </c>
      <c r="B7093" t="str">
        <f>"1551601798919475"</f>
        <v>1551601798919475</v>
      </c>
      <c r="C7093" t="s">
        <v>40</v>
      </c>
      <c r="D7093">
        <v>5.9240629999999896</v>
      </c>
      <c r="E7093">
        <v>0.4869502</v>
      </c>
      <c r="F7093" t="s">
        <v>41</v>
      </c>
      <c r="G7093">
        <v>-131.75460000000001</v>
      </c>
      <c r="H7093" s="1">
        <v>-3.5233420000000001E-6</v>
      </c>
      <c r="I7093">
        <v>139.59479999999999</v>
      </c>
      <c r="J7093">
        <v>-145.84799999999899</v>
      </c>
      <c r="K7093">
        <v>1.124412</v>
      </c>
      <c r="L7093">
        <v>138.49350000000001</v>
      </c>
      <c r="M7093">
        <v>0.99656520000000004</v>
      </c>
      <c r="N7093">
        <v>-3.3576769999999999E-2</v>
      </c>
      <c r="O7093">
        <v>7.5700110000000001E-2</v>
      </c>
      <c r="P7093">
        <v>0.98938170000000003</v>
      </c>
      <c r="Q7093">
        <v>0.1391927</v>
      </c>
      <c r="R7093">
        <v>4.1825540000000001E-2</v>
      </c>
      <c r="S7093">
        <v>3.0571139999999999</v>
      </c>
      <c r="T7093">
        <v>-0.24146529999999999</v>
      </c>
      <c r="U7093">
        <v>0.23905940000000001</v>
      </c>
      <c r="V7093">
        <v>3.3049170000000003E-2</v>
      </c>
      <c r="W7093">
        <v>0.1723809</v>
      </c>
      <c r="X7093">
        <v>0.98447580000000001</v>
      </c>
      <c r="Y7093">
        <v>-2.2902130000000001E-3</v>
      </c>
      <c r="Z7093">
        <v>-3.283284E-3</v>
      </c>
      <c r="AA7093">
        <v>0.99999199999999999</v>
      </c>
      <c r="AB7093">
        <v>20</v>
      </c>
      <c r="AC7093">
        <v>14.0933999999999</v>
      </c>
      <c r="AD7093">
        <v>-1.1244155233419999</v>
      </c>
      <c r="AE7093">
        <v>1.10129999999998</v>
      </c>
      <c r="AF7093">
        <v>-3.04698383066839E-2</v>
      </c>
      <c r="AG7093">
        <v>-1.1244155233419999</v>
      </c>
      <c r="AH7093">
        <v>14.047456433522701</v>
      </c>
      <c r="AI7093">
        <v>94.576419244511698</v>
      </c>
      <c r="AJ7093">
        <v>90.1242780433451</v>
      </c>
      <c r="AK7093">
        <v>14.0924189169885</v>
      </c>
      <c r="AL7093">
        <v>80.073721556211197</v>
      </c>
      <c r="AM7093">
        <v>88.077284271478007</v>
      </c>
      <c r="AN7093">
        <v>1.0000000115540599</v>
      </c>
    </row>
    <row r="7094" spans="1:40" x14ac:dyDescent="0.25">
      <c r="A7094" t="str">
        <f>"20190303162958944"</f>
        <v>20190303162958944</v>
      </c>
      <c r="B7094" t="str">
        <f>"1551601798938995"</f>
        <v>1551601798938995</v>
      </c>
      <c r="C7094" t="s">
        <v>40</v>
      </c>
      <c r="D7094">
        <v>5.8289220000000004</v>
      </c>
      <c r="E7094">
        <v>0.4869502</v>
      </c>
      <c r="F7094" t="s">
        <v>41</v>
      </c>
      <c r="G7094">
        <v>-131.98310000000001</v>
      </c>
      <c r="H7094" s="1">
        <v>-3.4246420000000001E-6</v>
      </c>
      <c r="I7094">
        <v>139.5986</v>
      </c>
      <c r="J7094">
        <v>-145.68459999999999</v>
      </c>
      <c r="K7094">
        <v>1.124306</v>
      </c>
      <c r="L7094">
        <v>138.5069</v>
      </c>
      <c r="M7094">
        <v>0.9965058</v>
      </c>
      <c r="N7094">
        <v>-3.3723120000000002E-2</v>
      </c>
      <c r="O7094">
        <v>7.6414120000000002E-2</v>
      </c>
      <c r="P7094">
        <v>0.98951920000000004</v>
      </c>
      <c r="Q7094">
        <v>0.1376375</v>
      </c>
      <c r="R7094">
        <v>4.3680820000000002E-2</v>
      </c>
      <c r="S7094">
        <v>3.056778</v>
      </c>
      <c r="T7094">
        <v>-0.24789810000000001</v>
      </c>
      <c r="U7094">
        <v>0.24366760000000001</v>
      </c>
      <c r="V7094">
        <v>3.1968150000000001E-2</v>
      </c>
      <c r="W7094">
        <v>0.17096919999999999</v>
      </c>
      <c r="X7094">
        <v>0.98475760000000001</v>
      </c>
      <c r="Y7094">
        <v>-3.08347E-3</v>
      </c>
      <c r="Z7094">
        <v>-3.4160850000000001E-3</v>
      </c>
      <c r="AA7094">
        <v>0.99998940000000003</v>
      </c>
      <c r="AB7094">
        <v>20</v>
      </c>
      <c r="AC7094">
        <v>13.7014999999999</v>
      </c>
      <c r="AD7094">
        <v>-1.124309424642</v>
      </c>
      <c r="AE7094">
        <v>1.0916999999999999</v>
      </c>
      <c r="AF7094">
        <v>-4.0648610764897702E-2</v>
      </c>
      <c r="AG7094">
        <v>-1.124309424642</v>
      </c>
      <c r="AH7094">
        <v>13.653507405074301</v>
      </c>
      <c r="AI7094">
        <v>94.707426884198298</v>
      </c>
      <c r="AJ7094">
        <v>90.170577924767798</v>
      </c>
      <c r="AK7094">
        <v>13.6997805986926</v>
      </c>
      <c r="AL7094">
        <v>80.155824641892394</v>
      </c>
      <c r="AM7094">
        <v>88.140662169646006</v>
      </c>
      <c r="AN7094">
        <v>0.99999998036041104</v>
      </c>
    </row>
    <row r="7095" spans="1:40" x14ac:dyDescent="0.25">
      <c r="A7095" t="str">
        <f>"20190303162958968"</f>
        <v>20190303162958968</v>
      </c>
      <c r="B7095" t="str">
        <f>"1551601798959022"</f>
        <v>1551601798959022</v>
      </c>
      <c r="C7095" t="s">
        <v>40</v>
      </c>
      <c r="D7095">
        <v>6.0929779999999996</v>
      </c>
      <c r="E7095">
        <v>0.49381809999999998</v>
      </c>
      <c r="F7095" t="s">
        <v>41</v>
      </c>
      <c r="G7095">
        <v>-132.084</v>
      </c>
      <c r="H7095" s="1">
        <v>-3.378902E-6</v>
      </c>
      <c r="I7095">
        <v>139.61869999999999</v>
      </c>
      <c r="J7095">
        <v>-145.48269999999999</v>
      </c>
      <c r="K7095">
        <v>1.124201</v>
      </c>
      <c r="L7095">
        <v>138.52350000000001</v>
      </c>
      <c r="M7095">
        <v>0.99644460000000001</v>
      </c>
      <c r="N7095">
        <v>-3.3880050000000002E-2</v>
      </c>
      <c r="O7095">
        <v>7.7137430000000007E-2</v>
      </c>
      <c r="P7095">
        <v>0.98973599999999995</v>
      </c>
      <c r="Q7095">
        <v>0.13579330000000001</v>
      </c>
      <c r="R7095">
        <v>4.4528690000000003E-2</v>
      </c>
      <c r="S7095">
        <v>3.0559080000000001</v>
      </c>
      <c r="T7095">
        <v>-0.25262000000000001</v>
      </c>
      <c r="U7095">
        <v>0.24981690000000001</v>
      </c>
      <c r="V7095">
        <v>3.1907140000000001E-2</v>
      </c>
      <c r="W7095">
        <v>0.1692805</v>
      </c>
      <c r="X7095">
        <v>0.98505129999999996</v>
      </c>
      <c r="Y7095">
        <v>-4.3781879999999999E-3</v>
      </c>
      <c r="Z7095">
        <v>-3.4794370000000002E-3</v>
      </c>
      <c r="AA7095">
        <v>0.9999844</v>
      </c>
      <c r="AB7095">
        <v>20</v>
      </c>
      <c r="AC7095">
        <v>13.3986999999999</v>
      </c>
      <c r="AD7095">
        <v>-1.124204378902</v>
      </c>
      <c r="AE7095">
        <v>1.09519999999997</v>
      </c>
      <c r="AF7095">
        <v>-5.7396643799118199E-2</v>
      </c>
      <c r="AG7095">
        <v>-1.124204378902</v>
      </c>
      <c r="AH7095">
        <v>13.3499037036107</v>
      </c>
      <c r="AI7095">
        <v>94.813514974593204</v>
      </c>
      <c r="AJ7095">
        <v>90.246336247668907</v>
      </c>
      <c r="AK7095">
        <v>13.397278035330199</v>
      </c>
      <c r="AL7095">
        <v>80.254011631236196</v>
      </c>
      <c r="AM7095">
        <v>88.144761092344794</v>
      </c>
      <c r="AN7095">
        <v>1.0000000084474501</v>
      </c>
    </row>
    <row r="7096" spans="1:40" x14ac:dyDescent="0.25">
      <c r="A7096" t="str">
        <f>"20190303162958989"</f>
        <v>20190303162958989</v>
      </c>
      <c r="B7096" t="str">
        <f>"1551601798979518"</f>
        <v>1551601798979518</v>
      </c>
      <c r="C7096" t="s">
        <v>40</v>
      </c>
      <c r="D7096">
        <v>6.0343970000000002</v>
      </c>
      <c r="E7096">
        <v>0.49261470000000002</v>
      </c>
      <c r="F7096" t="s">
        <v>44</v>
      </c>
      <c r="G7096">
        <v>-144.62639999999999</v>
      </c>
      <c r="H7096">
        <v>1.030114</v>
      </c>
      <c r="I7096">
        <v>138.5788</v>
      </c>
      <c r="J7096">
        <v>-145.31100000000001</v>
      </c>
      <c r="K7096">
        <v>1.1241319999999999</v>
      </c>
      <c r="L7096">
        <v>138.5376</v>
      </c>
      <c r="M7096">
        <v>0.99640070000000003</v>
      </c>
      <c r="N7096">
        <v>-3.3997039999999999E-2</v>
      </c>
      <c r="O7096">
        <v>7.7653689999999997E-2</v>
      </c>
      <c r="P7096">
        <v>0.98998540000000002</v>
      </c>
      <c r="Q7096">
        <v>0.1341601</v>
      </c>
      <c r="R7096">
        <v>4.3936860000000001E-2</v>
      </c>
      <c r="S7096">
        <v>3.0684360000000002</v>
      </c>
      <c r="T7096">
        <v>-0.33732590000000001</v>
      </c>
      <c r="U7096">
        <v>0.19869999999999999</v>
      </c>
      <c r="V7096">
        <v>3.3062010000000003E-2</v>
      </c>
      <c r="W7096">
        <v>0.1677642</v>
      </c>
      <c r="X7096">
        <v>0.98527260000000005</v>
      </c>
      <c r="Y7096">
        <v>1.278927E-2</v>
      </c>
      <c r="Z7096">
        <v>-6.773055E-3</v>
      </c>
      <c r="AA7096">
        <v>0.99989530000000004</v>
      </c>
      <c r="AB7096">
        <v>19</v>
      </c>
      <c r="AC7096">
        <v>0.68460000000001697</v>
      </c>
      <c r="AD7096">
        <v>-9.4017999999999893E-2</v>
      </c>
      <c r="AE7096">
        <v>4.1200000000003401E-2</v>
      </c>
      <c r="AF7096">
        <v>1.18935048656709E-2</v>
      </c>
      <c r="AG7096">
        <v>-9.4017999999999893E-2</v>
      </c>
      <c r="AH7096">
        <v>0.67308284136630803</v>
      </c>
      <c r="AI7096">
        <v>97.950551504119204</v>
      </c>
      <c r="AJ7096">
        <v>88.987677772009604</v>
      </c>
      <c r="AK7096">
        <v>0.679721524687671</v>
      </c>
      <c r="AL7096">
        <v>80.342149810333396</v>
      </c>
      <c r="AM7096">
        <v>88.078092190739</v>
      </c>
      <c r="AN7096">
        <v>1.00000000980882</v>
      </c>
    </row>
    <row r="7097" spans="1:40" x14ac:dyDescent="0.25">
      <c r="A7097" t="str">
        <f>"20190303162959190"</f>
        <v>20190303162959190</v>
      </c>
      <c r="B7097" t="str">
        <f>"1551601799179637"</f>
        <v>1551601799179637</v>
      </c>
      <c r="C7097" t="s">
        <v>40</v>
      </c>
      <c r="D7097">
        <v>5.831296</v>
      </c>
      <c r="E7097">
        <v>0.49369659999999899</v>
      </c>
      <c r="F7097" t="s">
        <v>44</v>
      </c>
      <c r="G7097">
        <v>-143.1361</v>
      </c>
      <c r="H7097">
        <v>1.0308949999999999</v>
      </c>
      <c r="I7097">
        <v>138.69880000000001</v>
      </c>
      <c r="J7097">
        <v>-143.82259999999999</v>
      </c>
      <c r="K7097">
        <v>1.1236469999999901</v>
      </c>
      <c r="L7097">
        <v>138.65649999999999</v>
      </c>
      <c r="M7097">
        <v>0.99637690000000001</v>
      </c>
      <c r="N7097">
        <v>-3.3816359999999997E-2</v>
      </c>
      <c r="O7097">
        <v>7.8035779999999999E-2</v>
      </c>
      <c r="P7097">
        <v>0.98937399999999998</v>
      </c>
      <c r="Q7097">
        <v>0.13780770000000001</v>
      </c>
      <c r="R7097">
        <v>4.6348239999999999E-2</v>
      </c>
      <c r="S7097">
        <v>3.0705719999999999</v>
      </c>
      <c r="T7097">
        <v>-0.34091539999999998</v>
      </c>
      <c r="U7097">
        <v>0.197052</v>
      </c>
      <c r="V7097">
        <v>3.1206910000000001E-2</v>
      </c>
      <c r="W7097">
        <v>0.17117639999999901</v>
      </c>
      <c r="X7097">
        <v>0.98474600000000001</v>
      </c>
      <c r="Y7097">
        <v>1.37337E-2</v>
      </c>
      <c r="Z7097">
        <v>-6.9744749999999999E-3</v>
      </c>
      <c r="AA7097">
        <v>0.99988140000000003</v>
      </c>
      <c r="AB7097">
        <v>15</v>
      </c>
      <c r="AC7097">
        <v>0.686499999999995</v>
      </c>
      <c r="AD7097">
        <v>-9.2751999999999696E-2</v>
      </c>
      <c r="AE7097">
        <v>4.2300000000011502E-2</v>
      </c>
      <c r="AF7097">
        <v>1.12271883450754E-2</v>
      </c>
      <c r="AG7097">
        <v>-9.2751999999999696E-2</v>
      </c>
      <c r="AH7097">
        <v>0.67542418989138497</v>
      </c>
      <c r="AI7097">
        <v>97.818116714971794</v>
      </c>
      <c r="AJ7097">
        <v>89.047692870458306</v>
      </c>
      <c r="AK7097">
        <v>0.68185542423051004</v>
      </c>
      <c r="AL7097">
        <v>80.143775105608896</v>
      </c>
      <c r="AM7097">
        <v>88.184886215893002</v>
      </c>
      <c r="AN7097">
        <v>0.99999995783235296</v>
      </c>
    </row>
    <row r="7098" spans="1:40" x14ac:dyDescent="0.25">
      <c r="A7098" t="str">
        <f>"20190303162959213"</f>
        <v>20190303162959213</v>
      </c>
      <c r="B7098" t="str">
        <f>"1551601799208917"</f>
        <v>1551601799208917</v>
      </c>
      <c r="C7098" t="s">
        <v>40</v>
      </c>
      <c r="D7098">
        <v>5.9028450000000001</v>
      </c>
      <c r="E7098">
        <v>0.494676</v>
      </c>
      <c r="F7098" t="s">
        <v>44</v>
      </c>
      <c r="G7098">
        <v>-142.9982</v>
      </c>
      <c r="H7098">
        <v>1.0321720000000001</v>
      </c>
      <c r="I7098">
        <v>138.7107</v>
      </c>
      <c r="J7098">
        <v>-143.67250000000001</v>
      </c>
      <c r="K7098">
        <v>1.1235630000000001</v>
      </c>
      <c r="L7098">
        <v>138.66749999999999</v>
      </c>
      <c r="M7098">
        <v>0.99643360000000003</v>
      </c>
      <c r="N7098">
        <v>-3.3650949999999999E-2</v>
      </c>
      <c r="O7098">
        <v>7.7380760000000007E-2</v>
      </c>
      <c r="P7098">
        <v>0.98916599999999999</v>
      </c>
      <c r="Q7098">
        <v>0.1383607</v>
      </c>
      <c r="R7098">
        <v>4.9060029999999998E-2</v>
      </c>
      <c r="S7098">
        <v>3.0702210000000001</v>
      </c>
      <c r="T7098">
        <v>-0.34066879999999999</v>
      </c>
      <c r="U7098">
        <v>0.20213320000000001</v>
      </c>
      <c r="V7098">
        <v>2.7864880000000002E-2</v>
      </c>
      <c r="W7098">
        <v>0.17156540000000001</v>
      </c>
      <c r="X7098">
        <v>0.98477859999999995</v>
      </c>
      <c r="Y7098">
        <v>1.144071E-2</v>
      </c>
      <c r="Z7098">
        <v>-6.7644810000000001E-3</v>
      </c>
      <c r="AA7098">
        <v>0.99991169999999996</v>
      </c>
      <c r="AB7098">
        <v>15</v>
      </c>
      <c r="AC7098">
        <v>0.674300000000016</v>
      </c>
      <c r="AD7098">
        <v>-9.1391E-2</v>
      </c>
      <c r="AE7098">
        <v>4.3200000000012999E-2</v>
      </c>
      <c r="AF7098">
        <v>8.9729336290099507E-3</v>
      </c>
      <c r="AG7098">
        <v>-9.1391E-2</v>
      </c>
      <c r="AH7098">
        <v>0.66348252468592905</v>
      </c>
      <c r="AI7098">
        <v>97.842110920829001</v>
      </c>
      <c r="AJ7098">
        <v>89.225179461809901</v>
      </c>
      <c r="AK7098">
        <v>0.66980735214128895</v>
      </c>
      <c r="AL7098">
        <v>80.121152944448696</v>
      </c>
      <c r="AM7098">
        <v>88.379215246211899</v>
      </c>
      <c r="AN7098">
        <v>1.00000001451626</v>
      </c>
    </row>
    <row r="7099" spans="1:40" x14ac:dyDescent="0.25">
      <c r="A7099" t="str">
        <f>"20190303162959279"</f>
        <v>20190303162959279</v>
      </c>
      <c r="B7099" t="str">
        <f>"1551601799268823"</f>
        <v>1551601799268823</v>
      </c>
      <c r="C7099" t="s">
        <v>40</v>
      </c>
      <c r="D7099">
        <v>5.8908019999999999</v>
      </c>
      <c r="E7099">
        <v>0.49552770000000002</v>
      </c>
      <c r="F7099" t="s">
        <v>41</v>
      </c>
      <c r="G7099">
        <v>-133.3683</v>
      </c>
      <c r="H7099" s="1">
        <v>-2.8752009999999998E-6</v>
      </c>
      <c r="I7099">
        <v>139.34620000000001</v>
      </c>
      <c r="J7099">
        <v>-143.26499999999999</v>
      </c>
      <c r="K7099">
        <v>1.1234200000000001</v>
      </c>
      <c r="L7099">
        <v>138.69589999999999</v>
      </c>
      <c r="M7099">
        <v>0.99664989999999998</v>
      </c>
      <c r="N7099">
        <v>-3.3123769999999997E-2</v>
      </c>
      <c r="O7099">
        <v>7.4779189999999995E-2</v>
      </c>
      <c r="P7099">
        <v>0.98824860000000003</v>
      </c>
      <c r="Q7099">
        <v>0.14169579999999901</v>
      </c>
      <c r="R7099">
        <v>5.7334740000000002E-2</v>
      </c>
      <c r="S7099">
        <v>3.0696720000000002</v>
      </c>
      <c r="T7099">
        <v>-0.3347136</v>
      </c>
      <c r="U7099">
        <v>0.202179</v>
      </c>
      <c r="V7099">
        <v>1.702267E-2</v>
      </c>
      <c r="W7099">
        <v>0.17437810000000001</v>
      </c>
      <c r="X7099">
        <v>0.98453159999999895</v>
      </c>
      <c r="Y7099">
        <v>8.8409059999999904E-3</v>
      </c>
      <c r="Z7099">
        <v>-6.2644270000000004E-3</v>
      </c>
      <c r="AA7099">
        <v>0.99994130000000003</v>
      </c>
      <c r="AB7099">
        <v>14</v>
      </c>
      <c r="AC7099">
        <v>9.8966999999999796</v>
      </c>
      <c r="AD7099">
        <v>-1.123422875201</v>
      </c>
      <c r="AE7099">
        <v>0.65030000000001498</v>
      </c>
      <c r="AF7099">
        <v>9.0830874284438298E-2</v>
      </c>
      <c r="AG7099">
        <v>-1.123422875201</v>
      </c>
      <c r="AH7099">
        <v>9.7919820887692097</v>
      </c>
      <c r="AI7099">
        <v>96.544584020071795</v>
      </c>
      <c r="AJ7099">
        <v>89.468536968246298</v>
      </c>
      <c r="AK7099">
        <v>9.85663443732318</v>
      </c>
      <c r="AL7099">
        <v>79.957530407781704</v>
      </c>
      <c r="AM7099">
        <v>89.009447768170602</v>
      </c>
      <c r="AN7099">
        <v>0.99999998222604902</v>
      </c>
    </row>
    <row r="7100" spans="1:40" x14ac:dyDescent="0.25">
      <c r="A7100" t="str">
        <f>"20190303162959301"</f>
        <v>20190303162959301</v>
      </c>
      <c r="B7100" t="str">
        <f>"1551601799289320"</f>
        <v>1551601799289320</v>
      </c>
      <c r="C7100" t="s">
        <v>40</v>
      </c>
      <c r="D7100">
        <v>5.904649</v>
      </c>
      <c r="E7100">
        <v>0.49621890000000002</v>
      </c>
      <c r="F7100" t="s">
        <v>41</v>
      </c>
      <c r="G7100">
        <v>-132.8022</v>
      </c>
      <c r="H7100" s="1">
        <v>-3.098813E-6</v>
      </c>
      <c r="I7100">
        <v>139.4547</v>
      </c>
      <c r="J7100">
        <v>-143.1353</v>
      </c>
      <c r="K7100">
        <v>1.1233799999999901</v>
      </c>
      <c r="L7100">
        <v>138.70439999999999</v>
      </c>
      <c r="M7100">
        <v>0.99673520000000004</v>
      </c>
      <c r="N7100">
        <v>-3.294834E-2</v>
      </c>
      <c r="O7100">
        <v>7.3711960000000007E-2</v>
      </c>
      <c r="P7100">
        <v>0.98852099999999998</v>
      </c>
      <c r="Q7100">
        <v>0.1395728</v>
      </c>
      <c r="R7100">
        <v>5.784218E-2</v>
      </c>
      <c r="S7100">
        <v>3.0700229999999999</v>
      </c>
      <c r="T7100">
        <v>-0.32963480000000001</v>
      </c>
      <c r="U7100">
        <v>0.22264100000000001</v>
      </c>
      <c r="V7100">
        <v>1.5483500000000001E-2</v>
      </c>
      <c r="W7100">
        <v>0.17209530000000001</v>
      </c>
      <c r="X7100">
        <v>0.98495860000000002</v>
      </c>
      <c r="Y7100">
        <v>1.2144020000000001E-3</v>
      </c>
      <c r="Z7100">
        <v>-5.5314379999999996E-3</v>
      </c>
      <c r="AA7100">
        <v>0.99998399999999998</v>
      </c>
      <c r="AB7100">
        <v>14</v>
      </c>
      <c r="AC7100">
        <v>10.3331</v>
      </c>
      <c r="AD7100">
        <v>-1.12338309881299</v>
      </c>
      <c r="AE7100">
        <v>0.75030000000000996</v>
      </c>
      <c r="AF7100">
        <v>1.36694248871189E-2</v>
      </c>
      <c r="AG7100">
        <v>-1.12338309881299</v>
      </c>
      <c r="AH7100">
        <v>10.2399006376573</v>
      </c>
      <c r="AI7100">
        <v>96.260674060644803</v>
      </c>
      <c r="AJ7100">
        <v>89.923514893660098</v>
      </c>
      <c r="AK7100">
        <v>10.301346587168499</v>
      </c>
      <c r="AL7100">
        <v>80.090333248363194</v>
      </c>
      <c r="AM7100">
        <v>89.099387388212904</v>
      </c>
      <c r="AN7100">
        <v>0.99999998738414997</v>
      </c>
    </row>
    <row r="7101" spans="1:40" x14ac:dyDescent="0.25">
      <c r="A7101" t="str">
        <f>"20190303162959324"</f>
        <v>20190303162959324</v>
      </c>
      <c r="B7101" t="str">
        <f>"1551601799319577"</f>
        <v>1551601799319577</v>
      </c>
      <c r="C7101" t="s">
        <v>40</v>
      </c>
      <c r="D7101">
        <v>5.9599390000000003</v>
      </c>
      <c r="E7101">
        <v>0.50603620000000005</v>
      </c>
      <c r="F7101" t="s">
        <v>41</v>
      </c>
      <c r="G7101">
        <v>-133.05449999999999</v>
      </c>
      <c r="H7101" s="1">
        <v>-2.9960460000000002E-6</v>
      </c>
      <c r="I7101">
        <v>139.4238</v>
      </c>
      <c r="J7101">
        <v>-143.0033</v>
      </c>
      <c r="K7101">
        <v>1.1233580000000001</v>
      </c>
      <c r="L7101">
        <v>138.71270000000001</v>
      </c>
      <c r="M7101">
        <v>0.9968283</v>
      </c>
      <c r="N7101">
        <v>-3.2773080000000003E-2</v>
      </c>
      <c r="O7101">
        <v>7.2524210000000006E-2</v>
      </c>
      <c r="P7101">
        <v>0.98909449999999999</v>
      </c>
      <c r="Q7101">
        <v>0.13598189999999999</v>
      </c>
      <c r="R7101">
        <v>5.6580739999999997E-2</v>
      </c>
      <c r="S7101">
        <v>3.0703279999999999</v>
      </c>
      <c r="T7101">
        <v>-0.3421515</v>
      </c>
      <c r="U7101">
        <v>0.21911620000000001</v>
      </c>
      <c r="V7101">
        <v>1.5600569999999999E-2</v>
      </c>
      <c r="W7101">
        <v>0.16834939999999901</v>
      </c>
      <c r="X7101">
        <v>0.98560389999999998</v>
      </c>
      <c r="Y7101">
        <v>1.151518E-3</v>
      </c>
      <c r="Z7101">
        <v>-5.7468229999999999E-3</v>
      </c>
      <c r="AA7101">
        <v>0.99998279999999995</v>
      </c>
      <c r="AB7101">
        <v>13</v>
      </c>
      <c r="AC7101">
        <v>9.9488000000000003</v>
      </c>
      <c r="AD7101">
        <v>-1.123360996046</v>
      </c>
      <c r="AE7101">
        <v>0.71109999999998696</v>
      </c>
      <c r="AF7101">
        <v>1.2532103149798E-2</v>
      </c>
      <c r="AG7101">
        <v>-1.123360996046</v>
      </c>
      <c r="AH7101">
        <v>9.8492370592619505</v>
      </c>
      <c r="AI7101">
        <v>96.506783632319298</v>
      </c>
      <c r="AJ7101">
        <v>89.927097273921902</v>
      </c>
      <c r="AK7101">
        <v>9.9131008080512295</v>
      </c>
      <c r="AL7101">
        <v>80.308136199790198</v>
      </c>
      <c r="AM7101">
        <v>89.093173046234298</v>
      </c>
      <c r="AN7101">
        <v>0.99999997297994703</v>
      </c>
    </row>
    <row r="7102" spans="1:40" x14ac:dyDescent="0.25">
      <c r="A7102" t="str">
        <f>"20190303162959345"</f>
        <v>20190303162959345</v>
      </c>
      <c r="B7102" t="str">
        <f>"1551601799339096"</f>
        <v>1551601799339096</v>
      </c>
      <c r="C7102" t="s">
        <v>40</v>
      </c>
      <c r="D7102">
        <v>5.8241759999999996</v>
      </c>
      <c r="E7102">
        <v>0.5272751</v>
      </c>
      <c r="F7102" t="s">
        <v>41</v>
      </c>
      <c r="G7102">
        <v>-124.4516</v>
      </c>
      <c r="H7102" s="1">
        <v>-2.3793689999999998E-6</v>
      </c>
      <c r="I7102">
        <v>139.5215</v>
      </c>
      <c r="J7102">
        <v>-142.88220000000001</v>
      </c>
      <c r="K7102">
        <v>1.1233580000000001</v>
      </c>
      <c r="L7102">
        <v>138.72</v>
      </c>
      <c r="M7102">
        <v>0.99691750000000001</v>
      </c>
      <c r="N7102">
        <v>-3.2616619999999999E-2</v>
      </c>
      <c r="O7102">
        <v>7.1355719999999997E-2</v>
      </c>
      <c r="P7102">
        <v>0.98963460000000003</v>
      </c>
      <c r="Q7102">
        <v>0.13314319999999999</v>
      </c>
      <c r="R7102">
        <v>5.3818640000000001E-2</v>
      </c>
      <c r="S7102">
        <v>3.0508730000000002</v>
      </c>
      <c r="T7102">
        <v>-0.1847396</v>
      </c>
      <c r="U7102">
        <v>0.13301089999999999</v>
      </c>
      <c r="V7102">
        <v>1.7223800000000001E-2</v>
      </c>
      <c r="W7102">
        <v>0.16536819999999999</v>
      </c>
      <c r="X7102">
        <v>0.98608150000000006</v>
      </c>
      <c r="Y7102">
        <v>2.777514E-2</v>
      </c>
      <c r="Z7102">
        <v>-3.2757730000000001E-3</v>
      </c>
      <c r="AA7102">
        <v>0.99960879999999996</v>
      </c>
      <c r="AB7102">
        <v>13</v>
      </c>
      <c r="AC7102">
        <v>18.430599999999998</v>
      </c>
      <c r="AD7102">
        <v>-1.1233603793689999</v>
      </c>
      <c r="AE7102">
        <v>0.80150000000000399</v>
      </c>
      <c r="AF7102">
        <v>0.51446646738832202</v>
      </c>
      <c r="AG7102">
        <v>-1.1233603793689999</v>
      </c>
      <c r="AH7102">
        <v>18.372665415484601</v>
      </c>
      <c r="AI7102">
        <v>93.497514061869495</v>
      </c>
      <c r="AJ7102">
        <v>88.396038025745398</v>
      </c>
      <c r="AK7102">
        <v>18.414164351317901</v>
      </c>
      <c r="AL7102">
        <v>80.481375506026197</v>
      </c>
      <c r="AM7102">
        <v>88.999321349120606</v>
      </c>
      <c r="AN7102">
        <v>1.00000001274996</v>
      </c>
    </row>
    <row r="7103" spans="1:40" x14ac:dyDescent="0.25">
      <c r="A7103" t="str">
        <f>"20190303162959391"</f>
        <v>20190303162959391</v>
      </c>
      <c r="B7103" t="str">
        <f>"1551601799379404"</f>
        <v>1551601799379404</v>
      </c>
      <c r="C7103" t="s">
        <v>40</v>
      </c>
      <c r="D7103">
        <v>5.2767419999999996</v>
      </c>
      <c r="E7103">
        <v>0.51616640000000003</v>
      </c>
      <c r="F7103" t="s">
        <v>44</v>
      </c>
      <c r="G7103">
        <v>-142.1026</v>
      </c>
      <c r="H7103">
        <v>0.94532050000000001</v>
      </c>
      <c r="I7103">
        <v>138.71109999999999</v>
      </c>
      <c r="J7103">
        <v>-142.6456</v>
      </c>
      <c r="K7103">
        <v>1.123399</v>
      </c>
      <c r="L7103">
        <v>138.7337</v>
      </c>
      <c r="M7103">
        <v>0.99709709999999996</v>
      </c>
      <c r="N7103">
        <v>-3.2289400000000003E-2</v>
      </c>
      <c r="O7103">
        <v>6.8955240000000001E-2</v>
      </c>
      <c r="P7103">
        <v>0.98985780000000001</v>
      </c>
      <c r="Q7103">
        <v>0.13409370000000001</v>
      </c>
      <c r="R7103">
        <v>4.6912219999999998E-2</v>
      </c>
      <c r="S7103">
        <v>3.1295009999999999</v>
      </c>
      <c r="T7103">
        <v>-0.71461490000000005</v>
      </c>
      <c r="U7103">
        <v>-3.5507200000000003E-2</v>
      </c>
      <c r="V7103">
        <v>2.1715660000000001E-2</v>
      </c>
      <c r="W7103">
        <v>0.16598470000000001</v>
      </c>
      <c r="X7103">
        <v>0.98588920000000002</v>
      </c>
      <c r="Y7103">
        <v>7.6736990000000005E-2</v>
      </c>
      <c r="Z7103">
        <v>-2.3240540000000001E-2</v>
      </c>
      <c r="AA7103">
        <v>0.99678049999999996</v>
      </c>
      <c r="AB7103">
        <v>12</v>
      </c>
      <c r="AC7103">
        <v>0.54300000000000603</v>
      </c>
      <c r="AD7103">
        <v>-0.1780785</v>
      </c>
      <c r="AE7103">
        <v>-2.2600000000011201E-2</v>
      </c>
      <c r="AF7103">
        <v>5.41901353293874E-2</v>
      </c>
      <c r="AG7103">
        <v>-0.1780785</v>
      </c>
      <c r="AH7103">
        <v>0.48777584528127399</v>
      </c>
      <c r="AI7103">
        <v>109.943318158496</v>
      </c>
      <c r="AJ7103">
        <v>83.660641451336701</v>
      </c>
      <c r="AK7103">
        <v>0.52208600648660197</v>
      </c>
      <c r="AL7103">
        <v>80.445557563129796</v>
      </c>
      <c r="AM7103">
        <v>88.738180204139596</v>
      </c>
      <c r="AN7103">
        <v>1.00000000259998</v>
      </c>
    </row>
    <row r="7104" spans="1:40" x14ac:dyDescent="0.25">
      <c r="A7104" t="str">
        <f>"20190303162959413"</f>
        <v>20190303162959413</v>
      </c>
      <c r="B7104" t="str">
        <f>"1551601799408683"</f>
        <v>1551601799408683</v>
      </c>
      <c r="C7104" t="s">
        <v>40</v>
      </c>
      <c r="D7104">
        <v>5.6908409999999998</v>
      </c>
      <c r="E7104">
        <v>0.51925809999999994</v>
      </c>
      <c r="F7104" t="s">
        <v>41</v>
      </c>
      <c r="G7104">
        <v>-140.8605</v>
      </c>
      <c r="H7104" s="1">
        <v>-4.0549940000000004E-6</v>
      </c>
      <c r="I7104">
        <v>138.76009999999999</v>
      </c>
      <c r="J7104">
        <v>-142.5326</v>
      </c>
      <c r="K7104">
        <v>1.1234409999999999</v>
      </c>
      <c r="L7104">
        <v>138.74010000000001</v>
      </c>
      <c r="M7104">
        <v>0.99718209999999996</v>
      </c>
      <c r="N7104">
        <v>-3.2134080000000002E-2</v>
      </c>
      <c r="O7104">
        <v>6.7790450000000002E-2</v>
      </c>
      <c r="P7104">
        <v>0.98990579999999995</v>
      </c>
      <c r="Q7104">
        <v>0.13456760000000001</v>
      </c>
      <c r="R7104">
        <v>4.4478959999999998E-2</v>
      </c>
      <c r="S7104">
        <v>3.3106689999999999</v>
      </c>
      <c r="T7104">
        <v>-2.083415</v>
      </c>
      <c r="U7104">
        <v>4.8950199999999902E-2</v>
      </c>
      <c r="V7104">
        <v>2.296902E-2</v>
      </c>
      <c r="W7104">
        <v>0.16630349999999999</v>
      </c>
      <c r="X7104">
        <v>0.98580710000000005</v>
      </c>
      <c r="Y7104">
        <v>3.5230930000000001E-2</v>
      </c>
      <c r="Z7104">
        <v>-4.785068E-2</v>
      </c>
      <c r="AA7104">
        <v>0.99823300000000004</v>
      </c>
      <c r="AB7104">
        <v>12</v>
      </c>
      <c r="AC7104">
        <v>1.6720999999999999</v>
      </c>
      <c r="AD7104">
        <v>-1.1234450549939901</v>
      </c>
      <c r="AE7104">
        <v>1.99999999999818E-2</v>
      </c>
      <c r="AF7104">
        <v>6.4392999031191001E-2</v>
      </c>
      <c r="AG7104">
        <v>-1.1234450549939901</v>
      </c>
      <c r="AH7104">
        <v>1.1503783992804899</v>
      </c>
      <c r="AI7104">
        <v>134.276568610688</v>
      </c>
      <c r="AJ7104">
        <v>86.796183779530594</v>
      </c>
      <c r="AK7104">
        <v>1.60923761808064</v>
      </c>
      <c r="AL7104">
        <v>80.427034527001794</v>
      </c>
      <c r="AM7104">
        <v>88.665266423609197</v>
      </c>
      <c r="AN7104">
        <v>1.0000000342012001</v>
      </c>
    </row>
    <row r="7105" spans="1:40" x14ac:dyDescent="0.25">
      <c r="A7105" t="str">
        <f>"20190303162959437"</f>
        <v>20190303162959437</v>
      </c>
      <c r="B7105" t="str">
        <f>"1551601799429179"</f>
        <v>1551601799429179</v>
      </c>
      <c r="C7105" t="s">
        <v>40</v>
      </c>
      <c r="D7105">
        <v>5.6856900000000001</v>
      </c>
      <c r="E7105">
        <v>0.52095999999999998</v>
      </c>
      <c r="F7105" t="s">
        <v>44</v>
      </c>
      <c r="G7105">
        <v>-141.8836</v>
      </c>
      <c r="H7105">
        <v>0.75100800000000001</v>
      </c>
      <c r="I7105">
        <v>138.7414</v>
      </c>
      <c r="J7105">
        <v>-142.41569999999999</v>
      </c>
      <c r="K7105">
        <v>1.1234980000000001</v>
      </c>
      <c r="L7105">
        <v>138.74639999999999</v>
      </c>
      <c r="M7105">
        <v>0.99726729999999997</v>
      </c>
      <c r="N7105">
        <v>-3.1987050000000003E-2</v>
      </c>
      <c r="O7105">
        <v>6.6593739999999998E-2</v>
      </c>
      <c r="P7105">
        <v>0.99000520000000003</v>
      </c>
      <c r="Q7105">
        <v>0.13472120000000001</v>
      </c>
      <c r="R7105">
        <v>4.1712470000000001E-2</v>
      </c>
      <c r="S7105">
        <v>3.2866360000000001</v>
      </c>
      <c r="T7105">
        <v>-1.88592</v>
      </c>
      <c r="U7105">
        <v>7.2326659999999996E-3</v>
      </c>
      <c r="V7105">
        <v>2.4521930000000001E-2</v>
      </c>
      <c r="W7105">
        <v>0.16631189999999901</v>
      </c>
      <c r="X7105">
        <v>0.98576830000000004</v>
      </c>
      <c r="Y7105">
        <v>4.7615129999999999E-2</v>
      </c>
      <c r="Z7105">
        <v>-4.6997219999999999E-2</v>
      </c>
      <c r="AA7105">
        <v>0.99775950000000002</v>
      </c>
      <c r="AB7105">
        <v>11</v>
      </c>
      <c r="AC7105">
        <v>0.53209999999998503</v>
      </c>
      <c r="AD7105">
        <v>-0.37248999999999899</v>
      </c>
      <c r="AE7105">
        <v>-4.9999999999954499E-3</v>
      </c>
      <c r="AF7105">
        <v>2.7141816736490298E-2</v>
      </c>
      <c r="AG7105">
        <v>-0.37248999999999899</v>
      </c>
      <c r="AH7105">
        <v>0.35609473029020999</v>
      </c>
      <c r="AI7105">
        <v>136.20620668038501</v>
      </c>
      <c r="AJ7105">
        <v>85.641298956224304</v>
      </c>
      <c r="AK7105">
        <v>0.51603191302109896</v>
      </c>
      <c r="AL7105">
        <v>80.426546667734897</v>
      </c>
      <c r="AM7105">
        <v>88.575006529867693</v>
      </c>
      <c r="AN7105">
        <v>1.00000005720871</v>
      </c>
    </row>
    <row r="7106" spans="1:40" x14ac:dyDescent="0.25">
      <c r="A7106" t="str">
        <f>"20190303162959463"</f>
        <v>20190303162959463</v>
      </c>
      <c r="B7106" t="str">
        <f>"1551601799458965"</f>
        <v>1551601799458965</v>
      </c>
      <c r="C7106" t="s">
        <v>40</v>
      </c>
      <c r="D7106">
        <v>6.2490860000000001</v>
      </c>
      <c r="E7106">
        <v>0.5229838</v>
      </c>
      <c r="F7106" t="s">
        <v>44</v>
      </c>
      <c r="G7106">
        <v>-141.77510000000001</v>
      </c>
      <c r="H7106">
        <v>0.77978130000000001</v>
      </c>
      <c r="I7106">
        <v>138.74340000000001</v>
      </c>
      <c r="J7106">
        <v>-142.2928</v>
      </c>
      <c r="K7106">
        <v>1.1235710000000001</v>
      </c>
      <c r="L7106">
        <v>138.75299999999999</v>
      </c>
      <c r="M7106">
        <v>0.99735379999999996</v>
      </c>
      <c r="N7106">
        <v>-3.1847199999999999E-2</v>
      </c>
      <c r="O7106">
        <v>6.5354889999999999E-2</v>
      </c>
      <c r="P7106">
        <v>0.99014000000000002</v>
      </c>
      <c r="Q7106">
        <v>0.13485710000000001</v>
      </c>
      <c r="R7106">
        <v>3.7901610000000002E-2</v>
      </c>
      <c r="S7106">
        <v>3.2696230000000002</v>
      </c>
      <c r="T7106">
        <v>-1.7542089999999999</v>
      </c>
      <c r="U7106">
        <v>-1.473999E-2</v>
      </c>
      <c r="V7106">
        <v>2.7073900000000001E-2</v>
      </c>
      <c r="W7106">
        <v>0.1663087</v>
      </c>
      <c r="X7106">
        <v>0.98570199999999997</v>
      </c>
      <c r="Y7106">
        <v>5.4286069999999999E-2</v>
      </c>
      <c r="Z7106">
        <v>-4.5438239999999998E-2</v>
      </c>
      <c r="AA7106">
        <v>0.99749109999999996</v>
      </c>
      <c r="AB7106">
        <v>11</v>
      </c>
      <c r="AC7106">
        <v>0.51769999999998995</v>
      </c>
      <c r="AD7106">
        <v>-0.34378969999999898</v>
      </c>
      <c r="AE7106">
        <v>-9.5999999999776195E-3</v>
      </c>
      <c r="AF7106">
        <v>3.01427493548132E-2</v>
      </c>
      <c r="AG7106">
        <v>-0.34378969999999898</v>
      </c>
      <c r="AH7106">
        <v>0.35809991597773699</v>
      </c>
      <c r="AI7106">
        <v>133.73096822546401</v>
      </c>
      <c r="AJ7106">
        <v>85.188519708537996</v>
      </c>
      <c r="AK7106">
        <v>0.49732835530263098</v>
      </c>
      <c r="AL7106">
        <v>80.426732111523094</v>
      </c>
      <c r="AM7106">
        <v>88.426674295617303</v>
      </c>
      <c r="AN7106">
        <v>1.0000000062804499</v>
      </c>
    </row>
    <row r="7107" spans="1:40" x14ac:dyDescent="0.25">
      <c r="A7107" t="str">
        <f>"20190303162959479"</f>
        <v>20190303162959479</v>
      </c>
      <c r="B7107" t="str">
        <f>"1551601799468724"</f>
        <v>1551601799468724</v>
      </c>
      <c r="C7107" t="s">
        <v>40</v>
      </c>
      <c r="D7107">
        <v>6.8019489999999996</v>
      </c>
      <c r="E7107">
        <v>0.5229838</v>
      </c>
      <c r="F7107" t="s">
        <v>44</v>
      </c>
      <c r="G7107">
        <v>-141.58930000000001</v>
      </c>
      <c r="H7107">
        <v>0.78371669999999904</v>
      </c>
      <c r="I7107">
        <v>138.74459999999999</v>
      </c>
      <c r="J7107">
        <v>-142.21799999999999</v>
      </c>
      <c r="K7107">
        <v>1.1236159999999999</v>
      </c>
      <c r="L7107">
        <v>138.7569</v>
      </c>
      <c r="M7107">
        <v>0.99740450000000003</v>
      </c>
      <c r="N7107">
        <v>-3.1762899999999997E-2</v>
      </c>
      <c r="O7107">
        <v>6.4619700000000002E-2</v>
      </c>
      <c r="P7107">
        <v>0.99013010000000001</v>
      </c>
      <c r="Q7107">
        <v>0.13589989999999999</v>
      </c>
      <c r="R7107">
        <v>3.4261600000000003E-2</v>
      </c>
      <c r="S7107">
        <v>3.2448579999999998</v>
      </c>
      <c r="T7107">
        <v>-1.5676129999999999</v>
      </c>
      <c r="U7107">
        <v>-3.8558960000000003E-2</v>
      </c>
      <c r="V7107">
        <v>2.995857E-2</v>
      </c>
      <c r="W7107">
        <v>0.16726170000000001</v>
      </c>
      <c r="X7107">
        <v>0.98545720000000003</v>
      </c>
      <c r="Y7107">
        <v>6.2821370000000001E-2</v>
      </c>
      <c r="Z7107">
        <v>-4.3048000000000003E-2</v>
      </c>
      <c r="AA7107">
        <v>0.99709590000000003</v>
      </c>
      <c r="AB7107">
        <v>10</v>
      </c>
      <c r="AC7107">
        <v>0.62869999999998005</v>
      </c>
      <c r="AD7107">
        <v>-0.33989930000000002</v>
      </c>
      <c r="AE7107">
        <v>-1.23000000000104E-2</v>
      </c>
      <c r="AF7107">
        <v>4.09550208846029E-2</v>
      </c>
      <c r="AG7107">
        <v>-0.33989930000000002</v>
      </c>
      <c r="AH7107">
        <v>0.48490956482916298</v>
      </c>
      <c r="AI7107">
        <v>124.933037205107</v>
      </c>
      <c r="AJ7107">
        <v>85.172307996724598</v>
      </c>
      <c r="AK7107">
        <v>0.59358751160966705</v>
      </c>
      <c r="AL7107">
        <v>80.371352939543996</v>
      </c>
      <c r="AM7107">
        <v>88.258705586441195</v>
      </c>
      <c r="AN7107">
        <v>0.99999994261758496</v>
      </c>
    </row>
    <row r="7108" spans="1:40" x14ac:dyDescent="0.25">
      <c r="A7108" t="str">
        <f>"20190303162959502"</f>
        <v>20190303162959502</v>
      </c>
      <c r="B7108" t="str">
        <f>"1551601799498981"</f>
        <v>1551601799498981</v>
      </c>
      <c r="C7108" t="s">
        <v>40</v>
      </c>
      <c r="D7108">
        <v>6.2012340000000004</v>
      </c>
      <c r="E7108">
        <v>0.52784889999999995</v>
      </c>
      <c r="F7108" t="s">
        <v>44</v>
      </c>
      <c r="G7108">
        <v>-141.57660000000001</v>
      </c>
      <c r="H7108">
        <v>0.81450659999999997</v>
      </c>
      <c r="I7108">
        <v>138.74760000000001</v>
      </c>
      <c r="J7108">
        <v>-142.12020000000001</v>
      </c>
      <c r="K7108">
        <v>1.123672</v>
      </c>
      <c r="L7108">
        <v>138.762</v>
      </c>
      <c r="M7108">
        <v>0.99746849999999998</v>
      </c>
      <c r="N7108">
        <v>-3.1649669999999998E-2</v>
      </c>
      <c r="O7108">
        <v>6.3678269999999995E-2</v>
      </c>
      <c r="P7108">
        <v>0.9901065</v>
      </c>
      <c r="Q7108">
        <v>0.13692409999999999</v>
      </c>
      <c r="R7108">
        <v>3.067112E-2</v>
      </c>
      <c r="S7108">
        <v>3.2462620000000002</v>
      </c>
      <c r="T7108">
        <v>-1.564457</v>
      </c>
      <c r="U7108">
        <v>-4.6859739999999997E-2</v>
      </c>
      <c r="V7108">
        <v>3.258403E-2</v>
      </c>
      <c r="W7108">
        <v>0.1681685</v>
      </c>
      <c r="X7108">
        <v>0.98521959999999997</v>
      </c>
      <c r="Y7108">
        <v>6.4392099999999994E-2</v>
      </c>
      <c r="Z7108">
        <v>-4.2937740000000002E-2</v>
      </c>
      <c r="AA7108">
        <v>0.99700049999999996</v>
      </c>
      <c r="AB7108">
        <v>10</v>
      </c>
      <c r="AC7108">
        <v>0.54359999999999697</v>
      </c>
      <c r="AD7108">
        <v>-0.30916539999999998</v>
      </c>
      <c r="AE7108">
        <v>-1.4399999999994801E-2</v>
      </c>
      <c r="AF7108">
        <v>3.7033185425837702E-2</v>
      </c>
      <c r="AG7108">
        <v>-0.30916539999999998</v>
      </c>
      <c r="AH7108">
        <v>0.40928351053303502</v>
      </c>
      <c r="AI7108">
        <v>126.95446035808899</v>
      </c>
      <c r="AJ7108">
        <v>84.829787131081005</v>
      </c>
      <c r="AK7108">
        <v>0.51426422525214499</v>
      </c>
      <c r="AL7108">
        <v>80.318651296303798</v>
      </c>
      <c r="AM7108">
        <v>88.1057551489845</v>
      </c>
      <c r="AN7108">
        <v>1.00000001181372</v>
      </c>
    </row>
    <row r="7109" spans="1:40" x14ac:dyDescent="0.25">
      <c r="A7109" t="str">
        <f>"20190303162959526"</f>
        <v>20190303162959526</v>
      </c>
      <c r="B7109" t="str">
        <f>"1551601799519478"</f>
        <v>1551601799519478</v>
      </c>
      <c r="C7109" t="s">
        <v>40</v>
      </c>
      <c r="D7109">
        <v>6.249428</v>
      </c>
      <c r="E7109">
        <v>0.52736870000000002</v>
      </c>
      <c r="F7109" t="s">
        <v>44</v>
      </c>
      <c r="G7109">
        <v>-141.43799999999999</v>
      </c>
      <c r="H7109">
        <v>0.92735270000000003</v>
      </c>
      <c r="I7109">
        <v>138.73830000000001</v>
      </c>
      <c r="J7109">
        <v>-142.02099999999999</v>
      </c>
      <c r="K7109">
        <v>1.1237379999999999</v>
      </c>
      <c r="L7109">
        <v>138.7671</v>
      </c>
      <c r="M7109">
        <v>0.99753060000000005</v>
      </c>
      <c r="N7109">
        <v>-3.1536849999999998E-2</v>
      </c>
      <c r="O7109">
        <v>6.2754969999999993E-2</v>
      </c>
      <c r="P7109">
        <v>0.99016709999999997</v>
      </c>
      <c r="Q7109">
        <v>0.13710159999999999</v>
      </c>
      <c r="R7109">
        <v>2.7791920000000001E-2</v>
      </c>
      <c r="S7109">
        <v>3.1590579999999999</v>
      </c>
      <c r="T7109">
        <v>-0.90900150000000002</v>
      </c>
      <c r="U7109">
        <v>-0.1088867</v>
      </c>
      <c r="V7109">
        <v>3.4523270000000002E-2</v>
      </c>
      <c r="W7109">
        <v>0.1682352</v>
      </c>
      <c r="X7109">
        <v>0.98514219999999997</v>
      </c>
      <c r="Y7109">
        <v>9.10023999999999E-2</v>
      </c>
      <c r="Z7109">
        <v>-3.004103E-2</v>
      </c>
      <c r="AA7109">
        <v>0.99539739999999999</v>
      </c>
      <c r="AB7109">
        <v>10</v>
      </c>
      <c r="AC7109">
        <v>0.58300000000002605</v>
      </c>
      <c r="AD7109">
        <v>-0.19638529999999901</v>
      </c>
      <c r="AE7109">
        <v>-2.8799999999989698E-2</v>
      </c>
      <c r="AF7109">
        <v>5.8702749178343901E-2</v>
      </c>
      <c r="AG7109">
        <v>-0.19638529999999901</v>
      </c>
      <c r="AH7109">
        <v>0.52106070194026599</v>
      </c>
      <c r="AI7109">
        <v>110.53222857648601</v>
      </c>
      <c r="AJ7109">
        <v>83.572155196768307</v>
      </c>
      <c r="AK7109">
        <v>0.55992629329552701</v>
      </c>
      <c r="AL7109">
        <v>80.314774771274998</v>
      </c>
      <c r="AM7109">
        <v>87.992951135545397</v>
      </c>
      <c r="AN7109">
        <v>1.00000004645568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2020-05-20T14:49:47Z</dcterms:created>
  <dcterms:modified xsi:type="dcterms:W3CDTF">2020-05-20T14:49:48Z</dcterms:modified>
</cp:coreProperties>
</file>